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systemicenvs-my.sharepoint.com/personal/thomas_systemicenvs_com/Documents/"/>
    </mc:Choice>
  </mc:AlternateContent>
  <xr:revisionPtr revIDLastSave="0" documentId="8_{417B4F55-C259-1E4D-8B23-0795520A7E0F}" xr6:coauthVersionLast="47" xr6:coauthVersionMax="47" xr10:uidLastSave="{00000000-0000-0000-0000-000000000000}"/>
  <bookViews>
    <workbookView xWindow="-8300" yWindow="-28200" windowWidth="25600" windowHeight="28200" tabRatio="937" activeTab="22" xr2:uid="{00000000-000D-0000-FFFF-FFFF00000000}"/>
  </bookViews>
  <sheets>
    <sheet name="Dashboard" sheetId="37" r:id="rId1"/>
    <sheet name="Project Master Sheet" sheetId="39" r:id="rId2"/>
    <sheet name="Project CAPEX" sheetId="41" state="hidden" r:id="rId3"/>
    <sheet name="Project EPC" sheetId="42" state="hidden" r:id="rId4"/>
    <sheet name="Project GREV" sheetId="43" state="hidden" r:id="rId5"/>
    <sheet name="Project OPEX" sheetId="44" state="hidden" r:id="rId6"/>
    <sheet name="Project NET" sheetId="45" state="hidden" r:id="rId7"/>
    <sheet name="CASHFLOW" sheetId="38" state="hidden" r:id="rId8"/>
    <sheet name="Project DIV" sheetId="40" state="hidden" r:id="rId9"/>
    <sheet name="Project ASSET" sheetId="46" state="hidden" r:id="rId10"/>
    <sheet name="Project SVOL" sheetId="47" state="hidden" r:id="rId11"/>
    <sheet name="Project SMACH" sheetId="48" state="hidden" r:id="rId12"/>
    <sheet name="Project PGEN" sheetId="49" state="hidden" r:id="rId13"/>
    <sheet name="Project LAND" sheetId="51" state="hidden" r:id="rId14"/>
    <sheet name="Project List References" sheetId="50" state="hidden" r:id="rId15"/>
    <sheet name="Assumptions &amp; Inputs" sheetId="16" r:id="rId16"/>
    <sheet name="Project Summary" sheetId="12" state="hidden" r:id="rId17"/>
    <sheet name="JV Summary" sheetId="36" r:id="rId18"/>
    <sheet name="Power Summary" sheetId="33" r:id="rId19"/>
    <sheet name="Real Estate" sheetId="32" r:id="rId20"/>
    <sheet name="Load" sheetId="5" r:id="rId21"/>
    <sheet name="GEN-BESS" sheetId="8" r:id="rId22"/>
    <sheet name="GEN-CCGT" sheetId="9" r:id="rId23"/>
    <sheet name="GEN-SOLAR" sheetId="21" r:id="rId24"/>
    <sheet name="GEN-CARBON" sheetId="26" r:id="rId25"/>
    <sheet name="Hydrogen" sheetId="10" r:id="rId26"/>
    <sheet name="SENS Tires" sheetId="29" r:id="rId27"/>
    <sheet name="SENS Coal" sheetId="24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_____del1">{"Page1",#N/A,FALSE,"7979";"Page2",#N/A,FALSE,"7979";"Page3",#N/A,FALSE,"7979"}</definedName>
    <definedName name="___del1">{"Page1",#N/A,FALSE,"7979";"Page2",#N/A,FALSE,"7979";"Page3",#N/A,FALSE,"7979"}</definedName>
    <definedName name="__123Graph_X">[1]Sheet3!#REF!</definedName>
    <definedName name="__del1">{"Page1",#N/A,FALSE,"7979";"Page2",#N/A,FALSE,"7979";"Page3",#N/A,FALSE,"7979"}</definedName>
    <definedName name="__FDS_HYPERLINK_TOGGLE_STATE__">"ON"</definedName>
    <definedName name="__IntlFixup">TRUE</definedName>
    <definedName name="_1_0_S">'[2]1999 BUDGET'!#REF!</definedName>
    <definedName name="_2_0_0_F">'[2]1999 BUDGET'!#REF!</definedName>
    <definedName name="_3_0_0_S">'[3]1999 BUDGET'!#REF!</definedName>
    <definedName name="_3_0_S">'[2]1999 BUDGET'!#REF!</definedName>
    <definedName name="_6_0_0_F">'[2]1999 BUDGET'!#REF!</definedName>
    <definedName name="_9_0_0_S">'[3]1999 BUDGET'!#REF!</definedName>
    <definedName name="_a2">{#N/A,#N/A,FALSE,"Sheet1"}</definedName>
    <definedName name="_a3">{#N/A,#N/A,FALSE,"Sheet1"}</definedName>
    <definedName name="_ATPRegress_Dlg_Results">{2;#N/A;"R13C16:R17C16";#N/A;"R13C14:R17C15";FALSE;FALSE;FALSE;95;#N/A;#N/A;"R13C19";#N/A;FALSE;FALSE;FALSE;FALSE;#N/A;"";#N/A;FALSE;"";"";#N/A;#N/A;#N/A}</definedName>
    <definedName name="_ATPRegress_Dlg_Types">{"EXCELHLP.HLP!1802";5;10;5;10;13;13;13;8;5;5;10;14;13;13;13;13;5;10;14;13;5;10;1;2;24}</definedName>
    <definedName name="_ATPRegress_Range4">"="</definedName>
    <definedName name="_ATPRegress_Range5">"="</definedName>
    <definedName name="_bdm.27B19874CAD649FA9C5B9A2AEE728DA3.edm">#REF!</definedName>
    <definedName name="_del1">{"Page1",#N/A,FALSE,"7979";"Page2",#N/A,FALSE,"7979";"Page3",#N/A,FALSE,"7979"}</definedName>
    <definedName name="_Dist_Values">#REF!</definedName>
    <definedName name="_Fil1">'[4]Current 9-02'!$A$6:$A$166</definedName>
    <definedName name="_Fill">#REF!</definedName>
    <definedName name="_Key1">#REF!</definedName>
    <definedName name="_Key10">#REF!</definedName>
    <definedName name="_Key2">#REF!</definedName>
    <definedName name="_Key5">#REF!</definedName>
    <definedName name="_Key6">#REF!</definedName>
    <definedName name="_Key8">#REF!</definedName>
    <definedName name="_Key9">'[4]Current 9-02'!#REF!</definedName>
    <definedName name="_Order1">0</definedName>
    <definedName name="_Order2">255</definedName>
    <definedName name="_Regression_Int">1</definedName>
    <definedName name="_Regression_Out">#REF!</definedName>
    <definedName name="_Regression_X">#REF!</definedName>
    <definedName name="_Regression_Y">#REF!</definedName>
    <definedName name="_Sort">#REF!</definedName>
    <definedName name="_Table1_In1">#REF!</definedName>
    <definedName name="_Table1_Out">#REF!</definedName>
    <definedName name="_Table2_In1">#REF!</definedName>
    <definedName name="_Table2_Out">#REF!</definedName>
    <definedName name="aa">{"1999 Cash Budget",#N/A,FALSE,"99 Cash";"1999 Cash Budget YTD",#N/A,FALSE,"99 Cash";"1999 Cash Actual/Forcast",#N/A,FALSE,"99 Cash";"1999 Cash Actual/Forcast YTD",#N/A,FALSE,"99 Cash"}</definedName>
    <definedName name="aaa">#REF!</definedName>
    <definedName name="AAA_DOCTOPS">"AAA_SET"</definedName>
    <definedName name="AAA_duser">"OFF"</definedName>
    <definedName name="AAAA">#REF!</definedName>
    <definedName name="aaaa1">{"1999 Cash Budget",#N/A,FALSE,"99 Cash";"1999 Cash Budget YTD",#N/A,FALSE,"99 Cash";"1999 Cash Actual/Forcast",#N/A,FALSE,"99 Cash";"1999 Cash Actual/Forcast YTD",#N/A,FALSE,"99 Cash"}</definedName>
    <definedName name="aaaaa">{"Income Budget",#N/A,FALSE,"98 Income";"Running GAAP Budget Income",#N/A,FALSE,"98 Income";"GAAP Actual",#N/A,FALSE,"98 Income";"GAAP Varinance",#N/A,FALSE,"98 Income"}</definedName>
    <definedName name="aaaaaa">{"Cash Budget",#N/A,FALSE,"98 Cash";"Running Cash Budget",#N/A,FALSE,"98 Cash";"Actual Cash",#N/A,FALSE,"98 Cash";"Update Cash Budget",#N/A,FALSE,"98 Cash"}</definedName>
    <definedName name="aaaaaaa">{"Cash Budget",#N/A,FALSE,"98 Cash";"Running Cash Budget",#N/A,FALSE,"98 Cash";"Actual Cash",#N/A,FALSE,"98 Cash";"Update Cash Budget",#N/A,FALSE,"98 Cash"}</definedName>
    <definedName name="aaaaaaaa">{"Income Budget",#N/A,FALSE,"98 Income";"Running GAAP Budget Income",#N/A,FALSE,"98 Income";"GAAP Actual",#N/A,FALSE,"98 Income";"GAAP Varinance",#N/A,FALSE,"98 Income"}</definedName>
    <definedName name="aaaaaaaaaa">{"Cash Budget",#N/A,FALSE,"98 Cash";"Running Cash Budget",#N/A,FALSE,"98 Cash";"Actual Cash",#N/A,FALSE,"98 Cash";"Update Cash Budget",#N/A,FALSE,"98 Cash"}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ccessDatabase">"C:\Due Diligence\Takeover.mdb"</definedName>
    <definedName name="Acq">[5]Control!$C$13</definedName>
    <definedName name="Acq_Acid_Multiplier">'[6]REG Seneca'!$C$169</definedName>
    <definedName name="Acq_Biodiesel_lbs_gallons">'[6]REG Seneca'!$C$170</definedName>
    <definedName name="Acq_Feedstock_Yield">'[6]REG Seneca'!$C$162</definedName>
    <definedName name="Acq_KOH_Multiplier">'[6]REG Seneca'!$C$168</definedName>
    <definedName name="Acq_Methanol_Multiplier">'[6]REG Seneca'!$C$167</definedName>
    <definedName name="adf">{#N/A,#N/A,FALSE,"SCHEDULE G"}</definedName>
    <definedName name="adfhkajsdhfkjashfkjshfkjasdhfkfjdsh">{0,0,0,0;0,0,0,0;0,0,0,0;0,0,0,0}</definedName>
    <definedName name="adiuco9eujac9eqjc">{0,0,0,0}</definedName>
    <definedName name="adsfkjhadslfjhaslkdfhasfd">{0,#N/A,FALSE,0;0,#N/A,FALSE,0;0,#N/A,FALSE,0;0,#N/A,FALSE,0}</definedName>
    <definedName name="AFFFA">[6]Assumptions!$G$39</definedName>
    <definedName name="aksdjflsakjdflsakjd">{0;5;10;5;10;13;13;13;8;5;5;10;14;13;13;13;13;5;10;14;13;5;10;1;2;24}</definedName>
    <definedName name="amort_copy">#REF!</definedName>
    <definedName name="amort_lock">#REF!</definedName>
    <definedName name="amort_paste">#REF!</definedName>
    <definedName name="anscount">1</definedName>
    <definedName name="ARP">'[7]D. RATE'!$H$15</definedName>
    <definedName name="Array.ProductionDates">[8]Assumptions!$A$362:$T$362</definedName>
    <definedName name="asd">{2;#N/A;"R13C16:R17C16";#N/A;"R13C14:R17C15";FALSE;FALSE;FALSE;95;#N/A;#N/A;"R13C19";#N/A;FALSE;FALSE;FALSE;FALSE;#N/A;"";#N/A;FALSE;"";"";#N/A;#N/A;#N/A}</definedName>
    <definedName name="asdfsdaf">{0;0;0;0;0;0;0;0;0;0;0;0;0;0;0;0;0;0;0;0;0;0;0;0;0;0}</definedName>
    <definedName name="asdifu9wwje9a">{0;0;0;0;0;0;0;0;0;0;0;0;0;0;0;0;0;0;0;0;0;0;0;0;0;0}</definedName>
    <definedName name="asdifuw9jc9e">{0,0,0,0}</definedName>
    <definedName name="asfget">{"Page1",#N/A,FALSE,"7979";"Page2",#N/A,FALSE,"7979";"Page3",#N/A,FALSE,"7979"}</definedName>
    <definedName name="asjkdhfakljdshflkjafhlkjafdshkjds">{0,#N/A,FALSE,0;0,#N/A,FALSE,0;0,#N/A,FALSE,0;0,#N/A,FALSE,0}</definedName>
    <definedName name="askjdflaskjfda">{0,#N/A,FALSE,0;0,#N/A,FALSE,0;0,#N/A,FALSE,0;0,#N/A,FALSE,0}</definedName>
    <definedName name="askjdnfalksdjnflkadsjnfkasjdnflksajn">{0,#N/A,FALSE,0;0,#N/A,FALSE,0;0,#N/A,FALSE,0;0,#N/A,FALSE,0}</definedName>
    <definedName name="Attach3">{"Grant",#N/A,FALSE,"Grant";"GP Developer",#N/A,FALSE,"GP &amp; Dev Loans";"Operating Analysis",#N/A,FALSE,"Operations";"Tax Credit",#N/A,FALSE,"Tax Credits";"Tax Credit Analysis",#N/A,FALSE,"TC Analysis"}</definedName>
    <definedName name="B">'[7]D. RATE'!$F$15</definedName>
    <definedName name="BadLink">#REF!</definedName>
    <definedName name="BBBB">#REF!</definedName>
    <definedName name="bbbbb">{"Income Budget",#N/A,FALSE,"98 Income";"Running GAAP Budget Income",#N/A,FALSE,"98 Income";"GAAP Actual",#N/A,FALSE,"98 Income";"GAAP Varinance",#N/A,FALSE,"98 Income"}</definedName>
    <definedName name="Benefits.Percent">'[8]Payroll 11-21'!$B$54</definedName>
    <definedName name="BFTFFA">[6]Assumptions!$G$42</definedName>
    <definedName name="Black_Scholes">#REF!</definedName>
    <definedName name="Bldgs_Equipment_Total">#REF!</definedName>
    <definedName name="Bldgs_Hrs">#REF!</definedName>
    <definedName name="Bldgs_Labor_Total">#REF!</definedName>
    <definedName name="Bldgs_Material_Total">#REF!</definedName>
    <definedName name="Bldgs_Sub_Total">#REF!</definedName>
    <definedName name="Bldgs_Total">#REF!</definedName>
    <definedName name="BS">#REF!</definedName>
    <definedName name="BS_ASSUMP">#REF!</definedName>
    <definedName name="BS_PROJ">#REF!</definedName>
    <definedName name="C.Name">'[7]MKT-Ranking (1)'!$A$4</definedName>
    <definedName name="C.Name2">'[7]MKT-Ranking (2)'!$A$4</definedName>
    <definedName name="Capacity">[9]Inputs!$D$16</definedName>
    <definedName name="CAPX">#REF!</definedName>
    <definedName name="Case">[5]Control!$F$3</definedName>
    <definedName name="Case1">[5]Control!$B$18</definedName>
    <definedName name="Case2">[5]Control!$B$19</definedName>
    <definedName name="Case3">[5]Control!$B$20</definedName>
    <definedName name="CashDiscount">[8]Assumptions!$B$110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WorkbookPriority">-1272788010</definedName>
    <definedName name="Ccy">'[10]M&amp;A'!#REF!</definedName>
    <definedName name="CF_PROJ">#REF!</definedName>
    <definedName name="CIQWBGuid">"6ff04ab6-7412-47b9-b2cd-4214b85b9bf1"</definedName>
    <definedName name="Circ">[5]Control!$C$33</definedName>
    <definedName name="Clovis_Capacity">[6]Assumptions!$N$650</definedName>
    <definedName name="Clovis_ConstructionTime">[6]Assumptions!$N$649</definedName>
    <definedName name="Clovis_Incremental_BFT_Cost">[6]Assumptions!$L$286</definedName>
    <definedName name="Clovis_Incremental_Choicewhitegrease_Cost">[6]Assumptions!$J$286</definedName>
    <definedName name="Clovis_Incremental_Corn_Oil_Cost">[6]Assumptions!$H$286</definedName>
    <definedName name="Clovis_Incremental_Sales_Cost">[6]Assumptions!#REF!</definedName>
    <definedName name="Clovis_Incremental_Soybean_Oil_Cost">[6]Assumptions!$G$286</definedName>
    <definedName name="Clovis_Incremental_TT_Cost">[6]Assumptions!$I$286</definedName>
    <definedName name="Clovis_Incremental_UCO_Cost">[6]Assumptions!$M$286</definedName>
    <definedName name="Clovis_Incremental_YellowGrease_Cost">[6]Assumptions!$K$286</definedName>
    <definedName name="COFFA">[6]Assumptions!$G$44</definedName>
    <definedName name="COMMON_IS_PROJ">#REF!</definedName>
    <definedName name="COMP_IS">#REF!</definedName>
    <definedName name="construction_period">[9]Inputs!#REF!</definedName>
    <definedName name="CONTROL_PANEL">#REF!</definedName>
    <definedName name="Conv">'[10]M&amp;A'!#REF!</definedName>
    <definedName name="copy">#REF!</definedName>
    <definedName name="cost">{#N/A,#N/A,FALSE,"T COST";#N/A,#N/A,FALSE,"COST_FH"}</definedName>
    <definedName name="Cost_BFT_1">[6]Assumptions!#REF!</definedName>
    <definedName name="Cost_BFT_10">[6]Assumptions!$N$269</definedName>
    <definedName name="Cost_BFT_2">[6]Assumptions!#REF!</definedName>
    <definedName name="Cost_BFT_3">[6]Assumptions!#REF!</definedName>
    <definedName name="Cost_BFT_3q2">[6]Assumptions!#REF!</definedName>
    <definedName name="Cost_BFT_3q3">[6]Assumptions!#REF!</definedName>
    <definedName name="Cost_BFT_3q4">[6]Assumptions!#REF!</definedName>
    <definedName name="Cost_BFT_4">[6]Assumptions!#REF!</definedName>
    <definedName name="Cost_BFT_4q2">[6]Assumptions!#REF!</definedName>
    <definedName name="Cost_BFT_4q3">[6]Assumptions!#REF!</definedName>
    <definedName name="Cost_BFT_4q4">[6]Assumptions!#REF!</definedName>
    <definedName name="Cost_BFT_5">[6]Assumptions!$B$269</definedName>
    <definedName name="Cost_BFT_6">[6]Assumptions!$G$269</definedName>
    <definedName name="Cost_BFT_7">[6]Assumptions!$K$269</definedName>
    <definedName name="Cost_BFT_8">[6]Assumptions!$L$269</definedName>
    <definedName name="Cost_BFT_9">[6]Assumptions!$M$269</definedName>
    <definedName name="Cost_Corn_Oil">[6]Assumptions!#REF!</definedName>
    <definedName name="Cost_CWG_1">[6]Assumptions!#REF!</definedName>
    <definedName name="Cost_CWG_10">[6]Assumptions!$N$267</definedName>
    <definedName name="Cost_CWG_2">[6]Assumptions!#REF!</definedName>
    <definedName name="Cost_CWG_3">[6]Assumptions!#REF!</definedName>
    <definedName name="Cost_CWG_3q2">[6]Assumptions!#REF!</definedName>
    <definedName name="Cost_CWG_3q3">[6]Assumptions!#REF!</definedName>
    <definedName name="Cost_CWG_3q4">[6]Assumptions!#REF!</definedName>
    <definedName name="Cost_CWG_4">[6]Assumptions!#REF!</definedName>
    <definedName name="Cost_CWG_4q2">[6]Assumptions!#REF!</definedName>
    <definedName name="Cost_CWG_4q3">[6]Assumptions!#REF!</definedName>
    <definedName name="Cost_CWG_4q4">[6]Assumptions!#REF!</definedName>
    <definedName name="Cost_CWG_5">[6]Assumptions!$B$267</definedName>
    <definedName name="Cost_CWG_6">[6]Assumptions!$G$267</definedName>
    <definedName name="Cost_CWG_7">[6]Assumptions!$K$267</definedName>
    <definedName name="Cost_CWG_8">[6]Assumptions!$L$267</definedName>
    <definedName name="Cost_CWG_9">[6]Assumptions!$M$267</definedName>
    <definedName name="Cost_TechTallow">[6]Assumptions!#REF!</definedName>
    <definedName name="Cost_TechTallow1">[6]Assumptions!#REF!</definedName>
    <definedName name="Cost_TechTallow10">[6]Assumptions!$N$266</definedName>
    <definedName name="Cost_TechTallow2">[6]Assumptions!#REF!</definedName>
    <definedName name="Cost_TechTallow3">[6]Assumptions!#REF!</definedName>
    <definedName name="Cost_TechTallow3q1">[6]Assumptions!#REF!</definedName>
    <definedName name="Cost_TechTallow3q2">[6]Assumptions!#REF!</definedName>
    <definedName name="Cost_TechTallow3q3">[6]Assumptions!#REF!</definedName>
    <definedName name="Cost_TechTallow3q4">[6]Assumptions!#REF!</definedName>
    <definedName name="Cost_TechTallow4">[6]Assumptions!#REF!</definedName>
    <definedName name="Cost_TechTallow4q2">[6]Assumptions!#REF!</definedName>
    <definedName name="Cost_TechTallow4q3">[6]Assumptions!#REF!</definedName>
    <definedName name="Cost_TechTallow4q4">[6]Assumptions!#REF!</definedName>
    <definedName name="Cost_TechTallow5">[6]Assumptions!$B$266</definedName>
    <definedName name="Cost_TechTallow6">[6]Assumptions!$G$266</definedName>
    <definedName name="Cost_TechTallow7">[6]Assumptions!$K$266</definedName>
    <definedName name="Cost_TechTallow8">[6]Assumptions!$L$266</definedName>
    <definedName name="Cost_TechTallow9">[6]Assumptions!$M$266</definedName>
    <definedName name="Cost_UCO_Oil">[6]Assumptions!#REF!</definedName>
    <definedName name="Cost_YG_1">[6]Assumptions!#REF!</definedName>
    <definedName name="Cost_YG_10">[6]Assumptions!$N$268</definedName>
    <definedName name="Cost_YG_2">[6]Assumptions!#REF!</definedName>
    <definedName name="Cost_YG_3">[6]Assumptions!#REF!</definedName>
    <definedName name="Cost_YG_3q2">[6]Assumptions!#REF!</definedName>
    <definedName name="Cost_YG_3q3">[6]Assumptions!#REF!</definedName>
    <definedName name="Cost_YG_3q4">[6]Assumptions!#REF!</definedName>
    <definedName name="Cost_YG_4">[6]Assumptions!#REF!</definedName>
    <definedName name="Cost_YG_4q2">[6]Assumptions!#REF!</definedName>
    <definedName name="Cost_YG_4q3">[6]Assumptions!#REF!</definedName>
    <definedName name="Cost_YG_4q4">[6]Assumptions!#REF!</definedName>
    <definedName name="Cost_YG_5">[6]Assumptions!$B$268</definedName>
    <definedName name="Cost_YG_6">[6]Assumptions!$G$268</definedName>
    <definedName name="Cost_YG_7">[6]Assumptions!$K$268</definedName>
    <definedName name="Cost_YG_8">[6]Assumptions!$L$268</definedName>
    <definedName name="Cost_YG_9">[6]Assumptions!$M$268</definedName>
    <definedName name="CostAnimalFat_1">[6]Assumptions!#REF!</definedName>
    <definedName name="CostAnimalFat_10">[6]Assumptions!$N$266</definedName>
    <definedName name="CostAnimalFat_2">[6]Assumptions!#REF!</definedName>
    <definedName name="CostAnimalFat_3">[6]Assumptions!#REF!</definedName>
    <definedName name="CostAnimalFat_4">[6]Assumptions!#REF!</definedName>
    <definedName name="CostAnimalFat_6">[6]Assumptions!$G$266</definedName>
    <definedName name="CostAnimalFat_7">[6]Assumptions!$K$266</definedName>
    <definedName name="CostAnimalFat_8">[6]Assumptions!$L$266</definedName>
    <definedName name="CostAnimalFat_9">[6]Assumptions!$M$266</definedName>
    <definedName name="CostCatalyst_1">[6]Assumptions!#REF!</definedName>
    <definedName name="CostCatalyst_10">[6]Assumptions!$N$318</definedName>
    <definedName name="CostCatalyst_1Q2">[6]Assumptions!#REF!</definedName>
    <definedName name="CostCatalyst_1Q3">[6]Assumptions!#REF!</definedName>
    <definedName name="CostCatalyst_1Q4">[6]Assumptions!#REF!</definedName>
    <definedName name="CostCatalyst_2">[6]Assumptions!#REF!</definedName>
    <definedName name="CostCatalyst_2Q2">[6]Assumptions!#REF!</definedName>
    <definedName name="CostCatalyst_2Q3">[6]Assumptions!#REF!</definedName>
    <definedName name="CostCatalyst_2Q4">[6]Assumptions!#REF!</definedName>
    <definedName name="CostCatalyst_3Q1">[6]Assumptions!#REF!</definedName>
    <definedName name="CostCatalyst_3Q2">[6]Assumptions!#REF!</definedName>
    <definedName name="CostCatalyst_3Q3">[6]Assumptions!#REF!</definedName>
    <definedName name="CostCatalyst_3Q4">[6]Assumptions!#REF!</definedName>
    <definedName name="CostCatalyst_4">[6]Assumptions!#REF!</definedName>
    <definedName name="CostCatalyst_4q2">[6]Assumptions!#REF!</definedName>
    <definedName name="CostCatalyst_4q3">[6]Assumptions!#REF!</definedName>
    <definedName name="CostCatalyst_4q4">[6]Assumptions!#REF!</definedName>
    <definedName name="CostCatalyst_5">[6]Assumptions!$B$318</definedName>
    <definedName name="CostCatalyst_6">[6]Assumptions!$G$318</definedName>
    <definedName name="CostCatalyst_7">[6]Assumptions!$K$318</definedName>
    <definedName name="CostCatalyst_8">[6]Assumptions!$L$318</definedName>
    <definedName name="CostCatalyst_9">[6]Assumptions!$M$318</definedName>
    <definedName name="CostCornOil_1">[6]Assumptions!#REF!</definedName>
    <definedName name="CostCornOil_10">[6]Assumptions!$N$272</definedName>
    <definedName name="CostCornOil_2">[6]Assumptions!#REF!</definedName>
    <definedName name="CostCornOil_3">[6]Assumptions!#REF!</definedName>
    <definedName name="CostCornOil_3q2">[6]Assumptions!#REF!</definedName>
    <definedName name="CostCornOil_3q3">[6]Assumptions!#REF!</definedName>
    <definedName name="CostCornOil_3q4">[6]Assumptions!#REF!</definedName>
    <definedName name="CostCornOil_4">[6]Assumptions!#REF!</definedName>
    <definedName name="CostCornOil_4q2">[6]Assumptions!#REF!</definedName>
    <definedName name="CostCornOil_4q3">[6]Assumptions!#REF!</definedName>
    <definedName name="CostCornOil_4q4">[6]Assumptions!#REF!</definedName>
    <definedName name="CostCornOil_5">[6]Assumptions!$B$272</definedName>
    <definedName name="CostCornOil_6">[6]Assumptions!$G$272</definedName>
    <definedName name="CostCornOil_7">[6]Assumptions!$K$272</definedName>
    <definedName name="CostCornOil_8">[6]Assumptions!$L$272</definedName>
    <definedName name="CostCornOil_9">[6]Assumptions!$M$272</definedName>
    <definedName name="CostHydroChloricAcid_1">[6]Assumptions!#REF!</definedName>
    <definedName name="CostHydroChloricAcid_10">[6]Assumptions!$N$319</definedName>
    <definedName name="CostHydroChloricAcid_2">[6]Assumptions!#REF!</definedName>
    <definedName name="CostHydroChloricAcid_3">[6]Assumptions!#REF!</definedName>
    <definedName name="CostHydroChloricAcid_4">[6]Assumptions!#REF!</definedName>
    <definedName name="CostHydroChloricAcid_4q2">[6]Assumptions!#REF!</definedName>
    <definedName name="CostHydroChloricAcid_4q3">[6]Assumptions!#REF!</definedName>
    <definedName name="CostHydroChloricAcid_4q4">[6]Assumptions!#REF!</definedName>
    <definedName name="CostHydroChloricAcid_5">[6]Assumptions!$B$319</definedName>
    <definedName name="CostHydroChloricAcid_6">[6]Assumptions!$G$319</definedName>
    <definedName name="CostHydroChloricAcid_7">[6]Assumptions!$K$319</definedName>
    <definedName name="CostHydroChloricAcid_8">[6]Assumptions!$L$319</definedName>
    <definedName name="CostHydroChloricAcid_9">[6]Assumptions!$M$319</definedName>
    <definedName name="CostMethanol_1">[6]Assumptions!#REF!</definedName>
    <definedName name="CostMethanol_10">[6]Assumptions!$N$317</definedName>
    <definedName name="CostMethanol_1Q1">[6]Assumptions!#REF!</definedName>
    <definedName name="CostMethanol_1Q2">[6]Assumptions!#REF!</definedName>
    <definedName name="CostMethanol_1Q3">[6]Assumptions!#REF!</definedName>
    <definedName name="CostMethanol_1Q4">[6]Assumptions!#REF!</definedName>
    <definedName name="CostMethanol_2">[6]Assumptions!#REF!</definedName>
    <definedName name="CostMethanol_2Q1">[6]Assumptions!#REF!</definedName>
    <definedName name="CostMethanol_2Q2">[6]Assumptions!#REF!</definedName>
    <definedName name="CostMethanol_2Q3">[6]Assumptions!#REF!</definedName>
    <definedName name="CostMethanol_2Q4">[6]Assumptions!#REF!</definedName>
    <definedName name="CostMethanol_3Q1">[6]Assumptions!#REF!</definedName>
    <definedName name="CostMethanol_3Q2">[6]Assumptions!#REF!</definedName>
    <definedName name="CostMethanol_3Q3">[6]Assumptions!#REF!</definedName>
    <definedName name="CostMethanol_3Q4">[6]Assumptions!#REF!</definedName>
    <definedName name="CostMethanol_4">[6]Assumptions!#REF!</definedName>
    <definedName name="CostMethanol_4q2">[6]Assumptions!#REF!</definedName>
    <definedName name="CostMethanol_4q3">[6]Assumptions!#REF!</definedName>
    <definedName name="CostMethanol_4q4">[6]Assumptions!#REF!</definedName>
    <definedName name="CostMethanol_5">[6]Assumptions!$B$317</definedName>
    <definedName name="CostMethanol_6">[6]Assumptions!$G$317</definedName>
    <definedName name="CostMethanol_7">[6]Assumptions!$K$317</definedName>
    <definedName name="CostMethanol_8">[6]Assumptions!$L$317</definedName>
    <definedName name="CostMethanol_9">[6]Assumptions!$M$317</definedName>
    <definedName name="CostMethanol_Y1Q4">[6]Assumptions!#REF!</definedName>
    <definedName name="CostSoyoil_10">[6]Assumptions!$N$265</definedName>
    <definedName name="CostSoyoil_4">[6]Assumptions!#REF!</definedName>
    <definedName name="CostSoyoil_5">[6]Assumptions!$B$265</definedName>
    <definedName name="CostSoyoil_6">[6]Assumptions!$G$265</definedName>
    <definedName name="CostSoyoil_7">[6]Assumptions!$K$265</definedName>
    <definedName name="CostSoyoil_8">[6]Assumptions!$L$265</definedName>
    <definedName name="CostSoyoil_9">[6]Assumptions!$M$265</definedName>
    <definedName name="CostSoyoil_y1q1">[6]Assumptions!#REF!</definedName>
    <definedName name="CostSoyoil_y1q2">[6]Assumptions!#REF!</definedName>
    <definedName name="CostSoyoil_y1q3">[6]Assumptions!#REF!</definedName>
    <definedName name="CostSoyoil_y1q4">[6]Assumptions!#REF!</definedName>
    <definedName name="CostSoyoil_y2q1">[6]Assumptions!#REF!</definedName>
    <definedName name="CostSoyoil_y2q2">[6]Assumptions!#REF!</definedName>
    <definedName name="CostSoyoil_y2q3">[6]Assumptions!#REF!</definedName>
    <definedName name="CostSoyoil_y2q4">[6]Assumptions!#REF!</definedName>
    <definedName name="CostSoyoil_y3q1">[6]Assumptions!#REF!</definedName>
    <definedName name="CostSoyoil_y3q2">[6]Assumptions!#REF!</definedName>
    <definedName name="CostSoyoil_y3q3">[6]Assumptions!#REF!</definedName>
    <definedName name="CostSoyoil_y3q4">[6]Assumptions!#REF!</definedName>
    <definedName name="CostSoyoil_y4q1">[6]Assumptions!#REF!</definedName>
    <definedName name="CostSoyoil_y4q2">[6]Assumptions!#REF!</definedName>
    <definedName name="CostSoyoil_y4q3">[6]Assumptions!#REF!</definedName>
    <definedName name="CostSoyoil_y4q4">[6]Assumptions!#REF!</definedName>
    <definedName name="CostUCOOil_1">[6]Assumptions!#REF!</definedName>
    <definedName name="CostUCOOil_10">[6]Assumptions!$N$271</definedName>
    <definedName name="CostUCOOil_2">[6]Assumptions!#REF!</definedName>
    <definedName name="CostUCOOil_3">[6]Assumptions!#REF!</definedName>
    <definedName name="CostUCOOil_3q2">[6]Assumptions!#REF!</definedName>
    <definedName name="CostUCOOil_3q3">[6]Assumptions!#REF!</definedName>
    <definedName name="CostUCOOil_3q4">[6]Assumptions!#REF!</definedName>
    <definedName name="CostUCOOil_4">[6]Assumptions!#REF!</definedName>
    <definedName name="CostUCOOil_4q2">[6]Assumptions!#REF!</definedName>
    <definedName name="CostUCOOil_4q3">[6]Assumptions!#REF!</definedName>
    <definedName name="CostUCOOil_4q4">[6]Assumptions!#REF!</definedName>
    <definedName name="CostUCOOil_5">[6]Assumptions!$B$271</definedName>
    <definedName name="CostUCOOil_6">[6]Assumptions!$G$271</definedName>
    <definedName name="CostUCOOil_7">[6]Assumptions!$K$271</definedName>
    <definedName name="CostUCOOil_8">[6]Assumptions!$L$271</definedName>
    <definedName name="CostUCOOil_9">[6]Assumptions!$M$271</definedName>
    <definedName name="CPI">[8]Assumptions!$B$5</definedName>
    <definedName name="Crude_Fat_Glycerin_Purchase_Price">[6]Assumptions!$B$742</definedName>
    <definedName name="Crude_Veg_Glycerin_Purchase_Price">[6]Assumptions!$B$741</definedName>
    <definedName name="CWGFFA">[6]Assumptions!$G$40</definedName>
    <definedName name="d" localSheetId="17">OFFSET([11]!Data.Top.Left,1,0)</definedName>
    <definedName name="d" localSheetId="9">OFFSET([11]!Data.Top.Left,1,0)</definedName>
    <definedName name="d" localSheetId="8">OFFSET([11]!Data.Top.Left,1,0)</definedName>
    <definedName name="d" localSheetId="3">OFFSET([11]!Data.Top.Left,1,0)</definedName>
    <definedName name="d" localSheetId="4">OFFSET([11]!Data.Top.Left,1,0)</definedName>
    <definedName name="d" localSheetId="1">OFFSET([11]!Data.Top.Left,1,0)</definedName>
    <definedName name="d" localSheetId="6">OFFSET([11]!Data.Top.Left,1,0)</definedName>
    <definedName name="d" localSheetId="5">OFFSET([11]!Data.Top.Left,1,0)</definedName>
    <definedName name="d" localSheetId="12">OFFSET([11]!Data.Top.Left,1,0)</definedName>
    <definedName name="d" localSheetId="11">OFFSET([11]!Data.Top.Left,1,0)</definedName>
    <definedName name="d" localSheetId="10">OFFSET([11]!Data.Top.Left,1,0)</definedName>
    <definedName name="d">OFFSET([11]!Data.Top.Left,1,0)</definedName>
    <definedName name="Danville">[12]Assumptions!$J$654</definedName>
    <definedName name="Danville_acquired">[6]Assumptions!#REF!</definedName>
    <definedName name="Danville_dealcash1">[6]Assumptions!#REF!</definedName>
    <definedName name="Danville_dealcash1date">[6]Assumptions!#REF!</definedName>
    <definedName name="Danville_dealcash2">[6]Assumptions!#REF!</definedName>
    <definedName name="Danville_dealcash2date">[6]Assumptions!#REF!</definedName>
    <definedName name="Danville_dealcash3">[6]Assumptions!#REF!</definedName>
    <definedName name="Danville_dealcash3date">[6]Assumptions!#REF!</definedName>
    <definedName name="Danville_dealcash4">[6]Assumptions!#REF!</definedName>
    <definedName name="Danville_dealcash4date">[6]Assumptions!#REF!</definedName>
    <definedName name="Danville_dealcosts">[6]Assumptions!#REF!</definedName>
    <definedName name="Danville_dealdate">[6]Assumptions!#REF!</definedName>
    <definedName name="Danville_dealdebt">[6]Assumptions!#REF!</definedName>
    <definedName name="Danville_dealdebtrate">[6]Assumptions!#REF!</definedName>
    <definedName name="Danville_dealdebtyears">[6]Assumptions!#REF!</definedName>
    <definedName name="Danville_dealgoodwill">[6]Assumptions!#REF!</definedName>
    <definedName name="Danville_dealintangible">[6]Assumptions!#REF!</definedName>
    <definedName name="Danville_dealintangibleyears">[6]Assumptions!#REF!</definedName>
    <definedName name="Danville_dealpayable">[6]Assumptions!#REF!</definedName>
    <definedName name="Danville_dealpaybleirate">[6]Assumptions!#REF!</definedName>
    <definedName name="Danville_dealPPE">[6]Assumptions!#REF!</definedName>
    <definedName name="Danville_dealstock">[6]Assumptions!#REF!</definedName>
    <definedName name="Danville_debtissued">[6]Assumptions!#REF!</definedName>
    <definedName name="Danville_debtissuerate">[6]Assumptions!#REF!</definedName>
    <definedName name="Danville_debtissueyears">[6]Assumptions!#REF!</definedName>
    <definedName name="Danville_debtpmt">[6]Assumptions!#REF!</definedName>
    <definedName name="Danville_debtpmtdate">[6]Assumptions!#REF!</definedName>
    <definedName name="Danville_Index_iPercent_Feedstock_soyoil">[6]Assumptions!#REF!</definedName>
    <definedName name="Danville_index_utilization">[6]Assumptions!#REF!</definedName>
    <definedName name="Danville_newga">[6]Assumptions!#REF!</definedName>
    <definedName name="Danville_Percent_Ownership">[6]Assumptions!#REF!</definedName>
    <definedName name="Danville_Time">[6]Assumptions!$J$649</definedName>
    <definedName name="Danville_utilization">[6]Assumptions!#REF!</definedName>
    <definedName name="DATA_01">#REF!</definedName>
    <definedName name="DATA_02">#REF!</definedName>
    <definedName name="Data_Tables">#REF!</definedName>
    <definedName name="Data.Dump" localSheetId="21">OFFSET([11]!Data.Top.Left,1,0)</definedName>
    <definedName name="Data.Dump" localSheetId="24">OFFSET([11]!Data.Top.Left,1,0)</definedName>
    <definedName name="Data.Dump" localSheetId="22">OFFSET([11]!Data.Top.Left,1,0)</definedName>
    <definedName name="Data.Dump" localSheetId="25">OFFSET([11]!Data.Top.Left,1,0)</definedName>
    <definedName name="Data.Dump" localSheetId="17">OFFSET([11]!Data.Top.Left,1,0)</definedName>
    <definedName name="Data.Dump" localSheetId="9">OFFSET([11]!Data.Top.Left,1,0)</definedName>
    <definedName name="Data.Dump" localSheetId="8">OFFSET([11]!Data.Top.Left,1,0)</definedName>
    <definedName name="Data.Dump" localSheetId="3">OFFSET([11]!Data.Top.Left,1,0)</definedName>
    <definedName name="Data.Dump" localSheetId="4">OFFSET([11]!Data.Top.Left,1,0)</definedName>
    <definedName name="Data.Dump" localSheetId="1">OFFSET([11]!Data.Top.Left,1,0)</definedName>
    <definedName name="Data.Dump" localSheetId="6">OFFSET([11]!Data.Top.Left,1,0)</definedName>
    <definedName name="Data.Dump" localSheetId="5">OFFSET([11]!Data.Top.Left,1,0)</definedName>
    <definedName name="Data.Dump" localSheetId="12">OFFSET([11]!Data.Top.Left,1,0)</definedName>
    <definedName name="Data.Dump" localSheetId="11">OFFSET([11]!Data.Top.Left,1,0)</definedName>
    <definedName name="Data.Dump" localSheetId="16">OFFSET([11]!Data.Top.Left,1,0)</definedName>
    <definedName name="Data.Dump" localSheetId="10">OFFSET([11]!Data.Top.Left,1,0)</definedName>
    <definedName name="Data.Dump" localSheetId="19">OFFSET([11]!Data.Top.Left,1,0)</definedName>
    <definedName name="Data.Dump" localSheetId="27">OFFSET([11]!Data.Top.Left,1,0)</definedName>
    <definedName name="Data.Dump" localSheetId="26">OFFSET([11]!Data.Top.Left,1,0)</definedName>
    <definedName name="Data.Dump">OFFSET([11]!Data.Top.Left,1,0)</definedName>
    <definedName name="days_in_year">[13]Inputs!$D$7</definedName>
    <definedName name="DCF_Control_Panel">#REF!</definedName>
    <definedName name="ddddddddddddddddd">{0;5;10;5;10;13;13;13;8;5;5;10;14;13;13;13;13;5;10;14;13;5;10;1;2;24}</definedName>
    <definedName name="DEBT">#REF!</definedName>
    <definedName name="del">{"Page1",#N/A,FALSE,"7979";"Page2",#N/A,FALSE,"7979";"Page3",#N/A,FALSE,"7979"}</definedName>
    <definedName name="delete">{"summary",#N/A,FALSE,"PCR DIRECTORY"}</definedName>
    <definedName name="delta">#REF!</definedName>
    <definedName name="DEPREC">#REF!</definedName>
    <definedName name="Detail_Template_Total">#REF!</definedName>
    <definedName name="DIsclo">#REF!</definedName>
    <definedName name="Discount_rate">[9]Inputs!$D$10</definedName>
    <definedName name="E_AM_1">INDIRECT(""&amp;#REF!&amp;"!"&amp;#REF!&amp;":"&amp;#REF!)</definedName>
    <definedName name="E_AM_2">INDIRECT(""&amp;#REF!&amp;"!"&amp;#REF!&amp;":"&amp;#REF!)</definedName>
    <definedName name="E_AM_3">INDIRECT(""&amp;#REF!&amp;"!"&amp;#REF!&amp;":"&amp;#REF!)</definedName>
    <definedName name="E_AM_4">INDIRECT(""&amp;#REF!&amp;"!"&amp;#REF!&amp;":"&amp;#REF!)</definedName>
    <definedName name="E_AM_5">INDIRECT(""&amp;#REF!&amp;"!"&amp;#REF!&amp;":"&amp;#REF!)</definedName>
    <definedName name="E_AM_6">INDIRECT(""&amp;#REF!&amp;"!"&amp;#REF!&amp;":"&amp;#REF!)</definedName>
    <definedName name="E_AM_7">INDIRECT(""&amp;#REF!&amp;"!"&amp;#REF!&amp;":"&amp;#REF!)</definedName>
    <definedName name="E_AM_8">INDIRECT(""&amp;#REF!&amp;"!"&amp;#REF!&amp;":"&amp;#REF!)</definedName>
    <definedName name="E_AM_9">INDIRECT(""&amp;#REF!&amp;"!"&amp;#REF!&amp;":"&amp;#REF!)</definedName>
    <definedName name="E_Insurance_1">INDIRECT(""&amp;#REF!&amp;"!"&amp;#REF!&amp;":"&amp;#REF!)</definedName>
    <definedName name="E_Insurance_2">INDIRECT(""&amp;#REF!&amp;"!"&amp;#REF!&amp;":"&amp;#REF!)</definedName>
    <definedName name="E_Insurance_3">INDIRECT(""&amp;#REF!&amp;"!"&amp;#REF!&amp;":"&amp;#REF!)</definedName>
    <definedName name="E_Insurance_4">INDIRECT(""&amp;#REF!&amp;"!"&amp;#REF!&amp;":"&amp;#REF!)</definedName>
    <definedName name="E_Insurance_5">INDIRECT(""&amp;#REF!&amp;"!"&amp;#REF!&amp;":"&amp;#REF!)</definedName>
    <definedName name="E_Insurance_6">INDIRECT(""&amp;#REF!&amp;"!"&amp;#REF!&amp;":"&amp;#REF!)</definedName>
    <definedName name="E_Insurance_7">INDIRECT(""&amp;#REF!&amp;"!"&amp;#REF!&amp;":"&amp;#REF!)</definedName>
    <definedName name="E_Insurance_8">INDIRECT(""&amp;#REF!&amp;"!"&amp;#REF!&amp;":"&amp;#REF!)</definedName>
    <definedName name="E_Insurance_9">INDIRECT(""&amp;#REF!&amp;"!"&amp;#REF!&amp;":"&amp;#REF!)</definedName>
    <definedName name="E_Inverter_1">INDIRECT(""&amp;#REF!&amp;"!"&amp;#REF!&amp;":"&amp;#REF!)</definedName>
    <definedName name="E_Inverter_2">INDIRECT(""&amp;#REF!&amp;"!"&amp;#REF!&amp;":"&amp;#REF!)</definedName>
    <definedName name="E_Inverter_3">INDIRECT(""&amp;#REF!&amp;"!"&amp;#REF!&amp;":"&amp;#REF!)</definedName>
    <definedName name="E_Inverter_4">INDIRECT(""&amp;#REF!&amp;"!"&amp;#REF!&amp;":"&amp;#REF!)</definedName>
    <definedName name="E_Inverter_5">INDIRECT(""&amp;#REF!&amp;"!"&amp;#REF!&amp;":"&amp;#REF!)</definedName>
    <definedName name="E_Inverter_6">INDIRECT(""&amp;#REF!&amp;"!"&amp;#REF!&amp;":"&amp;#REF!)</definedName>
    <definedName name="E_Inverter_7">INDIRECT(""&amp;#REF!&amp;"!"&amp;#REF!&amp;":"&amp;#REF!)</definedName>
    <definedName name="E_Inverter_8">INDIRECT(""&amp;#REF!&amp;"!"&amp;#REF!&amp;":"&amp;#REF!)</definedName>
    <definedName name="E_Inverter_9">INDIRECT(""&amp;#REF!&amp;"!"&amp;#REF!&amp;":"&amp;#REF!)</definedName>
    <definedName name="E_Lease_1">INDIRECT(""&amp;#REF!&amp;"!"&amp;#REF!&amp;":"&amp;#REF!)</definedName>
    <definedName name="E_Lease_2">INDIRECT(""&amp;#REF!&amp;"!"&amp;#REF!&amp;":"&amp;#REF!)</definedName>
    <definedName name="E_Lease_3">INDIRECT(""&amp;#REF!&amp;"!"&amp;#REF!&amp;":"&amp;#REF!)</definedName>
    <definedName name="E_Lease_4">INDIRECT(""&amp;#REF!&amp;"!"&amp;#REF!&amp;":"&amp;#REF!)</definedName>
    <definedName name="E_Lease_5">INDIRECT(""&amp;#REF!&amp;"!"&amp;#REF!&amp;":"&amp;#REF!)</definedName>
    <definedName name="E_Lease_6">INDIRECT(""&amp;#REF!&amp;"!"&amp;#REF!&amp;":"&amp;#REF!)</definedName>
    <definedName name="E_Lease_7">INDIRECT(""&amp;#REF!&amp;"!"&amp;#REF!&amp;":"&amp;#REF!)</definedName>
    <definedName name="E_Lease_8">INDIRECT(""&amp;#REF!&amp;"!"&amp;#REF!&amp;":"&amp;#REF!)</definedName>
    <definedName name="E_Lease_9">INDIRECT(""&amp;#REF!&amp;"!"&amp;#REF!&amp;":"&amp;#REF!)</definedName>
    <definedName name="E_MULT">#REF!</definedName>
    <definedName name="E_OM_1">INDIRECT(""&amp;#REF!&amp;"!"&amp;#REF!&amp;":"&amp;#REF!)</definedName>
    <definedName name="E_OM_2">INDIRECT(""&amp;#REF!&amp;"!"&amp;#REF!&amp;":"&amp;#REF!)</definedName>
    <definedName name="E_OM_3">INDIRECT(""&amp;#REF!&amp;"!"&amp;#REF!&amp;":"&amp;#REF!)</definedName>
    <definedName name="E_OM_4">INDIRECT(""&amp;#REF!&amp;"!"&amp;#REF!&amp;":"&amp;#REF!)</definedName>
    <definedName name="E_OM_5">INDIRECT(""&amp;#REF!&amp;"!"&amp;#REF!&amp;":"&amp;#REF!)</definedName>
    <definedName name="E_OM_6">INDIRECT(""&amp;#REF!&amp;"!"&amp;#REF!&amp;":"&amp;#REF!)</definedName>
    <definedName name="E_OM_7">INDIRECT(""&amp;#REF!&amp;"!"&amp;#REF!&amp;":"&amp;#REF!)</definedName>
    <definedName name="E_OM_8">INDIRECT(""&amp;#REF!&amp;"!"&amp;#REF!&amp;":"&amp;#REF!)</definedName>
    <definedName name="E_OM_9">INDIRECT(""&amp;#REF!&amp;"!"&amp;#REF!&amp;":"&amp;#REF!)</definedName>
    <definedName name="E_PropTax_1">INDIRECT(""&amp;#REF!&amp;"!"&amp;#REF!&amp;":"&amp;#REF!)</definedName>
    <definedName name="E_PropTax_2">INDIRECT(""&amp;#REF!&amp;"!"&amp;#REF!&amp;":"&amp;#REF!)</definedName>
    <definedName name="E_PropTax_3">INDIRECT(""&amp;#REF!&amp;"!"&amp;#REF!&amp;":"&amp;#REF!)</definedName>
    <definedName name="E_PropTax_4">INDIRECT(""&amp;#REF!&amp;"!"&amp;#REF!&amp;":"&amp;#REF!)</definedName>
    <definedName name="E_PropTax_5">INDIRECT(""&amp;#REF!&amp;"!"&amp;#REF!&amp;":"&amp;#REF!)</definedName>
    <definedName name="E_PropTax_6">INDIRECT(""&amp;#REF!&amp;"!"&amp;#REF!&amp;":"&amp;#REF!)</definedName>
    <definedName name="E_PropTax_7">INDIRECT(""&amp;#REF!&amp;"!"&amp;#REF!&amp;":"&amp;#REF!)</definedName>
    <definedName name="E_PropTax_8">INDIRECT(""&amp;#REF!&amp;"!"&amp;#REF!&amp;":"&amp;#REF!)</definedName>
    <definedName name="E_PropTax_9">INDIRECT(""&amp;#REF!&amp;"!"&amp;#REF!&amp;":"&amp;#REF!)</definedName>
    <definedName name="End">[14]MKT_INPUT_IS!#REF!</definedName>
    <definedName name="Eng_Equipment_Total">#REF!</definedName>
    <definedName name="Eng_Hrs">#REF!</definedName>
    <definedName name="Eng_Labor_Total">#REF!</definedName>
    <definedName name="Eng_Material_Total">#REF!</definedName>
    <definedName name="Eng_Sub_Total">#REF!</definedName>
    <definedName name="Eng_Total">#REF!</definedName>
    <definedName name="Equipment_Equipment">#REF!</definedName>
    <definedName name="Equipment_Hrs">#REF!</definedName>
    <definedName name="Equipment_Labor">#REF!</definedName>
    <definedName name="Equipment_Material">#REF!</definedName>
    <definedName name="Equipment_Sub">#REF!</definedName>
    <definedName name="Equipment_Total">#REF!</definedName>
    <definedName name="EQUITY">'[7]D. RATE'!$D$31</definedName>
    <definedName name="ERP">'[7]D. RATE'!$D$15</definedName>
    <definedName name="ESOP_Tax_Shield">#REF!</definedName>
    <definedName name="EV__LASTREFTIME__">40044.4892476852</definedName>
    <definedName name="EV_MULT">#REF!</definedName>
    <definedName name="f_tax_rate">[6]Assumptions!$G$13</definedName>
    <definedName name="FCF_Build_Up">#REF!</definedName>
    <definedName name="Feedstock_sensitivity">#REF!+1</definedName>
    <definedName name="FFA.BFT">[8]Assumptions!$B$33</definedName>
    <definedName name="FFA.CWG">[8]Assumptions!$B$31</definedName>
    <definedName name="FFA.ICO">[8]Assumptions!$B$35</definedName>
    <definedName name="FFA.PF">[8]Assumptions!$B$34</definedName>
    <definedName name="FFA.PFAD">[8]Assumptions!$B$37</definedName>
    <definedName name="FFA.Soy">[8]Assumptions!$B$29</definedName>
    <definedName name="FFA.TT">[8]Assumptions!$B$30</definedName>
    <definedName name="FFA.UCO">[8]Assumptions!$B$36</definedName>
    <definedName name="FFA.YG">[8]Assumptions!$B$32</definedName>
    <definedName name="FFARec.AlbertLea">[8]Assumptions!$G$14</definedName>
    <definedName name="FFARec.Danville">[8]Assumptions!$G$12</definedName>
    <definedName name="FFARec.Houston">[8]Assumptions!$G$11</definedName>
    <definedName name="FFARec.IRE">[8]Assumptions!$G$29</definedName>
    <definedName name="FFARec.MasonCity">[8]Assumptions!$G$16</definedName>
    <definedName name="FFARec.NewBoston">[8]Assumptions!$G$15</definedName>
    <definedName name="FFARec.Newton">[8]Assumptions!$G$10</definedName>
    <definedName name="Fibre_Yield">#REF!</definedName>
    <definedName name="First_Redemption_Balance">'[7]FEAS-ASSUMP'!$K$35</definedName>
    <definedName name="First_Seller_Balance">'[7]FEAS-ASSUMP'!$K$34</definedName>
    <definedName name="First_Seller_Rate">'[7]FEAS-ASSUMP'!$G$34</definedName>
    <definedName name="First_Seller_Term">'[7]FEAS-ASSUMP'!$I$34</definedName>
    <definedName name="First_Senior_Balance">'[7]FEAS-ASSUMP'!$K$33</definedName>
    <definedName name="First_Senior_Rate">'[7]FEAS-ASSUMP'!$G$33</definedName>
    <definedName name="First_Senior_Term">'[7]FEAS-ASSUMP'!$I$33</definedName>
    <definedName name="Fixed_Asset_Ratio">#REF!</definedName>
    <definedName name="fksajf">{#N/A,#N/A,FALSE,"SCHEDULE A";"MINIMUM RENT",#N/A,FALSE,"SCHEDULES B &amp; C";"PERCENTAGE RENT",#N/A,FALSE,"SCHEDULES B &amp; C"}</definedName>
    <definedName name="GCs_Equipment_Total">#REF!</definedName>
    <definedName name="GCs_Hrs">#REF!</definedName>
    <definedName name="GCs_Labor_Total">#REF!</definedName>
    <definedName name="GCs_Material_Total">#REF!</definedName>
    <definedName name="GCs_Sub_Total">#REF!</definedName>
    <definedName name="GCs_Total">#REF!</definedName>
    <definedName name="Generation_1">INDIRECT(""&amp;#REF!&amp;"!"&amp;#REF!&amp;":"&amp;#REF!)</definedName>
    <definedName name="Generation_2">INDIRECT(""&amp;#REF!&amp;"!"&amp;#REF!&amp;":"&amp;#REF!)</definedName>
    <definedName name="Generation_3">INDIRECT(""&amp;#REF!&amp;"!"&amp;#REF!&amp;":"&amp;#REF!)</definedName>
    <definedName name="Generation_4">INDIRECT(""&amp;#REF!&amp;"!"&amp;#REF!&amp;":"&amp;#REF!)</definedName>
    <definedName name="Generation_5">INDIRECT(""&amp;#REF!&amp;"!"&amp;#REF!&amp;":"&amp;#REF!)</definedName>
    <definedName name="Generation_6">INDIRECT(""&amp;#REF!&amp;"!"&amp;#REF!&amp;":"&amp;#REF!)</definedName>
    <definedName name="Generation_7">INDIRECT(""&amp;#REF!&amp;"!"&amp;#REF!&amp;":"&amp;#REF!)</definedName>
    <definedName name="Generation_8">INDIRECT(""&amp;#REF!&amp;"!"&amp;#REF!&amp;":"&amp;#REF!)</definedName>
    <definedName name="Generation_9">INDIRECT(""&amp;#REF!&amp;"!"&amp;#REF!&amp;":"&amp;#REF!)</definedName>
    <definedName name="Glycerin1_Capacity">[6]Assumptions!$B$777</definedName>
    <definedName name="Glycerin1_ConstructionTime">[6]Assumptions!$B$776</definedName>
    <definedName name="Glycerin1_Incremental_CrudeFatGlycerin_Cost">[6]Assumptions!$B$783</definedName>
    <definedName name="Glycerin1_Incremental_CrudeVegGlycerin_Cost">[6]Assumptions!$B$782</definedName>
    <definedName name="Glycerin1_Incremental_Sales_Cost">[6]Assumptions!$B$784</definedName>
    <definedName name="Glycerin1_Index_Incremental_Operating_Costs">[6]Assumptions!#REF!</definedName>
    <definedName name="Glycerin1_Index_Utilization">[6]Assumptions!#REF!</definedName>
    <definedName name="Glycerin1_Location">[6]Assumptions!$B$775</definedName>
    <definedName name="Glycerin2_Capacity">[6]Assumptions!$C$777</definedName>
    <definedName name="Glycerin2_ConstructionTime">[6]Assumptions!$C$776</definedName>
    <definedName name="Glycerin2_Incremental_CrudeFatGlycerin_Cost">[6]Assumptions!$C$783</definedName>
    <definedName name="Glycerin2_Incremental_CrudeVegGlycerin_Cost">[6]Assumptions!$C$782</definedName>
    <definedName name="Glycerin2_Incremental_Sales_Cost">[6]Assumptions!$C$784</definedName>
    <definedName name="Glycerin2_Index_IncrementalOperating_Costs">[6]Assumptions!#REF!</definedName>
    <definedName name="Glycerin2_Index_IncrementalOperatingCosts">[6]Assumptions!#REF!</definedName>
    <definedName name="Glycerin2_Index_Utilization">[6]Assumptions!#REF!</definedName>
    <definedName name="Glycerin2_Location">[6]Assumptions!$C$775</definedName>
    <definedName name="GOD">{#N/A,#N/A,TRUE,"Facility-Input";#N/A,#N/A,TRUE,"Graphs";#N/A,#N/A,TRUE,"TOTAL"}</definedName>
    <definedName name="golly">{#N/A,#N/A,TRUE,"Facility-Input";#N/A,#N/A,TRUE,"Graphs";#N/A,#N/A,TRUE,"TOTAL"}</definedName>
    <definedName name="GOODBYE">{#N/A,#N/A,TRUE,"Facility-Input";#N/A,#N/A,TRUE,"Graphs";#N/A,#N/A,TRUE,"TOTAL"}</definedName>
    <definedName name="GPlant1_Index_Maintenance_Costs">[6]Assumptions!#REF!</definedName>
    <definedName name="GPlant2_Index_Maintenace_Costs">[6]Assumptions!#REF!</definedName>
    <definedName name="Growth">#REF!</definedName>
    <definedName name="Guaranteed">[13]Inputs!$D$637</definedName>
    <definedName name="hello">{#N/A,#N/A,TRUE,"Facility-Input";#N/A,#N/A,TRUE,"Graphs";#N/A,#N/A,TRUE,"TOTAL"}</definedName>
    <definedName name="HKJHLKJHLKJH">{0;0;0;0;0;0;0;0;0;0;0;0;0;0;0;0;0;0;"__ [0]____EWC 43.5MW8oMtresc 3_25_02v2w_esc";0;0;0;0;0;0;0}</definedName>
    <definedName name="HTML_CodePage">1252</definedName>
    <definedName name="HTML_Control">{"'Leverage'!$B$2:$M$418"}</definedName>
    <definedName name="HTML_Description">""</definedName>
    <definedName name="HTML_Email">""</definedName>
    <definedName name="HTML_Header">"Leverage"</definedName>
    <definedName name="HTML_LastUpdate">"8/21/00"</definedName>
    <definedName name="HTML_LineAfter">FALSE</definedName>
    <definedName name="HTML_LineBefore">FALSE</definedName>
    <definedName name="HTML_Name">"Frank Vickers"</definedName>
    <definedName name="HTML_OBDlg2">TRUE</definedName>
    <definedName name="HTML_OBDlg4">TRUE</definedName>
    <definedName name="HTML_OS">0</definedName>
    <definedName name="HTML_PathFile">"C:\my documents\lever.htm"</definedName>
    <definedName name="HTML_Title">"leverage"</definedName>
    <definedName name="IDC_Copy">#REF!</definedName>
    <definedName name="IDC_Delta">#REF!</definedName>
    <definedName name="IDC_Paste">#REF!</definedName>
    <definedName name="Index_Cost_ProvideFFS_30">'[6]Corporate G&amp;A'!$C$18:$H$18</definedName>
    <definedName name="Index_Cost_ProvideFFS_60">'[6]Corporate G&amp;A'!$C$19:$H$19</definedName>
    <definedName name="Index_FeeforService_Rampup">[6]Assumptions!#REF!</definedName>
    <definedName name="Index_iPercent_Feedstock_CrudeGlycerin_Glycerin1">[6]Assumptions!#REF!</definedName>
    <definedName name="Index_iPercent_Feedstock_CrudeGlycerin_Glycerin2">[6]Assumptions!#REF!</definedName>
    <definedName name="Index_Total_Operating_Expenses_60GAL">'[6]Operating Costs'!#REF!</definedName>
    <definedName name="Index_UpfrontCosts_30">'[6]Upfront Costs'!$B$3:$G$20</definedName>
    <definedName name="Index_UpfrontCosts_60">'[6]Upfront Costs'!$B$47:$G$64</definedName>
    <definedName name="Index_UpfrontCosts_Glycerin1">'[6]Upfront Costs'!$B$90:$G$94</definedName>
    <definedName name="Inflation_rate">[15]Inputs!$B$11</definedName>
    <definedName name="IntroPrintArea">#REF!</definedName>
    <definedName name="Investment_REG1">[6]Assumptions!$E$802</definedName>
    <definedName name="Investment_REG1_Time">[6]Assumptions!$E$803</definedName>
    <definedName name="Investment_REG10">[6]Assumptions!$M$802</definedName>
    <definedName name="Investment_REG10_Time">[6]Assumptions!$M$803</definedName>
    <definedName name="Investment_REG11">[6]Assumptions!$O$802</definedName>
    <definedName name="Investment_REG11_Time">[6]Assumptions!$O$803</definedName>
    <definedName name="Investment_REG12">[6]Assumptions!$P$802</definedName>
    <definedName name="Investment_REG12_Time">[6]Assumptions!$P$803</definedName>
    <definedName name="Investment_REG2">[6]Assumptions!$K$802</definedName>
    <definedName name="Investment_REG2_Time">[6]Assumptions!$K$803</definedName>
    <definedName name="Investment_REG3">[6]Assumptions!$N$802</definedName>
    <definedName name="Investment_REG3_Time">[6]Assumptions!$N$803</definedName>
    <definedName name="Investment_REG4">[6]Assumptions!$L$802</definedName>
    <definedName name="Investment_REG4_Time">[6]Assumptions!$L$803</definedName>
    <definedName name="Investment_REG5">[6]Assumptions!$F$802</definedName>
    <definedName name="Investment_REG5_Time">[6]Assumptions!$F$803</definedName>
    <definedName name="Investment_REG6">[6]Assumptions!$G$802</definedName>
    <definedName name="Investment_REG6_Time">[6]Assumptions!$G$803</definedName>
    <definedName name="Investment_REG7">[6]Assumptions!$H$802</definedName>
    <definedName name="Investment_REG7_Time">[6]Assumptions!$H$803</definedName>
    <definedName name="Investment_REG8">[6]Assumptions!$I$802</definedName>
    <definedName name="Investment_REG8_Time">[6]Assumptions!$I$803</definedName>
    <definedName name="Investment_REG9">[6]Assumptions!$J$802</definedName>
    <definedName name="Investment_REG9_Time">[6]Assumptions!$J$803</definedName>
    <definedName name="Investment_Soymor">[6]Assumptions!$B$802</definedName>
    <definedName name="Investment_Soymor_Time">[6]Assumptions!$B$803</definedName>
    <definedName name="Investment_Soymor2">[6]Assumptions!$B$804</definedName>
    <definedName name="Investment_Soymor2_Time">[6]Assumptions!$B$805</definedName>
    <definedName name="Investment_WIE">[6]Assumptions!$C$802</definedName>
    <definedName name="Investment_WIE_Time">[6]Assumptions!$C$803</definedName>
    <definedName name="iPoun_CO_Gallon">[6]Assumptions!$G$29</definedName>
    <definedName name="iPounds_AnimalFat_Gallon">[6]Assumptions!$G$24</definedName>
    <definedName name="iPounds_BFT_Gallon">[6]Assumptions!$G$27</definedName>
    <definedName name="iPounds_cwg_Gallon">[6]Assumptions!$G$25</definedName>
    <definedName name="iPounds_FA_Gallon">[6]Assumptions!$G$31</definedName>
    <definedName name="iPounds_PF_Gallons">[6]Assumptions!$G$28</definedName>
    <definedName name="iPounds_SoyOil_Gallon">[6]Assumptions!$G$23</definedName>
    <definedName name="iPounds_SoyOil_GallonDanville">#REF!</definedName>
    <definedName name="iPounds_UCO_Gallon">[6]Assumptions!$G$30</definedName>
    <definedName name="iPounds_YG_Gallon">[6]Assumptions!$G$26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TIONS">"c2837"</definedName>
    <definedName name="IQ_AIR_ORDERS">"c2836"</definedName>
    <definedName name="IQ_AIR_OWNED">"c2832"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HELD_FDIC">"c6305"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BV_SHARE_ACT_OR_EST">"c3587"</definedName>
    <definedName name="IQ_BV_SHARE_EST">"c3541"</definedName>
    <definedName name="IQ_BV_SHARE_HIGH_EST">"c3542"</definedName>
    <definedName name="IQ_BV_SHARE_LOW_EST">"c3543"</definedName>
    <definedName name="IQ_BV_SHARE_MEDIAN_EST">"c3544"</definedName>
    <definedName name="IQ_BV_SHARE_NUM_EST">"c3539"</definedName>
    <definedName name="IQ_BV_SHARE_STDDEV_EST">"c3540"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Y">"c102"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ACT_OR_EST">"c3584"</definedName>
    <definedName name="IQ_CAPEX_BNK">"c110"</definedName>
    <definedName name="IQ_CAPEX_BR">"c111"</definedName>
    <definedName name="IQ_CAPEX_EST">"c3523"</definedName>
    <definedName name="IQ_CAPEX_FIN">"c112"</definedName>
    <definedName name="IQ_CAPEX_HIGH_EST">"c3524"</definedName>
    <definedName name="IQ_CAPEX_INS">"c113"</definedName>
    <definedName name="IQ_CAPEX_LOW_EST">"c3525"</definedName>
    <definedName name="IQ_CAPEX_MEDIAN_EST">"c3526"</definedName>
    <definedName name="IQ_CAPEX_NUM_EST">"c3521"</definedName>
    <definedName name="IQ_CAPEX_STDDEV_EST">"c3522"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IN_PROCESS_FDIC">"c6386"</definedName>
    <definedName name="IQ_CASH_INTEREST">"c120"</definedName>
    <definedName name="IQ_CASH_INVEST">"c121"</definedName>
    <definedName name="IQ_CASH_OPER">"c122"</definedName>
    <definedName name="IQ_CASH_OPER_ACT_OR_EST">"c4164"</definedName>
    <definedName name="IQ_CASH_OPER_EST">"c4163"</definedName>
    <definedName name="IQ_CASH_OPER_HIGH_EST">"c4166"</definedName>
    <definedName name="IQ_CASH_OPER_LOW_EST">"c4244"</definedName>
    <definedName name="IQ_CASH_OPER_MEDIAN_EST">"c4245"</definedName>
    <definedName name="IQ_CASH_OPER_NUM_EST">"c4246"</definedName>
    <definedName name="IQ_CASH_OPER_STDDEV_EST">"c4247"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CE_FDIC">"c6296"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NESE_SHORT_NATIVE_TICKER">"c27236"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ED">"c2681"</definedName>
    <definedName name="IQ_CLASSA_OPTIONS_GRANTED">"c2680"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LOANS">"c223"</definedName>
    <definedName name="IQ_CONTRACTS_OTHER_COMMODITIES_EQUITIES_FDIC">"c6522"</definedName>
    <definedName name="IQ_CONTRACTS_OTHER_COMMODITIES_EQUITIES.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BORROWING">"c2936"</definedName>
    <definedName name="IQ_COST_BORROWINGS">"c225"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P">"c2495"</definedName>
    <definedName name="IQ_CP_PCT">"c2496"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STRIBUTABLE_CASH">"c3002"</definedName>
    <definedName name="IQ_DISTRIBUTABLE_CASH_PAYOUT">"c3005"</definedName>
    <definedName name="IQ_DISTRIBUTABLE_CASH_SHARE">"c3003"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ARNINGS_COVERAGE_NET_CHARGE_OFFS_FDIC">"c6735"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ACT_OR_EST">"c2219"</definedName>
    <definedName name="IQ_EBIT_EQ_INC">"c3498"</definedName>
    <definedName name="IQ_EBIT_EQ_INC_EXCL_SBC">"c3502"</definedName>
    <definedName name="IQ_EBIT_EST">"c1681"</definedName>
    <definedName name="IQ_EBIT_EXCL_SBC">"c3082"</definedName>
    <definedName name="IQ_EBIT_HIGH_EST">"c1683"</definedName>
    <definedName name="IQ_EBIT_INT">"c360"</definedName>
    <definedName name="IQ_EBIT_LOW_EST">"c1684"</definedName>
    <definedName name="IQ_EBIT_MARGIN">"c359"</definedName>
    <definedName name="IQ_EBIT_MEDIAN_EST">"c1682"</definedName>
    <definedName name="IQ_EBIT_NUM_EST">"c1685"</definedName>
    <definedName name="IQ_EBIT_OVER_IE">"c1369"</definedName>
    <definedName name="IQ_EBIT_STDDEV_EST">"c1686"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ACT_OR_EST">"c2215"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XCL_SBC">"c3081"</definedName>
    <definedName name="IQ_EBITDA_HIGH_EST">"c370"</definedName>
    <definedName name="IQ_EBITDA_INT">"c373"</definedName>
    <definedName name="IQ_EBITDA_LOW_EST">"c371"</definedName>
    <definedName name="IQ_EBITDA_MARGIN">"c372"</definedName>
    <definedName name="IQ_EBITDA_MEDIAN_EST">"c1663"</definedName>
    <definedName name="IQ_EBITDA_NUM_EST">"c374"</definedName>
    <definedName name="IQ_EBITDA_OVER_TOTAL_IE">"c1371"</definedName>
    <definedName name="IQ_EBITDA_STDDEV_EST">"c375"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GW_ACT_OR_EST">"c2223"</definedName>
    <definedName name="IQ_EPS_GW_EST">"c1737"</definedName>
    <definedName name="IQ_EPS_GW_HIGH_EST">"c1739"</definedName>
    <definedName name="IQ_EPS_GW_LOW_EST">"c1740"</definedName>
    <definedName name="IQ_EPS_GW_MEDIAN_EST">"c1738"</definedName>
    <definedName name="IQ_EPS_GW_NUM_EST">"c1741"</definedName>
    <definedName name="IQ_EPS_GW_STDDEV_EST">"c1742"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ORM_EST">"c2226"</definedName>
    <definedName name="IQ_EPS_NORM_HIGH_EST">"c2228"</definedName>
    <definedName name="IQ_EPS_NORM_LOW_EST">"c2229"</definedName>
    <definedName name="IQ_EPS_NORM_MEDIAN_EST">"c2227"</definedName>
    <definedName name="IQ_EPS_NORM_NUM_EST">"c2230"</definedName>
    <definedName name="IQ_EPS_NORM_STDDEV_EST">"c2231"</definedName>
    <definedName name="IQ_EPS_NUM_EST">"c402"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ED_EST">"c1744"</definedName>
    <definedName name="IQ_EPS_REPORTED_HIGH_EST">"c1746"</definedName>
    <definedName name="IQ_EPS_REPORTED_LOW_EST">"c1747"</definedName>
    <definedName name="IQ_EPS_REPORTED_MEDIAN_EST">"c1745"</definedName>
    <definedName name="IQ_EPS_REPORTED_NUM_EST">"c1748"</definedName>
    <definedName name="IQ_EPS_REPORTED_STDDEV_EST">"c1749"</definedName>
    <definedName name="IQ_EPS_STDDEV_EST">"c403"</definedName>
    <definedName name="IQ_EQUITY_AFFIL">"c1451"</definedName>
    <definedName name="IQ_EQUITY_CAPITAL_ASSETS_FDIC">"c6744"</definedName>
    <definedName name="IQ_EQUITY_FDIC">"c6353"</definedName>
    <definedName name="IQ_EQUITY_METHOD">"c404"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BV_SHARE">"c3549"</definedName>
    <definedName name="IQ_EST_ACT_CAPEX">"c3546"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NORM">"c2232"</definedName>
    <definedName name="IQ_EST_ACT_EPS_PRIMARY">"c2232"</definedName>
    <definedName name="IQ_EST_ACT_EPS_REPORTED">"c1750"</definedName>
    <definedName name="IQ_EST_ACT_FFO">"c1666"</definedName>
    <definedName name="IQ_EST_ACT_FFO_SHARE_SHARE_THOM">"c4005"</definedName>
    <definedName name="IQ_EST_ACT_FFO_THOM">"c4005"</definedName>
    <definedName name="IQ_EST_ACT_NAV">"c1757"</definedName>
    <definedName name="IQ_EST_ACT_NET_DEBT">"c3545"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TURN_ASSETS">"c3547"</definedName>
    <definedName name="IQ_EST_ACT_RETURN_EQUITY">"c3548"</definedName>
    <definedName name="IQ_EST_ACT_REV">"c2113"</definedName>
    <definedName name="IQ_EST_CAPEX_GROWTH_1YR">"c3588"</definedName>
    <definedName name="IQ_EST_CAPEX_GROWTH_2YR">"c3589"</definedName>
    <definedName name="IQ_EST_CAPEX_GROWTH_Q_1YR">"c3590"</definedName>
    <definedName name="IQ_EST_CAPEX_SEQ_GROWTH_Q">"c3591"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DATE">"c1634"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>"c1636"</definedName>
    <definedName name="IQ_EST_EPS_GROWTH_2YR">"c1637"</definedName>
    <definedName name="IQ_EST_EPS_GROWTH_5YR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STDDEV">"c1660"</definedName>
    <definedName name="IQ_EST_EPS_GROWTH_Q_1YR">"c1641"</definedName>
    <definedName name="IQ_EST_EPS_GW_DIFF">"c1891"</definedName>
    <definedName name="IQ_EST_EPS_GW_SURPRISE_PERCENT">"c1892"</definedName>
    <definedName name="IQ_EST_EPS_NORM_DIFF">"c2247"</definedName>
    <definedName name="IQ_EST_EPS_NORM_SURPRISE_PERCENT">"c2248"</definedName>
    <definedName name="IQ_EST_EPS_REPORT_DIFF">"c1893"</definedName>
    <definedName name="IQ_EST_EPS_REPORT_SURPRISE_PERCENT">"c1894"</definedName>
    <definedName name="IQ_EST_EPS_SEQ_GROWTH_Q">"c1764"</definedName>
    <definedName name="IQ_EST_EPS_SURPRISE">"c1635"</definedName>
    <definedName name="IQ_EST_EPS_SURPRISE_PERCENT">"c1635"</definedName>
    <definedName name="IQ_EST_FFO_DIFF">"c1869"</definedName>
    <definedName name="IQ_EST_FFO_DIFF_THOM">"c5186"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HARE_SHARE_DIFF_THOM">"c5186"</definedName>
    <definedName name="IQ_EST_FFO_SHARE_SHARE_SURPRISE_PERCENT_THOM">"c5187"</definedName>
    <definedName name="IQ_EST_FFO_SURPRISE_PERCENT">"c1870"</definedName>
    <definedName name="IQ_EST_FFO_SURPRISE_PERCENT_THOM">"c5187"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BUY_CIQ">"c3700"</definedName>
    <definedName name="IQ_EST_NUM_BUY_REUT">"c3869"</definedName>
    <definedName name="IQ_EST_NUM_BUY_THOM">"c5165"</definedName>
    <definedName name="IQ_EST_NUM_HOLD">"c1761"</definedName>
    <definedName name="IQ_EST_NUM_HOLD_CIQ">"c3702"</definedName>
    <definedName name="IQ_EST_NUM_HOLD_REUT">"c3871"</definedName>
    <definedName name="IQ_EST_NUM_HOLD_THOM">"c5167"</definedName>
    <definedName name="IQ_EST_NUM_NO_OPINION">"c1758"</definedName>
    <definedName name="IQ_EST_NUM_OUTPERFORM">"c1760"</definedName>
    <definedName name="IQ_EST_NUM_OUTPERFORM_CIQ">"c3701"</definedName>
    <definedName name="IQ_EST_NUM_OUTPERFORM_REUT">"c3870"</definedName>
    <definedName name="IQ_EST_NUM_OUTPERFORM_THOM">"c5166"</definedName>
    <definedName name="IQ_EST_NUM_SELL">"c1763"</definedName>
    <definedName name="IQ_EST_NUM_SELL_CIQ">"c3704"</definedName>
    <definedName name="IQ_EST_NUM_SELL_REUT">"c3873"</definedName>
    <definedName name="IQ_EST_NUM_SELL_THOM">"c5169"</definedName>
    <definedName name="IQ_EST_NUM_UNDERPERFORM">"c1762"</definedName>
    <definedName name="IQ_EST_NUM_UNDERPERFORM_CIQ">"c3703"</definedName>
    <definedName name="IQ_EST_NUM_UNDERPERFORM_REUT">"c3872"</definedName>
    <definedName name="IQ_EST_NUM_UNDERPERFORM_THOM">"c5168"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>"ajsdasd"</definedName>
    <definedName name="IQ_EXPLORE_DRILL">"c409"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EST">"c418"</definedName>
    <definedName name="IQ_FFO_EST_DET_EST">"c12059"</definedName>
    <definedName name="IQ_FFO_EST_DET_EST_CURRENCY">"c12466"</definedName>
    <definedName name="IQ_FFO_EST_DET_EST_CURRENCY_THOM">"c12487"</definedName>
    <definedName name="IQ_FFO_EST_DET_EST_DATE">"c12212"</definedName>
    <definedName name="IQ_FFO_EST_DET_EST_DATE_THOM">"c12238"</definedName>
    <definedName name="IQ_FFO_EST_DET_EST_INCL">"c12349"</definedName>
    <definedName name="IQ_FFO_EST_DET_EST_INCL_THOM">"c12370"</definedName>
    <definedName name="IQ_FFO_EST_DET_EST_ORIGIN">"c12722"</definedName>
    <definedName name="IQ_FFO_EST_DET_EST_ORIGIN_THOM">"c12608"</definedName>
    <definedName name="IQ_FFO_EST_DET_EST_THOM">"c12088"</definedName>
    <definedName name="IQ_FFO_EST_THOM">"c3999"</definedName>
    <definedName name="IQ_FFO_HIGH_EST">"c419"</definedName>
    <definedName name="IQ_FFO_HIGH_EST_THOM">"c4001"</definedName>
    <definedName name="IQ_FFO_LOW_EST">"c420"</definedName>
    <definedName name="IQ_FFO_LOW_EST_THOM">"c4002"</definedName>
    <definedName name="IQ_FFO_MEDIAN_EST">"c1665"</definedName>
    <definedName name="IQ_FFO_MEDIAN_EST_THOM">"c4000"</definedName>
    <definedName name="IQ_FFO_NUM_EST">"c421"</definedName>
    <definedName name="IQ_FFO_NUM_EST_THOM">"c4003"</definedName>
    <definedName name="IQ_FFO_PAYOUT_RATIO">"c3492"</definedName>
    <definedName name="IQ_FFO_SHARE_SHARE_EST_DET_EST">"c12059"</definedName>
    <definedName name="IQ_FFO_SHARE_SHARE_EST_DET_EST_CURRENCY">"c12466"</definedName>
    <definedName name="IQ_FFO_SHARE_SHARE_EST_DET_EST_CURRENCY_THOM">"c12487"</definedName>
    <definedName name="IQ_FFO_SHARE_SHARE_EST_DET_EST_DATE">"c12212"</definedName>
    <definedName name="IQ_FFO_SHARE_SHARE_EST_DET_EST_DATE_THOM">"c12238"</definedName>
    <definedName name="IQ_FFO_SHARE_SHARE_EST_DET_EST_INCL">"c12349"</definedName>
    <definedName name="IQ_FFO_SHARE_SHARE_EST_DET_EST_INCL_THOM">"c12370"</definedName>
    <definedName name="IQ_FFO_SHARE_SHARE_EST_DET_EST_ORIGIN">"c12722"</definedName>
    <definedName name="IQ_FFO_SHARE_SHARE_EST_DET_EST_ORIGIN_THOM">"c12608"</definedName>
    <definedName name="IQ_FFO_SHARE_SHARE_EST_DET_EST_THOM">"c12088"</definedName>
    <definedName name="IQ_FFO_SHARE_SHARE_EST_THOM">"c3999"</definedName>
    <definedName name="IQ_FFO_SHARE_SHARE_HIGH_EST_THOM">"c4001"</definedName>
    <definedName name="IQ_FFO_SHARE_SHARE_LOW_EST_THOM">"c4002"</definedName>
    <definedName name="IQ_FFO_SHARE_SHARE_MEDIAN_EST_THOM">"c4000"</definedName>
    <definedName name="IQ_FFO_SHARE_SHARE_NUM_EST_THOM">"c4003"</definedName>
    <definedName name="IQ_FFO_SHARE_SHARE_STDDEV_EST_THOM">"c4004"</definedName>
    <definedName name="IQ_FFO_STDDEV_EST">"c422"</definedName>
    <definedName name="IQ_FFO_STDDEV_EST_THOM">"c4004"</definedName>
    <definedName name="IQ_FH">100000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NOTES_PAY_TOTAL">"c5522"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Y">"c441"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ELD_MATURITY_FDIC">"c6408"</definedName>
    <definedName name="IQ_HIGH_TARGET_PRICE">"c1651"</definedName>
    <definedName name="IQ_HIGHPRICE">"c545"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OWNERS_WRITTEN">"c546"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AIR_OIL">"c547"</definedName>
    <definedName name="IQ_IMPAIRMENT_GW">"c548"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PROVIDED_DIVIDEND">"c19252"</definedName>
    <definedName name="IQ_INDEXCONSTITUENT_CLOSEPRICE">"c19241"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Y">"c3601"</definedName>
    <definedName name="IQ_INDUSTRY_GROUP">"c3602"</definedName>
    <definedName name="IQ_INDUSTRY_SECTOR">"c3603"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IT">"c597"</definedName>
    <definedName name="IQ_INT_INC_SECURITIES_FDIC">"c6559"</definedName>
    <definedName name="IQ_INT_INC_TOTAL">"c598"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L_EPS_EST">"c24729"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NVESTMENT_BANKING_OTHER_FEES_FDIC">"c6666"</definedName>
    <definedName name="IQ_IPRD">"c644"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H_STATUTORY_SURPLUS">"c2771"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CRO_SURVEY_CONSUMER_SENTIMENT">"c20808"</definedName>
    <definedName name="IQ_MAINT_CAPEX">"c2947"</definedName>
    <definedName name="IQ_MAINT_CAPEX_ACT_OR_EST">"c4458"</definedName>
    <definedName name="IQ_MAINT_CAPEX_EST">"c4457"</definedName>
    <definedName name="IQ_MAINT_CAPEX_HIGH_EST">"c4460"</definedName>
    <definedName name="IQ_MAINT_CAPEX_LOW_EST">"c4461"</definedName>
    <definedName name="IQ_MAINT_CAPEX_MEDIAN_EST">"c4462"</definedName>
    <definedName name="IQ_MAINT_CAPEX_NUM_EST">"c4463"</definedName>
    <definedName name="IQ_MAINT_CAPEX_STDDEV_EST">"c4464"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RATIO">"c2783"</definedName>
    <definedName name="IQ_MC_STATUTORY_SURPLUS">"c2772"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TD">800000</definedName>
    <definedName name="IQ_MULTIFAMILY_RESIDENTIAL_LOANS_FDIC">"c6311"</definedName>
    <definedName name="IQ_NAMES_REVISION_DATE_">41453.6093634259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EBITDA">"c750"</definedName>
    <definedName name="IQ_NET_DEBT_EBITDA_CAPEX">"c2949"</definedName>
    <definedName name="IQ_NET_DEBT_EST">"c3517"</definedName>
    <definedName name="IQ_NET_DEBT_HIGH_EST">"c3518"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DEBT_LOW_EST">"c3519"</definedName>
    <definedName name="IQ_NET_DEBT_MEDIAN_EST">"c3520"</definedName>
    <definedName name="IQ_NET_DEBT_NUM_EST">"c3515"</definedName>
    <definedName name="IQ_NET_DEBT_STDDEV_EST">"c3516"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NK_FDIC">"c6570"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CT_OR_EST">"c2222"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>"c794"</definedName>
    <definedName name="IQ_NI_MEDIAN_EST">"c1717"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FAS">"c795"</definedName>
    <definedName name="IQ_NI_STDDEV_EST">"c1721"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EXP_FDIC">"c6579"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NUTIL_REV">"c2089"</definedName>
    <definedName name="IQ_NORM_EPS_ACT_OR_EST">"c2249"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PROD_GAS">"c2910"</definedName>
    <definedName name="IQ_OG_AVG_DAILY_PROD_NGL">"c2911"</definedName>
    <definedName name="IQ_OG_AVG_DAILY_PROD_OIL">"c2909"</definedName>
    <definedName name="IQ_OG_CLOSE_BALANCE_GAS">"c2049"</definedName>
    <definedName name="IQ_OG_CLOSE_BALANCE_NGL">"c2920"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VISIONS_GAS">"c2042"</definedName>
    <definedName name="IQ_OG_REVISIONS_NGL">"c2913"</definedName>
    <definedName name="IQ_OG_REVISIONS_OIL">"c2030"</definedName>
    <definedName name="IQ_OG_SALES_IN_PLACE_GAS">"c2046"</definedName>
    <definedName name="IQ_OG_SALES_IN_PLACE_NGL">"c2917"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UNRECOG_PRIOR">"c3320"</definedName>
    <definedName name="IQ_OPEB_UNRECOG_PRIOR_DOM">"c3318"</definedName>
    <definedName name="IQ_OPEB_UNRECOG_PRIOR_FOREIGN">"c3319"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BR">"c850"</definedName>
    <definedName name="IQ_OPER_INC_EST">"c1688"</definedName>
    <definedName name="IQ_OPER_INC_FIN">"c851"</definedName>
    <definedName name="IQ_OPER_INC_HIGH_EST">"c1690"</definedName>
    <definedName name="IQ_OPER_INC_INS">"c852"</definedName>
    <definedName name="IQ_OPER_INC_LOW_EST">"c1691"</definedName>
    <definedName name="IQ_OPER_INC_MARGIN">"c1448"</definedName>
    <definedName name="IQ_OPER_INC_MEDIAN_EST">"c1689"</definedName>
    <definedName name="IQ_OPER_INC_NUM_EST">"c1692"</definedName>
    <definedName name="IQ_OPER_INC_REIT">"c853"</definedName>
    <definedName name="IQ_OPER_INC_STDDEV_EST">"c1693"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GRANTED">"c2673"</definedName>
    <definedName name="IQ_OPTIONS_ISSUED">"c857"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MORT_BR">"c5566"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ED">"c2688"</definedName>
    <definedName name="IQ_OTHER_OPTIONS_GRANTED">"c2687"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SAVINGS_DEPOSITS_FDIC">"c6554"</definedName>
    <definedName name="IQ_OTHER_STRIKE_PRICE_GRANTED">"c2692"</definedName>
    <definedName name="IQ_OTHER_TRANSACTIONS_FDIC">"c6504"</definedName>
    <definedName name="IQ_OTHER_UNDRAWN">"c2522"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G_FWD">"c1863"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2MONTHS_THOM">"c5248"</definedName>
    <definedName name="IQ_PERCENT_CHANGE_EST_FFO_18MONTHS">"c1829"</definedName>
    <definedName name="IQ_PERCENT_CHANGE_EST_FFO_18MONTHS_THOM">"c5249"</definedName>
    <definedName name="IQ_PERCENT_CHANGE_EST_FFO_3MONTHS">"c1825"</definedName>
    <definedName name="IQ_PERCENT_CHANGE_EST_FFO_3MONTHS_THOM">"c5245"</definedName>
    <definedName name="IQ_PERCENT_CHANGE_EST_FFO_6MONTHS">"c1826"</definedName>
    <definedName name="IQ_PERCENT_CHANGE_EST_FFO_6MONTHS_THOM">"c5246"</definedName>
    <definedName name="IQ_PERCENT_CHANGE_EST_FFO_9MONTHS">"c1827"</definedName>
    <definedName name="IQ_PERCENT_CHANGE_EST_FFO_9MONTHS_THOM">"c5247"</definedName>
    <definedName name="IQ_PERCENT_CHANGE_EST_FFO_DAY">"c1822"</definedName>
    <definedName name="IQ_PERCENT_CHANGE_EST_FFO_DAY_THOM">"c5243"</definedName>
    <definedName name="IQ_PERCENT_CHANGE_EST_FFO_MONTH">"c1824"</definedName>
    <definedName name="IQ_PERCENT_CHANGE_EST_FFO_MONTH_THOM">"c5244"</definedName>
    <definedName name="IQ_PERCENT_CHANGE_EST_FFO_SHARE_SHARE_12MONTHS">"c1828"</definedName>
    <definedName name="IQ_PERCENT_CHANGE_EST_FFO_SHARE_SHARE_12MONTHS_THOM">"c5248"</definedName>
    <definedName name="IQ_PERCENT_CHANGE_EST_FFO_SHARE_SHARE_18MONTHS">"c1829"</definedName>
    <definedName name="IQ_PERCENT_CHANGE_EST_FFO_SHARE_SHARE_18MONTHS_THOM">"c5249"</definedName>
    <definedName name="IQ_PERCENT_CHANGE_EST_FFO_SHARE_SHARE_3MONTHS">"c1825"</definedName>
    <definedName name="IQ_PERCENT_CHANGE_EST_FFO_SHARE_SHARE_3MONTHS_THOM">"c5245"</definedName>
    <definedName name="IQ_PERCENT_CHANGE_EST_FFO_SHARE_SHARE_6MONTHS">"c1826"</definedName>
    <definedName name="IQ_PERCENT_CHANGE_EST_FFO_SHARE_SHARE_6MONTHS_THOM">"c5246"</definedName>
    <definedName name="IQ_PERCENT_CHANGE_EST_FFO_SHARE_SHARE_9MONTHS">"c1827"</definedName>
    <definedName name="IQ_PERCENT_CHANGE_EST_FFO_SHARE_SHARE_9MONTHS_THOM">"c5247"</definedName>
    <definedName name="IQ_PERCENT_CHANGE_EST_FFO_SHARE_SHARE_DAY">"c1822"</definedName>
    <definedName name="IQ_PERCENT_CHANGE_EST_FFO_SHARE_SHARE_DAY_THOM">"c5243"</definedName>
    <definedName name="IQ_PERCENT_CHANGE_EST_FFO_SHARE_SHARE_MONTH">"c1824"</definedName>
    <definedName name="IQ_PERCENT_CHANGE_EST_FFO_SHARE_SHARE_MONTH_THOM">"c5244"</definedName>
    <definedName name="IQ_PERCENT_CHANGE_EST_FFO_SHARE_SHARE_WEEK">"c1823"</definedName>
    <definedName name="IQ_PERCENT_CHANGE_EST_FFO_SHARE_SHARE_WEEK_THOM">"c5274"</definedName>
    <definedName name="IQ_PERCENT_CHANGE_EST_FFO_WEEK">"c1823"</definedName>
    <definedName name="IQ_PERCENT_CHANGE_EST_FFO_WEEK_THOM">"c5274"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CENT_INSURED_FDIC">"c6374"</definedName>
    <definedName name="IQ_PERIODDATE">"c1414"</definedName>
    <definedName name="IQ_PERIODDATE_BS">"c1032"</definedName>
    <definedName name="IQ_PERIODDATE_CF">"c1033"</definedName>
    <definedName name="IQ_PERIODDATE_FDIC">"c13646"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EDGED_SECURITIES_FDIC">"c6401"</definedName>
    <definedName name="IQ_PLL">"c2114"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RE_OPEN_COST">"c1040"</definedName>
    <definedName name="IQ_PRE_TAX_ACT_OR_EST">"c2221"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ETAX_RETURN_ASSETS_FDIC">"c6731"</definedName>
    <definedName name="IQ_PRICE_CFPS_FWD">"c2237"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EPS_TYPE_THOM">"c5297"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FRANCHISE_STORES">"c2903"</definedName>
    <definedName name="IQ_RETAIL_ACQUIRED_OWNED_STORES">"c2895"</definedName>
    <definedName name="IQ_RETAIL_ACQUIRED_STORES">"c2887"</definedName>
    <definedName name="IQ_RETAIL_AVG_STORE_SIZE_GROSS">"c2066"</definedName>
    <definedName name="IQ_RETAIL_AVG_STORE_SIZE_NET">"c2067"</definedName>
    <definedName name="IQ_RETAIL_AVG_WK_SALES">"c2891"</definedName>
    <definedName name="IQ_RETAIL_AVG_WK_SALES_FRANCHISE">"c2899"</definedName>
    <definedName name="IQ_RETAIL_AVG_WK_SALES_OWNED">"c2907"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OPENED_FRANCHISE_STORES">"c2894"</definedName>
    <definedName name="IQ_RETAIL_OPENED_OWNED_STORES">"c2902"</definedName>
    <definedName name="IQ_RETAIL_OPENED_STORES">"c2062"</definedName>
    <definedName name="IQ_RETAIL_OWNED_STORES_BEG">"c2901"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FRANCHISE_STORES">"c2898"</definedName>
    <definedName name="IQ_RETAIL_TOTAL_OWNED_STORES">"c2906"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">"c3585"</definedName>
    <definedName name="IQ_RETURN_ASSETS_BANK">"c1114"</definedName>
    <definedName name="IQ_RETURN_ASSETS_BROK">"c1115"</definedName>
    <definedName name="IQ_RETURN_ASSETS_EST">"c3529"</definedName>
    <definedName name="IQ_RETURN_ASSETS_FDIC">"c6730"</definedName>
    <definedName name="IQ_RETURN_ASSETS_FS">"c1116"</definedName>
    <definedName name="IQ_RETURN_ASSETS_HIGH_EST">"c3530"</definedName>
    <definedName name="IQ_RETURN_ASSETS_LOW_EST">"c3531"</definedName>
    <definedName name="IQ_RETURN_ASSETS_MEDIAN_EST">"c3532"</definedName>
    <definedName name="IQ_RETURN_ASSETS_NUM_EST">"c3527"</definedName>
    <definedName name="IQ_RETURN_ASSETS_STDDEV_EST">"c3528"</definedName>
    <definedName name="IQ_RETURN_CAPITAL">"c1117"</definedName>
    <definedName name="IQ_RETURN_EQUITY">"c1118"</definedName>
    <definedName name="IQ_RETURN_EQUITY_ACT_OR_EST">"c3586"</definedName>
    <definedName name="IQ_RETURN_EQUITY_BANK">"c1119"</definedName>
    <definedName name="IQ_RETURN_EQUITY_BROK">"c1120"</definedName>
    <definedName name="IQ_RETURN_EQUITY_EST">"c3535"</definedName>
    <definedName name="IQ_RETURN_EQUITY_FDIC">"c6732"</definedName>
    <definedName name="IQ_RETURN_EQUITY_FS">"c1121"</definedName>
    <definedName name="IQ_RETURN_EQUITY_HIGH_EST">"c3536"</definedName>
    <definedName name="IQ_RETURN_EQUITY_LOW_EST">"c3537"</definedName>
    <definedName name="IQ_RETURN_EQUITY_MEDIAN_EST">"c3538"</definedName>
    <definedName name="IQ_RETURN_EQUITY_NUM_EST">"c3533"</definedName>
    <definedName name="IQ_RETURN_EQUITY_STDDEV_EST">"c3534"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ACT_OR_EST">"c2214"</definedName>
    <definedName name="IQ_REVENUE_EST">"c1126"</definedName>
    <definedName name="IQ_REVENUE_HIGH_EST">"c1127"</definedName>
    <definedName name="IQ_REVENUE_LOW_EST">"c1128"</definedName>
    <definedName name="IQ_REVENUE_MEDIAN_EST">"c1662"</definedName>
    <definedName name="IQ_REVENUE_NUM_EST">"c1129"</definedName>
    <definedName name="IQ_REVISION_DATE_">39158.5534953704</definedName>
    <definedName name="IQ_RISK_ADJ_BANK_ASSETS">"c2670"</definedName>
    <definedName name="IQ_RISK_WEIGHTED_ASSETS_FDIC">"c6370"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C_ACTION">"c2644"</definedName>
    <definedName name="IQ_SP_ISSUE_LC_DATE">"c2643"</definedName>
    <definedName name="IQ_SP_ISSUE_LC_LT">"c2645"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PECIAL_DIV_SHARE">"c3007"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PCT">"c2539"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STDDEV">"c1654"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SSETS_FDIC">"c6339"</definedName>
    <definedName name="IQ_TOTAL_AVG_CE_TOTAL_AVG_ASSETS">"c1241"</definedName>
    <definedName name="IQ_TOTAL_AVG_EQUITY_TOTAL_AVG_ASSETS">"c1242"</definedName>
    <definedName name="IQ_TOTAL_BANK_CAPITAL">"c2668"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ED">"c2695"</definedName>
    <definedName name="IQ_TOTAL_OPTIONS_GRANTED">"c2694"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VED_RESERVES_NGL">"c2924"</definedName>
    <definedName name="IQ_TOTAL_PROVED_RESERVES_OIL">"c2040"</definedName>
    <definedName name="IQ_TOTAL_RECEIV">"c1293"</definedName>
    <definedName name="IQ_TOTAL_RECOVERIES_FDIC">"c6622"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RISK_BASED_CAPITAL_RATIO_FDIC">"c6747"</definedName>
    <definedName name="IQ_TOTAL_SECURITIES_FDIC">"c6306"</definedName>
    <definedName name="IQ_TOTAL_SPECIAL">"c1618"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USED_COMMITMENTS_FDIC">"c6536"</definedName>
    <definedName name="IQ_TOTAL_UNUSUAL">"c1508"</definedName>
    <definedName name="IQ_TOTAL_UNUSUAL_BR">"c5517"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WELVE_MONTHS_FIXED_AND_FLOATING_FDIC">"c6420"</definedName>
    <definedName name="IQ_TWELVE_MONTHS_MORTGAGE_PASS_THROUGHS_FDIC">"c6412"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RB20">"$B$21:$B$50"</definedName>
    <definedName name="IQRB21">"$B$22:$B$51"</definedName>
    <definedName name="IQRB23">"$B$24:$B$53"</definedName>
    <definedName name="IQRB52">"$B$53:$B$82"</definedName>
    <definedName name="IQRB53">"$B$54:$B$83"</definedName>
    <definedName name="IQRB55">"$B$56:$B$85"</definedName>
    <definedName name="IQRC21">"$C$22:$C$51"</definedName>
    <definedName name="IQRC22">"$C$23:$C$52"</definedName>
    <definedName name="IQRC23">"$C$24:$C$53"</definedName>
    <definedName name="IQRC53">"$C$54:$C$83"</definedName>
    <definedName name="IQRC54">"$C$55:$C$84"</definedName>
    <definedName name="IQRD11">"$D$12:$D$41"</definedName>
    <definedName name="IQRD13">"$D$14:$D$43"</definedName>
    <definedName name="IQRD15">"$D$16:$D$45"</definedName>
    <definedName name="IQRD17">"$D$18:$D$47"</definedName>
    <definedName name="IQRD19">"$D$20:$D$49"</definedName>
    <definedName name="IQRHistEVEBITDAA2">'[5]Fwd EBITDA'!#REF!</definedName>
    <definedName name="IQRM2C16">#REF!</definedName>
    <definedName name="IQRM2C17">#REF!</definedName>
    <definedName name="IQRM2C18">#REF!</definedName>
    <definedName name="IQRM2C19">#REF!</definedName>
    <definedName name="IQRM2C20">#REF!</definedName>
    <definedName name="IQRM2C2295">#REF!</definedName>
    <definedName name="IQRM2C23">#REF!</definedName>
    <definedName name="IQRM2C2300">#REF!</definedName>
    <definedName name="IQRM2C2330">#REF!</definedName>
    <definedName name="IQRM2C2331">#REF!</definedName>
    <definedName name="IQRM2C2332">#REF!</definedName>
    <definedName name="IQRM2C2351">#REF!</definedName>
    <definedName name="IQRM2C2358">#REF!</definedName>
    <definedName name="IQRM2C2400">#REF!</definedName>
    <definedName name="IQRM2C2409">#REF!</definedName>
    <definedName name="IQRM2C2410">#REF!</definedName>
    <definedName name="IQRM2C2411">#REF!</definedName>
    <definedName name="IQRM2C2412">#REF!</definedName>
    <definedName name="IQRM2C2413">#REF!</definedName>
    <definedName name="IQRM2C26">#REF!</definedName>
    <definedName name="IQRM2C27">#REF!</definedName>
    <definedName name="IQRM2C48">#REF!</definedName>
    <definedName name="IQRMC23">#REF!</definedName>
    <definedName name="IQRMktMultC19">#REF!</definedName>
    <definedName name="IQRMktMultC21">#REF!</definedName>
    <definedName name="IQRMktMultC22">#REF!</definedName>
    <definedName name="IQRMktMultC51">#REF!</definedName>
    <definedName name="IQRMktMultC53">#REF!</definedName>
    <definedName name="IQRMktMultC54">#REF!</definedName>
    <definedName name="IQRPGCC21">#REF!</definedName>
    <definedName name="IQRPGCC53">#REF!</definedName>
    <definedName name="IQRSheet1B5">#REF!</definedName>
    <definedName name="IQRTradingCompsB10">#REF!</definedName>
    <definedName name="IRE_toll">[8]Assumptions!$B$234:$L$234</definedName>
    <definedName name="IS_ASSUMP">#REF!</definedName>
    <definedName name="IS_COMMON">#REF!</definedName>
    <definedName name="IS_HIST">#REF!</definedName>
    <definedName name="IS_OUTPUT">#REF!</definedName>
    <definedName name="IS_PROJ">#REF!</definedName>
    <definedName name="JESUS">{#N/A,#N/A,TRUE,"Facility-Input";#N/A,#N/A,TRUE,"Graphs";#N/A,#N/A,TRUE,"TOTAL"}</definedName>
    <definedName name="jj">'[16]Upfront Costs'!$B$3:$K$20</definedName>
    <definedName name="kajfdhkajdshflakdshflkdajhfkjahds">{0;5;10;5;10;13;13;13;8;5;5;10;14;13;13;13;13;5;10;14;13;5;10;1;2;24}</definedName>
    <definedName name="Kd">'[7]D. RATE'!$F$31</definedName>
    <definedName name="Ke">'[7]D. RATE'!$B$31</definedName>
    <definedName name="ksadfjlaksjfd11">{0;TRUE;0;0;0;0;0;0;0;0;0;0;0;0;0;0;0;0;0;0;0;0;0;0;0;0}</definedName>
    <definedName name="limcount">1</definedName>
    <definedName name="ListOffset">1</definedName>
    <definedName name="M_AddtlOpexAnnual">#REF!</definedName>
    <definedName name="M_AddtlOpexEsc">#REF!</definedName>
    <definedName name="M_AmounttoEquity">[17]Assumptions!#REF!</definedName>
    <definedName name="M_Ask">#REF!</definedName>
    <definedName name="M_AssetCofeesyear">#REF!</definedName>
    <definedName name="M_AssetCoLeverage">[17]Assumptions!#REF!</definedName>
    <definedName name="M_AssetCoPrice">#REF!</definedName>
    <definedName name="M_AssetManagement">#REF!</definedName>
    <definedName name="M_AssetManagementEscalation">#REF!</definedName>
    <definedName name="M_AuditingOpEx">#REF!</definedName>
    <definedName name="M_BorrowofAllowableDebtAmount">#REF!</definedName>
    <definedName name="M_CashIncentivesYear1">#REF!</definedName>
    <definedName name="M_CashIncentivesYear10">#REF!</definedName>
    <definedName name="M_CashIncentivesYear11">#REF!</definedName>
    <definedName name="M_CashIncentivesYear12">#REF!</definedName>
    <definedName name="M_CashIncentivesYear13">#REF!</definedName>
    <definedName name="M_CashIncentivesYear14">#REF!</definedName>
    <definedName name="M_CashIncentivesYear15">#REF!</definedName>
    <definedName name="M_CashIncentivesYear16">#REF!</definedName>
    <definedName name="M_CashIncentivesYear17">#REF!</definedName>
    <definedName name="M_CashIncentivesYear18">#REF!</definedName>
    <definedName name="M_CashIncentivesYear19">#REF!</definedName>
    <definedName name="M_CashIncentivesYear2">#REF!</definedName>
    <definedName name="M_CashIncentivesYear20">#REF!</definedName>
    <definedName name="M_CashIncentivesYear3">#REF!</definedName>
    <definedName name="M_CashIncentivesYear4">#REF!</definedName>
    <definedName name="M_CashIncentivesYear5">#REF!</definedName>
    <definedName name="M_CashIncentivesYear6">#REF!</definedName>
    <definedName name="M_CashIncentivesYear7">#REF!</definedName>
    <definedName name="M_CashIncentivesYear8">#REF!</definedName>
    <definedName name="M_CashIncentivesYear9">#REF!</definedName>
    <definedName name="M_Check">#REF!</definedName>
    <definedName name="M_Control_Panel">#REF!</definedName>
    <definedName name="M_Costescalationrate">#REF!</definedName>
    <definedName name="M_CreditRating">#REF!</definedName>
    <definedName name="M_CreditType">#REF!</definedName>
    <definedName name="M_DateofLastRoofReplacement">#REF!</definedName>
    <definedName name="M_Debt">#REF!</definedName>
    <definedName name="M_DebtPercentage">#REF!</definedName>
    <definedName name="M_DegradationFactor">#REF!</definedName>
    <definedName name="M_DeveloperCompany">#REF!</definedName>
    <definedName name="M_DeveloperEmail">[17]Assumptions!#REF!</definedName>
    <definedName name="M_DevelopmentFeeforSCF">#REF!</definedName>
    <definedName name="M_DSCRTrip">#REF!</definedName>
    <definedName name="M_EPCProvider">[17]Assumptions!#REF!</definedName>
    <definedName name="M_FederalTaxRate">#REF!</definedName>
    <definedName name="M_FirstLoss">[17]Assumptions!#REF!</definedName>
    <definedName name="M_FirstLossReserveImpairment">[17]Assumptions!#REF!</definedName>
    <definedName name="M_ForwardPowerCurve">#REF!</definedName>
    <definedName name="M_FundingCOD">#REF!</definedName>
    <definedName name="M_FundingDoM">#REF!</definedName>
    <definedName name="M_FundingNTP">#REF!</definedName>
    <definedName name="M_FundingTest">#REF!</definedName>
    <definedName name="M_GCDevFee">#REF!</definedName>
    <definedName name="M_GCDevfeeasofProjCapex">#REF!</definedName>
    <definedName name="M_GCDevFeeTracking">#REF!</definedName>
    <definedName name="M_GCofPreferredShares">[17]Assumptions!#REF!</definedName>
    <definedName name="M_GCProjectSizekWdc">[17]Assumptions!#REF!</definedName>
    <definedName name="M_GCPurchasePriceTotal">#REF!</definedName>
    <definedName name="M_GCReturnsPostTaxnostepup">[17]Assumptions!#REF!</definedName>
    <definedName name="M_GCReturnsPreTaxnostepup">[17]Assumptions!#REF!</definedName>
    <definedName name="M_GCReturnswDevFeeFullyEfficient">#REF!</definedName>
    <definedName name="M_GCReturnswDevFeeInefficient">#REF!</definedName>
    <definedName name="M_GCTargetRoR">[17]Assumptions!#REF!</definedName>
    <definedName name="M_Generate">#REF!</definedName>
    <definedName name="M_GenerateAssetCoOwnership">[17]Assumptions!#REF!</definedName>
    <definedName name="M_GenerateCapitalBidPrice">#REF!</definedName>
    <definedName name="M_GenerateInvestment">#REF!</definedName>
    <definedName name="M_GeneratePaybackYearDevFeeInefficient">#REF!</definedName>
    <definedName name="M_HoldCoPrice">#REF!</definedName>
    <definedName name="M_ImpliedCapacityFactor">#REF!</definedName>
    <definedName name="M_IndustryDesignation">#REF!</definedName>
    <definedName name="M_InsEscalation">#REF!</definedName>
    <definedName name="M_Insurance">#REF!</definedName>
    <definedName name="M_InverterReplacementCost">#REF!</definedName>
    <definedName name="M_InverterReplacementYear">#REF!</definedName>
    <definedName name="M_ITCEiligibility">#REF!</definedName>
    <definedName name="M_KeyNotes">#REF!</definedName>
    <definedName name="M_LandCostEscalator">#REF!</definedName>
    <definedName name="M_LandLeaseCostAnnual">#REF!</definedName>
    <definedName name="M_MACRSCurve">#REF!</definedName>
    <definedName name="M_MercatusEvaluation">#REF!</definedName>
    <definedName name="M_MOICDevFeeInefficient">#REF!</definedName>
    <definedName name="M_NTPQuarter">#REF!</definedName>
    <definedName name="M_OfftakeCounterparty">[17]Assumptions!#REF!</definedName>
    <definedName name="M_OfftakerNameDev">#REF!</definedName>
    <definedName name="M_OMCost">#REF!</definedName>
    <definedName name="M_OMEscalation">#REF!</definedName>
    <definedName name="M_OMProvider">[17]Assumptions!#REF!</definedName>
    <definedName name="M_Originator">#REF!</definedName>
    <definedName name="M_OtherCostTotal">#REF!</definedName>
    <definedName name="M_OtherIncentivesYear1">#REF!</definedName>
    <definedName name="M_OtherIncentivesYear10">#REF!</definedName>
    <definedName name="M_OtherIncentivesYear11">#REF!</definedName>
    <definedName name="M_OtherIncentivesYear12">#REF!</definedName>
    <definedName name="M_OtherIncentivesYear13">#REF!</definedName>
    <definedName name="M_OtherIncentivesYear14">#REF!</definedName>
    <definedName name="M_OtherIncentivesYear15">#REF!</definedName>
    <definedName name="M_OtherIncentivesYear16">#REF!</definedName>
    <definedName name="M_OtherIncentivesYear17">#REF!</definedName>
    <definedName name="M_OtherIncentivesYear18">#REF!</definedName>
    <definedName name="M_OtherIncentivesYear19">#REF!</definedName>
    <definedName name="M_OtherIncentivesYear2">#REF!</definedName>
    <definedName name="M_OtherIncentivesYear20">#REF!</definedName>
    <definedName name="M_OtherIncentivesYear3">#REF!</definedName>
    <definedName name="M_OtherIncentivesYear4">#REF!</definedName>
    <definedName name="M_OtherIncentivesYear5">#REF!</definedName>
    <definedName name="M_OtherIncentivesYear6">#REF!</definedName>
    <definedName name="M_OtherIncentivesYear7">#REF!</definedName>
    <definedName name="M_OtherIncentivesYear8">#REF!</definedName>
    <definedName name="M_OtherIncentivesYear9">#REF!</definedName>
    <definedName name="M_PPAEscalation">#REF!</definedName>
    <definedName name="M_PPARate">#REF!</definedName>
    <definedName name="M_PPATerm">#REF!</definedName>
    <definedName name="M_PreferredShares">[17]Assumptions!#REF!</definedName>
    <definedName name="M_ProjectDeveloper">[17]Assumptions!#REF!</definedName>
    <definedName name="M_ProjectName">#REF!</definedName>
    <definedName name="M_ProjectNameDev">[17]Assumptions!#REF!</definedName>
    <definedName name="M_ProjectProductionFirstYearOuput">#REF!</definedName>
    <definedName name="M_ProjectProductionkWhskWDC">#REF!</definedName>
    <definedName name="M_ProjectReturnsPostTaxadjusted">#REF!</definedName>
    <definedName name="M_ProjectReturnsPostTaxnodefault">#REF!</definedName>
    <definedName name="M_ProjectReturnsPreTaxadjusted">#REF!</definedName>
    <definedName name="M_ProjectReturnsPreTaxnodefault">#REF!</definedName>
    <definedName name="M_ProjectSizekWDC">#REF!</definedName>
    <definedName name="M_ProjectState">#REF!</definedName>
    <definedName name="M_ProjectTypegroundmountvsrooftop">#REF!</definedName>
    <definedName name="M_PropertyTaxesAnnual">#REF!</definedName>
    <definedName name="M_PropertyTaxesEscalator">#REF!</definedName>
    <definedName name="M_RebatesIncentiveprograms">#REF!</definedName>
    <definedName name="M_RefiBorrowofAllowableAmount">[17]Assumptions!#REF!</definedName>
    <definedName name="M_RefiTerm">#REF!</definedName>
    <definedName name="M_RefiTrigger">#REF!</definedName>
    <definedName name="M_RoofCost">#REF!</definedName>
    <definedName name="M_RoofReplacementNeeded">#REF!</definedName>
    <definedName name="M_RoofReplacementTrigger">#REF!</definedName>
    <definedName name="M_RoofSizeSquareFeet">#REF!</definedName>
    <definedName name="M_SCFofPreferredShares">[17]Assumptions!#REF!</definedName>
    <definedName name="M_SFIDOpp">#REF!</definedName>
    <definedName name="M_SponsorUseSRECS">#REF!</definedName>
    <definedName name="M_SRECbrokerfee">#REF!</definedName>
    <definedName name="M_SRECFactor">#REF!</definedName>
    <definedName name="M_SRECState">#REF!</definedName>
    <definedName name="M_Stage">#REF!</definedName>
    <definedName name="M_StressCaseDefaultBuffer">#REF!</definedName>
    <definedName name="M_SumEBITDA">#REF!</definedName>
    <definedName name="M_SumGenerateReturns">#REF!</definedName>
    <definedName name="M_SumProduction">#REF!</definedName>
    <definedName name="M_TaxEquity">#REF!</definedName>
    <definedName name="M_TaxEquityInvestment">#REF!</definedName>
    <definedName name="M_TaxEquityROI">#REF!</definedName>
    <definedName name="M_TaxEquitysAdvanceRate">#REF!</definedName>
    <definedName name="M_TaxEquityTargetROI">#REF!</definedName>
    <definedName name="M_TotalEBITDAYr1">#REF!</definedName>
    <definedName name="M_TotalRevenueYr1">#REF!</definedName>
    <definedName name="M_TotalUses">#REF!</definedName>
    <definedName name="M_Tranche">#REF!</definedName>
    <definedName name="M_TransactionCostsAttestationofBasis">#REF!</definedName>
    <definedName name="M_TransactionCostsIE">#REF!</definedName>
    <definedName name="M_TransactionCostsLegal">#REF!</definedName>
    <definedName name="M_Value">#REF!</definedName>
    <definedName name="M_WC">#REF!</definedName>
    <definedName name="Margin">#REF!</definedName>
    <definedName name="Marine_Equipment_Total">#REF!</definedName>
    <definedName name="Marine_Hrs">#REF!</definedName>
    <definedName name="Marine_Labor_Total">#REF!</definedName>
    <definedName name="Marine_Material_Total">#REF!</definedName>
    <definedName name="Marine_Sub_Total">#REF!</definedName>
    <definedName name="Marine_Total">#REF!</definedName>
    <definedName name="Markups_Equipment_Total">#REF!</definedName>
    <definedName name="Markups_Hrs">#REF!</definedName>
    <definedName name="Markups_Labor_Total">#REF!</definedName>
    <definedName name="Markups_Material_Total">#REF!</definedName>
    <definedName name="Markups_Sub_Total">#REF!</definedName>
    <definedName name="Markups_Total">#REF!</definedName>
    <definedName name="mmm">[6]Assumptions!#REF!</definedName>
    <definedName name="months_in_year">'[18](REG Equity) Assumptions'!$E$17</definedName>
    <definedName name="Multiples">#REF!</definedName>
    <definedName name="nada">{2;#N/A;"R13C16:R17C16";#N/A;"R13C14:R17C15";FALSE;FALSE;FALSE;95;#N/A;#N/A;"R13C19";#N/A;FALSE;FALSE;FALSE;FALSE;#N/A;"";#N/A;FALSE;"";"";#N/A;#N/A;#N/A}</definedName>
    <definedName name="nnn">[6]Assumptions!#REF!</definedName>
    <definedName name="o">{#N/A,#N/A,FALSE,"New Depr Sch-150% DB";#N/A,#N/A,FALSE,"Cash Flows RLP";#N/A,#N/A,FALSE,"IRR";#N/A,#N/A,FALSE,"Proforma IS";#N/A,#N/A,FALSE,"Assumptions"}</definedName>
    <definedName name="OpCase">[5]Control!$C$9</definedName>
    <definedName name="Operating_Days_Year">[9]Inputs!$D$11</definedName>
    <definedName name="OpEx_Sensitivity">1+#REF!</definedName>
    <definedName name="oPounds_Glycercin_Gallon">[6]Assumptions!$G$34</definedName>
    <definedName name="oPounds_SoapStock_Gallon">[6]Assumptions!$G$35</definedName>
    <definedName name="Ownership" localSheetId="21">OFFSET([11]!Data.Top.Left,1,0)</definedName>
    <definedName name="Ownership" localSheetId="24">OFFSET([11]!Data.Top.Left,1,0)</definedName>
    <definedName name="Ownership" localSheetId="22">OFFSET([11]!Data.Top.Left,1,0)</definedName>
    <definedName name="Ownership" localSheetId="25">OFFSET([11]!Data.Top.Left,1,0)</definedName>
    <definedName name="Ownership" localSheetId="17">OFFSET([11]!Data.Top.Left,1,0)</definedName>
    <definedName name="Ownership" localSheetId="9">OFFSET([11]!Data.Top.Left,1,0)</definedName>
    <definedName name="Ownership" localSheetId="8">OFFSET([11]!Data.Top.Left,1,0)</definedName>
    <definedName name="Ownership" localSheetId="3">OFFSET([11]!Data.Top.Left,1,0)</definedName>
    <definedName name="Ownership" localSheetId="4">OFFSET([11]!Data.Top.Left,1,0)</definedName>
    <definedName name="Ownership" localSheetId="1">OFFSET([11]!Data.Top.Left,1,0)</definedName>
    <definedName name="Ownership" localSheetId="6">OFFSET([11]!Data.Top.Left,1,0)</definedName>
    <definedName name="Ownership" localSheetId="5">OFFSET([11]!Data.Top.Left,1,0)</definedName>
    <definedName name="Ownership" localSheetId="12">OFFSET([11]!Data.Top.Left,1,0)</definedName>
    <definedName name="Ownership" localSheetId="11">OFFSET([11]!Data.Top.Left,1,0)</definedName>
    <definedName name="Ownership" localSheetId="16">OFFSET([11]!Data.Top.Left,1,0)</definedName>
    <definedName name="Ownership" localSheetId="10">OFFSET([11]!Data.Top.Left,1,0)</definedName>
    <definedName name="Ownership" localSheetId="19">OFFSET([11]!Data.Top.Left,1,0)</definedName>
    <definedName name="Ownership" localSheetId="27">OFFSET([11]!Data.Top.Left,1,0)</definedName>
    <definedName name="Ownership" localSheetId="26">OFFSET([11]!Data.Top.Left,1,0)</definedName>
    <definedName name="Ownership">OFFSET([11]!Data.Top.Left,1,0)</definedName>
    <definedName name="Package">[6]Upgrades!#REF!</definedName>
    <definedName name="paste">#REF!</definedName>
    <definedName name="Percent_animal_fat">[6]Assumptions!#REF!</definedName>
    <definedName name="Percent_AnimalFat">#REF!</definedName>
    <definedName name="Percent_AnimalFatPlant10">#REF!</definedName>
    <definedName name="Percent_AnimalFatPlant11">#REF!</definedName>
    <definedName name="Percent_AnimalFatPlant12">#REF!</definedName>
    <definedName name="Percent_AnimalFatPlant2">#REF!</definedName>
    <definedName name="Percent_AnimalFatPlant3">#REF!</definedName>
    <definedName name="Percent_AnimalFatPlant4">#REF!</definedName>
    <definedName name="Percent_AnimalFatPlant5">#REF!</definedName>
    <definedName name="Percent_AnimalFatPlant6">#REF!</definedName>
    <definedName name="Percent_AnimalFatPlant7">#REF!</definedName>
    <definedName name="Percent_AnimalfatPlant8">#REF!</definedName>
    <definedName name="Percent_AnimalFatPlant9">#REF!</definedName>
    <definedName name="Percent_BFTBB">[6]Assumptions!#REF!</definedName>
    <definedName name="Percent_BFTPlant1">[6]Assumptions!#REF!</definedName>
    <definedName name="Percent_BFTPlant10">[6]Assumptions!#REF!</definedName>
    <definedName name="Percent_BFTPlant11">[6]Assumptions!#REF!</definedName>
    <definedName name="Percent_BFTPlant2">[6]Assumptions!#REF!</definedName>
    <definedName name="Percent_BFTPlant3">[6]Assumptions!#REF!</definedName>
    <definedName name="Percent_BFTPlant4">[6]Assumptions!#REF!</definedName>
    <definedName name="Percent_BFTPlant5">[6]Assumptions!#REF!</definedName>
    <definedName name="Percent_BFTPlant6">[6]Assumptions!#REF!</definedName>
    <definedName name="Percent_BFTPlant7">[6]Assumptions!#REF!</definedName>
    <definedName name="Percent_BFTPlant8">[6]Assumptions!#REF!</definedName>
    <definedName name="Percent_BFTPlant9">[6]Assumptions!#REF!</definedName>
    <definedName name="Percent_COBB">[6]Assumptions!#REF!</definedName>
    <definedName name="Percent_COPlant1">[6]Assumptions!#REF!</definedName>
    <definedName name="Percent_COPlant10">[6]Assumptions!#REF!</definedName>
    <definedName name="Percent_COPlant11">[6]Assumptions!#REF!</definedName>
    <definedName name="Percent_COPlant2">[6]Assumptions!#REF!</definedName>
    <definedName name="Percent_COPlant3">[6]Assumptions!#REF!</definedName>
    <definedName name="Percent_COPlant4">[6]Assumptions!#REF!</definedName>
    <definedName name="Percent_COPlant5">[6]Assumptions!#REF!</definedName>
    <definedName name="Percent_COPlant6">[6]Assumptions!#REF!</definedName>
    <definedName name="Percent_COPlant7">[6]Assumptions!#REF!</definedName>
    <definedName name="Percent_COPlant8">[6]Assumptions!#REF!</definedName>
    <definedName name="Percent_COPlant9">[6]Assumptions!#REF!</definedName>
    <definedName name="Percent_corn_oil">[6]Assumptions!#REF!</definedName>
    <definedName name="Percent_CornOil">#REF!</definedName>
    <definedName name="Percent_CornOilOPlant8">#REF!</definedName>
    <definedName name="Percent_CornOilPlant10">#REF!</definedName>
    <definedName name="Percent_CornOilPlant11">#REF!</definedName>
    <definedName name="Percent_CornOilPlant12">#REF!</definedName>
    <definedName name="Percent_CornOilPlant2">[6]Assumptions!#REF!</definedName>
    <definedName name="Percent_CornOilPlant3">#REF!</definedName>
    <definedName name="Percent_CornOilPlant4">#REF!</definedName>
    <definedName name="Percent_CornOilPlant5">#REF!</definedName>
    <definedName name="Percent_CornOilPlant6">#REF!</definedName>
    <definedName name="Percent_CornOilPlant7">#REF!</definedName>
    <definedName name="Percent_CornOilPlant9">#REF!</definedName>
    <definedName name="Percent_CWGBB">[6]Assumptions!#REF!</definedName>
    <definedName name="Percent_CWGPlant1">[6]Assumptions!#REF!</definedName>
    <definedName name="Percent_CWGPlant11">[6]Assumptions!#REF!</definedName>
    <definedName name="Percent_CWGPlant2">[6]Assumptions!#REF!</definedName>
    <definedName name="Percent_CWGPlant3">[6]Assumptions!#REF!</definedName>
    <definedName name="Percent_CWGPlant4">[6]Assumptions!#REF!</definedName>
    <definedName name="Percent_CWGPlant5">[6]Assumptions!#REF!</definedName>
    <definedName name="Percent_CWGPlant6">[6]Assumptions!#REF!</definedName>
    <definedName name="Percent_CWGPlant7">[6]Assumptions!#REF!</definedName>
    <definedName name="Percent_CWGPlant8">[6]Assumptions!#REF!</definedName>
    <definedName name="Percent_CWGPlant9">[6]Assumptions!#REF!</definedName>
    <definedName name="Percent_FAPlant11">[6]Assumptions!#REF!</definedName>
    <definedName name="Percent_Plant10">[6]Assumptions!#REF!</definedName>
    <definedName name="Percent_SoybeanPlant4">[6]Assumptions!#REF!</definedName>
    <definedName name="Percent_TTBB">[6]Assumptions!#REF!</definedName>
    <definedName name="Percent_TTPlant1">[6]Assumptions!#REF!</definedName>
    <definedName name="Percent_TTPlant10">[6]Assumptions!#REF!</definedName>
    <definedName name="Percent_TTPlant11">[6]Assumptions!#REF!</definedName>
    <definedName name="Percent_TTPlant2">[6]Assumptions!#REF!</definedName>
    <definedName name="Percent_TTPlant3">[6]Assumptions!#REF!</definedName>
    <definedName name="Percent_TTPlant4">[6]Assumptions!#REF!</definedName>
    <definedName name="Percent_TTPlant5">[6]Assumptions!#REF!</definedName>
    <definedName name="Percent_TTPlant6">[6]Assumptions!#REF!</definedName>
    <definedName name="Percent_TTPlant7">[6]Assumptions!#REF!</definedName>
    <definedName name="Percent_TTPlant8">[6]Assumptions!#REF!</definedName>
    <definedName name="Percent_TTPlant9">[6]Assumptions!#REF!</definedName>
    <definedName name="Percent_UCOBB">[6]Assumptions!#REF!</definedName>
    <definedName name="Percent_UCOPlant1">[6]Assumptions!#REF!</definedName>
    <definedName name="Percent_UCOPlant10">[6]Assumptions!#REF!</definedName>
    <definedName name="Percent_UCOPlant11">[6]Assumptions!#REF!</definedName>
    <definedName name="Percent_UCOPlant2">[6]Assumptions!#REF!</definedName>
    <definedName name="Percent_UCOPlant3">[6]Assumptions!#REF!</definedName>
    <definedName name="Percent_UCOPlant4">[6]Assumptions!#REF!</definedName>
    <definedName name="Percent_UCOPlant5">[6]Assumptions!#REF!</definedName>
    <definedName name="Percent_UCOPlant6">[6]Assumptions!#REF!</definedName>
    <definedName name="Percent_UCOPlant7">[6]Assumptions!#REF!</definedName>
    <definedName name="Percent_UCOPlant8">[6]Assumptions!#REF!</definedName>
    <definedName name="Percent_UCOPlant9">[6]Assumptions!#REF!</definedName>
    <definedName name="Percent_YGBB">[6]Assumptions!#REF!</definedName>
    <definedName name="Percent_YGPlant1">[6]Assumptions!#REF!</definedName>
    <definedName name="Percent_YGPlant10">[6]Assumptions!#REF!</definedName>
    <definedName name="Percent_YGPlant11">[6]Assumptions!#REF!</definedName>
    <definedName name="Percent_YGPlant2">[6]Assumptions!#REF!</definedName>
    <definedName name="Percent_YGPlant3">[6]Assumptions!#REF!</definedName>
    <definedName name="Percent_YGPlant4">[6]Assumptions!#REF!</definedName>
    <definedName name="Percent_YGPlant5">[6]Assumptions!#REF!</definedName>
    <definedName name="Percent_YGPlant6">[6]Assumptions!#REF!</definedName>
    <definedName name="Percent_YGPlant7">[6]Assumptions!#REF!</definedName>
    <definedName name="Percent_YGPlant8">[6]Assumptions!#REF!</definedName>
    <definedName name="Percent_YGPlant9">[6]Assumptions!#REF!</definedName>
    <definedName name="PercentBFTPlant6">[6]Assumptions!#REF!</definedName>
    <definedName name="PercentYGBB">[6]Assumptions!#REF!</definedName>
    <definedName name="PFFFA">[6]Assumptions!$G$43</definedName>
    <definedName name="pig_dig5">{#N/A,#N/A,FALSE,"T COST";#N/A,#N/A,FALSE,"COST_FH"}</definedName>
    <definedName name="pig_dog">{2;#N/A;"R13C16:R17C16";#N/A;"R13C14:R17C15";FALSE;FALSE;FALSE;95;#N/A;#N/A;"R13C19";#N/A;FALSE;FALSE;FALSE;FALSE;#N/A;"";#N/A;FALSE;"";"";#N/A;#N/A;#N/A}</definedName>
    <definedName name="pig_dog4">{#N/A,#N/A,FALSE,"SUMMARY";#N/A,#N/A,FALSE,"INPUTDATA";#N/A,#N/A,FALSE,"Condenser Performance"}</definedName>
    <definedName name="pig_dog6">{#N/A,#N/A,FALSE,"INPUTDATA";#N/A,#N/A,FALSE,"SUMMARY";#N/A,#N/A,FALSE,"CTAREP";#N/A,#N/A,FALSE,"CTBREP";#N/A,#N/A,FALSE,"TURBEFF";#N/A,#N/A,FALSE,"Condenser Performance"}</definedName>
    <definedName name="pig_dog7">{#N/A,#N/A,FALSE,"INPUTDATA";#N/A,#N/A,FALSE,"SUMMARY"}</definedName>
    <definedName name="pig_dog8">{#N/A,#N/A,FALSE,"INPUTDATA";#N/A,#N/A,FALSE,"SUMMARY";#N/A,#N/A,FALSE,"CTAREP";#N/A,#N/A,FALSE,"CTBREP";#N/A,#N/A,FALSE,"PMG4ST86";#N/A,#N/A,FALSE,"TURBEFF";#N/A,#N/A,FALSE,"Condenser Performance"}</definedName>
    <definedName name="Pitchbook">{#N/A,#N/A,TRUE,"Sheet16"}</definedName>
    <definedName name="Plant_TTPlant6">[6]Assumptions!#REF!</definedName>
    <definedName name="Plant1_ConstructionTime">[6]Assumptions!$M$649</definedName>
    <definedName name="Plant1_Incremental_Bleach_Fancy_Tallow_Cost">[6]Assumptions!$L$290</definedName>
    <definedName name="Plant1_Incremental_ChoiceWhiteGrease_Cost">[6]Assumptions!$J$290</definedName>
    <definedName name="Plant1_Incremental_Corn_Oil_Cost">[6]Assumptions!$H$290</definedName>
    <definedName name="Plant1_Incremental_Sales_Cost">[6]Assumptions!#REF!</definedName>
    <definedName name="Plant1_Incremental_Soyoil_Cost">[6]Assumptions!$G$290</definedName>
    <definedName name="Plant1_Incremental_TT_Cost">[6]Assumptions!$I$290</definedName>
    <definedName name="Plant1_Incremental_Upfront_Cost">[6]Assumptions!$M$652</definedName>
    <definedName name="Plant1_Incremental_Upfront_Cost_Depreciable_Life">[6]Assumptions!$M$656</definedName>
    <definedName name="Plant1_Incremental_Used_Cooking_Oil_Cost">[6]Assumptions!$M$290</definedName>
    <definedName name="Plant1_Incremental_Yellow_Grease_Cost">[6]Assumptions!$K$290</definedName>
    <definedName name="Plant1_Index_BlendersCredit">[6]Assumptions!#REF!</definedName>
    <definedName name="Plant1_Index_IncrementalOperatingCosts">[6]Assumptions!#REF!</definedName>
    <definedName name="Plant1_Index_iPercent_Feedstock_Soyoil">[6]Assumptions!#REF!</definedName>
    <definedName name="Plant1_Index_Maintenance_Costs">[6]Assumptions!#REF!</definedName>
    <definedName name="plant1_Index_MaintenanceCapital_DepreciableLife">[6]Assumptions!#REF!</definedName>
    <definedName name="Plant1_Index_SmallProducersIncentive">[6]Assumptions!#REF!</definedName>
    <definedName name="Plant1_Index_Utilization">[6]Assumptions!#REF!</definedName>
    <definedName name="Plant1_Location">[12]Assumptions!$M$654</definedName>
    <definedName name="Plant10_ConstructionTime">[6]Assumptions!$G$717</definedName>
    <definedName name="Plant10_Incremental_Soyoil_Cost">[6]Assumptions!$G$725</definedName>
    <definedName name="Plant10_Incremental_Upfront_Cost">[6]Assumptions!$G$720</definedName>
    <definedName name="Plant10_Index_BlendersCredit">[6]Assumptions!#REF!</definedName>
    <definedName name="Plant10_Index_DepreciableLife">[6]Assumptions!#REF!</definedName>
    <definedName name="Plant10_Index_IncrementalOperatingCosts">[6]Assumptions!#REF!</definedName>
    <definedName name="Plant10_Index_iPercent_Feedstock_Soyoil">[6]Assumptions!#REF!</definedName>
    <definedName name="Plant10_Index_Maintenance_Costs">[6]Assumptions!#REF!</definedName>
    <definedName name="Plant10_Index_MaintenanceCapital_DepreciableLife">[6]Assumptions!#REF!</definedName>
    <definedName name="Plant10_Index_SmallProducersIncentive">[6]Assumptions!#REF!</definedName>
    <definedName name="Plant10_Index_Utilization">[6]Assumptions!#REF!</definedName>
    <definedName name="Plant10_Location">[6]Assumptions!$G$716</definedName>
    <definedName name="Plant11_ConstructionTime">[6]Assumptions!$K$649</definedName>
    <definedName name="Plant11_Incremental_BFT_Cost">[6]Assumptions!$L$283</definedName>
    <definedName name="Plant11_Incremental_Corn_Oil_Cost">[6]Assumptions!$H$283</definedName>
    <definedName name="Plant11_Incremental_Cost_FattyAcid">[6]Assumptions!$K$657</definedName>
    <definedName name="Plant11_Incremental_CWG_Cost">[6]Assumptions!$J$283</definedName>
    <definedName name="Plant11_Incremental_Sales_Cost">[6]Assumptions!#REF!</definedName>
    <definedName name="Plant11_Incremental_SoyBean_Oil_Cost">[6]Assumptions!$G$283</definedName>
    <definedName name="Plant11_Incremental_TT_Cost">[6]Assumptions!$I$283</definedName>
    <definedName name="Plant11_Incremental_UCO_Cost">[6]Assumptions!$M$283</definedName>
    <definedName name="Plant11_Incremental_Yellow_Grease_Cost">[6]Assumptions!$K$283</definedName>
    <definedName name="Plant11_Index_BlendersCredit">[6]Assumptions!#REF!</definedName>
    <definedName name="Plant11_Index_IncrementalOperatingCosts">[6]Assumptions!#REF!</definedName>
    <definedName name="Plant11_Index_iPercent_Feedstock_Soyoil">[6]Assumptions!#REF!</definedName>
    <definedName name="Plant11_Index_Maintenance_Capital_DepreciableLife">[6]Assumptions!#REF!</definedName>
    <definedName name="Plant11_Index_Maintenance_Costs">[6]Assumptions!#REF!</definedName>
    <definedName name="Plant11_Index_MaintenanceCapital_DepreciableLife">[6]Assumptions!#REF!</definedName>
    <definedName name="Plant11_Index_Percent_Feedstock_Soyoil">[6]Assumptions!#REF!</definedName>
    <definedName name="Plant11_Index_SmallProducersIncentive">[6]Assumptions!#REF!</definedName>
    <definedName name="Plant11_Index_Utilization">[6]Assumptions!#REF!</definedName>
    <definedName name="Plant11_Sales_Cost">[6]Assumptions!#REF!</definedName>
    <definedName name="Plant11_Utilization">[6]Assumptions!#REF!</definedName>
    <definedName name="plant12_Incremental_BFT_cost">[6]Assumptions!$L$282</definedName>
    <definedName name="plant12_Incremental_corn_oil_cost">[6]Assumptions!$H$282</definedName>
    <definedName name="plant12_Incremental_CWG_cost">[6]Assumptions!$J$282</definedName>
    <definedName name="Plant12_Incremental_SoyBean_Oil_Cost">[6]Assumptions!$G$282</definedName>
    <definedName name="plant12_Incremental_TT_cost">[6]Assumptions!$I$282</definedName>
    <definedName name="plant12_Incremental_UCO_cost">[6]Assumptions!$M$282</definedName>
    <definedName name="plant12_Incremental_Yellow_grease_cost">[6]Assumptions!$K$282</definedName>
    <definedName name="Plant2_ConstructionTime">[6]Assumptions!$L$649</definedName>
    <definedName name="Plant2_Incremental_BWT_Cost">[6]Assumptions!$L$289</definedName>
    <definedName name="Plant2_Incremental_Corn_Oil_Cost">[6]Assumptions!$H$289</definedName>
    <definedName name="Plant2_Incremental_CWG_Cost">[6]Assumptions!$J$289</definedName>
    <definedName name="Plant2_Incremental_Sales_Cost">[6]Assumptions!#REF!</definedName>
    <definedName name="Plant2_Incremental_SoyBean_Oil_Cost">[6]Assumptions!$G$289</definedName>
    <definedName name="Plant2_Incremental_TTCost">[6]Assumptions!$I$289</definedName>
    <definedName name="Plant2_Incremental_Upfront_Cost">[6]Assumptions!$L$652</definedName>
    <definedName name="Plant2_Incremental_UsedCooking_Oil_Cost">[6]Assumptions!$M$289</definedName>
    <definedName name="Plant2_Incremental_YellowGrease_Cost">[6]Assumptions!$K$289</definedName>
    <definedName name="Plant2_Index_BlendersCredit">[6]Assumptions!#REF!</definedName>
    <definedName name="Plant2_Index_IncrementalOperatingCosts">[6]Assumptions!#REF!</definedName>
    <definedName name="Plant2_Index_iPercent_Feedstock_Soyoil">[6]Assumptions!#REF!</definedName>
    <definedName name="Plant2_Index_Maintenance_Costs">[6]Assumptions!#REF!</definedName>
    <definedName name="Plant2_Index_MaintenanceCapital_DepreciableLife">[6]Assumptions!#REF!</definedName>
    <definedName name="Plant2_Index_SmallProducersIncentive">[6]Assumptions!#REF!</definedName>
    <definedName name="Plant2_Index_Utilization">[6]Assumptions!#REF!</definedName>
    <definedName name="Plant2_Location">[12]Assumptions!$L$654</definedName>
    <definedName name="Plant3_Capacity">[6]Assumptions!$H$650</definedName>
    <definedName name="Plant3_ConstructionTime">[6]Assumptions!$H$649</definedName>
    <definedName name="Plant3_Incremental_BFT_Cost">[6]Assumptions!$L$281</definedName>
    <definedName name="Plant3_Incremental_Corn_Oil_Cost">[6]Assumptions!$H$281</definedName>
    <definedName name="Plant3_Incremental_CWG_Cost">[6]Assumptions!$J$281</definedName>
    <definedName name="Plant3_Incremental_Sales_Cost">[6]Assumptions!#REF!</definedName>
    <definedName name="Plant3_Incremental_Soybean_Oil_Cost">[6]Assumptions!$G$281</definedName>
    <definedName name="Plant3_Incremental_Soyoil_Cost">[6]Assumptions!#REF!</definedName>
    <definedName name="Plant3_Incremental_TT_Cost">[6]Assumptions!$I$281</definedName>
    <definedName name="Plant3_Incremental_Upfront_Cost_Depreciable_Life">[6]Assumptions!$H$656</definedName>
    <definedName name="Plant3_Incremental_UsedCooking_Oil_Cost">[6]Assumptions!$M$281</definedName>
    <definedName name="Plant3_Incremental_YellowGrease_Cost">[6]Assumptions!$K$281</definedName>
    <definedName name="Plant3_Index_BlendersCredit">[6]Assumptions!#REF!</definedName>
    <definedName name="Plant3_Index_IncrementalOperatingCosts">[6]Assumptions!#REF!</definedName>
    <definedName name="Plant3_Index_iPercent_FeedStock_Soyoil">[6]Assumptions!#REF!</definedName>
    <definedName name="Plant3_Index_Maintenance_Costs">[6]Assumptions!#REF!</definedName>
    <definedName name="Plant3_Index_MaintenanceCapital_DepreciableLife">[6]Assumptions!#REF!</definedName>
    <definedName name="Plant3_Index_SmallProducersIncentive">[6]Assumptions!#REF!</definedName>
    <definedName name="Plant3_Index_Utilization">[6]Assumptions!#REF!</definedName>
    <definedName name="Plant3_Location">[12]Assumptions!$H$654</definedName>
    <definedName name="Plant4_ConstructionTime">[6]Assumptions!$I$649</definedName>
    <definedName name="Plant4_Incremental_BFT_Cost">[6]Assumptions!$L$284</definedName>
    <definedName name="Plant4_Incremental_corn_Oil_Cost">[6]Assumptions!$H$284</definedName>
    <definedName name="Plant4_Incremental_CWG_Cost">[6]Assumptions!$J$284</definedName>
    <definedName name="Plant4_Incremental_Sales_Cost">[6]Assumptions!#REF!</definedName>
    <definedName name="Plant4_Incremental_Soybean_Oil_Cost">[6]Assumptions!$G$284</definedName>
    <definedName name="Plant4_Incremental_TT_Cost">[6]Assumptions!$I$284</definedName>
    <definedName name="Plant4_Incremental_UCO_Cost">[6]Assumptions!$M$284</definedName>
    <definedName name="Plant4_Incremental_Upfront_Cost_Depreciable_Life">[19]Inputs!$D$316</definedName>
    <definedName name="Plant4_Incremental_YellowGrease_Cost">[6]Assumptions!$K$284</definedName>
    <definedName name="Plant4_Index_BlendersCredit">[6]Assumptions!#REF!</definedName>
    <definedName name="Plant4_Index_IncrementalOperatingCosts">[6]Assumptions!#REF!</definedName>
    <definedName name="Plant4_Index_iPercent_Feedstock_Soyoil">[6]Assumptions!#REF!</definedName>
    <definedName name="Plant4_Index_Maintenance_Costs">[6]Assumptions!#REF!</definedName>
    <definedName name="Plant4_Index_MaintenanceCapital_DepreciableLife">[6]Assumptions!#REF!</definedName>
    <definedName name="Plant4_Index_SmallProducersIncentive">[6]Assumptions!#REF!</definedName>
    <definedName name="PLant4_Index_Utilization">[6]Assumptions!#REF!</definedName>
    <definedName name="Plant4_Location">[12]Assumptions!$I$654</definedName>
    <definedName name="Plant5_Capacity">[6]Assumptions!#REF!</definedName>
    <definedName name="Plant5_ConstructionTime">[6]Assumptions!#REF!</definedName>
    <definedName name="Plant5_Incremental_AnimalFat_Cost">[6]Assumptions!#REF!</definedName>
    <definedName name="Plant5_Incremental_BFT_Cost">[6]Assumptions!#REF!</definedName>
    <definedName name="Plant5_Incremental_Sales_Cost">[6]Assumptions!#REF!</definedName>
    <definedName name="Plant5_Incremental_Soyoil_Cost">[6]Assumptions!#REF!</definedName>
    <definedName name="Plant5_Incremental_Upfront_Cost">[6]Assumptions!#REF!</definedName>
    <definedName name="Plant5_Incremental_Upfront_Cost_Depreciable_Life">[6]Assumptions!#REF!</definedName>
    <definedName name="Plant5_Incrementaly_YellowGrease_Cost">[6]Assumptions!#REF!</definedName>
    <definedName name="Plant5_Index_BlendersCredit">[6]Assumptions!#REF!</definedName>
    <definedName name="Plant5_Index_IncrementalOperatingCosts">[6]Assumptions!#REF!</definedName>
    <definedName name="Plant5_Index_iPercent_Feedstock_Soyoil">[6]Assumptions!#REF!</definedName>
    <definedName name="Plant5_Index_Maintenance_Costs">[6]Assumptions!#REF!</definedName>
    <definedName name="Plant5_Index_MaintenanceCapital_DepreciableLife">[6]Assumptions!#REF!</definedName>
    <definedName name="Plant5_Index_SmallProducersIncentive">[6]Assumptions!#REF!</definedName>
    <definedName name="Plant5_Index_Utilization">[6]Assumptions!#REF!</definedName>
    <definedName name="Plant5_Location">[6]Assumptions!#REF!</definedName>
    <definedName name="Plant5_MaintenanceCapital_DepreciableLife">[6]Assumptions!#REF!</definedName>
    <definedName name="Plant6_ConstructionTime">[6]Assumptions!$Q$649</definedName>
    <definedName name="Plant6_Incremental_AnimalFat_Cost">[6]Assumptions!#REF!</definedName>
    <definedName name="Plant6_Incremental_BFT_cost">[6]Assumptions!#REF!</definedName>
    <definedName name="Plant6_Incremental_Corn_oil_cost">[6]Assumptions!#REF!</definedName>
    <definedName name="Plant6_Incremental_CWG_cost">[6]Assumptions!#REF!</definedName>
    <definedName name="Plant6_Incremental_Soybean_oil_cost">[6]Assumptions!#REF!</definedName>
    <definedName name="Plant6_Incremental_Soyoil_Cost">[6]Assumptions!#REF!</definedName>
    <definedName name="Plant6_Incremental_TT_cost">[6]Assumptions!#REF!</definedName>
    <definedName name="Plant6_Incremental_UCO_cost">[6]Assumptions!#REF!</definedName>
    <definedName name="Plant6_Incremental_Upfront_Cost_Depreciable_Life">[6]Assumptions!$Q$656</definedName>
    <definedName name="Plant6_Incremental_Yellow_Grease_cost">[6]Assumptions!#REF!</definedName>
    <definedName name="Plant6_Index_BlendersCredit">[6]Assumptions!#REF!</definedName>
    <definedName name="Plant6_Index_IncrementalOperatingCosts">[6]Assumptions!#REF!</definedName>
    <definedName name="Plant6_Index_iPercent_Feedstock_Soyoil">[6]Assumptions!#REF!</definedName>
    <definedName name="Plant6_Index_Maintenance_Costs">[6]Assumptions!#REF!</definedName>
    <definedName name="Plant6_Index_MaintenanceCapital_DepreciableLife">[6]Assumptions!#REF!</definedName>
    <definedName name="Plant6_Index_SmallProducersIncentive">[6]Assumptions!#REF!</definedName>
    <definedName name="Plant6_Index_Utilization">[6]Assumptions!#REF!</definedName>
    <definedName name="Plant6_Location">[6]Assumptions!$Q$648</definedName>
    <definedName name="Plant7_ConstructionTime">[6]Assumptions!$P$649</definedName>
    <definedName name="Plant7_Incremental_AnimalFat_Cost">[6]Assumptions!#REF!</definedName>
    <definedName name="Plant7_Incremental_Sales_Cost">[6]Assumptions!#REF!</definedName>
    <definedName name="Plant7_Incremental_Upfront_Cost">[6]Assumptions!$P$652</definedName>
    <definedName name="Plant7_Incremental_Upfront_Cost_Depreciable_Life">[6]Assumptions!$P$656</definedName>
    <definedName name="Plant7_Index_BlendersCredit">[6]Assumptions!#REF!</definedName>
    <definedName name="Plant7_Index_IncrementalOperatingCosts">[6]Assumptions!#REF!</definedName>
    <definedName name="Plant7_Index_iPercent_Feedstock_Soyoil">[6]Assumptions!#REF!</definedName>
    <definedName name="Plant7_Index_MaintenanceCapital_DepreciableLife">[6]Assumptions!#REF!</definedName>
    <definedName name="Plant7_Index_SmallProducersIncentive">[6]Assumptions!#REF!</definedName>
    <definedName name="Plant7_Index_Utilization">[6]Assumptions!#REF!</definedName>
    <definedName name="plant7_Location">[12]Assumptions!$P$654</definedName>
    <definedName name="Plant8_ConstructionTime">[6]Assumptions!$O$649</definedName>
    <definedName name="Plant8_Incremental_AnimalFat_Cost">[6]Assumptions!$I$287</definedName>
    <definedName name="Plant8_Incremental_Soyoil_Cost">[6]Assumptions!$G$287</definedName>
    <definedName name="Plant8_Incremental_Upfront_Cost">[6]Assumptions!$O$652</definedName>
    <definedName name="Plant8_Incremental_Upfront_Cost_Depreciable_Life">[6]Assumptions!$O$656</definedName>
    <definedName name="Plant8_Index_BlendersCredit">[6]Assumptions!#REF!</definedName>
    <definedName name="Plant8_Index_IncrementalOperatingCosts">[6]Assumptions!#REF!</definedName>
    <definedName name="Plant8_Index_iPercent_Feedstock_Soyoil">[6]Assumptions!#REF!</definedName>
    <definedName name="Plant8_Index_Maintenance_Costs">[6]Assumptions!#REF!</definedName>
    <definedName name="Plant8_Index_MaintenanceCapital_DepreciableLife">[6]Assumptions!#REF!</definedName>
    <definedName name="Plant8_Index_SmallProducersIncentive">[6]Assumptions!#REF!</definedName>
    <definedName name="Plant8_Index_Utilization">[6]Assumptions!#REF!</definedName>
    <definedName name="Plant8_Location">[12]Assumptions!$O$654</definedName>
    <definedName name="Plant9_ConstructionTime">[6]Assumptions!$R$649</definedName>
    <definedName name="Plant9_Incremental_Soyoil_Cost">[6]Assumptions!$T$654</definedName>
    <definedName name="Plant9_Incremental_Upfront_Cost">[6]Assumptions!$R$652</definedName>
    <definedName name="Plant9_Incremental_Upfront_Cost_Depreciable_Life">[6]Assumptions!$R$652</definedName>
    <definedName name="Plant9_Index_BlendersCredit">[6]Assumptions!#REF!</definedName>
    <definedName name="Plant9_Index_IncrementalOperatingCosts">[6]Assumptions!#REF!</definedName>
    <definedName name="Plant9_Index_iPercent_Feedstock_Soyoil">[6]Assumptions!#REF!</definedName>
    <definedName name="Plant9_Index_Maintenance_Costs">[6]Assumptions!#REF!</definedName>
    <definedName name="Plant9_Index_MaintenanceCapital_DepreciableLife">[6]Assumptions!#REF!</definedName>
    <definedName name="Plant9_Index_SmallProducersIncentive">[6]Assumptions!#REF!</definedName>
    <definedName name="Plant9_Index_Utilization">[6]Assumptions!#REF!</definedName>
    <definedName name="Plant9_Location">[6]Assumptions!$R$648</definedName>
    <definedName name="PlantRalston_Incremental_BFT_Cost">[6]Assumptions!$L$280</definedName>
    <definedName name="PlantRalston_Incremental_Corn_Oil_Cost">[6]Assumptions!$H$280</definedName>
    <definedName name="PlantRalston_Incremental_CWG_Cost">[6]Assumptions!$J$280</definedName>
    <definedName name="PlantRalston_Incremental_Soybean_Oil_Cost">[6]Assumptions!$G$280</definedName>
    <definedName name="PlantRalston_Incremental_TT_Cost">[6]Assumptions!$I$280</definedName>
    <definedName name="PlantRalston_Incremental_UCO_Cost">[6]Assumptions!$M$280</definedName>
    <definedName name="PlantRalston_Incremental_Yellow_Grease_Cost">[6]Assumptions!$K$280</definedName>
    <definedName name="poa">[20]Switch!$B$8</definedName>
    <definedName name="price_Glycerin_y1q2">[6]Assumptions!#REF!</definedName>
    <definedName name="price_Glycerin_y1q3">[6]Assumptions!#REF!</definedName>
    <definedName name="price_Glycerin_y1q4">[6]Assumptions!#REF!</definedName>
    <definedName name="price_USPVegGlycerin_7">[6]Assumptions!$K$186</definedName>
    <definedName name="priceBiodiesel_10">[6]Assumptions!#REF!</definedName>
    <definedName name="priceBiodiesel_3">[6]Assumptions!#REF!</definedName>
    <definedName name="priceBiodiesel_3q1">[6]Assumptions!#REF!</definedName>
    <definedName name="priceBiodiesel_3q2">[6]Assumptions!#REF!</definedName>
    <definedName name="priceBiodiesel_3q3">[6]Assumptions!#REF!</definedName>
    <definedName name="priceBiodiesel_3q4">[6]Assumptions!#REF!</definedName>
    <definedName name="priceBiodiesel_4">[6]Assumptions!#REF!</definedName>
    <definedName name="priceBiodiesel_4_q2">[6]Assumptions!#REF!</definedName>
    <definedName name="priceBiodiesel_4_q3">[6]Assumptions!#REF!</definedName>
    <definedName name="priceBiodiesel_4_q4">[6]Assumptions!#REF!</definedName>
    <definedName name="priceBiodiesel_4q2">[6]Assumptions!#REF!</definedName>
    <definedName name="priceBiodiesel_5">[6]Assumptions!#REF!</definedName>
    <definedName name="priceBiodiesel_6">[6]Assumptions!#REF!</definedName>
    <definedName name="priceBiodiesel_7">[6]Assumptions!#REF!</definedName>
    <definedName name="priceBiodiesel_8">[6]Assumptions!#REF!</definedName>
    <definedName name="priceBiodiesel_9">[6]Assumptions!#REF!</definedName>
    <definedName name="priceBiodiesel_y1q1">[6]Assumptions!#REF!</definedName>
    <definedName name="priceBiodiesel_y1q2">[6]Assumptions!#REF!</definedName>
    <definedName name="priceBiodiesel_y1q3">[6]Assumptions!#REF!</definedName>
    <definedName name="priceBiodiesel_y1q4">[6]Assumptions!#REF!</definedName>
    <definedName name="priceBiodiesel_y2q1">[6]Assumptions!#REF!</definedName>
    <definedName name="priceBiodiesel_y2q2">[6]Assumptions!#REF!</definedName>
    <definedName name="priceBiodiesel_y2q3">[6]Assumptions!#REF!</definedName>
    <definedName name="priceBiodiesel_y2q4">#REF!</definedName>
    <definedName name="pricebiodiesel3q1">[6]Assumptions!#REF!</definedName>
    <definedName name="pricebiodiesel3q2">[6]Assumptions!#REF!</definedName>
    <definedName name="pricebiodiesel3q3">[6]Assumptions!#REF!</definedName>
    <definedName name="pricebiodiesel3q4">[6]Assumptions!#REF!</definedName>
    <definedName name="priceFatGlycerin_5">[6]Assumptions!$B$185</definedName>
    <definedName name="priceFatGlycerin_7">[6]Assumptions!$K$185</definedName>
    <definedName name="priceFatGlycerin_8">[6]Assumptions!$L$185</definedName>
    <definedName name="priceFatGlycerin_9">[6]Assumptions!$M$185</definedName>
    <definedName name="priceFatGlycerin_y1q1">[6]Assumptions!#REF!</definedName>
    <definedName name="priceFatGlycerin_y1q2">[6]Assumptions!#REF!</definedName>
    <definedName name="priceFatGlycerin_y1q3">[6]Assumptions!#REF!</definedName>
    <definedName name="priceFatGlycerin_y1q4">[6]Assumptions!#REF!</definedName>
    <definedName name="priceFatGlycerin_y2q1">[6]Assumptions!#REF!</definedName>
    <definedName name="priceFatGlycerin_y2q2">[6]Assumptions!#REF!</definedName>
    <definedName name="priceFatGlycerin_y2q3">[6]Assumptions!#REF!</definedName>
    <definedName name="priceFatGlycerin_y2q4">[6]Assumptions!#REF!</definedName>
    <definedName name="priceFatGlycerin_y3q1">[6]Assumptions!#REF!</definedName>
    <definedName name="priceFatGlycerin_y3q2">[6]Assumptions!#REF!</definedName>
    <definedName name="priceFatGlycerin_y3q3">[6]Assumptions!#REF!</definedName>
    <definedName name="priceFatGlycerin_y3q4">[6]Assumptions!#REF!</definedName>
    <definedName name="priceFatGlycerin_y4q1">[6]Assumptions!#REF!</definedName>
    <definedName name="priceFatGlycerin_y4q2">[6]Assumptions!#REF!</definedName>
    <definedName name="priceFatGlycerin_y4q3">[6]Assumptions!#REF!</definedName>
    <definedName name="priceFatGlycerin_y4q4">[6]Assumptions!#REF!</definedName>
    <definedName name="priceFattyAcid_1">[6]Assumptions!#REF!</definedName>
    <definedName name="priceFattyAcid_10">[6]Assumptions!$N$191</definedName>
    <definedName name="priceFattyAcid_2">[6]Assumptions!#REF!</definedName>
    <definedName name="priceFattyAcid_3">[6]Assumptions!#REF!</definedName>
    <definedName name="priceFattyAcid_3q2">[6]Assumptions!#REF!</definedName>
    <definedName name="priceFattyAcid_3q3">[6]Assumptions!#REF!</definedName>
    <definedName name="priceFattyAcid_3q4">[6]Assumptions!#REF!</definedName>
    <definedName name="priceFattyAcid_4">[6]Assumptions!#REF!</definedName>
    <definedName name="priceFattyAcid_4q2">[6]Assumptions!#REF!</definedName>
    <definedName name="priceFattyAcid_4q3">[6]Assumptions!#REF!</definedName>
    <definedName name="priceFattyAcid_4q4">[6]Assumptions!#REF!</definedName>
    <definedName name="priceFattyAcid_5">[6]Assumptions!$B$191</definedName>
    <definedName name="priceFattyAcid_6">[6]Assumptions!$J$191</definedName>
    <definedName name="priceFattyAcid_7">[6]Assumptions!$K$191</definedName>
    <definedName name="priceFattyAcid_8">[6]Assumptions!$L$191</definedName>
    <definedName name="priceFattyAcid_9">[6]Assumptions!$M$191</definedName>
    <definedName name="priceGlycerin_1">[6]Assumptions!#REF!</definedName>
    <definedName name="priceGlycerin_10">[6]Assumptions!$N$184</definedName>
    <definedName name="priceGlycerin_2">[6]Assumptions!#REF!</definedName>
    <definedName name="priceGlycerin_3">[6]Assumptions!#REF!</definedName>
    <definedName name="priceGlycerin_4">[6]Assumptions!#REF!</definedName>
    <definedName name="priceGlycerin_5">[6]Assumptions!$B$184</definedName>
    <definedName name="priceGlycerin_6">[6]Assumptions!$J$184</definedName>
    <definedName name="priceGlycerin_7">[6]Assumptions!$K$184</definedName>
    <definedName name="priceGlycerin_8">[6]Assumptions!$L$184</definedName>
    <definedName name="priceGlycerin_9">[6]Assumptions!$M$184</definedName>
    <definedName name="priceGlycerin_y1q1">[6]Assumptions!#REF!</definedName>
    <definedName name="priceGlycerin_y2q2">[6]Assumptions!#REF!</definedName>
    <definedName name="priceGlycerin_y2q3">[6]Assumptions!#REF!</definedName>
    <definedName name="priceGlycerin_y2q4">[6]Assumptions!#REF!</definedName>
    <definedName name="priceGlycerin_y3q2">[6]Assumptions!#REF!</definedName>
    <definedName name="priceGlycerin_y3q3">[6]Assumptions!#REF!</definedName>
    <definedName name="priceGlycerin_y3q4">[6]Assumptions!#REF!</definedName>
    <definedName name="priceGlycerin_y4q2">[6]Assumptions!#REF!</definedName>
    <definedName name="priceGlycerin_y4q3">[6]Assumptions!#REF!</definedName>
    <definedName name="priceGlycerin_y4q4">[6]Assumptions!#REF!</definedName>
    <definedName name="priceMethanol_10">[6]Assumptions!$N$190</definedName>
    <definedName name="priceMethanol_5">[6]Assumptions!$B$190</definedName>
    <definedName name="priceMethanol_6">[6]Assumptions!$J$190</definedName>
    <definedName name="priceMethanol_7">[6]Assumptions!$K$190</definedName>
    <definedName name="priceMethanol_8">[6]Assumptions!$L$190</definedName>
    <definedName name="priceMethanol_9">[6]Assumptions!$M$190</definedName>
    <definedName name="priceMethanol_y1q1">[6]Assumptions!#REF!</definedName>
    <definedName name="priceMethanol_y1q2">[6]Assumptions!#REF!</definedName>
    <definedName name="priceMethanol_y1q3">[6]Assumptions!#REF!</definedName>
    <definedName name="priceMethanol_y1q4">[6]Assumptions!#REF!</definedName>
    <definedName name="priceMethanol_y2q1">[6]Assumptions!#REF!</definedName>
    <definedName name="priceMethanol_y2q2">[6]Assumptions!#REF!</definedName>
    <definedName name="priceMethanol_y2q3">[6]Assumptions!#REF!</definedName>
    <definedName name="priceMethanol_y2q4">[6]Assumptions!#REF!</definedName>
    <definedName name="priceMethanol_y3q1">[6]Assumptions!#REF!</definedName>
    <definedName name="priceMethanol_y3q2">[6]Assumptions!#REF!</definedName>
    <definedName name="priceMethanol_y3q3">[6]Assumptions!#REF!</definedName>
    <definedName name="priceMethanol_y3q4">[6]Assumptions!#REF!</definedName>
    <definedName name="priceMethanol_y4q1">[6]Assumptions!#REF!</definedName>
    <definedName name="priceMethanol_y4q2">[6]Assumptions!#REF!</definedName>
    <definedName name="priceMethanol_y4q3">[6]Assumptions!#REF!</definedName>
    <definedName name="priceMethanol_y4q4">[6]Assumptions!#REF!</definedName>
    <definedName name="priceSoapstock_1">[6]Assumptions!#REF!</definedName>
    <definedName name="priceSoapstock_10">[6]Assumptions!$N$192</definedName>
    <definedName name="priceSoapstock_2">[6]Assumptions!#REF!</definedName>
    <definedName name="priceSoapstock_3">[6]Assumptions!#REF!</definedName>
    <definedName name="priceSoapstock_4">[6]Assumptions!#REF!</definedName>
    <definedName name="priceSoapstock_5">[6]Assumptions!$B$192</definedName>
    <definedName name="priceSoapstock_6">[6]Assumptions!$J$192</definedName>
    <definedName name="priceSoapstock_7">[6]Assumptions!$K$192</definedName>
    <definedName name="priceSoapstock_8">[6]Assumptions!$L$192</definedName>
    <definedName name="priceSoapstock_9">[6]Assumptions!$M$192</definedName>
    <definedName name="priceUSPFatGlcyerin_y1q1">[6]Assumptions!#REF!</definedName>
    <definedName name="priceUSPFatGlycerin_10">[6]Assumptions!$N$187</definedName>
    <definedName name="priceUSPFatGlycerin_5">[6]Assumptions!$B$187</definedName>
    <definedName name="priceUSPFatGlycerin_6">[6]Assumptions!$J$187</definedName>
    <definedName name="priceUSPFatGlycerin_7">[6]Assumptions!$K$187</definedName>
    <definedName name="priceUSPFatGlycerin_8">[6]Assumptions!$L$187</definedName>
    <definedName name="priceUSPFatGlycerin_9">[6]Assumptions!$M$187</definedName>
    <definedName name="priceUSPFatGlycerin_y1q2">[6]Assumptions!#REF!</definedName>
    <definedName name="priceUSPFatGlycerin_y1q3">[6]Assumptions!#REF!</definedName>
    <definedName name="priceUSPFatGlycerin_y1q4">[6]Assumptions!#REF!</definedName>
    <definedName name="priceUSPFatGlycerin_y2q1">[6]Assumptions!#REF!</definedName>
    <definedName name="priceUSPFatGlycerin_y2q2">[6]Assumptions!#REF!</definedName>
    <definedName name="priceUSPFatGlycerin_y2q3">[6]Assumptions!#REF!</definedName>
    <definedName name="priceUSPFatGlycerin_y2q4">[6]Assumptions!#REF!</definedName>
    <definedName name="priceUSPFatGlycerin_y3q1">[6]Assumptions!#REF!</definedName>
    <definedName name="priceUSPFatGlycerin_y3q2">[6]Assumptions!#REF!</definedName>
    <definedName name="priceUSPFatGlycerin_y3q3">[6]Assumptions!#REF!</definedName>
    <definedName name="priceUSPFatGlycerin_y3q4">[6]Assumptions!#REF!</definedName>
    <definedName name="priceUSPFatGlycerin_y4q1">[6]Assumptions!#REF!</definedName>
    <definedName name="priceUSPFatGlycerin_y4q2">[6]Assumptions!#REF!</definedName>
    <definedName name="priceUSPFatGlycerin_y4q3">[6]Assumptions!#REF!</definedName>
    <definedName name="priceUSPFatGlycerin_y4q4">[6]Assumptions!#REF!</definedName>
    <definedName name="priceUSPVegGlycerin_10">[6]Assumptions!$N$186</definedName>
    <definedName name="priceUSPVegGlycerin_5">[6]Assumptions!$B$186</definedName>
    <definedName name="priceUSPVegGlycerin_6">[6]Assumptions!$J$186</definedName>
    <definedName name="priceUSPVegGlycerin_8">[6]Assumptions!$L$186</definedName>
    <definedName name="priceUSPVegGlycerin_9">[6]Assumptions!$M$186</definedName>
    <definedName name="priceUSPVegGlycerin_y1q1">[6]Assumptions!#REF!</definedName>
    <definedName name="priceUSPVegGlycerin_y1q2">[6]Assumptions!#REF!</definedName>
    <definedName name="priceUSPVegGlycerin_y1q3">[6]Assumptions!#REF!</definedName>
    <definedName name="priceUSPVegGlycerin_y1q4">[6]Assumptions!#REF!</definedName>
    <definedName name="priceUSPVegGlycerin_y2q1">[6]Assumptions!#REF!</definedName>
    <definedName name="priceUSPVegGlycerin_y2q2">[6]Assumptions!#REF!</definedName>
    <definedName name="priceUSPVegGlycerin_y2q3">[6]Assumptions!#REF!</definedName>
    <definedName name="priceUSPVegGlycerin_y2q4">[6]Assumptions!#REF!</definedName>
    <definedName name="priceUSPVegGlycerin_y3q2">[6]Assumptions!#REF!</definedName>
    <definedName name="priceUSPVegGlycerin_y3q3">[6]Assumptions!#REF!</definedName>
    <definedName name="priceUSPVegGlycerin_y3q4">[6]Assumptions!#REF!</definedName>
    <definedName name="priceUSPVegGlycerin_y4q1">[6]Assumptions!#REF!</definedName>
    <definedName name="priceUSPVegGlycerin_y4q2">[6]Assumptions!#REF!</definedName>
    <definedName name="priceUSPVegGlycerin_y4q3">[6]Assumptions!#REF!</definedName>
    <definedName name="priceUSPVegGlycerin_y4q4">[6]Assumptions!#REF!</definedName>
    <definedName name="priceVegGlycerin_y3q1">[6]Assumptions!#REF!</definedName>
    <definedName name="Process_Equipment_Total">#REF!</definedName>
    <definedName name="Process_Hrs">#REF!</definedName>
    <definedName name="Process_Labor_Total">#REF!</definedName>
    <definedName name="Process_Material_Total">#REF!</definedName>
    <definedName name="Process_Sub_Total">#REF!</definedName>
    <definedName name="Process_Total">#REF!</definedName>
    <definedName name="Product_sensitivity">1-#REF!</definedName>
    <definedName name="projectdate">#REF!</definedName>
    <definedName name="PUB_FileID">"N10003653.xls"</definedName>
    <definedName name="PUB_UserID">"QUARKS"</definedName>
    <definedName name="qweoiruqoewiruqpowieurq">{0;5;10;5;10;13;13;13;8;5;5;10;14;13;13;13;13;5;10;14;13;5;10;1;2;24}</definedName>
    <definedName name="R_CREC_1">INDIRECT(""&amp;#REF!&amp;"!"&amp;#REF!&amp;":"&amp;#REF!)</definedName>
    <definedName name="R_CREC_2">INDIRECT(""&amp;#REF!&amp;"!"&amp;#REF!&amp;":"&amp;#REF!)</definedName>
    <definedName name="R_CREC_3">INDIRECT(""&amp;#REF!&amp;"!"&amp;#REF!&amp;":"&amp;#REF!)</definedName>
    <definedName name="R_CREC_4">INDIRECT(""&amp;#REF!&amp;"!"&amp;#REF!&amp;":"&amp;#REF!)</definedName>
    <definedName name="R_CREC_5">INDIRECT(""&amp;#REF!&amp;"!"&amp;#REF!&amp;":"&amp;#REF!)</definedName>
    <definedName name="R_CREC_6">INDIRECT(""&amp;#REF!&amp;"!"&amp;#REF!&amp;":"&amp;#REF!)</definedName>
    <definedName name="R_CREC_7">INDIRECT(""&amp;#REF!&amp;"!"&amp;#REF!&amp;":"&amp;#REF!)</definedName>
    <definedName name="R_CREC_8">INDIRECT(""&amp;#REF!&amp;"!"&amp;#REF!&amp;":"&amp;#REF!)</definedName>
    <definedName name="R_CREC_9">INDIRECT(""&amp;#REF!&amp;"!"&amp;#REF!&amp;":"&amp;#REF!)</definedName>
    <definedName name="R_PBI_1">INDIRECT(""&amp;#REF!&amp;"!"&amp;#REF!&amp;":"&amp;#REF!)</definedName>
    <definedName name="R_PBI_2">INDIRECT(""&amp;#REF!&amp;"!"&amp;#REF!&amp;":"&amp;#REF!)</definedName>
    <definedName name="R_PBI_3">INDIRECT(""&amp;#REF!&amp;"!"&amp;#REF!&amp;":"&amp;#REF!)</definedName>
    <definedName name="R_PBI_4">INDIRECT(""&amp;#REF!&amp;"!"&amp;#REF!&amp;":"&amp;#REF!)</definedName>
    <definedName name="R_PBI_5">INDIRECT(""&amp;#REF!&amp;"!"&amp;#REF!&amp;":"&amp;#REF!)</definedName>
    <definedName name="R_PBI_6">INDIRECT(""&amp;#REF!&amp;"!"&amp;#REF!&amp;":"&amp;#REF!)</definedName>
    <definedName name="R_PBI_7">INDIRECT(""&amp;#REF!&amp;"!"&amp;#REF!&amp;":"&amp;#REF!)</definedName>
    <definedName name="R_PBI_8">INDIRECT(""&amp;#REF!&amp;"!"&amp;#REF!&amp;":"&amp;#REF!)</definedName>
    <definedName name="R_PBI_9">INDIRECT(""&amp;#REF!&amp;"!"&amp;#REF!&amp;":"&amp;#REF!)</definedName>
    <definedName name="R_PPA_1">INDIRECT(""&amp;#REF!&amp;"!"&amp;#REF!&amp;":"&amp;#REF!)</definedName>
    <definedName name="R_PPA_2">INDIRECT(""&amp;#REF!&amp;"!"&amp;#REF!&amp;":"&amp;#REF!)</definedName>
    <definedName name="R_PPA_3">INDIRECT(""&amp;#REF!&amp;"!"&amp;#REF!&amp;":"&amp;#REF!)</definedName>
    <definedName name="R_PPA_4">INDIRECT(""&amp;#REF!&amp;"!"&amp;#REF!&amp;":"&amp;#REF!)</definedName>
    <definedName name="R_PPA_5">INDIRECT(""&amp;#REF!&amp;"!"&amp;#REF!&amp;":"&amp;#REF!)</definedName>
    <definedName name="R_PPA_6">INDIRECT(""&amp;#REF!&amp;"!"&amp;#REF!&amp;":"&amp;#REF!)</definedName>
    <definedName name="R_PPA_7">INDIRECT(""&amp;#REF!&amp;"!"&amp;#REF!&amp;":"&amp;#REF!)</definedName>
    <definedName name="R_PPA_8">INDIRECT(""&amp;#REF!&amp;"!"&amp;#REF!&amp;":"&amp;#REF!)</definedName>
    <definedName name="R_PPA_9">INDIRECT(""&amp;#REF!&amp;"!"&amp;#REF!&amp;":"&amp;#REF!)</definedName>
    <definedName name="R_Rebate_1">INDIRECT(""&amp;#REF!&amp;"!"&amp;#REF!&amp;":"&amp;#REF!)</definedName>
    <definedName name="R_Rebate_2">INDIRECT(""&amp;#REF!&amp;"!"&amp;#REF!&amp;":"&amp;#REF!)</definedName>
    <definedName name="R_Rebate_3">INDIRECT(""&amp;#REF!&amp;"!"&amp;#REF!&amp;":"&amp;#REF!)</definedName>
    <definedName name="R_Rebate_4">INDIRECT(""&amp;#REF!&amp;"!"&amp;#REF!&amp;":"&amp;#REF!)</definedName>
    <definedName name="R_Rebate_5">INDIRECT(""&amp;#REF!&amp;"!"&amp;#REF!&amp;":"&amp;#REF!)</definedName>
    <definedName name="R_Rebate_6">INDIRECT(""&amp;#REF!&amp;"!"&amp;#REF!&amp;":"&amp;#REF!)</definedName>
    <definedName name="R_Rebate_7">INDIRECT(""&amp;#REF!&amp;"!"&amp;#REF!&amp;":"&amp;#REF!)</definedName>
    <definedName name="R_Rebate_8">INDIRECT(""&amp;#REF!&amp;"!"&amp;#REF!&amp;":"&amp;#REF!)</definedName>
    <definedName name="R_Rebate_9">INDIRECT(""&amp;#REF!&amp;"!"&amp;#REF!&amp;":"&amp;#REF!)</definedName>
    <definedName name="R_UnREC_1">INDIRECT(""&amp;#REF!&amp;"!"&amp;#REF!&amp;":"&amp;#REF!)</definedName>
    <definedName name="R_UnREC_2">INDIRECT(""&amp;#REF!&amp;"!"&amp;#REF!&amp;":"&amp;#REF!)</definedName>
    <definedName name="R_UnREC_3">INDIRECT(""&amp;#REF!&amp;"!"&amp;#REF!&amp;":"&amp;#REF!)</definedName>
    <definedName name="R_UnREC_4">INDIRECT(""&amp;#REF!&amp;"!"&amp;#REF!&amp;":"&amp;#REF!)</definedName>
    <definedName name="R_UnREC_5">INDIRECT(""&amp;#REF!&amp;"!"&amp;#REF!&amp;":"&amp;#REF!)</definedName>
    <definedName name="R_UnREC_6">INDIRECT(""&amp;#REF!&amp;"!"&amp;#REF!&amp;":"&amp;#REF!)</definedName>
    <definedName name="R_UnREC_7">INDIRECT(""&amp;#REF!&amp;"!"&amp;#REF!&amp;":"&amp;#REF!)</definedName>
    <definedName name="R_UnREC_8">INDIRECT(""&amp;#REF!&amp;"!"&amp;#REF!&amp;":"&amp;#REF!)</definedName>
    <definedName name="R_UnREC_9">INDIRECT(""&amp;#REF!&amp;"!"&amp;#REF!&amp;":"&amp;#REF!)</definedName>
    <definedName name="Rail_Equipment_Total">#REF!</definedName>
    <definedName name="Rail_Hrs">#REF!</definedName>
    <definedName name="Rail_Labor_Total">#REF!</definedName>
    <definedName name="Rail_Material_Total">#REF!</definedName>
    <definedName name="Rail_Sub_Total">#REF!</definedName>
    <definedName name="Rail_Total">#REF!</definedName>
    <definedName name="Ralston_BlendersCredit_1">[6]Assumptions!#REF!</definedName>
    <definedName name="Ralston_BlendersCredit_10">[6]Assumptions!$K$615</definedName>
    <definedName name="Ralston_BlendersCredit_2">[6]Assumptions!#REF!</definedName>
    <definedName name="Ralston_BlendersCredit_3">[6]Assumptions!#REF!</definedName>
    <definedName name="Ralston_BlendersCredit_5">[6]Assumptions!$C$615</definedName>
    <definedName name="Ralston_BlendersCredit_6">[6]Assumptions!$G$615</definedName>
    <definedName name="Ralston_BlendersCredit_7">[6]Assumptions!$H$615</definedName>
    <definedName name="Ralston_BlendersCredit_8">[6]Assumptions!$I$615</definedName>
    <definedName name="Ralston_BlendersCredit_9">[6]Assumptions!$J$615</definedName>
    <definedName name="Ralston_ConstructionTime">[6]Assumptions!$G$649</definedName>
    <definedName name="Ralston_Incremental_Sales_Cost">[6]Assumptions!#REF!</definedName>
    <definedName name="Ralston_Incremental_Soyoil_Cost">[6]Assumptions!#REF!</definedName>
    <definedName name="Ralston_Incremental_Upfront_Cost">[6]Assumptions!$G$652</definedName>
    <definedName name="Ralston_Incremental_Upfront_Cost_Depreciable_Life">[6]Assumptions!$G$656</definedName>
    <definedName name="Ralston_Index_BlendersCredit">[6]Assumptions!#REF!</definedName>
    <definedName name="Ralston_Index_IncrementalOperatingCosts">[6]Assumptions!#REF!</definedName>
    <definedName name="Ralston_Index_iPercent_Feedstock_BFT">[6]Assumptions!#REF!</definedName>
    <definedName name="Ralston_Index_iPercent_Feedstock_CO">[6]Assumptions!#REF!</definedName>
    <definedName name="Ralston_Index_iPercent_Feedstock_CWG">[6]Assumptions!#REF!</definedName>
    <definedName name="Ralston_Index_iPercent_Feedstock_Soyoil">[6]Assumptions!#REF!</definedName>
    <definedName name="Ralston_Index_iPercent_Feedstock_TechTallow">[6]Assumptions!#REF!</definedName>
    <definedName name="Ralston_Index_iPercent_Feedstock_UCO">[6]Assumptions!#REF!</definedName>
    <definedName name="Ralston_Index_iPercent_Feedstock_YG">[6]Assumptions!#REF!</definedName>
    <definedName name="Ralston_Index_Maintenance_Costs">[6]Assumptions!#REF!</definedName>
    <definedName name="Ralston_Index_MaintenanceCapital_DepreciableLife">[6]Assumptions!#REF!</definedName>
    <definedName name="Ralston_Index_Otherfour_gallons">[6]Assumptions!#REF!</definedName>
    <definedName name="Ralston_index_Otherone_Gallons">[6]Assumptions!#REF!</definedName>
    <definedName name="Ralston_Index_Otherthree_Gallons">[6]Assumptions!#REF!</definedName>
    <definedName name="Ralston_Index_Othertwo_Gallons">[6]Assumptions!#REF!</definedName>
    <definedName name="Ralston_index_PeterCremer_Gallons">#REF!</definedName>
    <definedName name="Ralston_Index_Profit_Margin_Interwest">#REF!</definedName>
    <definedName name="Ralston_Index_SmallProducersIncentive">[6]Assumptions!#REF!</definedName>
    <definedName name="Ralston_Index_Utilization">[6]Assumptions!#REF!</definedName>
    <definedName name="Ralston_Location">[12]Assumptions!$G$654</definedName>
    <definedName name="Rankings">#REF!</definedName>
    <definedName name="Rate_Return">#REF!</definedName>
    <definedName name="RATIO">#REF!</definedName>
    <definedName name="Raw_Data_1">[21]!Raw_Data_11011[#Data]</definedName>
    <definedName name="Reactor_TireCrumb_Throughput">#REF!</definedName>
    <definedName name="RECAST">#REF!</definedName>
    <definedName name="ref">{0;0;0;0;0;0;0;0;0;0;0;0;0;0;0;0;0;0;0;0;0;0;0;0;0;0}</definedName>
    <definedName name="REG_Albert_Lea__LLC">[8]Assumptions!$B$225:$L$225</definedName>
    <definedName name="REG_Danville__LLC">[8]Assumptions!$B$223:$L$223</definedName>
    <definedName name="REG_Houston__LLC">[8]Assumptions!$B$222:$L$222</definedName>
    <definedName name="REG_Mason_City">[8]Assumptions!$B$231:$L$231</definedName>
    <definedName name="REG_New_Boston__LLC">[8]Assumptions!$B$226:$L$226</definedName>
    <definedName name="REG_Newton__LLC">[8]Assumptions!$B$221:$L$221</definedName>
    <definedName name="REG_Plant1_Capacity">[6]Assumptions!$E$793</definedName>
    <definedName name="REG_Plant1_DirectCosts">[6]Assumptions!$E$798</definedName>
    <definedName name="REG_Plant1_IP_Admin_Expenses">[6]Assumptions!$E$800</definedName>
    <definedName name="REG_Plant1_IP_Fee">[6]Assumptions!$E$797</definedName>
    <definedName name="REG_Plant1_Location">[6]Assumptions!$E$791</definedName>
    <definedName name="REG_Plant1_Revenue">[6]Assumptions!$E$795</definedName>
    <definedName name="REG_Plant1_Time">[6]Assumptions!$E$792</definedName>
    <definedName name="REG_Plant10_Capacity">[6]Assumptions!$M$793</definedName>
    <definedName name="REG_Plant10_DirectCosts">[6]Assumptions!$M$798</definedName>
    <definedName name="REG_Plant10_IP_Admin_Expenses">[6]Assumptions!$M$800</definedName>
    <definedName name="REG_Plant10_IP_Fee">[6]Assumptions!$M$797</definedName>
    <definedName name="REG_Plant10_Location">[6]Assumptions!$M$791</definedName>
    <definedName name="REG_Plant10_Revenue">[6]Assumptions!$M$795</definedName>
    <definedName name="REG_Plant10_Time">[6]Assumptions!$M$792</definedName>
    <definedName name="REG_Plant11_Capacity">[6]Assumptions!$O$793</definedName>
    <definedName name="REG_Plant11_DirectCosts">[6]Assumptions!$O$798</definedName>
    <definedName name="REG_Plant11_IP_Admin_Expenses">[6]Assumptions!$O$800</definedName>
    <definedName name="REG_Plant11_Location">[6]Assumptions!$O$791</definedName>
    <definedName name="REG_Plant11_Revenue">[6]Assumptions!$O$795</definedName>
    <definedName name="REG_Plant11_Time">[6]Assumptions!$O$792</definedName>
    <definedName name="REG_Plant12_Capacity">[6]Assumptions!$P$793</definedName>
    <definedName name="REG_Plant12_DirectCosts">[6]Assumptions!$P$798</definedName>
    <definedName name="REG_Plant12_IP_Admin_Expenses">[6]Assumptions!$P$800</definedName>
    <definedName name="REG_Plant12_Location">[6]Assumptions!$P$791</definedName>
    <definedName name="REG_Plant12_Revenue">[6]Assumptions!$P$795</definedName>
    <definedName name="REG_Plant12_Time">[6]Assumptions!$P$792</definedName>
    <definedName name="REG_Plant2_Capacity">[6]Assumptions!$K$793</definedName>
    <definedName name="REG_Plant2_DirectCosts">[6]Assumptions!$K$798</definedName>
    <definedName name="REG_Plant2_IP_Admin_Expenses">[6]Assumptions!$K$800</definedName>
    <definedName name="REG_Plant2_Location">[6]Assumptions!$K$791</definedName>
    <definedName name="REG_Plant2_Revenue">[6]Assumptions!$K$795</definedName>
    <definedName name="REG_Plant2_Time">[6]Assumptions!$K$792</definedName>
    <definedName name="REG_Plant3_DirectCosts">[6]Assumptions!$N$798</definedName>
    <definedName name="REG_Plant3_IP_Admin_Expenses">[6]Assumptions!$N$800</definedName>
    <definedName name="REG_Plant3_Location">[6]Assumptions!$N$791</definedName>
    <definedName name="REG_Plant4_Capacity">[6]Assumptions!$L$793</definedName>
    <definedName name="REG_Plant4_DirectCosts">[6]Assumptions!$L$798</definedName>
    <definedName name="REG_Plant4_IP_Admin_Expenses">[6]Assumptions!$L$800</definedName>
    <definedName name="REG_Plant4_Location">[6]Assumptions!$L$791</definedName>
    <definedName name="REG_Plant4_Revenue">[6]Assumptions!$L$795</definedName>
    <definedName name="REG_Plant4_Time">[6]Assumptions!$L$792</definedName>
    <definedName name="REG_Plant5_Capacity">[6]Assumptions!$F$793</definedName>
    <definedName name="REG_Plant5_DirectCosts">[6]Assumptions!$F$798</definedName>
    <definedName name="REG_Plant5_IP_Admin_Expenses">[6]Assumptions!$F$800</definedName>
    <definedName name="REG_Plant5_Location">[6]Assumptions!$F$791</definedName>
    <definedName name="REG_Plant5_Revenue">[6]Assumptions!$F$795</definedName>
    <definedName name="REG_Plant5_Time">[6]Assumptions!$F$792</definedName>
    <definedName name="REG_Plant6_Capacity">[6]Assumptions!$G$793</definedName>
    <definedName name="REG_Plant6_DirectCosts">[6]Assumptions!$G$798</definedName>
    <definedName name="REG_Plant6_IP_Admin_Expenses">[6]Assumptions!$G$800</definedName>
    <definedName name="REG_Plant6_Location">[6]Assumptions!$G$791</definedName>
    <definedName name="REG_Plant6_Revenue">[6]Assumptions!$G$795</definedName>
    <definedName name="REG_Plant6_Time">[6]Assumptions!$G$792</definedName>
    <definedName name="REG_Plant7_Capacity">[6]Assumptions!$H$793</definedName>
    <definedName name="REG_Plant7_DirectCosts">[6]Assumptions!$H$798</definedName>
    <definedName name="REG_Plant7_IP_Admin_Expenses">[6]Assumptions!$H$800</definedName>
    <definedName name="REG_Plant7_IP_Fee">[6]Assumptions!$H$797</definedName>
    <definedName name="REG_Plant7_Location">[6]Assumptions!$H$791</definedName>
    <definedName name="REG_Plant7_Revenue">[6]Assumptions!$H$795</definedName>
    <definedName name="REG_Plant7_Time">[6]Assumptions!$H$792</definedName>
    <definedName name="REG_Plant8_Capacity">[6]Assumptions!$I$793</definedName>
    <definedName name="REG_Plant8_DirectCosts">[6]Assumptions!$I$798</definedName>
    <definedName name="REG_Plant8_IP_Admin_Expenses">[6]Assumptions!$I$800</definedName>
    <definedName name="REG_Plant8_IP_Fee">[6]Assumptions!$I$797</definedName>
    <definedName name="REG_Plant8_Location">[6]Assumptions!$I$791</definedName>
    <definedName name="REG_Plant8_Revenue">[6]Assumptions!$I$795</definedName>
    <definedName name="REG_Plant8_Time">[6]Assumptions!$I$792</definedName>
    <definedName name="REG_Plant9_Capacity">[6]Assumptions!$J$793</definedName>
    <definedName name="REG_Plant9_DirectCosts">[6]Assumptions!$J$798</definedName>
    <definedName name="REG_Plant9_IP_Admin_Expenses">[6]Assumptions!$J$800</definedName>
    <definedName name="REG_Plant9_Location">[6]Assumptions!$J$791</definedName>
    <definedName name="REG_Plant9_Revenue">[6]Assumptions!$J$795</definedName>
    <definedName name="REG_Plant9_Time">[6]Assumptions!$J$792</definedName>
    <definedName name="REG_Ralston__LLC">[8]Assumptions!$B$220:$L$220</definedName>
    <definedName name="REG_Seneca__LLC">[8]Assumptions!$B$224:$L$224</definedName>
    <definedName name="REG_WIE_DirectCosts">[6]Assumptions!$C$798</definedName>
    <definedName name="REG_WIE_IP_Admin_Expenses">[6]Assumptions!$C$800</definedName>
    <definedName name="REG_WIE_IP_Fee">[6]Assumptions!$C$797</definedName>
    <definedName name="REGPlant1_FFS">[6]Assumptions!$E$801</definedName>
    <definedName name="REGPlant1_Index_FeeforService">[6]Assumptions!#REF!</definedName>
    <definedName name="REGPlant1_Index_ProfitSharing">[6]Assumptions!#REF!</definedName>
    <definedName name="REGPLant1_Index_Utilization">[6]Assumptions!#REF!</definedName>
    <definedName name="REGPlant10_FeeforService">[6]Assumptions!#REF!</definedName>
    <definedName name="REGPlant10_FFS">[6]Assumptions!$M$801</definedName>
    <definedName name="REGPlant10_Index_FeeforService">[6]Assumptions!#REF!</definedName>
    <definedName name="REGPlant10_Index_ProfitSharing">[6]Assumptions!#REF!</definedName>
    <definedName name="REGPlant10_Index_Utilization">[6]Assumptions!#REF!</definedName>
    <definedName name="REGPlant10_ProfitSharing">[6]Assumptions!#REF!</definedName>
    <definedName name="REGPlant11_FFS">[6]Assumptions!$O$801</definedName>
    <definedName name="REGPlant11_Index_FeeforService">[6]Assumptions!#REF!</definedName>
    <definedName name="REGPlant11_Index_ProfitSharing">[6]Assumptions!#REF!</definedName>
    <definedName name="REGPlant11_Index_Utilization">[6]Assumptions!#REF!</definedName>
    <definedName name="REGPlant12_FFS">[6]Assumptions!$P$801</definedName>
    <definedName name="REGPlant12_Index_FeeforService">[6]Assumptions!#REF!</definedName>
    <definedName name="REGPlant12_Index_ProfitSharing">[6]Assumptions!#REF!</definedName>
    <definedName name="REGPlant12_Index_Utilization">[6]Assumptions!#REF!</definedName>
    <definedName name="REGPlant2_FFS">[6]Assumptions!$K$801</definedName>
    <definedName name="REGPlant2_Index_FeeforService">[6]Assumptions!#REF!</definedName>
    <definedName name="REGPlant2_Index_ProfitSharing">[6]Assumptions!#REF!</definedName>
    <definedName name="REGPlant2_Index_Utilization">[6]Assumptions!#REF!</definedName>
    <definedName name="REGPlant3_FFS">[6]Assumptions!$N$801</definedName>
    <definedName name="REGPlant3_Index_FeeforService">[6]Assumptions!#REF!</definedName>
    <definedName name="REGPlant3_Index_ProfitSharing">[6]Assumptions!#REF!</definedName>
    <definedName name="REGPlant3_Index_Utilization">[6]Assumptions!#REF!</definedName>
    <definedName name="REGPlant4_FFS">[6]Assumptions!$L$801</definedName>
    <definedName name="REGPlant4_Index_FeeforService">[6]Assumptions!#REF!</definedName>
    <definedName name="REGPlant4_Index_ProfitSharing">[6]Assumptions!#REF!</definedName>
    <definedName name="REGPlant4_Index_Utilization">[6]Assumptions!#REF!</definedName>
    <definedName name="REGPlant5_FFS">[6]Assumptions!$F$801</definedName>
    <definedName name="REGPlant5_Index_ProfitSharing">[6]Assumptions!#REF!</definedName>
    <definedName name="REGPlant5_Index_Utilization">[6]Assumptions!#REF!</definedName>
    <definedName name="REGPlant5_REG_FeeforService">[6]Assumptions!#REF!</definedName>
    <definedName name="REGPlant6_FFs">[6]Assumptions!$G$801</definedName>
    <definedName name="REGPlant6_Index_FeeforService">[6]Assumptions!#REF!</definedName>
    <definedName name="REGPlant6_Index_ProfitSharing">[6]Assumptions!#REF!</definedName>
    <definedName name="REGPlant6_Index_Utilization">[6]Assumptions!#REF!</definedName>
    <definedName name="REGPlant7_FFS">[6]Assumptions!$H$801</definedName>
    <definedName name="REGPlant7_Index_FeeforService">[6]Assumptions!#REF!</definedName>
    <definedName name="REGPlant7_Index_ProfitSharing">[6]Assumptions!#REF!</definedName>
    <definedName name="REGPlant7_Index_Utilization">[6]Assumptions!#REF!</definedName>
    <definedName name="REGPlant8_FFS">[6]Assumptions!$I$801</definedName>
    <definedName name="REGPlant8_Index_FeeforService">[6]Assumptions!#REF!</definedName>
    <definedName name="REGPlant8_Index_ProfitSharing">[6]Assumptions!#REF!</definedName>
    <definedName name="REGPlant8_Index_Utilization">[6]Assumptions!#REF!</definedName>
    <definedName name="REGPLant9_FFS">[6]Assumptions!$J$801</definedName>
    <definedName name="REGPlant9_Index_FeeforService">[6]Assumptions!#REF!</definedName>
    <definedName name="REGPlant9_Index_ProfitSharing">[6]Assumptions!#REF!</definedName>
    <definedName name="REGPlant9_Index_Utilization">[6]Assumptions!#REF!</definedName>
    <definedName name="Rent.CorpHouse">'[22]200.155 Corp Strategy'!$C$127</definedName>
    <definedName name="Rf">'[7]D. RATE'!$B$15</definedName>
    <definedName name="RIN_Sensitivity">1-#REF!</definedName>
    <definedName name="S_DefCurve_1">INDIRECT(""&amp;#REF!&amp;"!"&amp;#REF!&amp;":"&amp;#REF!)</definedName>
    <definedName name="S_DefCurve_2">INDIRECT(""&amp;#REF!&amp;"!"&amp;#REF!&amp;":"&amp;#REF!)</definedName>
    <definedName name="S_DefCurve_3">INDIRECT(""&amp;#REF!&amp;"!"&amp;#REF!&amp;":"&amp;#REF!)</definedName>
    <definedName name="S_DefCurve_4">INDIRECT(""&amp;#REF!&amp;"!"&amp;#REF!&amp;":"&amp;#REF!)</definedName>
    <definedName name="S_DefCurve_5">INDIRECT(""&amp;#REF!&amp;"!"&amp;#REF!&amp;":"&amp;#REF!)</definedName>
    <definedName name="S_DefCurve_6">INDIRECT(""&amp;#REF!&amp;"!"&amp;#REF!&amp;":"&amp;#REF!)</definedName>
    <definedName name="S_DefCurve_7">INDIRECT(""&amp;#REF!&amp;"!"&amp;#REF!&amp;":"&amp;#REF!)</definedName>
    <definedName name="S_DefCurve_8">INDIRECT(""&amp;#REF!&amp;"!"&amp;#REF!&amp;":"&amp;#REF!)</definedName>
    <definedName name="S_DefCurve_9">INDIRECT(""&amp;#REF!&amp;"!"&amp;#REF!&amp;":"&amp;#REF!)</definedName>
    <definedName name="S_PowerCurve_1">INDIRECT(""&amp;#REF!&amp;"!"&amp;#REF!&amp;":"&amp;#REF!)</definedName>
    <definedName name="S_PowerCurve_2">INDIRECT(""&amp;#REF!&amp;"!"&amp;#REF!&amp;":"&amp;#REF!)</definedName>
    <definedName name="S_PowerCurve_3">INDIRECT(""&amp;#REF!&amp;"!"&amp;#REF!&amp;":"&amp;#REF!)</definedName>
    <definedName name="S_PowerCurve_4">INDIRECT(""&amp;#REF!&amp;"!"&amp;#REF!&amp;":"&amp;#REF!)</definedName>
    <definedName name="S_PowerCurve_5">INDIRECT(""&amp;#REF!&amp;"!"&amp;#REF!&amp;":"&amp;#REF!)</definedName>
    <definedName name="S_PowerCurve_6">INDIRECT(""&amp;#REF!&amp;"!"&amp;#REF!&amp;":"&amp;#REF!)</definedName>
    <definedName name="S_PowerCurve_7">INDIRECT(""&amp;#REF!&amp;"!"&amp;#REF!&amp;":"&amp;#REF!)</definedName>
    <definedName name="S_PowerCurve_8">INDIRECT(""&amp;#REF!&amp;"!"&amp;#REF!&amp;":"&amp;#REF!)</definedName>
    <definedName name="S_PowerCurve_9">INDIRECT(""&amp;#REF!&amp;"!"&amp;#REF!&amp;":"&amp;#REF!)</definedName>
    <definedName name="S_ProjCoDef_1">INDIRECT(""&amp;#REF!&amp;"!"&amp;#REF!&amp;":"&amp;#REF!)</definedName>
    <definedName name="S_ProjCoDef_2">INDIRECT(""&amp;#REF!&amp;"!"&amp;#REF!&amp;":"&amp;#REF!)</definedName>
    <definedName name="S_ProjCoDef_3">INDIRECT(""&amp;#REF!&amp;"!"&amp;#REF!&amp;":"&amp;#REF!)</definedName>
    <definedName name="S_ProjCoDef_4">INDIRECT(""&amp;#REF!&amp;"!"&amp;#REF!&amp;":"&amp;#REF!)</definedName>
    <definedName name="S_ProjCoDef_5">INDIRECT(""&amp;#REF!&amp;"!"&amp;#REF!&amp;":"&amp;#REF!)</definedName>
    <definedName name="S_ProjCoDef_6">INDIRECT(""&amp;#REF!&amp;"!"&amp;#REF!&amp;":"&amp;#REF!)</definedName>
    <definedName name="S_ProjCoDef_7">INDIRECT(""&amp;#REF!&amp;"!"&amp;#REF!&amp;":"&amp;#REF!)</definedName>
    <definedName name="S_ProjCoDef_8">INDIRECT(""&amp;#REF!&amp;"!"&amp;#REF!&amp;":"&amp;#REF!)</definedName>
    <definedName name="S_ProjCoDef_9">INDIRECT(""&amp;#REF!&amp;"!"&amp;#REF!&amp;":"&amp;#REF!)</definedName>
    <definedName name="sa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safe2">#REF!</definedName>
    <definedName name="safeh">#REF!</definedName>
    <definedName name="safeh1">#REF!</definedName>
    <definedName name="Salary.Increase">'[8]Payroll 11-21'!$B$53</definedName>
    <definedName name="SAPBEXdnldView">"28YLVFXQOTDH7Y60B5AIM2UQB"</definedName>
    <definedName name="SAPBEXrevision">2</definedName>
    <definedName name="SAPBEXsysID">"GP1"</definedName>
    <definedName name="SAPBEXwbID">"0QPV4RF636ZQNL5RK8PWSJVGT"</definedName>
    <definedName name="SBOFFA">[6]Assumptions!$G$38</definedName>
    <definedName name="Scenario">'[23]Consolidated Budget'!$I$1</definedName>
    <definedName name="Scenario.Flat">[8]Assumptions!$D$4</definedName>
    <definedName name="Scenario.Increase">[8]Assumptions!$D$3</definedName>
    <definedName name="Scrap_Yield">#REF!</definedName>
    <definedName name="Second_Internal_Loan_Balance">'[7]FEAS-ASSUMP'!$K$53</definedName>
    <definedName name="Second_Internal_Loan_Rate">'[7]FEAS-ASSUMP'!$G$53</definedName>
    <definedName name="Second_Internal_Loan_Term">'[7]FEAS-ASSUMP'!$I$53</definedName>
    <definedName name="Second_Redemption_Balance">'[7]FEAS-ASSUMP'!$K$41</definedName>
    <definedName name="Second_Redemption_Rate">'[7]FEAS-ASSUMP'!$G$41</definedName>
    <definedName name="Second_Redemption_Term">'[7]FEAS-ASSUMP'!$I$41</definedName>
    <definedName name="Second_Seller_Amort">'[7]FEAS-ASSUMP'!$I$40</definedName>
    <definedName name="Second_Seller_Balance">'[7]FEAS-ASSUMP'!$K$40</definedName>
    <definedName name="Second_Seller_Interest">'[7]FEAS-ASSUMP'!$G$40</definedName>
    <definedName name="Second_Senior_Amort">'[7]FEAS-ASSUMP'!$I$39</definedName>
    <definedName name="Second_Senior_Balance">'[7]FEAS-ASSUMP'!$K$39</definedName>
    <definedName name="Second_Senior_Interest">'[7]FEAS-ASSUMP'!$G$39</definedName>
    <definedName name="sencount">1</definedName>
    <definedName name="Site_Equipment_Total">#REF!</definedName>
    <definedName name="Site_Hrs">#REF!</definedName>
    <definedName name="Site_Labor_Total">#REF!</definedName>
    <definedName name="Site_Material_Total">#REF!</definedName>
    <definedName name="Site_Sub_Total">#REF!</definedName>
    <definedName name="Site_Total">#REF!</definedName>
    <definedName name="sk">"1, 3, 1, False, 2, False, False, , 0, False, True, 3, 2"</definedName>
    <definedName name="solver_cvg">0.001</definedName>
    <definedName name="solver_drv">1</definedName>
    <definedName name="SOLVER_error_check">#REF!</definedName>
    <definedName name="SOLVER_error_squared">'[24]Solver Supporting Tab'!$F$18</definedName>
    <definedName name="solver_est">1</definedName>
    <definedName name="SOLVER_iter_full">#REF!</definedName>
    <definedName name="SOLVER_iter_partial">#REF!</definedName>
    <definedName name="solver_itr">100</definedName>
    <definedName name="solver_lin">2</definedName>
    <definedName name="SOLVER_max_trials">#REF!</definedName>
    <definedName name="solver_neg">2</definedName>
    <definedName name="solver_num">1</definedName>
    <definedName name="solver_nwt">1</definedName>
    <definedName name="solver_pre">0.000001</definedName>
    <definedName name="SOLVER_price_cap">#REF!</definedName>
    <definedName name="SOLVER_price_lowercap">#REF!</definedName>
    <definedName name="solver_rel1">2</definedName>
    <definedName name="solver_rhs1">17</definedName>
    <definedName name="solver_scl">2</definedName>
    <definedName name="solver_sho">2</definedName>
    <definedName name="SOLVER_source_balance">'[24]Solver Supporting Tab'!$F$11</definedName>
    <definedName name="SOLVER_source_borrow">'[24]Solver Supporting Tab'!$F$3</definedName>
    <definedName name="solver_tim">100</definedName>
    <definedName name="solver_tol">0.05</definedName>
    <definedName name="SOLVER_tolerance_level">#REF!</definedName>
    <definedName name="solver_typ">1</definedName>
    <definedName name="solver_val">0</definedName>
    <definedName name="Soymor">[6]Assumptions!$B$791</definedName>
    <definedName name="Soymor_acquired">[6]Assumptions!#REF!</definedName>
    <definedName name="Soymor_Capacity">[6]Assumptions!$B$793</definedName>
    <definedName name="Soymor_dealcash1">[6]Assumptions!#REF!</definedName>
    <definedName name="Soymor_dealcash1date">[6]Assumptions!#REF!</definedName>
    <definedName name="Soymor_dealcash2">[6]Assumptions!#REF!</definedName>
    <definedName name="Soymor_dealcash2date">[6]Assumptions!#REF!</definedName>
    <definedName name="Soymor_dealcash3">[6]Assumptions!#REF!</definedName>
    <definedName name="Soymor_dealcash3date">[6]Assumptions!#REF!</definedName>
    <definedName name="Soymor_dealcash4">[6]Assumptions!#REF!</definedName>
    <definedName name="Soymor_dealcash4date">[6]Assumptions!#REF!</definedName>
    <definedName name="Soymor_dealcosts">[6]Assumptions!#REF!</definedName>
    <definedName name="Soymor_dealdate">[6]Assumptions!#REF!</definedName>
    <definedName name="Soymor_dealdebt">[6]Assumptions!#REF!</definedName>
    <definedName name="Soymor_dealdebtrate">[6]Assumptions!#REF!</definedName>
    <definedName name="Soymor_dealdebtyears">[6]Assumptions!#REF!</definedName>
    <definedName name="Soymor_dealgoodwill">[6]Assumptions!#REF!</definedName>
    <definedName name="Soymor_dealintangible">[6]Assumptions!#REF!</definedName>
    <definedName name="Soymor_dealintangibleyears">[6]Assumptions!#REF!</definedName>
    <definedName name="Soymor_dealpayable">[6]Assumptions!#REF!</definedName>
    <definedName name="Soymor_dealpaybleirate">[6]Assumptions!#REF!</definedName>
    <definedName name="Soymor_dealPPE">[6]Assumptions!#REF!</definedName>
    <definedName name="Soymor_dealPPEyears">[6]Assumptions!$J$656</definedName>
    <definedName name="Soymor_dealstock">[6]Assumptions!#REF!</definedName>
    <definedName name="Soymor_Incremental_Sales_Cost">[6]Assumptions!#REF!</definedName>
    <definedName name="Soymor_Incremental_Soyoil_Cost">[6]Assumptions!#REF!</definedName>
    <definedName name="Soymor_Index_FeeforService">[6]Assumptions!#REF!</definedName>
    <definedName name="Soymor_Index_IncrementalOperatingCosts">[6]Assumptions!#REF!</definedName>
    <definedName name="Soymor_Index_iPercent_Feedstock_soyoil">[6]Assumptions!#REF!</definedName>
    <definedName name="Soymor_Index_Maintenance_Costs">[6]Assumptions!#REF!</definedName>
    <definedName name="Soymor_Index_MaintenanceCapital_DepreciableLife">[6]Assumptions!#REF!</definedName>
    <definedName name="Soymor_Index_ProfitSharing">[6]Assumptions!#REF!</definedName>
    <definedName name="Soymor_Index_Utilization">[6]Assumptions!#REF!</definedName>
    <definedName name="Soymor_newga">[6]Assumptions!#REF!</definedName>
    <definedName name="Soymor_Time">[6]Assumptions!$B$792</definedName>
    <definedName name="SpreadsheetBuilder_1">#REF!</definedName>
    <definedName name="SPWS_WBID">"D37EBD5C-BA90-4B94-B2F1-78539D014FA9"</definedName>
    <definedName name="stree">#REF!</definedName>
    <definedName name="stress">#REF!</definedName>
    <definedName name="T_BS_EFFECT">#REF!</definedName>
    <definedName name="T_Cases">#REF!</definedName>
    <definedName name="T_CF_PROJ">#REF!</definedName>
    <definedName name="T_COLLATERAL">#REF!</definedName>
    <definedName name="T_Control">#REF!</definedName>
    <definedName name="T_Debt_ASM">#REF!</definedName>
    <definedName name="T_DEBT_MULT">#REF!</definedName>
    <definedName name="T_Debt_Proj">#REF!</definedName>
    <definedName name="T_ESOP_TRUST">#REF!</definedName>
    <definedName name="T_ISP">#REF!</definedName>
    <definedName name="T_OPTIONS">#REF!</definedName>
    <definedName name="T_POST_DCF">#REF!</definedName>
    <definedName name="T_POST_MARKET">#REF!</definedName>
    <definedName name="T_POST_MULT">#REF!</definedName>
    <definedName name="T_POST_VALUE">#REF!</definedName>
    <definedName name="T_PROJ_BS">#REF!</definedName>
    <definedName name="T_SARS">#REF!</definedName>
    <definedName name="T_TAX_SHIELD">#REF!</definedName>
    <definedName name="T_VALUE_TRAJ">#REF!</definedName>
    <definedName name="T_WACC">#REF!</definedName>
    <definedName name="T_WARRANT">#REF!</definedName>
    <definedName name="ta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ble.Production">[8]Assumptions!$A$383:$T$403</definedName>
    <definedName name="Table.Sales">[8]Assumptions!$A$362:$T$381</definedName>
    <definedName name="Tank_Farm_Equipment_Total">#REF!</definedName>
    <definedName name="Tank_Farm_Hrs">#REF!</definedName>
    <definedName name="Tank_Farm_Labor_Total">#REF!</definedName>
    <definedName name="Tank_Farm_Material_Total">#REF!</definedName>
    <definedName name="Tank_Farm_Sub_Total">#REF!</definedName>
    <definedName name="Tank_Farm_Total">#REF!</definedName>
    <definedName name="TAX">'[7]D. RATE'!$J$31</definedName>
    <definedName name="test">'[2]1999 BUDGET'!#REF!</definedName>
    <definedName name="testing">{"detail305",#N/A,FALSE,"BI-305"}</definedName>
    <definedName name="Third_Internal_Loan_Balance">'[7]FEAS-ASSUMP'!$K$54</definedName>
    <definedName name="Third_Internal_Loan_Rate">'[7]FEAS-ASSUMP'!$G$54</definedName>
    <definedName name="Third_Internal_Loan_Term">'[7]FEAS-ASSUMP'!$I$54</definedName>
    <definedName name="Third_Redemption_Balance">'[7]FEAS-ASSUMP'!$K$48</definedName>
    <definedName name="Third_Redemption_Rate">'[7]FEAS-ASSUMP'!$G$48</definedName>
    <definedName name="Third_Redemption_Term">'[7]FEAS-ASSUMP'!$I$48</definedName>
    <definedName name="Third_Seller_Amort">'[7]FEAS-ASSUMP'!$I$47</definedName>
    <definedName name="Third_Seller_Balance">'[7]FEAS-ASSUMP'!$K$47</definedName>
    <definedName name="Third_Seller_Interest">'[7]FEAS-ASSUMP'!$G$47</definedName>
    <definedName name="Third_Senior_Amort">'[7]FEAS-ASSUMP'!$I$46</definedName>
    <definedName name="Third_Senior_Balance">'[7]FEAS-ASSUMP'!$K$46</definedName>
    <definedName name="Third_Senior_Interest">'[7]FEAS-ASSUMP'!$G$46</definedName>
    <definedName name="Tickers">#REF!</definedName>
    <definedName name="Time_Construction_to_Operations">[6]Assumptions!$G$48</definedName>
    <definedName name="Tire_Processor_TireCrumb_Yield">#REF!</definedName>
    <definedName name="Tire_Processort_Input_Tire_Tons">#REF!</definedName>
    <definedName name="Toll.Newton">[8]Assumptions!$B$973</definedName>
    <definedName name="Totals_Formula">#REF!</definedName>
    <definedName name="Treasury_Method">#REF!</definedName>
    <definedName name="Truck_Equipment_Total">#REF!</definedName>
    <definedName name="Truck_Hrs">#REF!</definedName>
    <definedName name="Truck_Labor_Total">#REF!</definedName>
    <definedName name="Truck_Material_Total">#REF!</definedName>
    <definedName name="Truck_Sub_Total">#REF!</definedName>
    <definedName name="Truck_Total">#REF!</definedName>
    <definedName name="uaier09w87r0e9w8fa">{0,0,0,0;0,0,0,0;0,0,0,0;0,0,0,0}</definedName>
    <definedName name="UCOFFA">[6]Assumptions!$G$45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pgrades">[6]Upgrades!#REF!</definedName>
    <definedName name="Utilities_Equipment_Total">#REF!</definedName>
    <definedName name="Utilities_Hrs">#REF!</definedName>
    <definedName name="Utilities_Labor_Total">#REF!</definedName>
    <definedName name="Utilities_Material_Total">#REF!</definedName>
    <definedName name="Utilities_Sub_Total">#REF!</definedName>
    <definedName name="Utilities_Total">#REF!</definedName>
    <definedName name="Value_Reconciliation">#REF!</definedName>
    <definedName name="Weight">#REF!</definedName>
    <definedName name="Weighting">'[7]MKT-EV Multiples'!$D$202:$D$206</definedName>
    <definedName name="were">{#N/A,#N/A,FALSE,"EXP97"}</definedName>
    <definedName name="what">{"Page1",#N/A,FALSE,"7979";"Page2",#N/A,FALSE,"7979";"Page3",#N/A,FALSE,"7979"}</definedName>
    <definedName name="whatwhat">{"Page1",#N/A,FALSE,"7979";"Page2",#N/A,FALSE,"7979";"Page3",#N/A,FALSE,"7979"}</definedName>
    <definedName name="WIE_Capacity">[6]Assumptions!$C$793</definedName>
    <definedName name="WIE_FFS">[6]Assumptions!$C$801</definedName>
    <definedName name="WIE_Index_FeeforService">[6]Assumptions!#REF!</definedName>
    <definedName name="WIE_Index_ProfitSharing">[6]Assumptions!#REF!</definedName>
    <definedName name="WIE_Index_Utilization">[6]Assumptions!#REF!</definedName>
    <definedName name="WIE_Time">[6]Assumptions!$C$792</definedName>
    <definedName name="wrn.1999._.Cash._.Report.">{"1999 Cash Budget",#N/A,FALSE,"99 Cash";"1999 Cash Budget YTD",#N/A,FALSE,"99 Cash";"1999 Cash Actual/Forcast",#N/A,FALSE,"99 Cash";"1999 Cash Actual/Forcast YTD",#N/A,FALSE,"99 Cash"}</definedName>
    <definedName name="wrn.3cases.">{#N/A,"Base",FALSE,"Dividend";#N/A,"Conservative",FALSE,"Dividend";#N/A,"Downside",FALSE,"Dividend"}</definedName>
    <definedName name="wrn.95cap.">{#N/A,#N/A,FALSE,"95CAPGRY"}</definedName>
    <definedName name="wrn.Accretion.">{"Accretion",#N/A,FALSE,"Assum"}</definedName>
    <definedName name="wrn.ALL.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ONTHS.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SHEET.">{#N/A,#N/A,FALSE,"SUMMARY";#N/A,#N/A,FALSE,"3110";#N/A,#N/A,FALSE,"3190";#N/A,#N/A,FALSE,"3210"}</definedName>
    <definedName name="wrn.ALL._.SHEETS.">{#N/A,#N/A,FALSE,"GPR";#N/A,#N/A,FALSE,"Vacancy";#N/A,#N/A,FALSE,"MGTFEE";#N/A,#N/A,FALSE,"Bookkeeping Fees";#N/A,#N/A,FALSE,"Interest Income"}</definedName>
    <definedName name="wrn.All._.Worksheets.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2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_.Cashflows.">{"Revenues",#N/A,FALSE,"MDU";"Depreciation",#N/A,FALSE,"MDU";"Debt",#N/A,FALSE,"MDU";"Financials",#N/A,FALSE,"MDU";"Accounts",#N/A,FALSE,"MDU"}</definedName>
    <definedName name="wrn.Annual._.Cashflows2.">{"Revenues",#N/A,FALSE,"MDU";"Depreciation",#N/A,FALSE,"MDU";"Debt",#N/A,FALSE,"MDU";"Financials",#N/A,FALSE,"MDU";"Accounts",#N/A,FALSE,"MDU"}</definedName>
    <definedName name="wrn.Arcform1.">{"One",#N/A,FALSE,"Property";"Rent Analysis",#N/A,FALSE,"Rent &amp; Income";"Market",#N/A,FALSE,"Market";"Environmental",#N/A,FALSE,"Environmental"}</definedName>
    <definedName name="wrn.Arcform2.">{"Development Team",#N/A,FALSE,"Team";"Environmental",#N/A,FALSE,"Environmental";"Permanent",#N/A,FALSE,"Perm Mtg";"Soft",#N/A,FALSE,"Soft Mtg"}</definedName>
    <definedName name="wrn.Arcform3.">{"Grant",#N/A,FALSE,"Grant";"GP Developer",#N/A,FALSE,"GP &amp; Dev Loans";"Operating Analysis",#N/A,FALSE,"Operations";"Tax Credit",#N/A,FALSE,"Tax Credits";"Tax Credit Analysis",#N/A,FALSE,"TC Analysis"}</definedName>
    <definedName name="wrn.Arcform4.">{"Construction Analysis",#N/A,FALSE,"Constr Analysis";"Construction Financing",#N/A,FALSE,"Constr Finan";"Guarantees and Reserves",#N/A,FALSE,"Guar &amp; Reserves"}</definedName>
    <definedName name="wrn.Assumptions.">{"Assumptions",#N/A,FALSE,"Assum"}</definedName>
    <definedName name="wrn.Basic._.Forecast.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._.Report.">{#N/A,#N/A,FALSE,"New Depr Sch-150% DB";#N/A,#N/A,FALSE,"Cash Flows RLP";#N/A,#N/A,FALSE,"IRR";#N/A,#N/A,FALSE,"Proforma IS";#N/A,#N/A,FALSE,"Assumptions"}</definedName>
    <definedName name="wrn.BidCo.">{#N/A,#N/A,FALSE,"BidCo Assumptions";#N/A,#N/A,FALSE,"Credit Stats";#N/A,#N/A,FALSE,"Bidco Summary";#N/A,#N/A,FALSE,"BIDCO Consolidated"}</definedName>
    <definedName name="wrn.Bridge.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CAAP._.Report.JPG">{"Income Budget",#N/A,FALSE,"98 Income";"Running GAAP Budget Income",#N/A,FALSE,"98 Income";"GAAP Actual",#N/A,FALSE,"98 Income";"GAAP Varinance",#N/A,FALSE,"98 Income"}</definedName>
    <definedName name="wrn.Cash._.Flow._.Statement.">{"CashPrintArea",#N/A,FALSE,"Cash (c)"}</definedName>
    <definedName name="wrn.Cash._.Report.">{"Cash Budget",#N/A,FALSE,"98 Cash";"Running Cash Budget",#N/A,FALSE,"98 Cash";"Actual Cash",#N/A,FALSE,"98 Cash";"Update Cash Budget",#N/A,FALSE,"98 Cash"}</definedName>
    <definedName name="wrn.Cash._.Report.JPG">{"Cash Budget",#N/A,FALSE,"98 Cash";"Running Cash Budget",#N/A,FALSE,"98 Cash";"Actual Cash",#N/A,FALSE,"98 Cash";"Update Cash Budget",#N/A,FALSE,"98 Cash"}</definedName>
    <definedName name="wrn.CF._.Statement.">{"CashPrintArea",#N/A,FALSE,"Cash (c)"}</definedName>
    <definedName name="wrn.CF._.Statement._.Base._.Case.">{"CashPrintArea",#N/A,FALSE,"Cash (c)"}</definedName>
    <definedName name="wrn.Chart._.Printouts.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copy.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>{#N/A,#N/A,FALSE,"Assumptions";#N/A,#N/A,FALSE,"Proforma IS";#N/A,#N/A,FALSE,"Cash Flows RLP";#N/A,#N/A,FALSE,"IRR";#N/A,#N/A,FALSE,"New Depr Sch-150% DB";#N/A,#N/A,FALSE,"Comments"}</definedName>
    <definedName name="wrn.Condenser._.Summary.">{#N/A,#N/A,FALSE,"SUMMARY";#N/A,#N/A,FALSE,"INPUTDATA";#N/A,#N/A,FALSE,"Condenser Performance"}</definedName>
    <definedName name="wrn.COST.">{#N/A,#N/A,FALSE,"T COST";#N/A,#N/A,FALSE,"COST_FH"}</definedName>
    <definedName name="wrn.DATABASE.">{"DBINPUT1",#N/A,FALSE,"Database";"DBINPUT2",#N/A,FALSE,"Database"}</definedName>
    <definedName name="wrn.DCF._.Valuation.">{"value box",#N/A,TRUE,"DPL Inc. Fin Statements";"unlevered free cash flows",#N/A,TRUE,"DPL Inc. Fin Statements"}</definedName>
    <definedName name="wrn.DETAIL._.SCHEDULES.">{"ACCOUNT DETAIL",#N/A,FALSE,"SCHEDULE E";"ACCOUNT DETAIL",#N/A,FALSE,"SCHEDULE G";"ACCOUNT DETAIL",#N/A,FALSE,"SCHEDULE H";"ACCOUNT DETAIL",#N/A,FALSE,"SCHEDULE I"}</definedName>
    <definedName name="wrn.dtl.schedules">{"ACCOUNT DETAIL",#N/A,FALSE,"SCHEDULE E";"ACCOUNT DETAIL",#N/A,FALSE,"SCHEDULE G";"ACCOUNT DETAIL",#N/A,FALSE,"SCHEDULE H";"ACCOUNT DETAIL",#N/A,FALSE,"SCHEDULE I"}</definedName>
    <definedName name="wrn.Engr._.Summary.">{#N/A,#N/A,FALSE,"INPUTDATA";#N/A,#N/A,FALSE,"SUMMARY";#N/A,#N/A,FALSE,"CTAREP";#N/A,#N/A,FALSE,"CTBREP";#N/A,#N/A,FALSE,"TURBEFF";#N/A,#N/A,FALSE,"Condenser Performance"}</definedName>
    <definedName name="wrn.Exec._.Summary.">{#N/A,#N/A,FALSE,"INPUTDATA";#N/A,#N/A,FALSE,"SUMMARY"}</definedName>
    <definedName name="wrn.Exec1._.Summary">{#N/A,#N/A,FALSE,"INPUTDATA";#N/A,#N/A,FALSE,"SUMMARY"}</definedName>
    <definedName name="wrn.FCB.">{"FCB_ALL",#N/A,FALSE,"FCB"}</definedName>
    <definedName name="wrn.fcb2">{"FCB_ALL",#N/A,FALSE,"FCB"}</definedName>
    <definedName name="wrn.filecopy.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s.">{#N/A,#N/A,TRUE,"Income Statement";#N/A,#N/A,TRUE,"Balance Sheet";#N/A,#N/A,TRUE,"Cash Flow"}</definedName>
    <definedName name="wrn.FORECAST._.ONLY.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AAP._.Report.">{"Income Budget",#N/A,FALSE,"98 Income";"Running GAAP Budget Income",#N/A,FALSE,"98 Income";"GAAP Actual",#N/A,FALSE,"98 Income";"GAAP Varinance",#N/A,FALSE,"98 Income"}</definedName>
    <definedName name="wrn.General._.Information.">{#N/A,#N/A,FALSE,"Input 2 - Sources of Funds"}</definedName>
    <definedName name="wrn.Incr.._.CF._.Statement.">{"IncrCashPrintArea",#N/A,FALSE,"Incr_CF"}</definedName>
    <definedName name="wrn.Incr.._.Profitability._.Indicators.">{"IncrProfPrintArea",#N/A,FALSE,"Incr_Prof"}</definedName>
    <definedName name="wrn.INPUT._.INFO.">{"Input",#N/A,FALSE,"INPUT"}</definedName>
    <definedName name="wrn.Instructor._.Tips.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RR.">{"IRR Benefits",#N/A,FALSE,"IRR";"Tax Credits",#N/A,FALSE,"IRR"}</definedName>
    <definedName name="wrn.IRR._.CORP._.7.">{"IRR",#N/A,FALSE,"Corp 7 IRR";"Input",#N/A,FALSE,"Corp 7 IRR"}</definedName>
    <definedName name="wrn.LETTERE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>{"Loan Summary",#N/A,FALSE,"Phase 1 loan &amp; data"}</definedName>
    <definedName name="wrn.Loan._.Summary.">{"Loan Summary",#N/A,FALSE,"Phase 1 loan &amp; data"}</definedName>
    <definedName name="wrn.ltr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MARKETING.">{#N/A,#N/A,FALSE,"MARKETING I";#N/A,#N/A,FALSE,"MARKETING II";#N/A,#N/A,FALSE,"MARKETING III"}</definedName>
    <definedName name="wrn.MiniSum.">{#N/A,#N/A,TRUE,"Facility-Input";#N/A,#N/A,TRUE,"Graphs";#N/A,#N/A,TRUE,"TOTAL"}</definedName>
    <definedName name="wrn.MINRENT.">{"MINRENT2",#N/A,FALSE,"SCHEDULE B"}</definedName>
    <definedName name="wrn.minrent.2">{"MINRENT2",#N/A,FALSE,"SCHEDULE B"}</definedName>
    <definedName name="wrn.mkting">{#N/A,#N/A,FALSE,"MARKETING I";#N/A,#N/A,FALSE,"MARKETING II";#N/A,#N/A,FALSE,"MARKETING III"}</definedName>
    <definedName name="wrn.PERCENTAGE._.RENT.">{"PERCENTAGE RENT",#N/A,TRUE,"SCHEDULE B"}</definedName>
    <definedName name="wrn.prcntrent">{"PERCENTAGE RENT",#N/A,TRUE,"SCHEDULE B"}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{#N/A,#N/A,FALSE,"Japan 2003";#N/A,#N/A,FALSE,"Sheet2"}</definedName>
    <definedName name="wrn.Print._.Full._.Format.">{#N/A,#N/A,FALSE,"Assumptions";"Model",#N/A,FALSE,"MDU";#N/A,#N/A,FALSE,"Notes"}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print._.summary._.sheets.2">{"summary1",#N/A,TRUE,"Comps";"summary2",#N/A,TRUE,"Comps";"summary3",#N/A,TRUE,"Comps"}</definedName>
    <definedName name="wrn.PrintAll.">{"PA1",#N/A,TRUE,"BORDMW";"pa2",#N/A,TRUE,"BORDMW";"PA3",#N/A,TRUE,"BORDMW";"PA4",#N/A,TRUE,"BORDMW"}</definedName>
    <definedName name="wrn.Printout.">{#N/A,#N/A,FALSE,"Check Sheet";#N/A,#N/A,FALSE,"Summary";#N/A,#N/A,FALSE,"Property Input";#N/A,#N/A,FALSE,"Financing Input";#N/A,#N/A,FALSE,"Syndication Input";#N/A,#N/A,FALSE,"Assumptions";#N/A,#N/A,FALSE,"TOC";#N/A,#N/A,FALSE,"General Info";#N/A,#N/A,FALSE,"Financing";#N/A,#N/A,FALSE,"Syndication";"INCOME",#N/A,FALSE,"Income &amp; Expense";#N/A,#N/A,FALSE,"Rent Schedule";"CASH",#N/A,FALSE,"Cash Flow";#N/A,#N/A,FALSE,"Taxable";#N/A,#N/A,FALSE,"Loss per Investor";#N/A,#N/A,FALSE,"Sale Benefit";#N/A,#N/A,FALSE,"Sale Results";#N/A,#N/A,FALSE,"Sale Appreciation";#N/A,#N/A,FALSE,"Source &amp; Use";#N/A,#N/A,FALSE,"Flow of Funds";#N/A,#N/A,FALSE,"Dep Schedule";#N/A,#N/A,FALSE,"Tax Pref";"mort",#N/A,FALSE,"Mortgage 1";"amort2",#N/A,FALSE,"Mortgage 2";"acc1",#N/A,FALSE,"Accrual";"ACC2",#N/A,FALSE,"Accrual";#N/A,#N/A,FALSE,"Funded Exp";#N/A,#N/A,FALSE,"Tax Credit";#N/A,#N/A,FALSE,"IRR";"_704b",#N/A,FALSE,"704(b) ";#N/A,#N/A,FALSE,"Minimum Gain";"_7A",#N/A,FALSE,"704(b) Reallocation";"_7B",#N/A,FALSE,"704(b) Reallocation"}</definedName>
    <definedName name="wrn.Profitability._.Indicators.">{"ProfPrintArea",#N/A,FALSE,"Prof (c)"}</definedName>
    <definedName name="wrn.Profitability._.Indicators._.Base._.Case.">{"ProfPrintArea",#N/A,FALSE,"Prof (c)"}</definedName>
    <definedName name="wrn.Project._.A.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>{"Summary",#N/A,FALSE,"MICMULT";"Income Statement",#N/A,FALSE,"MICMULT";"Cash Flows",#N/A,FALSE,"MICMULT"}</definedName>
    <definedName name="wrn.QUICK.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rate.">{"RATES",#N/A,FALSE,"RECOVERY RATES";"CONTRIBUTIONS",#N/A,FALSE,"RECOVERY RATES";"GLA CATEGORY SUMMARY",#N/A,FALSE,"RECOVERY RATES"}</definedName>
    <definedName name="wrn.RATES.">{"RATES",#N/A,FALSE,"RECOVERY RATES";"CONTRIBUTIONS",#N/A,FALSE,"RECOVERY RATES";"GLA CATEGORY SUMMARY",#N/A,FALSE,"RECOVERY RATES"}</definedName>
    <definedName name="wrn.REPORT._.FOR._.CCA.">{"CCA",#N/A,FALSE,"INPUT";"Pricing","CCA",FALSE,"Pricing";"Rent","CCA",FALSE,"Rent,Exp";"Fund Flow",#N/A,FALSE,"Fund Flow"}</definedName>
    <definedName name="wrn.REPORT._.FOR._.FA.">{"Report for FA","FA",FALSE,"Benefits"}</definedName>
    <definedName name="wrn.REPORT._.FOR._.LUS.">{#N/A,#N/A,FALSE,"LeaseData";"Rent",#N/A,FALSE,"Rent,Exp"}</definedName>
    <definedName name="wrn.Risk._.Reserves.">{#N/A,#N/A,TRUE,"Reserves";#N/A,#N/A,TRUE,"Graphs"}</definedName>
    <definedName name="wrn.rollup.">{"page1",#N/A,FALSE,"rollup"}</definedName>
    <definedName name="wrn.sales.">{"sales",#N/A,FALSE,"Sales";"sales existing",#N/A,FALSE,"Sales";"sales rd1",#N/A,FALSE,"Sales";"sales rd2",#N/A,FALSE,"Sales"}</definedName>
    <definedName name="wrn.SB_PRES.">{#N/A,#N/A,TRUE,"Sheet16"}</definedName>
    <definedName name="wrn.SCHAs.">{"ACCOUNTING COPY",#N/A,FALSE,"SCHEDULE A";"FINANCE COPY",#N/A,FALSE,"SCHEDULE A";"P.L. COPY",#N/A,FALSE,"SCHEDULE A"}</definedName>
    <definedName name="wrn.schas2">{"ACCOUNTING COPY",#N/A,FALSE,"SCHEDULE A";"FINANCE COPY",#N/A,FALSE,"SCHEDULE A";"P.L. COPY",#N/A,FALSE,"SCHEDULE A"}</definedName>
    <definedName name="wrn.SCHEDULES._.ABC.">{#N/A,#N/A,FALSE,"SCHEDULE A";"MINIMUM RENT",#N/A,FALSE,"SCHEDULES B &amp; C";"PERCENTAGE RENT",#N/A,FALSE,"SCHEDULES B &amp; C"}</definedName>
    <definedName name="wrn.Segment._.1.">{#N/A,#N/A,TRUE,"Segment 1"}</definedName>
    <definedName name="wrn.Segment._.2.">{#N/A,#N/A,TRUE,"Segment 2"}</definedName>
    <definedName name="wrn.Segment._.3.">{#N/A,#N/A,TRUE,"Segment 3"}</definedName>
    <definedName name="wrn.Segment._.4.">{#N/A,#N/A,TRUE,"Segment 4"}</definedName>
    <definedName name="wrn.Segment._.5.">{#N/A,#N/A,TRUE,"Segment 5"}</definedName>
    <definedName name="wrn.Snapshot.">{#N/A,#N/A,TRUE,"Facility-Input";#N/A,#N/A,TRUE,"Graphs"}</definedName>
    <definedName name="wrn.STAND_ALONE_BOTH.">{"FCB_ALL",#N/A,FALSE,"FCB";"GREY_ALL",#N/A,FALSE,"GREY"}</definedName>
    <definedName name="wrn.SUM._.OF._.UNIT._.3.">{#N/A,#N/A,FALSE,"INPUTDATA";#N/A,#N/A,FALSE,"SUMMARY";#N/A,#N/A,FALSE,"CTAREP";#N/A,#N/A,FALSE,"CTBREP";#N/A,#N/A,FALSE,"PMG4ST86";#N/A,#N/A,FALSE,"TURBEFF";#N/A,#N/A,FALSE,"Condenser Performance"}</definedName>
    <definedName name="wrn.TEST.">{#N/A,#N/A,FALSE,"SCHEDULE G"}</definedName>
    <definedName name="wrn.Totals.">{#N/A,#N/A,TRUE,"TOTAL";#N/A,#N/A,TRUE,"Total Pipes"}</definedName>
    <definedName name="wrn.valuation.">{"Page1",#N/A,FALSE,"7979";"Page2",#N/A,FALSE,"7979";"Page3",#N/A,FALSE,"7979"}</definedName>
    <definedName name="wrn.Wacc.">{"Area1",#N/A,FALSE,"OREWACC";"Area2",#N/A,FALSE,"OREWACC"}</definedName>
    <definedName name="wrn.Western._.District._.1997._.Capital._.Budget.">{#N/A,#N/A,FALSE,"EXP97"}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x">{2;#N/A;"R13C16:R17C16";#N/A;"R13C14:R17C15";FALSE;FALSE;FALSE;95;#N/A;#N/A;"R13C19";#N/A;FALSE;FALSE;FALSE;FALSE;#N/A;"";#N/A;FALSE;"";"";#N/A;#N/A;#N/A}</definedName>
    <definedName name="xxx.detail">{"detail305",#N/A,FALSE,"BI-305"}</definedName>
    <definedName name="xxx.directory">{"summary",#N/A,FALSE,"PCR DIRECTORY"}</definedName>
    <definedName name="yea">{#N/A,#N/A,FALSE,"Assumptions";"Model",#N/A,FALSE,"MDU";#N/A,#N/A,FALSE,"Notes"}</definedName>
    <definedName name="Year_11_Estimated_Cash_Flow">#REF!</definedName>
    <definedName name="Yes">[6]Assumptions!$J$801</definedName>
    <definedName name="YGFFA">[6]Assumptions!$G$41</definedName>
    <definedName name="Yield.AlbertLea">[8]Assumptions!$H$14</definedName>
    <definedName name="Yield.AO">[8]Assumptions!$B$18</definedName>
    <definedName name="Yield.BFT">[8]Assumptions!$B$13</definedName>
    <definedName name="Yield.BioEsters">[8]Assumptions!$B$25</definedName>
    <definedName name="Yield.BlackEsters">[8]Assumptions!$B$26</definedName>
    <definedName name="Yield.CWG">[8]Assumptions!$B$11</definedName>
    <definedName name="Yield.FFA">[8]Assumptions!$B$17</definedName>
    <definedName name="Yield.Glycerin">[8]Assumptions!$B$20</definedName>
    <definedName name="Yield.GlycerinBottoms">[8]Assumptions!$B$22</definedName>
    <definedName name="Yield.ICO">[8]Assumptions!$B$15</definedName>
    <definedName name="Yield.MasonCity">[8]Assumptions!$H$16</definedName>
    <definedName name="Yield.Oleolipids">[8]Assumptions!$B$24</definedName>
    <definedName name="Yield.PF">[8]Assumptions!$B$14</definedName>
    <definedName name="Yield.PFAD">[8]Assumptions!$B$19</definedName>
    <definedName name="Yield.ProjOptimus">[8]Assumptions!$H$17</definedName>
    <definedName name="Yield.SBO">[8]Assumptions!$B$9</definedName>
    <definedName name="Yield.Seneca">[8]Assumptions!$H$13</definedName>
    <definedName name="Yield.SLP">[8]Assumptions!$B$23</definedName>
    <definedName name="Yield.TechGlycerin">[8]Assumptions!$B$21</definedName>
    <definedName name="Yield.TT">[8]Assumptions!$B$10</definedName>
    <definedName name="Yield.UCO">[8]Assumptions!$B$16</definedName>
    <definedName name="Yield.YG">[8]Assumptions!$B$12</definedName>
    <definedName name="Z_5BC384AA_E136_11D3_A206_0050049E7728_.wvu.PrintTitles">'[25]11 Dep &amp; Amort'!$A:$E,'[25]11 Dep &amp; Amort'!$1:$15</definedName>
    <definedName name="Z_5BC384AA_E136_11D3_A206_0050049E7728_.wvu.Rows">'[25]11 Dep &amp; Amort'!#REF!,'[25]11 Dep &amp; Amort'!#REF!,'[25]11 Dep &amp; Amort'!#REF!,'[25]11 Dep &amp; Amort'!$21:$34,'[25]11 Dep &amp; Amort'!#REF!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6" roundtripDataChecksum="0vfV5t/LuuxHhLEYVpjFY4StYmjRl1WmoMe1t2ELHjU="/>
    </ext>
  </extLst>
</workbook>
</file>

<file path=xl/calcChain.xml><?xml version="1.0" encoding="utf-8"?>
<calcChain xmlns="http://schemas.openxmlformats.org/spreadsheetml/2006/main">
  <c r="I24" i="37" l="1"/>
  <c r="AN85" i="37"/>
  <c r="AM85" i="37"/>
  <c r="AO85" i="37"/>
  <c r="AP85" i="37"/>
  <c r="AQ85" i="37"/>
  <c r="AR85" i="37"/>
  <c r="AS85" i="37"/>
  <c r="AT85" i="37"/>
  <c r="AU85" i="37"/>
  <c r="AV85" i="37"/>
  <c r="AW85" i="37"/>
  <c r="AX85" i="37"/>
  <c r="AY85" i="37"/>
  <c r="AZ85" i="37"/>
  <c r="BA85" i="37"/>
  <c r="BB85" i="37"/>
  <c r="AM86" i="37"/>
  <c r="AN86" i="37"/>
  <c r="AO86" i="37"/>
  <c r="AP86" i="37"/>
  <c r="AQ86" i="37"/>
  <c r="AR86" i="37"/>
  <c r="AS86" i="37"/>
  <c r="AT86" i="37"/>
  <c r="AU86" i="37"/>
  <c r="AV86" i="37"/>
  <c r="AW86" i="37"/>
  <c r="AX86" i="37"/>
  <c r="AY86" i="37"/>
  <c r="AZ86" i="37"/>
  <c r="BA86" i="37"/>
  <c r="BB86" i="37"/>
  <c r="AM87" i="37"/>
  <c r="AN87" i="37"/>
  <c r="AO87" i="37"/>
  <c r="AP87" i="37"/>
  <c r="AQ87" i="37"/>
  <c r="AR87" i="37"/>
  <c r="AS87" i="37"/>
  <c r="AT87" i="37"/>
  <c r="AU87" i="37"/>
  <c r="AV87" i="37"/>
  <c r="AW87" i="37"/>
  <c r="AX87" i="37"/>
  <c r="AY87" i="37"/>
  <c r="AZ87" i="37"/>
  <c r="BA87" i="37"/>
  <c r="BB87" i="37"/>
  <c r="AY84" i="37"/>
  <c r="AZ84" i="37"/>
  <c r="BA84" i="37"/>
  <c r="BB84" i="37"/>
  <c r="AN84" i="37"/>
  <c r="AO84" i="37"/>
  <c r="AP84" i="37"/>
  <c r="AQ84" i="37"/>
  <c r="AR84" i="37"/>
  <c r="AS84" i="37"/>
  <c r="AT84" i="37"/>
  <c r="AU84" i="37"/>
  <c r="AV84" i="37"/>
  <c r="AW84" i="37"/>
  <c r="AX84" i="37"/>
  <c r="AM84" i="37"/>
  <c r="L24" i="37" l="1"/>
  <c r="D85" i="37" l="1"/>
  <c r="E85" i="37"/>
  <c r="F85" i="37"/>
  <c r="G85" i="37"/>
  <c r="H85" i="37"/>
  <c r="I85" i="37"/>
  <c r="J85" i="37"/>
  <c r="K85" i="37"/>
  <c r="L85" i="37"/>
  <c r="M85" i="37"/>
  <c r="N85" i="37"/>
  <c r="O85" i="37"/>
  <c r="P85" i="37"/>
  <c r="Q85" i="37"/>
  <c r="R85" i="37"/>
  <c r="L50" i="16"/>
  <c r="D4" i="51"/>
  <c r="D3" i="51"/>
  <c r="A4" i="51"/>
  <c r="B4" i="51"/>
  <c r="R4" i="51" s="1"/>
  <c r="C4" i="51"/>
  <c r="L4" i="51" s="1"/>
  <c r="E4" i="51"/>
  <c r="I4" i="51"/>
  <c r="K4" i="51"/>
  <c r="P4" i="51"/>
  <c r="Q4" i="51"/>
  <c r="S4" i="51"/>
  <c r="A5" i="51"/>
  <c r="B5" i="51"/>
  <c r="C5" i="51"/>
  <c r="E5" i="51" s="1"/>
  <c r="D5" i="51"/>
  <c r="A6" i="51"/>
  <c r="B6" i="51"/>
  <c r="Q6" i="51" s="1"/>
  <c r="C6" i="51"/>
  <c r="N6" i="51" s="1"/>
  <c r="D6" i="51"/>
  <c r="E6" i="51"/>
  <c r="G6" i="51"/>
  <c r="K6" i="51"/>
  <c r="M6" i="51"/>
  <c r="P6" i="51"/>
  <c r="R6" i="51"/>
  <c r="S6" i="51"/>
  <c r="A7" i="51"/>
  <c r="B7" i="51"/>
  <c r="Q7" i="51" s="1"/>
  <c r="C7" i="51"/>
  <c r="H7" i="51" s="1"/>
  <c r="D7" i="51"/>
  <c r="E7" i="51"/>
  <c r="G7" i="51"/>
  <c r="J7" i="51"/>
  <c r="K7" i="51"/>
  <c r="L7" i="51"/>
  <c r="M7" i="51"/>
  <c r="O7" i="51"/>
  <c r="P7" i="51"/>
  <c r="R7" i="51"/>
  <c r="S7" i="51"/>
  <c r="A8" i="51"/>
  <c r="B8" i="51" s="1"/>
  <c r="D8" i="51"/>
  <c r="A9" i="51"/>
  <c r="B9" i="51"/>
  <c r="C9" i="51"/>
  <c r="J9" i="51" s="1"/>
  <c r="D9" i="51"/>
  <c r="G9" i="51"/>
  <c r="I9" i="51"/>
  <c r="N9" i="51"/>
  <c r="Q9" i="51"/>
  <c r="A10" i="51"/>
  <c r="B10" i="51"/>
  <c r="C10" i="51"/>
  <c r="R10" i="51" s="1"/>
  <c r="D10" i="51"/>
  <c r="Q10" i="51"/>
  <c r="A11" i="51"/>
  <c r="B11" i="51"/>
  <c r="C11" i="51"/>
  <c r="K11" i="51" s="1"/>
  <c r="D11" i="51"/>
  <c r="Q11" i="51"/>
  <c r="A12" i="51"/>
  <c r="B12" i="51"/>
  <c r="C12" i="51"/>
  <c r="E12" i="51" s="1"/>
  <c r="D12" i="51"/>
  <c r="K12" i="51"/>
  <c r="Q12" i="51"/>
  <c r="A13" i="51"/>
  <c r="B13" i="51"/>
  <c r="M13" i="51" s="1"/>
  <c r="C13" i="51"/>
  <c r="N13" i="51" s="1"/>
  <c r="D13" i="51"/>
  <c r="E13" i="51"/>
  <c r="K13" i="51"/>
  <c r="P13" i="51"/>
  <c r="S13" i="51"/>
  <c r="A14" i="51"/>
  <c r="B14" i="51"/>
  <c r="Q14" i="51" s="1"/>
  <c r="C14" i="51"/>
  <c r="H14" i="51" s="1"/>
  <c r="D14" i="51"/>
  <c r="E14" i="51"/>
  <c r="G14" i="51"/>
  <c r="J14" i="51"/>
  <c r="M14" i="51"/>
  <c r="P14" i="51"/>
  <c r="R14" i="51"/>
  <c r="S14" i="51"/>
  <c r="A15" i="51"/>
  <c r="B15" i="51"/>
  <c r="C15" i="51"/>
  <c r="O15" i="51" s="1"/>
  <c r="D15" i="51"/>
  <c r="G15" i="51"/>
  <c r="Q15" i="51"/>
  <c r="A16" i="51"/>
  <c r="B16" i="51"/>
  <c r="Q16" i="51" s="1"/>
  <c r="C16" i="51"/>
  <c r="J16" i="51" s="1"/>
  <c r="D16" i="51"/>
  <c r="G16" i="51"/>
  <c r="I16" i="51"/>
  <c r="K16" i="51"/>
  <c r="L16" i="51"/>
  <c r="O16" i="51"/>
  <c r="P16" i="51"/>
  <c r="A17" i="51"/>
  <c r="B17" i="51"/>
  <c r="C17" i="51"/>
  <c r="R17" i="51" s="1"/>
  <c r="D17" i="51"/>
  <c r="Q17" i="51"/>
  <c r="B3" i="51"/>
  <c r="B4" i="49"/>
  <c r="B5" i="49"/>
  <c r="B6" i="49"/>
  <c r="B7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3" i="49"/>
  <c r="B4" i="48"/>
  <c r="B5" i="48"/>
  <c r="B6" i="48"/>
  <c r="B7" i="48"/>
  <c r="B9" i="48"/>
  <c r="B10" i="48"/>
  <c r="B11" i="48"/>
  <c r="B12" i="48"/>
  <c r="B13" i="48"/>
  <c r="B14" i="48"/>
  <c r="B15" i="48"/>
  <c r="B16" i="48"/>
  <c r="B17" i="48"/>
  <c r="B18" i="48"/>
  <c r="B19" i="48"/>
  <c r="B20" i="48"/>
  <c r="B21" i="48"/>
  <c r="B22" i="48"/>
  <c r="B23" i="48"/>
  <c r="B24" i="48"/>
  <c r="B25" i="48"/>
  <c r="B26" i="48"/>
  <c r="B27" i="48"/>
  <c r="B28" i="48"/>
  <c r="B29" i="48"/>
  <c r="B30" i="48"/>
  <c r="B31" i="48"/>
  <c r="B32" i="48"/>
  <c r="B33" i="48"/>
  <c r="B34" i="48"/>
  <c r="B35" i="48"/>
  <c r="B36" i="48"/>
  <c r="B37" i="48"/>
  <c r="B38" i="48"/>
  <c r="B39" i="48"/>
  <c r="B40" i="48"/>
  <c r="B41" i="48"/>
  <c r="B3" i="48"/>
  <c r="B4" i="47"/>
  <c r="B5" i="47"/>
  <c r="B6" i="47"/>
  <c r="B7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" i="47"/>
  <c r="B4" i="46"/>
  <c r="B5" i="46"/>
  <c r="B6" i="46"/>
  <c r="B7" i="46"/>
  <c r="B9" i="46"/>
  <c r="B10" i="46"/>
  <c r="B11" i="46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3" i="46"/>
  <c r="B4" i="40"/>
  <c r="B5" i="40"/>
  <c r="B6" i="40"/>
  <c r="B7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3" i="40"/>
  <c r="B4" i="38"/>
  <c r="B5" i="38"/>
  <c r="B6" i="38"/>
  <c r="B7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3" i="38"/>
  <c r="B4" i="45"/>
  <c r="B5" i="45"/>
  <c r="B6" i="45"/>
  <c r="B7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4" i="45"/>
  <c r="B35" i="45"/>
  <c r="B36" i="45"/>
  <c r="B37" i="45"/>
  <c r="B3" i="45"/>
  <c r="B4" i="44"/>
  <c r="B5" i="44"/>
  <c r="B6" i="44"/>
  <c r="B7" i="44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B38" i="44"/>
  <c r="B39" i="44"/>
  <c r="B40" i="44"/>
  <c r="B41" i="44"/>
  <c r="B42" i="44"/>
  <c r="B43" i="44"/>
  <c r="B44" i="44"/>
  <c r="B45" i="44"/>
  <c r="B46" i="44"/>
  <c r="B47" i="44"/>
  <c r="B48" i="44"/>
  <c r="B49" i="44"/>
  <c r="B50" i="44"/>
  <c r="B51" i="44"/>
  <c r="B52" i="44"/>
  <c r="B53" i="44"/>
  <c r="B54" i="44"/>
  <c r="B55" i="44"/>
  <c r="B56" i="44"/>
  <c r="B3" i="44"/>
  <c r="B4" i="43"/>
  <c r="B5" i="43"/>
  <c r="B6" i="43"/>
  <c r="B7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" i="43"/>
  <c r="B4" i="42"/>
  <c r="B5" i="42"/>
  <c r="B6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3" i="42"/>
  <c r="C7" i="41"/>
  <c r="C8" i="41"/>
  <c r="C9" i="41"/>
  <c r="C10" i="41"/>
  <c r="C11" i="41"/>
  <c r="C12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5" i="41"/>
  <c r="C26" i="41"/>
  <c r="C27" i="41"/>
  <c r="C28" i="41"/>
  <c r="C29" i="41"/>
  <c r="C30" i="41"/>
  <c r="C31" i="41"/>
  <c r="C32" i="41"/>
  <c r="C33" i="41"/>
  <c r="C34" i="41"/>
  <c r="C35" i="41"/>
  <c r="C36" i="41"/>
  <c r="C37" i="41"/>
  <c r="C38" i="41"/>
  <c r="B4" i="41"/>
  <c r="B5" i="41"/>
  <c r="B6" i="41"/>
  <c r="B7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3" i="41"/>
  <c r="A3" i="51"/>
  <c r="F2" i="51"/>
  <c r="G2" i="51" s="1"/>
  <c r="H2" i="51" s="1"/>
  <c r="I2" i="51" s="1"/>
  <c r="J2" i="51" s="1"/>
  <c r="K2" i="51" s="1"/>
  <c r="L2" i="51" s="1"/>
  <c r="M2" i="51" s="1"/>
  <c r="N2" i="51" s="1"/>
  <c r="O2" i="51" s="1"/>
  <c r="P2" i="51" s="1"/>
  <c r="Q2" i="51" s="1"/>
  <c r="R2" i="51" s="1"/>
  <c r="S2" i="51" s="1"/>
  <c r="T2" i="51" s="1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L139" i="16"/>
  <c r="K109" i="16"/>
  <c r="G118" i="29"/>
  <c r="G126" i="29"/>
  <c r="G127" i="29"/>
  <c r="G128" i="29"/>
  <c r="L138" i="16"/>
  <c r="K172" i="16"/>
  <c r="K171" i="16"/>
  <c r="K170" i="16"/>
  <c r="A8" i="41"/>
  <c r="B8" i="41" s="1"/>
  <c r="H13" i="3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J14" i="39"/>
  <c r="K14" i="39"/>
  <c r="L14" i="39"/>
  <c r="M14" i="39"/>
  <c r="N14" i="39"/>
  <c r="O14" i="39"/>
  <c r="P14" i="39"/>
  <c r="Q14" i="39"/>
  <c r="R14" i="39"/>
  <c r="S14" i="39"/>
  <c r="T14" i="39"/>
  <c r="U14" i="39"/>
  <c r="V14" i="39"/>
  <c r="W14" i="39"/>
  <c r="X14" i="39"/>
  <c r="Y14" i="39"/>
  <c r="J15" i="39"/>
  <c r="K15" i="39"/>
  <c r="L15" i="39"/>
  <c r="M15" i="39"/>
  <c r="N15" i="39"/>
  <c r="O15" i="39"/>
  <c r="P15" i="39"/>
  <c r="Q15" i="39"/>
  <c r="R15" i="39"/>
  <c r="S15" i="39"/>
  <c r="T15" i="39"/>
  <c r="U15" i="39"/>
  <c r="V15" i="39"/>
  <c r="W15" i="39"/>
  <c r="X15" i="39"/>
  <c r="Y15" i="39"/>
  <c r="J16" i="39"/>
  <c r="K16" i="39"/>
  <c r="L16" i="39"/>
  <c r="M16" i="39"/>
  <c r="N16" i="39"/>
  <c r="O16" i="39"/>
  <c r="P16" i="39"/>
  <c r="Q16" i="39"/>
  <c r="R16" i="39"/>
  <c r="S16" i="39"/>
  <c r="T16" i="39"/>
  <c r="U16" i="39"/>
  <c r="V16" i="39"/>
  <c r="W16" i="39"/>
  <c r="X16" i="39"/>
  <c r="Y16" i="39"/>
  <c r="J17" i="39"/>
  <c r="K17" i="39"/>
  <c r="L17" i="39"/>
  <c r="M17" i="39"/>
  <c r="N17" i="39"/>
  <c r="O17" i="39"/>
  <c r="P17" i="39"/>
  <c r="Q17" i="39"/>
  <c r="R17" i="39"/>
  <c r="S17" i="39"/>
  <c r="T17" i="39"/>
  <c r="U17" i="39"/>
  <c r="V17" i="39"/>
  <c r="W17" i="39"/>
  <c r="X17" i="39"/>
  <c r="Y17" i="39"/>
  <c r="J18" i="39"/>
  <c r="K18" i="39"/>
  <c r="L18" i="39"/>
  <c r="M18" i="39"/>
  <c r="N18" i="39"/>
  <c r="O18" i="39"/>
  <c r="P18" i="39"/>
  <c r="Q18" i="39"/>
  <c r="R18" i="39"/>
  <c r="S18" i="39"/>
  <c r="T18" i="39"/>
  <c r="U18" i="39"/>
  <c r="V18" i="39"/>
  <c r="W18" i="39"/>
  <c r="X18" i="39"/>
  <c r="Y18" i="39"/>
  <c r="J19" i="39"/>
  <c r="K19" i="39"/>
  <c r="L19" i="39"/>
  <c r="M19" i="39"/>
  <c r="N19" i="39"/>
  <c r="O19" i="39"/>
  <c r="P19" i="39"/>
  <c r="Q19" i="39"/>
  <c r="R19" i="39"/>
  <c r="S19" i="39"/>
  <c r="T19" i="39"/>
  <c r="U19" i="39"/>
  <c r="V19" i="39"/>
  <c r="W19" i="39"/>
  <c r="X19" i="39"/>
  <c r="Y19" i="39"/>
  <c r="J20" i="39"/>
  <c r="K20" i="39"/>
  <c r="L20" i="39"/>
  <c r="M20" i="39"/>
  <c r="N20" i="39"/>
  <c r="O20" i="39"/>
  <c r="P20" i="39"/>
  <c r="Q20" i="39"/>
  <c r="R20" i="39"/>
  <c r="S20" i="39"/>
  <c r="T20" i="39"/>
  <c r="U20" i="39"/>
  <c r="V20" i="39"/>
  <c r="W20" i="39"/>
  <c r="X20" i="39"/>
  <c r="Y20" i="39"/>
  <c r="J21" i="39"/>
  <c r="K21" i="39"/>
  <c r="L21" i="39"/>
  <c r="M21" i="39"/>
  <c r="N21" i="39"/>
  <c r="O21" i="39"/>
  <c r="P21" i="39"/>
  <c r="Q21" i="39"/>
  <c r="R21" i="39"/>
  <c r="S21" i="39"/>
  <c r="T21" i="39"/>
  <c r="U21" i="39"/>
  <c r="V21" i="39"/>
  <c r="W21" i="39"/>
  <c r="X21" i="39"/>
  <c r="Y21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J27" i="39"/>
  <c r="K27" i="39"/>
  <c r="L27" i="39"/>
  <c r="M27" i="39"/>
  <c r="N27" i="39"/>
  <c r="O27" i="39"/>
  <c r="P27" i="39"/>
  <c r="Q27" i="39"/>
  <c r="R27" i="39"/>
  <c r="S27" i="39"/>
  <c r="T27" i="39"/>
  <c r="U27" i="39"/>
  <c r="V27" i="39"/>
  <c r="W27" i="39"/>
  <c r="X27" i="39"/>
  <c r="Y27" i="39"/>
  <c r="J28" i="39"/>
  <c r="K28" i="39"/>
  <c r="L28" i="39"/>
  <c r="M28" i="39"/>
  <c r="N28" i="39"/>
  <c r="O28" i="39"/>
  <c r="P28" i="39"/>
  <c r="Q28" i="39"/>
  <c r="R28" i="39"/>
  <c r="S28" i="39"/>
  <c r="T28" i="39"/>
  <c r="U28" i="39"/>
  <c r="V28" i="39"/>
  <c r="W28" i="39"/>
  <c r="X28" i="39"/>
  <c r="Y28" i="39"/>
  <c r="J29" i="39"/>
  <c r="K29" i="39"/>
  <c r="L29" i="39"/>
  <c r="M29" i="39"/>
  <c r="N29" i="39"/>
  <c r="O29" i="39"/>
  <c r="P29" i="39"/>
  <c r="Q29" i="39"/>
  <c r="R29" i="39"/>
  <c r="S29" i="39"/>
  <c r="T29" i="39"/>
  <c r="U29" i="39"/>
  <c r="V29" i="39"/>
  <c r="W29" i="39"/>
  <c r="X29" i="39"/>
  <c r="Y29" i="39"/>
  <c r="J30" i="39"/>
  <c r="K30" i="39"/>
  <c r="L30" i="39"/>
  <c r="M30" i="39"/>
  <c r="N30" i="39"/>
  <c r="O30" i="39"/>
  <c r="P30" i="39"/>
  <c r="Q30" i="39"/>
  <c r="R30" i="39"/>
  <c r="S30" i="39"/>
  <c r="T30" i="39"/>
  <c r="U30" i="39"/>
  <c r="V30" i="39"/>
  <c r="W30" i="39"/>
  <c r="X30" i="39"/>
  <c r="Y30" i="39"/>
  <c r="J31" i="39"/>
  <c r="K31" i="39"/>
  <c r="L31" i="39"/>
  <c r="M31" i="39"/>
  <c r="N31" i="39"/>
  <c r="O31" i="39"/>
  <c r="P31" i="39"/>
  <c r="Q31" i="39"/>
  <c r="R31" i="39"/>
  <c r="S31" i="39"/>
  <c r="T31" i="39"/>
  <c r="U31" i="39"/>
  <c r="V31" i="39"/>
  <c r="W31" i="39"/>
  <c r="X31" i="39"/>
  <c r="Y31" i="39"/>
  <c r="J32" i="39"/>
  <c r="K32" i="39"/>
  <c r="L32" i="39"/>
  <c r="M32" i="39"/>
  <c r="N32" i="39"/>
  <c r="O32" i="39"/>
  <c r="P32" i="39"/>
  <c r="Q32" i="39"/>
  <c r="R32" i="39"/>
  <c r="S32" i="39"/>
  <c r="T32" i="39"/>
  <c r="U32" i="39"/>
  <c r="V32" i="39"/>
  <c r="W32" i="39"/>
  <c r="X32" i="39"/>
  <c r="Y32" i="39"/>
  <c r="J33" i="39"/>
  <c r="K33" i="39"/>
  <c r="L33" i="39"/>
  <c r="M33" i="39"/>
  <c r="N33" i="39"/>
  <c r="O33" i="39"/>
  <c r="P33" i="39"/>
  <c r="Q33" i="39"/>
  <c r="R33" i="39"/>
  <c r="S33" i="39"/>
  <c r="T33" i="39"/>
  <c r="U33" i="39"/>
  <c r="V33" i="39"/>
  <c r="W33" i="39"/>
  <c r="X33" i="39"/>
  <c r="Y33" i="39"/>
  <c r="J34" i="39"/>
  <c r="K34" i="39"/>
  <c r="L34" i="39"/>
  <c r="M34" i="39"/>
  <c r="N34" i="39"/>
  <c r="O34" i="39"/>
  <c r="P34" i="39"/>
  <c r="Q34" i="39"/>
  <c r="R34" i="39"/>
  <c r="S34" i="39"/>
  <c r="T34" i="39"/>
  <c r="U34" i="39"/>
  <c r="V34" i="39"/>
  <c r="W34" i="39"/>
  <c r="X34" i="39"/>
  <c r="Y34" i="39"/>
  <c r="J35" i="39"/>
  <c r="K35" i="39"/>
  <c r="L35" i="39"/>
  <c r="M35" i="39"/>
  <c r="N35" i="39"/>
  <c r="O35" i="39"/>
  <c r="P35" i="39"/>
  <c r="Q35" i="39"/>
  <c r="R35" i="39"/>
  <c r="S35" i="39"/>
  <c r="T35" i="39"/>
  <c r="U35" i="39"/>
  <c r="V35" i="39"/>
  <c r="W35" i="39"/>
  <c r="X35" i="39"/>
  <c r="Y35" i="39"/>
  <c r="J36" i="39"/>
  <c r="K36" i="39"/>
  <c r="L36" i="39"/>
  <c r="M36" i="39"/>
  <c r="N36" i="39"/>
  <c r="O36" i="39"/>
  <c r="P36" i="39"/>
  <c r="Q36" i="39"/>
  <c r="R36" i="39"/>
  <c r="S36" i="39"/>
  <c r="T36" i="39"/>
  <c r="U36" i="39"/>
  <c r="V36" i="39"/>
  <c r="W36" i="39"/>
  <c r="X36" i="39"/>
  <c r="Y36" i="39"/>
  <c r="J37" i="39"/>
  <c r="K37" i="39"/>
  <c r="L37" i="39"/>
  <c r="M37" i="39"/>
  <c r="N37" i="39"/>
  <c r="O37" i="39"/>
  <c r="P37" i="39"/>
  <c r="Q37" i="39"/>
  <c r="R37" i="39"/>
  <c r="S37" i="39"/>
  <c r="T37" i="39"/>
  <c r="U37" i="39"/>
  <c r="V37" i="39"/>
  <c r="W37" i="39"/>
  <c r="X37" i="39"/>
  <c r="Y37" i="39"/>
  <c r="J38" i="39"/>
  <c r="K38" i="39"/>
  <c r="L38" i="39"/>
  <c r="M38" i="39"/>
  <c r="N38" i="39"/>
  <c r="O38" i="39"/>
  <c r="P38" i="39"/>
  <c r="Q38" i="39"/>
  <c r="R38" i="39"/>
  <c r="S38" i="39"/>
  <c r="T38" i="39"/>
  <c r="U38" i="39"/>
  <c r="V38" i="39"/>
  <c r="W38" i="39"/>
  <c r="X38" i="39"/>
  <c r="Y38" i="39"/>
  <c r="J39" i="39"/>
  <c r="K39" i="39"/>
  <c r="L39" i="39"/>
  <c r="M39" i="39"/>
  <c r="N39" i="39"/>
  <c r="O39" i="39"/>
  <c r="P39" i="39"/>
  <c r="Q39" i="39"/>
  <c r="R39" i="39"/>
  <c r="S39" i="39"/>
  <c r="T39" i="39"/>
  <c r="U39" i="39"/>
  <c r="V39" i="39"/>
  <c r="W39" i="39"/>
  <c r="X39" i="39"/>
  <c r="Y39" i="39"/>
  <c r="J40" i="39"/>
  <c r="K40" i="39"/>
  <c r="L40" i="39"/>
  <c r="M40" i="39"/>
  <c r="N40" i="39"/>
  <c r="O40" i="39"/>
  <c r="P40" i="39"/>
  <c r="Q40" i="39"/>
  <c r="R40" i="39"/>
  <c r="S40" i="39"/>
  <c r="T40" i="39"/>
  <c r="U40" i="39"/>
  <c r="V40" i="39"/>
  <c r="W40" i="39"/>
  <c r="X40" i="39"/>
  <c r="Y40" i="39"/>
  <c r="J41" i="39"/>
  <c r="K41" i="39"/>
  <c r="L41" i="39"/>
  <c r="M41" i="39"/>
  <c r="N41" i="39"/>
  <c r="O41" i="39"/>
  <c r="P41" i="39"/>
  <c r="Q41" i="39"/>
  <c r="R41" i="39"/>
  <c r="S41" i="39"/>
  <c r="T41" i="39"/>
  <c r="U41" i="39"/>
  <c r="V41" i="39"/>
  <c r="W41" i="39"/>
  <c r="X41" i="39"/>
  <c r="Y41" i="39"/>
  <c r="J42" i="39"/>
  <c r="K42" i="39"/>
  <c r="L42" i="39"/>
  <c r="M42" i="39"/>
  <c r="N42" i="39"/>
  <c r="O42" i="39"/>
  <c r="P42" i="39"/>
  <c r="Q42" i="39"/>
  <c r="R42" i="39"/>
  <c r="S42" i="39"/>
  <c r="T42" i="39"/>
  <c r="U42" i="39"/>
  <c r="V42" i="39"/>
  <c r="W42" i="39"/>
  <c r="X42" i="39"/>
  <c r="Y42" i="39"/>
  <c r="J43" i="39"/>
  <c r="K43" i="39"/>
  <c r="L43" i="39"/>
  <c r="M43" i="39"/>
  <c r="N43" i="39"/>
  <c r="O43" i="39"/>
  <c r="P43" i="39"/>
  <c r="Q43" i="39"/>
  <c r="R43" i="39"/>
  <c r="S43" i="39"/>
  <c r="T43" i="39"/>
  <c r="U43" i="39"/>
  <c r="V43" i="39"/>
  <c r="W43" i="39"/>
  <c r="X43" i="39"/>
  <c r="Y43" i="39"/>
  <c r="J44" i="39"/>
  <c r="K44" i="39"/>
  <c r="L44" i="39"/>
  <c r="M44" i="39"/>
  <c r="N44" i="39"/>
  <c r="O44" i="39"/>
  <c r="P44" i="39"/>
  <c r="Q44" i="39"/>
  <c r="R44" i="39"/>
  <c r="S44" i="39"/>
  <c r="T44" i="39"/>
  <c r="U44" i="39"/>
  <c r="V44" i="39"/>
  <c r="W44" i="39"/>
  <c r="X44" i="39"/>
  <c r="Y44" i="39"/>
  <c r="J45" i="39"/>
  <c r="K45" i="39"/>
  <c r="L45" i="39"/>
  <c r="M45" i="39"/>
  <c r="N45" i="39"/>
  <c r="O45" i="39"/>
  <c r="P45" i="39"/>
  <c r="Q45" i="39"/>
  <c r="R45" i="39"/>
  <c r="S45" i="39"/>
  <c r="T45" i="39"/>
  <c r="U45" i="39"/>
  <c r="V45" i="39"/>
  <c r="W45" i="39"/>
  <c r="X45" i="39"/>
  <c r="Y45" i="39"/>
  <c r="J46" i="39"/>
  <c r="K46" i="39"/>
  <c r="L46" i="39"/>
  <c r="M46" i="39"/>
  <c r="N46" i="39"/>
  <c r="O46" i="39"/>
  <c r="P46" i="39"/>
  <c r="Q46" i="39"/>
  <c r="R46" i="39"/>
  <c r="S46" i="39"/>
  <c r="T46" i="39"/>
  <c r="U46" i="39"/>
  <c r="V46" i="39"/>
  <c r="W46" i="39"/>
  <c r="X46" i="39"/>
  <c r="Y46" i="39"/>
  <c r="J47" i="39"/>
  <c r="K47" i="39"/>
  <c r="L47" i="39"/>
  <c r="M47" i="39"/>
  <c r="N47" i="39"/>
  <c r="O47" i="39"/>
  <c r="P47" i="39"/>
  <c r="Q47" i="39"/>
  <c r="R47" i="39"/>
  <c r="S47" i="39"/>
  <c r="T47" i="39"/>
  <c r="U47" i="39"/>
  <c r="V47" i="39"/>
  <c r="W47" i="39"/>
  <c r="X47" i="39"/>
  <c r="Y47" i="39"/>
  <c r="J48" i="39"/>
  <c r="K48" i="39"/>
  <c r="L48" i="39"/>
  <c r="M48" i="39"/>
  <c r="N48" i="39"/>
  <c r="O48" i="39"/>
  <c r="P48" i="39"/>
  <c r="Q48" i="39"/>
  <c r="R48" i="39"/>
  <c r="S48" i="39"/>
  <c r="T48" i="39"/>
  <c r="U48" i="39"/>
  <c r="V48" i="39"/>
  <c r="W48" i="39"/>
  <c r="X48" i="39"/>
  <c r="Y48" i="39"/>
  <c r="J49" i="39"/>
  <c r="K49" i="39"/>
  <c r="L49" i="39"/>
  <c r="M49" i="39"/>
  <c r="N49" i="39"/>
  <c r="O49" i="39"/>
  <c r="P49" i="39"/>
  <c r="Q49" i="39"/>
  <c r="R49" i="39"/>
  <c r="S49" i="39"/>
  <c r="T49" i="39"/>
  <c r="U49" i="39"/>
  <c r="V49" i="39"/>
  <c r="W49" i="39"/>
  <c r="X49" i="39"/>
  <c r="Y49" i="39"/>
  <c r="J50" i="39"/>
  <c r="K50" i="39"/>
  <c r="L50" i="39"/>
  <c r="M50" i="39"/>
  <c r="N50" i="39"/>
  <c r="O50" i="39"/>
  <c r="P50" i="39"/>
  <c r="Q50" i="39"/>
  <c r="R50" i="39"/>
  <c r="S50" i="39"/>
  <c r="T50" i="39"/>
  <c r="U50" i="39"/>
  <c r="V50" i="39"/>
  <c r="W50" i="39"/>
  <c r="X50" i="39"/>
  <c r="Y50" i="39"/>
  <c r="J51" i="39"/>
  <c r="K51" i="39"/>
  <c r="L51" i="39"/>
  <c r="M51" i="39"/>
  <c r="N51" i="39"/>
  <c r="O51" i="39"/>
  <c r="P51" i="39"/>
  <c r="Q51" i="39"/>
  <c r="R51" i="39"/>
  <c r="S51" i="39"/>
  <c r="T51" i="39"/>
  <c r="U51" i="39"/>
  <c r="V51" i="39"/>
  <c r="W51" i="39"/>
  <c r="X51" i="39"/>
  <c r="Y51" i="39"/>
  <c r="J52" i="39"/>
  <c r="K52" i="39"/>
  <c r="L52" i="39"/>
  <c r="M52" i="39"/>
  <c r="N52" i="39"/>
  <c r="O52" i="39"/>
  <c r="P52" i="39"/>
  <c r="Q52" i="39"/>
  <c r="R52" i="39"/>
  <c r="S52" i="39"/>
  <c r="T52" i="39"/>
  <c r="U52" i="39"/>
  <c r="V52" i="39"/>
  <c r="W52" i="39"/>
  <c r="X52" i="39"/>
  <c r="Y52" i="39"/>
  <c r="J53" i="39"/>
  <c r="K53" i="39"/>
  <c r="L53" i="39"/>
  <c r="M53" i="39"/>
  <c r="N53" i="39"/>
  <c r="O53" i="39"/>
  <c r="P53" i="39"/>
  <c r="Q53" i="39"/>
  <c r="R53" i="39"/>
  <c r="S53" i="39"/>
  <c r="T53" i="39"/>
  <c r="U53" i="39"/>
  <c r="V53" i="39"/>
  <c r="W53" i="39"/>
  <c r="X53" i="39"/>
  <c r="Y53" i="39"/>
  <c r="J54" i="39"/>
  <c r="K54" i="39"/>
  <c r="L54" i="39"/>
  <c r="M54" i="39"/>
  <c r="N54" i="39"/>
  <c r="O54" i="39"/>
  <c r="P54" i="39"/>
  <c r="Q54" i="39"/>
  <c r="R54" i="39"/>
  <c r="S54" i="39"/>
  <c r="T54" i="39"/>
  <c r="U54" i="39"/>
  <c r="V54" i="39"/>
  <c r="W54" i="39"/>
  <c r="X54" i="39"/>
  <c r="Y54" i="39"/>
  <c r="J55" i="39"/>
  <c r="K55" i="39"/>
  <c r="L55" i="39"/>
  <c r="M55" i="39"/>
  <c r="N55" i="39"/>
  <c r="O55" i="39"/>
  <c r="P55" i="39"/>
  <c r="Q55" i="39"/>
  <c r="R55" i="39"/>
  <c r="S55" i="39"/>
  <c r="T55" i="39"/>
  <c r="U55" i="39"/>
  <c r="V55" i="39"/>
  <c r="W55" i="39"/>
  <c r="X55" i="39"/>
  <c r="Y55" i="39"/>
  <c r="J56" i="39"/>
  <c r="K56" i="39"/>
  <c r="L56" i="39"/>
  <c r="M56" i="39"/>
  <c r="N56" i="39"/>
  <c r="O56" i="39"/>
  <c r="P56" i="39"/>
  <c r="Q56" i="39"/>
  <c r="R56" i="39"/>
  <c r="S56" i="39"/>
  <c r="T56" i="39"/>
  <c r="U56" i="39"/>
  <c r="V56" i="39"/>
  <c r="W56" i="39"/>
  <c r="X56" i="39"/>
  <c r="Y56" i="39"/>
  <c r="J57" i="39"/>
  <c r="K57" i="39"/>
  <c r="L57" i="39"/>
  <c r="M57" i="39"/>
  <c r="N57" i="39"/>
  <c r="O57" i="39"/>
  <c r="P57" i="39"/>
  <c r="Q57" i="39"/>
  <c r="R57" i="39"/>
  <c r="S57" i="39"/>
  <c r="T57" i="39"/>
  <c r="U57" i="39"/>
  <c r="V57" i="39"/>
  <c r="W57" i="39"/>
  <c r="X57" i="39"/>
  <c r="Y57" i="39"/>
  <c r="J58" i="39"/>
  <c r="K58" i="39"/>
  <c r="L58" i="39"/>
  <c r="M58" i="39"/>
  <c r="N58" i="39"/>
  <c r="O58" i="39"/>
  <c r="P58" i="39"/>
  <c r="Q58" i="39"/>
  <c r="R58" i="39"/>
  <c r="S58" i="39"/>
  <c r="T58" i="39"/>
  <c r="U58" i="39"/>
  <c r="V58" i="39"/>
  <c r="W58" i="39"/>
  <c r="X58" i="39"/>
  <c r="Y58" i="39"/>
  <c r="J59" i="39"/>
  <c r="K59" i="39"/>
  <c r="L59" i="39"/>
  <c r="M59" i="39"/>
  <c r="N59" i="39"/>
  <c r="O59" i="39"/>
  <c r="P59" i="39"/>
  <c r="Q59" i="39"/>
  <c r="R59" i="39"/>
  <c r="S59" i="39"/>
  <c r="T59" i="39"/>
  <c r="U59" i="39"/>
  <c r="V59" i="39"/>
  <c r="W59" i="39"/>
  <c r="X59" i="39"/>
  <c r="Y59" i="39"/>
  <c r="J60" i="39"/>
  <c r="K60" i="39"/>
  <c r="L60" i="39"/>
  <c r="M60" i="39"/>
  <c r="N60" i="39"/>
  <c r="O60" i="39"/>
  <c r="P60" i="39"/>
  <c r="Q60" i="39"/>
  <c r="R60" i="39"/>
  <c r="S60" i="39"/>
  <c r="T60" i="39"/>
  <c r="U60" i="39"/>
  <c r="V60" i="39"/>
  <c r="W60" i="39"/>
  <c r="X60" i="39"/>
  <c r="Y60" i="39"/>
  <c r="J61" i="39"/>
  <c r="K61" i="39"/>
  <c r="L61" i="39"/>
  <c r="M61" i="39"/>
  <c r="N61" i="39"/>
  <c r="O61" i="39"/>
  <c r="P61" i="39"/>
  <c r="Q61" i="39"/>
  <c r="R61" i="39"/>
  <c r="S61" i="39"/>
  <c r="T61" i="39"/>
  <c r="U61" i="39"/>
  <c r="V61" i="39"/>
  <c r="W61" i="39"/>
  <c r="X61" i="39"/>
  <c r="Y61" i="39"/>
  <c r="J62" i="39"/>
  <c r="K62" i="39"/>
  <c r="L62" i="39"/>
  <c r="M62" i="39"/>
  <c r="N62" i="39"/>
  <c r="O62" i="39"/>
  <c r="P62" i="39"/>
  <c r="Q62" i="39"/>
  <c r="R62" i="39"/>
  <c r="S62" i="39"/>
  <c r="T62" i="39"/>
  <c r="U62" i="39"/>
  <c r="V62" i="39"/>
  <c r="W62" i="39"/>
  <c r="X62" i="39"/>
  <c r="Y62" i="39"/>
  <c r="J63" i="39"/>
  <c r="K63" i="39"/>
  <c r="L63" i="39"/>
  <c r="M63" i="39"/>
  <c r="N63" i="39"/>
  <c r="O63" i="39"/>
  <c r="P63" i="39"/>
  <c r="Q63" i="39"/>
  <c r="R63" i="39"/>
  <c r="S63" i="39"/>
  <c r="T63" i="39"/>
  <c r="U63" i="39"/>
  <c r="V63" i="39"/>
  <c r="W63" i="39"/>
  <c r="X63" i="39"/>
  <c r="Y63" i="39"/>
  <c r="J64" i="39"/>
  <c r="K64" i="39"/>
  <c r="L64" i="39"/>
  <c r="M64" i="39"/>
  <c r="N64" i="39"/>
  <c r="O64" i="39"/>
  <c r="P64" i="39"/>
  <c r="Q64" i="39"/>
  <c r="R64" i="39"/>
  <c r="S64" i="39"/>
  <c r="T64" i="39"/>
  <c r="U64" i="39"/>
  <c r="V64" i="39"/>
  <c r="W64" i="39"/>
  <c r="X64" i="39"/>
  <c r="Y64" i="39"/>
  <c r="A14" i="48"/>
  <c r="A15" i="48"/>
  <c r="A16" i="48"/>
  <c r="A17" i="48"/>
  <c r="A18" i="48"/>
  <c r="A19" i="48"/>
  <c r="A20" i="48"/>
  <c r="A21" i="48"/>
  <c r="J13" i="39"/>
  <c r="K13" i="39"/>
  <c r="L13" i="39"/>
  <c r="M13" i="39"/>
  <c r="N13" i="39"/>
  <c r="O13" i="39"/>
  <c r="P13" i="39"/>
  <c r="Q13" i="39"/>
  <c r="R13" i="39"/>
  <c r="S13" i="39"/>
  <c r="T13" i="39"/>
  <c r="U13" i="39"/>
  <c r="V13" i="39"/>
  <c r="W13" i="39"/>
  <c r="X13" i="39"/>
  <c r="Y13" i="39"/>
  <c r="A4" i="48"/>
  <c r="A5" i="48"/>
  <c r="A6" i="48"/>
  <c r="A7" i="48"/>
  <c r="A8" i="48"/>
  <c r="B8" i="48" s="1"/>
  <c r="A9" i="48"/>
  <c r="A10" i="48"/>
  <c r="A11" i="48"/>
  <c r="A12" i="48"/>
  <c r="A13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E38" i="48"/>
  <c r="F38" i="48"/>
  <c r="G38" i="48"/>
  <c r="H38" i="48"/>
  <c r="I38" i="48"/>
  <c r="J38" i="48"/>
  <c r="K38" i="48"/>
  <c r="L38" i="48"/>
  <c r="M38" i="48"/>
  <c r="N38" i="48"/>
  <c r="O38" i="48"/>
  <c r="P38" i="48"/>
  <c r="Q38" i="48"/>
  <c r="R38" i="48"/>
  <c r="S38" i="48"/>
  <c r="T38" i="48"/>
  <c r="A39" i="48"/>
  <c r="E39" i="48"/>
  <c r="F39" i="48"/>
  <c r="G39" i="48"/>
  <c r="H39" i="48"/>
  <c r="I39" i="48"/>
  <c r="J39" i="48"/>
  <c r="K39" i="48"/>
  <c r="L39" i="48"/>
  <c r="M39" i="48"/>
  <c r="N39" i="48"/>
  <c r="O39" i="48"/>
  <c r="P39" i="48"/>
  <c r="Q39" i="48"/>
  <c r="R39" i="48"/>
  <c r="S39" i="48"/>
  <c r="T39" i="48"/>
  <c r="A40" i="48"/>
  <c r="E40" i="48"/>
  <c r="F40" i="48"/>
  <c r="G40" i="48"/>
  <c r="H40" i="48"/>
  <c r="I40" i="48"/>
  <c r="J40" i="48"/>
  <c r="K40" i="48"/>
  <c r="L40" i="48"/>
  <c r="M40" i="48"/>
  <c r="N40" i="48"/>
  <c r="O40" i="48"/>
  <c r="P40" i="48"/>
  <c r="Q40" i="48"/>
  <c r="R40" i="48"/>
  <c r="S40" i="48"/>
  <c r="T40" i="48"/>
  <c r="A41" i="48"/>
  <c r="E41" i="48"/>
  <c r="F41" i="48"/>
  <c r="G41" i="48"/>
  <c r="H41" i="48"/>
  <c r="I41" i="48"/>
  <c r="J41" i="48"/>
  <c r="K41" i="48"/>
  <c r="L41" i="48"/>
  <c r="M41" i="48"/>
  <c r="N41" i="48"/>
  <c r="O41" i="48"/>
  <c r="P41" i="48"/>
  <c r="Q41" i="48"/>
  <c r="R41" i="48"/>
  <c r="S41" i="48"/>
  <c r="T41" i="48"/>
  <c r="A9" i="47"/>
  <c r="A10" i="47"/>
  <c r="A11" i="47"/>
  <c r="A12" i="47"/>
  <c r="A13" i="47"/>
  <c r="A14" i="47"/>
  <c r="I14" i="47" s="1"/>
  <c r="A15" i="47"/>
  <c r="A16" i="47"/>
  <c r="A17" i="47"/>
  <c r="A18" i="47"/>
  <c r="A19" i="47"/>
  <c r="J19" i="47" s="1"/>
  <c r="A20" i="47"/>
  <c r="A21" i="47"/>
  <c r="A22" i="47"/>
  <c r="A23" i="47"/>
  <c r="A24" i="47"/>
  <c r="A25" i="47"/>
  <c r="A26" i="47"/>
  <c r="J26" i="47" s="1"/>
  <c r="A27" i="47"/>
  <c r="A28" i="47"/>
  <c r="A29" i="47"/>
  <c r="A30" i="47"/>
  <c r="A31" i="47"/>
  <c r="A32" i="47"/>
  <c r="A33" i="47"/>
  <c r="A34" i="47"/>
  <c r="A35" i="47"/>
  <c r="A36" i="47"/>
  <c r="A37" i="47"/>
  <c r="A9" i="46"/>
  <c r="A10" i="46"/>
  <c r="A11" i="46"/>
  <c r="E11" i="46" s="1"/>
  <c r="A12" i="46"/>
  <c r="R12" i="46" s="1"/>
  <c r="A13" i="46"/>
  <c r="A14" i="46"/>
  <c r="A15" i="46"/>
  <c r="A16" i="46"/>
  <c r="A17" i="46"/>
  <c r="A18" i="46"/>
  <c r="A19" i="46"/>
  <c r="A20" i="46"/>
  <c r="A21" i="46"/>
  <c r="A22" i="46"/>
  <c r="A23" i="46"/>
  <c r="K23" i="46" s="1"/>
  <c r="A24" i="46"/>
  <c r="A25" i="46"/>
  <c r="A26" i="46"/>
  <c r="K26" i="46" s="1"/>
  <c r="A27" i="46"/>
  <c r="I27" i="46" s="1"/>
  <c r="A28" i="46"/>
  <c r="A29" i="46"/>
  <c r="K29" i="46" s="1"/>
  <c r="A30" i="46"/>
  <c r="A31" i="46"/>
  <c r="A32" i="46"/>
  <c r="P32" i="46" s="1"/>
  <c r="A33" i="46"/>
  <c r="L33" i="46" s="1"/>
  <c r="A34" i="46"/>
  <c r="A35" i="46"/>
  <c r="G35" i="46" s="1"/>
  <c r="A36" i="46"/>
  <c r="I36" i="46" s="1"/>
  <c r="A37" i="46"/>
  <c r="A38" i="46"/>
  <c r="A39" i="46"/>
  <c r="A40" i="46"/>
  <c r="A41" i="46"/>
  <c r="E41" i="46" s="1"/>
  <c r="A42" i="46"/>
  <c r="L42" i="46" s="1"/>
  <c r="A43" i="46"/>
  <c r="A44" i="46"/>
  <c r="I44" i="46" s="1"/>
  <c r="A9" i="40"/>
  <c r="A37" i="40"/>
  <c r="A38" i="40"/>
  <c r="A39" i="40"/>
  <c r="A40" i="40"/>
  <c r="A41" i="40"/>
  <c r="A42" i="40"/>
  <c r="A43" i="40"/>
  <c r="A44" i="40"/>
  <c r="A9" i="38"/>
  <c r="A10" i="38"/>
  <c r="O10" i="38" s="1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L32" i="38" s="1"/>
  <c r="A33" i="38"/>
  <c r="A34" i="38"/>
  <c r="A35" i="38"/>
  <c r="A36" i="38"/>
  <c r="A37" i="38"/>
  <c r="A38" i="38"/>
  <c r="A39" i="38"/>
  <c r="A40" i="38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A28" i="45"/>
  <c r="A29" i="45"/>
  <c r="A30" i="45"/>
  <c r="A31" i="45"/>
  <c r="A32" i="45"/>
  <c r="A33" i="45"/>
  <c r="A34" i="45"/>
  <c r="A35" i="45"/>
  <c r="A36" i="45"/>
  <c r="A37" i="45"/>
  <c r="A9" i="44"/>
  <c r="A10" i="44"/>
  <c r="C10" i="40" s="1"/>
  <c r="A11" i="44"/>
  <c r="A12" i="44"/>
  <c r="A13" i="44"/>
  <c r="C13" i="40" s="1"/>
  <c r="A14" i="44"/>
  <c r="C14" i="40" s="1"/>
  <c r="A15" i="44"/>
  <c r="C15" i="40" s="1"/>
  <c r="A16" i="44"/>
  <c r="C16" i="40" s="1"/>
  <c r="A17" i="44"/>
  <c r="C17" i="40" s="1"/>
  <c r="A18" i="44"/>
  <c r="C18" i="40" s="1"/>
  <c r="A19" i="44"/>
  <c r="C19" i="40" s="1"/>
  <c r="A20" i="44"/>
  <c r="C20" i="40" s="1"/>
  <c r="A21" i="44"/>
  <c r="C21" i="40" s="1"/>
  <c r="A22" i="44"/>
  <c r="C22" i="40" s="1"/>
  <c r="A23" i="44"/>
  <c r="C23" i="40" s="1"/>
  <c r="A24" i="44"/>
  <c r="C24" i="40" s="1"/>
  <c r="A25" i="44"/>
  <c r="C25" i="44" s="1"/>
  <c r="A26" i="44"/>
  <c r="A27" i="44"/>
  <c r="A28" i="44"/>
  <c r="C28" i="40" s="1"/>
  <c r="A29" i="44"/>
  <c r="C29" i="40" s="1"/>
  <c r="A30" i="44"/>
  <c r="C30" i="40" s="1"/>
  <c r="A31" i="44"/>
  <c r="A32" i="44"/>
  <c r="C32" i="40" s="1"/>
  <c r="A33" i="44"/>
  <c r="C33" i="40" s="1"/>
  <c r="A34" i="44"/>
  <c r="C34" i="40" s="1"/>
  <c r="A35" i="44"/>
  <c r="A36" i="44"/>
  <c r="A37" i="44"/>
  <c r="A38" i="44"/>
  <c r="A39" i="44"/>
  <c r="A40" i="44"/>
  <c r="C40" i="48" s="1"/>
  <c r="A41" i="44"/>
  <c r="C41" i="46" s="1"/>
  <c r="A42" i="44"/>
  <c r="A43" i="44"/>
  <c r="A44" i="44"/>
  <c r="K44" i="44" s="1"/>
  <c r="A45" i="44"/>
  <c r="A46" i="44"/>
  <c r="A47" i="44"/>
  <c r="A48" i="44"/>
  <c r="A49" i="44"/>
  <c r="A50" i="44"/>
  <c r="A51" i="44"/>
  <c r="A52" i="44"/>
  <c r="A53" i="44"/>
  <c r="A54" i="44"/>
  <c r="A55" i="44"/>
  <c r="A56" i="44"/>
  <c r="A9" i="43"/>
  <c r="A10" i="43"/>
  <c r="R10" i="43" s="1"/>
  <c r="A11" i="43"/>
  <c r="A12" i="43"/>
  <c r="Q12" i="43" s="1"/>
  <c r="A13" i="43"/>
  <c r="C13" i="43" s="1"/>
  <c r="A14" i="43"/>
  <c r="C14" i="43" s="1"/>
  <c r="A15" i="43"/>
  <c r="A16" i="43"/>
  <c r="C16" i="43" s="1"/>
  <c r="A17" i="43"/>
  <c r="A18" i="43"/>
  <c r="C18" i="43" s="1"/>
  <c r="A19" i="43"/>
  <c r="T19" i="43" s="1"/>
  <c r="A20" i="43"/>
  <c r="A21" i="43"/>
  <c r="C21" i="43" s="1"/>
  <c r="A22" i="43"/>
  <c r="A23" i="43"/>
  <c r="A24" i="43"/>
  <c r="C24" i="43" s="1"/>
  <c r="A25" i="43"/>
  <c r="A26" i="43"/>
  <c r="P26" i="43" s="1"/>
  <c r="A27" i="43"/>
  <c r="C27" i="43" s="1"/>
  <c r="A28" i="43"/>
  <c r="A29" i="43"/>
  <c r="A30" i="43"/>
  <c r="C30" i="43" s="1"/>
  <c r="A13" i="41"/>
  <c r="A14" i="41"/>
  <c r="A15" i="41"/>
  <c r="A16" i="41"/>
  <c r="A17" i="41"/>
  <c r="A18" i="41"/>
  <c r="A19" i="41"/>
  <c r="A20" i="41"/>
  <c r="A21" i="41"/>
  <c r="A22" i="41"/>
  <c r="G22" i="41" s="1"/>
  <c r="A23" i="41"/>
  <c r="A24" i="41"/>
  <c r="A25" i="41"/>
  <c r="A26" i="41"/>
  <c r="A27" i="41"/>
  <c r="A28" i="41"/>
  <c r="A29" i="41"/>
  <c r="A30" i="41"/>
  <c r="A31" i="41"/>
  <c r="A32" i="41"/>
  <c r="T32" i="41" s="1"/>
  <c r="A33" i="41"/>
  <c r="A34" i="41"/>
  <c r="A35" i="41"/>
  <c r="A36" i="41"/>
  <c r="A37" i="41"/>
  <c r="A38" i="41"/>
  <c r="A10" i="42"/>
  <c r="A11" i="42"/>
  <c r="A12" i="42"/>
  <c r="A13" i="42"/>
  <c r="A14" i="42"/>
  <c r="C14" i="42" s="1"/>
  <c r="A15" i="42"/>
  <c r="A16" i="42"/>
  <c r="A17" i="42"/>
  <c r="A18" i="42"/>
  <c r="C18" i="42" s="1"/>
  <c r="A19" i="42"/>
  <c r="A20" i="42"/>
  <c r="A21" i="42"/>
  <c r="C21" i="42" s="1"/>
  <c r="A22" i="42"/>
  <c r="A23" i="42"/>
  <c r="A24" i="42"/>
  <c r="C24" i="42" s="1"/>
  <c r="A25" i="42"/>
  <c r="C25" i="42" s="1"/>
  <c r="A26" i="42"/>
  <c r="C26" i="42" s="1"/>
  <c r="A9" i="42"/>
  <c r="C9" i="42" s="1"/>
  <c r="J9" i="39"/>
  <c r="K9" i="39"/>
  <c r="L9" i="39"/>
  <c r="M9" i="39"/>
  <c r="N9" i="39"/>
  <c r="O9" i="39"/>
  <c r="P9" i="39"/>
  <c r="Q9" i="39"/>
  <c r="R9" i="39"/>
  <c r="S9" i="39"/>
  <c r="T9" i="39"/>
  <c r="U9" i="39"/>
  <c r="V9" i="39"/>
  <c r="W9" i="39"/>
  <c r="X9" i="39"/>
  <c r="Y9" i="39"/>
  <c r="J10" i="39"/>
  <c r="K10" i="39"/>
  <c r="L10" i="39"/>
  <c r="M10" i="39"/>
  <c r="N10" i="39"/>
  <c r="O10" i="39"/>
  <c r="P10" i="39"/>
  <c r="Q10" i="39"/>
  <c r="R10" i="39"/>
  <c r="S10" i="39"/>
  <c r="T10" i="39"/>
  <c r="U10" i="39"/>
  <c r="V10" i="39"/>
  <c r="W10" i="39"/>
  <c r="X10" i="39"/>
  <c r="Y10" i="39"/>
  <c r="J11" i="39"/>
  <c r="K11" i="39"/>
  <c r="L11" i="39"/>
  <c r="M11" i="39"/>
  <c r="N11" i="39"/>
  <c r="O11" i="39"/>
  <c r="P11" i="39"/>
  <c r="Q11" i="39"/>
  <c r="R11" i="39"/>
  <c r="S11" i="39"/>
  <c r="T11" i="39"/>
  <c r="U11" i="39"/>
  <c r="V11" i="39"/>
  <c r="W11" i="39"/>
  <c r="X11" i="39"/>
  <c r="Y11" i="39"/>
  <c r="J12" i="39"/>
  <c r="K12" i="39"/>
  <c r="L12" i="39"/>
  <c r="M12" i="39"/>
  <c r="N12" i="39"/>
  <c r="O12" i="39"/>
  <c r="P12" i="39"/>
  <c r="Q12" i="39"/>
  <c r="R12" i="39"/>
  <c r="S12" i="39"/>
  <c r="T12" i="39"/>
  <c r="U12" i="39"/>
  <c r="V12" i="39"/>
  <c r="W12" i="39"/>
  <c r="X12" i="39"/>
  <c r="Y12" i="39"/>
  <c r="H11" i="39"/>
  <c r="H12" i="39"/>
  <c r="U23" i="37"/>
  <c r="D13" i="50"/>
  <c r="D11" i="50"/>
  <c r="AN83" i="37"/>
  <c r="AO83" i="37" s="1"/>
  <c r="AP83" i="37" s="1"/>
  <c r="AQ83" i="37" s="1"/>
  <c r="AR83" i="37" s="1"/>
  <c r="AS83" i="37" s="1"/>
  <c r="AT83" i="37" s="1"/>
  <c r="AU83" i="37" s="1"/>
  <c r="AV83" i="37" s="1"/>
  <c r="AW83" i="37" s="1"/>
  <c r="AX83" i="37" s="1"/>
  <c r="AY83" i="37" s="1"/>
  <c r="AZ83" i="37" s="1"/>
  <c r="BA83" i="37" s="1"/>
  <c r="BB83" i="37" s="1"/>
  <c r="A17" i="37"/>
  <c r="D65" i="37"/>
  <c r="E65" i="37" s="1"/>
  <c r="F65" i="37" s="1"/>
  <c r="G65" i="37" s="1"/>
  <c r="H65" i="37" s="1"/>
  <c r="I65" i="37" s="1"/>
  <c r="J65" i="37" s="1"/>
  <c r="K65" i="37" s="1"/>
  <c r="L65" i="37" s="1"/>
  <c r="M65" i="37" s="1"/>
  <c r="N65" i="37" s="1"/>
  <c r="O65" i="37" s="1"/>
  <c r="P65" i="37" s="1"/>
  <c r="Q65" i="37" s="1"/>
  <c r="R65" i="37" s="1"/>
  <c r="V65" i="37"/>
  <c r="W65" i="37" s="1"/>
  <c r="X65" i="37" s="1"/>
  <c r="Y65" i="37" s="1"/>
  <c r="Z65" i="37" s="1"/>
  <c r="AA65" i="37" s="1"/>
  <c r="AB65" i="37" s="1"/>
  <c r="AC65" i="37" s="1"/>
  <c r="AD65" i="37" s="1"/>
  <c r="AE65" i="37" s="1"/>
  <c r="AF65" i="37" s="1"/>
  <c r="AG65" i="37" s="1"/>
  <c r="AH65" i="37" s="1"/>
  <c r="AI65" i="37" s="1"/>
  <c r="AJ65" i="37" s="1"/>
  <c r="AN65" i="37"/>
  <c r="AO65" i="37" s="1"/>
  <c r="AP65" i="37" s="1"/>
  <c r="AQ65" i="37" s="1"/>
  <c r="AR65" i="37" s="1"/>
  <c r="AS65" i="37" s="1"/>
  <c r="AT65" i="37" s="1"/>
  <c r="AU65" i="37" s="1"/>
  <c r="AV65" i="37" s="1"/>
  <c r="AW65" i="37" s="1"/>
  <c r="AX65" i="37" s="1"/>
  <c r="AY65" i="37" s="1"/>
  <c r="AZ65" i="37" s="1"/>
  <c r="BA65" i="37" s="1"/>
  <c r="BB65" i="37" s="1"/>
  <c r="AN44" i="37"/>
  <c r="AO44" i="37" s="1"/>
  <c r="AP44" i="37" s="1"/>
  <c r="AQ44" i="37" s="1"/>
  <c r="AR44" i="37" s="1"/>
  <c r="AS44" i="37" s="1"/>
  <c r="AT44" i="37" s="1"/>
  <c r="AU44" i="37" s="1"/>
  <c r="AV44" i="37" s="1"/>
  <c r="AW44" i="37" s="1"/>
  <c r="AX44" i="37" s="1"/>
  <c r="AY44" i="37" s="1"/>
  <c r="AZ44" i="37" s="1"/>
  <c r="BA44" i="37" s="1"/>
  <c r="BB44" i="37" s="1"/>
  <c r="V44" i="37"/>
  <c r="W44" i="37" s="1"/>
  <c r="X44" i="37" s="1"/>
  <c r="Y44" i="37" s="1"/>
  <c r="Z44" i="37" s="1"/>
  <c r="AA44" i="37" s="1"/>
  <c r="AB44" i="37" s="1"/>
  <c r="AC44" i="37" s="1"/>
  <c r="AD44" i="37" s="1"/>
  <c r="AE44" i="37" s="1"/>
  <c r="AF44" i="37" s="1"/>
  <c r="AG44" i="37" s="1"/>
  <c r="AH44" i="37" s="1"/>
  <c r="AI44" i="37" s="1"/>
  <c r="AJ44" i="37" s="1"/>
  <c r="AN15" i="37"/>
  <c r="AO15" i="37" s="1"/>
  <c r="AP15" i="37" s="1"/>
  <c r="AQ15" i="37" s="1"/>
  <c r="AR15" i="37" s="1"/>
  <c r="AS15" i="37" s="1"/>
  <c r="AT15" i="37" s="1"/>
  <c r="AU15" i="37" s="1"/>
  <c r="AV15" i="37" s="1"/>
  <c r="AW15" i="37" s="1"/>
  <c r="AX15" i="37" s="1"/>
  <c r="AY15" i="37" s="1"/>
  <c r="AZ15" i="37" s="1"/>
  <c r="BA15" i="37" s="1"/>
  <c r="BB15" i="37" s="1"/>
  <c r="V15" i="37"/>
  <c r="W15" i="37" s="1"/>
  <c r="X15" i="37" s="1"/>
  <c r="Y15" i="37" s="1"/>
  <c r="Z15" i="37" s="1"/>
  <c r="AA15" i="37" s="1"/>
  <c r="AB15" i="37" s="1"/>
  <c r="AC15" i="37" s="1"/>
  <c r="AD15" i="37" s="1"/>
  <c r="AE15" i="37" s="1"/>
  <c r="AF15" i="37" s="1"/>
  <c r="AG15" i="37" s="1"/>
  <c r="AH15" i="37" s="1"/>
  <c r="AI15" i="37" s="1"/>
  <c r="AJ15" i="37" s="1"/>
  <c r="D44" i="37"/>
  <c r="E44" i="37" s="1"/>
  <c r="F44" i="37" s="1"/>
  <c r="G44" i="37" s="1"/>
  <c r="H44" i="37" s="1"/>
  <c r="I44" i="37" s="1"/>
  <c r="J44" i="37" s="1"/>
  <c r="K44" i="37" s="1"/>
  <c r="L44" i="37" s="1"/>
  <c r="M44" i="37" s="1"/>
  <c r="N44" i="37" s="1"/>
  <c r="O44" i="37" s="1"/>
  <c r="P44" i="37" s="1"/>
  <c r="Q44" i="37" s="1"/>
  <c r="R44" i="37" s="1"/>
  <c r="D15" i="37"/>
  <c r="E15" i="37" s="1"/>
  <c r="F15" i="37" s="1"/>
  <c r="G15" i="37" s="1"/>
  <c r="H15" i="37" s="1"/>
  <c r="I15" i="37" s="1"/>
  <c r="J15" i="37" s="1"/>
  <c r="K15" i="37" s="1"/>
  <c r="L15" i="37" s="1"/>
  <c r="M15" i="37" s="1"/>
  <c r="N15" i="37" s="1"/>
  <c r="O15" i="37" s="1"/>
  <c r="P15" i="37" s="1"/>
  <c r="Q15" i="37" s="1"/>
  <c r="R15" i="37" s="1"/>
  <c r="J4" i="39"/>
  <c r="K4" i="39"/>
  <c r="L4" i="39"/>
  <c r="M4" i="39"/>
  <c r="N4" i="39"/>
  <c r="O4" i="39"/>
  <c r="P4" i="39"/>
  <c r="Q4" i="39"/>
  <c r="R4" i="39"/>
  <c r="S4" i="39"/>
  <c r="T4" i="39"/>
  <c r="U4" i="39"/>
  <c r="V4" i="39"/>
  <c r="W4" i="39"/>
  <c r="X4" i="39"/>
  <c r="Y4" i="39"/>
  <c r="J5" i="39"/>
  <c r="K5" i="39"/>
  <c r="L5" i="39"/>
  <c r="M5" i="39"/>
  <c r="N5" i="39"/>
  <c r="O5" i="39"/>
  <c r="P5" i="39"/>
  <c r="Q5" i="39"/>
  <c r="R5" i="39"/>
  <c r="S5" i="39"/>
  <c r="T5" i="39"/>
  <c r="U5" i="39"/>
  <c r="V5" i="39"/>
  <c r="W5" i="39"/>
  <c r="X5" i="39"/>
  <c r="Y5" i="39"/>
  <c r="J6" i="39"/>
  <c r="K6" i="39"/>
  <c r="N6" i="39"/>
  <c r="O6" i="39"/>
  <c r="P6" i="39"/>
  <c r="Q6" i="39"/>
  <c r="R6" i="39"/>
  <c r="S6" i="39"/>
  <c r="T6" i="39"/>
  <c r="U6" i="39"/>
  <c r="V6" i="39"/>
  <c r="W6" i="39"/>
  <c r="X6" i="39"/>
  <c r="Y6" i="39"/>
  <c r="J7" i="39"/>
  <c r="K7" i="39"/>
  <c r="L7" i="39"/>
  <c r="M7" i="39"/>
  <c r="N7" i="39"/>
  <c r="O7" i="39"/>
  <c r="P7" i="39"/>
  <c r="Q7" i="39"/>
  <c r="R7" i="39"/>
  <c r="S7" i="39"/>
  <c r="T7" i="39"/>
  <c r="U7" i="39"/>
  <c r="V7" i="39"/>
  <c r="W7" i="39"/>
  <c r="X7" i="39"/>
  <c r="Y7" i="39"/>
  <c r="J8" i="39"/>
  <c r="K8" i="39"/>
  <c r="L8" i="39"/>
  <c r="M8" i="39"/>
  <c r="N8" i="39"/>
  <c r="O8" i="39"/>
  <c r="P8" i="39"/>
  <c r="Q8" i="39"/>
  <c r="R8" i="39"/>
  <c r="S8" i="39"/>
  <c r="T8" i="39"/>
  <c r="U8" i="39"/>
  <c r="V8" i="39"/>
  <c r="W8" i="39"/>
  <c r="X8" i="39"/>
  <c r="Y8" i="39"/>
  <c r="P3" i="39"/>
  <c r="Q3" i="39"/>
  <c r="R3" i="39"/>
  <c r="S3" i="39"/>
  <c r="T3" i="39"/>
  <c r="U3" i="39"/>
  <c r="V3" i="39"/>
  <c r="W3" i="39"/>
  <c r="X3" i="39"/>
  <c r="Y3" i="39"/>
  <c r="K3" i="39"/>
  <c r="L3" i="39"/>
  <c r="M3" i="39"/>
  <c r="N3" i="39"/>
  <c r="O3" i="39"/>
  <c r="J3" i="39"/>
  <c r="A8" i="40"/>
  <c r="B8" i="40" s="1"/>
  <c r="A7" i="40"/>
  <c r="A6" i="40"/>
  <c r="A5" i="40"/>
  <c r="A4" i="40"/>
  <c r="A3" i="40"/>
  <c r="F2" i="40"/>
  <c r="G2" i="40" s="1"/>
  <c r="H2" i="40" s="1"/>
  <c r="I2" i="40" s="1"/>
  <c r="J2" i="40" s="1"/>
  <c r="K2" i="40" s="1"/>
  <c r="L2" i="40" s="1"/>
  <c r="M2" i="40" s="1"/>
  <c r="N2" i="40" s="1"/>
  <c r="O2" i="40" s="1"/>
  <c r="P2" i="40" s="1"/>
  <c r="Q2" i="40" s="1"/>
  <c r="R2" i="40" s="1"/>
  <c r="S2" i="40" s="1"/>
  <c r="T2" i="40" s="1"/>
  <c r="K77" i="16"/>
  <c r="J77" i="16"/>
  <c r="A8" i="38"/>
  <c r="B8" i="38" s="1"/>
  <c r="A7" i="38"/>
  <c r="A6" i="38"/>
  <c r="A5" i="38"/>
  <c r="A4" i="38"/>
  <c r="A3" i="38"/>
  <c r="F2" i="38"/>
  <c r="G2" i="38" s="1"/>
  <c r="H2" i="38" s="1"/>
  <c r="I2" i="38" s="1"/>
  <c r="J2" i="38" s="1"/>
  <c r="K2" i="38" s="1"/>
  <c r="L2" i="38" s="1"/>
  <c r="M2" i="38" s="1"/>
  <c r="G2" i="42"/>
  <c r="H2" i="42"/>
  <c r="I2" i="42" s="1"/>
  <c r="J2" i="42" s="1"/>
  <c r="K2" i="42" s="1"/>
  <c r="L2" i="42" s="1"/>
  <c r="M2" i="42" s="1"/>
  <c r="N2" i="42" s="1"/>
  <c r="O2" i="42" s="1"/>
  <c r="P2" i="42" s="1"/>
  <c r="Q2" i="42" s="1"/>
  <c r="R2" i="42" s="1"/>
  <c r="S2" i="42" s="1"/>
  <c r="T2" i="42" s="1"/>
  <c r="F2" i="42"/>
  <c r="A8" i="42"/>
  <c r="C8" i="42" s="1"/>
  <c r="A7" i="42"/>
  <c r="A6" i="42"/>
  <c r="A5" i="42"/>
  <c r="A4" i="42"/>
  <c r="A3" i="42"/>
  <c r="G2" i="49"/>
  <c r="F2" i="49"/>
  <c r="F1" i="33"/>
  <c r="G1" i="33" s="1"/>
  <c r="H1" i="33" s="1"/>
  <c r="I1" i="33" s="1"/>
  <c r="J1" i="33" s="1"/>
  <c r="K1" i="33" s="1"/>
  <c r="L1" i="33" s="1"/>
  <c r="M1" i="33" s="1"/>
  <c r="N1" i="33" s="1"/>
  <c r="O1" i="33" s="1"/>
  <c r="P1" i="33" s="1"/>
  <c r="Q1" i="33" s="1"/>
  <c r="R1" i="33" s="1"/>
  <c r="S1" i="33" s="1"/>
  <c r="T1" i="33" s="1"/>
  <c r="U1" i="33" s="1"/>
  <c r="V1" i="33" s="1"/>
  <c r="W1" i="33" s="1"/>
  <c r="X1" i="33" s="1"/>
  <c r="Y1" i="33" s="1"/>
  <c r="Z1" i="33" s="1"/>
  <c r="AA1" i="33" s="1"/>
  <c r="AB1" i="33" s="1"/>
  <c r="AC1" i="33" s="1"/>
  <c r="AD1" i="33" s="1"/>
  <c r="AE1" i="33" s="1"/>
  <c r="AF1" i="33" s="1"/>
  <c r="AG1" i="33" s="1"/>
  <c r="AH1" i="33" s="1"/>
  <c r="AI1" i="33" s="1"/>
  <c r="AJ1" i="33" s="1"/>
  <c r="AK1" i="33" s="1"/>
  <c r="AL1" i="33" s="1"/>
  <c r="AM1" i="33" s="1"/>
  <c r="AN1" i="33" s="1"/>
  <c r="AO1" i="33" s="1"/>
  <c r="AP1" i="33" s="1"/>
  <c r="AQ1" i="33" s="1"/>
  <c r="AR1" i="33" s="1"/>
  <c r="AS1" i="33" s="1"/>
  <c r="AT1" i="33" s="1"/>
  <c r="AU1" i="33" s="1"/>
  <c r="AV1" i="33" s="1"/>
  <c r="E1" i="33"/>
  <c r="D1" i="33"/>
  <c r="P7" i="16"/>
  <c r="G2" i="48"/>
  <c r="H2" i="48" s="1"/>
  <c r="I2" i="48" s="1"/>
  <c r="J2" i="48" s="1"/>
  <c r="K2" i="48" s="1"/>
  <c r="L2" i="48" s="1"/>
  <c r="M2" i="48" s="1"/>
  <c r="N2" i="48" s="1"/>
  <c r="O2" i="48" s="1"/>
  <c r="P2" i="48" s="1"/>
  <c r="Q2" i="48" s="1"/>
  <c r="R2" i="48" s="1"/>
  <c r="S2" i="48" s="1"/>
  <c r="T2" i="48" s="1"/>
  <c r="F2" i="48"/>
  <c r="T2" i="47"/>
  <c r="S2" i="47"/>
  <c r="R2" i="47"/>
  <c r="Q2" i="47"/>
  <c r="P2" i="47"/>
  <c r="O2" i="47"/>
  <c r="H2" i="47"/>
  <c r="I2" i="47" s="1"/>
  <c r="J2" i="47" s="1"/>
  <c r="K2" i="47" s="1"/>
  <c r="L2" i="47" s="1"/>
  <c r="M2" i="47" s="1"/>
  <c r="N2" i="47" s="1"/>
  <c r="G2" i="47"/>
  <c r="F2" i="47"/>
  <c r="G2" i="46"/>
  <c r="H2" i="46" s="1"/>
  <c r="F2" i="46"/>
  <c r="G2" i="45"/>
  <c r="H2" i="45"/>
  <c r="I2" i="45" s="1"/>
  <c r="J2" i="45" s="1"/>
  <c r="K2" i="45" s="1"/>
  <c r="L2" i="45" s="1"/>
  <c r="M2" i="45" s="1"/>
  <c r="N2" i="45" s="1"/>
  <c r="O2" i="45" s="1"/>
  <c r="P2" i="45" s="1"/>
  <c r="Q2" i="45" s="1"/>
  <c r="R2" i="45" s="1"/>
  <c r="S2" i="45" s="1"/>
  <c r="T2" i="45" s="1"/>
  <c r="F2" i="45"/>
  <c r="G2" i="44"/>
  <c r="H2" i="44" s="1"/>
  <c r="F2" i="44"/>
  <c r="G2" i="43"/>
  <c r="H2" i="43" s="1"/>
  <c r="I2" i="43" s="1"/>
  <c r="J2" i="43" s="1"/>
  <c r="K2" i="43" s="1"/>
  <c r="L2" i="43" s="1"/>
  <c r="M2" i="43" s="1"/>
  <c r="N2" i="43" s="1"/>
  <c r="O2" i="43" s="1"/>
  <c r="P2" i="43" s="1"/>
  <c r="Q2" i="43" s="1"/>
  <c r="R2" i="43" s="1"/>
  <c r="S2" i="43" s="1"/>
  <c r="T2" i="43" s="1"/>
  <c r="F2" i="43"/>
  <c r="F2" i="41"/>
  <c r="G2" i="41" s="1"/>
  <c r="G27" i="16"/>
  <c r="H27" i="16" s="1"/>
  <c r="F27" i="16"/>
  <c r="A3" i="41"/>
  <c r="C3" i="41" s="1"/>
  <c r="A8" i="49"/>
  <c r="B8" i="49" s="1"/>
  <c r="A7" i="49"/>
  <c r="A6" i="49"/>
  <c r="A5" i="49"/>
  <c r="A4" i="49"/>
  <c r="A3" i="49"/>
  <c r="A3" i="48"/>
  <c r="A8" i="47"/>
  <c r="B8" i="47" s="1"/>
  <c r="A7" i="47"/>
  <c r="A6" i="47"/>
  <c r="A5" i="47"/>
  <c r="A4" i="47"/>
  <c r="A3" i="47"/>
  <c r="A8" i="46"/>
  <c r="B8" i="46" s="1"/>
  <c r="A7" i="46"/>
  <c r="A6" i="46"/>
  <c r="A5" i="46"/>
  <c r="A4" i="46"/>
  <c r="A3" i="46"/>
  <c r="A8" i="45"/>
  <c r="B8" i="45" s="1"/>
  <c r="A7" i="45"/>
  <c r="A6" i="45"/>
  <c r="A5" i="45"/>
  <c r="A4" i="45"/>
  <c r="A3" i="45"/>
  <c r="A8" i="43"/>
  <c r="B8" i="43" s="1"/>
  <c r="A7" i="43"/>
  <c r="A6" i="43"/>
  <c r="A5" i="43"/>
  <c r="C5" i="43" s="1"/>
  <c r="A4" i="43"/>
  <c r="C4" i="43" s="1"/>
  <c r="A3" i="43"/>
  <c r="A8" i="44"/>
  <c r="C8" i="51" s="1"/>
  <c r="A7" i="44"/>
  <c r="A6" i="44"/>
  <c r="A5" i="44"/>
  <c r="C5" i="40" s="1"/>
  <c r="A4" i="44"/>
  <c r="C4" i="38" s="1"/>
  <c r="A3" i="44"/>
  <c r="C3" i="51" s="1"/>
  <c r="P3" i="51" s="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12" i="41"/>
  <c r="A11" i="41"/>
  <c r="A10" i="41"/>
  <c r="A9" i="41"/>
  <c r="A7" i="41"/>
  <c r="A6" i="41"/>
  <c r="A5" i="41"/>
  <c r="A4" i="41"/>
  <c r="H22" i="39"/>
  <c r="H10" i="39"/>
  <c r="H9" i="39"/>
  <c r="H7" i="39"/>
  <c r="H6" i="39"/>
  <c r="H5" i="39"/>
  <c r="H4" i="39"/>
  <c r="H3" i="39"/>
  <c r="K168" i="16"/>
  <c r="K162" i="16"/>
  <c r="K163" i="16" s="1"/>
  <c r="K154" i="16"/>
  <c r="K157" i="16" s="1"/>
  <c r="L150" i="16"/>
  <c r="I83" i="16"/>
  <c r="L130" i="16"/>
  <c r="L131" i="16" s="1"/>
  <c r="L149" i="16" s="1"/>
  <c r="L127" i="16"/>
  <c r="L148" i="16" s="1"/>
  <c r="L122" i="16"/>
  <c r="L114" i="16"/>
  <c r="L109" i="16"/>
  <c r="L108" i="16"/>
  <c r="K108" i="16"/>
  <c r="J103" i="16"/>
  <c r="I94" i="16"/>
  <c r="G94" i="16"/>
  <c r="F88" i="16"/>
  <c r="I85" i="16"/>
  <c r="H85" i="16"/>
  <c r="G85" i="16"/>
  <c r="F85" i="16"/>
  <c r="I84" i="16"/>
  <c r="E69" i="16" s="1"/>
  <c r="H84" i="16"/>
  <c r="K69" i="16" s="1"/>
  <c r="G84" i="16"/>
  <c r="J69" i="16" s="1"/>
  <c r="F84" i="16"/>
  <c r="L69" i="16" s="1"/>
  <c r="I82" i="16"/>
  <c r="F73" i="16"/>
  <c r="F72" i="16"/>
  <c r="J71" i="16"/>
  <c r="J67" i="16"/>
  <c r="F67" i="16"/>
  <c r="F66" i="16"/>
  <c r="K63" i="16"/>
  <c r="J63" i="16"/>
  <c r="J99" i="16" s="1"/>
  <c r="F63" i="16"/>
  <c r="F60" i="16"/>
  <c r="K54" i="16"/>
  <c r="D221" i="12" s="1"/>
  <c r="J54" i="16"/>
  <c r="I54" i="16"/>
  <c r="H54" i="16"/>
  <c r="D217" i="12" s="1"/>
  <c r="G54" i="16"/>
  <c r="F54" i="16"/>
  <c r="L53" i="16"/>
  <c r="K53" i="16"/>
  <c r="J53" i="16"/>
  <c r="I53" i="16"/>
  <c r="H53" i="16"/>
  <c r="G53" i="16"/>
  <c r="F53" i="16"/>
  <c r="E53" i="16"/>
  <c r="L51" i="16"/>
  <c r="K51" i="16"/>
  <c r="J51" i="16"/>
  <c r="I51" i="16"/>
  <c r="H51" i="16"/>
  <c r="G51" i="16"/>
  <c r="E51" i="16"/>
  <c r="F50" i="16"/>
  <c r="F51" i="16" s="1"/>
  <c r="J47" i="16"/>
  <c r="I47" i="16"/>
  <c r="H47" i="16"/>
  <c r="G47" i="16"/>
  <c r="F47" i="16"/>
  <c r="E47" i="16"/>
  <c r="J46" i="16"/>
  <c r="I46" i="16"/>
  <c r="H46" i="16"/>
  <c r="G46" i="16"/>
  <c r="F46" i="16"/>
  <c r="E46" i="16"/>
  <c r="J45" i="16"/>
  <c r="I45" i="16"/>
  <c r="H45" i="16"/>
  <c r="G45" i="16"/>
  <c r="F45" i="16"/>
  <c r="E45" i="16"/>
  <c r="J44" i="16"/>
  <c r="I44" i="16"/>
  <c r="H44" i="16"/>
  <c r="G44" i="16"/>
  <c r="F44" i="16"/>
  <c r="E44" i="16"/>
  <c r="J43" i="16"/>
  <c r="I43" i="16"/>
  <c r="H43" i="16"/>
  <c r="G43" i="16"/>
  <c r="F43" i="16"/>
  <c r="E43" i="16"/>
  <c r="J42" i="16"/>
  <c r="I42" i="16"/>
  <c r="H42" i="16"/>
  <c r="G42" i="16"/>
  <c r="F42" i="16"/>
  <c r="E42" i="16"/>
  <c r="J41" i="16"/>
  <c r="I41" i="16"/>
  <c r="H41" i="16"/>
  <c r="G41" i="16"/>
  <c r="F41" i="16"/>
  <c r="E41" i="16"/>
  <c r="J40" i="16"/>
  <c r="I40" i="16"/>
  <c r="H40" i="16"/>
  <c r="G40" i="16"/>
  <c r="F40" i="16"/>
  <c r="E40" i="16"/>
  <c r="J39" i="16"/>
  <c r="I39" i="16"/>
  <c r="H39" i="16"/>
  <c r="G39" i="16"/>
  <c r="F39" i="16"/>
  <c r="E39" i="16"/>
  <c r="K38" i="16"/>
  <c r="I38" i="16"/>
  <c r="H38" i="16"/>
  <c r="G38" i="16"/>
  <c r="F38" i="16"/>
  <c r="L37" i="16"/>
  <c r="K37" i="16"/>
  <c r="J37" i="16"/>
  <c r="I37" i="16"/>
  <c r="H37" i="16"/>
  <c r="G37" i="16"/>
  <c r="F37" i="16"/>
  <c r="E37" i="16"/>
  <c r="L35" i="16"/>
  <c r="K35" i="16"/>
  <c r="J35" i="16"/>
  <c r="I35" i="16"/>
  <c r="H35" i="16"/>
  <c r="G35" i="16"/>
  <c r="G36" i="16" s="1"/>
  <c r="F35" i="16"/>
  <c r="G29" i="16"/>
  <c r="G31" i="16" s="1"/>
  <c r="G32" i="16" s="1"/>
  <c r="F29" i="16"/>
  <c r="F31" i="16" s="1"/>
  <c r="F32" i="16" s="1"/>
  <c r="E29" i="16"/>
  <c r="E31" i="16" s="1"/>
  <c r="L23" i="16"/>
  <c r="K23" i="16"/>
  <c r="J23" i="16"/>
  <c r="I23" i="16"/>
  <c r="H23" i="16"/>
  <c r="Z120" i="21" s="1"/>
  <c r="G23" i="16"/>
  <c r="F23" i="16"/>
  <c r="E23" i="16"/>
  <c r="L22" i="16"/>
  <c r="K22" i="16"/>
  <c r="J22" i="16"/>
  <c r="I22" i="16"/>
  <c r="H22" i="16"/>
  <c r="G22" i="16"/>
  <c r="F22" i="16"/>
  <c r="E22" i="16"/>
  <c r="L21" i="16"/>
  <c r="K21" i="16"/>
  <c r="J21" i="16"/>
  <c r="I21" i="16"/>
  <c r="H21" i="16"/>
  <c r="G21" i="16"/>
  <c r="F21" i="16"/>
  <c r="E21" i="16"/>
  <c r="L20" i="16"/>
  <c r="K20" i="16"/>
  <c r="J20" i="16"/>
  <c r="I20" i="16"/>
  <c r="H20" i="16"/>
  <c r="G20" i="16"/>
  <c r="F20" i="16"/>
  <c r="E20" i="16"/>
  <c r="D117" i="5" s="1"/>
  <c r="L15" i="16"/>
  <c r="K15" i="16"/>
  <c r="J15" i="16"/>
  <c r="I15" i="16"/>
  <c r="H15" i="16"/>
  <c r="G15" i="16"/>
  <c r="F15" i="16"/>
  <c r="E15" i="16"/>
  <c r="L14" i="16"/>
  <c r="K14" i="16"/>
  <c r="J14" i="16"/>
  <c r="I14" i="16"/>
  <c r="H14" i="16"/>
  <c r="G14" i="16"/>
  <c r="F14" i="16"/>
  <c r="E14" i="16"/>
  <c r="L13" i="16"/>
  <c r="K13" i="16"/>
  <c r="J13" i="16"/>
  <c r="I13" i="16"/>
  <c r="H13" i="16"/>
  <c r="G13" i="16"/>
  <c r="F13" i="16"/>
  <c r="E13" i="16"/>
  <c r="C35" i="24" s="1"/>
  <c r="L12" i="16"/>
  <c r="K12" i="16"/>
  <c r="J12" i="16"/>
  <c r="I12" i="16"/>
  <c r="H12" i="16"/>
  <c r="G12" i="16"/>
  <c r="F12" i="16"/>
  <c r="E12" i="16"/>
  <c r="L11" i="16"/>
  <c r="K11" i="16"/>
  <c r="J11" i="16"/>
  <c r="I11" i="16"/>
  <c r="H11" i="16"/>
  <c r="G11" i="16"/>
  <c r="F11" i="16"/>
  <c r="E11" i="16"/>
  <c r="L10" i="16"/>
  <c r="K10" i="16"/>
  <c r="J10" i="16"/>
  <c r="I10" i="16"/>
  <c r="H10" i="16"/>
  <c r="G10" i="16"/>
  <c r="F10" i="16"/>
  <c r="E10" i="16"/>
  <c r="L8" i="16"/>
  <c r="L16" i="16" s="1"/>
  <c r="K8" i="16"/>
  <c r="K16" i="16" s="1"/>
  <c r="J8" i="16"/>
  <c r="J16" i="16" s="1"/>
  <c r="I8" i="16"/>
  <c r="I16" i="16" s="1"/>
  <c r="H8" i="16"/>
  <c r="H16" i="16" s="1"/>
  <c r="G8" i="16"/>
  <c r="F8" i="16"/>
  <c r="F16" i="16" s="1"/>
  <c r="E8" i="16"/>
  <c r="E80" i="5" s="1"/>
  <c r="AD120" i="21"/>
  <c r="D216" i="12"/>
  <c r="D219" i="12"/>
  <c r="D220" i="12"/>
  <c r="D41" i="26"/>
  <c r="D159" i="24"/>
  <c r="AB120" i="21"/>
  <c r="AC120" i="21"/>
  <c r="AE120" i="21"/>
  <c r="AH120" i="21"/>
  <c r="AJ120" i="21"/>
  <c r="AK120" i="21"/>
  <c r="AM120" i="21"/>
  <c r="AR120" i="21"/>
  <c r="AS120" i="21"/>
  <c r="AU120" i="21"/>
  <c r="E148" i="29"/>
  <c r="F148" i="29"/>
  <c r="G148" i="29"/>
  <c r="H148" i="29"/>
  <c r="I148" i="29"/>
  <c r="J148" i="29"/>
  <c r="K148" i="29"/>
  <c r="L148" i="29"/>
  <c r="M148" i="29"/>
  <c r="N148" i="29"/>
  <c r="O148" i="29"/>
  <c r="P148" i="29"/>
  <c r="Q148" i="29"/>
  <c r="R148" i="29"/>
  <c r="S148" i="29"/>
  <c r="T148" i="29"/>
  <c r="U148" i="29"/>
  <c r="V148" i="29"/>
  <c r="W148" i="29"/>
  <c r="X148" i="29"/>
  <c r="Y148" i="29"/>
  <c r="Z148" i="29"/>
  <c r="AA148" i="29"/>
  <c r="AB148" i="29"/>
  <c r="AC148" i="29"/>
  <c r="AD148" i="29"/>
  <c r="AE148" i="29"/>
  <c r="AF148" i="29"/>
  <c r="AG148" i="29"/>
  <c r="AH148" i="29"/>
  <c r="AI148" i="29"/>
  <c r="AJ148" i="29"/>
  <c r="AK148" i="29"/>
  <c r="AL148" i="29"/>
  <c r="AM148" i="29"/>
  <c r="AN148" i="29"/>
  <c r="AO148" i="29"/>
  <c r="AP148" i="29"/>
  <c r="AQ148" i="29"/>
  <c r="AR148" i="29"/>
  <c r="AS148" i="29"/>
  <c r="AT148" i="29"/>
  <c r="AU148" i="29"/>
  <c r="AV148" i="29"/>
  <c r="AW148" i="29"/>
  <c r="E65" i="24"/>
  <c r="D150" i="24"/>
  <c r="D148" i="29"/>
  <c r="T6" i="16"/>
  <c r="T7" i="16" s="1"/>
  <c r="T29" i="16"/>
  <c r="E65" i="10"/>
  <c r="D41" i="10" s="1"/>
  <c r="E65" i="29"/>
  <c r="D41" i="29" s="1"/>
  <c r="E65" i="21"/>
  <c r="D41" i="21" s="1"/>
  <c r="E65" i="9"/>
  <c r="D41" i="9" s="1"/>
  <c r="E65" i="8"/>
  <c r="D41" i="8" s="1"/>
  <c r="E65" i="5"/>
  <c r="E58" i="32"/>
  <c r="D34" i="32" s="1"/>
  <c r="D57" i="29"/>
  <c r="D158" i="29"/>
  <c r="D157" i="29"/>
  <c r="D148" i="10"/>
  <c r="D143" i="26"/>
  <c r="D146" i="8"/>
  <c r="D145" i="8"/>
  <c r="D141" i="21"/>
  <c r="D140" i="9"/>
  <c r="D133" i="5"/>
  <c r="E160" i="36"/>
  <c r="E159" i="12"/>
  <c r="D57" i="5"/>
  <c r="D58" i="24"/>
  <c r="D59" i="24"/>
  <c r="D60" i="24" s="1"/>
  <c r="D57" i="24"/>
  <c r="D58" i="29"/>
  <c r="D59" i="29" s="1"/>
  <c r="D60" i="29" s="1"/>
  <c r="D57" i="10"/>
  <c r="D57" i="26"/>
  <c r="D57" i="8"/>
  <c r="D57" i="21"/>
  <c r="D57" i="9"/>
  <c r="D50" i="32"/>
  <c r="E43" i="32"/>
  <c r="F43" i="32"/>
  <c r="G43" i="32"/>
  <c r="H43" i="32"/>
  <c r="I43" i="32"/>
  <c r="J43" i="32"/>
  <c r="K43" i="32"/>
  <c r="L43" i="32"/>
  <c r="M43" i="32"/>
  <c r="N43" i="32"/>
  <c r="O43" i="32"/>
  <c r="P43" i="32"/>
  <c r="Q43" i="32"/>
  <c r="R43" i="32"/>
  <c r="S43" i="32"/>
  <c r="T43" i="32"/>
  <c r="U43" i="32"/>
  <c r="V43" i="32"/>
  <c r="W43" i="32"/>
  <c r="X43" i="32"/>
  <c r="Y43" i="32"/>
  <c r="Z43" i="32"/>
  <c r="AA43" i="32"/>
  <c r="AB43" i="32"/>
  <c r="AC43" i="32"/>
  <c r="AD43" i="32"/>
  <c r="AE43" i="32"/>
  <c r="AF43" i="32"/>
  <c r="AG43" i="32"/>
  <c r="AH43" i="32"/>
  <c r="AI43" i="32"/>
  <c r="AJ43" i="32"/>
  <c r="AK43" i="32"/>
  <c r="AL43" i="32"/>
  <c r="AM43" i="32"/>
  <c r="AN43" i="32"/>
  <c r="AO43" i="32"/>
  <c r="AP43" i="32"/>
  <c r="AQ43" i="32"/>
  <c r="AR43" i="32"/>
  <c r="AS43" i="32"/>
  <c r="AT43" i="32"/>
  <c r="AU43" i="32"/>
  <c r="AV43" i="32"/>
  <c r="AW43" i="32"/>
  <c r="D43" i="32"/>
  <c r="F190" i="36"/>
  <c r="G190" i="36" s="1"/>
  <c r="H190" i="36" s="1"/>
  <c r="I190" i="36" s="1"/>
  <c r="J190" i="36" s="1"/>
  <c r="K190" i="36" s="1"/>
  <c r="L190" i="36" s="1"/>
  <c r="M190" i="36" s="1"/>
  <c r="N190" i="36" s="1"/>
  <c r="O190" i="36" s="1"/>
  <c r="P190" i="36" s="1"/>
  <c r="Q190" i="36" s="1"/>
  <c r="R190" i="36" s="1"/>
  <c r="S190" i="36" s="1"/>
  <c r="T190" i="36" s="1"/>
  <c r="U190" i="36" s="1"/>
  <c r="V190" i="36" s="1"/>
  <c r="W190" i="36" s="1"/>
  <c r="X190" i="36" s="1"/>
  <c r="Y190" i="36" s="1"/>
  <c r="Z190" i="36" s="1"/>
  <c r="AA190" i="36" s="1"/>
  <c r="AB190" i="36" s="1"/>
  <c r="AC190" i="36" s="1"/>
  <c r="AD190" i="36" s="1"/>
  <c r="AE190" i="36" s="1"/>
  <c r="AF190" i="36" s="1"/>
  <c r="AG190" i="36" s="1"/>
  <c r="AH190" i="36" s="1"/>
  <c r="AI190" i="36" s="1"/>
  <c r="AJ190" i="36" s="1"/>
  <c r="AK190" i="36" s="1"/>
  <c r="AL190" i="36" s="1"/>
  <c r="AM190" i="36" s="1"/>
  <c r="AN190" i="36" s="1"/>
  <c r="AO190" i="36" s="1"/>
  <c r="AP190" i="36" s="1"/>
  <c r="AQ190" i="36" s="1"/>
  <c r="AR190" i="36" s="1"/>
  <c r="AS190" i="36" s="1"/>
  <c r="AT190" i="36" s="1"/>
  <c r="AU190" i="36" s="1"/>
  <c r="AV190" i="36" s="1"/>
  <c r="AW190" i="36" s="1"/>
  <c r="AX190" i="36" s="1"/>
  <c r="F132" i="36"/>
  <c r="F160" i="36" s="1"/>
  <c r="F109" i="36"/>
  <c r="G109" i="36"/>
  <c r="H109" i="36" s="1"/>
  <c r="I109" i="36" s="1"/>
  <c r="J109" i="36" s="1"/>
  <c r="K109" i="36" s="1"/>
  <c r="L109" i="36" s="1"/>
  <c r="M109" i="36" s="1"/>
  <c r="N109" i="36" s="1"/>
  <c r="O109" i="36" s="1"/>
  <c r="P109" i="36" s="1"/>
  <c r="Q109" i="36" s="1"/>
  <c r="R109" i="36" s="1"/>
  <c r="S109" i="36" s="1"/>
  <c r="T109" i="36" s="1"/>
  <c r="U109" i="36" s="1"/>
  <c r="V109" i="36" s="1"/>
  <c r="W109" i="36" s="1"/>
  <c r="X109" i="36" s="1"/>
  <c r="Y109" i="36" s="1"/>
  <c r="Z109" i="36" s="1"/>
  <c r="AA109" i="36" s="1"/>
  <c r="AB109" i="36" s="1"/>
  <c r="AC109" i="36" s="1"/>
  <c r="AD109" i="36" s="1"/>
  <c r="AE109" i="36" s="1"/>
  <c r="AF109" i="36" s="1"/>
  <c r="AG109" i="36" s="1"/>
  <c r="AH109" i="36" s="1"/>
  <c r="AI109" i="36" s="1"/>
  <c r="AJ109" i="36" s="1"/>
  <c r="AK109" i="36" s="1"/>
  <c r="AL109" i="36" s="1"/>
  <c r="AM109" i="36" s="1"/>
  <c r="AN109" i="36" s="1"/>
  <c r="AO109" i="36" s="1"/>
  <c r="AP109" i="36" s="1"/>
  <c r="AQ109" i="36" s="1"/>
  <c r="AR109" i="36" s="1"/>
  <c r="AS109" i="36" s="1"/>
  <c r="AT109" i="36" s="1"/>
  <c r="AU109" i="36" s="1"/>
  <c r="AV109" i="36" s="1"/>
  <c r="AW109" i="36" s="1"/>
  <c r="AX109" i="36" s="1"/>
  <c r="F86" i="36"/>
  <c r="G86" i="36" s="1"/>
  <c r="H86" i="36" s="1"/>
  <c r="I86" i="36" s="1"/>
  <c r="J86" i="36" s="1"/>
  <c r="K86" i="36" s="1"/>
  <c r="L86" i="36" s="1"/>
  <c r="M86" i="36" s="1"/>
  <c r="N86" i="36" s="1"/>
  <c r="O86" i="36" s="1"/>
  <c r="P86" i="36" s="1"/>
  <c r="Q86" i="36" s="1"/>
  <c r="R86" i="36" s="1"/>
  <c r="S86" i="36" s="1"/>
  <c r="T86" i="36" s="1"/>
  <c r="U86" i="36" s="1"/>
  <c r="V86" i="36" s="1"/>
  <c r="W86" i="36" s="1"/>
  <c r="X86" i="36" s="1"/>
  <c r="Y86" i="36" s="1"/>
  <c r="Z86" i="36" s="1"/>
  <c r="AA86" i="36" s="1"/>
  <c r="AB86" i="36" s="1"/>
  <c r="AC86" i="36" s="1"/>
  <c r="AD86" i="36" s="1"/>
  <c r="AE86" i="36" s="1"/>
  <c r="AF86" i="36" s="1"/>
  <c r="AG86" i="36" s="1"/>
  <c r="AH86" i="36" s="1"/>
  <c r="AI86" i="36" s="1"/>
  <c r="AJ86" i="36" s="1"/>
  <c r="AK86" i="36" s="1"/>
  <c r="AL86" i="36" s="1"/>
  <c r="AM86" i="36" s="1"/>
  <c r="AN86" i="36" s="1"/>
  <c r="AO86" i="36" s="1"/>
  <c r="AP86" i="36" s="1"/>
  <c r="AQ86" i="36" s="1"/>
  <c r="AR86" i="36" s="1"/>
  <c r="AS86" i="36" s="1"/>
  <c r="AT86" i="36" s="1"/>
  <c r="AU86" i="36" s="1"/>
  <c r="AV86" i="36" s="1"/>
  <c r="AW86" i="36" s="1"/>
  <c r="AX86" i="36" s="1"/>
  <c r="F27" i="36"/>
  <c r="G27" i="36"/>
  <c r="H27" i="36" s="1"/>
  <c r="I27" i="36" s="1"/>
  <c r="J27" i="36" s="1"/>
  <c r="K27" i="36" s="1"/>
  <c r="L27" i="36" s="1"/>
  <c r="M27" i="36" s="1"/>
  <c r="N27" i="36" s="1"/>
  <c r="O27" i="36" s="1"/>
  <c r="P27" i="36" s="1"/>
  <c r="Q27" i="36" s="1"/>
  <c r="R27" i="36" s="1"/>
  <c r="S27" i="36" s="1"/>
  <c r="T27" i="36" s="1"/>
  <c r="U27" i="36" s="1"/>
  <c r="V27" i="36" s="1"/>
  <c r="W27" i="36" s="1"/>
  <c r="X27" i="36" s="1"/>
  <c r="Y27" i="36" s="1"/>
  <c r="Z27" i="36" s="1"/>
  <c r="AA27" i="36" s="1"/>
  <c r="AB27" i="36" s="1"/>
  <c r="AC27" i="36" s="1"/>
  <c r="AD27" i="36" s="1"/>
  <c r="AE27" i="36" s="1"/>
  <c r="AF27" i="36" s="1"/>
  <c r="AG27" i="36" s="1"/>
  <c r="AH27" i="36" s="1"/>
  <c r="AI27" i="36" s="1"/>
  <c r="AJ27" i="36" s="1"/>
  <c r="AK27" i="36" s="1"/>
  <c r="AL27" i="36" s="1"/>
  <c r="AM27" i="36" s="1"/>
  <c r="AN27" i="36" s="1"/>
  <c r="AO27" i="36" s="1"/>
  <c r="AP27" i="36" s="1"/>
  <c r="AQ27" i="36" s="1"/>
  <c r="AR27" i="36" s="1"/>
  <c r="AS27" i="36" s="1"/>
  <c r="AT27" i="36" s="1"/>
  <c r="AU27" i="36" s="1"/>
  <c r="AV27" i="36" s="1"/>
  <c r="AW27" i="36" s="1"/>
  <c r="AX27" i="36" s="1"/>
  <c r="F4" i="36"/>
  <c r="G4" i="36" s="1"/>
  <c r="H4" i="36" s="1"/>
  <c r="I4" i="36" s="1"/>
  <c r="J4" i="36" s="1"/>
  <c r="K4" i="36" s="1"/>
  <c r="L4" i="36" s="1"/>
  <c r="M4" i="36" s="1"/>
  <c r="N4" i="36" s="1"/>
  <c r="O4" i="36" s="1"/>
  <c r="P4" i="36" s="1"/>
  <c r="Q4" i="36" s="1"/>
  <c r="R4" i="36" s="1"/>
  <c r="S4" i="36" s="1"/>
  <c r="T4" i="36" s="1"/>
  <c r="U4" i="36" s="1"/>
  <c r="V4" i="36" s="1"/>
  <c r="W4" i="36" s="1"/>
  <c r="X4" i="36" s="1"/>
  <c r="Y4" i="36" s="1"/>
  <c r="Z4" i="36" s="1"/>
  <c r="AA4" i="36" s="1"/>
  <c r="AB4" i="36" s="1"/>
  <c r="AC4" i="36" s="1"/>
  <c r="AD4" i="36" s="1"/>
  <c r="AE4" i="36" s="1"/>
  <c r="AF4" i="36" s="1"/>
  <c r="AG4" i="36" s="1"/>
  <c r="AH4" i="36" s="1"/>
  <c r="AI4" i="36" s="1"/>
  <c r="AJ4" i="36" s="1"/>
  <c r="AK4" i="36" s="1"/>
  <c r="AL4" i="36" s="1"/>
  <c r="AM4" i="36" s="1"/>
  <c r="AN4" i="36" s="1"/>
  <c r="AO4" i="36" s="1"/>
  <c r="AP4" i="36" s="1"/>
  <c r="AQ4" i="36" s="1"/>
  <c r="AR4" i="36" s="1"/>
  <c r="AS4" i="36" s="1"/>
  <c r="AT4" i="36" s="1"/>
  <c r="AU4" i="36" s="1"/>
  <c r="AV4" i="36" s="1"/>
  <c r="AW4" i="36" s="1"/>
  <c r="AX4" i="36" s="1"/>
  <c r="D11" i="5"/>
  <c r="D12" i="5" s="1"/>
  <c r="E11" i="5" s="1"/>
  <c r="E12" i="5" s="1"/>
  <c r="F11" i="5" s="1"/>
  <c r="F12" i="5" s="1"/>
  <c r="G11" i="5" s="1"/>
  <c r="G12" i="5" s="1"/>
  <c r="H11" i="5" s="1"/>
  <c r="H12" i="5" s="1"/>
  <c r="I11" i="5" s="1"/>
  <c r="I12" i="5" s="1"/>
  <c r="J11" i="5" s="1"/>
  <c r="J12" i="5" s="1"/>
  <c r="K11" i="5" s="1"/>
  <c r="K12" i="5" s="1"/>
  <c r="L11" i="5" s="1"/>
  <c r="L12" i="5" s="1"/>
  <c r="M11" i="5" s="1"/>
  <c r="M12" i="5" s="1"/>
  <c r="N11" i="5" s="1"/>
  <c r="N12" i="5" s="1"/>
  <c r="O11" i="5" s="1"/>
  <c r="O12" i="5" s="1"/>
  <c r="P11" i="5" s="1"/>
  <c r="P12" i="5" s="1"/>
  <c r="Q11" i="5" s="1"/>
  <c r="Q12" i="5" s="1"/>
  <c r="R11" i="5" s="1"/>
  <c r="R12" i="5" s="1"/>
  <c r="S11" i="5" s="1"/>
  <c r="S12" i="5" s="1"/>
  <c r="T11" i="5" s="1"/>
  <c r="T12" i="5" s="1"/>
  <c r="U11" i="5" s="1"/>
  <c r="U12" i="5" s="1"/>
  <c r="V11" i="5" s="1"/>
  <c r="V12" i="5" s="1"/>
  <c r="W11" i="5" s="1"/>
  <c r="W12" i="5" s="1"/>
  <c r="X11" i="5" s="1"/>
  <c r="X12" i="5" s="1"/>
  <c r="Y11" i="5" s="1"/>
  <c r="Y12" i="5" s="1"/>
  <c r="Z11" i="5" s="1"/>
  <c r="Z12" i="5" s="1"/>
  <c r="AA11" i="5" s="1"/>
  <c r="AA12" i="5" s="1"/>
  <c r="AB11" i="5" s="1"/>
  <c r="AB12" i="5" s="1"/>
  <c r="AC11" i="5" s="1"/>
  <c r="AC12" i="5" s="1"/>
  <c r="AD11" i="5" s="1"/>
  <c r="AD12" i="5" s="1"/>
  <c r="AE11" i="5" s="1"/>
  <c r="AE12" i="5" s="1"/>
  <c r="AF11" i="5" s="1"/>
  <c r="AF12" i="5" s="1"/>
  <c r="AG11" i="5" s="1"/>
  <c r="AG12" i="5" s="1"/>
  <c r="AH11" i="5" s="1"/>
  <c r="AH12" i="5" s="1"/>
  <c r="AI11" i="5" s="1"/>
  <c r="AI12" i="5" s="1"/>
  <c r="AJ11" i="5" s="1"/>
  <c r="AJ12" i="5" s="1"/>
  <c r="AK11" i="5" s="1"/>
  <c r="AK12" i="5" s="1"/>
  <c r="AL11" i="5" s="1"/>
  <c r="AL12" i="5" s="1"/>
  <c r="AM11" i="5" s="1"/>
  <c r="AM12" i="5" s="1"/>
  <c r="AN11" i="5" s="1"/>
  <c r="AN12" i="5" s="1"/>
  <c r="AO11" i="5" s="1"/>
  <c r="AO12" i="5" s="1"/>
  <c r="AP11" i="5" s="1"/>
  <c r="AP12" i="5" s="1"/>
  <c r="AQ11" i="5" s="1"/>
  <c r="AQ12" i="5" s="1"/>
  <c r="AR11" i="5" s="1"/>
  <c r="AR12" i="5" s="1"/>
  <c r="AS11" i="5" s="1"/>
  <c r="AS12" i="5" s="1"/>
  <c r="AT11" i="5" s="1"/>
  <c r="AT12" i="5" s="1"/>
  <c r="AU11" i="5" s="1"/>
  <c r="AU12" i="5" s="1"/>
  <c r="AV11" i="5" s="1"/>
  <c r="AV12" i="5" s="1"/>
  <c r="AW11" i="5" s="1"/>
  <c r="AW12" i="5" s="1"/>
  <c r="D11" i="8"/>
  <c r="D12" i="8" s="1"/>
  <c r="E11" i="8" s="1"/>
  <c r="E12" i="8" s="1"/>
  <c r="F11" i="8" s="1"/>
  <c r="F12" i="8" s="1"/>
  <c r="G11" i="8" s="1"/>
  <c r="D11" i="9"/>
  <c r="D12" i="9" s="1"/>
  <c r="E11" i="9" s="1"/>
  <c r="D11" i="32"/>
  <c r="D12" i="32" s="1"/>
  <c r="E11" i="32" s="1"/>
  <c r="E13" i="32" s="1"/>
  <c r="D10" i="32"/>
  <c r="P9" i="16"/>
  <c r="E7" i="32"/>
  <c r="F7" i="32"/>
  <c r="G7" i="32"/>
  <c r="H7" i="32"/>
  <c r="I7" i="32"/>
  <c r="J7" i="32"/>
  <c r="K7" i="32"/>
  <c r="L7" i="32"/>
  <c r="M7" i="32"/>
  <c r="N7" i="32"/>
  <c r="O7" i="32"/>
  <c r="P7" i="32"/>
  <c r="Q7" i="32"/>
  <c r="R7" i="32"/>
  <c r="S7" i="32"/>
  <c r="T7" i="32"/>
  <c r="U7" i="32"/>
  <c r="V7" i="32"/>
  <c r="W7" i="32"/>
  <c r="X7" i="32"/>
  <c r="Y7" i="32"/>
  <c r="Z7" i="32"/>
  <c r="AA7" i="32"/>
  <c r="AB7" i="32"/>
  <c r="AC7" i="32"/>
  <c r="AD7" i="32"/>
  <c r="AE7" i="32"/>
  <c r="AF7" i="32"/>
  <c r="AG7" i="32"/>
  <c r="AH7" i="32"/>
  <c r="AI7" i="32"/>
  <c r="AJ7" i="32"/>
  <c r="AK7" i="32"/>
  <c r="AL7" i="32"/>
  <c r="AM7" i="32"/>
  <c r="AN7" i="32"/>
  <c r="AO7" i="32"/>
  <c r="AP7" i="32"/>
  <c r="AQ7" i="32"/>
  <c r="AR7" i="32"/>
  <c r="AS7" i="32"/>
  <c r="AT7" i="32"/>
  <c r="AU7" i="32"/>
  <c r="AV7" i="32"/>
  <c r="AW7" i="32"/>
  <c r="G132" i="36"/>
  <c r="H132" i="36" s="1"/>
  <c r="F86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W86" i="12"/>
  <c r="AX86" i="12"/>
  <c r="AG30" i="32"/>
  <c r="AH30" i="32"/>
  <c r="AI30" i="32"/>
  <c r="AJ30" i="32"/>
  <c r="AK30" i="32"/>
  <c r="AL30" i="32"/>
  <c r="AM30" i="32"/>
  <c r="AN30" i="32"/>
  <c r="AO30" i="32"/>
  <c r="AP30" i="32"/>
  <c r="AQ30" i="32"/>
  <c r="AR30" i="32"/>
  <c r="AS30" i="32"/>
  <c r="AT30" i="32"/>
  <c r="AU30" i="32"/>
  <c r="AV30" i="32"/>
  <c r="AW30" i="32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AK115" i="8"/>
  <c r="AL115" i="8"/>
  <c r="AM115" i="8"/>
  <c r="AN115" i="8"/>
  <c r="AO115" i="8"/>
  <c r="AP115" i="8"/>
  <c r="AQ115" i="8"/>
  <c r="AR115" i="8"/>
  <c r="AS115" i="8"/>
  <c r="AT115" i="8"/>
  <c r="AU115" i="8"/>
  <c r="AV115" i="8"/>
  <c r="AW115" i="8"/>
  <c r="Y117" i="10"/>
  <c r="Z117" i="10"/>
  <c r="AA117" i="10"/>
  <c r="AB117" i="10"/>
  <c r="AC117" i="10"/>
  <c r="AD117" i="10"/>
  <c r="AE117" i="10"/>
  <c r="AF117" i="10"/>
  <c r="AG117" i="10"/>
  <c r="AH117" i="10"/>
  <c r="AI117" i="10"/>
  <c r="AJ117" i="10"/>
  <c r="AK117" i="10"/>
  <c r="AL117" i="10"/>
  <c r="AM117" i="10"/>
  <c r="AN117" i="10"/>
  <c r="AO117" i="10"/>
  <c r="AP117" i="10"/>
  <c r="AQ117" i="10"/>
  <c r="AR117" i="10"/>
  <c r="AS117" i="10"/>
  <c r="AT117" i="10"/>
  <c r="AU117" i="10"/>
  <c r="AV117" i="10"/>
  <c r="AW117" i="10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O30" i="32"/>
  <c r="P30" i="32"/>
  <c r="Q30" i="32"/>
  <c r="R30" i="32"/>
  <c r="S30" i="32"/>
  <c r="T30" i="32"/>
  <c r="U30" i="32"/>
  <c r="V30" i="32"/>
  <c r="W30" i="32"/>
  <c r="X30" i="32"/>
  <c r="Y30" i="32"/>
  <c r="Z30" i="32"/>
  <c r="AA30" i="32"/>
  <c r="AB30" i="32"/>
  <c r="AC30" i="32"/>
  <c r="AD30" i="32"/>
  <c r="AE30" i="32"/>
  <c r="AF30" i="32"/>
  <c r="E114" i="5"/>
  <c r="E101" i="32"/>
  <c r="E80" i="32"/>
  <c r="F80" i="32"/>
  <c r="E23" i="3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X27" i="12"/>
  <c r="F109" i="12"/>
  <c r="G109" i="12"/>
  <c r="H109" i="12"/>
  <c r="I109" i="12"/>
  <c r="J109" i="12"/>
  <c r="K109" i="12"/>
  <c r="L109" i="12"/>
  <c r="M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W109" i="12"/>
  <c r="AX109" i="12"/>
  <c r="E7" i="29"/>
  <c r="F7" i="29" s="1"/>
  <c r="G7" i="29" s="1"/>
  <c r="H7" i="29" s="1"/>
  <c r="I7" i="29" s="1"/>
  <c r="J7" i="29" s="1"/>
  <c r="K7" i="29" s="1"/>
  <c r="L7" i="29" s="1"/>
  <c r="M7" i="29" s="1"/>
  <c r="N7" i="29" s="1"/>
  <c r="O7" i="29" s="1"/>
  <c r="P7" i="29" s="1"/>
  <c r="Q7" i="29" s="1"/>
  <c r="R7" i="29" s="1"/>
  <c r="S7" i="29" s="1"/>
  <c r="T7" i="29" s="1"/>
  <c r="U7" i="29" s="1"/>
  <c r="V7" i="29" s="1"/>
  <c r="W7" i="29" s="1"/>
  <c r="X7" i="29" s="1"/>
  <c r="Y7" i="29" s="1"/>
  <c r="Z7" i="29" s="1"/>
  <c r="AA7" i="29" s="1"/>
  <c r="AB7" i="29" s="1"/>
  <c r="AC7" i="29" s="1"/>
  <c r="AD7" i="29" s="1"/>
  <c r="AE7" i="29" s="1"/>
  <c r="AF7" i="29" s="1"/>
  <c r="AG7" i="29" s="1"/>
  <c r="AH7" i="29" s="1"/>
  <c r="AI7" i="29" s="1"/>
  <c r="AJ7" i="29" s="1"/>
  <c r="AK7" i="29" s="1"/>
  <c r="AL7" i="29" s="1"/>
  <c r="AM7" i="29" s="1"/>
  <c r="AN7" i="29" s="1"/>
  <c r="AO7" i="29" s="1"/>
  <c r="AP7" i="29" s="1"/>
  <c r="AQ7" i="29" s="1"/>
  <c r="AR7" i="29" s="1"/>
  <c r="AS7" i="29" s="1"/>
  <c r="AT7" i="29" s="1"/>
  <c r="AU7" i="29" s="1"/>
  <c r="AV7" i="29" s="1"/>
  <c r="AW7" i="29" s="1"/>
  <c r="E7" i="24"/>
  <c r="F7" i="24"/>
  <c r="G7" i="24" s="1"/>
  <c r="H7" i="24" s="1"/>
  <c r="I7" i="24" s="1"/>
  <c r="J7" i="24" s="1"/>
  <c r="K7" i="24" s="1"/>
  <c r="L7" i="24" s="1"/>
  <c r="M7" i="24" s="1"/>
  <c r="N7" i="24" s="1"/>
  <c r="O7" i="24" s="1"/>
  <c r="P7" i="24" s="1"/>
  <c r="Q7" i="24" s="1"/>
  <c r="R7" i="24" s="1"/>
  <c r="S7" i="24" s="1"/>
  <c r="T7" i="24" s="1"/>
  <c r="U7" i="24" s="1"/>
  <c r="V7" i="24" s="1"/>
  <c r="W7" i="24" s="1"/>
  <c r="X7" i="24" s="1"/>
  <c r="Y7" i="24" s="1"/>
  <c r="Z7" i="24" s="1"/>
  <c r="AA7" i="24" s="1"/>
  <c r="AB7" i="24" s="1"/>
  <c r="AC7" i="24" s="1"/>
  <c r="AD7" i="24" s="1"/>
  <c r="AE7" i="24" s="1"/>
  <c r="AF7" i="24" s="1"/>
  <c r="AG7" i="24" s="1"/>
  <c r="AH7" i="24" s="1"/>
  <c r="AI7" i="24" s="1"/>
  <c r="AJ7" i="24" s="1"/>
  <c r="AK7" i="24" s="1"/>
  <c r="AL7" i="24" s="1"/>
  <c r="AM7" i="24" s="1"/>
  <c r="AN7" i="24" s="1"/>
  <c r="AO7" i="24" s="1"/>
  <c r="AP7" i="24" s="1"/>
  <c r="AQ7" i="24" s="1"/>
  <c r="AR7" i="24" s="1"/>
  <c r="AS7" i="24" s="1"/>
  <c r="AT7" i="24" s="1"/>
  <c r="AU7" i="24" s="1"/>
  <c r="AV7" i="24" s="1"/>
  <c r="AW7" i="24" s="1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E7" i="26"/>
  <c r="F7" i="26"/>
  <c r="G7" i="26"/>
  <c r="H7" i="26"/>
  <c r="I7" i="26" s="1"/>
  <c r="J7" i="26" s="1"/>
  <c r="K7" i="26" s="1"/>
  <c r="L7" i="26" s="1"/>
  <c r="M7" i="26" s="1"/>
  <c r="N7" i="26" s="1"/>
  <c r="O7" i="26" s="1"/>
  <c r="P7" i="26"/>
  <c r="Q7" i="26" s="1"/>
  <c r="R7" i="26" s="1"/>
  <c r="S7" i="26" s="1"/>
  <c r="T7" i="26" s="1"/>
  <c r="U7" i="26" s="1"/>
  <c r="V7" i="26" s="1"/>
  <c r="W7" i="26" s="1"/>
  <c r="X7" i="26" s="1"/>
  <c r="Y7" i="26" s="1"/>
  <c r="Z7" i="26" s="1"/>
  <c r="AA7" i="26" s="1"/>
  <c r="AB7" i="26" s="1"/>
  <c r="AC7" i="26" s="1"/>
  <c r="AD7" i="26" s="1"/>
  <c r="AE7" i="26" s="1"/>
  <c r="AF7" i="26" s="1"/>
  <c r="AG7" i="26" s="1"/>
  <c r="AH7" i="26" s="1"/>
  <c r="AI7" i="26" s="1"/>
  <c r="AJ7" i="26" s="1"/>
  <c r="AK7" i="26" s="1"/>
  <c r="AL7" i="26" s="1"/>
  <c r="AM7" i="26" s="1"/>
  <c r="AN7" i="26" s="1"/>
  <c r="AO7" i="26" s="1"/>
  <c r="AP7" i="26" s="1"/>
  <c r="AQ7" i="26" s="1"/>
  <c r="AR7" i="26" s="1"/>
  <c r="AS7" i="26" s="1"/>
  <c r="AT7" i="26" s="1"/>
  <c r="AU7" i="26" s="1"/>
  <c r="AV7" i="26" s="1"/>
  <c r="AW7" i="26" s="1"/>
  <c r="D10" i="8"/>
  <c r="D9" i="8" s="1"/>
  <c r="E9" i="8" s="1"/>
  <c r="E10" i="8" s="1"/>
  <c r="E33" i="8" s="1"/>
  <c r="E90" i="8" s="1"/>
  <c r="E111" i="8" s="1"/>
  <c r="E7" i="8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AH7" i="8" s="1"/>
  <c r="AI7" i="8" s="1"/>
  <c r="AJ7" i="8" s="1"/>
  <c r="AK7" i="8" s="1"/>
  <c r="AL7" i="8" s="1"/>
  <c r="AM7" i="8" s="1"/>
  <c r="AN7" i="8" s="1"/>
  <c r="AO7" i="8" s="1"/>
  <c r="AP7" i="8" s="1"/>
  <c r="AQ7" i="8" s="1"/>
  <c r="AR7" i="8" s="1"/>
  <c r="AS7" i="8" s="1"/>
  <c r="AT7" i="8" s="1"/>
  <c r="AU7" i="8" s="1"/>
  <c r="AV7" i="8" s="1"/>
  <c r="AW7" i="8" s="1"/>
  <c r="D10" i="21"/>
  <c r="D9" i="21" s="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AT7" i="21"/>
  <c r="AU7" i="21"/>
  <c r="AV7" i="21"/>
  <c r="AW7" i="21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D10" i="9"/>
  <c r="E7" i="9"/>
  <c r="F7" i="9" s="1"/>
  <c r="G7" i="9"/>
  <c r="H7" i="9" s="1"/>
  <c r="I7" i="9" s="1"/>
  <c r="J7" i="9" s="1"/>
  <c r="K7" i="9" s="1"/>
  <c r="L7" i="9" s="1"/>
  <c r="M7" i="9" s="1"/>
  <c r="N7" i="9" s="1"/>
  <c r="O7" i="9" s="1"/>
  <c r="P7" i="9" s="1"/>
  <c r="Q7" i="9" s="1"/>
  <c r="R7" i="9" s="1"/>
  <c r="S7" i="9" s="1"/>
  <c r="T7" i="9" s="1"/>
  <c r="U7" i="9" s="1"/>
  <c r="V7" i="9" s="1"/>
  <c r="W7" i="9" s="1"/>
  <c r="X7" i="9" s="1"/>
  <c r="Y7" i="9" s="1"/>
  <c r="Z7" i="9" s="1"/>
  <c r="AA7" i="9" s="1"/>
  <c r="AB7" i="9" s="1"/>
  <c r="AC7" i="9" s="1"/>
  <c r="AD7" i="9" s="1"/>
  <c r="AE7" i="9" s="1"/>
  <c r="AF7" i="9" s="1"/>
  <c r="AG7" i="9" s="1"/>
  <c r="AH7" i="9" s="1"/>
  <c r="AI7" i="9" s="1"/>
  <c r="AJ7" i="9" s="1"/>
  <c r="AK7" i="9" s="1"/>
  <c r="AL7" i="9" s="1"/>
  <c r="AM7" i="9" s="1"/>
  <c r="AN7" i="9" s="1"/>
  <c r="AO7" i="9" s="1"/>
  <c r="AP7" i="9" s="1"/>
  <c r="AQ7" i="9" s="1"/>
  <c r="AR7" i="9" s="1"/>
  <c r="AS7" i="9" s="1"/>
  <c r="AT7" i="9" s="1"/>
  <c r="AU7" i="9" s="1"/>
  <c r="AV7" i="9" s="1"/>
  <c r="AW7" i="9" s="1"/>
  <c r="E30" i="9"/>
  <c r="E108" i="29"/>
  <c r="F111" i="29"/>
  <c r="G111" i="29" s="1"/>
  <c r="H111" i="29" s="1"/>
  <c r="I111" i="29" s="1"/>
  <c r="J111" i="29" s="1"/>
  <c r="K111" i="29" s="1"/>
  <c r="L111" i="29" s="1"/>
  <c r="M111" i="29" s="1"/>
  <c r="N111" i="29" s="1"/>
  <c r="O111" i="29" s="1"/>
  <c r="P111" i="29" s="1"/>
  <c r="Q111" i="29" s="1"/>
  <c r="R111" i="29" s="1"/>
  <c r="S111" i="29" s="1"/>
  <c r="T111" i="29" s="1"/>
  <c r="U111" i="29" s="1"/>
  <c r="V111" i="29" s="1"/>
  <c r="W111" i="29" s="1"/>
  <c r="X111" i="29" s="1"/>
  <c r="Y111" i="29" s="1"/>
  <c r="Z111" i="29" s="1"/>
  <c r="AA111" i="29" s="1"/>
  <c r="AB111" i="29" s="1"/>
  <c r="AC111" i="29" s="1"/>
  <c r="AD111" i="29" s="1"/>
  <c r="AE111" i="29" s="1"/>
  <c r="AF111" i="29" s="1"/>
  <c r="AG111" i="29" s="1"/>
  <c r="AH111" i="29" s="1"/>
  <c r="AI111" i="29" s="1"/>
  <c r="AJ111" i="29" s="1"/>
  <c r="AK111" i="29" s="1"/>
  <c r="AL111" i="29" s="1"/>
  <c r="AM111" i="29" s="1"/>
  <c r="AN111" i="29" s="1"/>
  <c r="AO111" i="29" s="1"/>
  <c r="AP111" i="29" s="1"/>
  <c r="AQ111" i="29" s="1"/>
  <c r="AR111" i="29" s="1"/>
  <c r="AS111" i="29" s="1"/>
  <c r="AT111" i="29" s="1"/>
  <c r="AU111" i="29" s="1"/>
  <c r="AV111" i="29" s="1"/>
  <c r="AW111" i="29" s="1"/>
  <c r="E96" i="29"/>
  <c r="F96" i="29" s="1"/>
  <c r="G96" i="29" s="1"/>
  <c r="H96" i="29" s="1"/>
  <c r="I96" i="29" s="1"/>
  <c r="J96" i="29" s="1"/>
  <c r="K96" i="29" s="1"/>
  <c r="L96" i="29" s="1"/>
  <c r="M96" i="29" s="1"/>
  <c r="N96" i="29" s="1"/>
  <c r="O96" i="29" s="1"/>
  <c r="P96" i="29" s="1"/>
  <c r="Q96" i="29" s="1"/>
  <c r="R96" i="29" s="1"/>
  <c r="S96" i="29" s="1"/>
  <c r="T96" i="29" s="1"/>
  <c r="U96" i="29" s="1"/>
  <c r="V96" i="29" s="1"/>
  <c r="W96" i="29" s="1"/>
  <c r="X96" i="29" s="1"/>
  <c r="Y96" i="29" s="1"/>
  <c r="Z96" i="29" s="1"/>
  <c r="AA96" i="29" s="1"/>
  <c r="AB96" i="29" s="1"/>
  <c r="AC96" i="29" s="1"/>
  <c r="AD96" i="29" s="1"/>
  <c r="AE96" i="29" s="1"/>
  <c r="AF96" i="29" s="1"/>
  <c r="AG96" i="29" s="1"/>
  <c r="AH96" i="29" s="1"/>
  <c r="AI96" i="29" s="1"/>
  <c r="AJ96" i="29" s="1"/>
  <c r="AK96" i="29" s="1"/>
  <c r="AL96" i="29" s="1"/>
  <c r="AM96" i="29" s="1"/>
  <c r="AN96" i="29" s="1"/>
  <c r="AO96" i="29" s="1"/>
  <c r="AP96" i="29" s="1"/>
  <c r="AQ96" i="29" s="1"/>
  <c r="AR96" i="29" s="1"/>
  <c r="AS96" i="29" s="1"/>
  <c r="AT96" i="29" s="1"/>
  <c r="AU96" i="29" s="1"/>
  <c r="AV96" i="29" s="1"/>
  <c r="AW96" i="29" s="1"/>
  <c r="E87" i="29"/>
  <c r="F87" i="29" s="1"/>
  <c r="G87" i="29" s="1"/>
  <c r="H87" i="29" s="1"/>
  <c r="I87" i="29" s="1"/>
  <c r="J87" i="29" s="1"/>
  <c r="K87" i="29" s="1"/>
  <c r="L87" i="29" s="1"/>
  <c r="M87" i="29" s="1"/>
  <c r="N87" i="29" s="1"/>
  <c r="O87" i="29" s="1"/>
  <c r="P87" i="29" s="1"/>
  <c r="Q87" i="29" s="1"/>
  <c r="R87" i="29" s="1"/>
  <c r="S87" i="29" s="1"/>
  <c r="T87" i="29" s="1"/>
  <c r="U87" i="29" s="1"/>
  <c r="V87" i="29" s="1"/>
  <c r="W87" i="29" s="1"/>
  <c r="X87" i="29" s="1"/>
  <c r="Y87" i="29" s="1"/>
  <c r="Z87" i="29" s="1"/>
  <c r="AA87" i="29" s="1"/>
  <c r="AB87" i="29" s="1"/>
  <c r="AC87" i="29" s="1"/>
  <c r="AD87" i="29" s="1"/>
  <c r="AE87" i="29" s="1"/>
  <c r="AF87" i="29" s="1"/>
  <c r="AG87" i="29" s="1"/>
  <c r="AH87" i="29" s="1"/>
  <c r="AI87" i="29" s="1"/>
  <c r="AJ87" i="29" s="1"/>
  <c r="AK87" i="29" s="1"/>
  <c r="AL87" i="29" s="1"/>
  <c r="AM87" i="29" s="1"/>
  <c r="AN87" i="29" s="1"/>
  <c r="AO87" i="29" s="1"/>
  <c r="AP87" i="29" s="1"/>
  <c r="AQ87" i="29" s="1"/>
  <c r="AR87" i="29" s="1"/>
  <c r="AS87" i="29" s="1"/>
  <c r="AT87" i="29" s="1"/>
  <c r="AU87" i="29" s="1"/>
  <c r="AV87" i="29" s="1"/>
  <c r="AW87" i="29" s="1"/>
  <c r="F90" i="29"/>
  <c r="G90" i="29" s="1"/>
  <c r="H90" i="29" s="1"/>
  <c r="I90" i="29" s="1"/>
  <c r="J90" i="29" s="1"/>
  <c r="K90" i="29" s="1"/>
  <c r="L90" i="29" s="1"/>
  <c r="M90" i="29" s="1"/>
  <c r="N90" i="29" s="1"/>
  <c r="O90" i="29" s="1"/>
  <c r="P90" i="29" s="1"/>
  <c r="Q90" i="29" s="1"/>
  <c r="R90" i="29" s="1"/>
  <c r="S90" i="29" s="1"/>
  <c r="T90" i="29" s="1"/>
  <c r="U90" i="29" s="1"/>
  <c r="V90" i="29" s="1"/>
  <c r="W90" i="29" s="1"/>
  <c r="X90" i="29" s="1"/>
  <c r="Y90" i="29" s="1"/>
  <c r="Z90" i="29" s="1"/>
  <c r="AA90" i="29" s="1"/>
  <c r="AB90" i="29" s="1"/>
  <c r="AC90" i="29" s="1"/>
  <c r="AD90" i="29" s="1"/>
  <c r="AE90" i="29" s="1"/>
  <c r="AF90" i="29" s="1"/>
  <c r="AG90" i="29" s="1"/>
  <c r="AH90" i="29" s="1"/>
  <c r="AI90" i="29" s="1"/>
  <c r="AJ90" i="29" s="1"/>
  <c r="AK90" i="29" s="1"/>
  <c r="AL90" i="29" s="1"/>
  <c r="AM90" i="29" s="1"/>
  <c r="AN90" i="29" s="1"/>
  <c r="AO90" i="29" s="1"/>
  <c r="AP90" i="29" s="1"/>
  <c r="AQ90" i="29" s="1"/>
  <c r="AR90" i="29" s="1"/>
  <c r="AS90" i="29" s="1"/>
  <c r="AT90" i="29" s="1"/>
  <c r="AU90" i="29" s="1"/>
  <c r="AV90" i="29" s="1"/>
  <c r="AW90" i="29" s="1"/>
  <c r="E30" i="29"/>
  <c r="F33" i="29"/>
  <c r="G33" i="29" s="1"/>
  <c r="H33" i="29" s="1"/>
  <c r="I33" i="29" s="1"/>
  <c r="J33" i="29" s="1"/>
  <c r="K33" i="29" s="1"/>
  <c r="L33" i="29" s="1"/>
  <c r="M33" i="29" s="1"/>
  <c r="N33" i="29" s="1"/>
  <c r="O33" i="29" s="1"/>
  <c r="P33" i="29" s="1"/>
  <c r="Q33" i="29" s="1"/>
  <c r="R33" i="29" s="1"/>
  <c r="S33" i="29" s="1"/>
  <c r="T33" i="29" s="1"/>
  <c r="U33" i="29" s="1"/>
  <c r="V33" i="29" s="1"/>
  <c r="W33" i="29" s="1"/>
  <c r="X33" i="29" s="1"/>
  <c r="Y33" i="29" s="1"/>
  <c r="Z33" i="29" s="1"/>
  <c r="AA33" i="29" s="1"/>
  <c r="AB33" i="29" s="1"/>
  <c r="AC33" i="29" s="1"/>
  <c r="AD33" i="29" s="1"/>
  <c r="AE33" i="29" s="1"/>
  <c r="AF33" i="29" s="1"/>
  <c r="AG33" i="29" s="1"/>
  <c r="AH33" i="29" s="1"/>
  <c r="AI33" i="29" s="1"/>
  <c r="AJ33" i="29" s="1"/>
  <c r="AK33" i="29" s="1"/>
  <c r="AL33" i="29" s="1"/>
  <c r="AM33" i="29" s="1"/>
  <c r="AN33" i="29" s="1"/>
  <c r="AO33" i="29" s="1"/>
  <c r="AP33" i="29" s="1"/>
  <c r="AQ33" i="29" s="1"/>
  <c r="AR33" i="29" s="1"/>
  <c r="AS33" i="29" s="1"/>
  <c r="AT33" i="29" s="1"/>
  <c r="AU33" i="29" s="1"/>
  <c r="AV33" i="29" s="1"/>
  <c r="AW33" i="29" s="1"/>
  <c r="D10" i="26"/>
  <c r="D110" i="5"/>
  <c r="E111" i="5"/>
  <c r="D10" i="5"/>
  <c r="D9" i="5" s="1"/>
  <c r="D115" i="8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D114" i="5"/>
  <c r="D132" i="26"/>
  <c r="E108" i="26"/>
  <c r="F108" i="26" s="1"/>
  <c r="G108" i="26" s="1"/>
  <c r="H108" i="26" s="1"/>
  <c r="E96" i="26"/>
  <c r="F96" i="26"/>
  <c r="G96" i="26"/>
  <c r="H96" i="26" s="1"/>
  <c r="I96" i="26" s="1"/>
  <c r="J96" i="26" s="1"/>
  <c r="K96" i="26" s="1"/>
  <c r="L96" i="26" s="1"/>
  <c r="M96" i="26" s="1"/>
  <c r="N96" i="26" s="1"/>
  <c r="O96" i="26" s="1"/>
  <c r="P96" i="26" s="1"/>
  <c r="Q96" i="26" s="1"/>
  <c r="R96" i="26" s="1"/>
  <c r="S96" i="26" s="1"/>
  <c r="T96" i="26" s="1"/>
  <c r="U96" i="26" s="1"/>
  <c r="V96" i="26" s="1"/>
  <c r="W96" i="26" s="1"/>
  <c r="X96" i="26" s="1"/>
  <c r="Y96" i="26" s="1"/>
  <c r="Z96" i="26" s="1"/>
  <c r="AA96" i="26" s="1"/>
  <c r="AB96" i="26" s="1"/>
  <c r="AC96" i="26" s="1"/>
  <c r="AD96" i="26" s="1"/>
  <c r="AE96" i="26" s="1"/>
  <c r="AF96" i="26" s="1"/>
  <c r="AG96" i="26" s="1"/>
  <c r="AH96" i="26" s="1"/>
  <c r="AI96" i="26" s="1"/>
  <c r="AJ96" i="26" s="1"/>
  <c r="AK96" i="26" s="1"/>
  <c r="AL96" i="26" s="1"/>
  <c r="AM96" i="26"/>
  <c r="AN96" i="26" s="1"/>
  <c r="AO96" i="26" s="1"/>
  <c r="AP96" i="26" s="1"/>
  <c r="AQ96" i="26" s="1"/>
  <c r="AR96" i="26" s="1"/>
  <c r="AS96" i="26" s="1"/>
  <c r="AT96" i="26" s="1"/>
  <c r="AU96" i="26" s="1"/>
  <c r="AV96" i="26" s="1"/>
  <c r="AW96" i="26" s="1"/>
  <c r="E87" i="26"/>
  <c r="F87" i="26" s="1"/>
  <c r="G87" i="26" s="1"/>
  <c r="H87" i="26" s="1"/>
  <c r="I87" i="26"/>
  <c r="J87" i="26" s="1"/>
  <c r="K87" i="26" s="1"/>
  <c r="L87" i="26" s="1"/>
  <c r="M87" i="26" s="1"/>
  <c r="N87" i="26" s="1"/>
  <c r="O87" i="26" s="1"/>
  <c r="P87" i="26" s="1"/>
  <c r="Q87" i="26" s="1"/>
  <c r="R87" i="26" s="1"/>
  <c r="S87" i="26" s="1"/>
  <c r="T87" i="26" s="1"/>
  <c r="U87" i="26" s="1"/>
  <c r="V87" i="26" s="1"/>
  <c r="W87" i="26" s="1"/>
  <c r="X87" i="26" s="1"/>
  <c r="Y87" i="26" s="1"/>
  <c r="Z87" i="26" s="1"/>
  <c r="AA87" i="26" s="1"/>
  <c r="AB87" i="26" s="1"/>
  <c r="AC87" i="26" s="1"/>
  <c r="AD87" i="26" s="1"/>
  <c r="AE87" i="26" s="1"/>
  <c r="AF87" i="26" s="1"/>
  <c r="AG87" i="26" s="1"/>
  <c r="AH87" i="26" s="1"/>
  <c r="AI87" i="26" s="1"/>
  <c r="AJ87" i="26" s="1"/>
  <c r="AK87" i="26" s="1"/>
  <c r="E30" i="26"/>
  <c r="F30" i="26" s="1"/>
  <c r="G30" i="26" s="1"/>
  <c r="E80" i="8"/>
  <c r="F111" i="24"/>
  <c r="G111" i="24" s="1"/>
  <c r="H111" i="24" s="1"/>
  <c r="I111" i="24" s="1"/>
  <c r="J111" i="24" s="1"/>
  <c r="K111" i="24" s="1"/>
  <c r="L111" i="24" s="1"/>
  <c r="M111" i="24" s="1"/>
  <c r="N111" i="24" s="1"/>
  <c r="O111" i="24" s="1"/>
  <c r="P111" i="24" s="1"/>
  <c r="Q111" i="24" s="1"/>
  <c r="R111" i="24" s="1"/>
  <c r="S111" i="24" s="1"/>
  <c r="T111" i="24" s="1"/>
  <c r="U111" i="24" s="1"/>
  <c r="V111" i="24" s="1"/>
  <c r="W111" i="24" s="1"/>
  <c r="X111" i="24" s="1"/>
  <c r="Y111" i="24" s="1"/>
  <c r="Z111" i="24" s="1"/>
  <c r="AA111" i="24" s="1"/>
  <c r="AB111" i="24" s="1"/>
  <c r="AC111" i="24" s="1"/>
  <c r="AD111" i="24" s="1"/>
  <c r="AE111" i="24" s="1"/>
  <c r="AF111" i="24" s="1"/>
  <c r="AG111" i="24" s="1"/>
  <c r="AH111" i="24" s="1"/>
  <c r="AI111" i="24" s="1"/>
  <c r="AJ111" i="24" s="1"/>
  <c r="AK111" i="24" s="1"/>
  <c r="AL111" i="24" s="1"/>
  <c r="AM111" i="24" s="1"/>
  <c r="AN111" i="24" s="1"/>
  <c r="AO111" i="24" s="1"/>
  <c r="AP111" i="24" s="1"/>
  <c r="AQ111" i="24" s="1"/>
  <c r="AR111" i="24" s="1"/>
  <c r="AS111" i="24" s="1"/>
  <c r="AT111" i="24" s="1"/>
  <c r="AU111" i="24" s="1"/>
  <c r="AV111" i="24" s="1"/>
  <c r="AW111" i="24" s="1"/>
  <c r="E108" i="24"/>
  <c r="E96" i="24"/>
  <c r="F96" i="24"/>
  <c r="G96" i="24" s="1"/>
  <c r="H96" i="24" s="1"/>
  <c r="I96" i="24" s="1"/>
  <c r="J96" i="24" s="1"/>
  <c r="K96" i="24" s="1"/>
  <c r="L96" i="24" s="1"/>
  <c r="M96" i="24" s="1"/>
  <c r="N96" i="24" s="1"/>
  <c r="O96" i="24" s="1"/>
  <c r="P96" i="24" s="1"/>
  <c r="Q96" i="24" s="1"/>
  <c r="R96" i="24" s="1"/>
  <c r="S96" i="24" s="1"/>
  <c r="T96" i="24" s="1"/>
  <c r="U96" i="24" s="1"/>
  <c r="V96" i="24" s="1"/>
  <c r="W96" i="24" s="1"/>
  <c r="X96" i="24" s="1"/>
  <c r="Y96" i="24" s="1"/>
  <c r="Z96" i="24" s="1"/>
  <c r="AA96" i="24" s="1"/>
  <c r="AB96" i="24" s="1"/>
  <c r="AC96" i="24" s="1"/>
  <c r="AD96" i="24" s="1"/>
  <c r="AE96" i="24" s="1"/>
  <c r="AF96" i="24" s="1"/>
  <c r="AG96" i="24" s="1"/>
  <c r="AH96" i="24" s="1"/>
  <c r="AI96" i="24" s="1"/>
  <c r="AJ96" i="24" s="1"/>
  <c r="AK96" i="24" s="1"/>
  <c r="AL96" i="24" s="1"/>
  <c r="AM96" i="24" s="1"/>
  <c r="AN96" i="24" s="1"/>
  <c r="AO96" i="24" s="1"/>
  <c r="AP96" i="24" s="1"/>
  <c r="AQ96" i="24" s="1"/>
  <c r="AR96" i="24" s="1"/>
  <c r="AS96" i="24" s="1"/>
  <c r="AT96" i="24" s="1"/>
  <c r="AU96" i="24" s="1"/>
  <c r="AV96" i="24" s="1"/>
  <c r="AW96" i="24" s="1"/>
  <c r="F90" i="24"/>
  <c r="G90" i="24"/>
  <c r="H90" i="24" s="1"/>
  <c r="I90" i="24" s="1"/>
  <c r="J90" i="24" s="1"/>
  <c r="K90" i="24" s="1"/>
  <c r="L90" i="24" s="1"/>
  <c r="M90" i="24" s="1"/>
  <c r="N90" i="24" s="1"/>
  <c r="O90" i="24" s="1"/>
  <c r="P90" i="24" s="1"/>
  <c r="Q90" i="24" s="1"/>
  <c r="R90" i="24" s="1"/>
  <c r="S90" i="24" s="1"/>
  <c r="T90" i="24" s="1"/>
  <c r="U90" i="24" s="1"/>
  <c r="V90" i="24" s="1"/>
  <c r="W90" i="24" s="1"/>
  <c r="X90" i="24" s="1"/>
  <c r="Y90" i="24" s="1"/>
  <c r="Z90" i="24" s="1"/>
  <c r="AA90" i="24" s="1"/>
  <c r="AB90" i="24" s="1"/>
  <c r="AC90" i="24" s="1"/>
  <c r="AD90" i="24" s="1"/>
  <c r="AE90" i="24" s="1"/>
  <c r="AF90" i="24" s="1"/>
  <c r="AG90" i="24" s="1"/>
  <c r="AH90" i="24" s="1"/>
  <c r="AI90" i="24" s="1"/>
  <c r="AJ90" i="24" s="1"/>
  <c r="AK90" i="24" s="1"/>
  <c r="AL90" i="24" s="1"/>
  <c r="AM90" i="24" s="1"/>
  <c r="AN90" i="24" s="1"/>
  <c r="AO90" i="24" s="1"/>
  <c r="AP90" i="24" s="1"/>
  <c r="AQ90" i="24" s="1"/>
  <c r="AR90" i="24" s="1"/>
  <c r="AS90" i="24" s="1"/>
  <c r="AT90" i="24" s="1"/>
  <c r="AU90" i="24" s="1"/>
  <c r="AV90" i="24" s="1"/>
  <c r="AW90" i="24" s="1"/>
  <c r="E87" i="24"/>
  <c r="F87" i="24" s="1"/>
  <c r="G87" i="24" s="1"/>
  <c r="H87" i="24" s="1"/>
  <c r="I87" i="24" s="1"/>
  <c r="J87" i="24" s="1"/>
  <c r="K87" i="24" s="1"/>
  <c r="L87" i="24" s="1"/>
  <c r="M87" i="24" s="1"/>
  <c r="N87" i="24" s="1"/>
  <c r="O87" i="24" s="1"/>
  <c r="P87" i="24" s="1"/>
  <c r="Q87" i="24" s="1"/>
  <c r="R87" i="24" s="1"/>
  <c r="S87" i="24" s="1"/>
  <c r="T87" i="24" s="1"/>
  <c r="U87" i="24" s="1"/>
  <c r="V87" i="24" s="1"/>
  <c r="W87" i="24" s="1"/>
  <c r="X87" i="24" s="1"/>
  <c r="Y87" i="24" s="1"/>
  <c r="Z87" i="24" s="1"/>
  <c r="AA87" i="24" s="1"/>
  <c r="AB87" i="24" s="1"/>
  <c r="AC87" i="24" s="1"/>
  <c r="AD87" i="24" s="1"/>
  <c r="AE87" i="24" s="1"/>
  <c r="AF87" i="24" s="1"/>
  <c r="AG87" i="24" s="1"/>
  <c r="AH87" i="24" s="1"/>
  <c r="AI87" i="24" s="1"/>
  <c r="AJ87" i="24" s="1"/>
  <c r="AK87" i="24" s="1"/>
  <c r="AL87" i="24" s="1"/>
  <c r="AM87" i="24" s="1"/>
  <c r="AN87" i="24" s="1"/>
  <c r="AO87" i="24" s="1"/>
  <c r="AP87" i="24" s="1"/>
  <c r="AQ87" i="24" s="1"/>
  <c r="AR87" i="24" s="1"/>
  <c r="AS87" i="24" s="1"/>
  <c r="AT87" i="24" s="1"/>
  <c r="AU87" i="24" s="1"/>
  <c r="AV87" i="24" s="1"/>
  <c r="AW87" i="24" s="1"/>
  <c r="F33" i="24"/>
  <c r="G33" i="24" s="1"/>
  <c r="H33" i="24" s="1"/>
  <c r="I33" i="24" s="1"/>
  <c r="J33" i="24" s="1"/>
  <c r="K33" i="24" s="1"/>
  <c r="L33" i="24" s="1"/>
  <c r="M33" i="24" s="1"/>
  <c r="N33" i="24" s="1"/>
  <c r="O33" i="24" s="1"/>
  <c r="P33" i="24" s="1"/>
  <c r="Q33" i="24" s="1"/>
  <c r="R33" i="24" s="1"/>
  <c r="S33" i="24" s="1"/>
  <c r="T33" i="24" s="1"/>
  <c r="U33" i="24" s="1"/>
  <c r="V33" i="24" s="1"/>
  <c r="W33" i="24" s="1"/>
  <c r="X33" i="24" s="1"/>
  <c r="Y33" i="24" s="1"/>
  <c r="Z33" i="24" s="1"/>
  <c r="AA33" i="24" s="1"/>
  <c r="AB33" i="24" s="1"/>
  <c r="AC33" i="24" s="1"/>
  <c r="AD33" i="24" s="1"/>
  <c r="AE33" i="24" s="1"/>
  <c r="AF33" i="24" s="1"/>
  <c r="AG33" i="24" s="1"/>
  <c r="AH33" i="24" s="1"/>
  <c r="AI33" i="24" s="1"/>
  <c r="AJ33" i="24" s="1"/>
  <c r="AK33" i="24" s="1"/>
  <c r="AL33" i="24" s="1"/>
  <c r="AM33" i="24" s="1"/>
  <c r="AN33" i="24" s="1"/>
  <c r="AO33" i="24" s="1"/>
  <c r="AP33" i="24" s="1"/>
  <c r="AQ33" i="24" s="1"/>
  <c r="AR33" i="24" s="1"/>
  <c r="AS33" i="24" s="1"/>
  <c r="AT33" i="24" s="1"/>
  <c r="AU33" i="24" s="1"/>
  <c r="AV33" i="24" s="1"/>
  <c r="AW33" i="24" s="1"/>
  <c r="E30" i="24"/>
  <c r="E57" i="24" s="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K96" i="21"/>
  <c r="AL96" i="21"/>
  <c r="AM96" i="21"/>
  <c r="AN96" i="21"/>
  <c r="AO96" i="21"/>
  <c r="AP96" i="21"/>
  <c r="AQ96" i="21"/>
  <c r="AR96" i="21"/>
  <c r="AS96" i="21"/>
  <c r="AT96" i="21"/>
  <c r="AU96" i="21"/>
  <c r="AV96" i="21"/>
  <c r="AW96" i="21"/>
  <c r="E108" i="21"/>
  <c r="D130" i="21"/>
  <c r="E30" i="21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D117" i="10"/>
  <c r="F101" i="32"/>
  <c r="E119" i="32"/>
  <c r="D218" i="12"/>
  <c r="G160" i="36"/>
  <c r="F30" i="24"/>
  <c r="F57" i="24" s="1"/>
  <c r="F30" i="29"/>
  <c r="G30" i="29" s="1"/>
  <c r="E57" i="29"/>
  <c r="E57" i="26"/>
  <c r="F30" i="21"/>
  <c r="E57" i="21"/>
  <c r="F30" i="9"/>
  <c r="E57" i="9"/>
  <c r="F23" i="32"/>
  <c r="E50" i="32"/>
  <c r="AB87" i="21"/>
  <c r="G80" i="32"/>
  <c r="I108" i="26"/>
  <c r="J108" i="26" s="1"/>
  <c r="K108" i="26" s="1"/>
  <c r="L108" i="26" s="1"/>
  <c r="M108" i="26" s="1"/>
  <c r="N108" i="26" s="1"/>
  <c r="O108" i="26" s="1"/>
  <c r="P108" i="26" s="1"/>
  <c r="Q108" i="26" s="1"/>
  <c r="R108" i="26" s="1"/>
  <c r="S108" i="26" s="1"/>
  <c r="T108" i="26" s="1"/>
  <c r="U108" i="26" s="1"/>
  <c r="V108" i="26" s="1"/>
  <c r="F108" i="29"/>
  <c r="F108" i="21"/>
  <c r="F108" i="24"/>
  <c r="F189" i="12"/>
  <c r="F132" i="12"/>
  <c r="D137" i="10"/>
  <c r="D114" i="10"/>
  <c r="E108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J96" i="10"/>
  <c r="AK96" i="10"/>
  <c r="AL96" i="10"/>
  <c r="AM96" i="10"/>
  <c r="AN96" i="10"/>
  <c r="AO96" i="10"/>
  <c r="AP96" i="10"/>
  <c r="AQ96" i="10"/>
  <c r="AR96" i="10"/>
  <c r="AS96" i="10"/>
  <c r="AT96" i="10"/>
  <c r="AU96" i="10"/>
  <c r="AV96" i="10"/>
  <c r="AW96" i="10"/>
  <c r="E87" i="10"/>
  <c r="E30" i="10"/>
  <c r="E57" i="10"/>
  <c r="D131" i="9"/>
  <c r="E108" i="9"/>
  <c r="E96" i="9"/>
  <c r="F96" i="9" s="1"/>
  <c r="G96" i="9"/>
  <c r="H96" i="9" s="1"/>
  <c r="I96" i="9" s="1"/>
  <c r="J96" i="9" s="1"/>
  <c r="K96" i="9" s="1"/>
  <c r="L96" i="9" s="1"/>
  <c r="M96" i="9" s="1"/>
  <c r="N96" i="9" s="1"/>
  <c r="O96" i="9" s="1"/>
  <c r="P96" i="9" s="1"/>
  <c r="Q96" i="9" s="1"/>
  <c r="R96" i="9" s="1"/>
  <c r="S96" i="9" s="1"/>
  <c r="T96" i="9" s="1"/>
  <c r="U96" i="9" s="1"/>
  <c r="V96" i="9" s="1"/>
  <c r="W96" i="9" s="1"/>
  <c r="X96" i="9" s="1"/>
  <c r="Y96" i="9" s="1"/>
  <c r="Z96" i="9" s="1"/>
  <c r="AA96" i="9" s="1"/>
  <c r="AB96" i="9" s="1"/>
  <c r="AC96" i="9" s="1"/>
  <c r="AD96" i="9" s="1"/>
  <c r="AE96" i="9" s="1"/>
  <c r="AF96" i="9" s="1"/>
  <c r="AG96" i="9" s="1"/>
  <c r="AH96" i="9" s="1"/>
  <c r="AI96" i="9" s="1"/>
  <c r="AJ96" i="9" s="1"/>
  <c r="AK96" i="9" s="1"/>
  <c r="AL96" i="9" s="1"/>
  <c r="AM96" i="9" s="1"/>
  <c r="AN96" i="9" s="1"/>
  <c r="AO96" i="9" s="1"/>
  <c r="AP96" i="9" s="1"/>
  <c r="AQ96" i="9" s="1"/>
  <c r="AR96" i="9" s="1"/>
  <c r="AS96" i="9" s="1"/>
  <c r="AT96" i="9" s="1"/>
  <c r="AU96" i="9" s="1"/>
  <c r="AV96" i="9"/>
  <c r="AW96" i="9" s="1"/>
  <c r="E87" i="9"/>
  <c r="F87" i="9"/>
  <c r="G87" i="9" s="1"/>
  <c r="H87" i="9" s="1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E115" i="8"/>
  <c r="D134" i="8"/>
  <c r="E108" i="8"/>
  <c r="E96" i="8"/>
  <c r="F96" i="8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AH96" i="8" s="1"/>
  <c r="AI96" i="8" s="1"/>
  <c r="AJ96" i="8" s="1"/>
  <c r="AK96" i="8" s="1"/>
  <c r="AL96" i="8" s="1"/>
  <c r="AM96" i="8" s="1"/>
  <c r="AN96" i="8" s="1"/>
  <c r="AO96" i="8" s="1"/>
  <c r="AP96" i="8" s="1"/>
  <c r="AQ96" i="8" s="1"/>
  <c r="AR96" i="8" s="1"/>
  <c r="AS96" i="8" s="1"/>
  <c r="AT96" i="8" s="1"/>
  <c r="AU96" i="8" s="1"/>
  <c r="AV96" i="8" s="1"/>
  <c r="AW96" i="8" s="1"/>
  <c r="E87" i="8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AH87" i="8" s="1"/>
  <c r="AI87" i="8" s="1"/>
  <c r="AJ87" i="8" s="1"/>
  <c r="AK87" i="8" s="1"/>
  <c r="AL87" i="8" s="1"/>
  <c r="AM87" i="8" s="1"/>
  <c r="AN87" i="8" s="1"/>
  <c r="AO87" i="8" s="1"/>
  <c r="AP87" i="8" s="1"/>
  <c r="AQ87" i="8" s="1"/>
  <c r="AR87" i="8" s="1"/>
  <c r="AS87" i="8" s="1"/>
  <c r="AT87" i="8" s="1"/>
  <c r="AU87" i="8" s="1"/>
  <c r="AV87" i="8" s="1"/>
  <c r="AW87" i="8" s="1"/>
  <c r="E30" i="8"/>
  <c r="E57" i="8" s="1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E108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F90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E87" i="5"/>
  <c r="D41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E30" i="5"/>
  <c r="D223" i="12"/>
  <c r="G101" i="32"/>
  <c r="F119" i="32"/>
  <c r="G132" i="12"/>
  <c r="F159" i="12"/>
  <c r="F30" i="5"/>
  <c r="E57" i="5"/>
  <c r="G30" i="24"/>
  <c r="G57" i="24" s="1"/>
  <c r="F30" i="8"/>
  <c r="G30" i="8" s="1"/>
  <c r="G30" i="21"/>
  <c r="F57" i="21"/>
  <c r="G30" i="9"/>
  <c r="F57" i="9"/>
  <c r="G23" i="32"/>
  <c r="F50" i="32"/>
  <c r="F87" i="10"/>
  <c r="G87" i="10"/>
  <c r="F108" i="5"/>
  <c r="F87" i="5"/>
  <c r="G189" i="12"/>
  <c r="AA110" i="5"/>
  <c r="AC87" i="21"/>
  <c r="D30" i="32"/>
  <c r="H80" i="32"/>
  <c r="E114" i="10"/>
  <c r="G90" i="5"/>
  <c r="F111" i="5"/>
  <c r="G108" i="29"/>
  <c r="F30" i="10"/>
  <c r="F57" i="10"/>
  <c r="G108" i="21"/>
  <c r="H108" i="21"/>
  <c r="G108" i="24"/>
  <c r="H108" i="24" s="1"/>
  <c r="I108" i="24" s="1"/>
  <c r="J108" i="24" s="1"/>
  <c r="K108" i="24" s="1"/>
  <c r="L108" i="24" s="1"/>
  <c r="M108" i="24" s="1"/>
  <c r="F108" i="10"/>
  <c r="F108" i="9"/>
  <c r="G108" i="9" s="1"/>
  <c r="H108" i="9" s="1"/>
  <c r="I108" i="9" s="1"/>
  <c r="J108" i="9" s="1"/>
  <c r="K108" i="9" s="1"/>
  <c r="L108" i="9" s="1"/>
  <c r="M108" i="9" s="1"/>
  <c r="N108" i="9" s="1"/>
  <c r="F108" i="8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AH108" i="8" s="1"/>
  <c r="AI108" i="8" s="1"/>
  <c r="AJ108" i="8" s="1"/>
  <c r="AK108" i="8" s="1"/>
  <c r="AL108" i="8" s="1"/>
  <c r="AM108" i="8" s="1"/>
  <c r="AN108" i="8" s="1"/>
  <c r="AO108" i="8" s="1"/>
  <c r="AP108" i="8" s="1"/>
  <c r="AQ108" i="8" s="1"/>
  <c r="AR108" i="8" s="1"/>
  <c r="AS108" i="8" s="1"/>
  <c r="AT108" i="8" s="1"/>
  <c r="AU108" i="8" s="1"/>
  <c r="AV108" i="8" s="1"/>
  <c r="AW108" i="8" s="1"/>
  <c r="H101" i="32"/>
  <c r="H132" i="12"/>
  <c r="G159" i="12"/>
  <c r="G30" i="5"/>
  <c r="F57" i="5"/>
  <c r="H30" i="24"/>
  <c r="H57" i="24" s="1"/>
  <c r="H30" i="21"/>
  <c r="G57" i="21"/>
  <c r="H30" i="9"/>
  <c r="I30" i="9" s="1"/>
  <c r="I57" i="9" s="1"/>
  <c r="G57" i="9"/>
  <c r="H23" i="32"/>
  <c r="G50" i="32"/>
  <c r="G108" i="5"/>
  <c r="H108" i="5"/>
  <c r="G87" i="5"/>
  <c r="H189" i="12"/>
  <c r="AB110" i="5"/>
  <c r="AD87" i="21"/>
  <c r="I80" i="32"/>
  <c r="H90" i="5"/>
  <c r="G111" i="5"/>
  <c r="H108" i="29"/>
  <c r="I108" i="29" s="1"/>
  <c r="J108" i="29" s="1"/>
  <c r="K108" i="29" s="1"/>
  <c r="L108" i="29" s="1"/>
  <c r="M108" i="29" s="1"/>
  <c r="N108" i="29" s="1"/>
  <c r="O108" i="29" s="1"/>
  <c r="P108" i="29" s="1"/>
  <c r="Q108" i="29" s="1"/>
  <c r="R108" i="29" s="1"/>
  <c r="S108" i="29" s="1"/>
  <c r="T108" i="29" s="1"/>
  <c r="U108" i="29" s="1"/>
  <c r="V108" i="29" s="1"/>
  <c r="W108" i="29" s="1"/>
  <c r="X108" i="29" s="1"/>
  <c r="Y108" i="29" s="1"/>
  <c r="Z108" i="29" s="1"/>
  <c r="AA108" i="29" s="1"/>
  <c r="AB108" i="29" s="1"/>
  <c r="AC108" i="29" s="1"/>
  <c r="AD108" i="29" s="1"/>
  <c r="AE108" i="29" s="1"/>
  <c r="AF108" i="29" s="1"/>
  <c r="AG108" i="29" s="1"/>
  <c r="AH108" i="29" s="1"/>
  <c r="AI108" i="29" s="1"/>
  <c r="AJ108" i="29" s="1"/>
  <c r="AK108" i="29" s="1"/>
  <c r="AL108" i="29" s="1"/>
  <c r="AM108" i="29" s="1"/>
  <c r="AN108" i="29" s="1"/>
  <c r="AO108" i="29" s="1"/>
  <c r="AP108" i="29" s="1"/>
  <c r="AQ108" i="29" s="1"/>
  <c r="AR108" i="29" s="1"/>
  <c r="AS108" i="29" s="1"/>
  <c r="AT108" i="29" s="1"/>
  <c r="AU108" i="29" s="1"/>
  <c r="AV108" i="29" s="1"/>
  <c r="AW108" i="29" s="1"/>
  <c r="G30" i="10"/>
  <c r="G57" i="10"/>
  <c r="E119" i="5"/>
  <c r="I108" i="21"/>
  <c r="F114" i="10"/>
  <c r="G108" i="10"/>
  <c r="H87" i="10"/>
  <c r="I87" i="9"/>
  <c r="J87" i="9" s="1"/>
  <c r="I101" i="32"/>
  <c r="I132" i="12"/>
  <c r="H159" i="12"/>
  <c r="H30" i="5"/>
  <c r="G57" i="5"/>
  <c r="I30" i="21"/>
  <c r="H57" i="21"/>
  <c r="H57" i="9"/>
  <c r="I23" i="32"/>
  <c r="H50" i="32"/>
  <c r="G117" i="5"/>
  <c r="H87" i="5"/>
  <c r="I189" i="12"/>
  <c r="AC110" i="5"/>
  <c r="AE87" i="21"/>
  <c r="J80" i="32"/>
  <c r="E30" i="32"/>
  <c r="I90" i="5"/>
  <c r="H111" i="5"/>
  <c r="H30" i="10"/>
  <c r="H57" i="10"/>
  <c r="J108" i="21"/>
  <c r="G114" i="10"/>
  <c r="H108" i="10"/>
  <c r="I87" i="10"/>
  <c r="I108" i="5"/>
  <c r="J101" i="32"/>
  <c r="J132" i="12"/>
  <c r="I159" i="12"/>
  <c r="I30" i="5"/>
  <c r="H57" i="5"/>
  <c r="J30" i="21"/>
  <c r="I57" i="21"/>
  <c r="J30" i="9"/>
  <c r="J23" i="32"/>
  <c r="I50" i="32"/>
  <c r="I87" i="5"/>
  <c r="I119" i="5"/>
  <c r="J189" i="12"/>
  <c r="AD110" i="5"/>
  <c r="AF87" i="21"/>
  <c r="F30" i="32"/>
  <c r="K80" i="32"/>
  <c r="J90" i="5"/>
  <c r="I111" i="5"/>
  <c r="I30" i="10"/>
  <c r="I57" i="10"/>
  <c r="K108" i="21"/>
  <c r="I108" i="10"/>
  <c r="H114" i="10"/>
  <c r="J87" i="10"/>
  <c r="K87" i="9"/>
  <c r="L87" i="9" s="1"/>
  <c r="J108" i="5"/>
  <c r="K101" i="32"/>
  <c r="K132" i="12"/>
  <c r="J159" i="12"/>
  <c r="J30" i="5"/>
  <c r="I57" i="5"/>
  <c r="K30" i="21"/>
  <c r="J57" i="21"/>
  <c r="K23" i="32"/>
  <c r="J50" i="32"/>
  <c r="J87" i="5"/>
  <c r="J119" i="5"/>
  <c r="K189" i="12"/>
  <c r="AE110" i="5"/>
  <c r="AG87" i="21"/>
  <c r="L80" i="32"/>
  <c r="G30" i="32"/>
  <c r="K90" i="5"/>
  <c r="J111" i="5"/>
  <c r="J30" i="10"/>
  <c r="J57" i="10"/>
  <c r="L108" i="21"/>
  <c r="I114" i="10"/>
  <c r="J108" i="10"/>
  <c r="K87" i="10"/>
  <c r="K108" i="5"/>
  <c r="L101" i="32"/>
  <c r="L132" i="12"/>
  <c r="K159" i="12"/>
  <c r="K30" i="5"/>
  <c r="J57" i="5"/>
  <c r="L30" i="21"/>
  <c r="K57" i="21"/>
  <c r="L23" i="32"/>
  <c r="K50" i="32"/>
  <c r="K87" i="5"/>
  <c r="L189" i="12"/>
  <c r="AF110" i="5"/>
  <c r="AH87" i="21"/>
  <c r="J114" i="10"/>
  <c r="K108" i="10"/>
  <c r="L108" i="10"/>
  <c r="M80" i="32"/>
  <c r="L90" i="5"/>
  <c r="K111" i="5"/>
  <c r="K30" i="10"/>
  <c r="K57" i="10"/>
  <c r="M108" i="21"/>
  <c r="L87" i="10"/>
  <c r="M87" i="9"/>
  <c r="N87" i="9" s="1"/>
  <c r="O87" i="9" s="1"/>
  <c r="L108" i="5"/>
  <c r="M101" i="32"/>
  <c r="M132" i="12"/>
  <c r="L159" i="12"/>
  <c r="L30" i="5"/>
  <c r="K57" i="5"/>
  <c r="M30" i="21"/>
  <c r="L57" i="21"/>
  <c r="M23" i="32"/>
  <c r="L50" i="32"/>
  <c r="L87" i="5"/>
  <c r="L119" i="5"/>
  <c r="M189" i="12"/>
  <c r="AG110" i="5"/>
  <c r="AI87" i="21"/>
  <c r="K114" i="10"/>
  <c r="N80" i="32"/>
  <c r="M90" i="5"/>
  <c r="L111" i="5"/>
  <c r="L30" i="10"/>
  <c r="L57" i="10"/>
  <c r="N108" i="21"/>
  <c r="L114" i="10"/>
  <c r="M108" i="10"/>
  <c r="M87" i="10"/>
  <c r="M108" i="5"/>
  <c r="N101" i="32"/>
  <c r="N132" i="12"/>
  <c r="M159" i="12"/>
  <c r="M30" i="5"/>
  <c r="L57" i="5"/>
  <c r="N30" i="21"/>
  <c r="M57" i="21"/>
  <c r="N23" i="32"/>
  <c r="M50" i="32"/>
  <c r="O80" i="32"/>
  <c r="M87" i="5"/>
  <c r="M119" i="5"/>
  <c r="N189" i="12"/>
  <c r="AH110" i="5"/>
  <c r="AJ87" i="21"/>
  <c r="N90" i="5"/>
  <c r="M111" i="5"/>
  <c r="M30" i="10"/>
  <c r="M57" i="10"/>
  <c r="O108" i="21"/>
  <c r="N108" i="24"/>
  <c r="O108" i="24" s="1"/>
  <c r="P108" i="24" s="1"/>
  <c r="Q108" i="24" s="1"/>
  <c r="R108" i="24" s="1"/>
  <c r="S108" i="24" s="1"/>
  <c r="T108" i="24" s="1"/>
  <c r="U108" i="24" s="1"/>
  <c r="V108" i="24" s="1"/>
  <c r="W108" i="24" s="1"/>
  <c r="X108" i="24" s="1"/>
  <c r="Y108" i="24" s="1"/>
  <c r="Z108" i="24" s="1"/>
  <c r="AA108" i="24" s="1"/>
  <c r="AB108" i="24" s="1"/>
  <c r="AC108" i="24" s="1"/>
  <c r="AD108" i="24" s="1"/>
  <c r="AE108" i="24" s="1"/>
  <c r="AF108" i="24" s="1"/>
  <c r="AG108" i="24" s="1"/>
  <c r="AH108" i="24" s="1"/>
  <c r="AI108" i="24" s="1"/>
  <c r="AJ108" i="24" s="1"/>
  <c r="AK108" i="24" s="1"/>
  <c r="AL108" i="24" s="1"/>
  <c r="AM108" i="24" s="1"/>
  <c r="AN108" i="24" s="1"/>
  <c r="AO108" i="24" s="1"/>
  <c r="AP108" i="24" s="1"/>
  <c r="AQ108" i="24" s="1"/>
  <c r="AR108" i="24" s="1"/>
  <c r="AS108" i="24" s="1"/>
  <c r="AT108" i="24" s="1"/>
  <c r="AU108" i="24" s="1"/>
  <c r="AV108" i="24" s="1"/>
  <c r="AW108" i="24" s="1"/>
  <c r="N108" i="10"/>
  <c r="M114" i="10"/>
  <c r="N87" i="10"/>
  <c r="N108" i="5"/>
  <c r="O101" i="32"/>
  <c r="O132" i="12"/>
  <c r="N159" i="12"/>
  <c r="N30" i="5"/>
  <c r="M57" i="5"/>
  <c r="O30" i="21"/>
  <c r="N57" i="21"/>
  <c r="O23" i="32"/>
  <c r="N50" i="32"/>
  <c r="P80" i="32"/>
  <c r="N87" i="5"/>
  <c r="O189" i="12"/>
  <c r="AI110" i="5"/>
  <c r="AK87" i="21"/>
  <c r="O90" i="5"/>
  <c r="N111" i="5"/>
  <c r="N30" i="10"/>
  <c r="N57" i="10"/>
  <c r="P108" i="21"/>
  <c r="O108" i="10"/>
  <c r="N114" i="10"/>
  <c r="O87" i="10"/>
  <c r="P87" i="9"/>
  <c r="Q87" i="9" s="1"/>
  <c r="R87" i="9" s="1"/>
  <c r="O108" i="5"/>
  <c r="P101" i="32"/>
  <c r="O120" i="32"/>
  <c r="P132" i="12"/>
  <c r="O159" i="12"/>
  <c r="O30" i="5"/>
  <c r="N57" i="5"/>
  <c r="P30" i="21"/>
  <c r="O57" i="21"/>
  <c r="P23" i="32"/>
  <c r="O50" i="32"/>
  <c r="Q80" i="32"/>
  <c r="O87" i="5"/>
  <c r="P189" i="12"/>
  <c r="AL87" i="26"/>
  <c r="AM87" i="26" s="1"/>
  <c r="AN87" i="26" s="1"/>
  <c r="AO87" i="26" s="1"/>
  <c r="AJ110" i="5"/>
  <c r="AL87" i="21"/>
  <c r="P90" i="5"/>
  <c r="O111" i="5"/>
  <c r="O30" i="10"/>
  <c r="O57" i="10"/>
  <c r="Q108" i="21"/>
  <c r="O114" i="10"/>
  <c r="P108" i="10"/>
  <c r="P87" i="10"/>
  <c r="O108" i="9"/>
  <c r="P108" i="9" s="1"/>
  <c r="Q108" i="9" s="1"/>
  <c r="R108" i="9" s="1"/>
  <c r="S108" i="9" s="1"/>
  <c r="T108" i="9" s="1"/>
  <c r="U108" i="9" s="1"/>
  <c r="V108" i="9" s="1"/>
  <c r="W108" i="9" s="1"/>
  <c r="X108" i="9" s="1"/>
  <c r="Y108" i="9" s="1"/>
  <c r="Z108" i="9" s="1"/>
  <c r="AA108" i="9" s="1"/>
  <c r="AB108" i="9" s="1"/>
  <c r="AC108" i="9" s="1"/>
  <c r="AD108" i="9" s="1"/>
  <c r="AE108" i="9" s="1"/>
  <c r="AF108" i="9" s="1"/>
  <c r="AG108" i="9" s="1"/>
  <c r="AH108" i="9" s="1"/>
  <c r="AI108" i="9" s="1"/>
  <c r="AJ108" i="9" s="1"/>
  <c r="AK108" i="9" s="1"/>
  <c r="AL108" i="9" s="1"/>
  <c r="AM108" i="9" s="1"/>
  <c r="AN108" i="9" s="1"/>
  <c r="AO108" i="9" s="1"/>
  <c r="AP108" i="9" s="1"/>
  <c r="AQ108" i="9" s="1"/>
  <c r="AR108" i="9" s="1"/>
  <c r="AS108" i="9" s="1"/>
  <c r="AT108" i="9" s="1"/>
  <c r="AU108" i="9" s="1"/>
  <c r="AV108" i="9" s="1"/>
  <c r="AW108" i="9" s="1"/>
  <c r="P108" i="5"/>
  <c r="Q101" i="32"/>
  <c r="Q132" i="12"/>
  <c r="P159" i="12"/>
  <c r="P30" i="5"/>
  <c r="O57" i="5"/>
  <c r="Q30" i="21"/>
  <c r="P57" i="21"/>
  <c r="Q23" i="32"/>
  <c r="P50" i="32"/>
  <c r="P117" i="5"/>
  <c r="R80" i="32"/>
  <c r="P87" i="5"/>
  <c r="Q189" i="12"/>
  <c r="AK110" i="5"/>
  <c r="AM87" i="21"/>
  <c r="Q90" i="5"/>
  <c r="P111" i="5"/>
  <c r="P30" i="10"/>
  <c r="P57" i="10"/>
  <c r="R108" i="21"/>
  <c r="Q108" i="10"/>
  <c r="P114" i="10"/>
  <c r="Q87" i="10"/>
  <c r="Q108" i="5"/>
  <c r="R101" i="32"/>
  <c r="R132" i="12"/>
  <c r="Q159" i="12"/>
  <c r="Q30" i="5"/>
  <c r="P57" i="5"/>
  <c r="R30" i="21"/>
  <c r="Q57" i="21"/>
  <c r="R23" i="32"/>
  <c r="Q50" i="32"/>
  <c r="S80" i="32"/>
  <c r="Q87" i="5"/>
  <c r="R189" i="12"/>
  <c r="AL110" i="5"/>
  <c r="AN87" i="21"/>
  <c r="R90" i="5"/>
  <c r="Q111" i="5"/>
  <c r="Q30" i="10"/>
  <c r="Q57" i="10"/>
  <c r="S108" i="21"/>
  <c r="R108" i="10"/>
  <c r="Q114" i="10"/>
  <c r="R87" i="10"/>
  <c r="S87" i="9"/>
  <c r="T87" i="9" s="1"/>
  <c r="U87" i="9" s="1"/>
  <c r="V87" i="9" s="1"/>
  <c r="W87" i="9" s="1"/>
  <c r="R108" i="5"/>
  <c r="S101" i="32"/>
  <c r="R120" i="32"/>
  <c r="S132" i="12"/>
  <c r="R159" i="12"/>
  <c r="R30" i="5"/>
  <c r="Q57" i="5"/>
  <c r="S30" i="21"/>
  <c r="R57" i="21"/>
  <c r="S23" i="32"/>
  <c r="R50" i="32"/>
  <c r="R117" i="5"/>
  <c r="T80" i="32"/>
  <c r="R87" i="5"/>
  <c r="S189" i="12"/>
  <c r="AM110" i="5"/>
  <c r="AO87" i="21"/>
  <c r="S90" i="5"/>
  <c r="R111" i="5"/>
  <c r="R30" i="10"/>
  <c r="R57" i="10"/>
  <c r="T108" i="21"/>
  <c r="S108" i="10"/>
  <c r="R114" i="10"/>
  <c r="S87" i="10"/>
  <c r="S108" i="5"/>
  <c r="T101" i="32"/>
  <c r="T132" i="12"/>
  <c r="S159" i="12"/>
  <c r="S30" i="5"/>
  <c r="R57" i="5"/>
  <c r="T30" i="21"/>
  <c r="S57" i="21"/>
  <c r="T23" i="32"/>
  <c r="S50" i="32"/>
  <c r="U80" i="32"/>
  <c r="S87" i="5"/>
  <c r="T189" i="12"/>
  <c r="AP87" i="26"/>
  <c r="AQ87" i="26" s="1"/>
  <c r="AR87" i="26" s="1"/>
  <c r="AS87" i="26" s="1"/>
  <c r="AT87" i="26" s="1"/>
  <c r="AU87" i="26" s="1"/>
  <c r="AV87" i="26" s="1"/>
  <c r="AW87" i="26" s="1"/>
  <c r="AN110" i="5"/>
  <c r="AP87" i="21"/>
  <c r="S119" i="5"/>
  <c r="T90" i="5"/>
  <c r="S111" i="5"/>
  <c r="W108" i="26"/>
  <c r="X108" i="26" s="1"/>
  <c r="Y108" i="26" s="1"/>
  <c r="Z108" i="26" s="1"/>
  <c r="AA108" i="26" s="1"/>
  <c r="AB108" i="26" s="1"/>
  <c r="AC108" i="26" s="1"/>
  <c r="S30" i="10"/>
  <c r="S57" i="10"/>
  <c r="U108" i="21"/>
  <c r="T108" i="10"/>
  <c r="S114" i="10"/>
  <c r="T87" i="10"/>
  <c r="T108" i="5"/>
  <c r="U101" i="32"/>
  <c r="U132" i="12"/>
  <c r="T159" i="12"/>
  <c r="T30" i="5"/>
  <c r="S57" i="5"/>
  <c r="U30" i="21"/>
  <c r="T57" i="21"/>
  <c r="U23" i="32"/>
  <c r="T50" i="32"/>
  <c r="V80" i="32"/>
  <c r="T87" i="5"/>
  <c r="U189" i="12"/>
  <c r="AO110" i="5"/>
  <c r="AQ87" i="21"/>
  <c r="U90" i="5"/>
  <c r="T111" i="5"/>
  <c r="AD108" i="26"/>
  <c r="AE108" i="26" s="1"/>
  <c r="AF108" i="26" s="1"/>
  <c r="AG108" i="26" s="1"/>
  <c r="AH108" i="26" s="1"/>
  <c r="AI108" i="26" s="1"/>
  <c r="AJ108" i="26" s="1"/>
  <c r="AK108" i="26" s="1"/>
  <c r="AL108" i="26" s="1"/>
  <c r="AM108" i="26" s="1"/>
  <c r="AN108" i="26" s="1"/>
  <c r="AO108" i="26" s="1"/>
  <c r="AP108" i="26" s="1"/>
  <c r="AQ108" i="26" s="1"/>
  <c r="AR108" i="26" s="1"/>
  <c r="AS108" i="26" s="1"/>
  <c r="AT108" i="26" s="1"/>
  <c r="AU108" i="26" s="1"/>
  <c r="AV108" i="26" s="1"/>
  <c r="AW108" i="26" s="1"/>
  <c r="T30" i="10"/>
  <c r="T57" i="10"/>
  <c r="V108" i="21"/>
  <c r="U108" i="10"/>
  <c r="T114" i="10"/>
  <c r="U87" i="10"/>
  <c r="U108" i="5"/>
  <c r="V101" i="32"/>
  <c r="V132" i="12"/>
  <c r="U159" i="12"/>
  <c r="U30" i="5"/>
  <c r="T57" i="5"/>
  <c r="V30" i="21"/>
  <c r="U57" i="21"/>
  <c r="V23" i="32"/>
  <c r="U50" i="32"/>
  <c r="W80" i="32"/>
  <c r="U87" i="5"/>
  <c r="V189" i="12"/>
  <c r="AP110" i="5"/>
  <c r="AR87" i="21"/>
  <c r="V90" i="5"/>
  <c r="U111" i="5"/>
  <c r="U30" i="10"/>
  <c r="U57" i="10"/>
  <c r="W108" i="21"/>
  <c r="U114" i="10"/>
  <c r="V108" i="10"/>
  <c r="V87" i="10"/>
  <c r="V108" i="5"/>
  <c r="W101" i="32"/>
  <c r="V116" i="32"/>
  <c r="W132" i="12"/>
  <c r="V159" i="12"/>
  <c r="V30" i="5"/>
  <c r="U57" i="5"/>
  <c r="W30" i="21"/>
  <c r="V57" i="21"/>
  <c r="W23" i="32"/>
  <c r="V50" i="32"/>
  <c r="X80" i="32"/>
  <c r="V87" i="5"/>
  <c r="W189" i="12"/>
  <c r="AQ110" i="5"/>
  <c r="AS87" i="21"/>
  <c r="V119" i="5"/>
  <c r="W90" i="5"/>
  <c r="V111" i="5"/>
  <c r="V30" i="10"/>
  <c r="V57" i="10"/>
  <c r="X108" i="21"/>
  <c r="V114" i="10"/>
  <c r="W108" i="10"/>
  <c r="W87" i="10"/>
  <c r="X87" i="9"/>
  <c r="Y87" i="9" s="1"/>
  <c r="Z87" i="9" s="1"/>
  <c r="AA87" i="9" s="1"/>
  <c r="AB87" i="9" s="1"/>
  <c r="AC87" i="9" s="1"/>
  <c r="AD87" i="9" s="1"/>
  <c r="AE87" i="9" s="1"/>
  <c r="AF87" i="9" s="1"/>
  <c r="AG87" i="9" s="1"/>
  <c r="AH87" i="9" s="1"/>
  <c r="AI87" i="9" s="1"/>
  <c r="AJ87" i="9" s="1"/>
  <c r="AK87" i="9" s="1"/>
  <c r="AL87" i="9" s="1"/>
  <c r="AM87" i="9" s="1"/>
  <c r="AN87" i="9" s="1"/>
  <c r="AO87" i="9" s="1"/>
  <c r="AP87" i="9" s="1"/>
  <c r="W108" i="5"/>
  <c r="X101" i="32"/>
  <c r="X132" i="12"/>
  <c r="W159" i="12"/>
  <c r="W30" i="5"/>
  <c r="V57" i="5"/>
  <c r="X30" i="21"/>
  <c r="W57" i="21"/>
  <c r="X23" i="32"/>
  <c r="W50" i="32"/>
  <c r="Y80" i="32"/>
  <c r="W87" i="5"/>
  <c r="X189" i="12"/>
  <c r="Y108" i="21"/>
  <c r="AR110" i="5"/>
  <c r="AT87" i="21"/>
  <c r="W119" i="5"/>
  <c r="X90" i="5"/>
  <c r="W111" i="5"/>
  <c r="W30" i="10"/>
  <c r="W57" i="10"/>
  <c r="W114" i="10"/>
  <c r="X108" i="10"/>
  <c r="Y108" i="10"/>
  <c r="X87" i="10"/>
  <c r="X108" i="5"/>
  <c r="Y101" i="32"/>
  <c r="Y132" i="12"/>
  <c r="X159" i="12"/>
  <c r="X30" i="5"/>
  <c r="W57" i="5"/>
  <c r="Y30" i="21"/>
  <c r="X57" i="21"/>
  <c r="Y23" i="32"/>
  <c r="X50" i="32"/>
  <c r="Z80" i="32"/>
  <c r="Z108" i="10"/>
  <c r="Y114" i="10"/>
  <c r="Y87" i="10"/>
  <c r="X87" i="5"/>
  <c r="Y108" i="5"/>
  <c r="X111" i="5"/>
  <c r="Y90" i="5"/>
  <c r="Y189" i="12"/>
  <c r="Z108" i="21"/>
  <c r="AS110" i="5"/>
  <c r="AU87" i="21"/>
  <c r="X119" i="5"/>
  <c r="X30" i="10"/>
  <c r="X57" i="10"/>
  <c r="X114" i="10"/>
  <c r="Z101" i="32"/>
  <c r="Y116" i="32"/>
  <c r="Z132" i="12"/>
  <c r="Y159" i="12"/>
  <c r="Y30" i="5"/>
  <c r="X57" i="5"/>
  <c r="Y30" i="10"/>
  <c r="Y57" i="10"/>
  <c r="Z30" i="21"/>
  <c r="Y57" i="21"/>
  <c r="Z23" i="32"/>
  <c r="Y50" i="32"/>
  <c r="AA80" i="32"/>
  <c r="Z87" i="10"/>
  <c r="AA108" i="10"/>
  <c r="Z114" i="10"/>
  <c r="Z90" i="5"/>
  <c r="Y111" i="5"/>
  <c r="Y87" i="5"/>
  <c r="Z108" i="5"/>
  <c r="Z189" i="12"/>
  <c r="AA108" i="21"/>
  <c r="AT110" i="5"/>
  <c r="AV87" i="21"/>
  <c r="AA101" i="32"/>
  <c r="AA132" i="12"/>
  <c r="Z159" i="12"/>
  <c r="Z30" i="5"/>
  <c r="Y57" i="5"/>
  <c r="Z30" i="10"/>
  <c r="Z57" i="10"/>
  <c r="AA30" i="21"/>
  <c r="Z57" i="21"/>
  <c r="AA23" i="32"/>
  <c r="Z50" i="32"/>
  <c r="AB80" i="32"/>
  <c r="AB108" i="10"/>
  <c r="AA114" i="10"/>
  <c r="AA87" i="10"/>
  <c r="AA108" i="5"/>
  <c r="Z119" i="5"/>
  <c r="Z111" i="5"/>
  <c r="AA90" i="5"/>
  <c r="Z87" i="5"/>
  <c r="AA189" i="12"/>
  <c r="AB108" i="21"/>
  <c r="AU110" i="5"/>
  <c r="AW87" i="21"/>
  <c r="AB101" i="32"/>
  <c r="AB132" i="12"/>
  <c r="AA159" i="12"/>
  <c r="AA30" i="5"/>
  <c r="Z57" i="5"/>
  <c r="AA30" i="10"/>
  <c r="AA57" i="10"/>
  <c r="AB30" i="21"/>
  <c r="AA57" i="21"/>
  <c r="AB23" i="32"/>
  <c r="AA50" i="32"/>
  <c r="AC80" i="32"/>
  <c r="AB87" i="10"/>
  <c r="AB114" i="10"/>
  <c r="AC108" i="10"/>
  <c r="AB108" i="5"/>
  <c r="AB90" i="5"/>
  <c r="AA111" i="5"/>
  <c r="AA87" i="5"/>
  <c r="AB189" i="12"/>
  <c r="AC108" i="21"/>
  <c r="AV110" i="5"/>
  <c r="AC101" i="32"/>
  <c r="AB116" i="32"/>
  <c r="AC132" i="12"/>
  <c r="AB159" i="12"/>
  <c r="AB30" i="5"/>
  <c r="AA57" i="5"/>
  <c r="AB30" i="10"/>
  <c r="AB57" i="10"/>
  <c r="AC30" i="21"/>
  <c r="AB57" i="21"/>
  <c r="AC23" i="32"/>
  <c r="AB50" i="32"/>
  <c r="AD80" i="32"/>
  <c r="AD108" i="10"/>
  <c r="AC114" i="10"/>
  <c r="AC87" i="10"/>
  <c r="AB87" i="5"/>
  <c r="AB111" i="5"/>
  <c r="AC90" i="5"/>
  <c r="AB117" i="5"/>
  <c r="AC108" i="5"/>
  <c r="AB119" i="5"/>
  <c r="AC189" i="12"/>
  <c r="AD108" i="21"/>
  <c r="AW110" i="5"/>
  <c r="H30" i="32"/>
  <c r="N30" i="32"/>
  <c r="M30" i="32"/>
  <c r="L30" i="32"/>
  <c r="K30" i="32"/>
  <c r="J30" i="32"/>
  <c r="I30" i="32"/>
  <c r="AD101" i="32"/>
  <c r="AD132" i="12"/>
  <c r="AC159" i="12"/>
  <c r="AC30" i="5"/>
  <c r="AB57" i="5"/>
  <c r="AC30" i="10"/>
  <c r="AC57" i="10"/>
  <c r="AD30" i="21"/>
  <c r="AC57" i="21"/>
  <c r="AD23" i="32"/>
  <c r="AC50" i="32"/>
  <c r="AE80" i="32"/>
  <c r="AE108" i="10"/>
  <c r="AD114" i="10"/>
  <c r="AD87" i="10"/>
  <c r="AD90" i="5"/>
  <c r="AC111" i="5"/>
  <c r="AC87" i="5"/>
  <c r="AD108" i="5"/>
  <c r="AD189" i="12"/>
  <c r="AE108" i="21"/>
  <c r="AE101" i="32"/>
  <c r="AD117" i="32"/>
  <c r="AE132" i="12"/>
  <c r="AD159" i="12"/>
  <c r="AD30" i="5"/>
  <c r="AC57" i="5"/>
  <c r="AD30" i="10"/>
  <c r="AD57" i="10"/>
  <c r="AE30" i="21"/>
  <c r="AD57" i="21"/>
  <c r="AE23" i="32"/>
  <c r="AD50" i="32"/>
  <c r="AF80" i="32"/>
  <c r="AE87" i="10"/>
  <c r="AE114" i="10"/>
  <c r="AF108" i="10"/>
  <c r="AE90" i="5"/>
  <c r="AD111" i="5"/>
  <c r="AD87" i="5"/>
  <c r="AE108" i="5"/>
  <c r="AD119" i="5"/>
  <c r="AE189" i="12"/>
  <c r="AF108" i="21"/>
  <c r="AF101" i="32"/>
  <c r="AF132" i="12"/>
  <c r="AE159" i="12"/>
  <c r="AE30" i="5"/>
  <c r="AD57" i="5"/>
  <c r="AE30" i="10"/>
  <c r="AE57" i="10"/>
  <c r="AF30" i="21"/>
  <c r="AE57" i="21"/>
  <c r="AF23" i="32"/>
  <c r="AE50" i="32"/>
  <c r="AG80" i="32"/>
  <c r="AF114" i="10"/>
  <c r="AG108" i="10"/>
  <c r="AF87" i="10"/>
  <c r="AE87" i="5"/>
  <c r="AF90" i="5"/>
  <c r="AE111" i="5"/>
  <c r="AE119" i="5"/>
  <c r="AF108" i="5"/>
  <c r="AF189" i="12"/>
  <c r="AG108" i="21"/>
  <c r="AG101" i="32"/>
  <c r="AF116" i="32"/>
  <c r="AG132" i="12"/>
  <c r="AF159" i="12"/>
  <c r="AF30" i="5"/>
  <c r="AE57" i="5"/>
  <c r="AF30" i="10"/>
  <c r="AF57" i="10"/>
  <c r="AG30" i="21"/>
  <c r="AF57" i="21"/>
  <c r="AG23" i="32"/>
  <c r="AF50" i="32"/>
  <c r="AH80" i="32"/>
  <c r="AG114" i="10"/>
  <c r="AH108" i="10"/>
  <c r="AG87" i="10"/>
  <c r="AG90" i="5"/>
  <c r="AF111" i="5"/>
  <c r="AF119" i="5"/>
  <c r="AG108" i="5"/>
  <c r="AF117" i="5"/>
  <c r="AF87" i="5"/>
  <c r="AG189" i="12"/>
  <c r="AH108" i="21"/>
  <c r="AH101" i="32"/>
  <c r="AH132" i="12"/>
  <c r="AG159" i="12"/>
  <c r="AG30" i="5"/>
  <c r="AF57" i="5"/>
  <c r="AG30" i="10"/>
  <c r="AG57" i="10"/>
  <c r="AH30" i="21"/>
  <c r="AG57" i="21"/>
  <c r="AH23" i="32"/>
  <c r="AG50" i="32"/>
  <c r="AI80" i="32"/>
  <c r="AH114" i="10"/>
  <c r="AI108" i="10"/>
  <c r="AH87" i="10"/>
  <c r="AH90" i="5"/>
  <c r="AG111" i="5"/>
  <c r="AG87" i="5"/>
  <c r="AH108" i="5"/>
  <c r="AG119" i="5"/>
  <c r="AH189" i="12"/>
  <c r="AI108" i="21"/>
  <c r="AI101" i="32"/>
  <c r="AH118" i="32"/>
  <c r="AI132" i="12"/>
  <c r="AH159" i="12"/>
  <c r="AH30" i="5"/>
  <c r="AG57" i="5"/>
  <c r="AH30" i="10"/>
  <c r="AH57" i="10"/>
  <c r="AI30" i="21"/>
  <c r="AH57" i="21"/>
  <c r="AI23" i="32"/>
  <c r="AH50" i="32"/>
  <c r="AJ80" i="32"/>
  <c r="AI114" i="10"/>
  <c r="AJ108" i="10"/>
  <c r="AI87" i="10"/>
  <c r="AI108" i="5"/>
  <c r="AH119" i="5"/>
  <c r="AH87" i="5"/>
  <c r="AI90" i="5"/>
  <c r="AH111" i="5"/>
  <c r="AI189" i="12"/>
  <c r="AJ108" i="21"/>
  <c r="AJ101" i="32"/>
  <c r="AJ132" i="12"/>
  <c r="AI159" i="12"/>
  <c r="AI30" i="5"/>
  <c r="AH57" i="5"/>
  <c r="AI30" i="10"/>
  <c r="AI57" i="10"/>
  <c r="AJ30" i="21"/>
  <c r="AI57" i="21"/>
  <c r="AJ23" i="32"/>
  <c r="AI50" i="32"/>
  <c r="AK80" i="32"/>
  <c r="AJ114" i="10"/>
  <c r="AK108" i="10"/>
  <c r="AJ87" i="10"/>
  <c r="AI87" i="5"/>
  <c r="AJ108" i="5"/>
  <c r="AI119" i="5"/>
  <c r="AJ90" i="5"/>
  <c r="AI111" i="5"/>
  <c r="AJ189" i="12"/>
  <c r="AK108" i="21"/>
  <c r="AK101" i="32"/>
  <c r="AJ118" i="32"/>
  <c r="AK132" i="12"/>
  <c r="AJ159" i="12"/>
  <c r="AJ30" i="5"/>
  <c r="AI57" i="5"/>
  <c r="AJ30" i="10"/>
  <c r="AJ57" i="10"/>
  <c r="AK30" i="21"/>
  <c r="AJ57" i="21"/>
  <c r="AK23" i="32"/>
  <c r="AJ50" i="32"/>
  <c r="AL80" i="32"/>
  <c r="AL108" i="10"/>
  <c r="AK114" i="10"/>
  <c r="AK87" i="10"/>
  <c r="AK90" i="5"/>
  <c r="AJ111" i="5"/>
  <c r="AK108" i="5"/>
  <c r="AJ119" i="5"/>
  <c r="AJ87" i="5"/>
  <c r="AK189" i="12"/>
  <c r="AL108" i="21"/>
  <c r="AL101" i="32"/>
  <c r="AL132" i="12"/>
  <c r="AK159" i="12"/>
  <c r="AK30" i="5"/>
  <c r="AJ57" i="5"/>
  <c r="AK30" i="10"/>
  <c r="AK57" i="10"/>
  <c r="AL30" i="21"/>
  <c r="AK57" i="21"/>
  <c r="AL23" i="32"/>
  <c r="AK50" i="32"/>
  <c r="AM80" i="32"/>
  <c r="AL87" i="10"/>
  <c r="AM108" i="10"/>
  <c r="AL114" i="10"/>
  <c r="AL90" i="5"/>
  <c r="AK111" i="5"/>
  <c r="AK87" i="5"/>
  <c r="AL108" i="5"/>
  <c r="AK119" i="5"/>
  <c r="AL189" i="12"/>
  <c r="AM108" i="21"/>
  <c r="AM101" i="32"/>
  <c r="AL119" i="32"/>
  <c r="AM132" i="12"/>
  <c r="AL159" i="12"/>
  <c r="AL30" i="5"/>
  <c r="AK57" i="5"/>
  <c r="AL30" i="10"/>
  <c r="AL57" i="10"/>
  <c r="AM30" i="21"/>
  <c r="AL57" i="21"/>
  <c r="AM23" i="32"/>
  <c r="AL50" i="32"/>
  <c r="AN80" i="32"/>
  <c r="AM87" i="10"/>
  <c r="AN108" i="10"/>
  <c r="AM114" i="10"/>
  <c r="AL87" i="5"/>
  <c r="AM108" i="5"/>
  <c r="AL117" i="5"/>
  <c r="AM90" i="5"/>
  <c r="AL111" i="5"/>
  <c r="AM189" i="12"/>
  <c r="AN108" i="21"/>
  <c r="AN101" i="32"/>
  <c r="AN132" i="12"/>
  <c r="AM159" i="12"/>
  <c r="AM30" i="5"/>
  <c r="AL57" i="5"/>
  <c r="AM30" i="10"/>
  <c r="AM57" i="10"/>
  <c r="AN30" i="21"/>
  <c r="AM57" i="21"/>
  <c r="AN23" i="32"/>
  <c r="AM50" i="32"/>
  <c r="AO80" i="32"/>
  <c r="AO108" i="10"/>
  <c r="AN114" i="10"/>
  <c r="AN87" i="10"/>
  <c r="AM117" i="5"/>
  <c r="AN108" i="5"/>
  <c r="AM87" i="5"/>
  <c r="AN90" i="5"/>
  <c r="AM111" i="5"/>
  <c r="AN189" i="12"/>
  <c r="AO108" i="21"/>
  <c r="AO101" i="32"/>
  <c r="AO132" i="12"/>
  <c r="AN159" i="12"/>
  <c r="AN30" i="5"/>
  <c r="AM57" i="5"/>
  <c r="AN30" i="10"/>
  <c r="AN57" i="10"/>
  <c r="AO30" i="21"/>
  <c r="AN57" i="21"/>
  <c r="AO23" i="32"/>
  <c r="AN50" i="32"/>
  <c r="AP80" i="32"/>
  <c r="AO87" i="10"/>
  <c r="AP108" i="10"/>
  <c r="AO114" i="10"/>
  <c r="AN119" i="5"/>
  <c r="AO108" i="5"/>
  <c r="AN111" i="5"/>
  <c r="AO90" i="5"/>
  <c r="AN87" i="5"/>
  <c r="AO189" i="12"/>
  <c r="AP108" i="21"/>
  <c r="AP101" i="32"/>
  <c r="AP132" i="12"/>
  <c r="AO159" i="12"/>
  <c r="AO30" i="5"/>
  <c r="AN57" i="5"/>
  <c r="AO30" i="10"/>
  <c r="AO57" i="10"/>
  <c r="AP30" i="21"/>
  <c r="AO57" i="21"/>
  <c r="AP23" i="32"/>
  <c r="AO50" i="32"/>
  <c r="AQ80" i="32"/>
  <c r="AQ87" i="9"/>
  <c r="AR87" i="9" s="1"/>
  <c r="AS87" i="9" s="1"/>
  <c r="AT87" i="9" s="1"/>
  <c r="AU87" i="9" s="1"/>
  <c r="AP87" i="10"/>
  <c r="AP114" i="10"/>
  <c r="AQ108" i="10"/>
  <c r="AO87" i="5"/>
  <c r="AO111" i="5"/>
  <c r="AP90" i="5"/>
  <c r="AP108" i="5"/>
  <c r="AO119" i="5"/>
  <c r="AO117" i="5"/>
  <c r="AP189" i="12"/>
  <c r="AQ108" i="21"/>
  <c r="AQ101" i="32"/>
  <c r="AQ132" i="12"/>
  <c r="AP159" i="12"/>
  <c r="AP30" i="5"/>
  <c r="AO57" i="5"/>
  <c r="AP30" i="10"/>
  <c r="AP57" i="10"/>
  <c r="AQ30" i="21"/>
  <c r="AP57" i="21"/>
  <c r="AQ23" i="32"/>
  <c r="AP50" i="32"/>
  <c r="AR80" i="32"/>
  <c r="AQ87" i="10"/>
  <c r="AR108" i="10"/>
  <c r="AQ114" i="10"/>
  <c r="AP111" i="5"/>
  <c r="AQ90" i="5"/>
  <c r="AP119" i="5"/>
  <c r="AP117" i="5"/>
  <c r="AQ108" i="5"/>
  <c r="AP87" i="5"/>
  <c r="AQ189" i="12"/>
  <c r="AR108" i="21"/>
  <c r="AR101" i="32"/>
  <c r="AQ119" i="32"/>
  <c r="AR132" i="12"/>
  <c r="AQ159" i="12"/>
  <c r="AQ30" i="5"/>
  <c r="AP57" i="5"/>
  <c r="AQ30" i="10"/>
  <c r="AQ57" i="10"/>
  <c r="AR30" i="21"/>
  <c r="AQ57" i="21"/>
  <c r="AR23" i="32"/>
  <c r="AQ50" i="32"/>
  <c r="AS80" i="32"/>
  <c r="AR87" i="10"/>
  <c r="AR114" i="10"/>
  <c r="AS108" i="10"/>
  <c r="AQ111" i="5"/>
  <c r="AR90" i="5"/>
  <c r="AR108" i="5"/>
  <c r="AQ117" i="5"/>
  <c r="AQ119" i="5"/>
  <c r="AQ87" i="5"/>
  <c r="AR189" i="12"/>
  <c r="AS108" i="21"/>
  <c r="AS101" i="32"/>
  <c r="AS132" i="12"/>
  <c r="AR159" i="12"/>
  <c r="AR30" i="5"/>
  <c r="AQ57" i="5"/>
  <c r="AR30" i="10"/>
  <c r="AR57" i="10"/>
  <c r="AS30" i="21"/>
  <c r="AR57" i="21"/>
  <c r="AS23" i="32"/>
  <c r="AR50" i="32"/>
  <c r="AT80" i="32"/>
  <c r="AS87" i="10"/>
  <c r="AT108" i="10"/>
  <c r="AS114" i="10"/>
  <c r="AR87" i="5"/>
  <c r="AR117" i="5"/>
  <c r="AS108" i="5"/>
  <c r="AR111" i="5"/>
  <c r="AS90" i="5"/>
  <c r="AS189" i="12"/>
  <c r="AT108" i="21"/>
  <c r="AT101" i="32"/>
  <c r="AT132" i="12"/>
  <c r="AS159" i="12"/>
  <c r="AS30" i="5"/>
  <c r="AR57" i="5"/>
  <c r="AS30" i="10"/>
  <c r="AS57" i="10"/>
  <c r="AT30" i="21"/>
  <c r="AS57" i="21"/>
  <c r="AT23" i="32"/>
  <c r="AS50" i="32"/>
  <c r="AU80" i="32"/>
  <c r="AT87" i="10"/>
  <c r="AU108" i="10"/>
  <c r="AT114" i="10"/>
  <c r="AS87" i="5"/>
  <c r="AS119" i="5"/>
  <c r="AT108" i="5"/>
  <c r="AS117" i="5"/>
  <c r="AS111" i="5"/>
  <c r="AT90" i="5"/>
  <c r="AT189" i="12"/>
  <c r="AU108" i="21"/>
  <c r="AU101" i="32"/>
  <c r="AT119" i="32"/>
  <c r="AU132" i="12"/>
  <c r="AT159" i="12"/>
  <c r="AT30" i="5"/>
  <c r="AS57" i="5"/>
  <c r="AT30" i="10"/>
  <c r="AT57" i="10"/>
  <c r="AU30" i="21"/>
  <c r="AT57" i="21"/>
  <c r="AU23" i="32"/>
  <c r="AT50" i="32"/>
  <c r="AV80" i="32"/>
  <c r="AV87" i="9"/>
  <c r="AU114" i="10"/>
  <c r="AV108" i="10"/>
  <c r="AU87" i="10"/>
  <c r="AU90" i="5"/>
  <c r="AT111" i="5"/>
  <c r="AT117" i="5"/>
  <c r="AU108" i="5"/>
  <c r="AT87" i="5"/>
  <c r="AU189" i="12"/>
  <c r="AV108" i="21"/>
  <c r="AV101" i="32"/>
  <c r="AU117" i="32"/>
  <c r="AV132" i="12"/>
  <c r="AU159" i="12"/>
  <c r="AU30" i="5"/>
  <c r="AT57" i="5"/>
  <c r="AU30" i="10"/>
  <c r="AU57" i="10"/>
  <c r="AV30" i="21"/>
  <c r="AU57" i="21"/>
  <c r="AV23" i="32"/>
  <c r="AU50" i="32"/>
  <c r="AW80" i="32"/>
  <c r="AW87" i="9"/>
  <c r="AV87" i="10"/>
  <c r="AW108" i="10"/>
  <c r="AW114" i="10"/>
  <c r="AV114" i="10"/>
  <c r="AU119" i="5"/>
  <c r="AV108" i="5"/>
  <c r="AU87" i="5"/>
  <c r="AU111" i="5"/>
  <c r="AV90" i="5"/>
  <c r="AV189" i="12"/>
  <c r="AW108" i="21"/>
  <c r="AW101" i="32"/>
  <c r="AV117" i="32"/>
  <c r="AW132" i="12"/>
  <c r="AV159" i="12"/>
  <c r="AV30" i="5"/>
  <c r="AU57" i="5"/>
  <c r="AV30" i="10"/>
  <c r="AV57" i="10"/>
  <c r="AW30" i="21"/>
  <c r="AW57" i="21"/>
  <c r="AV57" i="21"/>
  <c r="AW23" i="32"/>
  <c r="AW50" i="32"/>
  <c r="AV50" i="32"/>
  <c r="AW87" i="10"/>
  <c r="AW108" i="5"/>
  <c r="AV117" i="5"/>
  <c r="AW90" i="5"/>
  <c r="AW111" i="5"/>
  <c r="AV111" i="5"/>
  <c r="AV87" i="5"/>
  <c r="AW189" i="12"/>
  <c r="AW118" i="32"/>
  <c r="AX132" i="12"/>
  <c r="AX159" i="12"/>
  <c r="AW159" i="12"/>
  <c r="AW30" i="5"/>
  <c r="AW57" i="5"/>
  <c r="AV57" i="5"/>
  <c r="AW30" i="10"/>
  <c r="AW57" i="10"/>
  <c r="AX108" i="5"/>
  <c r="AW87" i="5"/>
  <c r="AW119" i="5"/>
  <c r="AX189" i="12"/>
  <c r="I132" i="36" l="1"/>
  <c r="H160" i="36"/>
  <c r="O8" i="51"/>
  <c r="P8" i="51"/>
  <c r="Q8" i="51"/>
  <c r="R8" i="51"/>
  <c r="E8" i="51"/>
  <c r="S8" i="51"/>
  <c r="F8" i="51"/>
  <c r="T8" i="51"/>
  <c r="G8" i="51"/>
  <c r="H8" i="51"/>
  <c r="I8" i="51"/>
  <c r="J8" i="51"/>
  <c r="K8" i="51"/>
  <c r="L8" i="51"/>
  <c r="M8" i="51"/>
  <c r="N8" i="51"/>
  <c r="O3" i="51"/>
  <c r="P17" i="51"/>
  <c r="H16" i="51"/>
  <c r="N15" i="51"/>
  <c r="T14" i="51"/>
  <c r="F14" i="51"/>
  <c r="L13" i="51"/>
  <c r="R12" i="51"/>
  <c r="J11" i="51"/>
  <c r="P10" i="51"/>
  <c r="H9" i="51"/>
  <c r="T7" i="51"/>
  <c r="F7" i="51"/>
  <c r="L6" i="51"/>
  <c r="J4" i="51"/>
  <c r="C91" i="37"/>
  <c r="J89" i="37"/>
  <c r="L87" i="37"/>
  <c r="N3" i="51"/>
  <c r="O17" i="51"/>
  <c r="M15" i="51"/>
  <c r="I11" i="51"/>
  <c r="O10" i="51"/>
  <c r="C90" i="37"/>
  <c r="J88" i="37"/>
  <c r="K87" i="37"/>
  <c r="L86" i="37"/>
  <c r="M3" i="51"/>
  <c r="K89" i="37" s="1"/>
  <c r="N17" i="51"/>
  <c r="T16" i="51"/>
  <c r="F16" i="51"/>
  <c r="L15" i="51"/>
  <c r="J13" i="51"/>
  <c r="P12" i="51"/>
  <c r="H11" i="51"/>
  <c r="N10" i="51"/>
  <c r="T9" i="51"/>
  <c r="F9" i="51"/>
  <c r="J6" i="51"/>
  <c r="H91" i="37" s="1"/>
  <c r="H4" i="51"/>
  <c r="F91" i="37"/>
  <c r="I88" i="37"/>
  <c r="J87" i="37"/>
  <c r="L3" i="51"/>
  <c r="M17" i="51"/>
  <c r="S16" i="51"/>
  <c r="E16" i="51"/>
  <c r="K15" i="51"/>
  <c r="I13" i="51"/>
  <c r="O12" i="51"/>
  <c r="G11" i="51"/>
  <c r="M10" i="51"/>
  <c r="S9" i="51"/>
  <c r="E9" i="51"/>
  <c r="I6" i="51"/>
  <c r="G91" i="37" s="1"/>
  <c r="G4" i="51"/>
  <c r="E88" i="37" s="1"/>
  <c r="C88" i="37"/>
  <c r="E91" i="37"/>
  <c r="G89" i="37"/>
  <c r="H88" i="37"/>
  <c r="I87" i="37"/>
  <c r="K3" i="51"/>
  <c r="I89" i="37" s="1"/>
  <c r="L17" i="51"/>
  <c r="R16" i="51"/>
  <c r="J15" i="51"/>
  <c r="H13" i="51"/>
  <c r="N12" i="51"/>
  <c r="T11" i="51"/>
  <c r="F11" i="51"/>
  <c r="L10" i="51"/>
  <c r="R9" i="51"/>
  <c r="H6" i="51"/>
  <c r="T4" i="51"/>
  <c r="F4" i="51"/>
  <c r="G88" i="37"/>
  <c r="H87" i="37"/>
  <c r="J3" i="51"/>
  <c r="H89" i="37" s="1"/>
  <c r="K17" i="51"/>
  <c r="I15" i="51"/>
  <c r="O14" i="51"/>
  <c r="G13" i="51"/>
  <c r="M12" i="51"/>
  <c r="S11" i="51"/>
  <c r="E11" i="51"/>
  <c r="K10" i="51"/>
  <c r="Q91" i="37"/>
  <c r="E89" i="37"/>
  <c r="F88" i="37"/>
  <c r="H86" i="37"/>
  <c r="R39" i="46"/>
  <c r="I38" i="46"/>
  <c r="T56" i="44"/>
  <c r="B8" i="44"/>
  <c r="I29" i="41"/>
  <c r="G29" i="38"/>
  <c r="R26" i="41"/>
  <c r="P50" i="44"/>
  <c r="G29" i="43"/>
  <c r="P15" i="43"/>
  <c r="P26" i="38"/>
  <c r="I3" i="51"/>
  <c r="J17" i="51"/>
  <c r="H15" i="51"/>
  <c r="N14" i="51"/>
  <c r="T13" i="51"/>
  <c r="F13" i="51"/>
  <c r="L12" i="51"/>
  <c r="R11" i="51"/>
  <c r="J10" i="51"/>
  <c r="P9" i="51"/>
  <c r="N86" i="37" s="1"/>
  <c r="N7" i="51"/>
  <c r="T6" i="51"/>
  <c r="R91" i="37" s="1"/>
  <c r="F6" i="51"/>
  <c r="D91" i="37" s="1"/>
  <c r="P91" i="37"/>
  <c r="D89" i="37"/>
  <c r="F87" i="37"/>
  <c r="G86" i="37"/>
  <c r="H3" i="51"/>
  <c r="F89" i="37" s="1"/>
  <c r="I17" i="51"/>
  <c r="I10" i="51"/>
  <c r="O9" i="51"/>
  <c r="M86" i="37" s="1"/>
  <c r="O91" i="37"/>
  <c r="R88" i="37"/>
  <c r="D88" i="37"/>
  <c r="E87" i="37"/>
  <c r="F86" i="37"/>
  <c r="G3" i="51"/>
  <c r="H17" i="51"/>
  <c r="N16" i="51"/>
  <c r="T15" i="51"/>
  <c r="F15" i="51"/>
  <c r="L14" i="51"/>
  <c r="R13" i="51"/>
  <c r="J12" i="51"/>
  <c r="P11" i="51"/>
  <c r="H10" i="51"/>
  <c r="N91" i="37"/>
  <c r="Q88" i="37"/>
  <c r="R87" i="37"/>
  <c r="D87" i="37"/>
  <c r="E86" i="37"/>
  <c r="T3" i="51"/>
  <c r="R89" i="37" s="1"/>
  <c r="F3" i="51"/>
  <c r="G17" i="51"/>
  <c r="M16" i="51"/>
  <c r="S15" i="51"/>
  <c r="E15" i="51"/>
  <c r="K14" i="51"/>
  <c r="Q13" i="51"/>
  <c r="I12" i="51"/>
  <c r="O11" i="51"/>
  <c r="G10" i="51"/>
  <c r="M9" i="51"/>
  <c r="K86" i="37" s="1"/>
  <c r="O4" i="51"/>
  <c r="M88" i="37" s="1"/>
  <c r="P88" i="37"/>
  <c r="Q87" i="37"/>
  <c r="R86" i="37"/>
  <c r="D86" i="37"/>
  <c r="S3" i="51"/>
  <c r="Q89" i="37" s="1"/>
  <c r="T17" i="51"/>
  <c r="F17" i="51"/>
  <c r="R15" i="51"/>
  <c r="H12" i="51"/>
  <c r="N11" i="51"/>
  <c r="T10" i="51"/>
  <c r="F10" i="51"/>
  <c r="L9" i="51"/>
  <c r="J86" i="37" s="1"/>
  <c r="N4" i="51"/>
  <c r="L88" i="37" s="1"/>
  <c r="L91" i="37"/>
  <c r="N89" i="37"/>
  <c r="O88" i="37"/>
  <c r="P87" i="37"/>
  <c r="Q86" i="37"/>
  <c r="C86" i="37"/>
  <c r="R3" i="51"/>
  <c r="P89" i="37" s="1"/>
  <c r="S17" i="51"/>
  <c r="E17" i="51"/>
  <c r="I14" i="51"/>
  <c r="O13" i="51"/>
  <c r="G12" i="51"/>
  <c r="M11" i="51"/>
  <c r="S10" i="51"/>
  <c r="E10" i="51"/>
  <c r="K9" i="51"/>
  <c r="I86" i="37" s="1"/>
  <c r="I7" i="51"/>
  <c r="G87" i="37" s="1"/>
  <c r="O6" i="51"/>
  <c r="M91" i="37" s="1"/>
  <c r="M4" i="51"/>
  <c r="K88" i="37" s="1"/>
  <c r="E3" i="51"/>
  <c r="C89" i="37" s="1"/>
  <c r="K91" i="37"/>
  <c r="M89" i="37"/>
  <c r="N88" i="37"/>
  <c r="O87" i="37"/>
  <c r="P86" i="37"/>
  <c r="C87" i="37"/>
  <c r="Q3" i="51"/>
  <c r="O89" i="37" s="1"/>
  <c r="P15" i="51"/>
  <c r="T12" i="51"/>
  <c r="F12" i="51"/>
  <c r="L11" i="51"/>
  <c r="F5" i="51"/>
  <c r="D90" i="37" s="1"/>
  <c r="J91" i="37"/>
  <c r="L89" i="37"/>
  <c r="N87" i="37"/>
  <c r="O86" i="37"/>
  <c r="S12" i="51"/>
  <c r="I91" i="37"/>
  <c r="M87" i="37"/>
  <c r="K43" i="46"/>
  <c r="H40" i="46"/>
  <c r="K37" i="46"/>
  <c r="K34" i="46"/>
  <c r="K31" i="46"/>
  <c r="H28" i="46"/>
  <c r="I25" i="46"/>
  <c r="F22" i="46"/>
  <c r="I40" i="38"/>
  <c r="K37" i="38"/>
  <c r="K34" i="38"/>
  <c r="P31" i="38"/>
  <c r="G25" i="38"/>
  <c r="L22" i="38"/>
  <c r="I39" i="38"/>
  <c r="O33" i="38"/>
  <c r="K30" i="38"/>
  <c r="L54" i="44"/>
  <c r="P51" i="44"/>
  <c r="G48" i="44"/>
  <c r="P28" i="43"/>
  <c r="K25" i="43"/>
  <c r="H31" i="41"/>
  <c r="K28" i="41"/>
  <c r="G36" i="41"/>
  <c r="M33" i="41"/>
  <c r="C45" i="44"/>
  <c r="C12" i="42"/>
  <c r="C10" i="42"/>
  <c r="C14" i="44"/>
  <c r="E3" i="41"/>
  <c r="E3" i="42" s="1"/>
  <c r="C9" i="43"/>
  <c r="C32" i="44"/>
  <c r="C5" i="47"/>
  <c r="G5" i="47" s="1"/>
  <c r="C25" i="43"/>
  <c r="C48" i="44"/>
  <c r="C41" i="44"/>
  <c r="C17" i="44"/>
  <c r="G12" i="47"/>
  <c r="J12" i="47"/>
  <c r="M12" i="47"/>
  <c r="P12" i="47"/>
  <c r="S12" i="47"/>
  <c r="F12" i="47"/>
  <c r="K12" i="47"/>
  <c r="O12" i="47"/>
  <c r="T12" i="47"/>
  <c r="H12" i="47"/>
  <c r="L12" i="47"/>
  <c r="Q12" i="47"/>
  <c r="I12" i="47"/>
  <c r="N12" i="47"/>
  <c r="E12" i="47"/>
  <c r="R12" i="47"/>
  <c r="C36" i="48"/>
  <c r="C36" i="40"/>
  <c r="H31" i="44"/>
  <c r="H31" i="45" s="1"/>
  <c r="H31" i="48" s="1"/>
  <c r="C31" i="40"/>
  <c r="C28" i="46"/>
  <c r="G36" i="47"/>
  <c r="J36" i="47"/>
  <c r="M36" i="47"/>
  <c r="P36" i="47"/>
  <c r="S36" i="47"/>
  <c r="F36" i="47"/>
  <c r="K36" i="47"/>
  <c r="O36" i="47"/>
  <c r="T36" i="47"/>
  <c r="H36" i="47"/>
  <c r="L36" i="47"/>
  <c r="Q36" i="47"/>
  <c r="E36" i="47"/>
  <c r="I36" i="47"/>
  <c r="N36" i="47"/>
  <c r="R36" i="47"/>
  <c r="F34" i="47"/>
  <c r="I34" i="47"/>
  <c r="L34" i="47"/>
  <c r="O34" i="47"/>
  <c r="R34" i="47"/>
  <c r="G34" i="47"/>
  <c r="K34" i="47"/>
  <c r="P34" i="47"/>
  <c r="T34" i="47"/>
  <c r="H34" i="47"/>
  <c r="M34" i="47"/>
  <c r="Q34" i="47"/>
  <c r="E34" i="47"/>
  <c r="J34" i="47"/>
  <c r="N34" i="47"/>
  <c r="S34" i="47"/>
  <c r="F31" i="47"/>
  <c r="I31" i="47"/>
  <c r="H31" i="47"/>
  <c r="L31" i="47"/>
  <c r="O31" i="47"/>
  <c r="R31" i="47"/>
  <c r="J31" i="47"/>
  <c r="N31" i="47"/>
  <c r="S31" i="47"/>
  <c r="E31" i="47"/>
  <c r="K31" i="47"/>
  <c r="P31" i="47"/>
  <c r="T31" i="47"/>
  <c r="G31" i="47"/>
  <c r="M31" i="47"/>
  <c r="Q31" i="47"/>
  <c r="E23" i="47"/>
  <c r="H23" i="47"/>
  <c r="K23" i="47"/>
  <c r="N23" i="47"/>
  <c r="Q23" i="47"/>
  <c r="T23" i="47"/>
  <c r="F23" i="47"/>
  <c r="J23" i="47"/>
  <c r="O23" i="47"/>
  <c r="S23" i="47"/>
  <c r="G23" i="47"/>
  <c r="L23" i="47"/>
  <c r="P23" i="47"/>
  <c r="I23" i="47"/>
  <c r="M23" i="47"/>
  <c r="R23" i="47"/>
  <c r="G21" i="47"/>
  <c r="J21" i="47"/>
  <c r="M21" i="47"/>
  <c r="P21" i="47"/>
  <c r="S21" i="47"/>
  <c r="F21" i="47"/>
  <c r="K21" i="47"/>
  <c r="O21" i="47"/>
  <c r="T21" i="47"/>
  <c r="H21" i="47"/>
  <c r="L21" i="47"/>
  <c r="Q21" i="47"/>
  <c r="N21" i="47"/>
  <c r="E21" i="47"/>
  <c r="R21" i="47"/>
  <c r="I21" i="47"/>
  <c r="G18" i="47"/>
  <c r="J18" i="47"/>
  <c r="M18" i="47"/>
  <c r="P18" i="47"/>
  <c r="S18" i="47"/>
  <c r="E18" i="47"/>
  <c r="I18" i="47"/>
  <c r="N18" i="47"/>
  <c r="R18" i="47"/>
  <c r="F18" i="47"/>
  <c r="K18" i="47"/>
  <c r="O18" i="47"/>
  <c r="T18" i="47"/>
  <c r="H18" i="47"/>
  <c r="L18" i="47"/>
  <c r="Q18" i="47"/>
  <c r="G15" i="47"/>
  <c r="J15" i="47"/>
  <c r="M15" i="47"/>
  <c r="P15" i="47"/>
  <c r="S15" i="47"/>
  <c r="H15" i="47"/>
  <c r="L15" i="47"/>
  <c r="Q15" i="47"/>
  <c r="E15" i="47"/>
  <c r="I15" i="47"/>
  <c r="N15" i="47"/>
  <c r="R15" i="47"/>
  <c r="O15" i="47"/>
  <c r="F15" i="47"/>
  <c r="T15" i="47"/>
  <c r="K15" i="47"/>
  <c r="C7" i="40"/>
  <c r="E4" i="47"/>
  <c r="H4" i="47"/>
  <c r="K4" i="47"/>
  <c r="N4" i="47"/>
  <c r="Q4" i="47"/>
  <c r="T4" i="47"/>
  <c r="G4" i="47"/>
  <c r="L4" i="47"/>
  <c r="P4" i="47"/>
  <c r="I4" i="47"/>
  <c r="M4" i="47"/>
  <c r="R4" i="47"/>
  <c r="O4" i="47"/>
  <c r="F4" i="47"/>
  <c r="S4" i="47"/>
  <c r="J4" i="47"/>
  <c r="C5" i="41"/>
  <c r="C35" i="46"/>
  <c r="C35" i="40"/>
  <c r="C27" i="38"/>
  <c r="C27" i="40"/>
  <c r="C25" i="47"/>
  <c r="C25" i="40"/>
  <c r="F37" i="47"/>
  <c r="I37" i="47"/>
  <c r="L37" i="47"/>
  <c r="O37" i="47"/>
  <c r="R37" i="47"/>
  <c r="H37" i="47"/>
  <c r="M37" i="47"/>
  <c r="Q37" i="47"/>
  <c r="E37" i="47"/>
  <c r="J37" i="47"/>
  <c r="N37" i="47"/>
  <c r="S37" i="47"/>
  <c r="G37" i="47"/>
  <c r="K37" i="47"/>
  <c r="P37" i="47"/>
  <c r="T37" i="47"/>
  <c r="E35" i="47"/>
  <c r="H35" i="47"/>
  <c r="K35" i="47"/>
  <c r="N35" i="47"/>
  <c r="Q35" i="47"/>
  <c r="T35" i="47"/>
  <c r="I35" i="47"/>
  <c r="M35" i="47"/>
  <c r="R35" i="47"/>
  <c r="F35" i="47"/>
  <c r="J35" i="47"/>
  <c r="O35" i="47"/>
  <c r="S35" i="47"/>
  <c r="G35" i="47"/>
  <c r="L35" i="47"/>
  <c r="P35" i="47"/>
  <c r="G33" i="47"/>
  <c r="J33" i="47"/>
  <c r="M33" i="47"/>
  <c r="P33" i="47"/>
  <c r="S33" i="47"/>
  <c r="E33" i="47"/>
  <c r="I33" i="47"/>
  <c r="N33" i="47"/>
  <c r="R33" i="47"/>
  <c r="F33" i="47"/>
  <c r="K33" i="47"/>
  <c r="O33" i="47"/>
  <c r="T33" i="47"/>
  <c r="H33" i="47"/>
  <c r="L33" i="47"/>
  <c r="Q33" i="47"/>
  <c r="G30" i="47"/>
  <c r="J30" i="47"/>
  <c r="M30" i="47"/>
  <c r="P30" i="47"/>
  <c r="S30" i="47"/>
  <c r="F30" i="47"/>
  <c r="K30" i="47"/>
  <c r="O30" i="47"/>
  <c r="T30" i="47"/>
  <c r="E30" i="47"/>
  <c r="L30" i="47"/>
  <c r="R30" i="47"/>
  <c r="H30" i="47"/>
  <c r="N30" i="47"/>
  <c r="I30" i="47"/>
  <c r="Q30" i="47"/>
  <c r="F28" i="47"/>
  <c r="I28" i="47"/>
  <c r="L28" i="47"/>
  <c r="O28" i="47"/>
  <c r="R28" i="47"/>
  <c r="G28" i="47"/>
  <c r="K28" i="47"/>
  <c r="P28" i="47"/>
  <c r="T28" i="47"/>
  <c r="J28" i="47"/>
  <c r="Q28" i="47"/>
  <c r="E28" i="47"/>
  <c r="M28" i="47"/>
  <c r="S28" i="47"/>
  <c r="H28" i="47"/>
  <c r="N28" i="47"/>
  <c r="F25" i="47"/>
  <c r="I25" i="47"/>
  <c r="L25" i="47"/>
  <c r="O25" i="47"/>
  <c r="R25" i="47"/>
  <c r="E25" i="47"/>
  <c r="J25" i="47"/>
  <c r="N25" i="47"/>
  <c r="S25" i="47"/>
  <c r="K25" i="47"/>
  <c r="Q25" i="47"/>
  <c r="G25" i="47"/>
  <c r="M25" i="47"/>
  <c r="T25" i="47"/>
  <c r="H25" i="47"/>
  <c r="P25" i="47"/>
  <c r="F22" i="47"/>
  <c r="I22" i="47"/>
  <c r="L22" i="47"/>
  <c r="O22" i="47"/>
  <c r="R22" i="47"/>
  <c r="H22" i="47"/>
  <c r="M22" i="47"/>
  <c r="Q22" i="47"/>
  <c r="E22" i="47"/>
  <c r="J22" i="47"/>
  <c r="N22" i="47"/>
  <c r="S22" i="47"/>
  <c r="K22" i="47"/>
  <c r="P22" i="47"/>
  <c r="G22" i="47"/>
  <c r="T22" i="47"/>
  <c r="E20" i="47"/>
  <c r="H20" i="47"/>
  <c r="K20" i="47"/>
  <c r="N20" i="47"/>
  <c r="Q20" i="47"/>
  <c r="T20" i="47"/>
  <c r="I20" i="47"/>
  <c r="M20" i="47"/>
  <c r="R20" i="47"/>
  <c r="F20" i="47"/>
  <c r="J20" i="47"/>
  <c r="O20" i="47"/>
  <c r="S20" i="47"/>
  <c r="P20" i="47"/>
  <c r="G20" i="47"/>
  <c r="L20" i="47"/>
  <c r="E17" i="47"/>
  <c r="H17" i="47"/>
  <c r="K17" i="47"/>
  <c r="N17" i="47"/>
  <c r="Q17" i="47"/>
  <c r="T17" i="47"/>
  <c r="G17" i="47"/>
  <c r="L17" i="47"/>
  <c r="P17" i="47"/>
  <c r="I17" i="47"/>
  <c r="M17" i="47"/>
  <c r="R17" i="47"/>
  <c r="J17" i="47"/>
  <c r="O17" i="47"/>
  <c r="F17" i="47"/>
  <c r="S17" i="47"/>
  <c r="E11" i="47"/>
  <c r="H11" i="47"/>
  <c r="K11" i="47"/>
  <c r="N11" i="47"/>
  <c r="Q11" i="47"/>
  <c r="T11" i="47"/>
  <c r="I11" i="47"/>
  <c r="M11" i="47"/>
  <c r="R11" i="47"/>
  <c r="F11" i="47"/>
  <c r="J11" i="47"/>
  <c r="O11" i="47"/>
  <c r="S11" i="47"/>
  <c r="L11" i="47"/>
  <c r="P11" i="47"/>
  <c r="G11" i="47"/>
  <c r="G9" i="47"/>
  <c r="J9" i="47"/>
  <c r="M9" i="47"/>
  <c r="P9" i="47"/>
  <c r="S9" i="47"/>
  <c r="E9" i="47"/>
  <c r="I9" i="47"/>
  <c r="N9" i="47"/>
  <c r="R9" i="47"/>
  <c r="F9" i="47"/>
  <c r="K9" i="47"/>
  <c r="O9" i="47"/>
  <c r="T9" i="47"/>
  <c r="Q9" i="47"/>
  <c r="H9" i="47"/>
  <c r="L9" i="47"/>
  <c r="C8" i="44"/>
  <c r="C8" i="40"/>
  <c r="F7" i="47"/>
  <c r="I7" i="47"/>
  <c r="L7" i="47"/>
  <c r="O7" i="47"/>
  <c r="R7" i="47"/>
  <c r="E7" i="47"/>
  <c r="J7" i="47"/>
  <c r="N7" i="47"/>
  <c r="S7" i="47"/>
  <c r="G7" i="47"/>
  <c r="K7" i="47"/>
  <c r="P7" i="47"/>
  <c r="T7" i="47"/>
  <c r="H7" i="47"/>
  <c r="M7" i="47"/>
  <c r="Q7" i="47"/>
  <c r="C23" i="42"/>
  <c r="C20" i="42"/>
  <c r="C10" i="43"/>
  <c r="C54" i="44"/>
  <c r="J26" i="44"/>
  <c r="C26" i="40"/>
  <c r="C24" i="44"/>
  <c r="C22" i="44"/>
  <c r="C20" i="44"/>
  <c r="C9" i="44"/>
  <c r="O9" i="44" s="1"/>
  <c r="C9" i="40"/>
  <c r="E32" i="47"/>
  <c r="H32" i="47"/>
  <c r="K32" i="47"/>
  <c r="N32" i="47"/>
  <c r="Q32" i="47"/>
  <c r="T32" i="47"/>
  <c r="G32" i="47"/>
  <c r="L32" i="47"/>
  <c r="P32" i="47"/>
  <c r="I32" i="47"/>
  <c r="M32" i="47"/>
  <c r="R32" i="47"/>
  <c r="F32" i="47"/>
  <c r="J32" i="47"/>
  <c r="O32" i="47"/>
  <c r="S32" i="47"/>
  <c r="E29" i="47"/>
  <c r="H29" i="47"/>
  <c r="K29" i="47"/>
  <c r="N29" i="47"/>
  <c r="Q29" i="47"/>
  <c r="T29" i="47"/>
  <c r="I29" i="47"/>
  <c r="M29" i="47"/>
  <c r="R29" i="47"/>
  <c r="G29" i="47"/>
  <c r="O29" i="47"/>
  <c r="J29" i="47"/>
  <c r="P29" i="47"/>
  <c r="F29" i="47"/>
  <c r="L29" i="47"/>
  <c r="S29" i="47"/>
  <c r="G27" i="47"/>
  <c r="J27" i="47"/>
  <c r="M27" i="47"/>
  <c r="P27" i="47"/>
  <c r="S27" i="47"/>
  <c r="E27" i="47"/>
  <c r="I27" i="47"/>
  <c r="N27" i="47"/>
  <c r="R27" i="47"/>
  <c r="F27" i="47"/>
  <c r="L27" i="47"/>
  <c r="T27" i="47"/>
  <c r="H27" i="47"/>
  <c r="O27" i="47"/>
  <c r="K27" i="47"/>
  <c r="Q27" i="47"/>
  <c r="G24" i="47"/>
  <c r="J24" i="47"/>
  <c r="M24" i="47"/>
  <c r="P24" i="47"/>
  <c r="S24" i="47"/>
  <c r="H24" i="47"/>
  <c r="L24" i="47"/>
  <c r="Q24" i="47"/>
  <c r="E24" i="47"/>
  <c r="F24" i="47"/>
  <c r="N24" i="47"/>
  <c r="T24" i="47"/>
  <c r="I24" i="47"/>
  <c r="O24" i="47"/>
  <c r="K24" i="47"/>
  <c r="R24" i="47"/>
  <c r="F16" i="47"/>
  <c r="I16" i="47"/>
  <c r="L16" i="47"/>
  <c r="O16" i="47"/>
  <c r="R16" i="47"/>
  <c r="E16" i="47"/>
  <c r="J16" i="47"/>
  <c r="N16" i="47"/>
  <c r="S16" i="47"/>
  <c r="G16" i="47"/>
  <c r="K16" i="47"/>
  <c r="P16" i="47"/>
  <c r="T16" i="47"/>
  <c r="M16" i="47"/>
  <c r="Q16" i="47"/>
  <c r="H16" i="47"/>
  <c r="F13" i="47"/>
  <c r="I13" i="47"/>
  <c r="L13" i="47"/>
  <c r="O13" i="47"/>
  <c r="R13" i="47"/>
  <c r="H13" i="47"/>
  <c r="M13" i="47"/>
  <c r="Q13" i="47"/>
  <c r="E13" i="47"/>
  <c r="J13" i="47"/>
  <c r="N13" i="47"/>
  <c r="S13" i="47"/>
  <c r="G13" i="47"/>
  <c r="T13" i="47"/>
  <c r="K13" i="47"/>
  <c r="P13" i="47"/>
  <c r="F10" i="47"/>
  <c r="I10" i="47"/>
  <c r="L10" i="47"/>
  <c r="O10" i="47"/>
  <c r="R10" i="47"/>
  <c r="G10" i="47"/>
  <c r="K10" i="47"/>
  <c r="P10" i="47"/>
  <c r="T10" i="47"/>
  <c r="H10" i="47"/>
  <c r="M10" i="47"/>
  <c r="Q10" i="47"/>
  <c r="N10" i="47"/>
  <c r="E10" i="47"/>
  <c r="S10" i="47"/>
  <c r="J10" i="47"/>
  <c r="S26" i="47"/>
  <c r="M26" i="47"/>
  <c r="F26" i="47"/>
  <c r="N19" i="47"/>
  <c r="M14" i="47"/>
  <c r="R26" i="47"/>
  <c r="E26" i="47"/>
  <c r="H26" i="47"/>
  <c r="K26" i="47"/>
  <c r="N26" i="47"/>
  <c r="Q26" i="47"/>
  <c r="T26" i="47"/>
  <c r="G26" i="47"/>
  <c r="L26" i="47"/>
  <c r="P26" i="47"/>
  <c r="F19" i="47"/>
  <c r="I19" i="47"/>
  <c r="L19" i="47"/>
  <c r="O19" i="47"/>
  <c r="R19" i="47"/>
  <c r="G19" i="47"/>
  <c r="K19" i="47"/>
  <c r="P19" i="47"/>
  <c r="T19" i="47"/>
  <c r="H19" i="47"/>
  <c r="M19" i="47"/>
  <c r="Q19" i="47"/>
  <c r="E14" i="47"/>
  <c r="H14" i="47"/>
  <c r="K14" i="47"/>
  <c r="N14" i="47"/>
  <c r="Q14" i="47"/>
  <c r="T14" i="47"/>
  <c r="F14" i="47"/>
  <c r="J14" i="47"/>
  <c r="O14" i="47"/>
  <c r="S14" i="47"/>
  <c r="G14" i="47"/>
  <c r="L14" i="47"/>
  <c r="P14" i="47"/>
  <c r="O26" i="47"/>
  <c r="I26" i="47"/>
  <c r="S19" i="47"/>
  <c r="E19" i="47"/>
  <c r="R14" i="47"/>
  <c r="C12" i="49"/>
  <c r="C12" i="40"/>
  <c r="H11" i="44"/>
  <c r="C11" i="40"/>
  <c r="L125" i="16"/>
  <c r="L120" i="16"/>
  <c r="L146" i="16" s="1"/>
  <c r="L147" i="16"/>
  <c r="L123" i="16"/>
  <c r="C7" i="38"/>
  <c r="C7" i="46"/>
  <c r="C7" i="47"/>
  <c r="C7" i="49"/>
  <c r="C27" i="47"/>
  <c r="C4" i="42"/>
  <c r="C17" i="42"/>
  <c r="H27" i="41"/>
  <c r="H11" i="43"/>
  <c r="C11" i="43"/>
  <c r="C55" i="44"/>
  <c r="F55" i="44"/>
  <c r="C46" i="44"/>
  <c r="L46" i="44"/>
  <c r="N42" i="44"/>
  <c r="C42" i="46"/>
  <c r="C23" i="38"/>
  <c r="P23" i="44"/>
  <c r="P21" i="44"/>
  <c r="C21" i="44"/>
  <c r="C6" i="41"/>
  <c r="K37" i="41"/>
  <c r="E24" i="41"/>
  <c r="E24" i="42" s="1"/>
  <c r="E22" i="43"/>
  <c r="C22" i="43"/>
  <c r="C52" i="44"/>
  <c r="N52" i="44"/>
  <c r="C43" i="44"/>
  <c r="Q43" i="44"/>
  <c r="C30" i="38"/>
  <c r="G30" i="44"/>
  <c r="C24" i="47"/>
  <c r="I24" i="44"/>
  <c r="P18" i="44"/>
  <c r="C18" i="44"/>
  <c r="E5" i="43"/>
  <c r="C5" i="44"/>
  <c r="C6" i="42"/>
  <c r="C15" i="42"/>
  <c r="C11" i="42"/>
  <c r="I34" i="41"/>
  <c r="H30" i="41"/>
  <c r="C28" i="43"/>
  <c r="C51" i="44"/>
  <c r="C49" i="44"/>
  <c r="H49" i="44"/>
  <c r="C42" i="44"/>
  <c r="C38" i="38"/>
  <c r="C38" i="44"/>
  <c r="C35" i="44"/>
  <c r="C26" i="44"/>
  <c r="C25" i="46"/>
  <c r="I25" i="44"/>
  <c r="C23" i="44"/>
  <c r="F22" i="44"/>
  <c r="C22" i="38"/>
  <c r="P15" i="44"/>
  <c r="P15" i="45" s="1"/>
  <c r="P15" i="48" s="1"/>
  <c r="C15" i="44"/>
  <c r="J10" i="44"/>
  <c r="C10" i="44"/>
  <c r="C26" i="46"/>
  <c r="C4" i="46"/>
  <c r="E4" i="46" s="1"/>
  <c r="C4" i="47"/>
  <c r="C4" i="49"/>
  <c r="F4" i="49" s="1"/>
  <c r="C6" i="48"/>
  <c r="C39" i="46"/>
  <c r="C39" i="48"/>
  <c r="C37" i="46"/>
  <c r="C37" i="38"/>
  <c r="C37" i="48"/>
  <c r="C34" i="47"/>
  <c r="C34" i="48"/>
  <c r="C33" i="38"/>
  <c r="C33" i="48"/>
  <c r="J29" i="44"/>
  <c r="C29" i="47"/>
  <c r="C29" i="46"/>
  <c r="C29" i="45"/>
  <c r="C29" i="48"/>
  <c r="C40" i="38"/>
  <c r="C39" i="38"/>
  <c r="C36" i="38"/>
  <c r="C44" i="46"/>
  <c r="C34" i="46"/>
  <c r="C33" i="47"/>
  <c r="C4" i="48"/>
  <c r="C6" i="44"/>
  <c r="C6" i="46"/>
  <c r="H6" i="46" s="1"/>
  <c r="C6" i="49"/>
  <c r="C6" i="38"/>
  <c r="C4" i="40"/>
  <c r="C29" i="43"/>
  <c r="C26" i="43"/>
  <c r="C23" i="43"/>
  <c r="C20" i="43"/>
  <c r="C15" i="43"/>
  <c r="C39" i="44"/>
  <c r="C36" i="44"/>
  <c r="C33" i="44"/>
  <c r="C31" i="44"/>
  <c r="C31" i="46"/>
  <c r="C31" i="38"/>
  <c r="C31" i="48"/>
  <c r="C30" i="47"/>
  <c r="C30" i="46"/>
  <c r="C30" i="48"/>
  <c r="K28" i="44"/>
  <c r="C28" i="47"/>
  <c r="C28" i="45"/>
  <c r="C28" i="48"/>
  <c r="C28" i="38"/>
  <c r="C40" i="46"/>
  <c r="C37" i="47"/>
  <c r="C36" i="47"/>
  <c r="C5" i="48"/>
  <c r="C4" i="41"/>
  <c r="E4" i="41" s="1"/>
  <c r="C4" i="44"/>
  <c r="C7" i="44"/>
  <c r="C5" i="46"/>
  <c r="G5" i="46" s="1"/>
  <c r="C6" i="47"/>
  <c r="E6" i="47" s="1"/>
  <c r="C5" i="49"/>
  <c r="C5" i="38"/>
  <c r="C6" i="40"/>
  <c r="L20" i="41"/>
  <c r="L20" i="42" s="1"/>
  <c r="F18" i="41"/>
  <c r="F18" i="43"/>
  <c r="G16" i="43"/>
  <c r="T41" i="44"/>
  <c r="C41" i="48"/>
  <c r="O39" i="44"/>
  <c r="C38" i="46"/>
  <c r="C38" i="48"/>
  <c r="J36" i="44"/>
  <c r="J36" i="45" s="1"/>
  <c r="J36" i="48" s="1"/>
  <c r="N35" i="44"/>
  <c r="N35" i="45" s="1"/>
  <c r="N35" i="48" s="1"/>
  <c r="C35" i="47"/>
  <c r="C35" i="48"/>
  <c r="E33" i="44"/>
  <c r="E33" i="45" s="1"/>
  <c r="E33" i="48" s="1"/>
  <c r="K32" i="44"/>
  <c r="K32" i="45" s="1"/>
  <c r="K32" i="48" s="1"/>
  <c r="C32" i="38"/>
  <c r="C32" i="48"/>
  <c r="C30" i="44"/>
  <c r="C29" i="44"/>
  <c r="C27" i="45"/>
  <c r="C27" i="48"/>
  <c r="C26" i="49"/>
  <c r="C26" i="38"/>
  <c r="C26" i="45"/>
  <c r="C26" i="48"/>
  <c r="C25" i="49"/>
  <c r="C25" i="38"/>
  <c r="C25" i="45"/>
  <c r="C25" i="48"/>
  <c r="C24" i="49"/>
  <c r="C24" i="46"/>
  <c r="C24" i="45"/>
  <c r="C24" i="48"/>
  <c r="C23" i="49"/>
  <c r="C23" i="46"/>
  <c r="C23" i="45"/>
  <c r="C23" i="48"/>
  <c r="C22" i="49"/>
  <c r="C22" i="45"/>
  <c r="C22" i="48"/>
  <c r="C11" i="47"/>
  <c r="C11" i="46"/>
  <c r="C11" i="45"/>
  <c r="C11" i="48"/>
  <c r="C10" i="49"/>
  <c r="C10" i="47"/>
  <c r="C10" i="46"/>
  <c r="C10" i="45"/>
  <c r="C10" i="48"/>
  <c r="C37" i="45"/>
  <c r="C36" i="45"/>
  <c r="C35" i="45"/>
  <c r="C34" i="45"/>
  <c r="C33" i="45"/>
  <c r="C32" i="45"/>
  <c r="C31" i="45"/>
  <c r="C30" i="45"/>
  <c r="C35" i="38"/>
  <c r="C34" i="38"/>
  <c r="C29" i="38"/>
  <c r="C24" i="38"/>
  <c r="C10" i="38"/>
  <c r="C43" i="46"/>
  <c r="C36" i="46"/>
  <c r="C33" i="46"/>
  <c r="C32" i="46"/>
  <c r="C27" i="46"/>
  <c r="C22" i="46"/>
  <c r="C32" i="47"/>
  <c r="C31" i="47"/>
  <c r="C26" i="47"/>
  <c r="C23" i="47"/>
  <c r="C22" i="47"/>
  <c r="L16" i="41"/>
  <c r="L16" i="42" s="1"/>
  <c r="G13" i="41"/>
  <c r="G13" i="42" s="1"/>
  <c r="L27" i="44"/>
  <c r="C27" i="49"/>
  <c r="E9" i="41"/>
  <c r="C9" i="38"/>
  <c r="R29" i="41"/>
  <c r="C9" i="45"/>
  <c r="C9" i="48"/>
  <c r="C9" i="49"/>
  <c r="M29" i="41"/>
  <c r="S33" i="41"/>
  <c r="L41" i="46"/>
  <c r="N25" i="46"/>
  <c r="P23" i="46"/>
  <c r="G41" i="46"/>
  <c r="H23" i="46"/>
  <c r="P41" i="46"/>
  <c r="K32" i="46"/>
  <c r="Q11" i="46"/>
  <c r="C7" i="48"/>
  <c r="P25" i="43"/>
  <c r="P39" i="38"/>
  <c r="P32" i="38"/>
  <c r="S41" i="46"/>
  <c r="O41" i="46"/>
  <c r="J41" i="46"/>
  <c r="F41" i="46"/>
  <c r="P38" i="46"/>
  <c r="Q34" i="46"/>
  <c r="Q32" i="46"/>
  <c r="H32" i="46"/>
  <c r="O31" i="46"/>
  <c r="T23" i="46"/>
  <c r="M23" i="46"/>
  <c r="G23" i="46"/>
  <c r="O22" i="46"/>
  <c r="M11" i="46"/>
  <c r="C7" i="42"/>
  <c r="M48" i="44"/>
  <c r="G10" i="38"/>
  <c r="R41" i="46"/>
  <c r="M41" i="46"/>
  <c r="I41" i="46"/>
  <c r="Q23" i="46"/>
  <c r="E32" i="41"/>
  <c r="K32" i="41"/>
  <c r="I23" i="41"/>
  <c r="I23" i="42" s="1"/>
  <c r="R23" i="41"/>
  <c r="R23" i="42" s="1"/>
  <c r="F54" i="44"/>
  <c r="O54" i="44"/>
  <c r="C12" i="47"/>
  <c r="E12" i="44"/>
  <c r="C12" i="38"/>
  <c r="Q12" i="38" s="1"/>
  <c r="C12" i="44"/>
  <c r="P35" i="38"/>
  <c r="L35" i="38"/>
  <c r="H11" i="38"/>
  <c r="T11" i="38"/>
  <c r="C8" i="38"/>
  <c r="C8" i="46"/>
  <c r="E33" i="41"/>
  <c r="G33" i="41"/>
  <c r="P33" i="41"/>
  <c r="N32" i="41"/>
  <c r="M26" i="41"/>
  <c r="G23" i="43"/>
  <c r="P23" i="43"/>
  <c r="E12" i="43"/>
  <c r="G54" i="44"/>
  <c r="C12" i="45"/>
  <c r="I30" i="46"/>
  <c r="M30" i="46"/>
  <c r="F11" i="41"/>
  <c r="C8" i="43"/>
  <c r="C8" i="47"/>
  <c r="C8" i="49"/>
  <c r="Q8" i="49" s="1"/>
  <c r="J33" i="41"/>
  <c r="P28" i="41"/>
  <c r="H28" i="43"/>
  <c r="K28" i="43"/>
  <c r="N13" i="43"/>
  <c r="C12" i="43"/>
  <c r="F10" i="43"/>
  <c r="J10" i="43"/>
  <c r="S54" i="44"/>
  <c r="P22" i="38"/>
  <c r="G22" i="38"/>
  <c r="G22" i="40" s="1"/>
  <c r="C12" i="46"/>
  <c r="C12" i="48"/>
  <c r="C8" i="48"/>
  <c r="C9" i="46"/>
  <c r="C9" i="47"/>
  <c r="C11" i="49"/>
  <c r="C11" i="44"/>
  <c r="O29" i="38"/>
  <c r="C11" i="38"/>
  <c r="P27" i="46"/>
  <c r="H19" i="43"/>
  <c r="K19" i="43"/>
  <c r="E15" i="43"/>
  <c r="G15" i="43"/>
  <c r="G51" i="44"/>
  <c r="I51" i="44"/>
  <c r="R51" i="44"/>
  <c r="T31" i="41"/>
  <c r="E25" i="41"/>
  <c r="P25" i="41"/>
  <c r="H22" i="41"/>
  <c r="H22" i="42" s="1"/>
  <c r="T22" i="41"/>
  <c r="T22" i="42" s="1"/>
  <c r="P29" i="43"/>
  <c r="L26" i="43"/>
  <c r="E25" i="43"/>
  <c r="G25" i="43"/>
  <c r="M25" i="43"/>
  <c r="T25" i="43"/>
  <c r="L23" i="43"/>
  <c r="P19" i="43"/>
  <c r="L15" i="43"/>
  <c r="H12" i="43"/>
  <c r="J12" i="43"/>
  <c r="S12" i="43"/>
  <c r="L51" i="44"/>
  <c r="K50" i="44"/>
  <c r="G50" i="44"/>
  <c r="L45" i="44"/>
  <c r="P45" i="44"/>
  <c r="O30" i="38"/>
  <c r="E12" i="38"/>
  <c r="L11" i="38"/>
  <c r="R33" i="46"/>
  <c r="K22" i="46"/>
  <c r="M12" i="46"/>
  <c r="H10" i="46"/>
  <c r="G11" i="41"/>
  <c r="G11" i="42" s="1"/>
  <c r="G31" i="41"/>
  <c r="H28" i="41"/>
  <c r="G28" i="41"/>
  <c r="T28" i="41"/>
  <c r="M23" i="41"/>
  <c r="M23" i="42" s="1"/>
  <c r="Q25" i="43"/>
  <c r="H25" i="43"/>
  <c r="G19" i="43"/>
  <c r="M12" i="43"/>
  <c r="J54" i="44"/>
  <c r="P54" i="44"/>
  <c r="T50" i="44"/>
  <c r="I48" i="44"/>
  <c r="P34" i="38"/>
  <c r="M12" i="38"/>
  <c r="R10" i="38"/>
  <c r="I10" i="38"/>
  <c r="R36" i="46"/>
  <c r="J11" i="46"/>
  <c r="S11" i="46"/>
  <c r="O10" i="46"/>
  <c r="G10" i="43"/>
  <c r="P29" i="46"/>
  <c r="T29" i="46"/>
  <c r="G26" i="46"/>
  <c r="M26" i="46"/>
  <c r="T26" i="46"/>
  <c r="E10" i="46"/>
  <c r="I10" i="46"/>
  <c r="N10" i="46"/>
  <c r="R10" i="46"/>
  <c r="L29" i="43"/>
  <c r="S15" i="43"/>
  <c r="O15" i="43"/>
  <c r="J15" i="43"/>
  <c r="F15" i="43"/>
  <c r="O10" i="43"/>
  <c r="I10" i="43"/>
  <c r="G35" i="38"/>
  <c r="G34" i="38"/>
  <c r="M34" i="38"/>
  <c r="T34" i="38"/>
  <c r="G31" i="38"/>
  <c r="T31" i="38"/>
  <c r="F30" i="38"/>
  <c r="L30" i="38"/>
  <c r="T30" i="38"/>
  <c r="S25" i="38"/>
  <c r="H12" i="38"/>
  <c r="N12" i="38"/>
  <c r="K11" i="38"/>
  <c r="Q11" i="38"/>
  <c r="P43" i="46"/>
  <c r="O35" i="46"/>
  <c r="F33" i="46"/>
  <c r="O33" i="46"/>
  <c r="L30" i="46"/>
  <c r="R30" i="46"/>
  <c r="G29" i="46"/>
  <c r="T28" i="46"/>
  <c r="Q26" i="46"/>
  <c r="H26" i="46"/>
  <c r="G11" i="46"/>
  <c r="K11" i="46"/>
  <c r="P11" i="46"/>
  <c r="T11" i="46"/>
  <c r="T10" i="46"/>
  <c r="L10" i="46"/>
  <c r="F10" i="46"/>
  <c r="P31" i="41"/>
  <c r="P31" i="40" s="1"/>
  <c r="P22" i="41"/>
  <c r="P22" i="42" s="1"/>
  <c r="T28" i="43"/>
  <c r="G28" i="43"/>
  <c r="S25" i="43"/>
  <c r="N25" i="43"/>
  <c r="J25" i="43"/>
  <c r="R15" i="43"/>
  <c r="M15" i="43"/>
  <c r="I15" i="43"/>
  <c r="N12" i="43"/>
  <c r="S10" i="43"/>
  <c r="M10" i="43"/>
  <c r="M51" i="44"/>
  <c r="P48" i="44"/>
  <c r="T44" i="44"/>
  <c r="Q34" i="38"/>
  <c r="H34" i="38"/>
  <c r="K31" i="38"/>
  <c r="Q30" i="38"/>
  <c r="H30" i="38"/>
  <c r="S12" i="38"/>
  <c r="J12" i="38"/>
  <c r="O11" i="38"/>
  <c r="F11" i="38"/>
  <c r="J10" i="38"/>
  <c r="F10" i="38"/>
  <c r="M10" i="38"/>
  <c r="S10" i="38"/>
  <c r="Q40" i="46"/>
  <c r="L39" i="46"/>
  <c r="Q37" i="46"/>
  <c r="I33" i="46"/>
  <c r="P30" i="46"/>
  <c r="G30" i="46"/>
  <c r="P26" i="46"/>
  <c r="I12" i="46"/>
  <c r="N11" i="46"/>
  <c r="H11" i="46"/>
  <c r="Q10" i="46"/>
  <c r="K10" i="46"/>
  <c r="G12" i="46"/>
  <c r="G17" i="43"/>
  <c r="L17" i="43"/>
  <c r="P17" i="43"/>
  <c r="I17" i="43"/>
  <c r="M17" i="43"/>
  <c r="R17" i="43"/>
  <c r="F17" i="43"/>
  <c r="J17" i="43"/>
  <c r="O17" i="43"/>
  <c r="S17" i="43"/>
  <c r="F17" i="41"/>
  <c r="I17" i="41"/>
  <c r="L17" i="41"/>
  <c r="O17" i="41"/>
  <c r="R17" i="41"/>
  <c r="G17" i="41"/>
  <c r="J17" i="41"/>
  <c r="M17" i="41"/>
  <c r="P17" i="41"/>
  <c r="S17" i="41"/>
  <c r="E17" i="41"/>
  <c r="H17" i="41"/>
  <c r="K17" i="41"/>
  <c r="N17" i="41"/>
  <c r="Q17" i="41"/>
  <c r="T17" i="41"/>
  <c r="F14" i="41"/>
  <c r="I14" i="41"/>
  <c r="L14" i="41"/>
  <c r="O14" i="41"/>
  <c r="R14" i="41"/>
  <c r="G14" i="41"/>
  <c r="J14" i="41"/>
  <c r="M14" i="41"/>
  <c r="P14" i="41"/>
  <c r="S14" i="41"/>
  <c r="E14" i="41"/>
  <c r="H14" i="41"/>
  <c r="K14" i="41"/>
  <c r="N14" i="41"/>
  <c r="Q14" i="41"/>
  <c r="T14" i="41"/>
  <c r="G47" i="44"/>
  <c r="T47" i="44"/>
  <c r="C19" i="49"/>
  <c r="C19" i="44"/>
  <c r="C16" i="49"/>
  <c r="C16" i="44"/>
  <c r="C13" i="49"/>
  <c r="C13" i="44"/>
  <c r="G40" i="38"/>
  <c r="L40" i="38"/>
  <c r="E39" i="38"/>
  <c r="F39" i="38"/>
  <c r="J39" i="38"/>
  <c r="O39" i="38"/>
  <c r="S39" i="38"/>
  <c r="G37" i="38"/>
  <c r="M37" i="38"/>
  <c r="T37" i="38"/>
  <c r="F33" i="38"/>
  <c r="T33" i="38"/>
  <c r="I29" i="38"/>
  <c r="I29" i="40" s="1"/>
  <c r="M29" i="38"/>
  <c r="R29" i="38"/>
  <c r="F26" i="38"/>
  <c r="G26" i="38"/>
  <c r="H25" i="38"/>
  <c r="J25" i="38"/>
  <c r="P25" i="38"/>
  <c r="M23" i="38"/>
  <c r="J23" i="38"/>
  <c r="E22" i="38"/>
  <c r="H22" i="38"/>
  <c r="K22" i="38"/>
  <c r="N22" i="38"/>
  <c r="Q22" i="38"/>
  <c r="T22" i="38"/>
  <c r="L44" i="46"/>
  <c r="R44" i="46"/>
  <c r="F42" i="46"/>
  <c r="O42" i="46"/>
  <c r="E38" i="46"/>
  <c r="F38" i="46"/>
  <c r="J38" i="46"/>
  <c r="O38" i="46"/>
  <c r="S38" i="46"/>
  <c r="E35" i="46"/>
  <c r="I35" i="46"/>
  <c r="M35" i="46"/>
  <c r="R35" i="46"/>
  <c r="K28" i="46"/>
  <c r="Q28" i="46"/>
  <c r="F27" i="46"/>
  <c r="J27" i="46"/>
  <c r="O27" i="46"/>
  <c r="S27" i="46"/>
  <c r="E12" i="41"/>
  <c r="E12" i="42" s="1"/>
  <c r="C16" i="42"/>
  <c r="C13" i="42"/>
  <c r="I26" i="41"/>
  <c r="K25" i="41"/>
  <c r="S28" i="43"/>
  <c r="N28" i="43"/>
  <c r="J28" i="43"/>
  <c r="E28" i="43"/>
  <c r="G26" i="43"/>
  <c r="S19" i="43"/>
  <c r="N19" i="43"/>
  <c r="J19" i="43"/>
  <c r="E19" i="43"/>
  <c r="C17" i="43"/>
  <c r="F12" i="43"/>
  <c r="I12" i="43"/>
  <c r="L12" i="43"/>
  <c r="O12" i="43"/>
  <c r="R12" i="43"/>
  <c r="P47" i="44"/>
  <c r="G45" i="44"/>
  <c r="M45" i="44"/>
  <c r="P44" i="44"/>
  <c r="R40" i="38"/>
  <c r="F40" i="38"/>
  <c r="M39" i="38"/>
  <c r="G39" i="38"/>
  <c r="Q37" i="38"/>
  <c r="H37" i="38"/>
  <c r="K33" i="38"/>
  <c r="G32" i="38"/>
  <c r="M32" i="38"/>
  <c r="S29" i="38"/>
  <c r="L29" i="38"/>
  <c r="F29" i="38"/>
  <c r="L26" i="38"/>
  <c r="N25" i="38"/>
  <c r="E25" i="38"/>
  <c r="S23" i="38"/>
  <c r="S22" i="38"/>
  <c r="O22" i="38"/>
  <c r="J22" i="38"/>
  <c r="F22" i="38"/>
  <c r="F12" i="38"/>
  <c r="I12" i="38"/>
  <c r="L12" i="38"/>
  <c r="O12" i="38"/>
  <c r="R12" i="38"/>
  <c r="G11" i="38"/>
  <c r="J11" i="38"/>
  <c r="M11" i="38"/>
  <c r="P11" i="38"/>
  <c r="S11" i="38"/>
  <c r="P44" i="46"/>
  <c r="G44" i="46"/>
  <c r="N43" i="46"/>
  <c r="T43" i="46"/>
  <c r="I42" i="46"/>
  <c r="I39" i="46"/>
  <c r="M38" i="46"/>
  <c r="G38" i="46"/>
  <c r="E37" i="46"/>
  <c r="N37" i="46"/>
  <c r="S35" i="46"/>
  <c r="L35" i="46"/>
  <c r="F35" i="46"/>
  <c r="E32" i="46"/>
  <c r="J32" i="46"/>
  <c r="N32" i="46"/>
  <c r="S32" i="46"/>
  <c r="O28" i="46"/>
  <c r="F28" i="46"/>
  <c r="M27" i="46"/>
  <c r="G27" i="46"/>
  <c r="P12" i="46"/>
  <c r="L12" i="46"/>
  <c r="E12" i="46"/>
  <c r="H12" i="46"/>
  <c r="K12" i="46"/>
  <c r="N12" i="46"/>
  <c r="Q12" i="46"/>
  <c r="T12" i="46"/>
  <c r="Q32" i="41"/>
  <c r="H32" i="41"/>
  <c r="K31" i="41"/>
  <c r="T25" i="41"/>
  <c r="G25" i="41"/>
  <c r="K22" i="41"/>
  <c r="K22" i="42" s="1"/>
  <c r="K21" i="41"/>
  <c r="Q28" i="43"/>
  <c r="M28" i="43"/>
  <c r="Q19" i="43"/>
  <c r="M19" i="43"/>
  <c r="C19" i="43"/>
  <c r="T15" i="43"/>
  <c r="Q15" i="43"/>
  <c r="N15" i="43"/>
  <c r="K15" i="43"/>
  <c r="H15" i="43"/>
  <c r="T12" i="43"/>
  <c r="P12" i="43"/>
  <c r="K12" i="43"/>
  <c r="G12" i="43"/>
  <c r="P10" i="43"/>
  <c r="L10" i="43"/>
  <c r="E10" i="43"/>
  <c r="H10" i="43"/>
  <c r="K10" i="43"/>
  <c r="N10" i="43"/>
  <c r="Q10" i="43"/>
  <c r="T10" i="43"/>
  <c r="E9" i="43"/>
  <c r="E54" i="44"/>
  <c r="I54" i="44"/>
  <c r="M54" i="44"/>
  <c r="R54" i="44"/>
  <c r="L48" i="44"/>
  <c r="R48" i="44"/>
  <c r="K47" i="44"/>
  <c r="R45" i="44"/>
  <c r="I45" i="44"/>
  <c r="G44" i="44"/>
  <c r="C20" i="49"/>
  <c r="C17" i="49"/>
  <c r="C14" i="49"/>
  <c r="O40" i="38"/>
  <c r="R39" i="38"/>
  <c r="L39" i="38"/>
  <c r="P37" i="38"/>
  <c r="E34" i="38"/>
  <c r="J34" i="38"/>
  <c r="N34" i="38"/>
  <c r="S34" i="38"/>
  <c r="R32" i="38"/>
  <c r="I32" i="38"/>
  <c r="P29" i="38"/>
  <c r="J29" i="38"/>
  <c r="T25" i="38"/>
  <c r="K25" i="38"/>
  <c r="R22" i="38"/>
  <c r="M22" i="38"/>
  <c r="I22" i="38"/>
  <c r="T12" i="38"/>
  <c r="P12" i="38"/>
  <c r="K12" i="38"/>
  <c r="G12" i="38"/>
  <c r="R11" i="38"/>
  <c r="N11" i="38"/>
  <c r="I11" i="38"/>
  <c r="E11" i="38"/>
  <c r="P10" i="38"/>
  <c r="L10" i="38"/>
  <c r="E10" i="38"/>
  <c r="H10" i="38"/>
  <c r="K10" i="38"/>
  <c r="N10" i="38"/>
  <c r="Q10" i="38"/>
  <c r="T10" i="38"/>
  <c r="M44" i="46"/>
  <c r="S43" i="46"/>
  <c r="H43" i="46"/>
  <c r="R42" i="46"/>
  <c r="R38" i="46"/>
  <c r="L38" i="46"/>
  <c r="T37" i="46"/>
  <c r="H37" i="46"/>
  <c r="P35" i="46"/>
  <c r="J35" i="46"/>
  <c r="H34" i="46"/>
  <c r="T34" i="46"/>
  <c r="T32" i="46"/>
  <c r="M32" i="46"/>
  <c r="G32" i="46"/>
  <c r="L28" i="46"/>
  <c r="R27" i="46"/>
  <c r="L27" i="46"/>
  <c r="E23" i="46"/>
  <c r="J23" i="46"/>
  <c r="N23" i="46"/>
  <c r="S23" i="46"/>
  <c r="S12" i="46"/>
  <c r="O12" i="46"/>
  <c r="J12" i="46"/>
  <c r="F12" i="46"/>
  <c r="F11" i="46"/>
  <c r="I11" i="46"/>
  <c r="L11" i="46"/>
  <c r="O11" i="46"/>
  <c r="R11" i="46"/>
  <c r="G10" i="46"/>
  <c r="J10" i="46"/>
  <c r="M10" i="46"/>
  <c r="P10" i="46"/>
  <c r="S10" i="46"/>
  <c r="C21" i="49"/>
  <c r="C18" i="49"/>
  <c r="C15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E14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E26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E17" i="43"/>
  <c r="C21" i="48"/>
  <c r="C21" i="47"/>
  <c r="C21" i="46"/>
  <c r="C21" i="38"/>
  <c r="C21" i="45"/>
  <c r="C20" i="48"/>
  <c r="C20" i="47"/>
  <c r="C20" i="46"/>
  <c r="C20" i="38"/>
  <c r="C20" i="45"/>
  <c r="C19" i="48"/>
  <c r="C19" i="47"/>
  <c r="C19" i="46"/>
  <c r="C19" i="38"/>
  <c r="C19" i="45"/>
  <c r="C18" i="48"/>
  <c r="C18" i="47"/>
  <c r="C18" i="46"/>
  <c r="C18" i="38"/>
  <c r="C18" i="45"/>
  <c r="C17" i="48"/>
  <c r="C17" i="47"/>
  <c r="C17" i="46"/>
  <c r="C17" i="38"/>
  <c r="C17" i="45"/>
  <c r="C16" i="48"/>
  <c r="C16" i="47"/>
  <c r="C16" i="46"/>
  <c r="C16" i="38"/>
  <c r="C16" i="45"/>
  <c r="C15" i="48"/>
  <c r="C15" i="47"/>
  <c r="C15" i="46"/>
  <c r="C15" i="38"/>
  <c r="C15" i="45"/>
  <c r="C14" i="48"/>
  <c r="C14" i="47"/>
  <c r="C14" i="46"/>
  <c r="C14" i="38"/>
  <c r="C14" i="45"/>
  <c r="G19" i="46"/>
  <c r="G17" i="46"/>
  <c r="C13" i="48"/>
  <c r="C13" i="47"/>
  <c r="C13" i="46"/>
  <c r="C13" i="38"/>
  <c r="C13" i="45"/>
  <c r="E24" i="46"/>
  <c r="H24" i="46"/>
  <c r="K24" i="46"/>
  <c r="N24" i="46"/>
  <c r="Q24" i="46"/>
  <c r="T24" i="46"/>
  <c r="I24" i="46"/>
  <c r="M24" i="46"/>
  <c r="R24" i="46"/>
  <c r="F24" i="46"/>
  <c r="J24" i="46"/>
  <c r="O24" i="46"/>
  <c r="S24" i="46"/>
  <c r="T22" i="46"/>
  <c r="F40" i="46"/>
  <c r="I40" i="46"/>
  <c r="L40" i="46"/>
  <c r="O40" i="46"/>
  <c r="R40" i="46"/>
  <c r="G40" i="46"/>
  <c r="J40" i="46"/>
  <c r="M40" i="46"/>
  <c r="P40" i="46"/>
  <c r="S40" i="46"/>
  <c r="G36" i="46"/>
  <c r="J36" i="46"/>
  <c r="M36" i="46"/>
  <c r="P36" i="46"/>
  <c r="S36" i="46"/>
  <c r="E36" i="46"/>
  <c r="H36" i="46"/>
  <c r="K36" i="46"/>
  <c r="N36" i="46"/>
  <c r="Q36" i="46"/>
  <c r="T36" i="46"/>
  <c r="L24" i="46"/>
  <c r="E44" i="46"/>
  <c r="H44" i="46"/>
  <c r="K44" i="46"/>
  <c r="N44" i="46"/>
  <c r="Q44" i="46"/>
  <c r="T44" i="46"/>
  <c r="F43" i="46"/>
  <c r="I43" i="46"/>
  <c r="L43" i="46"/>
  <c r="O43" i="46"/>
  <c r="R43" i="46"/>
  <c r="G43" i="46"/>
  <c r="J43" i="46"/>
  <c r="N40" i="46"/>
  <c r="E40" i="46"/>
  <c r="G39" i="46"/>
  <c r="J39" i="46"/>
  <c r="M39" i="46"/>
  <c r="P39" i="46"/>
  <c r="S39" i="46"/>
  <c r="E39" i="46"/>
  <c r="H39" i="46"/>
  <c r="K39" i="46"/>
  <c r="N39" i="46"/>
  <c r="Q39" i="46"/>
  <c r="T39" i="46"/>
  <c r="O36" i="46"/>
  <c r="F36" i="46"/>
  <c r="F34" i="46"/>
  <c r="I34" i="46"/>
  <c r="L34" i="46"/>
  <c r="O34" i="46"/>
  <c r="R34" i="46"/>
  <c r="G34" i="46"/>
  <c r="J34" i="46"/>
  <c r="M34" i="46"/>
  <c r="P34" i="46"/>
  <c r="S34" i="46"/>
  <c r="G31" i="46"/>
  <c r="J31" i="46"/>
  <c r="M31" i="46"/>
  <c r="P31" i="46"/>
  <c r="S31" i="46"/>
  <c r="H31" i="46"/>
  <c r="L31" i="46"/>
  <c r="Q31" i="46"/>
  <c r="E31" i="46"/>
  <c r="I31" i="46"/>
  <c r="N31" i="46"/>
  <c r="R31" i="46"/>
  <c r="G25" i="46"/>
  <c r="J25" i="46"/>
  <c r="M25" i="46"/>
  <c r="P25" i="46"/>
  <c r="S25" i="46"/>
  <c r="F25" i="46"/>
  <c r="K25" i="46"/>
  <c r="O25" i="46"/>
  <c r="T25" i="46"/>
  <c r="H25" i="46"/>
  <c r="L25" i="46"/>
  <c r="Q25" i="46"/>
  <c r="G24" i="46"/>
  <c r="S44" i="46"/>
  <c r="O44" i="46"/>
  <c r="J44" i="46"/>
  <c r="F44" i="46"/>
  <c r="Q43" i="46"/>
  <c r="M43" i="46"/>
  <c r="E43" i="46"/>
  <c r="G42" i="46"/>
  <c r="J42" i="46"/>
  <c r="M42" i="46"/>
  <c r="P42" i="46"/>
  <c r="S42" i="46"/>
  <c r="E42" i="46"/>
  <c r="H42" i="46"/>
  <c r="K42" i="46"/>
  <c r="N42" i="46"/>
  <c r="Q42" i="46"/>
  <c r="T42" i="46"/>
  <c r="T40" i="46"/>
  <c r="K40" i="46"/>
  <c r="O39" i="46"/>
  <c r="F39" i="46"/>
  <c r="F37" i="46"/>
  <c r="I37" i="46"/>
  <c r="L37" i="46"/>
  <c r="O37" i="46"/>
  <c r="R37" i="46"/>
  <c r="G37" i="46"/>
  <c r="J37" i="46"/>
  <c r="M37" i="46"/>
  <c r="P37" i="46"/>
  <c r="S37" i="46"/>
  <c r="L36" i="46"/>
  <c r="N34" i="46"/>
  <c r="E34" i="46"/>
  <c r="G33" i="46"/>
  <c r="J33" i="46"/>
  <c r="M33" i="46"/>
  <c r="P33" i="46"/>
  <c r="S33" i="46"/>
  <c r="E33" i="46"/>
  <c r="H33" i="46"/>
  <c r="K33" i="46"/>
  <c r="N33" i="46"/>
  <c r="Q33" i="46"/>
  <c r="T33" i="46"/>
  <c r="T31" i="46"/>
  <c r="F31" i="46"/>
  <c r="F29" i="46"/>
  <c r="I29" i="46"/>
  <c r="L29" i="46"/>
  <c r="O29" i="46"/>
  <c r="R29" i="46"/>
  <c r="H29" i="46"/>
  <c r="M29" i="46"/>
  <c r="Q29" i="46"/>
  <c r="E29" i="46"/>
  <c r="J29" i="46"/>
  <c r="N29" i="46"/>
  <c r="S29" i="46"/>
  <c r="R25" i="46"/>
  <c r="E25" i="46"/>
  <c r="P24" i="46"/>
  <c r="G22" i="46"/>
  <c r="J22" i="46"/>
  <c r="M22" i="46"/>
  <c r="P22" i="46"/>
  <c r="S22" i="46"/>
  <c r="H22" i="46"/>
  <c r="L22" i="46"/>
  <c r="Q22" i="46"/>
  <c r="E22" i="46"/>
  <c r="I22" i="46"/>
  <c r="N22" i="46"/>
  <c r="R22" i="46"/>
  <c r="F20" i="46"/>
  <c r="I20" i="46"/>
  <c r="L20" i="46"/>
  <c r="O20" i="46"/>
  <c r="R20" i="46"/>
  <c r="E18" i="46"/>
  <c r="H18" i="46"/>
  <c r="K18" i="46"/>
  <c r="N18" i="46"/>
  <c r="Q18" i="46"/>
  <c r="T18" i="46"/>
  <c r="F18" i="46"/>
  <c r="I18" i="46"/>
  <c r="L18" i="46"/>
  <c r="O18" i="46"/>
  <c r="R18" i="46"/>
  <c r="G18" i="46"/>
  <c r="J18" i="46"/>
  <c r="M18" i="46"/>
  <c r="P18" i="46"/>
  <c r="S18" i="46"/>
  <c r="E30" i="46"/>
  <c r="H30" i="46"/>
  <c r="K30" i="46"/>
  <c r="N30" i="46"/>
  <c r="Q30" i="46"/>
  <c r="T30" i="46"/>
  <c r="G28" i="46"/>
  <c r="J28" i="46"/>
  <c r="M28" i="46"/>
  <c r="P28" i="46"/>
  <c r="S28" i="46"/>
  <c r="F26" i="46"/>
  <c r="I26" i="46"/>
  <c r="L26" i="46"/>
  <c r="O26" i="46"/>
  <c r="R26" i="46"/>
  <c r="E21" i="46"/>
  <c r="H21" i="46"/>
  <c r="K21" i="46"/>
  <c r="N21" i="46"/>
  <c r="Q21" i="46"/>
  <c r="T21" i="46"/>
  <c r="S20" i="46"/>
  <c r="N20" i="46"/>
  <c r="J20" i="46"/>
  <c r="E20" i="46"/>
  <c r="T41" i="46"/>
  <c r="Q41" i="46"/>
  <c r="N41" i="46"/>
  <c r="K41" i="46"/>
  <c r="H41" i="46"/>
  <c r="T38" i="46"/>
  <c r="Q38" i="46"/>
  <c r="N38" i="46"/>
  <c r="K38" i="46"/>
  <c r="H38" i="46"/>
  <c r="T35" i="46"/>
  <c r="Q35" i="46"/>
  <c r="N35" i="46"/>
  <c r="K35" i="46"/>
  <c r="H35" i="46"/>
  <c r="F32" i="46"/>
  <c r="I32" i="46"/>
  <c r="L32" i="46"/>
  <c r="O32" i="46"/>
  <c r="R32" i="46"/>
  <c r="S30" i="46"/>
  <c r="O30" i="46"/>
  <c r="J30" i="46"/>
  <c r="F30" i="46"/>
  <c r="R28" i="46"/>
  <c r="N28" i="46"/>
  <c r="I28" i="46"/>
  <c r="E28" i="46"/>
  <c r="E27" i="46"/>
  <c r="H27" i="46"/>
  <c r="K27" i="46"/>
  <c r="N27" i="46"/>
  <c r="Q27" i="46"/>
  <c r="T27" i="46"/>
  <c r="S26" i="46"/>
  <c r="N26" i="46"/>
  <c r="J26" i="46"/>
  <c r="E26" i="46"/>
  <c r="F23" i="46"/>
  <c r="I23" i="46"/>
  <c r="L23" i="46"/>
  <c r="O23" i="46"/>
  <c r="R23" i="46"/>
  <c r="S21" i="46"/>
  <c r="O21" i="46"/>
  <c r="J21" i="46"/>
  <c r="F21" i="46"/>
  <c r="Q20" i="46"/>
  <c r="M20" i="46"/>
  <c r="H20" i="46"/>
  <c r="T17" i="46"/>
  <c r="Q17" i="46"/>
  <c r="N17" i="46"/>
  <c r="K17" i="46"/>
  <c r="H17" i="46"/>
  <c r="E17" i="46"/>
  <c r="T19" i="46"/>
  <c r="Q19" i="46"/>
  <c r="N19" i="46"/>
  <c r="K19" i="46"/>
  <c r="H19" i="46"/>
  <c r="E19" i="46"/>
  <c r="S17" i="46"/>
  <c r="P17" i="46"/>
  <c r="M17" i="46"/>
  <c r="J17" i="46"/>
  <c r="S19" i="46"/>
  <c r="P19" i="46"/>
  <c r="M19" i="46"/>
  <c r="J19" i="46"/>
  <c r="G27" i="38"/>
  <c r="J27" i="38"/>
  <c r="M27" i="38"/>
  <c r="P27" i="38"/>
  <c r="S27" i="38"/>
  <c r="F27" i="38"/>
  <c r="K27" i="38"/>
  <c r="O27" i="38"/>
  <c r="T27" i="38"/>
  <c r="E27" i="38"/>
  <c r="I27" i="38"/>
  <c r="N27" i="38"/>
  <c r="R27" i="38"/>
  <c r="H27" i="38"/>
  <c r="L27" i="38"/>
  <c r="Q27" i="38"/>
  <c r="G36" i="38"/>
  <c r="G36" i="40" s="1"/>
  <c r="J36" i="38"/>
  <c r="M36" i="38"/>
  <c r="P36" i="38"/>
  <c r="S36" i="38"/>
  <c r="F36" i="38"/>
  <c r="K36" i="38"/>
  <c r="O36" i="38"/>
  <c r="T36" i="38"/>
  <c r="H36" i="38"/>
  <c r="L36" i="38"/>
  <c r="Q36" i="38"/>
  <c r="E36" i="38"/>
  <c r="I36" i="38"/>
  <c r="N36" i="38"/>
  <c r="R36" i="38"/>
  <c r="F38" i="38"/>
  <c r="I38" i="38"/>
  <c r="L38" i="38"/>
  <c r="O38" i="38"/>
  <c r="R38" i="38"/>
  <c r="G38" i="38"/>
  <c r="J38" i="38"/>
  <c r="M38" i="38"/>
  <c r="P38" i="38"/>
  <c r="S38" i="38"/>
  <c r="E38" i="38"/>
  <c r="H38" i="38"/>
  <c r="K38" i="38"/>
  <c r="N38" i="38"/>
  <c r="Q38" i="38"/>
  <c r="T38" i="38"/>
  <c r="G24" i="38"/>
  <c r="J24" i="38"/>
  <c r="M24" i="38"/>
  <c r="P24" i="38"/>
  <c r="S24" i="38"/>
  <c r="E24" i="38"/>
  <c r="H24" i="38"/>
  <c r="K24" i="38"/>
  <c r="N24" i="38"/>
  <c r="Q24" i="38"/>
  <c r="T24" i="38"/>
  <c r="P23" i="38"/>
  <c r="G23" i="38"/>
  <c r="F28" i="38"/>
  <c r="I28" i="38"/>
  <c r="L28" i="38"/>
  <c r="O28" i="38"/>
  <c r="R28" i="38"/>
  <c r="S26" i="38"/>
  <c r="O26" i="38"/>
  <c r="J26" i="38"/>
  <c r="Q25" i="38"/>
  <c r="M25" i="38"/>
  <c r="O24" i="38"/>
  <c r="F24" i="38"/>
  <c r="E35" i="38"/>
  <c r="H35" i="38"/>
  <c r="K35" i="38"/>
  <c r="N35" i="38"/>
  <c r="Q35" i="38"/>
  <c r="T35" i="38"/>
  <c r="G33" i="38"/>
  <c r="J33" i="38"/>
  <c r="M33" i="38"/>
  <c r="M33" i="40" s="1"/>
  <c r="P33" i="38"/>
  <c r="S33" i="38"/>
  <c r="F31" i="38"/>
  <c r="I31" i="38"/>
  <c r="L31" i="38"/>
  <c r="O31" i="38"/>
  <c r="R31" i="38"/>
  <c r="Q28" i="38"/>
  <c r="M28" i="38"/>
  <c r="H28" i="38"/>
  <c r="E26" i="38"/>
  <c r="H26" i="38"/>
  <c r="K26" i="38"/>
  <c r="N26" i="38"/>
  <c r="Q26" i="38"/>
  <c r="T26" i="38"/>
  <c r="R24" i="38"/>
  <c r="I24" i="38"/>
  <c r="T40" i="38"/>
  <c r="Q40" i="38"/>
  <c r="N40" i="38"/>
  <c r="K40" i="38"/>
  <c r="H40" i="38"/>
  <c r="E40" i="38"/>
  <c r="F37" i="38"/>
  <c r="I37" i="38"/>
  <c r="L37" i="38"/>
  <c r="O37" i="38"/>
  <c r="R37" i="38"/>
  <c r="S35" i="38"/>
  <c r="O35" i="38"/>
  <c r="J35" i="38"/>
  <c r="F35" i="38"/>
  <c r="R33" i="38"/>
  <c r="N33" i="38"/>
  <c r="I33" i="38"/>
  <c r="E33" i="38"/>
  <c r="E32" i="38"/>
  <c r="H32" i="38"/>
  <c r="K32" i="38"/>
  <c r="N32" i="38"/>
  <c r="Q32" i="38"/>
  <c r="T32" i="38"/>
  <c r="T32" i="40" s="1"/>
  <c r="S31" i="38"/>
  <c r="N31" i="38"/>
  <c r="J31" i="38"/>
  <c r="E31" i="38"/>
  <c r="G30" i="38"/>
  <c r="J30" i="38"/>
  <c r="M30" i="38"/>
  <c r="P30" i="38"/>
  <c r="S30" i="38"/>
  <c r="T28" i="38"/>
  <c r="P28" i="38"/>
  <c r="K28" i="38"/>
  <c r="K28" i="40" s="1"/>
  <c r="G28" i="38"/>
  <c r="S40" i="38"/>
  <c r="P40" i="38"/>
  <c r="M40" i="38"/>
  <c r="J40" i="38"/>
  <c r="T39" i="38"/>
  <c r="Q39" i="38"/>
  <c r="N39" i="38"/>
  <c r="K39" i="38"/>
  <c r="H39" i="38"/>
  <c r="S37" i="38"/>
  <c r="N37" i="38"/>
  <c r="J37" i="38"/>
  <c r="E37" i="38"/>
  <c r="R35" i="38"/>
  <c r="M35" i="38"/>
  <c r="I35" i="38"/>
  <c r="F34" i="38"/>
  <c r="I34" i="38"/>
  <c r="L34" i="38"/>
  <c r="O34" i="38"/>
  <c r="R34" i="38"/>
  <c r="Q33" i="38"/>
  <c r="L33" i="38"/>
  <c r="H33" i="38"/>
  <c r="S32" i="38"/>
  <c r="O32" i="38"/>
  <c r="J32" i="38"/>
  <c r="F32" i="38"/>
  <c r="Q31" i="38"/>
  <c r="M31" i="38"/>
  <c r="H31" i="38"/>
  <c r="R30" i="38"/>
  <c r="N30" i="38"/>
  <c r="I30" i="38"/>
  <c r="E30" i="38"/>
  <c r="E29" i="38"/>
  <c r="H29" i="38"/>
  <c r="K29" i="38"/>
  <c r="N29" i="38"/>
  <c r="Q29" i="38"/>
  <c r="T29" i="38"/>
  <c r="S28" i="38"/>
  <c r="N28" i="38"/>
  <c r="J28" i="38"/>
  <c r="E28" i="38"/>
  <c r="R26" i="38"/>
  <c r="R26" i="40" s="1"/>
  <c r="M26" i="38"/>
  <c r="I26" i="38"/>
  <c r="F25" i="38"/>
  <c r="I25" i="38"/>
  <c r="L25" i="38"/>
  <c r="O25" i="38"/>
  <c r="R25" i="38"/>
  <c r="L24" i="38"/>
  <c r="E23" i="38"/>
  <c r="H23" i="38"/>
  <c r="K23" i="38"/>
  <c r="N23" i="38"/>
  <c r="Q23" i="38"/>
  <c r="T23" i="38"/>
  <c r="F23" i="38"/>
  <c r="I23" i="38"/>
  <c r="L23" i="38"/>
  <c r="O23" i="38"/>
  <c r="R23" i="38"/>
  <c r="F53" i="44"/>
  <c r="I53" i="44"/>
  <c r="L53" i="44"/>
  <c r="O53" i="44"/>
  <c r="R53" i="44"/>
  <c r="G53" i="44"/>
  <c r="J53" i="44"/>
  <c r="M53" i="44"/>
  <c r="P53" i="44"/>
  <c r="S53" i="44"/>
  <c r="E53" i="44"/>
  <c r="H53" i="44"/>
  <c r="K53" i="44"/>
  <c r="N53" i="44"/>
  <c r="Q53" i="44"/>
  <c r="T53" i="44"/>
  <c r="F56" i="44"/>
  <c r="I56" i="44"/>
  <c r="L56" i="44"/>
  <c r="O56" i="44"/>
  <c r="R56" i="44"/>
  <c r="G56" i="44"/>
  <c r="J56" i="44"/>
  <c r="M56" i="44"/>
  <c r="P56" i="44"/>
  <c r="S56" i="44"/>
  <c r="E56" i="44"/>
  <c r="H56" i="44"/>
  <c r="K56" i="44"/>
  <c r="Q56" i="44"/>
  <c r="N56" i="44"/>
  <c r="F50" i="44"/>
  <c r="I50" i="44"/>
  <c r="L50" i="44"/>
  <c r="O50" i="44"/>
  <c r="R50" i="44"/>
  <c r="F47" i="44"/>
  <c r="I47" i="44"/>
  <c r="L47" i="44"/>
  <c r="O47" i="44"/>
  <c r="R47" i="44"/>
  <c r="F44" i="44"/>
  <c r="I44" i="44"/>
  <c r="L44" i="44"/>
  <c r="O44" i="44"/>
  <c r="R44" i="44"/>
  <c r="C34" i="44"/>
  <c r="C56" i="44"/>
  <c r="C53" i="44"/>
  <c r="E51" i="44"/>
  <c r="H51" i="44"/>
  <c r="K51" i="44"/>
  <c r="N51" i="44"/>
  <c r="Q51" i="44"/>
  <c r="T51" i="44"/>
  <c r="S50" i="44"/>
  <c r="N50" i="44"/>
  <c r="J50" i="44"/>
  <c r="E50" i="44"/>
  <c r="E48" i="44"/>
  <c r="H48" i="44"/>
  <c r="K48" i="44"/>
  <c r="N48" i="44"/>
  <c r="Q48" i="44"/>
  <c r="T48" i="44"/>
  <c r="S47" i="44"/>
  <c r="N47" i="44"/>
  <c r="J47" i="44"/>
  <c r="E47" i="44"/>
  <c r="E45" i="44"/>
  <c r="H45" i="44"/>
  <c r="K45" i="44"/>
  <c r="N45" i="44"/>
  <c r="Q45" i="44"/>
  <c r="T45" i="44"/>
  <c r="S44" i="44"/>
  <c r="N44" i="44"/>
  <c r="J44" i="44"/>
  <c r="E44" i="44"/>
  <c r="C37" i="44"/>
  <c r="T54" i="44"/>
  <c r="Q54" i="44"/>
  <c r="N54" i="44"/>
  <c r="K54" i="44"/>
  <c r="H54" i="44"/>
  <c r="S51" i="44"/>
  <c r="O51" i="44"/>
  <c r="J51" i="44"/>
  <c r="F51" i="44"/>
  <c r="Q50" i="44"/>
  <c r="M50" i="44"/>
  <c r="H50" i="44"/>
  <c r="C50" i="44"/>
  <c r="S48" i="44"/>
  <c r="O48" i="44"/>
  <c r="J48" i="44"/>
  <c r="F48" i="44"/>
  <c r="Q47" i="44"/>
  <c r="M47" i="44"/>
  <c r="H47" i="44"/>
  <c r="C47" i="44"/>
  <c r="S45" i="44"/>
  <c r="O45" i="44"/>
  <c r="J45" i="44"/>
  <c r="F45" i="44"/>
  <c r="Q44" i="44"/>
  <c r="M44" i="44"/>
  <c r="H44" i="44"/>
  <c r="C44" i="44"/>
  <c r="C40" i="44"/>
  <c r="C28" i="44"/>
  <c r="C27" i="44"/>
  <c r="E20" i="43"/>
  <c r="H20" i="43"/>
  <c r="K20" i="43"/>
  <c r="N20" i="43"/>
  <c r="Q20" i="43"/>
  <c r="T20" i="43"/>
  <c r="E29" i="43"/>
  <c r="H29" i="43"/>
  <c r="K29" i="43"/>
  <c r="N29" i="43"/>
  <c r="Q29" i="43"/>
  <c r="T29" i="43"/>
  <c r="E26" i="43"/>
  <c r="H26" i="43"/>
  <c r="K26" i="43"/>
  <c r="N26" i="43"/>
  <c r="Q26" i="43"/>
  <c r="T26" i="43"/>
  <c r="E23" i="43"/>
  <c r="H23" i="43"/>
  <c r="K23" i="43"/>
  <c r="N23" i="43"/>
  <c r="Q23" i="43"/>
  <c r="T23" i="43"/>
  <c r="P20" i="43"/>
  <c r="L20" i="43"/>
  <c r="G20" i="43"/>
  <c r="S29" i="43"/>
  <c r="O29" i="43"/>
  <c r="J29" i="43"/>
  <c r="F29" i="43"/>
  <c r="S26" i="43"/>
  <c r="O26" i="43"/>
  <c r="J26" i="43"/>
  <c r="F26" i="43"/>
  <c r="S23" i="43"/>
  <c r="O23" i="43"/>
  <c r="J23" i="43"/>
  <c r="F23" i="43"/>
  <c r="S20" i="43"/>
  <c r="O20" i="43"/>
  <c r="J20" i="43"/>
  <c r="F20" i="43"/>
  <c r="R29" i="43"/>
  <c r="M29" i="43"/>
  <c r="I29" i="43"/>
  <c r="F28" i="43"/>
  <c r="I28" i="43"/>
  <c r="L28" i="43"/>
  <c r="O28" i="43"/>
  <c r="R28" i="43"/>
  <c r="R26" i="43"/>
  <c r="M26" i="43"/>
  <c r="I26" i="43"/>
  <c r="F25" i="43"/>
  <c r="I25" i="43"/>
  <c r="L25" i="43"/>
  <c r="O25" i="43"/>
  <c r="R25" i="43"/>
  <c r="R23" i="43"/>
  <c r="M23" i="43"/>
  <c r="I23" i="43"/>
  <c r="R20" i="43"/>
  <c r="M20" i="43"/>
  <c r="I20" i="43"/>
  <c r="F19" i="43"/>
  <c r="I19" i="43"/>
  <c r="L19" i="43"/>
  <c r="O19" i="43"/>
  <c r="R19" i="43"/>
  <c r="T17" i="43"/>
  <c r="Q17" i="43"/>
  <c r="N17" i="43"/>
  <c r="K17" i="43"/>
  <c r="H17" i="43"/>
  <c r="E35" i="41"/>
  <c r="H35" i="41"/>
  <c r="K35" i="41"/>
  <c r="N35" i="41"/>
  <c r="Q35" i="41"/>
  <c r="T35" i="41"/>
  <c r="F35" i="41"/>
  <c r="I35" i="41"/>
  <c r="L35" i="41"/>
  <c r="O35" i="41"/>
  <c r="R35" i="41"/>
  <c r="G35" i="41"/>
  <c r="J35" i="41"/>
  <c r="M35" i="41"/>
  <c r="P35" i="41"/>
  <c r="S35" i="41"/>
  <c r="E38" i="41"/>
  <c r="H38" i="41"/>
  <c r="K38" i="41"/>
  <c r="N38" i="41"/>
  <c r="Q38" i="41"/>
  <c r="T38" i="41"/>
  <c r="F38" i="41"/>
  <c r="I38" i="41"/>
  <c r="L38" i="41"/>
  <c r="O38" i="41"/>
  <c r="R38" i="41"/>
  <c r="G38" i="41"/>
  <c r="J38" i="41"/>
  <c r="M38" i="41"/>
  <c r="P38" i="41"/>
  <c r="S38" i="41"/>
  <c r="R33" i="41"/>
  <c r="O33" i="41"/>
  <c r="O33" i="40" s="1"/>
  <c r="L33" i="41"/>
  <c r="I33" i="41"/>
  <c r="F33" i="41"/>
  <c r="S31" i="41"/>
  <c r="N31" i="41"/>
  <c r="J31" i="41"/>
  <c r="E31" i="41"/>
  <c r="E29" i="41"/>
  <c r="H29" i="41"/>
  <c r="K29" i="41"/>
  <c r="N29" i="41"/>
  <c r="Q29" i="41"/>
  <c r="T29" i="41"/>
  <c r="S28" i="41"/>
  <c r="N28" i="41"/>
  <c r="J28" i="41"/>
  <c r="E28" i="41"/>
  <c r="E26" i="41"/>
  <c r="H26" i="41"/>
  <c r="K26" i="41"/>
  <c r="N26" i="41"/>
  <c r="Q26" i="41"/>
  <c r="T26" i="41"/>
  <c r="S25" i="41"/>
  <c r="N25" i="41"/>
  <c r="J25" i="41"/>
  <c r="E23" i="41"/>
  <c r="E23" i="42" s="1"/>
  <c r="H23" i="41"/>
  <c r="H23" i="42" s="1"/>
  <c r="K23" i="41"/>
  <c r="K23" i="42" s="1"/>
  <c r="N23" i="41"/>
  <c r="N23" i="42" s="1"/>
  <c r="Q23" i="41"/>
  <c r="Q23" i="42" s="1"/>
  <c r="T23" i="41"/>
  <c r="T23" i="42" s="1"/>
  <c r="S22" i="41"/>
  <c r="S22" i="42" s="1"/>
  <c r="N22" i="41"/>
  <c r="J22" i="41"/>
  <c r="J22" i="42" s="1"/>
  <c r="E22" i="41"/>
  <c r="E22" i="42" s="1"/>
  <c r="F25" i="41"/>
  <c r="I25" i="41"/>
  <c r="L25" i="41"/>
  <c r="O25" i="41"/>
  <c r="R25" i="41"/>
  <c r="R36" i="41"/>
  <c r="O36" i="41"/>
  <c r="L36" i="41"/>
  <c r="I36" i="41"/>
  <c r="F36" i="41"/>
  <c r="S32" i="41"/>
  <c r="P32" i="41"/>
  <c r="M32" i="41"/>
  <c r="J32" i="41"/>
  <c r="G32" i="41"/>
  <c r="P29" i="41"/>
  <c r="L29" i="41"/>
  <c r="G29" i="41"/>
  <c r="G29" i="40" s="1"/>
  <c r="P26" i="41"/>
  <c r="P26" i="40" s="1"/>
  <c r="L26" i="41"/>
  <c r="G26" i="41"/>
  <c r="P23" i="41"/>
  <c r="P23" i="42" s="1"/>
  <c r="L23" i="41"/>
  <c r="L23" i="42" s="1"/>
  <c r="G23" i="41"/>
  <c r="G23" i="42" s="1"/>
  <c r="T36" i="41"/>
  <c r="Q36" i="41"/>
  <c r="N36" i="41"/>
  <c r="K36" i="41"/>
  <c r="H36" i="41"/>
  <c r="E36" i="41"/>
  <c r="T33" i="41"/>
  <c r="Q33" i="41"/>
  <c r="N33" i="41"/>
  <c r="K33" i="41"/>
  <c r="H33" i="41"/>
  <c r="R32" i="41"/>
  <c r="O32" i="41"/>
  <c r="L32" i="41"/>
  <c r="L32" i="40" s="1"/>
  <c r="I32" i="41"/>
  <c r="F32" i="41"/>
  <c r="Q31" i="41"/>
  <c r="M31" i="41"/>
  <c r="S29" i="41"/>
  <c r="O29" i="41"/>
  <c r="J29" i="41"/>
  <c r="F29" i="41"/>
  <c r="Q28" i="41"/>
  <c r="M28" i="41"/>
  <c r="S26" i="41"/>
  <c r="O26" i="41"/>
  <c r="J26" i="41"/>
  <c r="F26" i="41"/>
  <c r="Q25" i="41"/>
  <c r="M25" i="41"/>
  <c r="H25" i="41"/>
  <c r="S23" i="41"/>
  <c r="O23" i="41"/>
  <c r="O23" i="42" s="1"/>
  <c r="J23" i="41"/>
  <c r="J23" i="42" s="1"/>
  <c r="F23" i="41"/>
  <c r="F23" i="42" s="1"/>
  <c r="Q22" i="41"/>
  <c r="Q22" i="42" s="1"/>
  <c r="M22" i="41"/>
  <c r="M22" i="42" s="1"/>
  <c r="S36" i="41"/>
  <c r="P36" i="41"/>
  <c r="M36" i="41"/>
  <c r="J36" i="41"/>
  <c r="F31" i="41"/>
  <c r="I31" i="41"/>
  <c r="L31" i="41"/>
  <c r="O31" i="41"/>
  <c r="R31" i="41"/>
  <c r="F28" i="41"/>
  <c r="I28" i="41"/>
  <c r="L28" i="41"/>
  <c r="O28" i="41"/>
  <c r="R28" i="41"/>
  <c r="F22" i="41"/>
  <c r="I22" i="41"/>
  <c r="I22" i="42" s="1"/>
  <c r="L22" i="41"/>
  <c r="L22" i="40" s="1"/>
  <c r="O22" i="41"/>
  <c r="R22" i="41"/>
  <c r="R22" i="42" s="1"/>
  <c r="G22" i="42"/>
  <c r="C22" i="42"/>
  <c r="C19" i="42"/>
  <c r="R12" i="41"/>
  <c r="O12" i="41"/>
  <c r="L12" i="41"/>
  <c r="I12" i="41"/>
  <c r="F12" i="41"/>
  <c r="T11" i="41"/>
  <c r="K11" i="41"/>
  <c r="S12" i="41"/>
  <c r="P12" i="41"/>
  <c r="M12" i="41"/>
  <c r="J12" i="41"/>
  <c r="G12" i="41"/>
  <c r="T12" i="41"/>
  <c r="Q12" i="41"/>
  <c r="N12" i="41"/>
  <c r="K12" i="41"/>
  <c r="H12" i="41"/>
  <c r="P11" i="41"/>
  <c r="C3" i="40"/>
  <c r="C3" i="38"/>
  <c r="E3" i="38" s="1"/>
  <c r="C3" i="49"/>
  <c r="E3" i="49" s="1"/>
  <c r="E3" i="47" s="1"/>
  <c r="C3" i="48"/>
  <c r="C3" i="47"/>
  <c r="C3" i="46"/>
  <c r="E3" i="46" s="1"/>
  <c r="C3" i="44"/>
  <c r="F5" i="49"/>
  <c r="E5" i="49"/>
  <c r="K8" i="49"/>
  <c r="D117" i="32"/>
  <c r="D120" i="32"/>
  <c r="E118" i="32"/>
  <c r="F117" i="32"/>
  <c r="G118" i="32"/>
  <c r="H116" i="32"/>
  <c r="I118" i="32"/>
  <c r="M116" i="32"/>
  <c r="N118" i="32"/>
  <c r="O118" i="32"/>
  <c r="P119" i="32"/>
  <c r="Q119" i="32"/>
  <c r="R119" i="32"/>
  <c r="S119" i="32"/>
  <c r="V120" i="32"/>
  <c r="AB120" i="32"/>
  <c r="AC119" i="32"/>
  <c r="AD116" i="32"/>
  <c r="AF120" i="32"/>
  <c r="AG119" i="32"/>
  <c r="AH117" i="32"/>
  <c r="AK119" i="32"/>
  <c r="AL117" i="32"/>
  <c r="AO119" i="32"/>
  <c r="AP119" i="32"/>
  <c r="AQ118" i="32"/>
  <c r="AR117" i="32"/>
  <c r="E117" i="32"/>
  <c r="F116" i="32"/>
  <c r="G117" i="32"/>
  <c r="I117" i="32"/>
  <c r="I121" i="32" s="1"/>
  <c r="J120" i="32"/>
  <c r="N117" i="32"/>
  <c r="O117" i="32"/>
  <c r="P118" i="32"/>
  <c r="Q118" i="32"/>
  <c r="R118" i="32"/>
  <c r="S118" i="32"/>
  <c r="T120" i="32"/>
  <c r="U120" i="32"/>
  <c r="V119" i="32"/>
  <c r="W120" i="32"/>
  <c r="AB119" i="32"/>
  <c r="AC118" i="32"/>
  <c r="AF119" i="32"/>
  <c r="AG118" i="32"/>
  <c r="AH116" i="32"/>
  <c r="AH121" i="32" s="1"/>
  <c r="AJ120" i="32"/>
  <c r="AK118" i="32"/>
  <c r="AL116" i="32"/>
  <c r="AN120" i="32"/>
  <c r="AO118" i="32"/>
  <c r="D119" i="32"/>
  <c r="D118" i="32"/>
  <c r="E116" i="32"/>
  <c r="E121" i="32" s="1"/>
  <c r="G116" i="32"/>
  <c r="I116" i="32"/>
  <c r="J119" i="32"/>
  <c r="K120" i="32"/>
  <c r="N116" i="32"/>
  <c r="O116" i="32"/>
  <c r="P117" i="32"/>
  <c r="Q117" i="32"/>
  <c r="Q121" i="32" s="1"/>
  <c r="R117" i="32"/>
  <c r="S117" i="32"/>
  <c r="T119" i="32"/>
  <c r="U119" i="32"/>
  <c r="V118" i="32"/>
  <c r="W119" i="32"/>
  <c r="X120" i="32"/>
  <c r="Z120" i="32"/>
  <c r="AA120" i="32"/>
  <c r="AB118" i="32"/>
  <c r="AC117" i="32"/>
  <c r="AE120" i="32"/>
  <c r="AF118" i="32"/>
  <c r="AG117" i="32"/>
  <c r="AJ119" i="32"/>
  <c r="AK117" i="32"/>
  <c r="AN119" i="32"/>
  <c r="AO117" i="32"/>
  <c r="AP117" i="32"/>
  <c r="AQ116" i="32"/>
  <c r="AT120" i="32"/>
  <c r="AU119" i="32"/>
  <c r="AV120" i="32"/>
  <c r="AL120" i="32"/>
  <c r="AH119" i="32"/>
  <c r="AF117" i="32"/>
  <c r="AD118" i="32"/>
  <c r="AB117" i="32"/>
  <c r="Y117" i="32"/>
  <c r="X116" i="32"/>
  <c r="W116" i="32"/>
  <c r="V117" i="32"/>
  <c r="V121" i="32" s="1"/>
  <c r="P116" i="32"/>
  <c r="G119" i="32"/>
  <c r="F120" i="32"/>
  <c r="E120" i="32"/>
  <c r="AO116" i="32"/>
  <c r="AM117" i="32"/>
  <c r="AD119" i="32"/>
  <c r="Z116" i="32"/>
  <c r="AI117" i="32"/>
  <c r="AE116" i="32"/>
  <c r="AD120" i="32"/>
  <c r="AA116" i="32"/>
  <c r="Z117" i="32"/>
  <c r="Y119" i="32"/>
  <c r="X118" i="32"/>
  <c r="W118" i="32"/>
  <c r="W121" i="32" s="1"/>
  <c r="T117" i="32"/>
  <c r="S120" i="32"/>
  <c r="M117" i="32"/>
  <c r="L116" i="32"/>
  <c r="AV118" i="32"/>
  <c r="AR116" i="32"/>
  <c r="AM116" i="32"/>
  <c r="AV119" i="32"/>
  <c r="AR118" i="32"/>
  <c r="AH120" i="32"/>
  <c r="Y118" i="32"/>
  <c r="X117" i="32"/>
  <c r="W117" i="32"/>
  <c r="P120" i="32"/>
  <c r="AP116" i="32"/>
  <c r="AM119" i="32"/>
  <c r="AK120" i="32"/>
  <c r="AI118" i="32"/>
  <c r="AG116" i="32"/>
  <c r="AE117" i="32"/>
  <c r="AC116" i="32"/>
  <c r="AA117" i="32"/>
  <c r="Z118" i="32"/>
  <c r="Y120" i="32"/>
  <c r="X119" i="32"/>
  <c r="U116" i="32"/>
  <c r="T118" i="32"/>
  <c r="Q116" i="32"/>
  <c r="N119" i="32"/>
  <c r="M118" i="32"/>
  <c r="L117" i="32"/>
  <c r="K116" i="32"/>
  <c r="J116" i="32"/>
  <c r="H117" i="32"/>
  <c r="AW119" i="32"/>
  <c r="AQ120" i="32"/>
  <c r="AW120" i="32"/>
  <c r="AU120" i="32"/>
  <c r="T116" i="32"/>
  <c r="AK116" i="32"/>
  <c r="AK121" i="32" s="1"/>
  <c r="AS117" i="32"/>
  <c r="AR120" i="32"/>
  <c r="AT116" i="32"/>
  <c r="AS118" i="32"/>
  <c r="AP118" i="32"/>
  <c r="AN116" i="32"/>
  <c r="AM120" i="32"/>
  <c r="AI119" i="32"/>
  <c r="AG120" i="32"/>
  <c r="AE118" i="32"/>
  <c r="AC120" i="32"/>
  <c r="AA118" i="32"/>
  <c r="Z119" i="32"/>
  <c r="U117" i="32"/>
  <c r="Q120" i="32"/>
  <c r="N120" i="32"/>
  <c r="M119" i="32"/>
  <c r="L118" i="32"/>
  <c r="K117" i="32"/>
  <c r="J117" i="32"/>
  <c r="I119" i="32"/>
  <c r="H118" i="32"/>
  <c r="I27" i="16"/>
  <c r="H29" i="16"/>
  <c r="H31" i="16" s="1"/>
  <c r="H32" i="16" s="1"/>
  <c r="D11" i="21"/>
  <c r="D12" i="21" s="1"/>
  <c r="E11" i="21" s="1"/>
  <c r="AO120" i="32"/>
  <c r="AW116" i="32"/>
  <c r="AT117" i="32"/>
  <c r="AP120" i="32"/>
  <c r="AI120" i="32"/>
  <c r="AA119" i="32"/>
  <c r="U118" i="32"/>
  <c r="M120" i="32"/>
  <c r="L119" i="32"/>
  <c r="K118" i="32"/>
  <c r="J118" i="32"/>
  <c r="I120" i="32"/>
  <c r="H119" i="32"/>
  <c r="G16" i="16"/>
  <c r="E80" i="9"/>
  <c r="E80" i="21"/>
  <c r="E80" i="26"/>
  <c r="E73" i="32"/>
  <c r="AU118" i="32"/>
  <c r="AI116" i="32"/>
  <c r="S116" i="32"/>
  <c r="G120" i="32"/>
  <c r="AS116" i="32"/>
  <c r="AR119" i="32"/>
  <c r="AM118" i="32"/>
  <c r="AS119" i="32"/>
  <c r="AN117" i="32"/>
  <c r="AJ116" i="32"/>
  <c r="AE119" i="32"/>
  <c r="AW117" i="32"/>
  <c r="AV116" i="32"/>
  <c r="AV121" i="32" s="1"/>
  <c r="AU116" i="32"/>
  <c r="AT118" i="32"/>
  <c r="AS120" i="32"/>
  <c r="AQ117" i="32"/>
  <c r="AN118" i="32"/>
  <c r="AL118" i="32"/>
  <c r="AJ117" i="32"/>
  <c r="R116" i="32"/>
  <c r="O119" i="32"/>
  <c r="L120" i="32"/>
  <c r="K119" i="32"/>
  <c r="H120" i="32"/>
  <c r="F118" i="32"/>
  <c r="D116" i="32"/>
  <c r="F64" i="16"/>
  <c r="L145" i="16"/>
  <c r="AP120" i="21"/>
  <c r="K159" i="16"/>
  <c r="L132" i="16"/>
  <c r="G5" i="49"/>
  <c r="J8" i="49"/>
  <c r="H6" i="49"/>
  <c r="I8" i="49"/>
  <c r="G6" i="49"/>
  <c r="E4" i="38"/>
  <c r="H8" i="49"/>
  <c r="F6" i="49"/>
  <c r="E6" i="49"/>
  <c r="G8" i="49"/>
  <c r="N8" i="49"/>
  <c r="M8" i="49"/>
  <c r="T8" i="49"/>
  <c r="S8" i="49"/>
  <c r="N2" i="38"/>
  <c r="C5" i="42"/>
  <c r="C3" i="42"/>
  <c r="H2" i="49"/>
  <c r="D13" i="32"/>
  <c r="D14" i="32"/>
  <c r="I2" i="46"/>
  <c r="C8" i="45"/>
  <c r="C7" i="45"/>
  <c r="C6" i="45"/>
  <c r="C5" i="45"/>
  <c r="C4" i="45"/>
  <c r="C3" i="45"/>
  <c r="H2" i="41"/>
  <c r="I2" i="41" s="1"/>
  <c r="J2" i="41" s="1"/>
  <c r="K2" i="41" s="1"/>
  <c r="L2" i="41" s="1"/>
  <c r="M2" i="41" s="1"/>
  <c r="N2" i="41" s="1"/>
  <c r="O2" i="41" s="1"/>
  <c r="P2" i="41" s="1"/>
  <c r="Q2" i="41" s="1"/>
  <c r="R2" i="41" s="1"/>
  <c r="S2" i="41" s="1"/>
  <c r="T2" i="41" s="1"/>
  <c r="I2" i="44"/>
  <c r="C3" i="43"/>
  <c r="E3" i="43" s="1"/>
  <c r="C7" i="43"/>
  <c r="C6" i="43"/>
  <c r="E80" i="10"/>
  <c r="L54" i="16"/>
  <c r="E36" i="16"/>
  <c r="K112" i="5" s="1"/>
  <c r="E32" i="16"/>
  <c r="E112" i="5" s="1"/>
  <c r="F36" i="16"/>
  <c r="D42" i="8" s="1"/>
  <c r="L144" i="16"/>
  <c r="K169" i="16"/>
  <c r="E16" i="16"/>
  <c r="AV119" i="5"/>
  <c r="AM119" i="5"/>
  <c r="AL119" i="5"/>
  <c r="AG117" i="5"/>
  <c r="U119" i="5"/>
  <c r="T119" i="5"/>
  <c r="T117" i="5"/>
  <c r="P119" i="5"/>
  <c r="N117" i="5"/>
  <c r="K117" i="5"/>
  <c r="H117" i="5"/>
  <c r="O117" i="5"/>
  <c r="N119" i="5"/>
  <c r="K119" i="5"/>
  <c r="H119" i="5"/>
  <c r="AW117" i="5"/>
  <c r="AU117" i="5"/>
  <c r="AT119" i="5"/>
  <c r="AR119" i="5"/>
  <c r="AN117" i="5"/>
  <c r="AK117" i="5"/>
  <c r="AJ117" i="5"/>
  <c r="AI117" i="5"/>
  <c r="AH117" i="5"/>
  <c r="AC119" i="5"/>
  <c r="X117" i="5"/>
  <c r="W117" i="5"/>
  <c r="S117" i="5"/>
  <c r="O119" i="5"/>
  <c r="M117" i="5"/>
  <c r="J117" i="5"/>
  <c r="E117" i="5"/>
  <c r="F117" i="5"/>
  <c r="L117" i="16"/>
  <c r="AC117" i="5"/>
  <c r="AA117" i="5"/>
  <c r="Y119" i="5"/>
  <c r="V117" i="5"/>
  <c r="G119" i="5"/>
  <c r="D119" i="5"/>
  <c r="C137" i="12"/>
  <c r="AE117" i="5"/>
  <c r="AD117" i="5"/>
  <c r="AA119" i="5"/>
  <c r="Z117" i="5"/>
  <c r="Y117" i="5"/>
  <c r="U117" i="5"/>
  <c r="R119" i="5"/>
  <c r="Q119" i="5"/>
  <c r="Q117" i="5"/>
  <c r="L117" i="5"/>
  <c r="I117" i="5"/>
  <c r="F119" i="5"/>
  <c r="X121" i="32"/>
  <c r="D33" i="21"/>
  <c r="D90" i="21" s="1"/>
  <c r="D111" i="21" s="1"/>
  <c r="D15" i="32"/>
  <c r="AQ120" i="21"/>
  <c r="AI120" i="21"/>
  <c r="AA120" i="21"/>
  <c r="AW120" i="21"/>
  <c r="AO120" i="21"/>
  <c r="AG120" i="21"/>
  <c r="Y120" i="21"/>
  <c r="AB121" i="32"/>
  <c r="AV120" i="21"/>
  <c r="AN120" i="21"/>
  <c r="AF120" i="21"/>
  <c r="X120" i="21"/>
  <c r="AT120" i="21"/>
  <c r="AL120" i="21"/>
  <c r="D32" i="8"/>
  <c r="D89" i="8" s="1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AH89" i="8" s="1"/>
  <c r="AI89" i="8" s="1"/>
  <c r="AJ89" i="8" s="1"/>
  <c r="AK89" i="8" s="1"/>
  <c r="AL89" i="8" s="1"/>
  <c r="AM89" i="8" s="1"/>
  <c r="AN89" i="8" s="1"/>
  <c r="AO89" i="8" s="1"/>
  <c r="AP89" i="8" s="1"/>
  <c r="D33" i="8"/>
  <c r="D90" i="8" s="1"/>
  <c r="D111" i="8" s="1"/>
  <c r="C35" i="29"/>
  <c r="AW121" i="32"/>
  <c r="F121" i="32"/>
  <c r="C137" i="36"/>
  <c r="AJ121" i="32"/>
  <c r="AC121" i="32"/>
  <c r="AD121" i="32"/>
  <c r="K121" i="32"/>
  <c r="AQ121" i="32"/>
  <c r="AI121" i="32"/>
  <c r="T8" i="16"/>
  <c r="T9" i="16" s="1"/>
  <c r="L115" i="16" s="1"/>
  <c r="L60" i="16" s="1"/>
  <c r="L77" i="16" s="1"/>
  <c r="E80" i="24"/>
  <c r="E80" i="29"/>
  <c r="AU121" i="32"/>
  <c r="AG121" i="32"/>
  <c r="D9" i="9"/>
  <c r="D33" i="9"/>
  <c r="D90" i="9" s="1"/>
  <c r="D111" i="9" s="1"/>
  <c r="AM121" i="32"/>
  <c r="G217" i="12"/>
  <c r="AT121" i="32"/>
  <c r="AN121" i="32"/>
  <c r="D9" i="32"/>
  <c r="E9" i="32" s="1"/>
  <c r="D26" i="32"/>
  <c r="D83" i="32" s="1"/>
  <c r="D104" i="32" s="1"/>
  <c r="E12" i="32"/>
  <c r="F11" i="32" s="1"/>
  <c r="E15" i="32"/>
  <c r="E14" i="32"/>
  <c r="U121" i="32"/>
  <c r="R121" i="32"/>
  <c r="P121" i="32"/>
  <c r="N121" i="32"/>
  <c r="G121" i="32"/>
  <c r="C35" i="10"/>
  <c r="G223" i="12"/>
  <c r="Z121" i="32"/>
  <c r="G220" i="12"/>
  <c r="M121" i="32"/>
  <c r="G221" i="12"/>
  <c r="D32" i="5"/>
  <c r="E32" i="5" s="1"/>
  <c r="F32" i="5" s="1"/>
  <c r="G32" i="5" s="1"/>
  <c r="H32" i="5" s="1"/>
  <c r="I32" i="5" s="1"/>
  <c r="J32" i="5" s="1"/>
  <c r="K32" i="5" s="1"/>
  <c r="L32" i="5" s="1"/>
  <c r="M32" i="5" s="1"/>
  <c r="N32" i="5" s="1"/>
  <c r="O32" i="5" s="1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A32" i="5" s="1"/>
  <c r="AB32" i="5" s="1"/>
  <c r="AC32" i="5" s="1"/>
  <c r="AD32" i="5" s="1"/>
  <c r="AE32" i="5" s="1"/>
  <c r="AF32" i="5" s="1"/>
  <c r="AG32" i="5" s="1"/>
  <c r="AH32" i="5" s="1"/>
  <c r="AI32" i="5" s="1"/>
  <c r="AJ32" i="5" s="1"/>
  <c r="AK32" i="5" s="1"/>
  <c r="AL32" i="5" s="1"/>
  <c r="AM32" i="5" s="1"/>
  <c r="AN32" i="5" s="1"/>
  <c r="AO32" i="5" s="1"/>
  <c r="AP32" i="5" s="1"/>
  <c r="AQ32" i="5" s="1"/>
  <c r="AR32" i="5" s="1"/>
  <c r="AS32" i="5" s="1"/>
  <c r="AT32" i="5" s="1"/>
  <c r="AU32" i="5" s="1"/>
  <c r="AV32" i="5" s="1"/>
  <c r="AW32" i="5" s="1"/>
  <c r="E9" i="5"/>
  <c r="AR121" i="32"/>
  <c r="AL121" i="32"/>
  <c r="Y121" i="32"/>
  <c r="E9" i="21"/>
  <c r="D32" i="21"/>
  <c r="G218" i="12"/>
  <c r="G216" i="12"/>
  <c r="G219" i="12"/>
  <c r="C35" i="21"/>
  <c r="AS121" i="32"/>
  <c r="AE121" i="32"/>
  <c r="L121" i="32"/>
  <c r="J121" i="32"/>
  <c r="AF121" i="32"/>
  <c r="AA121" i="32"/>
  <c r="T121" i="32"/>
  <c r="O121" i="32"/>
  <c r="D33" i="5"/>
  <c r="D90" i="5" s="1"/>
  <c r="D111" i="5" s="1"/>
  <c r="AO121" i="32"/>
  <c r="S121" i="32"/>
  <c r="D121" i="32"/>
  <c r="AP121" i="32"/>
  <c r="E12" i="21"/>
  <c r="F11" i="21" s="1"/>
  <c r="H121" i="32"/>
  <c r="D13" i="8"/>
  <c r="D21" i="8" s="1"/>
  <c r="D118" i="5"/>
  <c r="D112" i="5"/>
  <c r="G57" i="8"/>
  <c r="H30" i="8"/>
  <c r="F9" i="8"/>
  <c r="F57" i="8"/>
  <c r="E13" i="8"/>
  <c r="G12" i="8"/>
  <c r="H11" i="8" s="1"/>
  <c r="F168" i="36"/>
  <c r="E143" i="36" s="1"/>
  <c r="K30" i="9"/>
  <c r="J57" i="9"/>
  <c r="E12" i="9"/>
  <c r="F11" i="9" s="1"/>
  <c r="H30" i="26"/>
  <c r="G57" i="26"/>
  <c r="F57" i="26"/>
  <c r="D33" i="26"/>
  <c r="D90" i="26" s="1"/>
  <c r="D111" i="26" s="1"/>
  <c r="D9" i="26"/>
  <c r="H30" i="29"/>
  <c r="G57" i="29"/>
  <c r="F57" i="29"/>
  <c r="D61" i="29"/>
  <c r="I30" i="24"/>
  <c r="D61" i="24"/>
  <c r="D41" i="24"/>
  <c r="J132" i="36" l="1"/>
  <c r="I160" i="36"/>
  <c r="H31" i="40"/>
  <c r="T9" i="44"/>
  <c r="G5" i="51"/>
  <c r="E90" i="37" s="1"/>
  <c r="H5" i="51"/>
  <c r="F90" i="37" s="1"/>
  <c r="I5" i="51"/>
  <c r="G90" i="37" s="1"/>
  <c r="J5" i="51"/>
  <c r="H90" i="37" s="1"/>
  <c r="K5" i="51"/>
  <c r="I90" i="37" s="1"/>
  <c r="L5" i="51"/>
  <c r="J90" i="37" s="1"/>
  <c r="M5" i="51"/>
  <c r="K90" i="37" s="1"/>
  <c r="N5" i="51"/>
  <c r="L90" i="37" s="1"/>
  <c r="O5" i="51"/>
  <c r="M90" i="37" s="1"/>
  <c r="P5" i="51"/>
  <c r="N90" i="37" s="1"/>
  <c r="Q5" i="51"/>
  <c r="O90" i="37" s="1"/>
  <c r="R5" i="51"/>
  <c r="P90" i="37" s="1"/>
  <c r="S5" i="51"/>
  <c r="Q90" i="37" s="1"/>
  <c r="T5" i="51"/>
  <c r="R90" i="37" s="1"/>
  <c r="H9" i="44"/>
  <c r="F9" i="44"/>
  <c r="R5" i="47"/>
  <c r="M29" i="40"/>
  <c r="Q5" i="47"/>
  <c r="E5" i="47"/>
  <c r="S11" i="44"/>
  <c r="O5" i="47"/>
  <c r="M5" i="47"/>
  <c r="N14" i="42"/>
  <c r="E14" i="42"/>
  <c r="M14" i="42"/>
  <c r="R14" i="42"/>
  <c r="I14" i="42"/>
  <c r="Q9" i="44"/>
  <c r="E9" i="44"/>
  <c r="T14" i="42"/>
  <c r="K14" i="42"/>
  <c r="S14" i="42"/>
  <c r="J14" i="42"/>
  <c r="O14" i="42"/>
  <c r="F14" i="42"/>
  <c r="J9" i="44"/>
  <c r="S9" i="44"/>
  <c r="L5" i="47"/>
  <c r="K5" i="47"/>
  <c r="N5" i="47"/>
  <c r="S5" i="47"/>
  <c r="J5" i="47"/>
  <c r="N9" i="44"/>
  <c r="L9" i="44"/>
  <c r="Q14" i="42"/>
  <c r="H14" i="42"/>
  <c r="P14" i="42"/>
  <c r="G14" i="42"/>
  <c r="L14" i="42"/>
  <c r="G9" i="44"/>
  <c r="I9" i="44"/>
  <c r="H5" i="47"/>
  <c r="T5" i="47"/>
  <c r="F5" i="47"/>
  <c r="I5" i="47"/>
  <c r="P5" i="47"/>
  <c r="E26" i="44"/>
  <c r="K31" i="44"/>
  <c r="K31" i="45" s="1"/>
  <c r="K31" i="48" s="1"/>
  <c r="S26" i="44"/>
  <c r="S26" i="45" s="1"/>
  <c r="S26" i="48" s="1"/>
  <c r="L25" i="40"/>
  <c r="J32" i="40"/>
  <c r="H33" i="40"/>
  <c r="M35" i="40"/>
  <c r="Q35" i="40"/>
  <c r="H35" i="40"/>
  <c r="H27" i="40"/>
  <c r="T26" i="44"/>
  <c r="R26" i="44"/>
  <c r="R26" i="45" s="1"/>
  <c r="R26" i="48" s="1"/>
  <c r="J26" i="45"/>
  <c r="J26" i="48" s="1"/>
  <c r="N31" i="44"/>
  <c r="N31" i="45" s="1"/>
  <c r="N31" i="48" s="1"/>
  <c r="J31" i="44"/>
  <c r="J31" i="45" s="1"/>
  <c r="J31" i="48" s="1"/>
  <c r="K25" i="40"/>
  <c r="R29" i="40"/>
  <c r="N26" i="44"/>
  <c r="N26" i="45" s="1"/>
  <c r="N26" i="48" s="1"/>
  <c r="L26" i="44"/>
  <c r="G26" i="44"/>
  <c r="O26" i="44"/>
  <c r="O26" i="45" s="1"/>
  <c r="O26" i="48" s="1"/>
  <c r="T33" i="40"/>
  <c r="H25" i="42"/>
  <c r="O25" i="42"/>
  <c r="F25" i="42"/>
  <c r="N25" i="42"/>
  <c r="O31" i="44"/>
  <c r="O31" i="45" s="1"/>
  <c r="O31" i="48" s="1"/>
  <c r="R31" i="44"/>
  <c r="R31" i="45" s="1"/>
  <c r="R31" i="48" s="1"/>
  <c r="T31" i="44"/>
  <c r="T31" i="45" s="1"/>
  <c r="T31" i="48" s="1"/>
  <c r="L31" i="44"/>
  <c r="L31" i="45" s="1"/>
  <c r="L31" i="48" s="1"/>
  <c r="T23" i="40"/>
  <c r="N29" i="40"/>
  <c r="E29" i="40"/>
  <c r="G28" i="40"/>
  <c r="N32" i="40"/>
  <c r="J35" i="40"/>
  <c r="J33" i="40"/>
  <c r="R28" i="40"/>
  <c r="P12" i="40"/>
  <c r="M31" i="44"/>
  <c r="M31" i="45" s="1"/>
  <c r="M31" i="48" s="1"/>
  <c r="I23" i="40"/>
  <c r="K32" i="40"/>
  <c r="O35" i="40"/>
  <c r="T26" i="40"/>
  <c r="K26" i="40"/>
  <c r="H28" i="40"/>
  <c r="P33" i="40"/>
  <c r="E35" i="40"/>
  <c r="J29" i="40"/>
  <c r="J22" i="40"/>
  <c r="S23" i="40"/>
  <c r="K33" i="40"/>
  <c r="T22" i="40"/>
  <c r="K26" i="44"/>
  <c r="K26" i="45" s="1"/>
  <c r="K26" i="48" s="1"/>
  <c r="I26" i="44"/>
  <c r="S7" i="49"/>
  <c r="Q7" i="49"/>
  <c r="G7" i="49"/>
  <c r="F5" i="41"/>
  <c r="F5" i="42" s="1"/>
  <c r="E5" i="41"/>
  <c r="E5" i="42" s="1"/>
  <c r="F26" i="40"/>
  <c r="O11" i="44"/>
  <c r="K11" i="44"/>
  <c r="R11" i="44"/>
  <c r="G11" i="44"/>
  <c r="I26" i="40"/>
  <c r="S31" i="40"/>
  <c r="Q28" i="40"/>
  <c r="E24" i="40"/>
  <c r="I36" i="40"/>
  <c r="J36" i="40"/>
  <c r="F11" i="44"/>
  <c r="J7" i="49"/>
  <c r="G5" i="41"/>
  <c r="G5" i="42" s="1"/>
  <c r="G29" i="44"/>
  <c r="G29" i="45" s="1"/>
  <c r="G29" i="48" s="1"/>
  <c r="E31" i="40"/>
  <c r="S36" i="40"/>
  <c r="M25" i="42"/>
  <c r="L25" i="42"/>
  <c r="R23" i="40"/>
  <c r="Q23" i="40"/>
  <c r="H23" i="40"/>
  <c r="J28" i="40"/>
  <c r="R31" i="40"/>
  <c r="I31" i="40"/>
  <c r="G33" i="40"/>
  <c r="O28" i="40"/>
  <c r="F28" i="40"/>
  <c r="E36" i="40"/>
  <c r="H36" i="40"/>
  <c r="R22" i="40"/>
  <c r="K21" i="42"/>
  <c r="T25" i="42"/>
  <c r="O12" i="40"/>
  <c r="F29" i="40"/>
  <c r="Q22" i="40"/>
  <c r="H22" i="40"/>
  <c r="J12" i="40"/>
  <c r="G31" i="40"/>
  <c r="P25" i="42"/>
  <c r="P22" i="40"/>
  <c r="P32" i="40"/>
  <c r="F18" i="42"/>
  <c r="H7" i="49"/>
  <c r="Q25" i="42"/>
  <c r="R25" i="42"/>
  <c r="I25" i="42"/>
  <c r="J25" i="42"/>
  <c r="F31" i="44"/>
  <c r="F31" i="45" s="1"/>
  <c r="F31" i="48" s="1"/>
  <c r="E31" i="44"/>
  <c r="E31" i="45" s="1"/>
  <c r="E31" i="48" s="1"/>
  <c r="O23" i="40"/>
  <c r="F23" i="40"/>
  <c r="E23" i="40"/>
  <c r="O25" i="40"/>
  <c r="N28" i="40"/>
  <c r="Q29" i="40"/>
  <c r="F32" i="40"/>
  <c r="S32" i="40"/>
  <c r="I35" i="40"/>
  <c r="H32" i="40"/>
  <c r="I33" i="40"/>
  <c r="F35" i="40"/>
  <c r="H26" i="40"/>
  <c r="F31" i="40"/>
  <c r="T35" i="40"/>
  <c r="Q25" i="40"/>
  <c r="S26" i="40"/>
  <c r="N36" i="40"/>
  <c r="F36" i="40"/>
  <c r="K12" i="40"/>
  <c r="P29" i="40"/>
  <c r="L12" i="40"/>
  <c r="F22" i="40"/>
  <c r="G32" i="40"/>
  <c r="K25" i="42"/>
  <c r="E22" i="40"/>
  <c r="P25" i="40"/>
  <c r="F33" i="40"/>
  <c r="S12" i="40"/>
  <c r="K31" i="40"/>
  <c r="Q26" i="44"/>
  <c r="Q26" i="45" s="1"/>
  <c r="Q26" i="48" s="1"/>
  <c r="H26" i="44"/>
  <c r="K11" i="40"/>
  <c r="G35" i="40"/>
  <c r="M26" i="44"/>
  <c r="E25" i="42"/>
  <c r="J11" i="44"/>
  <c r="T11" i="40"/>
  <c r="P26" i="44"/>
  <c r="P26" i="45" s="1"/>
  <c r="P26" i="48" s="1"/>
  <c r="F26" i="44"/>
  <c r="F26" i="45" s="1"/>
  <c r="F26" i="48" s="1"/>
  <c r="E8" i="47"/>
  <c r="Q8" i="47"/>
  <c r="P8" i="47"/>
  <c r="F8" i="47"/>
  <c r="H8" i="47"/>
  <c r="T8" i="47"/>
  <c r="I8" i="47"/>
  <c r="S8" i="47"/>
  <c r="K8" i="47"/>
  <c r="G8" i="47"/>
  <c r="M8" i="47"/>
  <c r="J8" i="47"/>
  <c r="N8" i="47"/>
  <c r="L8" i="47"/>
  <c r="R8" i="47"/>
  <c r="O8" i="47"/>
  <c r="E9" i="38"/>
  <c r="E9" i="40" s="1"/>
  <c r="F10" i="41"/>
  <c r="F10" i="42" s="1"/>
  <c r="I10" i="41"/>
  <c r="I10" i="40" s="1"/>
  <c r="Q10" i="41"/>
  <c r="Q10" i="40" s="1"/>
  <c r="J25" i="40"/>
  <c r="R9" i="49"/>
  <c r="M9" i="49"/>
  <c r="P7" i="49"/>
  <c r="N7" i="49"/>
  <c r="R7" i="49"/>
  <c r="L7" i="49"/>
  <c r="O7" i="49"/>
  <c r="R10" i="41"/>
  <c r="R10" i="40" s="1"/>
  <c r="G10" i="41"/>
  <c r="G10" i="40" s="1"/>
  <c r="E25" i="40"/>
  <c r="L29" i="40"/>
  <c r="N12" i="40"/>
  <c r="K7" i="49"/>
  <c r="P10" i="41"/>
  <c r="P10" i="40" s="1"/>
  <c r="H10" i="41"/>
  <c r="K23" i="40"/>
  <c r="R25" i="40"/>
  <c r="F25" i="40"/>
  <c r="E28" i="40"/>
  <c r="T29" i="40"/>
  <c r="H29" i="40"/>
  <c r="Q31" i="40"/>
  <c r="T28" i="40"/>
  <c r="N31" i="40"/>
  <c r="E33" i="40"/>
  <c r="M28" i="40"/>
  <c r="L31" i="40"/>
  <c r="M25" i="40"/>
  <c r="I28" i="40"/>
  <c r="L36" i="40"/>
  <c r="K36" i="40"/>
  <c r="M36" i="40"/>
  <c r="M22" i="40"/>
  <c r="G25" i="42"/>
  <c r="G25" i="40"/>
  <c r="O29" i="40"/>
  <c r="K9" i="46"/>
  <c r="L9" i="46"/>
  <c r="Q12" i="40"/>
  <c r="N11" i="44"/>
  <c r="E11" i="44"/>
  <c r="I11" i="44"/>
  <c r="T11" i="44"/>
  <c r="M11" i="44"/>
  <c r="Q11" i="44"/>
  <c r="L11" i="44"/>
  <c r="P11" i="44"/>
  <c r="T6" i="47"/>
  <c r="R6" i="47"/>
  <c r="L6" i="47"/>
  <c r="M6" i="47"/>
  <c r="F6" i="47"/>
  <c r="N6" i="47"/>
  <c r="H6" i="47"/>
  <c r="J6" i="47"/>
  <c r="O6" i="47"/>
  <c r="I6" i="47"/>
  <c r="S6" i="47"/>
  <c r="G6" i="47"/>
  <c r="S31" i="44"/>
  <c r="S31" i="45" s="1"/>
  <c r="S31" i="48" s="1"/>
  <c r="G31" i="44"/>
  <c r="G31" i="45" s="1"/>
  <c r="G31" i="48" s="1"/>
  <c r="L23" i="40"/>
  <c r="M26" i="40"/>
  <c r="L33" i="40"/>
  <c r="N33" i="40"/>
  <c r="Q26" i="40"/>
  <c r="E26" i="40"/>
  <c r="N35" i="40"/>
  <c r="J26" i="40"/>
  <c r="G23" i="40"/>
  <c r="T36" i="40"/>
  <c r="T12" i="40"/>
  <c r="I32" i="40"/>
  <c r="G11" i="40"/>
  <c r="I12" i="40"/>
  <c r="O22" i="40"/>
  <c r="N25" i="40"/>
  <c r="S29" i="40"/>
  <c r="N22" i="40"/>
  <c r="J23" i="40"/>
  <c r="H25" i="40"/>
  <c r="F11" i="40"/>
  <c r="H30" i="40"/>
  <c r="H12" i="40"/>
  <c r="L35" i="40"/>
  <c r="I31" i="44"/>
  <c r="I31" i="45" s="1"/>
  <c r="I31" i="48" s="1"/>
  <c r="Q31" i="44"/>
  <c r="Q31" i="45" s="1"/>
  <c r="Q31" i="48" s="1"/>
  <c r="P31" i="44"/>
  <c r="P31" i="45" s="1"/>
  <c r="P31" i="48" s="1"/>
  <c r="N23" i="40"/>
  <c r="I25" i="40"/>
  <c r="S28" i="40"/>
  <c r="K29" i="40"/>
  <c r="M31" i="40"/>
  <c r="O32" i="40"/>
  <c r="Q33" i="40"/>
  <c r="I34" i="40"/>
  <c r="R35" i="40"/>
  <c r="P28" i="40"/>
  <c r="J31" i="40"/>
  <c r="Q32" i="40"/>
  <c r="E32" i="40"/>
  <c r="R33" i="40"/>
  <c r="S35" i="40"/>
  <c r="N26" i="40"/>
  <c r="O31" i="40"/>
  <c r="S33" i="40"/>
  <c r="K35" i="40"/>
  <c r="O26" i="40"/>
  <c r="L28" i="40"/>
  <c r="P23" i="40"/>
  <c r="R36" i="40"/>
  <c r="Q36" i="40"/>
  <c r="O36" i="40"/>
  <c r="P36" i="40"/>
  <c r="H10" i="40"/>
  <c r="G12" i="40"/>
  <c r="I22" i="40"/>
  <c r="T25" i="40"/>
  <c r="R32" i="40"/>
  <c r="K9" i="44"/>
  <c r="P9" i="44"/>
  <c r="P11" i="40"/>
  <c r="R12" i="40"/>
  <c r="F12" i="40"/>
  <c r="S22" i="40"/>
  <c r="L26" i="40"/>
  <c r="M32" i="40"/>
  <c r="K22" i="40"/>
  <c r="M23" i="40"/>
  <c r="G26" i="40"/>
  <c r="R9" i="44"/>
  <c r="S25" i="40"/>
  <c r="T31" i="40"/>
  <c r="M12" i="40"/>
  <c r="E12" i="40"/>
  <c r="M9" i="44"/>
  <c r="P35" i="40"/>
  <c r="K6" i="47"/>
  <c r="Q6" i="47"/>
  <c r="P6" i="47"/>
  <c r="R9" i="41"/>
  <c r="J9" i="46"/>
  <c r="H9" i="41"/>
  <c r="G9" i="49"/>
  <c r="P9" i="49"/>
  <c r="Q9" i="41"/>
  <c r="M9" i="41"/>
  <c r="I9" i="41"/>
  <c r="J9" i="49"/>
  <c r="S9" i="49"/>
  <c r="T9" i="46"/>
  <c r="M9" i="46"/>
  <c r="K9" i="41"/>
  <c r="T9" i="41"/>
  <c r="G9" i="41"/>
  <c r="P9" i="41"/>
  <c r="L9" i="41"/>
  <c r="E9" i="49"/>
  <c r="AM66" i="37" s="1"/>
  <c r="H9" i="49"/>
  <c r="K9" i="49"/>
  <c r="N9" i="49"/>
  <c r="Q9" i="49"/>
  <c r="T9" i="49"/>
  <c r="I9" i="46"/>
  <c r="R9" i="46"/>
  <c r="E9" i="46"/>
  <c r="AM45" i="37" s="1"/>
  <c r="H9" i="46"/>
  <c r="N9" i="41"/>
  <c r="J9" i="41"/>
  <c r="S9" i="41"/>
  <c r="F9" i="41"/>
  <c r="O9" i="41"/>
  <c r="F9" i="49"/>
  <c r="I9" i="49"/>
  <c r="L9" i="49"/>
  <c r="O9" i="49"/>
  <c r="O9" i="46"/>
  <c r="F9" i="46"/>
  <c r="N9" i="46"/>
  <c r="P9" i="46"/>
  <c r="O16" i="43"/>
  <c r="L10" i="41"/>
  <c r="L10" i="40" s="1"/>
  <c r="M10" i="41"/>
  <c r="M10" i="40" s="1"/>
  <c r="E10" i="41"/>
  <c r="E10" i="40" s="1"/>
  <c r="T10" i="41"/>
  <c r="T10" i="40" s="1"/>
  <c r="M24" i="44"/>
  <c r="H25" i="44"/>
  <c r="O10" i="41"/>
  <c r="O10" i="40" s="1"/>
  <c r="J10" i="41"/>
  <c r="J10" i="40" s="1"/>
  <c r="S10" i="41"/>
  <c r="S10" i="40" s="1"/>
  <c r="N10" i="41"/>
  <c r="N10" i="40" s="1"/>
  <c r="K10" i="41"/>
  <c r="K10" i="40" s="1"/>
  <c r="E37" i="41"/>
  <c r="N34" i="41"/>
  <c r="N34" i="40" s="1"/>
  <c r="F22" i="43"/>
  <c r="O24" i="44"/>
  <c r="G23" i="44"/>
  <c r="H6" i="41"/>
  <c r="H6" i="42" s="1"/>
  <c r="L32" i="44"/>
  <c r="L32" i="45" s="1"/>
  <c r="L32" i="48" s="1"/>
  <c r="E42" i="44"/>
  <c r="N24" i="44"/>
  <c r="I37" i="41"/>
  <c r="G25" i="44"/>
  <c r="G25" i="45" s="1"/>
  <c r="G25" i="48" s="1"/>
  <c r="S24" i="44"/>
  <c r="K20" i="41"/>
  <c r="K20" i="42" s="1"/>
  <c r="F28" i="44"/>
  <c r="F28" i="45" s="1"/>
  <c r="F28" i="48" s="1"/>
  <c r="S55" i="44"/>
  <c r="F39" i="44"/>
  <c r="P11" i="43"/>
  <c r="P11" i="45" s="1"/>
  <c r="P11" i="48" s="1"/>
  <c r="N16" i="43"/>
  <c r="R52" i="44"/>
  <c r="O27" i="41"/>
  <c r="O27" i="40" s="1"/>
  <c r="G30" i="41"/>
  <c r="G30" i="40" s="1"/>
  <c r="J34" i="41"/>
  <c r="J34" i="40" s="1"/>
  <c r="T30" i="41"/>
  <c r="T30" i="40" s="1"/>
  <c r="G28" i="44"/>
  <c r="I39" i="44"/>
  <c r="S52" i="44"/>
  <c r="J55" i="44"/>
  <c r="T42" i="44"/>
  <c r="T55" i="44"/>
  <c r="M32" i="44"/>
  <c r="M32" i="45" s="1"/>
  <c r="M32" i="48" s="1"/>
  <c r="M16" i="43"/>
  <c r="F10" i="44"/>
  <c r="P27" i="41"/>
  <c r="P27" i="40" s="1"/>
  <c r="P30" i="41"/>
  <c r="P30" i="40" s="1"/>
  <c r="I30" i="41"/>
  <c r="I30" i="40" s="1"/>
  <c r="S34" i="41"/>
  <c r="S34" i="40" s="1"/>
  <c r="T37" i="41"/>
  <c r="E28" i="44"/>
  <c r="K39" i="44"/>
  <c r="J42" i="44"/>
  <c r="T52" i="44"/>
  <c r="R10" i="44"/>
  <c r="R10" i="45" s="1"/>
  <c r="R10" i="48" s="1"/>
  <c r="E24" i="44"/>
  <c r="G10" i="44"/>
  <c r="G10" i="45" s="1"/>
  <c r="G10" i="48" s="1"/>
  <c r="M25" i="44"/>
  <c r="F20" i="41"/>
  <c r="F20" i="42" s="1"/>
  <c r="O10" i="44"/>
  <c r="O10" i="45" s="1"/>
  <c r="O10" i="48" s="1"/>
  <c r="N23" i="44"/>
  <c r="O25" i="44"/>
  <c r="Q25" i="44"/>
  <c r="L25" i="44"/>
  <c r="F4" i="46"/>
  <c r="N20" i="41"/>
  <c r="N20" i="42" s="1"/>
  <c r="G27" i="41"/>
  <c r="G27" i="40" s="1"/>
  <c r="S30" i="41"/>
  <c r="S30" i="40" s="1"/>
  <c r="N27" i="41"/>
  <c r="N27" i="40" s="1"/>
  <c r="M37" i="41"/>
  <c r="N37" i="41"/>
  <c r="K27" i="41"/>
  <c r="K27" i="40" s="1"/>
  <c r="F30" i="41"/>
  <c r="F30" i="40" s="1"/>
  <c r="T34" i="41"/>
  <c r="T34" i="40" s="1"/>
  <c r="R22" i="43"/>
  <c r="P28" i="44"/>
  <c r="P28" i="45" s="1"/>
  <c r="P28" i="48" s="1"/>
  <c r="T28" i="44"/>
  <c r="R39" i="44"/>
  <c r="S42" i="44"/>
  <c r="E52" i="44"/>
  <c r="K55" i="44"/>
  <c r="G32" i="44"/>
  <c r="G32" i="45" s="1"/>
  <c r="G32" i="48" s="1"/>
  <c r="I11" i="43"/>
  <c r="N22" i="43"/>
  <c r="J13" i="41"/>
  <c r="J13" i="42" s="1"/>
  <c r="S10" i="44"/>
  <c r="E32" i="44"/>
  <c r="E32" i="45" s="1"/>
  <c r="E32" i="48" s="1"/>
  <c r="K23" i="44"/>
  <c r="R23" i="44"/>
  <c r="I42" i="44"/>
  <c r="O11" i="43"/>
  <c r="M22" i="43"/>
  <c r="K11" i="43"/>
  <c r="K11" i="45" s="1"/>
  <c r="K11" i="48" s="1"/>
  <c r="P24" i="44"/>
  <c r="T36" i="44"/>
  <c r="T36" i="45" s="1"/>
  <c r="T36" i="48" s="1"/>
  <c r="T20" i="41"/>
  <c r="T20" i="42" s="1"/>
  <c r="M27" i="41"/>
  <c r="M27" i="40" s="1"/>
  <c r="J30" i="41"/>
  <c r="J30" i="40" s="1"/>
  <c r="R27" i="41"/>
  <c r="R27" i="40" s="1"/>
  <c r="N30" i="41"/>
  <c r="N30" i="40" s="1"/>
  <c r="P34" i="41"/>
  <c r="P34" i="40" s="1"/>
  <c r="P37" i="41"/>
  <c r="E34" i="41"/>
  <c r="E34" i="40" s="1"/>
  <c r="I22" i="43"/>
  <c r="S28" i="44"/>
  <c r="S28" i="45" s="1"/>
  <c r="S28" i="48" s="1"/>
  <c r="O28" i="44"/>
  <c r="I32" i="44"/>
  <c r="I32" i="45" s="1"/>
  <c r="I32" i="48" s="1"/>
  <c r="N39" i="44"/>
  <c r="P52" i="44"/>
  <c r="H55" i="44"/>
  <c r="I10" i="44"/>
  <c r="I10" i="45" s="1"/>
  <c r="I10" i="48" s="1"/>
  <c r="Q24" i="44"/>
  <c r="P39" i="44"/>
  <c r="R11" i="43"/>
  <c r="R11" i="45" s="1"/>
  <c r="R11" i="48" s="1"/>
  <c r="P16" i="43"/>
  <c r="J32" i="44"/>
  <c r="J32" i="45" s="1"/>
  <c r="J32" i="48" s="1"/>
  <c r="M11" i="43"/>
  <c r="M11" i="45" s="1"/>
  <c r="M11" i="48" s="1"/>
  <c r="H16" i="43"/>
  <c r="J20" i="41"/>
  <c r="J20" i="42" s="1"/>
  <c r="F24" i="44"/>
  <c r="I55" i="44"/>
  <c r="F11" i="43"/>
  <c r="H22" i="43"/>
  <c r="O23" i="44"/>
  <c r="G38" i="44"/>
  <c r="T38" i="44"/>
  <c r="G41" i="44"/>
  <c r="I41" i="44"/>
  <c r="I15" i="41"/>
  <c r="I15" i="42" s="1"/>
  <c r="P15" i="41"/>
  <c r="O18" i="44"/>
  <c r="S15" i="41"/>
  <c r="S15" i="42" s="1"/>
  <c r="K41" i="44"/>
  <c r="P32" i="44"/>
  <c r="P32" i="45" s="1"/>
  <c r="P32" i="48" s="1"/>
  <c r="Q32" i="44"/>
  <c r="Q32" i="45" s="1"/>
  <c r="Q32" i="48" s="1"/>
  <c r="N32" i="44"/>
  <c r="N32" i="45" s="1"/>
  <c r="N32" i="48" s="1"/>
  <c r="T32" i="44"/>
  <c r="T32" i="45" s="1"/>
  <c r="T32" i="48" s="1"/>
  <c r="F32" i="44"/>
  <c r="F32" i="45" s="1"/>
  <c r="F32" i="48" s="1"/>
  <c r="O32" i="44"/>
  <c r="O32" i="45" s="1"/>
  <c r="O32" i="48" s="1"/>
  <c r="J39" i="44"/>
  <c r="S39" i="44"/>
  <c r="H39" i="44"/>
  <c r="Q39" i="44"/>
  <c r="M39" i="44"/>
  <c r="F16" i="43"/>
  <c r="R16" i="43"/>
  <c r="L16" i="43"/>
  <c r="T16" i="43"/>
  <c r="K16" i="43"/>
  <c r="S16" i="43"/>
  <c r="J16" i="43"/>
  <c r="I20" i="41"/>
  <c r="I20" i="42" s="1"/>
  <c r="P20" i="41"/>
  <c r="P20" i="42" s="1"/>
  <c r="O20" i="41"/>
  <c r="O20" i="42" s="1"/>
  <c r="R20" i="41"/>
  <c r="R20" i="42" s="1"/>
  <c r="H28" i="44"/>
  <c r="Q28" i="44"/>
  <c r="I28" i="44"/>
  <c r="I28" i="45" s="1"/>
  <c r="I28" i="48" s="1"/>
  <c r="R28" i="44"/>
  <c r="M28" i="44"/>
  <c r="L10" i="44"/>
  <c r="L10" i="45" s="1"/>
  <c r="L10" i="48" s="1"/>
  <c r="K10" i="44"/>
  <c r="K10" i="45" s="1"/>
  <c r="K10" i="48" s="1"/>
  <c r="T10" i="44"/>
  <c r="T10" i="45" s="1"/>
  <c r="T10" i="48" s="1"/>
  <c r="M10" i="44"/>
  <c r="N10" i="44"/>
  <c r="N10" i="45" s="1"/>
  <c r="N10" i="48" s="1"/>
  <c r="K25" i="44"/>
  <c r="K25" i="45" s="1"/>
  <c r="K25" i="48" s="1"/>
  <c r="T25" i="44"/>
  <c r="T25" i="45" s="1"/>
  <c r="T25" i="48" s="1"/>
  <c r="J25" i="44"/>
  <c r="J25" i="45" s="1"/>
  <c r="J25" i="48" s="1"/>
  <c r="S25" i="44"/>
  <c r="R25" i="44"/>
  <c r="E25" i="44"/>
  <c r="E25" i="45" s="1"/>
  <c r="E25" i="48" s="1"/>
  <c r="Q30" i="41"/>
  <c r="Q30" i="40" s="1"/>
  <c r="E30" i="41"/>
  <c r="E30" i="40" s="1"/>
  <c r="O30" i="41"/>
  <c r="O30" i="40" s="1"/>
  <c r="G34" i="41"/>
  <c r="G34" i="40" s="1"/>
  <c r="R34" i="41"/>
  <c r="R34" i="40" s="1"/>
  <c r="F34" i="41"/>
  <c r="F34" i="40" s="1"/>
  <c r="Q34" i="41"/>
  <c r="Q34" i="40" s="1"/>
  <c r="H34" i="41"/>
  <c r="H34" i="40" s="1"/>
  <c r="G24" i="44"/>
  <c r="R24" i="44"/>
  <c r="L24" i="44"/>
  <c r="K24" i="44"/>
  <c r="T24" i="44"/>
  <c r="L52" i="44"/>
  <c r="G52" i="44"/>
  <c r="O52" i="44"/>
  <c r="I52" i="44"/>
  <c r="Q52" i="44"/>
  <c r="H52" i="44"/>
  <c r="M52" i="44"/>
  <c r="K22" i="43"/>
  <c r="G22" i="43"/>
  <c r="Q22" i="43"/>
  <c r="S22" i="43"/>
  <c r="L22" i="43"/>
  <c r="G37" i="41"/>
  <c r="O37" i="41"/>
  <c r="L37" i="41"/>
  <c r="F37" i="41"/>
  <c r="R37" i="41"/>
  <c r="F23" i="44"/>
  <c r="F23" i="45" s="1"/>
  <c r="F23" i="48" s="1"/>
  <c r="J23" i="44"/>
  <c r="J23" i="45" s="1"/>
  <c r="J23" i="48" s="1"/>
  <c r="S23" i="44"/>
  <c r="S23" i="45" s="1"/>
  <c r="S23" i="48" s="1"/>
  <c r="I23" i="44"/>
  <c r="I23" i="45" s="1"/>
  <c r="I23" i="48" s="1"/>
  <c r="H23" i="44"/>
  <c r="H23" i="45" s="1"/>
  <c r="H23" i="48" s="1"/>
  <c r="Q23" i="44"/>
  <c r="P42" i="44"/>
  <c r="R42" i="44"/>
  <c r="L42" i="44"/>
  <c r="H42" i="44"/>
  <c r="Q42" i="44"/>
  <c r="O42" i="44"/>
  <c r="G55" i="44"/>
  <c r="L55" i="44"/>
  <c r="R55" i="44"/>
  <c r="N55" i="44"/>
  <c r="E55" i="44"/>
  <c r="M55" i="44"/>
  <c r="L11" i="43"/>
  <c r="Q11" i="43"/>
  <c r="J11" i="43"/>
  <c r="J11" i="45" s="1"/>
  <c r="J11" i="48" s="1"/>
  <c r="S11" i="43"/>
  <c r="S11" i="45" s="1"/>
  <c r="S11" i="48" s="1"/>
  <c r="N11" i="43"/>
  <c r="E27" i="41"/>
  <c r="E27" i="40" s="1"/>
  <c r="Q27" i="41"/>
  <c r="Q27" i="40" s="1"/>
  <c r="H20" i="41"/>
  <c r="Q20" i="41"/>
  <c r="S27" i="41"/>
  <c r="S27" i="40" s="1"/>
  <c r="J27" i="41"/>
  <c r="J27" i="40" s="1"/>
  <c r="M30" i="41"/>
  <c r="M30" i="40" s="1"/>
  <c r="I27" i="41"/>
  <c r="I27" i="40" s="1"/>
  <c r="R30" i="41"/>
  <c r="R30" i="40" s="1"/>
  <c r="M34" i="41"/>
  <c r="M34" i="40" s="1"/>
  <c r="J37" i="41"/>
  <c r="S37" i="41"/>
  <c r="H37" i="41"/>
  <c r="Q37" i="41"/>
  <c r="F27" i="41"/>
  <c r="F27" i="40" s="1"/>
  <c r="T27" i="41"/>
  <c r="T27" i="40" s="1"/>
  <c r="K30" i="41"/>
  <c r="K30" i="40" s="1"/>
  <c r="K34" i="41"/>
  <c r="K34" i="40" s="1"/>
  <c r="O22" i="43"/>
  <c r="J28" i="44"/>
  <c r="L28" i="44"/>
  <c r="L28" i="45" s="1"/>
  <c r="L28" i="48" s="1"/>
  <c r="N28" i="44"/>
  <c r="N28" i="45" s="1"/>
  <c r="N28" i="48" s="1"/>
  <c r="R32" i="44"/>
  <c r="R32" i="45" s="1"/>
  <c r="R32" i="48" s="1"/>
  <c r="L36" i="44"/>
  <c r="L36" i="45" s="1"/>
  <c r="L36" i="48" s="1"/>
  <c r="T39" i="44"/>
  <c r="E39" i="44"/>
  <c r="F42" i="44"/>
  <c r="J52" i="44"/>
  <c r="P55" i="44"/>
  <c r="K42" i="44"/>
  <c r="K52" i="44"/>
  <c r="Q55" i="44"/>
  <c r="E20" i="41"/>
  <c r="E20" i="42" s="1"/>
  <c r="E10" i="44"/>
  <c r="H24" i="44"/>
  <c r="N25" i="44"/>
  <c r="N25" i="45" s="1"/>
  <c r="N25" i="48" s="1"/>
  <c r="G39" i="44"/>
  <c r="E11" i="43"/>
  <c r="E11" i="45" s="1"/>
  <c r="E11" i="48" s="1"/>
  <c r="J22" i="43"/>
  <c r="M20" i="41"/>
  <c r="M20" i="42" s="1"/>
  <c r="O34" i="41"/>
  <c r="O34" i="40" s="1"/>
  <c r="P10" i="44"/>
  <c r="P10" i="45" s="1"/>
  <c r="P10" i="48" s="1"/>
  <c r="P25" i="44"/>
  <c r="P25" i="45" s="1"/>
  <c r="P25" i="48" s="1"/>
  <c r="S32" i="44"/>
  <c r="S32" i="45" s="1"/>
  <c r="S32" i="48" s="1"/>
  <c r="L39" i="44"/>
  <c r="G11" i="43"/>
  <c r="G11" i="45" s="1"/>
  <c r="G11" i="48" s="1"/>
  <c r="E16" i="43"/>
  <c r="Q16" i="43"/>
  <c r="S20" i="41"/>
  <c r="S20" i="42" s="1"/>
  <c r="L27" i="41"/>
  <c r="L27" i="40" s="1"/>
  <c r="H10" i="44"/>
  <c r="H10" i="45" s="1"/>
  <c r="H10" i="48" s="1"/>
  <c r="T23" i="44"/>
  <c r="T23" i="45" s="1"/>
  <c r="T23" i="48" s="1"/>
  <c r="E23" i="44"/>
  <c r="M42" i="44"/>
  <c r="G20" i="41"/>
  <c r="G20" i="42" s="1"/>
  <c r="L34" i="41"/>
  <c r="L34" i="40" s="1"/>
  <c r="T11" i="43"/>
  <c r="T11" i="45" s="1"/>
  <c r="T11" i="48" s="1"/>
  <c r="I13" i="41"/>
  <c r="I13" i="42" s="1"/>
  <c r="M23" i="44"/>
  <c r="L30" i="41"/>
  <c r="L30" i="40" s="1"/>
  <c r="H32" i="44"/>
  <c r="H32" i="45" s="1"/>
  <c r="H32" i="48" s="1"/>
  <c r="G42" i="44"/>
  <c r="F52" i="44"/>
  <c r="I16" i="43"/>
  <c r="T22" i="43"/>
  <c r="Q10" i="44"/>
  <c r="Q10" i="45" s="1"/>
  <c r="Q10" i="48" s="1"/>
  <c r="F25" i="44"/>
  <c r="F25" i="45" s="1"/>
  <c r="F25" i="48" s="1"/>
  <c r="J24" i="44"/>
  <c r="P22" i="43"/>
  <c r="O55" i="44"/>
  <c r="L23" i="44"/>
  <c r="L23" i="45" s="1"/>
  <c r="L23" i="48" s="1"/>
  <c r="H11" i="45"/>
  <c r="H11" i="48" s="1"/>
  <c r="E4" i="49"/>
  <c r="F4" i="41"/>
  <c r="F4" i="42" s="1"/>
  <c r="AN18" i="37" s="1"/>
  <c r="H18" i="41"/>
  <c r="H18" i="42" s="1"/>
  <c r="O21" i="44"/>
  <c r="L30" i="44"/>
  <c r="E18" i="44"/>
  <c r="T21" i="44"/>
  <c r="H30" i="44"/>
  <c r="R18" i="44"/>
  <c r="Q15" i="41"/>
  <c r="Q15" i="42" s="1"/>
  <c r="R30" i="44"/>
  <c r="Q18" i="41"/>
  <c r="Q18" i="42" s="1"/>
  <c r="T30" i="44"/>
  <c r="M15" i="44"/>
  <c r="M15" i="45" s="1"/>
  <c r="M15" i="48" s="1"/>
  <c r="P30" i="44"/>
  <c r="F15" i="44"/>
  <c r="N15" i="44"/>
  <c r="N15" i="45" s="1"/>
  <c r="N15" i="48" s="1"/>
  <c r="N18" i="44"/>
  <c r="M38" i="44"/>
  <c r="AN68" i="37"/>
  <c r="G18" i="41"/>
  <c r="G18" i="42" s="1"/>
  <c r="R38" i="44"/>
  <c r="J49" i="44"/>
  <c r="R21" i="44"/>
  <c r="P38" i="44"/>
  <c r="H41" i="44"/>
  <c r="P13" i="41"/>
  <c r="P13" i="42" s="1"/>
  <c r="F18" i="44"/>
  <c r="Q15" i="44"/>
  <c r="H21" i="44"/>
  <c r="M41" i="44"/>
  <c r="G15" i="44"/>
  <c r="G15" i="45" s="1"/>
  <c r="G15" i="48" s="1"/>
  <c r="F13" i="41"/>
  <c r="F13" i="42" s="1"/>
  <c r="G15" i="41"/>
  <c r="G15" i="42" s="1"/>
  <c r="I24" i="41"/>
  <c r="I24" i="42" s="1"/>
  <c r="O24" i="41"/>
  <c r="O24" i="42" s="1"/>
  <c r="G6" i="41"/>
  <c r="G6" i="42" s="1"/>
  <c r="J18" i="41"/>
  <c r="J18" i="42" s="1"/>
  <c r="S24" i="41"/>
  <c r="S24" i="42" s="1"/>
  <c r="Q30" i="44"/>
  <c r="I38" i="44"/>
  <c r="K36" i="44"/>
  <c r="K36" i="45" s="1"/>
  <c r="K36" i="48" s="1"/>
  <c r="M18" i="44"/>
  <c r="K15" i="41"/>
  <c r="K15" i="42" s="1"/>
  <c r="J15" i="44"/>
  <c r="J15" i="45" s="1"/>
  <c r="J15" i="48" s="1"/>
  <c r="J21" i="44"/>
  <c r="E41" i="44"/>
  <c r="H13" i="41"/>
  <c r="H13" i="42" s="1"/>
  <c r="E15" i="44"/>
  <c r="E15" i="45" s="1"/>
  <c r="E15" i="48" s="1"/>
  <c r="T18" i="44"/>
  <c r="Q21" i="44"/>
  <c r="E30" i="44"/>
  <c r="J15" i="41"/>
  <c r="J15" i="42" s="1"/>
  <c r="G21" i="44"/>
  <c r="E15" i="41"/>
  <c r="E15" i="42" s="1"/>
  <c r="L13" i="41"/>
  <c r="L13" i="42" s="1"/>
  <c r="F6" i="41"/>
  <c r="F6" i="42" s="1"/>
  <c r="J24" i="41"/>
  <c r="J24" i="42" s="1"/>
  <c r="F22" i="45"/>
  <c r="F22" i="48" s="1"/>
  <c r="T18" i="43"/>
  <c r="M27" i="44"/>
  <c r="F46" i="44"/>
  <c r="K49" i="44"/>
  <c r="T33" i="44"/>
  <c r="T33" i="45" s="1"/>
  <c r="T33" i="48" s="1"/>
  <c r="M43" i="44"/>
  <c r="P46" i="44"/>
  <c r="P22" i="44"/>
  <c r="H46" i="44"/>
  <c r="Q35" i="44"/>
  <c r="Q35" i="45" s="1"/>
  <c r="Q35" i="48" s="1"/>
  <c r="R22" i="44"/>
  <c r="H22" i="44"/>
  <c r="E4" i="42"/>
  <c r="E6" i="41"/>
  <c r="E6" i="42" s="1"/>
  <c r="T18" i="41"/>
  <c r="T18" i="42" s="1"/>
  <c r="S18" i="41"/>
  <c r="S18" i="42" s="1"/>
  <c r="R18" i="41"/>
  <c r="Q24" i="41"/>
  <c r="Q24" i="42" s="1"/>
  <c r="K30" i="44"/>
  <c r="F35" i="44"/>
  <c r="F35" i="45" s="1"/>
  <c r="F35" i="48" s="1"/>
  <c r="Q29" i="44"/>
  <c r="Q29" i="45" s="1"/>
  <c r="Q29" i="48" s="1"/>
  <c r="N43" i="44"/>
  <c r="N46" i="44"/>
  <c r="N49" i="44"/>
  <c r="M36" i="44"/>
  <c r="M36" i="45" s="1"/>
  <c r="M36" i="48" s="1"/>
  <c r="H36" i="44"/>
  <c r="H36" i="45" s="1"/>
  <c r="H36" i="48" s="1"/>
  <c r="O43" i="44"/>
  <c r="T46" i="44"/>
  <c r="G46" i="44"/>
  <c r="S49" i="44"/>
  <c r="R15" i="44"/>
  <c r="R15" i="45" s="1"/>
  <c r="R15" i="48" s="1"/>
  <c r="M21" i="44"/>
  <c r="G22" i="44"/>
  <c r="G22" i="45" s="1"/>
  <c r="G22" i="48" s="1"/>
  <c r="J38" i="44"/>
  <c r="H15" i="41"/>
  <c r="H15" i="42" s="1"/>
  <c r="T15" i="41"/>
  <c r="T15" i="42" s="1"/>
  <c r="S15" i="44"/>
  <c r="S15" i="45" s="1"/>
  <c r="S15" i="48" s="1"/>
  <c r="S18" i="44"/>
  <c r="S30" i="44"/>
  <c r="E38" i="44"/>
  <c r="Q46" i="44"/>
  <c r="N13" i="41"/>
  <c r="N13" i="42" s="1"/>
  <c r="H15" i="44"/>
  <c r="H15" i="45" s="1"/>
  <c r="H15" i="48" s="1"/>
  <c r="K18" i="44"/>
  <c r="K21" i="44"/>
  <c r="M30" i="44"/>
  <c r="P41" i="44"/>
  <c r="F15" i="41"/>
  <c r="F15" i="42" s="1"/>
  <c r="N38" i="44"/>
  <c r="R13" i="41"/>
  <c r="R13" i="42" s="1"/>
  <c r="L43" i="44"/>
  <c r="M15" i="41"/>
  <c r="M15" i="42" s="1"/>
  <c r="L15" i="41"/>
  <c r="L15" i="42" s="1"/>
  <c r="G18" i="44"/>
  <c r="L15" i="44"/>
  <c r="L15" i="45" s="1"/>
  <c r="L15" i="48" s="1"/>
  <c r="I22" i="44"/>
  <c r="I22" i="45" s="1"/>
  <c r="I22" i="48" s="1"/>
  <c r="L18" i="41"/>
  <c r="L18" i="42" s="1"/>
  <c r="Q17" i="42"/>
  <c r="H17" i="42"/>
  <c r="P17" i="42"/>
  <c r="G17" i="42"/>
  <c r="L17" i="42"/>
  <c r="P24" i="41"/>
  <c r="P24" i="42" s="1"/>
  <c r="G24" i="41"/>
  <c r="G24" i="42" s="1"/>
  <c r="N24" i="41"/>
  <c r="N24" i="42" s="1"/>
  <c r="H24" i="41"/>
  <c r="H24" i="42" s="1"/>
  <c r="F24" i="41"/>
  <c r="F24" i="42" s="1"/>
  <c r="T24" i="41"/>
  <c r="T24" i="42" s="1"/>
  <c r="H18" i="43"/>
  <c r="P18" i="43"/>
  <c r="P18" i="45" s="1"/>
  <c r="P18" i="48" s="1"/>
  <c r="R29" i="44"/>
  <c r="R29" i="45" s="1"/>
  <c r="R29" i="48" s="1"/>
  <c r="H29" i="44"/>
  <c r="H29" i="45" s="1"/>
  <c r="H29" i="48" s="1"/>
  <c r="N27" i="44"/>
  <c r="R27" i="44"/>
  <c r="E43" i="44"/>
  <c r="R43" i="44"/>
  <c r="E46" i="44"/>
  <c r="R46" i="44"/>
  <c r="E49" i="44"/>
  <c r="R49" i="44"/>
  <c r="F33" i="44"/>
  <c r="F33" i="45" s="1"/>
  <c r="F33" i="48" s="1"/>
  <c r="F43" i="44"/>
  <c r="T43" i="44"/>
  <c r="K46" i="44"/>
  <c r="O49" i="44"/>
  <c r="K33" i="44"/>
  <c r="K33" i="45" s="1"/>
  <c r="K33" i="48" s="1"/>
  <c r="S43" i="44"/>
  <c r="J43" i="44"/>
  <c r="M46" i="44"/>
  <c r="P49" i="44"/>
  <c r="G49" i="44"/>
  <c r="M22" i="44"/>
  <c r="S35" i="44"/>
  <c r="S35" i="45" s="1"/>
  <c r="S35" i="48" s="1"/>
  <c r="Q49" i="44"/>
  <c r="K16" i="41"/>
  <c r="K16" i="42" s="1"/>
  <c r="N17" i="42"/>
  <c r="E17" i="42"/>
  <c r="M17" i="42"/>
  <c r="R17" i="42"/>
  <c r="I17" i="42"/>
  <c r="E22" i="44"/>
  <c r="E22" i="45" s="1"/>
  <c r="E22" i="48" s="1"/>
  <c r="L49" i="44"/>
  <c r="F16" i="41"/>
  <c r="F16" i="42" s="1"/>
  <c r="Q22" i="44"/>
  <c r="Q22" i="45" s="1"/>
  <c r="Q22" i="48" s="1"/>
  <c r="G16" i="41"/>
  <c r="G16" i="42" s="1"/>
  <c r="P15" i="42"/>
  <c r="O22" i="44"/>
  <c r="J35" i="44"/>
  <c r="J35" i="45" s="1"/>
  <c r="J35" i="48" s="1"/>
  <c r="N22" i="44"/>
  <c r="T22" i="44"/>
  <c r="F4" i="44"/>
  <c r="E4" i="44"/>
  <c r="K18" i="41"/>
  <c r="K18" i="42" s="1"/>
  <c r="P18" i="41"/>
  <c r="P18" i="42" s="1"/>
  <c r="M24" i="41"/>
  <c r="M24" i="42" s="1"/>
  <c r="R24" i="41"/>
  <c r="R24" i="42" s="1"/>
  <c r="L24" i="41"/>
  <c r="L24" i="42" s="1"/>
  <c r="K24" i="41"/>
  <c r="K24" i="42" s="1"/>
  <c r="I18" i="43"/>
  <c r="G18" i="43"/>
  <c r="N30" i="44"/>
  <c r="O35" i="44"/>
  <c r="O35" i="45" s="1"/>
  <c r="O35" i="48" s="1"/>
  <c r="L38" i="44"/>
  <c r="I29" i="44"/>
  <c r="I29" i="45" s="1"/>
  <c r="I29" i="48" s="1"/>
  <c r="P29" i="44"/>
  <c r="P29" i="45" s="1"/>
  <c r="P29" i="48" s="1"/>
  <c r="E27" i="44"/>
  <c r="I27" i="44"/>
  <c r="F36" i="44"/>
  <c r="F36" i="45" s="1"/>
  <c r="F36" i="48" s="1"/>
  <c r="I43" i="44"/>
  <c r="I46" i="44"/>
  <c r="I49" i="44"/>
  <c r="R36" i="44"/>
  <c r="R36" i="45" s="1"/>
  <c r="R36" i="48" s="1"/>
  <c r="Q36" i="44"/>
  <c r="Q36" i="45" s="1"/>
  <c r="Q36" i="48" s="1"/>
  <c r="K43" i="44"/>
  <c r="O46" i="44"/>
  <c r="F49" i="44"/>
  <c r="T49" i="44"/>
  <c r="R33" i="44"/>
  <c r="R33" i="45" s="1"/>
  <c r="R33" i="48" s="1"/>
  <c r="P43" i="44"/>
  <c r="G43" i="44"/>
  <c r="S46" i="44"/>
  <c r="J46" i="44"/>
  <c r="M49" i="44"/>
  <c r="I15" i="44"/>
  <c r="I15" i="45" s="1"/>
  <c r="I15" i="48" s="1"/>
  <c r="I18" i="44"/>
  <c r="I21" i="44"/>
  <c r="S22" i="44"/>
  <c r="J22" i="44"/>
  <c r="J30" i="44"/>
  <c r="P36" i="44"/>
  <c r="P36" i="45" s="1"/>
  <c r="P36" i="48" s="1"/>
  <c r="Q41" i="44"/>
  <c r="S13" i="41"/>
  <c r="S13" i="42" s="1"/>
  <c r="N15" i="41"/>
  <c r="N15" i="42" s="1"/>
  <c r="P16" i="41"/>
  <c r="P16" i="42" s="1"/>
  <c r="O15" i="44"/>
  <c r="O15" i="45" s="1"/>
  <c r="O15" i="48" s="1"/>
  <c r="J18" i="44"/>
  <c r="F21" i="44"/>
  <c r="S21" i="44"/>
  <c r="F30" i="44"/>
  <c r="K38" i="44"/>
  <c r="R41" i="44"/>
  <c r="E13" i="41"/>
  <c r="E13" i="42" s="1"/>
  <c r="Q13" i="41"/>
  <c r="Q13" i="42" s="1"/>
  <c r="T16" i="41"/>
  <c r="T16" i="42" s="1"/>
  <c r="T15" i="44"/>
  <c r="T15" i="45" s="1"/>
  <c r="T15" i="48" s="1"/>
  <c r="K15" i="44"/>
  <c r="K15" i="45" s="1"/>
  <c r="K15" i="48" s="1"/>
  <c r="Q18" i="44"/>
  <c r="H18" i="44"/>
  <c r="N21" i="44"/>
  <c r="E21" i="44"/>
  <c r="I30" i="44"/>
  <c r="H38" i="44"/>
  <c r="T17" i="42"/>
  <c r="K17" i="42"/>
  <c r="S17" i="42"/>
  <c r="J17" i="42"/>
  <c r="O17" i="42"/>
  <c r="F17" i="42"/>
  <c r="K22" i="44"/>
  <c r="O13" i="41"/>
  <c r="O13" i="42" s="1"/>
  <c r="O15" i="41"/>
  <c r="O15" i="42" s="1"/>
  <c r="L22" i="44"/>
  <c r="L22" i="45" s="1"/>
  <c r="L22" i="48" s="1"/>
  <c r="R16" i="41"/>
  <c r="R16" i="42" s="1"/>
  <c r="H43" i="44"/>
  <c r="O30" i="44"/>
  <c r="R15" i="41"/>
  <c r="R15" i="42" s="1"/>
  <c r="P35" i="44"/>
  <c r="P35" i="45" s="1"/>
  <c r="P35" i="48" s="1"/>
  <c r="O33" i="44"/>
  <c r="O33" i="45" s="1"/>
  <c r="O33" i="48" s="1"/>
  <c r="L18" i="44"/>
  <c r="L21" i="44"/>
  <c r="E6" i="46"/>
  <c r="H25" i="45"/>
  <c r="H25" i="48" s="1"/>
  <c r="G6" i="46"/>
  <c r="Q25" i="45"/>
  <c r="Q25" i="48" s="1"/>
  <c r="E5" i="38"/>
  <c r="E5" i="46"/>
  <c r="AM47" i="37" s="1"/>
  <c r="F5" i="46"/>
  <c r="AN47" i="37" s="1"/>
  <c r="E5" i="44"/>
  <c r="E5" i="45" s="1"/>
  <c r="E5" i="48" s="1"/>
  <c r="L18" i="43"/>
  <c r="N18" i="43"/>
  <c r="E18" i="43"/>
  <c r="M18" i="43"/>
  <c r="M18" i="45" s="1"/>
  <c r="M18" i="48" s="1"/>
  <c r="K18" i="43"/>
  <c r="L35" i="44"/>
  <c r="L35" i="45" s="1"/>
  <c r="L35" i="48" s="1"/>
  <c r="O29" i="44"/>
  <c r="O29" i="45" s="1"/>
  <c r="O29" i="48" s="1"/>
  <c r="F29" i="44"/>
  <c r="F29" i="45" s="1"/>
  <c r="F29" i="48" s="1"/>
  <c r="N29" i="44"/>
  <c r="N29" i="45" s="1"/>
  <c r="N29" i="48" s="1"/>
  <c r="E29" i="44"/>
  <c r="E29" i="45" s="1"/>
  <c r="E29" i="48" s="1"/>
  <c r="M29" i="44"/>
  <c r="M29" i="45" s="1"/>
  <c r="M29" i="48" s="1"/>
  <c r="T27" i="44"/>
  <c r="K27" i="44"/>
  <c r="S27" i="44"/>
  <c r="J27" i="44"/>
  <c r="O27" i="44"/>
  <c r="F27" i="44"/>
  <c r="J33" i="44"/>
  <c r="J33" i="45" s="1"/>
  <c r="J33" i="48" s="1"/>
  <c r="L33" i="44"/>
  <c r="L33" i="45" s="1"/>
  <c r="L33" i="48" s="1"/>
  <c r="M33" i="44"/>
  <c r="M33" i="45" s="1"/>
  <c r="M33" i="48" s="1"/>
  <c r="Q33" i="44"/>
  <c r="Q33" i="45" s="1"/>
  <c r="Q33" i="48" s="1"/>
  <c r="H33" i="44"/>
  <c r="H33" i="45" s="1"/>
  <c r="H33" i="48" s="1"/>
  <c r="E35" i="44"/>
  <c r="E35" i="45" s="1"/>
  <c r="E35" i="48" s="1"/>
  <c r="J16" i="41"/>
  <c r="J16" i="42" s="1"/>
  <c r="S16" i="41"/>
  <c r="S16" i="42" s="1"/>
  <c r="F18" i="45"/>
  <c r="F18" i="48" s="1"/>
  <c r="M35" i="44"/>
  <c r="M35" i="45" s="1"/>
  <c r="M35" i="48" s="1"/>
  <c r="E16" i="41"/>
  <c r="E16" i="42" s="1"/>
  <c r="N16" i="41"/>
  <c r="N16" i="42" s="1"/>
  <c r="O16" i="41"/>
  <c r="O16" i="42" s="1"/>
  <c r="G35" i="44"/>
  <c r="G35" i="45" s="1"/>
  <c r="G35" i="48" s="1"/>
  <c r="G33" i="44"/>
  <c r="G33" i="45" s="1"/>
  <c r="G33" i="48" s="1"/>
  <c r="F41" i="44"/>
  <c r="O41" i="44"/>
  <c r="F6" i="46"/>
  <c r="N18" i="41"/>
  <c r="N18" i="42" s="1"/>
  <c r="E18" i="41"/>
  <c r="E18" i="42" s="1"/>
  <c r="M18" i="41"/>
  <c r="M18" i="42" s="1"/>
  <c r="O18" i="41"/>
  <c r="O18" i="42" s="1"/>
  <c r="I18" i="41"/>
  <c r="I18" i="42" s="1"/>
  <c r="Q18" i="43"/>
  <c r="R18" i="43"/>
  <c r="S18" i="43"/>
  <c r="J18" i="43"/>
  <c r="O18" i="43"/>
  <c r="R35" i="44"/>
  <c r="R35" i="45" s="1"/>
  <c r="R35" i="48" s="1"/>
  <c r="I35" i="44"/>
  <c r="I35" i="45" s="1"/>
  <c r="I35" i="48" s="1"/>
  <c r="O38" i="44"/>
  <c r="F38" i="44"/>
  <c r="L29" i="44"/>
  <c r="L29" i="45" s="1"/>
  <c r="L29" i="48" s="1"/>
  <c r="T29" i="44"/>
  <c r="T29" i="45" s="1"/>
  <c r="T29" i="48" s="1"/>
  <c r="K29" i="44"/>
  <c r="K29" i="45" s="1"/>
  <c r="K29" i="48" s="1"/>
  <c r="S29" i="44"/>
  <c r="S29" i="45" s="1"/>
  <c r="S29" i="48" s="1"/>
  <c r="Q27" i="44"/>
  <c r="H27" i="44"/>
  <c r="P27" i="44"/>
  <c r="G27" i="44"/>
  <c r="P33" i="44"/>
  <c r="P33" i="45" s="1"/>
  <c r="P33" i="48" s="1"/>
  <c r="S36" i="44"/>
  <c r="S36" i="45" s="1"/>
  <c r="S36" i="48" s="1"/>
  <c r="S33" i="44"/>
  <c r="S33" i="45" s="1"/>
  <c r="S33" i="48" s="1"/>
  <c r="I36" i="44"/>
  <c r="I36" i="45" s="1"/>
  <c r="I36" i="48" s="1"/>
  <c r="N36" i="44"/>
  <c r="N36" i="45" s="1"/>
  <c r="N36" i="48" s="1"/>
  <c r="E36" i="44"/>
  <c r="E36" i="45" s="1"/>
  <c r="E36" i="48" s="1"/>
  <c r="I33" i="44"/>
  <c r="I33" i="45" s="1"/>
  <c r="I33" i="48" s="1"/>
  <c r="N33" i="44"/>
  <c r="N33" i="45" s="1"/>
  <c r="N33" i="48" s="1"/>
  <c r="K35" i="44"/>
  <c r="K35" i="45" s="1"/>
  <c r="K35" i="48" s="1"/>
  <c r="G36" i="44"/>
  <c r="G36" i="45" s="1"/>
  <c r="G36" i="48" s="1"/>
  <c r="L41" i="44"/>
  <c r="M13" i="41"/>
  <c r="M13" i="42" s="1"/>
  <c r="M16" i="41"/>
  <c r="M16" i="42" s="1"/>
  <c r="H35" i="44"/>
  <c r="H35" i="45" s="1"/>
  <c r="H35" i="48" s="1"/>
  <c r="S38" i="44"/>
  <c r="N41" i="44"/>
  <c r="K13" i="41"/>
  <c r="K13" i="42" s="1"/>
  <c r="T13" i="41"/>
  <c r="T13" i="42" s="1"/>
  <c r="H16" i="41"/>
  <c r="H16" i="42" s="1"/>
  <c r="Q16" i="41"/>
  <c r="Q16" i="42" s="1"/>
  <c r="E9" i="42"/>
  <c r="Q38" i="44"/>
  <c r="S41" i="44"/>
  <c r="J41" i="44"/>
  <c r="I16" i="41"/>
  <c r="I16" i="42" s="1"/>
  <c r="T35" i="44"/>
  <c r="T35" i="45" s="1"/>
  <c r="T35" i="48" s="1"/>
  <c r="P23" i="45"/>
  <c r="P23" i="48" s="1"/>
  <c r="O36" i="44"/>
  <c r="O36" i="45" s="1"/>
  <c r="O36" i="48" s="1"/>
  <c r="O23" i="45"/>
  <c r="O23" i="48" s="1"/>
  <c r="L26" i="45"/>
  <c r="L26" i="48" s="1"/>
  <c r="G23" i="45"/>
  <c r="G23" i="48" s="1"/>
  <c r="G26" i="45"/>
  <c r="G26" i="48" s="1"/>
  <c r="N23" i="45"/>
  <c r="N23" i="48" s="1"/>
  <c r="E23" i="45"/>
  <c r="E23" i="48" s="1"/>
  <c r="E26" i="45"/>
  <c r="E26" i="48" s="1"/>
  <c r="T28" i="45"/>
  <c r="T28" i="48" s="1"/>
  <c r="Q9" i="46"/>
  <c r="G9" i="46"/>
  <c r="S9" i="46"/>
  <c r="R23" i="45"/>
  <c r="R23" i="48" s="1"/>
  <c r="O25" i="45"/>
  <c r="O25" i="48" s="1"/>
  <c r="O11" i="45"/>
  <c r="O11" i="48" s="1"/>
  <c r="H13" i="43"/>
  <c r="J21" i="41"/>
  <c r="J21" i="42" s="1"/>
  <c r="R21" i="41"/>
  <c r="R21" i="42" s="1"/>
  <c r="I26" i="45"/>
  <c r="I26" i="48" s="1"/>
  <c r="I13" i="43"/>
  <c r="M23" i="45"/>
  <c r="M23" i="48" s="1"/>
  <c r="O28" i="45"/>
  <c r="O28" i="48" s="1"/>
  <c r="J29" i="45"/>
  <c r="J29" i="48" s="1"/>
  <c r="O8" i="49"/>
  <c r="P8" i="49"/>
  <c r="R8" i="49"/>
  <c r="L8" i="49"/>
  <c r="F8" i="49"/>
  <c r="E8" i="49"/>
  <c r="S10" i="45"/>
  <c r="S10" i="48" s="1"/>
  <c r="O13" i="43"/>
  <c r="O11" i="41"/>
  <c r="O11" i="42" s="1"/>
  <c r="I11" i="41"/>
  <c r="I11" i="40" s="1"/>
  <c r="M12" i="44"/>
  <c r="M12" i="45" s="1"/>
  <c r="M12" i="48" s="1"/>
  <c r="J12" i="44"/>
  <c r="J12" i="45" s="1"/>
  <c r="J12" i="48" s="1"/>
  <c r="T12" i="44"/>
  <c r="T12" i="45" s="1"/>
  <c r="T12" i="48" s="1"/>
  <c r="K12" i="44"/>
  <c r="K12" i="45" s="1"/>
  <c r="K12" i="48" s="1"/>
  <c r="G12" i="44"/>
  <c r="G12" i="45" s="1"/>
  <c r="G12" i="48" s="1"/>
  <c r="L12" i="44"/>
  <c r="L12" i="45" s="1"/>
  <c r="L12" i="48" s="1"/>
  <c r="Q28" i="45"/>
  <c r="Q28" i="48" s="1"/>
  <c r="H28" i="45"/>
  <c r="H28" i="48" s="1"/>
  <c r="R12" i="44"/>
  <c r="R12" i="45" s="1"/>
  <c r="R12" i="48" s="1"/>
  <c r="R13" i="43"/>
  <c r="J10" i="45"/>
  <c r="J10" i="48" s="1"/>
  <c r="O12" i="44"/>
  <c r="O12" i="45" s="1"/>
  <c r="O12" i="48" s="1"/>
  <c r="S13" i="43"/>
  <c r="Q12" i="44"/>
  <c r="Q12" i="45" s="1"/>
  <c r="Q12" i="48" s="1"/>
  <c r="H12" i="44"/>
  <c r="H12" i="45" s="1"/>
  <c r="H12" i="48" s="1"/>
  <c r="Q13" i="43"/>
  <c r="E13" i="43"/>
  <c r="L13" i="43"/>
  <c r="P12" i="44"/>
  <c r="P12" i="45" s="1"/>
  <c r="P12" i="48" s="1"/>
  <c r="I12" i="44"/>
  <c r="I12" i="45" s="1"/>
  <c r="I12" i="48" s="1"/>
  <c r="F12" i="44"/>
  <c r="F12" i="45" s="1"/>
  <c r="F12" i="48" s="1"/>
  <c r="S12" i="44"/>
  <c r="S12" i="45" s="1"/>
  <c r="S12" i="48" s="1"/>
  <c r="F13" i="43"/>
  <c r="N12" i="44"/>
  <c r="N12" i="45" s="1"/>
  <c r="N12" i="48" s="1"/>
  <c r="E3" i="44"/>
  <c r="L25" i="45"/>
  <c r="L25" i="48" s="1"/>
  <c r="L11" i="45"/>
  <c r="L11" i="48" s="1"/>
  <c r="E12" i="45"/>
  <c r="E12" i="48" s="1"/>
  <c r="F10" i="45"/>
  <c r="F10" i="48" s="1"/>
  <c r="I25" i="45"/>
  <c r="I25" i="48" s="1"/>
  <c r="M26" i="45"/>
  <c r="M26" i="48" s="1"/>
  <c r="T18" i="45"/>
  <c r="T18" i="48" s="1"/>
  <c r="G28" i="45"/>
  <c r="G28" i="48" s="1"/>
  <c r="K28" i="45"/>
  <c r="K28" i="48" s="1"/>
  <c r="J11" i="41"/>
  <c r="J11" i="42" s="1"/>
  <c r="S11" i="41"/>
  <c r="S11" i="42" s="1"/>
  <c r="E11" i="41"/>
  <c r="E11" i="40" s="1"/>
  <c r="N11" i="41"/>
  <c r="N11" i="42" s="1"/>
  <c r="R11" i="41"/>
  <c r="R11" i="42" s="1"/>
  <c r="U16" i="37"/>
  <c r="O21" i="41"/>
  <c r="O21" i="42" s="1"/>
  <c r="K23" i="45"/>
  <c r="K23" i="48" s="1"/>
  <c r="T26" i="45"/>
  <c r="T26" i="48" s="1"/>
  <c r="M25" i="45"/>
  <c r="M25" i="48" s="1"/>
  <c r="G13" i="43"/>
  <c r="P13" i="43"/>
  <c r="M11" i="41"/>
  <c r="M11" i="42" s="1"/>
  <c r="H11" i="41"/>
  <c r="H11" i="42" s="1"/>
  <c r="Q11" i="41"/>
  <c r="Q11" i="42" s="1"/>
  <c r="L11" i="41"/>
  <c r="L11" i="42" s="1"/>
  <c r="S21" i="41"/>
  <c r="S21" i="42" s="1"/>
  <c r="Q23" i="45"/>
  <c r="Q23" i="48" s="1"/>
  <c r="H26" i="45"/>
  <c r="H26" i="48" s="1"/>
  <c r="M13" i="43"/>
  <c r="M10" i="45"/>
  <c r="M10" i="48" s="1"/>
  <c r="F15" i="45"/>
  <c r="F15" i="48" s="1"/>
  <c r="S25" i="45"/>
  <c r="S25" i="48" s="1"/>
  <c r="J13" i="43"/>
  <c r="T13" i="43"/>
  <c r="K13" i="43"/>
  <c r="E3" i="40"/>
  <c r="R25" i="45"/>
  <c r="R25" i="48" s="1"/>
  <c r="R28" i="45"/>
  <c r="R28" i="48" s="1"/>
  <c r="C68" i="37"/>
  <c r="P21" i="41"/>
  <c r="G21" i="41"/>
  <c r="G21" i="42" s="1"/>
  <c r="I21" i="41"/>
  <c r="I21" i="42" s="1"/>
  <c r="F21" i="41"/>
  <c r="F21" i="42" s="1"/>
  <c r="T21" i="41"/>
  <c r="T21" i="42" s="1"/>
  <c r="M21" i="41"/>
  <c r="M21" i="42" s="1"/>
  <c r="N21" i="41"/>
  <c r="N21" i="42" s="1"/>
  <c r="E28" i="45"/>
  <c r="E28" i="48" s="1"/>
  <c r="Q15" i="45"/>
  <c r="Q15" i="48" s="1"/>
  <c r="G13" i="44"/>
  <c r="J13" i="44"/>
  <c r="M13" i="44"/>
  <c r="P13" i="44"/>
  <c r="S13" i="44"/>
  <c r="H13" i="44"/>
  <c r="L13" i="44"/>
  <c r="Q13" i="44"/>
  <c r="E13" i="44"/>
  <c r="I13" i="44"/>
  <c r="N13" i="44"/>
  <c r="N13" i="45" s="1"/>
  <c r="N13" i="48" s="1"/>
  <c r="R13" i="44"/>
  <c r="F13" i="44"/>
  <c r="K13" i="44"/>
  <c r="O13" i="44"/>
  <c r="T13" i="44"/>
  <c r="F20" i="44"/>
  <c r="F20" i="45" s="1"/>
  <c r="F20" i="48" s="1"/>
  <c r="I20" i="44"/>
  <c r="I20" i="45" s="1"/>
  <c r="I20" i="48" s="1"/>
  <c r="L20" i="44"/>
  <c r="L20" i="45" s="1"/>
  <c r="L20" i="48" s="1"/>
  <c r="O20" i="44"/>
  <c r="O20" i="45" s="1"/>
  <c r="O20" i="48" s="1"/>
  <c r="R20" i="44"/>
  <c r="R20" i="45" s="1"/>
  <c r="R20" i="48" s="1"/>
  <c r="G20" i="44"/>
  <c r="G20" i="45" s="1"/>
  <c r="G20" i="48" s="1"/>
  <c r="K20" i="44"/>
  <c r="K20" i="45" s="1"/>
  <c r="K20" i="48" s="1"/>
  <c r="P20" i="44"/>
  <c r="P20" i="45" s="1"/>
  <c r="P20" i="48" s="1"/>
  <c r="T20" i="44"/>
  <c r="T20" i="45" s="1"/>
  <c r="T20" i="48" s="1"/>
  <c r="H20" i="44"/>
  <c r="H20" i="45" s="1"/>
  <c r="H20" i="48" s="1"/>
  <c r="M20" i="44"/>
  <c r="M20" i="45" s="1"/>
  <c r="M20" i="48" s="1"/>
  <c r="Q20" i="44"/>
  <c r="Q20" i="45" s="1"/>
  <c r="Q20" i="48" s="1"/>
  <c r="E20" i="44"/>
  <c r="E20" i="45" s="1"/>
  <c r="E20" i="48" s="1"/>
  <c r="J20" i="44"/>
  <c r="J20" i="45" s="1"/>
  <c r="J20" i="48" s="1"/>
  <c r="N20" i="44"/>
  <c r="N20" i="45" s="1"/>
  <c r="N20" i="48" s="1"/>
  <c r="S20" i="44"/>
  <c r="S20" i="45" s="1"/>
  <c r="S20" i="48" s="1"/>
  <c r="C45" i="37"/>
  <c r="S25" i="42"/>
  <c r="M28" i="45"/>
  <c r="M28" i="48" s="1"/>
  <c r="F14" i="44"/>
  <c r="I14" i="44"/>
  <c r="L14" i="44"/>
  <c r="O14" i="44"/>
  <c r="R14" i="44"/>
  <c r="G14" i="44"/>
  <c r="K14" i="44"/>
  <c r="P14" i="44"/>
  <c r="T14" i="44"/>
  <c r="H14" i="44"/>
  <c r="M14" i="44"/>
  <c r="Q14" i="44"/>
  <c r="E14" i="44"/>
  <c r="J14" i="44"/>
  <c r="N14" i="44"/>
  <c r="S14" i="44"/>
  <c r="G16" i="44"/>
  <c r="G16" i="45" s="1"/>
  <c r="G16" i="48" s="1"/>
  <c r="J16" i="44"/>
  <c r="J16" i="45" s="1"/>
  <c r="J16" i="48" s="1"/>
  <c r="M16" i="44"/>
  <c r="M16" i="45" s="1"/>
  <c r="M16" i="48" s="1"/>
  <c r="P16" i="44"/>
  <c r="P16" i="45" s="1"/>
  <c r="P16" i="48" s="1"/>
  <c r="S16" i="44"/>
  <c r="H16" i="44"/>
  <c r="H16" i="45" s="1"/>
  <c r="H16" i="48" s="1"/>
  <c r="L16" i="44"/>
  <c r="Q16" i="44"/>
  <c r="E16" i="44"/>
  <c r="E16" i="45" s="1"/>
  <c r="E16" i="48" s="1"/>
  <c r="I16" i="44"/>
  <c r="N16" i="44"/>
  <c r="N16" i="45" s="1"/>
  <c r="N16" i="48" s="1"/>
  <c r="R16" i="44"/>
  <c r="R16" i="45" s="1"/>
  <c r="R16" i="48" s="1"/>
  <c r="F16" i="44"/>
  <c r="F16" i="45" s="1"/>
  <c r="F16" i="48" s="1"/>
  <c r="K16" i="44"/>
  <c r="O16" i="44"/>
  <c r="O16" i="45" s="1"/>
  <c r="O16" i="48" s="1"/>
  <c r="T16" i="44"/>
  <c r="T16" i="45" s="1"/>
  <c r="T16" i="48" s="1"/>
  <c r="G14" i="43"/>
  <c r="J14" i="43"/>
  <c r="H14" i="43"/>
  <c r="L14" i="43"/>
  <c r="O14" i="43"/>
  <c r="R14" i="43"/>
  <c r="E14" i="43"/>
  <c r="I14" i="43"/>
  <c r="M14" i="43"/>
  <c r="P14" i="43"/>
  <c r="S14" i="43"/>
  <c r="F14" i="43"/>
  <c r="K14" i="43"/>
  <c r="N14" i="43"/>
  <c r="Q14" i="43"/>
  <c r="T14" i="43"/>
  <c r="D47" i="37"/>
  <c r="J28" i="45"/>
  <c r="J28" i="48" s="1"/>
  <c r="F17" i="44"/>
  <c r="F17" i="45" s="1"/>
  <c r="F17" i="48" s="1"/>
  <c r="I17" i="44"/>
  <c r="I17" i="45" s="1"/>
  <c r="I17" i="48" s="1"/>
  <c r="L17" i="44"/>
  <c r="L17" i="45" s="1"/>
  <c r="L17" i="48" s="1"/>
  <c r="O17" i="44"/>
  <c r="O17" i="45" s="1"/>
  <c r="O17" i="48" s="1"/>
  <c r="R17" i="44"/>
  <c r="R17" i="45" s="1"/>
  <c r="R17" i="48" s="1"/>
  <c r="G17" i="44"/>
  <c r="G17" i="45" s="1"/>
  <c r="G17" i="48" s="1"/>
  <c r="K17" i="44"/>
  <c r="K17" i="45" s="1"/>
  <c r="K17" i="48" s="1"/>
  <c r="P17" i="44"/>
  <c r="P17" i="45" s="1"/>
  <c r="P17" i="48" s="1"/>
  <c r="T17" i="44"/>
  <c r="T17" i="45" s="1"/>
  <c r="T17" i="48" s="1"/>
  <c r="H17" i="44"/>
  <c r="H17" i="45" s="1"/>
  <c r="H17" i="48" s="1"/>
  <c r="M17" i="44"/>
  <c r="M17" i="45" s="1"/>
  <c r="M17" i="48" s="1"/>
  <c r="Q17" i="44"/>
  <c r="Q17" i="45" s="1"/>
  <c r="Q17" i="48" s="1"/>
  <c r="E17" i="44"/>
  <c r="E17" i="45" s="1"/>
  <c r="E17" i="48" s="1"/>
  <c r="J17" i="44"/>
  <c r="J17" i="45" s="1"/>
  <c r="J17" i="48" s="1"/>
  <c r="N17" i="44"/>
  <c r="N17" i="45" s="1"/>
  <c r="N17" i="48" s="1"/>
  <c r="S17" i="44"/>
  <c r="S17" i="45" s="1"/>
  <c r="S17" i="48" s="1"/>
  <c r="G19" i="44"/>
  <c r="G19" i="45" s="1"/>
  <c r="G19" i="48" s="1"/>
  <c r="J19" i="44"/>
  <c r="J19" i="45" s="1"/>
  <c r="J19" i="48" s="1"/>
  <c r="M19" i="44"/>
  <c r="M19" i="45" s="1"/>
  <c r="M19" i="48" s="1"/>
  <c r="P19" i="44"/>
  <c r="P19" i="45" s="1"/>
  <c r="P19" i="48" s="1"/>
  <c r="S19" i="44"/>
  <c r="S19" i="45" s="1"/>
  <c r="S19" i="48" s="1"/>
  <c r="H19" i="44"/>
  <c r="H19" i="45" s="1"/>
  <c r="H19" i="48" s="1"/>
  <c r="L19" i="44"/>
  <c r="L19" i="45" s="1"/>
  <c r="L19" i="48" s="1"/>
  <c r="Q19" i="44"/>
  <c r="Q19" i="45" s="1"/>
  <c r="Q19" i="48" s="1"/>
  <c r="E19" i="44"/>
  <c r="E19" i="45" s="1"/>
  <c r="E19" i="48" s="1"/>
  <c r="I19" i="44"/>
  <c r="I19" i="45" s="1"/>
  <c r="I19" i="48" s="1"/>
  <c r="N19" i="44"/>
  <c r="N19" i="45" s="1"/>
  <c r="N19" i="48" s="1"/>
  <c r="R19" i="44"/>
  <c r="R19" i="45" s="1"/>
  <c r="R19" i="48" s="1"/>
  <c r="F19" i="44"/>
  <c r="F19" i="45" s="1"/>
  <c r="F19" i="48" s="1"/>
  <c r="K19" i="44"/>
  <c r="K19" i="45" s="1"/>
  <c r="K19" i="48" s="1"/>
  <c r="O19" i="44"/>
  <c r="O19" i="45" s="1"/>
  <c r="O19" i="48" s="1"/>
  <c r="T19" i="44"/>
  <c r="T19" i="45" s="1"/>
  <c r="T19" i="48" s="1"/>
  <c r="E9" i="45"/>
  <c r="E9" i="48" s="1"/>
  <c r="E10" i="45"/>
  <c r="E10" i="48" s="1"/>
  <c r="E21" i="41"/>
  <c r="E21" i="42" s="1"/>
  <c r="Q21" i="41"/>
  <c r="Q21" i="42" s="1"/>
  <c r="H21" i="41"/>
  <c r="H21" i="42" s="1"/>
  <c r="L21" i="41"/>
  <c r="L21" i="42" s="1"/>
  <c r="E14" i="38"/>
  <c r="E14" i="40" s="1"/>
  <c r="F14" i="38"/>
  <c r="F14" i="40" s="1"/>
  <c r="G14" i="38"/>
  <c r="G14" i="40" s="1"/>
  <c r="H14" i="38"/>
  <c r="H14" i="40" s="1"/>
  <c r="I14" i="38"/>
  <c r="I14" i="40" s="1"/>
  <c r="J14" i="38"/>
  <c r="J14" i="40" s="1"/>
  <c r="K14" i="38"/>
  <c r="K14" i="40" s="1"/>
  <c r="L14" i="38"/>
  <c r="L14" i="40" s="1"/>
  <c r="M14" i="38"/>
  <c r="M14" i="40" s="1"/>
  <c r="N14" i="38"/>
  <c r="N14" i="40" s="1"/>
  <c r="O14" i="38"/>
  <c r="O14" i="40" s="1"/>
  <c r="P14" i="38"/>
  <c r="P14" i="40" s="1"/>
  <c r="Q14" i="38"/>
  <c r="Q14" i="40" s="1"/>
  <c r="R14" i="38"/>
  <c r="R14" i="40" s="1"/>
  <c r="S14" i="38"/>
  <c r="S14" i="40" s="1"/>
  <c r="T14" i="38"/>
  <c r="T14" i="40" s="1"/>
  <c r="E14" i="46"/>
  <c r="F14" i="46"/>
  <c r="G14" i="46"/>
  <c r="H14" i="46"/>
  <c r="I14" i="46"/>
  <c r="J14" i="46"/>
  <c r="K14" i="46"/>
  <c r="L14" i="46"/>
  <c r="M14" i="46"/>
  <c r="N14" i="46"/>
  <c r="O14" i="46"/>
  <c r="P14" i="46"/>
  <c r="Q14" i="46"/>
  <c r="R14" i="46"/>
  <c r="S14" i="46"/>
  <c r="T14" i="46"/>
  <c r="E15" i="38"/>
  <c r="E15" i="40" s="1"/>
  <c r="F15" i="38"/>
  <c r="G15" i="38"/>
  <c r="G15" i="40" s="1"/>
  <c r="H15" i="38"/>
  <c r="H15" i="40" s="1"/>
  <c r="I15" i="38"/>
  <c r="J15" i="38"/>
  <c r="J15" i="40" s="1"/>
  <c r="K15" i="38"/>
  <c r="L15" i="38"/>
  <c r="L15" i="40" s="1"/>
  <c r="M15" i="38"/>
  <c r="N15" i="38"/>
  <c r="O15" i="38"/>
  <c r="O15" i="40" s="1"/>
  <c r="P15" i="38"/>
  <c r="P15" i="40" s="1"/>
  <c r="Q15" i="38"/>
  <c r="Q15" i="40" s="1"/>
  <c r="R15" i="38"/>
  <c r="S15" i="38"/>
  <c r="T15" i="38"/>
  <c r="T15" i="40" s="1"/>
  <c r="E15" i="46"/>
  <c r="F15" i="46"/>
  <c r="G15" i="46"/>
  <c r="H15" i="46"/>
  <c r="I15" i="46"/>
  <c r="J15" i="46"/>
  <c r="K15" i="46"/>
  <c r="L15" i="46"/>
  <c r="M15" i="46"/>
  <c r="N15" i="46"/>
  <c r="O15" i="46"/>
  <c r="P15" i="46"/>
  <c r="Q15" i="46"/>
  <c r="R15" i="46"/>
  <c r="S15" i="46"/>
  <c r="T15" i="46"/>
  <c r="E16" i="38"/>
  <c r="F16" i="38"/>
  <c r="G16" i="38"/>
  <c r="H16" i="38"/>
  <c r="I16" i="38"/>
  <c r="J16" i="38"/>
  <c r="K16" i="38"/>
  <c r="L16" i="38"/>
  <c r="L16" i="40" s="1"/>
  <c r="M16" i="38"/>
  <c r="N16" i="38"/>
  <c r="O16" i="38"/>
  <c r="P16" i="38"/>
  <c r="P16" i="40" s="1"/>
  <c r="Q16" i="38"/>
  <c r="R16" i="38"/>
  <c r="S16" i="38"/>
  <c r="T16" i="38"/>
  <c r="E16" i="46"/>
  <c r="F16" i="46"/>
  <c r="G16" i="46"/>
  <c r="H16" i="46"/>
  <c r="I16" i="46"/>
  <c r="J16" i="46"/>
  <c r="K16" i="46"/>
  <c r="L16" i="46"/>
  <c r="M16" i="46"/>
  <c r="N16" i="46"/>
  <c r="O16" i="46"/>
  <c r="P16" i="46"/>
  <c r="Q16" i="46"/>
  <c r="R16" i="46"/>
  <c r="S16" i="46"/>
  <c r="T16" i="46"/>
  <c r="E17" i="38"/>
  <c r="E17" i="40" s="1"/>
  <c r="F17" i="38"/>
  <c r="F17" i="40" s="1"/>
  <c r="G17" i="38"/>
  <c r="G17" i="40" s="1"/>
  <c r="H17" i="38"/>
  <c r="H17" i="40" s="1"/>
  <c r="I17" i="38"/>
  <c r="I17" i="40" s="1"/>
  <c r="J17" i="38"/>
  <c r="J17" i="40" s="1"/>
  <c r="K17" i="38"/>
  <c r="K17" i="40" s="1"/>
  <c r="L17" i="38"/>
  <c r="L17" i="40" s="1"/>
  <c r="M17" i="38"/>
  <c r="M17" i="40" s="1"/>
  <c r="N17" i="38"/>
  <c r="N17" i="40" s="1"/>
  <c r="O17" i="38"/>
  <c r="O17" i="40" s="1"/>
  <c r="P17" i="38"/>
  <c r="P17" i="40" s="1"/>
  <c r="Q17" i="38"/>
  <c r="Q17" i="40" s="1"/>
  <c r="R17" i="38"/>
  <c r="R17" i="40" s="1"/>
  <c r="S17" i="38"/>
  <c r="S17" i="40" s="1"/>
  <c r="T17" i="38"/>
  <c r="T17" i="40" s="1"/>
  <c r="F17" i="46"/>
  <c r="I17" i="46"/>
  <c r="L17" i="46"/>
  <c r="O17" i="46"/>
  <c r="R17" i="46"/>
  <c r="E18" i="38"/>
  <c r="E18" i="40" s="1"/>
  <c r="F18" i="38"/>
  <c r="F18" i="40" s="1"/>
  <c r="G18" i="38"/>
  <c r="G18" i="40" s="1"/>
  <c r="H18" i="38"/>
  <c r="I18" i="38"/>
  <c r="J18" i="38"/>
  <c r="K18" i="38"/>
  <c r="L18" i="38"/>
  <c r="M18" i="38"/>
  <c r="N18" i="38"/>
  <c r="O18" i="38"/>
  <c r="O18" i="40" s="1"/>
  <c r="P18" i="38"/>
  <c r="Q18" i="38"/>
  <c r="R18" i="38"/>
  <c r="R18" i="40" s="1"/>
  <c r="S18" i="38"/>
  <c r="T18" i="38"/>
  <c r="E19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F19" i="46"/>
  <c r="I19" i="46"/>
  <c r="L19" i="46"/>
  <c r="O19" i="46"/>
  <c r="R19" i="46"/>
  <c r="E20" i="38"/>
  <c r="E20" i="40" s="1"/>
  <c r="F20" i="38"/>
  <c r="F20" i="40" s="1"/>
  <c r="G20" i="38"/>
  <c r="H20" i="38"/>
  <c r="H20" i="40" s="1"/>
  <c r="I20" i="38"/>
  <c r="J20" i="38"/>
  <c r="J20" i="40" s="1"/>
  <c r="K20" i="38"/>
  <c r="K20" i="40" s="1"/>
  <c r="L20" i="38"/>
  <c r="L20" i="40" s="1"/>
  <c r="M20" i="38"/>
  <c r="N20" i="38"/>
  <c r="O20" i="38"/>
  <c r="O20" i="40" s="1"/>
  <c r="P20" i="38"/>
  <c r="Q20" i="38"/>
  <c r="R20" i="38"/>
  <c r="S20" i="38"/>
  <c r="T20" i="38"/>
  <c r="G20" i="46"/>
  <c r="K20" i="46"/>
  <c r="P20" i="46"/>
  <c r="T20" i="46"/>
  <c r="E21" i="38"/>
  <c r="E21" i="40" s="1"/>
  <c r="F21" i="38"/>
  <c r="G21" i="38"/>
  <c r="H21" i="38"/>
  <c r="I21" i="38"/>
  <c r="J21" i="38"/>
  <c r="K21" i="38"/>
  <c r="K21" i="40" s="1"/>
  <c r="L21" i="38"/>
  <c r="M21" i="38"/>
  <c r="N21" i="38"/>
  <c r="O21" i="38"/>
  <c r="P21" i="38"/>
  <c r="P21" i="40" s="1"/>
  <c r="Q21" i="38"/>
  <c r="R21" i="38"/>
  <c r="S21" i="38"/>
  <c r="S21" i="40" s="1"/>
  <c r="T21" i="38"/>
  <c r="G21" i="46"/>
  <c r="I21" i="46"/>
  <c r="L21" i="46"/>
  <c r="M21" i="46"/>
  <c r="P21" i="46"/>
  <c r="R21" i="46"/>
  <c r="H20" i="42"/>
  <c r="Q20" i="42"/>
  <c r="P21" i="42"/>
  <c r="O22" i="42"/>
  <c r="L22" i="42"/>
  <c r="F22" i="42"/>
  <c r="S23" i="42"/>
  <c r="R18" i="42"/>
  <c r="N22" i="42"/>
  <c r="E13" i="38"/>
  <c r="F13" i="38"/>
  <c r="F13" i="40" s="1"/>
  <c r="G13" i="38"/>
  <c r="G13" i="40" s="1"/>
  <c r="H13" i="38"/>
  <c r="I13" i="38"/>
  <c r="I13" i="40" s="1"/>
  <c r="J13" i="38"/>
  <c r="J13" i="40" s="1"/>
  <c r="K13" i="38"/>
  <c r="K13" i="40" s="1"/>
  <c r="L13" i="38"/>
  <c r="M13" i="38"/>
  <c r="N13" i="38"/>
  <c r="O13" i="38"/>
  <c r="O13" i="40" s="1"/>
  <c r="P13" i="38"/>
  <c r="Q13" i="38"/>
  <c r="R13" i="38"/>
  <c r="S13" i="38"/>
  <c r="T13" i="38"/>
  <c r="E13" i="46"/>
  <c r="F13" i="46"/>
  <c r="G13" i="46"/>
  <c r="H13" i="46"/>
  <c r="I13" i="46"/>
  <c r="J13" i="46"/>
  <c r="K13" i="46"/>
  <c r="L13" i="46"/>
  <c r="M13" i="46"/>
  <c r="N13" i="46"/>
  <c r="O13" i="46"/>
  <c r="P13" i="46"/>
  <c r="Q13" i="46"/>
  <c r="R13" i="46"/>
  <c r="S13" i="46"/>
  <c r="T13" i="46"/>
  <c r="H12" i="42"/>
  <c r="K12" i="42"/>
  <c r="N12" i="42"/>
  <c r="Q12" i="42"/>
  <c r="T12" i="42"/>
  <c r="G12" i="42"/>
  <c r="J12" i="42"/>
  <c r="M12" i="42"/>
  <c r="P12" i="42"/>
  <c r="S12" i="42"/>
  <c r="F12" i="42"/>
  <c r="I12" i="42"/>
  <c r="L12" i="42"/>
  <c r="O12" i="42"/>
  <c r="R12" i="42"/>
  <c r="P11" i="42"/>
  <c r="K11" i="42"/>
  <c r="T11" i="42"/>
  <c r="F11" i="42"/>
  <c r="R10" i="42"/>
  <c r="G10" i="42"/>
  <c r="J10" i="42"/>
  <c r="M10" i="42"/>
  <c r="P10" i="42"/>
  <c r="S10" i="42"/>
  <c r="E10" i="42"/>
  <c r="N10" i="42"/>
  <c r="H10" i="42"/>
  <c r="Q10" i="42"/>
  <c r="K10" i="42"/>
  <c r="K9" i="42"/>
  <c r="N9" i="42"/>
  <c r="T9" i="42"/>
  <c r="J9" i="42"/>
  <c r="M9" i="42"/>
  <c r="P9" i="42"/>
  <c r="F9" i="42"/>
  <c r="I9" i="42"/>
  <c r="L9" i="42"/>
  <c r="O9" i="42"/>
  <c r="G40" i="44"/>
  <c r="J40" i="44"/>
  <c r="M40" i="44"/>
  <c r="P40" i="44"/>
  <c r="S40" i="44"/>
  <c r="H40" i="44"/>
  <c r="L40" i="44"/>
  <c r="Q40" i="44"/>
  <c r="I40" i="44"/>
  <c r="O40" i="44"/>
  <c r="E40" i="44"/>
  <c r="K40" i="44"/>
  <c r="R40" i="44"/>
  <c r="F40" i="44"/>
  <c r="N40" i="44"/>
  <c r="T40" i="44"/>
  <c r="G37" i="44"/>
  <c r="G37" i="45" s="1"/>
  <c r="G37" i="48" s="1"/>
  <c r="J37" i="44"/>
  <c r="J37" i="45" s="1"/>
  <c r="J37" i="48" s="1"/>
  <c r="M37" i="44"/>
  <c r="M37" i="45" s="1"/>
  <c r="M37" i="48" s="1"/>
  <c r="P37" i="44"/>
  <c r="P37" i="45" s="1"/>
  <c r="P37" i="48" s="1"/>
  <c r="S37" i="44"/>
  <c r="S37" i="45" s="1"/>
  <c r="S37" i="48" s="1"/>
  <c r="H37" i="44"/>
  <c r="H37" i="45" s="1"/>
  <c r="H37" i="48" s="1"/>
  <c r="L37" i="44"/>
  <c r="L37" i="45" s="1"/>
  <c r="L37" i="48" s="1"/>
  <c r="Q37" i="44"/>
  <c r="Q37" i="45" s="1"/>
  <c r="Q37" i="48" s="1"/>
  <c r="F37" i="44"/>
  <c r="F37" i="45" s="1"/>
  <c r="F37" i="48" s="1"/>
  <c r="N37" i="44"/>
  <c r="N37" i="45" s="1"/>
  <c r="N37" i="48" s="1"/>
  <c r="T37" i="44"/>
  <c r="T37" i="45" s="1"/>
  <c r="T37" i="48" s="1"/>
  <c r="I37" i="44"/>
  <c r="I37" i="45" s="1"/>
  <c r="I37" i="48" s="1"/>
  <c r="O37" i="44"/>
  <c r="O37" i="45" s="1"/>
  <c r="O37" i="48" s="1"/>
  <c r="E37" i="44"/>
  <c r="E37" i="45" s="1"/>
  <c r="E37" i="48" s="1"/>
  <c r="K37" i="44"/>
  <c r="K37" i="45" s="1"/>
  <c r="K37" i="48" s="1"/>
  <c r="R37" i="44"/>
  <c r="R37" i="45" s="1"/>
  <c r="R37" i="48" s="1"/>
  <c r="G34" i="44"/>
  <c r="G34" i="45" s="1"/>
  <c r="G34" i="48" s="1"/>
  <c r="J34" i="44"/>
  <c r="J34" i="45" s="1"/>
  <c r="J34" i="48" s="1"/>
  <c r="M34" i="44"/>
  <c r="M34" i="45" s="1"/>
  <c r="M34" i="48" s="1"/>
  <c r="P34" i="44"/>
  <c r="P34" i="45" s="1"/>
  <c r="P34" i="48" s="1"/>
  <c r="S34" i="44"/>
  <c r="S34" i="45" s="1"/>
  <c r="S34" i="48" s="1"/>
  <c r="H34" i="44"/>
  <c r="H34" i="45" s="1"/>
  <c r="H34" i="48" s="1"/>
  <c r="L34" i="44"/>
  <c r="L34" i="45" s="1"/>
  <c r="L34" i="48" s="1"/>
  <c r="Q34" i="44"/>
  <c r="Q34" i="45" s="1"/>
  <c r="Q34" i="48" s="1"/>
  <c r="E34" i="44"/>
  <c r="E34" i="45" s="1"/>
  <c r="E34" i="48" s="1"/>
  <c r="K34" i="44"/>
  <c r="K34" i="45" s="1"/>
  <c r="K34" i="48" s="1"/>
  <c r="R34" i="44"/>
  <c r="R34" i="45" s="1"/>
  <c r="R34" i="48" s="1"/>
  <c r="F34" i="44"/>
  <c r="F34" i="45" s="1"/>
  <c r="F34" i="48" s="1"/>
  <c r="N34" i="44"/>
  <c r="N34" i="45" s="1"/>
  <c r="N34" i="48" s="1"/>
  <c r="T34" i="44"/>
  <c r="T34" i="45" s="1"/>
  <c r="T34" i="48" s="1"/>
  <c r="I34" i="44"/>
  <c r="I34" i="45" s="1"/>
  <c r="I34" i="48" s="1"/>
  <c r="O34" i="44"/>
  <c r="O34" i="45" s="1"/>
  <c r="O34" i="48" s="1"/>
  <c r="G24" i="43"/>
  <c r="J24" i="43"/>
  <c r="J24" i="45" s="1"/>
  <c r="J24" i="48" s="1"/>
  <c r="M24" i="43"/>
  <c r="M24" i="45" s="1"/>
  <c r="M24" i="48" s="1"/>
  <c r="P24" i="43"/>
  <c r="P24" i="45" s="1"/>
  <c r="P24" i="48" s="1"/>
  <c r="S24" i="43"/>
  <c r="S24" i="45" s="1"/>
  <c r="S24" i="48" s="1"/>
  <c r="H24" i="43"/>
  <c r="H24" i="45" s="1"/>
  <c r="H24" i="48" s="1"/>
  <c r="L24" i="43"/>
  <c r="Q24" i="43"/>
  <c r="Q24" i="45" s="1"/>
  <c r="Q24" i="48" s="1"/>
  <c r="E24" i="43"/>
  <c r="E24" i="45" s="1"/>
  <c r="E24" i="48" s="1"/>
  <c r="I24" i="43"/>
  <c r="I24" i="45" s="1"/>
  <c r="I24" i="48" s="1"/>
  <c r="N24" i="43"/>
  <c r="N24" i="45" s="1"/>
  <c r="N24" i="48" s="1"/>
  <c r="R24" i="43"/>
  <c r="R24" i="45" s="1"/>
  <c r="R24" i="48" s="1"/>
  <c r="F24" i="43"/>
  <c r="K24" i="43"/>
  <c r="K24" i="45" s="1"/>
  <c r="K24" i="48" s="1"/>
  <c r="O24" i="43"/>
  <c r="O24" i="45" s="1"/>
  <c r="O24" i="48" s="1"/>
  <c r="T24" i="43"/>
  <c r="T24" i="45" s="1"/>
  <c r="T24" i="48" s="1"/>
  <c r="G30" i="43"/>
  <c r="G30" i="45" s="1"/>
  <c r="G30" i="48" s="1"/>
  <c r="J30" i="43"/>
  <c r="M30" i="43"/>
  <c r="P30" i="43"/>
  <c r="P30" i="45" s="1"/>
  <c r="P30" i="48" s="1"/>
  <c r="S30" i="43"/>
  <c r="H30" i="43"/>
  <c r="L30" i="43"/>
  <c r="L30" i="45" s="1"/>
  <c r="L30" i="48" s="1"/>
  <c r="Q30" i="43"/>
  <c r="Q30" i="45" s="1"/>
  <c r="Q30" i="48" s="1"/>
  <c r="E30" i="43"/>
  <c r="E30" i="45" s="1"/>
  <c r="E30" i="48" s="1"/>
  <c r="I30" i="43"/>
  <c r="I30" i="45" s="1"/>
  <c r="I30" i="48" s="1"/>
  <c r="N30" i="43"/>
  <c r="R30" i="43"/>
  <c r="F30" i="43"/>
  <c r="F30" i="45" s="1"/>
  <c r="F30" i="48" s="1"/>
  <c r="K30" i="43"/>
  <c r="O30" i="43"/>
  <c r="T30" i="43"/>
  <c r="T30" i="45" s="1"/>
  <c r="T30" i="48" s="1"/>
  <c r="G21" i="43"/>
  <c r="J21" i="43"/>
  <c r="J21" i="45" s="1"/>
  <c r="J21" i="48" s="1"/>
  <c r="M21" i="43"/>
  <c r="M21" i="45" s="1"/>
  <c r="M21" i="48" s="1"/>
  <c r="P21" i="43"/>
  <c r="P21" i="45" s="1"/>
  <c r="P21" i="48" s="1"/>
  <c r="S21" i="43"/>
  <c r="H21" i="43"/>
  <c r="H21" i="45" s="1"/>
  <c r="H21" i="48" s="1"/>
  <c r="L21" i="43"/>
  <c r="Q21" i="43"/>
  <c r="E21" i="43"/>
  <c r="E21" i="45" s="1"/>
  <c r="E21" i="48" s="1"/>
  <c r="I21" i="43"/>
  <c r="N21" i="43"/>
  <c r="N21" i="45" s="1"/>
  <c r="N21" i="48" s="1"/>
  <c r="R21" i="43"/>
  <c r="R21" i="45" s="1"/>
  <c r="R21" i="48" s="1"/>
  <c r="F21" i="43"/>
  <c r="K21" i="43"/>
  <c r="O21" i="43"/>
  <c r="O21" i="45" s="1"/>
  <c r="O21" i="48" s="1"/>
  <c r="T21" i="43"/>
  <c r="T21" i="45" s="1"/>
  <c r="T21" i="48" s="1"/>
  <c r="G27" i="43"/>
  <c r="G27" i="45" s="1"/>
  <c r="G27" i="48" s="1"/>
  <c r="J27" i="43"/>
  <c r="J27" i="45" s="1"/>
  <c r="J27" i="48" s="1"/>
  <c r="M27" i="43"/>
  <c r="P27" i="43"/>
  <c r="S27" i="43"/>
  <c r="S27" i="45" s="1"/>
  <c r="S27" i="48" s="1"/>
  <c r="H27" i="43"/>
  <c r="L27" i="43"/>
  <c r="L27" i="45" s="1"/>
  <c r="L27" i="48" s="1"/>
  <c r="Q27" i="43"/>
  <c r="Q27" i="45" s="1"/>
  <c r="Q27" i="48" s="1"/>
  <c r="E27" i="43"/>
  <c r="E27" i="45" s="1"/>
  <c r="E27" i="48" s="1"/>
  <c r="I27" i="43"/>
  <c r="I27" i="45" s="1"/>
  <c r="I27" i="48" s="1"/>
  <c r="N27" i="43"/>
  <c r="N27" i="45" s="1"/>
  <c r="N27" i="48" s="1"/>
  <c r="R27" i="43"/>
  <c r="R27" i="45" s="1"/>
  <c r="R27" i="48" s="1"/>
  <c r="F27" i="43"/>
  <c r="K27" i="43"/>
  <c r="O27" i="43"/>
  <c r="T27" i="43"/>
  <c r="T27" i="45" s="1"/>
  <c r="T27" i="48" s="1"/>
  <c r="F19" i="41"/>
  <c r="I19" i="41"/>
  <c r="L19" i="41"/>
  <c r="O19" i="41"/>
  <c r="R19" i="41"/>
  <c r="G19" i="41"/>
  <c r="J19" i="41"/>
  <c r="M19" i="41"/>
  <c r="P19" i="41"/>
  <c r="S19" i="41"/>
  <c r="K19" i="41"/>
  <c r="T19" i="41"/>
  <c r="E19" i="41"/>
  <c r="N19" i="41"/>
  <c r="H19" i="41"/>
  <c r="Q19" i="41"/>
  <c r="AM18" i="37"/>
  <c r="G26" i="42"/>
  <c r="J26" i="42"/>
  <c r="M26" i="42"/>
  <c r="P26" i="42"/>
  <c r="S26" i="42"/>
  <c r="E26" i="42"/>
  <c r="H26" i="42"/>
  <c r="K26" i="42"/>
  <c r="N26" i="42"/>
  <c r="Q26" i="42"/>
  <c r="T26" i="42"/>
  <c r="F26" i="42"/>
  <c r="I26" i="42"/>
  <c r="L26" i="42"/>
  <c r="O26" i="42"/>
  <c r="R26" i="42"/>
  <c r="AM16" i="37"/>
  <c r="E4" i="40"/>
  <c r="V18" i="37"/>
  <c r="U18" i="37"/>
  <c r="C47" i="37"/>
  <c r="AM69" i="37"/>
  <c r="D11" i="26"/>
  <c r="D12" i="26" s="1"/>
  <c r="E11" i="26" s="1"/>
  <c r="E12" i="26" s="1"/>
  <c r="F11" i="26" s="1"/>
  <c r="J27" i="16"/>
  <c r="I29" i="16"/>
  <c r="I31" i="16" s="1"/>
  <c r="L63" i="16"/>
  <c r="E63" i="16" s="1"/>
  <c r="E38" i="16" s="1"/>
  <c r="T7" i="49"/>
  <c r="D17" i="32"/>
  <c r="D138" i="32" s="1"/>
  <c r="D31" i="32" s="1"/>
  <c r="L38" i="16"/>
  <c r="M7" i="49"/>
  <c r="H36" i="16"/>
  <c r="D13" i="21" s="1"/>
  <c r="E7" i="49"/>
  <c r="F7" i="49"/>
  <c r="AN67" i="37" s="1"/>
  <c r="I7" i="49"/>
  <c r="E4" i="43"/>
  <c r="E4" i="45" s="1"/>
  <c r="E4" i="48" s="1"/>
  <c r="E60" i="16"/>
  <c r="E54" i="16"/>
  <c r="O2" i="38"/>
  <c r="I2" i="49"/>
  <c r="J2" i="46"/>
  <c r="J2" i="44"/>
  <c r="F112" i="5"/>
  <c r="E32" i="8"/>
  <c r="D110" i="8"/>
  <c r="D116" i="8" s="1"/>
  <c r="C35" i="5"/>
  <c r="E17" i="32"/>
  <c r="E42" i="32" s="1"/>
  <c r="C35" i="8"/>
  <c r="D42" i="32"/>
  <c r="D44" i="32" s="1"/>
  <c r="D46" i="32" s="1"/>
  <c r="D24" i="8"/>
  <c r="H5" i="41" s="1"/>
  <c r="D17" i="8"/>
  <c r="D20" i="8"/>
  <c r="E10" i="32"/>
  <c r="E26" i="32" s="1"/>
  <c r="E83" i="32" s="1"/>
  <c r="E104" i="32" s="1"/>
  <c r="F9" i="32"/>
  <c r="D13" i="9"/>
  <c r="E9" i="9"/>
  <c r="D32" i="9"/>
  <c r="D15" i="8"/>
  <c r="F15" i="32"/>
  <c r="F14" i="32"/>
  <c r="F13" i="32"/>
  <c r="F12" i="32"/>
  <c r="G11" i="32" s="1"/>
  <c r="D14" i="8"/>
  <c r="C28" i="32"/>
  <c r="C35" i="9"/>
  <c r="D18" i="8"/>
  <c r="D22" i="8"/>
  <c r="C35" i="26"/>
  <c r="T10" i="16"/>
  <c r="T11" i="16" s="1"/>
  <c r="D89" i="21"/>
  <c r="E32" i="21"/>
  <c r="E10" i="21"/>
  <c r="E33" i="21" s="1"/>
  <c r="E90" i="21" s="1"/>
  <c r="E111" i="21" s="1"/>
  <c r="F9" i="21"/>
  <c r="F9" i="5"/>
  <c r="F42" i="5" s="1"/>
  <c r="F134" i="5" s="1"/>
  <c r="E10" i="5"/>
  <c r="E13" i="21"/>
  <c r="F12" i="21"/>
  <c r="G11" i="21" s="1"/>
  <c r="G12" i="21" s="1"/>
  <c r="H11" i="21" s="1"/>
  <c r="D16" i="8"/>
  <c r="D19" i="8"/>
  <c r="H112" i="5"/>
  <c r="D42" i="5"/>
  <c r="D134" i="5" s="1"/>
  <c r="G112" i="5"/>
  <c r="N112" i="5"/>
  <c r="R112" i="5"/>
  <c r="P112" i="5"/>
  <c r="T112" i="5"/>
  <c r="V112" i="5"/>
  <c r="O112" i="5"/>
  <c r="Y112" i="5"/>
  <c r="AB112" i="5"/>
  <c r="Z112" i="5"/>
  <c r="Q112" i="5"/>
  <c r="S112" i="5"/>
  <c r="U112" i="5"/>
  <c r="W112" i="5"/>
  <c r="M112" i="5"/>
  <c r="X112" i="5"/>
  <c r="AC112" i="5"/>
  <c r="AE112" i="5"/>
  <c r="AA112" i="5"/>
  <c r="AD112" i="5"/>
  <c r="AF112" i="5"/>
  <c r="AH112" i="5"/>
  <c r="AL112" i="5"/>
  <c r="AK112" i="5"/>
  <c r="AP112" i="5"/>
  <c r="AG112" i="5"/>
  <c r="AI112" i="5"/>
  <c r="AN112" i="5"/>
  <c r="AR112" i="5"/>
  <c r="AS112" i="5"/>
  <c r="AO112" i="5"/>
  <c r="AJ112" i="5"/>
  <c r="AM112" i="5"/>
  <c r="AQ112" i="5"/>
  <c r="AT112" i="5"/>
  <c r="AU112" i="5"/>
  <c r="AW112" i="5"/>
  <c r="AV112" i="5"/>
  <c r="L112" i="5"/>
  <c r="E42" i="5"/>
  <c r="E134" i="5" s="1"/>
  <c r="J112" i="5"/>
  <c r="I112" i="5"/>
  <c r="F13" i="8"/>
  <c r="G9" i="8"/>
  <c r="F10" i="8"/>
  <c r="F33" i="8" s="1"/>
  <c r="F90" i="8" s="1"/>
  <c r="F111" i="8" s="1"/>
  <c r="E16" i="8"/>
  <c r="E19" i="8"/>
  <c r="E18" i="8"/>
  <c r="E24" i="8"/>
  <c r="I5" i="41" s="1"/>
  <c r="E20" i="8"/>
  <c r="E21" i="8"/>
  <c r="E15" i="8"/>
  <c r="E22" i="8"/>
  <c r="E17" i="8"/>
  <c r="E14" i="8"/>
  <c r="E110" i="8"/>
  <c r="I30" i="8"/>
  <c r="H57" i="8"/>
  <c r="F32" i="8"/>
  <c r="E42" i="8"/>
  <c r="E146" i="8" s="1"/>
  <c r="D49" i="8"/>
  <c r="H12" i="8"/>
  <c r="I11" i="8" s="1"/>
  <c r="AQ89" i="8"/>
  <c r="L30" i="9"/>
  <c r="K57" i="9"/>
  <c r="F12" i="9"/>
  <c r="G11" i="9" s="1"/>
  <c r="F12" i="26"/>
  <c r="G11" i="26" s="1"/>
  <c r="E9" i="26"/>
  <c r="D32" i="26"/>
  <c r="I30" i="26"/>
  <c r="H57" i="26"/>
  <c r="I30" i="29"/>
  <c r="H57" i="29"/>
  <c r="J30" i="24"/>
  <c r="I57" i="24"/>
  <c r="K132" i="36" l="1"/>
  <c r="J160" i="36"/>
  <c r="R13" i="40"/>
  <c r="Q18" i="45"/>
  <c r="Q18" i="48" s="1"/>
  <c r="M22" i="45"/>
  <c r="M22" i="48" s="1"/>
  <c r="N11" i="45"/>
  <c r="N11" i="48" s="1"/>
  <c r="G21" i="40"/>
  <c r="M13" i="40"/>
  <c r="P18" i="40"/>
  <c r="R16" i="40"/>
  <c r="O16" i="40"/>
  <c r="N15" i="40"/>
  <c r="I11" i="42"/>
  <c r="T13" i="40"/>
  <c r="E13" i="40"/>
  <c r="J16" i="40"/>
  <c r="G16" i="40"/>
  <c r="R15" i="40"/>
  <c r="Q16" i="40"/>
  <c r="P22" i="45"/>
  <c r="P22" i="48" s="1"/>
  <c r="S16" i="40"/>
  <c r="O27" i="45"/>
  <c r="O27" i="48" s="1"/>
  <c r="F21" i="45"/>
  <c r="F21" i="48" s="1"/>
  <c r="L21" i="45"/>
  <c r="L21" i="48" s="1"/>
  <c r="N30" i="45"/>
  <c r="N30" i="48" s="1"/>
  <c r="J21" i="40"/>
  <c r="I16" i="40"/>
  <c r="F16" i="40"/>
  <c r="K27" i="45"/>
  <c r="K27" i="48" s="1"/>
  <c r="E11" i="42"/>
  <c r="Q13" i="40"/>
  <c r="L21" i="40"/>
  <c r="I18" i="40"/>
  <c r="M15" i="40"/>
  <c r="N18" i="45"/>
  <c r="N18" i="48" s="1"/>
  <c r="K22" i="45"/>
  <c r="K22" i="48" s="1"/>
  <c r="R22" i="45"/>
  <c r="R22" i="48" s="1"/>
  <c r="I11" i="45"/>
  <c r="I11" i="48" s="1"/>
  <c r="F11" i="45"/>
  <c r="F11" i="48" s="1"/>
  <c r="H22" i="45"/>
  <c r="H22" i="48" s="1"/>
  <c r="K21" i="45"/>
  <c r="K21" i="48" s="1"/>
  <c r="Q21" i="45"/>
  <c r="Q21" i="48" s="1"/>
  <c r="G24" i="45"/>
  <c r="G24" i="48" s="1"/>
  <c r="N13" i="40"/>
  <c r="H13" i="40"/>
  <c r="T20" i="40"/>
  <c r="Q20" i="40"/>
  <c r="N20" i="40"/>
  <c r="L18" i="40"/>
  <c r="T16" i="40"/>
  <c r="N16" i="40"/>
  <c r="K16" i="40"/>
  <c r="S15" i="40"/>
  <c r="S16" i="45"/>
  <c r="S16" i="48" s="1"/>
  <c r="J22" i="45"/>
  <c r="J22" i="48" s="1"/>
  <c r="Q11" i="45"/>
  <c r="Q11" i="48" s="1"/>
  <c r="H27" i="45"/>
  <c r="H27" i="48" s="1"/>
  <c r="G21" i="45"/>
  <c r="G21" i="48" s="1"/>
  <c r="S30" i="45"/>
  <c r="S30" i="48" s="1"/>
  <c r="L10" i="42"/>
  <c r="P13" i="40"/>
  <c r="T21" i="40"/>
  <c r="S20" i="40"/>
  <c r="P20" i="40"/>
  <c r="M20" i="40"/>
  <c r="G20" i="40"/>
  <c r="T18" i="40"/>
  <c r="Q18" i="40"/>
  <c r="H18" i="40"/>
  <c r="M16" i="40"/>
  <c r="I15" i="40"/>
  <c r="F15" i="40"/>
  <c r="I16" i="45"/>
  <c r="I16" i="48" s="1"/>
  <c r="L16" i="45"/>
  <c r="L16" i="48" s="1"/>
  <c r="R18" i="45"/>
  <c r="R18" i="48" s="1"/>
  <c r="E18" i="45"/>
  <c r="E18" i="48" s="1"/>
  <c r="H18" i="45"/>
  <c r="H18" i="48" s="1"/>
  <c r="F27" i="45"/>
  <c r="F27" i="48" s="1"/>
  <c r="P27" i="45"/>
  <c r="P27" i="48" s="1"/>
  <c r="S21" i="45"/>
  <c r="S21" i="48" s="1"/>
  <c r="O30" i="45"/>
  <c r="O30" i="48" s="1"/>
  <c r="R30" i="45"/>
  <c r="R30" i="48" s="1"/>
  <c r="H30" i="45"/>
  <c r="H30" i="48" s="1"/>
  <c r="M30" i="45"/>
  <c r="M30" i="48" s="1"/>
  <c r="F24" i="45"/>
  <c r="F24" i="48" s="1"/>
  <c r="L24" i="45"/>
  <c r="L24" i="48" s="1"/>
  <c r="S9" i="42"/>
  <c r="Q9" i="42"/>
  <c r="H9" i="42"/>
  <c r="I10" i="42"/>
  <c r="S13" i="40"/>
  <c r="K18" i="40"/>
  <c r="K16" i="45"/>
  <c r="K16" i="48" s="1"/>
  <c r="Q16" i="45"/>
  <c r="Q16" i="48" s="1"/>
  <c r="N22" i="45"/>
  <c r="N22" i="48" s="1"/>
  <c r="E5" i="40"/>
  <c r="M27" i="45"/>
  <c r="M27" i="48" s="1"/>
  <c r="I21" i="45"/>
  <c r="I21" i="48" s="1"/>
  <c r="K30" i="45"/>
  <c r="K30" i="48" s="1"/>
  <c r="J30" i="45"/>
  <c r="J30" i="48" s="1"/>
  <c r="R9" i="42"/>
  <c r="G9" i="42"/>
  <c r="T10" i="42"/>
  <c r="O10" i="42"/>
  <c r="L13" i="40"/>
  <c r="R20" i="40"/>
  <c r="I20" i="40"/>
  <c r="S18" i="40"/>
  <c r="M18" i="40"/>
  <c r="J18" i="40"/>
  <c r="K15" i="40"/>
  <c r="O18" i="45"/>
  <c r="O18" i="48" s="1"/>
  <c r="S18" i="45"/>
  <c r="S18" i="48" s="1"/>
  <c r="Q21" i="40"/>
  <c r="M21" i="40"/>
  <c r="I21" i="40"/>
  <c r="K18" i="45"/>
  <c r="K18" i="48" s="1"/>
  <c r="H21" i="40"/>
  <c r="Q19" i="40"/>
  <c r="M19" i="40"/>
  <c r="E19" i="40"/>
  <c r="R21" i="40"/>
  <c r="N21" i="40"/>
  <c r="F21" i="40"/>
  <c r="S19" i="40"/>
  <c r="O19" i="40"/>
  <c r="K19" i="40"/>
  <c r="G19" i="40"/>
  <c r="H16" i="40"/>
  <c r="F13" i="45"/>
  <c r="F13" i="48" s="1"/>
  <c r="L11" i="40"/>
  <c r="M24" i="40"/>
  <c r="M11" i="40"/>
  <c r="F10" i="40"/>
  <c r="J24" i="40"/>
  <c r="I19" i="40"/>
  <c r="R19" i="40"/>
  <c r="N19" i="40"/>
  <c r="J19" i="40"/>
  <c r="F19" i="40"/>
  <c r="N18" i="40"/>
  <c r="O11" i="40"/>
  <c r="I24" i="40"/>
  <c r="S11" i="40"/>
  <c r="R11" i="40"/>
  <c r="G24" i="40"/>
  <c r="H24" i="40"/>
  <c r="Q24" i="40"/>
  <c r="Q11" i="40"/>
  <c r="P24" i="40"/>
  <c r="L24" i="40"/>
  <c r="S24" i="40"/>
  <c r="F24" i="40"/>
  <c r="T24" i="40"/>
  <c r="N11" i="40"/>
  <c r="O21" i="40"/>
  <c r="T19" i="40"/>
  <c r="P19" i="40"/>
  <c r="L19" i="40"/>
  <c r="H19" i="40"/>
  <c r="E16" i="40"/>
  <c r="S22" i="45"/>
  <c r="S22" i="48" s="1"/>
  <c r="O22" i="45"/>
  <c r="O22" i="48" s="1"/>
  <c r="K24" i="40"/>
  <c r="O24" i="40"/>
  <c r="N24" i="40"/>
  <c r="H11" i="40"/>
  <c r="R24" i="40"/>
  <c r="J11" i="40"/>
  <c r="J18" i="45"/>
  <c r="J18" i="48" s="1"/>
  <c r="T22" i="45"/>
  <c r="T22" i="48" s="1"/>
  <c r="G18" i="45"/>
  <c r="G18" i="48" s="1"/>
  <c r="I18" i="45"/>
  <c r="I18" i="48" s="1"/>
  <c r="R13" i="45"/>
  <c r="R13" i="48" s="1"/>
  <c r="AM67" i="37"/>
  <c r="L13" i="45"/>
  <c r="L13" i="48" s="1"/>
  <c r="P13" i="45"/>
  <c r="P13" i="48" s="1"/>
  <c r="S13" i="45"/>
  <c r="S13" i="48" s="1"/>
  <c r="AM68" i="37"/>
  <c r="O13" i="45"/>
  <c r="O13" i="48" s="1"/>
  <c r="H13" i="45"/>
  <c r="H13" i="48" s="1"/>
  <c r="U47" i="37"/>
  <c r="K13" i="45"/>
  <c r="K13" i="48" s="1"/>
  <c r="J13" i="45"/>
  <c r="J13" i="48" s="1"/>
  <c r="L18" i="45"/>
  <c r="L18" i="48" s="1"/>
  <c r="Q13" i="45"/>
  <c r="Q13" i="48" s="1"/>
  <c r="E13" i="45"/>
  <c r="E13" i="48" s="1"/>
  <c r="F14" i="45"/>
  <c r="F14" i="48" s="1"/>
  <c r="H14" i="45"/>
  <c r="H14" i="48" s="1"/>
  <c r="P14" i="45"/>
  <c r="P14" i="48" s="1"/>
  <c r="N14" i="45"/>
  <c r="N14" i="48" s="1"/>
  <c r="T13" i="45"/>
  <c r="T13" i="48" s="1"/>
  <c r="I13" i="45"/>
  <c r="I13" i="48" s="1"/>
  <c r="M13" i="45"/>
  <c r="M13" i="48" s="1"/>
  <c r="T14" i="45"/>
  <c r="T14" i="48" s="1"/>
  <c r="L14" i="45"/>
  <c r="L14" i="48" s="1"/>
  <c r="Q14" i="45"/>
  <c r="Q14" i="48" s="1"/>
  <c r="G14" i="45"/>
  <c r="G14" i="48" s="1"/>
  <c r="I14" i="45"/>
  <c r="I14" i="48" s="1"/>
  <c r="J14" i="45"/>
  <c r="J14" i="48" s="1"/>
  <c r="M14" i="45"/>
  <c r="M14" i="48" s="1"/>
  <c r="R14" i="45"/>
  <c r="R14" i="48" s="1"/>
  <c r="G13" i="45"/>
  <c r="G13" i="48" s="1"/>
  <c r="S14" i="45"/>
  <c r="S14" i="48" s="1"/>
  <c r="O14" i="45"/>
  <c r="O14" i="48" s="1"/>
  <c r="K14" i="45"/>
  <c r="K14" i="48" s="1"/>
  <c r="E14" i="45"/>
  <c r="E14" i="48" s="1"/>
  <c r="Q19" i="42"/>
  <c r="H19" i="42"/>
  <c r="N19" i="42"/>
  <c r="E19" i="42"/>
  <c r="T19" i="42"/>
  <c r="K19" i="42"/>
  <c r="S19" i="42"/>
  <c r="P19" i="42"/>
  <c r="M19" i="42"/>
  <c r="J19" i="42"/>
  <c r="G19" i="42"/>
  <c r="R19" i="42"/>
  <c r="O19" i="42"/>
  <c r="L19" i="42"/>
  <c r="I19" i="42"/>
  <c r="F19" i="42"/>
  <c r="I5" i="42"/>
  <c r="H5" i="42"/>
  <c r="D42" i="21"/>
  <c r="D142" i="21" s="1"/>
  <c r="F13" i="21"/>
  <c r="F14" i="21" s="1"/>
  <c r="I32" i="16"/>
  <c r="I36" i="16"/>
  <c r="D13" i="26" s="1"/>
  <c r="D20" i="26" s="1"/>
  <c r="K27" i="16"/>
  <c r="D10" i="24"/>
  <c r="D10" i="10"/>
  <c r="J29" i="16"/>
  <c r="J31" i="16" s="1"/>
  <c r="D11" i="10"/>
  <c r="D12" i="10" s="1"/>
  <c r="E11" i="10" s="1"/>
  <c r="E12" i="10" s="1"/>
  <c r="F11" i="10" s="1"/>
  <c r="F12" i="10" s="1"/>
  <c r="G11" i="10" s="1"/>
  <c r="G12" i="10" s="1"/>
  <c r="H11" i="10" s="1"/>
  <c r="H12" i="10" s="1"/>
  <c r="I11" i="10" s="1"/>
  <c r="I12" i="10" s="1"/>
  <c r="J11" i="10" s="1"/>
  <c r="J12" i="10" s="1"/>
  <c r="K11" i="10" s="1"/>
  <c r="K12" i="10" s="1"/>
  <c r="L11" i="10" s="1"/>
  <c r="L12" i="10" s="1"/>
  <c r="M11" i="10" s="1"/>
  <c r="M12" i="10" s="1"/>
  <c r="N11" i="10" s="1"/>
  <c r="N12" i="10" s="1"/>
  <c r="O11" i="10" s="1"/>
  <c r="O12" i="10" s="1"/>
  <c r="P11" i="10" s="1"/>
  <c r="P12" i="10" s="1"/>
  <c r="Q11" i="10" s="1"/>
  <c r="Q12" i="10" s="1"/>
  <c r="R11" i="10" s="1"/>
  <c r="R12" i="10" s="1"/>
  <c r="S11" i="10" s="1"/>
  <c r="S12" i="10" s="1"/>
  <c r="T11" i="10" s="1"/>
  <c r="T12" i="10" s="1"/>
  <c r="U11" i="10" s="1"/>
  <c r="U12" i="10" s="1"/>
  <c r="V11" i="10" s="1"/>
  <c r="V12" i="10" s="1"/>
  <c r="W11" i="10" s="1"/>
  <c r="W12" i="10" s="1"/>
  <c r="X11" i="10" s="1"/>
  <c r="X12" i="10" s="1"/>
  <c r="Y11" i="10" s="1"/>
  <c r="Y12" i="10" s="1"/>
  <c r="Z11" i="10" s="1"/>
  <c r="Z12" i="10" s="1"/>
  <c r="AA11" i="10" s="1"/>
  <c r="AA12" i="10" s="1"/>
  <c r="AB11" i="10" s="1"/>
  <c r="AB12" i="10" s="1"/>
  <c r="AC11" i="10" s="1"/>
  <c r="AC12" i="10" s="1"/>
  <c r="AD11" i="10" s="1"/>
  <c r="AD12" i="10" s="1"/>
  <c r="AE11" i="10" s="1"/>
  <c r="AE12" i="10" s="1"/>
  <c r="AF11" i="10" s="1"/>
  <c r="AF12" i="10" s="1"/>
  <c r="AG11" i="10" s="1"/>
  <c r="AG12" i="10" s="1"/>
  <c r="AH11" i="10" s="1"/>
  <c r="AH12" i="10" s="1"/>
  <c r="AI11" i="10" s="1"/>
  <c r="AI12" i="10" s="1"/>
  <c r="AJ11" i="10" s="1"/>
  <c r="AJ12" i="10" s="1"/>
  <c r="AK11" i="10" s="1"/>
  <c r="AK12" i="10" s="1"/>
  <c r="AL11" i="10" s="1"/>
  <c r="AL12" i="10" s="1"/>
  <c r="AM11" i="10" s="1"/>
  <c r="AM12" i="10" s="1"/>
  <c r="AN11" i="10" s="1"/>
  <c r="AN12" i="10" s="1"/>
  <c r="AO11" i="10" s="1"/>
  <c r="AO12" i="10" s="1"/>
  <c r="AP11" i="10" s="1"/>
  <c r="AP12" i="10" s="1"/>
  <c r="AQ11" i="10" s="1"/>
  <c r="AQ12" i="10" s="1"/>
  <c r="AR11" i="10" s="1"/>
  <c r="AR12" i="10" s="1"/>
  <c r="AS11" i="10" s="1"/>
  <c r="AS12" i="10" s="1"/>
  <c r="AT11" i="10" s="1"/>
  <c r="AT12" i="10" s="1"/>
  <c r="AU11" i="10" s="1"/>
  <c r="AU12" i="10" s="1"/>
  <c r="AV11" i="10" s="1"/>
  <c r="AV12" i="10" s="1"/>
  <c r="AW11" i="10" s="1"/>
  <c r="AW12" i="10" s="1"/>
  <c r="D10" i="29"/>
  <c r="P2" i="38"/>
  <c r="J2" i="49"/>
  <c r="K2" i="46"/>
  <c r="K2" i="44"/>
  <c r="D144" i="8"/>
  <c r="E145" i="8" s="1"/>
  <c r="D38" i="8"/>
  <c r="E138" i="32"/>
  <c r="E31" i="32" s="1"/>
  <c r="F17" i="32"/>
  <c r="E44" i="32"/>
  <c r="E46" i="32" s="1"/>
  <c r="F42" i="32"/>
  <c r="F138" i="32"/>
  <c r="F31" i="32" s="1"/>
  <c r="D89" i="9"/>
  <c r="D42" i="9"/>
  <c r="D141" i="9" s="1"/>
  <c r="E32" i="9"/>
  <c r="E13" i="9"/>
  <c r="F9" i="9"/>
  <c r="E10" i="9"/>
  <c r="E33" i="9" s="1"/>
  <c r="E90" i="9" s="1"/>
  <c r="E111" i="9" s="1"/>
  <c r="D22" i="9"/>
  <c r="D20" i="9"/>
  <c r="D15" i="9"/>
  <c r="D24" i="9"/>
  <c r="D21" i="9"/>
  <c r="D17" i="9"/>
  <c r="D16" i="9"/>
  <c r="D19" i="9"/>
  <c r="D18" i="9"/>
  <c r="D14" i="9"/>
  <c r="G12" i="32"/>
  <c r="H11" i="32" s="1"/>
  <c r="G13" i="32"/>
  <c r="G15" i="32"/>
  <c r="G14" i="32"/>
  <c r="F10" i="32"/>
  <c r="F26" i="32" s="1"/>
  <c r="F83" i="32" s="1"/>
  <c r="F104" i="32" s="1"/>
  <c r="G9" i="32"/>
  <c r="E89" i="21"/>
  <c r="F89" i="21" s="1"/>
  <c r="D110" i="21"/>
  <c r="D114" i="21" s="1"/>
  <c r="G9" i="5"/>
  <c r="F10" i="5"/>
  <c r="G9" i="21"/>
  <c r="F10" i="21"/>
  <c r="F33" i="21" s="1"/>
  <c r="F90" i="21" s="1"/>
  <c r="F111" i="21" s="1"/>
  <c r="F32" i="21"/>
  <c r="E42" i="21"/>
  <c r="E142" i="21" s="1"/>
  <c r="D24" i="21"/>
  <c r="G4" i="41" s="1"/>
  <c r="W18" i="37" s="1"/>
  <c r="D18" i="21"/>
  <c r="D16" i="21"/>
  <c r="D19" i="21"/>
  <c r="D20" i="21"/>
  <c r="D15" i="21"/>
  <c r="D14" i="21"/>
  <c r="D21" i="21"/>
  <c r="D22" i="21"/>
  <c r="D17" i="21"/>
  <c r="H12" i="21"/>
  <c r="I11" i="21" s="1"/>
  <c r="G89" i="21"/>
  <c r="F24" i="21"/>
  <c r="F20" i="21"/>
  <c r="F21" i="21"/>
  <c r="F22" i="21"/>
  <c r="E24" i="21"/>
  <c r="E19" i="21"/>
  <c r="E20" i="21"/>
  <c r="E21" i="21"/>
  <c r="E15" i="21"/>
  <c r="E16" i="21"/>
  <c r="E17" i="21"/>
  <c r="E14" i="21"/>
  <c r="E18" i="21"/>
  <c r="E22" i="21"/>
  <c r="F110" i="8"/>
  <c r="F116" i="8" s="1"/>
  <c r="E49" i="8"/>
  <c r="E38" i="8"/>
  <c r="E144" i="8"/>
  <c r="F42" i="8"/>
  <c r="F146" i="8" s="1"/>
  <c r="G32" i="8"/>
  <c r="I57" i="8"/>
  <c r="J30" i="8"/>
  <c r="E116" i="8"/>
  <c r="H9" i="8"/>
  <c r="G10" i="8"/>
  <c r="G33" i="8" s="1"/>
  <c r="G90" i="8" s="1"/>
  <c r="G111" i="8" s="1"/>
  <c r="G13" i="8"/>
  <c r="F20" i="8"/>
  <c r="F15" i="8"/>
  <c r="F17" i="8"/>
  <c r="F19" i="8"/>
  <c r="F21" i="8"/>
  <c r="F24" i="8"/>
  <c r="J5" i="41" s="1"/>
  <c r="F14" i="8"/>
  <c r="F16" i="8"/>
  <c r="F18" i="8"/>
  <c r="F22" i="8"/>
  <c r="I12" i="8"/>
  <c r="J11" i="8" s="1"/>
  <c r="AR89" i="8"/>
  <c r="M30" i="9"/>
  <c r="L57" i="9"/>
  <c r="G12" i="9"/>
  <c r="H11" i="9" s="1"/>
  <c r="D42" i="26"/>
  <c r="D89" i="26"/>
  <c r="E32" i="26"/>
  <c r="D24" i="26"/>
  <c r="I6" i="41" s="1"/>
  <c r="D18" i="26"/>
  <c r="D22" i="26"/>
  <c r="D14" i="26"/>
  <c r="G12" i="26"/>
  <c r="H11" i="26" s="1"/>
  <c r="J30" i="26"/>
  <c r="I57" i="26"/>
  <c r="E13" i="26"/>
  <c r="E10" i="26"/>
  <c r="E33" i="26" s="1"/>
  <c r="E90" i="26" s="1"/>
  <c r="E111" i="26" s="1"/>
  <c r="F9" i="26"/>
  <c r="J30" i="29"/>
  <c r="I57" i="29"/>
  <c r="K30" i="24"/>
  <c r="J57" i="24"/>
  <c r="L132" i="36" l="1"/>
  <c r="K160" i="36"/>
  <c r="F3" i="41"/>
  <c r="F3" i="42" s="1"/>
  <c r="J5" i="42"/>
  <c r="G4" i="42"/>
  <c r="V16" i="37"/>
  <c r="I6" i="42"/>
  <c r="F19" i="21"/>
  <c r="J32" i="16"/>
  <c r="J36" i="16"/>
  <c r="D15" i="26"/>
  <c r="D21" i="26"/>
  <c r="F18" i="21"/>
  <c r="D33" i="10"/>
  <c r="D90" i="10" s="1"/>
  <c r="D111" i="10" s="1"/>
  <c r="D9" i="10"/>
  <c r="F17" i="21"/>
  <c r="D9" i="24"/>
  <c r="D111" i="24"/>
  <c r="D33" i="24"/>
  <c r="D90" i="24"/>
  <c r="D16" i="26"/>
  <c r="D19" i="26"/>
  <c r="D17" i="26"/>
  <c r="F15" i="21"/>
  <c r="F16" i="21"/>
  <c r="L27" i="16"/>
  <c r="E7" i="12" s="1"/>
  <c r="K29" i="16"/>
  <c r="K31" i="16" s="1"/>
  <c r="D11" i="29"/>
  <c r="D12" i="29" s="1"/>
  <c r="E11" i="29" s="1"/>
  <c r="E12" i="29" s="1"/>
  <c r="F11" i="29" s="1"/>
  <c r="F12" i="29" s="1"/>
  <c r="G11" i="29" s="1"/>
  <c r="G12" i="29" s="1"/>
  <c r="H11" i="29" s="1"/>
  <c r="H12" i="29" s="1"/>
  <c r="I11" i="29" s="1"/>
  <c r="I12" i="29" s="1"/>
  <c r="J11" i="29" s="1"/>
  <c r="J12" i="29" s="1"/>
  <c r="K11" i="29" s="1"/>
  <c r="K12" i="29" s="1"/>
  <c r="L11" i="29" s="1"/>
  <c r="L12" i="29" s="1"/>
  <c r="M11" i="29" s="1"/>
  <c r="M12" i="29" s="1"/>
  <c r="N11" i="29" s="1"/>
  <c r="N12" i="29" s="1"/>
  <c r="O11" i="29" s="1"/>
  <c r="O12" i="29" s="1"/>
  <c r="P11" i="29" s="1"/>
  <c r="P12" i="29" s="1"/>
  <c r="Q11" i="29" s="1"/>
  <c r="Q12" i="29" s="1"/>
  <c r="R11" i="29" s="1"/>
  <c r="R12" i="29" s="1"/>
  <c r="S11" i="29" s="1"/>
  <c r="S12" i="29" s="1"/>
  <c r="T11" i="29" s="1"/>
  <c r="T12" i="29" s="1"/>
  <c r="U11" i="29" s="1"/>
  <c r="U12" i="29" s="1"/>
  <c r="V11" i="29" s="1"/>
  <c r="V12" i="29" s="1"/>
  <c r="W11" i="29" s="1"/>
  <c r="W12" i="29" s="1"/>
  <c r="X11" i="29" s="1"/>
  <c r="X12" i="29" s="1"/>
  <c r="Y11" i="29" s="1"/>
  <c r="Y12" i="29" s="1"/>
  <c r="Z11" i="29" s="1"/>
  <c r="Z12" i="29" s="1"/>
  <c r="AA11" i="29" s="1"/>
  <c r="AA12" i="29" s="1"/>
  <c r="AB11" i="29" s="1"/>
  <c r="AB12" i="29" s="1"/>
  <c r="AC11" i="29" s="1"/>
  <c r="AC12" i="29" s="1"/>
  <c r="AD11" i="29" s="1"/>
  <c r="AD12" i="29" s="1"/>
  <c r="AE11" i="29" s="1"/>
  <c r="AE12" i="29" s="1"/>
  <c r="AF11" i="29" s="1"/>
  <c r="AF12" i="29" s="1"/>
  <c r="AG11" i="29" s="1"/>
  <c r="AG12" i="29" s="1"/>
  <c r="AH11" i="29" s="1"/>
  <c r="AH12" i="29" s="1"/>
  <c r="AI11" i="29" s="1"/>
  <c r="AI12" i="29" s="1"/>
  <c r="AJ11" i="29" s="1"/>
  <c r="AJ12" i="29" s="1"/>
  <c r="AK11" i="29" s="1"/>
  <c r="AK12" i="29" s="1"/>
  <c r="AL11" i="29" s="1"/>
  <c r="AL12" i="29" s="1"/>
  <c r="AM11" i="29" s="1"/>
  <c r="AM12" i="29" s="1"/>
  <c r="AN11" i="29" s="1"/>
  <c r="AN12" i="29" s="1"/>
  <c r="AO11" i="29" s="1"/>
  <c r="AO12" i="29" s="1"/>
  <c r="AP11" i="29" s="1"/>
  <c r="AP12" i="29" s="1"/>
  <c r="AQ11" i="29" s="1"/>
  <c r="AQ12" i="29" s="1"/>
  <c r="AR11" i="29" s="1"/>
  <c r="AR12" i="29" s="1"/>
  <c r="AS11" i="29" s="1"/>
  <c r="AS12" i="29" s="1"/>
  <c r="AT11" i="29" s="1"/>
  <c r="AT12" i="29" s="1"/>
  <c r="AU11" i="29" s="1"/>
  <c r="AU12" i="29" s="1"/>
  <c r="AV11" i="29" s="1"/>
  <c r="AV12" i="29" s="1"/>
  <c r="AW11" i="29" s="1"/>
  <c r="AW12" i="29" s="1"/>
  <c r="I4" i="41"/>
  <c r="Y18" i="37" s="1"/>
  <c r="F38" i="21"/>
  <c r="H4" i="41"/>
  <c r="X18" i="37" s="1"/>
  <c r="E38" i="21"/>
  <c r="D9" i="29"/>
  <c r="D90" i="29"/>
  <c r="D111" i="29"/>
  <c r="D33" i="29"/>
  <c r="Q2" i="38"/>
  <c r="K2" i="49"/>
  <c r="L2" i="46"/>
  <c r="L2" i="44"/>
  <c r="F145" i="8"/>
  <c r="F44" i="32"/>
  <c r="F46" i="32" s="1"/>
  <c r="G17" i="32"/>
  <c r="H13" i="32"/>
  <c r="H14" i="32"/>
  <c r="H12" i="32"/>
  <c r="I11" i="32" s="1"/>
  <c r="H15" i="32"/>
  <c r="E42" i="9"/>
  <c r="E141" i="9" s="1"/>
  <c r="F32" i="9"/>
  <c r="E89" i="9"/>
  <c r="F89" i="9" s="1"/>
  <c r="G89" i="9" s="1"/>
  <c r="H89" i="9" s="1"/>
  <c r="I89" i="9" s="1"/>
  <c r="J89" i="9" s="1"/>
  <c r="K89" i="9" s="1"/>
  <c r="D110" i="9"/>
  <c r="E24" i="9"/>
  <c r="E19" i="9"/>
  <c r="E17" i="9"/>
  <c r="E15" i="9"/>
  <c r="E16" i="9"/>
  <c r="E20" i="9"/>
  <c r="E18" i="9"/>
  <c r="E21" i="9"/>
  <c r="E14" i="9"/>
  <c r="E22" i="9"/>
  <c r="H9" i="32"/>
  <c r="G10" i="32"/>
  <c r="G26" i="32" s="1"/>
  <c r="G83" i="32" s="1"/>
  <c r="G104" i="32" s="1"/>
  <c r="D49" i="9"/>
  <c r="D38" i="9"/>
  <c r="D139" i="9"/>
  <c r="E140" i="9" s="1"/>
  <c r="F10" i="9"/>
  <c r="F33" i="9" s="1"/>
  <c r="F90" i="9" s="1"/>
  <c r="F111" i="9" s="1"/>
  <c r="F13" i="9"/>
  <c r="G9" i="9"/>
  <c r="E110" i="21"/>
  <c r="H9" i="21"/>
  <c r="G10" i="21"/>
  <c r="G33" i="21" s="1"/>
  <c r="G90" i="21" s="1"/>
  <c r="G111" i="21" s="1"/>
  <c r="G13" i="21"/>
  <c r="G32" i="21"/>
  <c r="F42" i="21"/>
  <c r="F142" i="21" s="1"/>
  <c r="H9" i="5"/>
  <c r="G10" i="5"/>
  <c r="G42" i="5"/>
  <c r="G134" i="5" s="1"/>
  <c r="F140" i="21"/>
  <c r="F49" i="21"/>
  <c r="H89" i="21"/>
  <c r="I12" i="21"/>
  <c r="J11" i="21" s="1"/>
  <c r="J12" i="21" s="1"/>
  <c r="K11" i="21" s="1"/>
  <c r="D119" i="21"/>
  <c r="D120" i="21"/>
  <c r="D140" i="21"/>
  <c r="D49" i="21"/>
  <c r="D38" i="21"/>
  <c r="E140" i="21"/>
  <c r="E49" i="21"/>
  <c r="K30" i="8"/>
  <c r="J57" i="8"/>
  <c r="G42" i="8"/>
  <c r="G146" i="8" s="1"/>
  <c r="H32" i="8"/>
  <c r="G18" i="8"/>
  <c r="G24" i="8"/>
  <c r="K5" i="41" s="1"/>
  <c r="G20" i="8"/>
  <c r="G22" i="8"/>
  <c r="G19" i="8"/>
  <c r="G17" i="8"/>
  <c r="G14" i="8"/>
  <c r="G15" i="8"/>
  <c r="G16" i="8"/>
  <c r="G21" i="8"/>
  <c r="G110" i="8"/>
  <c r="G116" i="8" s="1"/>
  <c r="F38" i="8"/>
  <c r="F144" i="8"/>
  <c r="F49" i="8"/>
  <c r="I9" i="8"/>
  <c r="H10" i="8"/>
  <c r="H33" i="8" s="1"/>
  <c r="H90" i="8" s="1"/>
  <c r="H111" i="8" s="1"/>
  <c r="H13" i="8"/>
  <c r="J12" i="8"/>
  <c r="K11" i="8" s="1"/>
  <c r="AS89" i="8"/>
  <c r="N30" i="9"/>
  <c r="M57" i="9"/>
  <c r="H12" i="9"/>
  <c r="I11" i="9" s="1"/>
  <c r="F13" i="26"/>
  <c r="G9" i="26"/>
  <c r="F10" i="26"/>
  <c r="F33" i="26" s="1"/>
  <c r="F90" i="26" s="1"/>
  <c r="F111" i="26" s="1"/>
  <c r="H12" i="26"/>
  <c r="I11" i="26" s="1"/>
  <c r="E18" i="26"/>
  <c r="E17" i="26"/>
  <c r="E24" i="26"/>
  <c r="J6" i="41" s="1"/>
  <c r="Z20" i="37" s="1"/>
  <c r="E16" i="26"/>
  <c r="E21" i="26"/>
  <c r="E19" i="26"/>
  <c r="E15" i="26"/>
  <c r="E20" i="26"/>
  <c r="E22" i="26"/>
  <c r="E14" i="26"/>
  <c r="J57" i="26"/>
  <c r="K30" i="26"/>
  <c r="D38" i="26"/>
  <c r="D142" i="26"/>
  <c r="D49" i="26"/>
  <c r="E42" i="26"/>
  <c r="E144" i="26" s="1"/>
  <c r="F32" i="26"/>
  <c r="E89" i="26"/>
  <c r="D110" i="26"/>
  <c r="K30" i="29"/>
  <c r="J57" i="29"/>
  <c r="L30" i="24"/>
  <c r="K57" i="24"/>
  <c r="L160" i="36" l="1"/>
  <c r="M132" i="36"/>
  <c r="AO18" i="37"/>
  <c r="G3" i="41"/>
  <c r="G3" i="42" s="1"/>
  <c r="AN16" i="37"/>
  <c r="K5" i="42"/>
  <c r="H4" i="42"/>
  <c r="I4" i="42"/>
  <c r="W16" i="37"/>
  <c r="J6" i="42"/>
  <c r="E135" i="12"/>
  <c r="E192" i="12" s="1"/>
  <c r="E30" i="12"/>
  <c r="E89" i="12" s="1"/>
  <c r="E112" i="12" s="1"/>
  <c r="E6" i="12"/>
  <c r="E7" i="36"/>
  <c r="D32" i="10"/>
  <c r="E9" i="10"/>
  <c r="D13" i="10"/>
  <c r="G145" i="8"/>
  <c r="E9" i="29"/>
  <c r="D32" i="29"/>
  <c r="K32" i="16"/>
  <c r="K36" i="16"/>
  <c r="D13" i="29" s="1"/>
  <c r="L29" i="16"/>
  <c r="L31" i="16" s="1"/>
  <c r="D11" i="24"/>
  <c r="D12" i="24" s="1"/>
  <c r="E11" i="24" s="1"/>
  <c r="E12" i="24" s="1"/>
  <c r="F11" i="24" s="1"/>
  <c r="F12" i="24" s="1"/>
  <c r="G11" i="24" s="1"/>
  <c r="G12" i="24" s="1"/>
  <c r="H11" i="24" s="1"/>
  <c r="H12" i="24" s="1"/>
  <c r="I11" i="24" s="1"/>
  <c r="I12" i="24" s="1"/>
  <c r="J11" i="24" s="1"/>
  <c r="J12" i="24" s="1"/>
  <c r="K11" i="24" s="1"/>
  <c r="K12" i="24" s="1"/>
  <c r="L11" i="24" s="1"/>
  <c r="L12" i="24" s="1"/>
  <c r="M11" i="24" s="1"/>
  <c r="M12" i="24" s="1"/>
  <c r="N11" i="24" s="1"/>
  <c r="N12" i="24" s="1"/>
  <c r="O11" i="24" s="1"/>
  <c r="O12" i="24" s="1"/>
  <c r="P11" i="24" s="1"/>
  <c r="P12" i="24" s="1"/>
  <c r="Q11" i="24" s="1"/>
  <c r="Q12" i="24" s="1"/>
  <c r="R11" i="24" s="1"/>
  <c r="R12" i="24" s="1"/>
  <c r="S11" i="24" s="1"/>
  <c r="S12" i="24" s="1"/>
  <c r="T11" i="24" s="1"/>
  <c r="T12" i="24" s="1"/>
  <c r="U11" i="24" s="1"/>
  <c r="U12" i="24" s="1"/>
  <c r="V11" i="24" s="1"/>
  <c r="V12" i="24" s="1"/>
  <c r="W11" i="24" s="1"/>
  <c r="W12" i="24" s="1"/>
  <c r="X11" i="24" s="1"/>
  <c r="X12" i="24" s="1"/>
  <c r="Y11" i="24" s="1"/>
  <c r="Y12" i="24" s="1"/>
  <c r="Z11" i="24" s="1"/>
  <c r="Z12" i="24" s="1"/>
  <c r="AA11" i="24" s="1"/>
  <c r="AA12" i="24" s="1"/>
  <c r="AB11" i="24" s="1"/>
  <c r="AB12" i="24" s="1"/>
  <c r="AC11" i="24" s="1"/>
  <c r="AC12" i="24" s="1"/>
  <c r="AD11" i="24" s="1"/>
  <c r="AD12" i="24" s="1"/>
  <c r="AE11" i="24" s="1"/>
  <c r="AE12" i="24" s="1"/>
  <c r="AF11" i="24" s="1"/>
  <c r="AF12" i="24" s="1"/>
  <c r="AG11" i="24" s="1"/>
  <c r="AG12" i="24" s="1"/>
  <c r="AH11" i="24" s="1"/>
  <c r="AH12" i="24" s="1"/>
  <c r="AI11" i="24" s="1"/>
  <c r="AI12" i="24" s="1"/>
  <c r="AJ11" i="24" s="1"/>
  <c r="AJ12" i="24" s="1"/>
  <c r="AK11" i="24" s="1"/>
  <c r="AK12" i="24" s="1"/>
  <c r="AL11" i="24" s="1"/>
  <c r="AL12" i="24" s="1"/>
  <c r="AM11" i="24" s="1"/>
  <c r="AM12" i="24" s="1"/>
  <c r="AN11" i="24" s="1"/>
  <c r="AN12" i="24" s="1"/>
  <c r="AO11" i="24" s="1"/>
  <c r="AO12" i="24" s="1"/>
  <c r="AP11" i="24" s="1"/>
  <c r="AP12" i="24" s="1"/>
  <c r="AQ11" i="24" s="1"/>
  <c r="AQ12" i="24" s="1"/>
  <c r="AR11" i="24" s="1"/>
  <c r="AR12" i="24" s="1"/>
  <c r="AS11" i="24" s="1"/>
  <c r="AS12" i="24" s="1"/>
  <c r="AT11" i="24" s="1"/>
  <c r="AT12" i="24" s="1"/>
  <c r="AU11" i="24" s="1"/>
  <c r="AU12" i="24" s="1"/>
  <c r="AV11" i="24" s="1"/>
  <c r="AV12" i="24" s="1"/>
  <c r="AW11" i="24" s="1"/>
  <c r="AW12" i="24" s="1"/>
  <c r="C4" i="33"/>
  <c r="C3" i="33" s="1"/>
  <c r="D32" i="24"/>
  <c r="E9" i="24"/>
  <c r="R2" i="38"/>
  <c r="L2" i="49"/>
  <c r="M2" i="46"/>
  <c r="M2" i="44"/>
  <c r="H17" i="32"/>
  <c r="G138" i="32"/>
  <c r="G31" i="32" s="1"/>
  <c r="E60" i="32" s="1"/>
  <c r="G42" i="32"/>
  <c r="G44" i="32" s="1"/>
  <c r="G10" i="9"/>
  <c r="G33" i="9" s="1"/>
  <c r="G90" i="9" s="1"/>
  <c r="G111" i="9" s="1"/>
  <c r="H9" i="9"/>
  <c r="G13" i="9"/>
  <c r="G32" i="9"/>
  <c r="F42" i="9"/>
  <c r="E139" i="9"/>
  <c r="F140" i="9" s="1"/>
  <c r="E49" i="9"/>
  <c r="E38" i="9"/>
  <c r="F21" i="9"/>
  <c r="F24" i="9"/>
  <c r="F22" i="9"/>
  <c r="F18" i="9"/>
  <c r="F14" i="9"/>
  <c r="F15" i="9"/>
  <c r="F19" i="9"/>
  <c r="F16" i="9"/>
  <c r="F17" i="9"/>
  <c r="F20" i="9"/>
  <c r="F182" i="12"/>
  <c r="F183" i="36"/>
  <c r="D113" i="9"/>
  <c r="C15" i="33" s="1"/>
  <c r="E110" i="9"/>
  <c r="D122" i="9"/>
  <c r="H10" i="32"/>
  <c r="H26" i="32" s="1"/>
  <c r="H83" i="32" s="1"/>
  <c r="H104" i="32" s="1"/>
  <c r="I9" i="32"/>
  <c r="P5" i="16"/>
  <c r="D222" i="12"/>
  <c r="G222" i="12" s="1"/>
  <c r="I12" i="32"/>
  <c r="J11" i="32" s="1"/>
  <c r="I14" i="32"/>
  <c r="I15" i="32"/>
  <c r="I13" i="32"/>
  <c r="AK113" i="5"/>
  <c r="E113" i="5"/>
  <c r="C7" i="33" s="1"/>
  <c r="W113" i="5"/>
  <c r="AH113" i="5"/>
  <c r="M113" i="5"/>
  <c r="T113" i="5"/>
  <c r="P113" i="5"/>
  <c r="AQ113" i="5"/>
  <c r="R113" i="5"/>
  <c r="AT113" i="5"/>
  <c r="AI113" i="5"/>
  <c r="AG113" i="5"/>
  <c r="S113" i="5"/>
  <c r="V113" i="5"/>
  <c r="U113" i="5"/>
  <c r="AV113" i="5"/>
  <c r="AN113" i="5"/>
  <c r="AJ113" i="5"/>
  <c r="AP113" i="5"/>
  <c r="O113" i="5"/>
  <c r="N113" i="5"/>
  <c r="AL113" i="5"/>
  <c r="H113" i="5"/>
  <c r="D113" i="5"/>
  <c r="Y113" i="5"/>
  <c r="G113" i="5"/>
  <c r="AC113" i="5"/>
  <c r="AE113" i="5"/>
  <c r="AD113" i="5"/>
  <c r="F113" i="5"/>
  <c r="AR113" i="5"/>
  <c r="AO113" i="5"/>
  <c r="K113" i="5"/>
  <c r="L113" i="5"/>
  <c r="E67" i="5"/>
  <c r="J113" i="5"/>
  <c r="AF113" i="5"/>
  <c r="AB113" i="5"/>
  <c r="AW113" i="5"/>
  <c r="AU113" i="5"/>
  <c r="H13" i="5"/>
  <c r="AA113" i="5"/>
  <c r="AM113" i="5"/>
  <c r="X113" i="5"/>
  <c r="Z113" i="5"/>
  <c r="AS113" i="5"/>
  <c r="Q113" i="5"/>
  <c r="P14" i="16"/>
  <c r="I113" i="5"/>
  <c r="I9" i="5"/>
  <c r="H10" i="5"/>
  <c r="H42" i="5"/>
  <c r="H134" i="5" s="1"/>
  <c r="H32" i="21"/>
  <c r="G42" i="21"/>
  <c r="G142" i="21" s="1"/>
  <c r="G21" i="21"/>
  <c r="G14" i="21"/>
  <c r="G22" i="21"/>
  <c r="G15" i="21"/>
  <c r="G24" i="21"/>
  <c r="J4" i="41" s="1"/>
  <c r="Z18" i="37" s="1"/>
  <c r="G17" i="21"/>
  <c r="G16" i="21"/>
  <c r="G18" i="21"/>
  <c r="G19" i="21"/>
  <c r="G20" i="21"/>
  <c r="H10" i="21"/>
  <c r="H33" i="21" s="1"/>
  <c r="H90" i="21" s="1"/>
  <c r="H111" i="21" s="1"/>
  <c r="I9" i="21"/>
  <c r="H13" i="21"/>
  <c r="F110" i="21"/>
  <c r="E114" i="21"/>
  <c r="K12" i="21"/>
  <c r="L11" i="21" s="1"/>
  <c r="L12" i="21" s="1"/>
  <c r="M11" i="21" s="1"/>
  <c r="E141" i="21"/>
  <c r="F141" i="21" s="1"/>
  <c r="G141" i="21" s="1"/>
  <c r="I89" i="21"/>
  <c r="H42" i="8"/>
  <c r="H146" i="8" s="1"/>
  <c r="I32" i="8"/>
  <c r="H110" i="8"/>
  <c r="I10" i="8"/>
  <c r="I33" i="8" s="1"/>
  <c r="I90" i="8" s="1"/>
  <c r="I111" i="8" s="1"/>
  <c r="J9" i="8"/>
  <c r="I13" i="8"/>
  <c r="L30" i="8"/>
  <c r="K57" i="8"/>
  <c r="H14" i="8"/>
  <c r="H15" i="8"/>
  <c r="H18" i="8"/>
  <c r="H24" i="8"/>
  <c r="L5" i="41" s="1"/>
  <c r="H21" i="8"/>
  <c r="H22" i="8"/>
  <c r="H16" i="8"/>
  <c r="H20" i="8"/>
  <c r="H19" i="8"/>
  <c r="H17" i="8"/>
  <c r="G38" i="8"/>
  <c r="G49" i="8"/>
  <c r="G144" i="8"/>
  <c r="H145" i="8" s="1"/>
  <c r="K12" i="8"/>
  <c r="L11" i="8" s="1"/>
  <c r="AT89" i="8"/>
  <c r="I12" i="9"/>
  <c r="J11" i="9" s="1"/>
  <c r="L89" i="9"/>
  <c r="N57" i="9"/>
  <c r="O30" i="9"/>
  <c r="E142" i="26"/>
  <c r="E38" i="26"/>
  <c r="E49" i="26"/>
  <c r="L30" i="26"/>
  <c r="K57" i="26"/>
  <c r="D122" i="26"/>
  <c r="E110" i="26"/>
  <c r="D113" i="26"/>
  <c r="F89" i="26"/>
  <c r="F42" i="26"/>
  <c r="F144" i="26" s="1"/>
  <c r="G32" i="26"/>
  <c r="G13" i="26"/>
  <c r="G10" i="26"/>
  <c r="G33" i="26" s="1"/>
  <c r="G90" i="26" s="1"/>
  <c r="G111" i="26" s="1"/>
  <c r="H9" i="26"/>
  <c r="I12" i="26"/>
  <c r="J11" i="26" s="1"/>
  <c r="F24" i="26"/>
  <c r="K6" i="41" s="1"/>
  <c r="F21" i="26"/>
  <c r="F18" i="26"/>
  <c r="F16" i="26"/>
  <c r="F19" i="26"/>
  <c r="F20" i="26"/>
  <c r="F14" i="26"/>
  <c r="F22" i="26"/>
  <c r="F15" i="26"/>
  <c r="F17" i="26"/>
  <c r="K57" i="29"/>
  <c r="L30" i="29"/>
  <c r="M30" i="24"/>
  <c r="L57" i="24"/>
  <c r="N132" i="36" l="1"/>
  <c r="M160" i="36"/>
  <c r="AP18" i="37"/>
  <c r="AQ18" i="37"/>
  <c r="H3" i="41"/>
  <c r="H3" i="42" s="1"/>
  <c r="AO16" i="37"/>
  <c r="L5" i="42"/>
  <c r="J4" i="42"/>
  <c r="X16" i="37"/>
  <c r="K6" i="42"/>
  <c r="D21" i="29"/>
  <c r="D20" i="29"/>
  <c r="D22" i="29"/>
  <c r="D14" i="29"/>
  <c r="D19" i="29"/>
  <c r="D16" i="29"/>
  <c r="D15" i="29"/>
  <c r="D17" i="29"/>
  <c r="D18" i="29"/>
  <c r="C14" i="33"/>
  <c r="C10" i="33" s="1"/>
  <c r="D3" i="33"/>
  <c r="C30" i="33"/>
  <c r="C46" i="33" s="1"/>
  <c r="C13" i="33"/>
  <c r="D18" i="10"/>
  <c r="D14" i="10"/>
  <c r="D20" i="10"/>
  <c r="D21" i="10"/>
  <c r="D15" i="10"/>
  <c r="D17" i="10"/>
  <c r="D16" i="10"/>
  <c r="D19" i="10"/>
  <c r="D22" i="10"/>
  <c r="L36" i="16"/>
  <c r="L32" i="16"/>
  <c r="E10" i="10"/>
  <c r="E33" i="10" s="1"/>
  <c r="E90" i="10" s="1"/>
  <c r="E111" i="10" s="1"/>
  <c r="E13" i="10"/>
  <c r="F9" i="10"/>
  <c r="E32" i="10"/>
  <c r="D89" i="10"/>
  <c r="E135" i="36"/>
  <c r="E193" i="36" s="1"/>
  <c r="E30" i="36"/>
  <c r="E89" i="36" s="1"/>
  <c r="E112" i="36" s="1"/>
  <c r="E6" i="36"/>
  <c r="D7" i="33"/>
  <c r="F9" i="24"/>
  <c r="E10" i="24"/>
  <c r="E134" i="12"/>
  <c r="D25" i="32"/>
  <c r="E8" i="12"/>
  <c r="E29" i="12"/>
  <c r="F6" i="12"/>
  <c r="D89" i="24"/>
  <c r="D42" i="24"/>
  <c r="D160" i="24" s="1"/>
  <c r="E32" i="24"/>
  <c r="D89" i="29"/>
  <c r="E32" i="29"/>
  <c r="D42" i="29"/>
  <c r="D42" i="10"/>
  <c r="E10" i="29"/>
  <c r="F9" i="29"/>
  <c r="E13" i="29"/>
  <c r="S2" i="38"/>
  <c r="M2" i="49"/>
  <c r="AW118" i="5"/>
  <c r="AV118" i="5"/>
  <c r="AT118" i="5"/>
  <c r="AU118" i="5"/>
  <c r="N2" i="46"/>
  <c r="N2" i="44"/>
  <c r="I17" i="32"/>
  <c r="I138" i="32" s="1"/>
  <c r="I31" i="32" s="1"/>
  <c r="X120" i="5"/>
  <c r="X118" i="5"/>
  <c r="X115" i="5"/>
  <c r="J115" i="5"/>
  <c r="J120" i="5"/>
  <c r="J118" i="5"/>
  <c r="AE120" i="5"/>
  <c r="AE118" i="5"/>
  <c r="AE115" i="5"/>
  <c r="F92" i="36"/>
  <c r="F92" i="12"/>
  <c r="T120" i="5"/>
  <c r="T118" i="5"/>
  <c r="T115" i="5"/>
  <c r="H138" i="32"/>
  <c r="H31" i="32" s="1"/>
  <c r="H42" i="32"/>
  <c r="AM120" i="5"/>
  <c r="AM118" i="5"/>
  <c r="AM115" i="5"/>
  <c r="E79" i="5"/>
  <c r="D94" i="5"/>
  <c r="AC120" i="5"/>
  <c r="AC118" i="5"/>
  <c r="AC115" i="5"/>
  <c r="O120" i="5"/>
  <c r="O118" i="5"/>
  <c r="O115" i="5"/>
  <c r="S120" i="5"/>
  <c r="S118" i="5"/>
  <c r="S115" i="5"/>
  <c r="M120" i="5"/>
  <c r="M118" i="5"/>
  <c r="M115" i="5"/>
  <c r="E113" i="9"/>
  <c r="D15" i="33" s="1"/>
  <c r="F110" i="9"/>
  <c r="E122" i="9"/>
  <c r="H32" i="9"/>
  <c r="G42" i="9"/>
  <c r="G141" i="9" s="1"/>
  <c r="F141" i="9"/>
  <c r="AA120" i="5"/>
  <c r="AA118" i="5"/>
  <c r="AA115" i="5"/>
  <c r="L120" i="5"/>
  <c r="L118" i="5"/>
  <c r="L115" i="5"/>
  <c r="G120" i="5"/>
  <c r="G118" i="5"/>
  <c r="G115" i="5"/>
  <c r="AP120" i="5"/>
  <c r="AP118" i="5"/>
  <c r="AP115" i="5"/>
  <c r="AG120" i="5"/>
  <c r="AG118" i="5"/>
  <c r="AG115" i="5"/>
  <c r="AH120" i="5"/>
  <c r="AH118" i="5"/>
  <c r="AH115" i="5"/>
  <c r="J14" i="32"/>
  <c r="J15" i="32"/>
  <c r="J13" i="32"/>
  <c r="J12" i="32"/>
  <c r="K11" i="32" s="1"/>
  <c r="G20" i="9"/>
  <c r="G24" i="9"/>
  <c r="G16" i="9"/>
  <c r="G19" i="9"/>
  <c r="G14" i="9"/>
  <c r="G21" i="9"/>
  <c r="G17" i="9"/>
  <c r="G18" i="9"/>
  <c r="G15" i="9"/>
  <c r="G22" i="9"/>
  <c r="N120" i="5"/>
  <c r="N118" i="5"/>
  <c r="N115" i="5"/>
  <c r="I120" i="5"/>
  <c r="I118" i="5"/>
  <c r="I115" i="5"/>
  <c r="D13" i="5"/>
  <c r="E13" i="5"/>
  <c r="F13" i="5"/>
  <c r="G13" i="5"/>
  <c r="K120" i="5"/>
  <c r="K118" i="5"/>
  <c r="K115" i="5"/>
  <c r="Y120" i="5"/>
  <c r="Y118" i="5"/>
  <c r="Y115" i="5"/>
  <c r="AJ120" i="5"/>
  <c r="AJ118" i="5"/>
  <c r="AJ115" i="5"/>
  <c r="AI120" i="5"/>
  <c r="AI118" i="5"/>
  <c r="AI115" i="5"/>
  <c r="W120" i="5"/>
  <c r="W118" i="5"/>
  <c r="W115" i="5"/>
  <c r="H13" i="9"/>
  <c r="I9" i="9"/>
  <c r="H10" i="9"/>
  <c r="H33" i="9" s="1"/>
  <c r="H90" i="9" s="1"/>
  <c r="H111" i="9" s="1"/>
  <c r="Z120" i="5"/>
  <c r="Z118" i="5"/>
  <c r="Z115" i="5"/>
  <c r="AD120" i="5"/>
  <c r="AD118" i="5"/>
  <c r="AD115" i="5"/>
  <c r="AL120" i="5"/>
  <c r="AL118" i="5"/>
  <c r="AL115" i="5"/>
  <c r="P120" i="5"/>
  <c r="P118" i="5"/>
  <c r="P115" i="5"/>
  <c r="AU120" i="5"/>
  <c r="AU115" i="5"/>
  <c r="AO120" i="5"/>
  <c r="AO118" i="5"/>
  <c r="AO115" i="5"/>
  <c r="D120" i="5"/>
  <c r="D115" i="5"/>
  <c r="AN120" i="5"/>
  <c r="AN118" i="5"/>
  <c r="AN115" i="5"/>
  <c r="AT120" i="5"/>
  <c r="AT115" i="5"/>
  <c r="E115" i="5"/>
  <c r="E120" i="5"/>
  <c r="E118" i="5"/>
  <c r="AF120" i="5"/>
  <c r="AF118" i="5"/>
  <c r="AF115" i="5"/>
  <c r="V120" i="5"/>
  <c r="V118" i="5"/>
  <c r="V115" i="5"/>
  <c r="D87" i="32"/>
  <c r="E72" i="32"/>
  <c r="Q120" i="5"/>
  <c r="Q118" i="5"/>
  <c r="Q115" i="5"/>
  <c r="AW120" i="5"/>
  <c r="AW115" i="5"/>
  <c r="AR120" i="5"/>
  <c r="AR118" i="5"/>
  <c r="AR115" i="5"/>
  <c r="H120" i="5"/>
  <c r="H118" i="5"/>
  <c r="H115" i="5"/>
  <c r="AV120" i="5"/>
  <c r="AV115" i="5"/>
  <c r="R120" i="5"/>
  <c r="R118" i="5"/>
  <c r="R115" i="5"/>
  <c r="AK120" i="5"/>
  <c r="AK118" i="5"/>
  <c r="AK115" i="5"/>
  <c r="D224" i="12"/>
  <c r="G224" i="12" s="1"/>
  <c r="AS120" i="5"/>
  <c r="AS118" i="5"/>
  <c r="AS115" i="5"/>
  <c r="AB120" i="5"/>
  <c r="AB118" i="5"/>
  <c r="AB115" i="5"/>
  <c r="F120" i="5"/>
  <c r="F118" i="5"/>
  <c r="F115" i="5"/>
  <c r="E92" i="12"/>
  <c r="E92" i="36"/>
  <c r="U120" i="5"/>
  <c r="U118" i="5"/>
  <c r="U115" i="5"/>
  <c r="AQ120" i="5"/>
  <c r="AQ118" i="5"/>
  <c r="AQ115" i="5"/>
  <c r="J9" i="32"/>
  <c r="I10" i="32"/>
  <c r="I26" i="32" s="1"/>
  <c r="I83" i="32" s="1"/>
  <c r="I104" i="32" s="1"/>
  <c r="F49" i="9"/>
  <c r="F139" i="9"/>
  <c r="F38" i="9"/>
  <c r="G46" i="32"/>
  <c r="H44" i="32"/>
  <c r="G110" i="21"/>
  <c r="F114" i="21"/>
  <c r="I32" i="21"/>
  <c r="H42" i="21"/>
  <c r="H142" i="21" s="1"/>
  <c r="H17" i="21"/>
  <c r="H19" i="21"/>
  <c r="H20" i="21"/>
  <c r="H21" i="21"/>
  <c r="H14" i="21"/>
  <c r="H24" i="21"/>
  <c r="K4" i="41" s="1"/>
  <c r="AA18" i="37" s="1"/>
  <c r="H18" i="21"/>
  <c r="H15" i="21"/>
  <c r="H22" i="21"/>
  <c r="H16" i="21"/>
  <c r="G49" i="21"/>
  <c r="G140" i="21"/>
  <c r="H141" i="21" s="1"/>
  <c r="G38" i="21"/>
  <c r="E67" i="21" s="1"/>
  <c r="I10" i="21"/>
  <c r="I33" i="21" s="1"/>
  <c r="I90" i="21" s="1"/>
  <c r="I111" i="21" s="1"/>
  <c r="J9" i="21"/>
  <c r="I13" i="21"/>
  <c r="H22" i="5"/>
  <c r="H21" i="5"/>
  <c r="H20" i="5"/>
  <c r="H18" i="5"/>
  <c r="H19" i="5"/>
  <c r="H14" i="5"/>
  <c r="H15" i="5"/>
  <c r="H17" i="5"/>
  <c r="H16" i="5"/>
  <c r="J9" i="5"/>
  <c r="I10" i="5"/>
  <c r="I42" i="5"/>
  <c r="I134" i="5" s="1"/>
  <c r="I13" i="5"/>
  <c r="E119" i="21"/>
  <c r="E120" i="21"/>
  <c r="D13" i="33"/>
  <c r="M12" i="21"/>
  <c r="N11" i="21" s="1"/>
  <c r="J89" i="21"/>
  <c r="I110" i="8"/>
  <c r="H116" i="8"/>
  <c r="M30" i="8"/>
  <c r="L57" i="8"/>
  <c r="I42" i="8"/>
  <c r="I146" i="8" s="1"/>
  <c r="J32" i="8"/>
  <c r="I22" i="8"/>
  <c r="I24" i="8"/>
  <c r="M5" i="41" s="1"/>
  <c r="I19" i="8"/>
  <c r="I15" i="8"/>
  <c r="I20" i="8"/>
  <c r="I14" i="8"/>
  <c r="I17" i="8"/>
  <c r="I21" i="8"/>
  <c r="I16" i="8"/>
  <c r="I18" i="8"/>
  <c r="H49" i="8"/>
  <c r="H38" i="8"/>
  <c r="H144" i="8"/>
  <c r="I145" i="8" s="1"/>
  <c r="K9" i="8"/>
  <c r="J10" i="8"/>
  <c r="J33" i="8" s="1"/>
  <c r="J90" i="8" s="1"/>
  <c r="J111" i="8" s="1"/>
  <c r="J13" i="8"/>
  <c r="L12" i="8"/>
  <c r="M11" i="8" s="1"/>
  <c r="AU89" i="8"/>
  <c r="M89" i="9"/>
  <c r="P30" i="9"/>
  <c r="O57" i="9"/>
  <c r="J12" i="9"/>
  <c r="K11" i="9" s="1"/>
  <c r="J12" i="26"/>
  <c r="K11" i="26" s="1"/>
  <c r="G42" i="26"/>
  <c r="G144" i="26" s="1"/>
  <c r="H32" i="26"/>
  <c r="E122" i="26"/>
  <c r="F110" i="26"/>
  <c r="E113" i="26"/>
  <c r="G24" i="26"/>
  <c r="L6" i="41" s="1"/>
  <c r="G16" i="26"/>
  <c r="G20" i="26"/>
  <c r="G19" i="26"/>
  <c r="G15" i="26"/>
  <c r="G21" i="26"/>
  <c r="G22" i="26"/>
  <c r="G18" i="26"/>
  <c r="G14" i="26"/>
  <c r="G17" i="26"/>
  <c r="H13" i="26"/>
  <c r="I9" i="26"/>
  <c r="H10" i="26"/>
  <c r="H33" i="26" s="1"/>
  <c r="H90" i="26" s="1"/>
  <c r="H111" i="26" s="1"/>
  <c r="G89" i="26"/>
  <c r="M30" i="26"/>
  <c r="L57" i="26"/>
  <c r="F38" i="26"/>
  <c r="F142" i="26"/>
  <c r="F49" i="26"/>
  <c r="M30" i="29"/>
  <c r="L57" i="29"/>
  <c r="N30" i="24"/>
  <c r="M57" i="24"/>
  <c r="O132" i="36" l="1"/>
  <c r="N160" i="36"/>
  <c r="AR18" i="37"/>
  <c r="I3" i="41"/>
  <c r="I3" i="42" s="1"/>
  <c r="AP16" i="37"/>
  <c r="M5" i="42"/>
  <c r="K4" i="42"/>
  <c r="Y16" i="37"/>
  <c r="L6" i="42"/>
  <c r="F32" i="24"/>
  <c r="E42" i="24"/>
  <c r="E160" i="24" s="1"/>
  <c r="G9" i="24"/>
  <c r="F10" i="24"/>
  <c r="F13" i="24"/>
  <c r="D24" i="10"/>
  <c r="E14" i="29"/>
  <c r="E18" i="29"/>
  <c r="E16" i="29"/>
  <c r="E20" i="29"/>
  <c r="E17" i="29"/>
  <c r="E15" i="29"/>
  <c r="E21" i="29"/>
  <c r="E22" i="29"/>
  <c r="E19" i="29"/>
  <c r="D110" i="24"/>
  <c r="E89" i="24"/>
  <c r="F89" i="24" s="1"/>
  <c r="G89" i="24" s="1"/>
  <c r="H89" i="24" s="1"/>
  <c r="E89" i="10"/>
  <c r="F89" i="10" s="1"/>
  <c r="G89" i="10" s="1"/>
  <c r="H89" i="10" s="1"/>
  <c r="I89" i="10" s="1"/>
  <c r="D110" i="10"/>
  <c r="G9" i="29"/>
  <c r="F13" i="29"/>
  <c r="F10" i="29"/>
  <c r="F12" i="12"/>
  <c r="F8" i="12"/>
  <c r="F11" i="12"/>
  <c r="F7" i="12"/>
  <c r="F14" i="12"/>
  <c r="G6" i="12"/>
  <c r="F13" i="12"/>
  <c r="F32" i="10"/>
  <c r="G32" i="10" s="1"/>
  <c r="E42" i="10"/>
  <c r="E149" i="10" s="1"/>
  <c r="D13" i="24"/>
  <c r="E13" i="24"/>
  <c r="F29" i="12"/>
  <c r="G29" i="12" s="1"/>
  <c r="H29" i="12" s="1"/>
  <c r="I29" i="12" s="1"/>
  <c r="J29" i="12" s="1"/>
  <c r="K29" i="12" s="1"/>
  <c r="L29" i="12" s="1"/>
  <c r="M29" i="12" s="1"/>
  <c r="N29" i="12" s="1"/>
  <c r="E88" i="12"/>
  <c r="F10" i="10"/>
  <c r="F33" i="10" s="1"/>
  <c r="F90" i="10" s="1"/>
  <c r="F111" i="10" s="1"/>
  <c r="F13" i="10"/>
  <c r="G9" i="10"/>
  <c r="C48" i="33"/>
  <c r="D113" i="10" s="1"/>
  <c r="C47" i="33"/>
  <c r="D112" i="8" s="1"/>
  <c r="D24" i="29"/>
  <c r="E22" i="10"/>
  <c r="E17" i="10"/>
  <c r="E20" i="10"/>
  <c r="E18" i="10"/>
  <c r="E15" i="10"/>
  <c r="E16" i="10"/>
  <c r="E19" i="10"/>
  <c r="E21" i="10"/>
  <c r="E14" i="10"/>
  <c r="D14" i="33"/>
  <c r="D10" i="33" s="1"/>
  <c r="D30" i="33"/>
  <c r="D46" i="33" s="1"/>
  <c r="D4" i="33"/>
  <c r="E3" i="33"/>
  <c r="F32" i="29"/>
  <c r="E42" i="29"/>
  <c r="E158" i="29" s="1"/>
  <c r="E25" i="32"/>
  <c r="F25" i="32" s="1"/>
  <c r="G25" i="32" s="1"/>
  <c r="H25" i="32" s="1"/>
  <c r="I25" i="32" s="1"/>
  <c r="J25" i="32" s="1"/>
  <c r="K25" i="32" s="1"/>
  <c r="L25" i="32" s="1"/>
  <c r="M25" i="32" s="1"/>
  <c r="N25" i="32" s="1"/>
  <c r="O25" i="32" s="1"/>
  <c r="P25" i="32" s="1"/>
  <c r="Q25" i="32" s="1"/>
  <c r="R25" i="32" s="1"/>
  <c r="S25" i="32" s="1"/>
  <c r="T25" i="32" s="1"/>
  <c r="U25" i="32" s="1"/>
  <c r="V25" i="32" s="1"/>
  <c r="W25" i="32" s="1"/>
  <c r="X25" i="32" s="1"/>
  <c r="Y25" i="32" s="1"/>
  <c r="Z25" i="32" s="1"/>
  <c r="AA25" i="32" s="1"/>
  <c r="AB25" i="32" s="1"/>
  <c r="AC25" i="32" s="1"/>
  <c r="AD25" i="32" s="1"/>
  <c r="AE25" i="32" s="1"/>
  <c r="AF25" i="32" s="1"/>
  <c r="AG25" i="32" s="1"/>
  <c r="AH25" i="32" s="1"/>
  <c r="AI25" i="32" s="1"/>
  <c r="AJ25" i="32" s="1"/>
  <c r="AK25" i="32" s="1"/>
  <c r="AL25" i="32" s="1"/>
  <c r="AM25" i="32" s="1"/>
  <c r="AN25" i="32" s="1"/>
  <c r="AO25" i="32" s="1"/>
  <c r="AP25" i="32" s="1"/>
  <c r="AQ25" i="32" s="1"/>
  <c r="AR25" i="32" s="1"/>
  <c r="AS25" i="32" s="1"/>
  <c r="AT25" i="32" s="1"/>
  <c r="AU25" i="32" s="1"/>
  <c r="AV25" i="32" s="1"/>
  <c r="AW25" i="32" s="1"/>
  <c r="D82" i="32"/>
  <c r="E95" i="36"/>
  <c r="E95" i="12"/>
  <c r="D110" i="29"/>
  <c r="E89" i="29"/>
  <c r="F89" i="29" s="1"/>
  <c r="G89" i="29" s="1"/>
  <c r="H89" i="29" s="1"/>
  <c r="I89" i="29" s="1"/>
  <c r="J89" i="29" s="1"/>
  <c r="K89" i="29" s="1"/>
  <c r="L89" i="29" s="1"/>
  <c r="M89" i="29" s="1"/>
  <c r="E191" i="12"/>
  <c r="F134" i="12"/>
  <c r="F6" i="36"/>
  <c r="E29" i="36"/>
  <c r="E8" i="36"/>
  <c r="E134" i="36"/>
  <c r="T2" i="38"/>
  <c r="N2" i="49"/>
  <c r="O2" i="46"/>
  <c r="P2" i="46" s="1"/>
  <c r="Q2" i="46" s="1"/>
  <c r="R2" i="46" s="1"/>
  <c r="S2" i="46" s="1"/>
  <c r="T2" i="46" s="1"/>
  <c r="O2" i="44"/>
  <c r="I42" i="32"/>
  <c r="J17" i="32"/>
  <c r="J42" i="32" s="1"/>
  <c r="G110" i="9"/>
  <c r="F122" i="9"/>
  <c r="F113" i="9"/>
  <c r="G140" i="9"/>
  <c r="M91" i="32"/>
  <c r="M95" i="32" s="1"/>
  <c r="O94" i="32"/>
  <c r="O127" i="32" s="1"/>
  <c r="Q91" i="32"/>
  <c r="Q95" i="32" s="1"/>
  <c r="V91" i="32"/>
  <c r="V95" i="32" s="1"/>
  <c r="AB94" i="32"/>
  <c r="AB127" i="32" s="1"/>
  <c r="H91" i="32"/>
  <c r="H95" i="32" s="1"/>
  <c r="W94" i="32"/>
  <c r="W127" i="32" s="1"/>
  <c r="AC94" i="32"/>
  <c r="AC127" i="32" s="1"/>
  <c r="AK91" i="32"/>
  <c r="AK95" i="32" s="1"/>
  <c r="F94" i="32"/>
  <c r="K91" i="32"/>
  <c r="K95" i="32" s="1"/>
  <c r="N94" i="32"/>
  <c r="N127" i="32" s="1"/>
  <c r="R94" i="32"/>
  <c r="R127" i="32" s="1"/>
  <c r="S91" i="32"/>
  <c r="S95" i="32" s="1"/>
  <c r="AH91" i="32"/>
  <c r="AH95" i="32" s="1"/>
  <c r="AO91" i="32"/>
  <c r="AO95" i="32" s="1"/>
  <c r="AP94" i="32"/>
  <c r="AU91" i="32"/>
  <c r="AU95" i="32" s="1"/>
  <c r="H94" i="32"/>
  <c r="U94" i="32"/>
  <c r="AE91" i="32"/>
  <c r="AE95" i="32" s="1"/>
  <c r="AQ94" i="32"/>
  <c r="AQ127" i="32" s="1"/>
  <c r="Z94" i="32"/>
  <c r="Z127" i="32" s="1"/>
  <c r="AR94" i="32"/>
  <c r="AR127" i="32" s="1"/>
  <c r="U91" i="32"/>
  <c r="U95" i="32" s="1"/>
  <c r="AL94" i="32"/>
  <c r="AL127" i="32" s="1"/>
  <c r="AF91" i="32"/>
  <c r="AF95" i="32" s="1"/>
  <c r="AJ94" i="32"/>
  <c r="AJ127" i="32" s="1"/>
  <c r="AM91" i="32"/>
  <c r="AM95" i="32" s="1"/>
  <c r="M94" i="32"/>
  <c r="AH94" i="32"/>
  <c r="AN91" i="32"/>
  <c r="AN95" i="32" s="1"/>
  <c r="AO94" i="32"/>
  <c r="AW91" i="32"/>
  <c r="AW95" i="32" s="1"/>
  <c r="AA91" i="32"/>
  <c r="AA95" i="32" s="1"/>
  <c r="AS94" i="32"/>
  <c r="AS127" i="32" s="1"/>
  <c r="AT91" i="32"/>
  <c r="AT95" i="32" s="1"/>
  <c r="AV94" i="32"/>
  <c r="Y91" i="32"/>
  <c r="Y95" i="32" s="1"/>
  <c r="AU94" i="32"/>
  <c r="AU127" i="32" s="1"/>
  <c r="AV91" i="32"/>
  <c r="AV95" i="32" s="1"/>
  <c r="K94" i="32"/>
  <c r="T94" i="32"/>
  <c r="T127" i="32" s="1"/>
  <c r="AD94" i="32"/>
  <c r="AI91" i="32"/>
  <c r="AI95" i="32" s="1"/>
  <c r="AI94" i="32"/>
  <c r="AD91" i="32"/>
  <c r="AD95" i="32" s="1"/>
  <c r="AP91" i="32"/>
  <c r="AP95" i="32" s="1"/>
  <c r="P91" i="32"/>
  <c r="P95" i="32" s="1"/>
  <c r="AK94" i="32"/>
  <c r="AF94" i="32"/>
  <c r="E91" i="32"/>
  <c r="E95" i="32" s="1"/>
  <c r="AN94" i="32"/>
  <c r="P94" i="32"/>
  <c r="E94" i="32"/>
  <c r="W91" i="32"/>
  <c r="W95" i="32" s="1"/>
  <c r="F91" i="32"/>
  <c r="F95" i="32" s="1"/>
  <c r="S94" i="32"/>
  <c r="AL91" i="32"/>
  <c r="AL95" i="32" s="1"/>
  <c r="AG94" i="32"/>
  <c r="L94" i="32"/>
  <c r="AQ91" i="32"/>
  <c r="AQ95" i="32" s="1"/>
  <c r="Q94" i="32"/>
  <c r="AC91" i="32"/>
  <c r="AC95" i="32" s="1"/>
  <c r="AC96" i="32" s="1"/>
  <c r="AC85" i="32" s="1"/>
  <c r="J94" i="32"/>
  <c r="V94" i="32"/>
  <c r="AM94" i="32"/>
  <c r="G94" i="32"/>
  <c r="I91" i="32"/>
  <c r="I95" i="32" s="1"/>
  <c r="AR91" i="32"/>
  <c r="AR95" i="32" s="1"/>
  <c r="AA94" i="32"/>
  <c r="X94" i="32"/>
  <c r="L91" i="32"/>
  <c r="L95" i="32" s="1"/>
  <c r="AJ91" i="32"/>
  <c r="AJ95" i="32" s="1"/>
  <c r="X91" i="32"/>
  <c r="X95" i="32" s="1"/>
  <c r="J91" i="32"/>
  <c r="J95" i="32" s="1"/>
  <c r="Z91" i="32"/>
  <c r="Z95" i="32" s="1"/>
  <c r="AW94" i="32"/>
  <c r="N91" i="32"/>
  <c r="N95" i="32" s="1"/>
  <c r="T91" i="32"/>
  <c r="T95" i="32" s="1"/>
  <c r="AS91" i="32"/>
  <c r="AS95" i="32" s="1"/>
  <c r="AT94" i="32"/>
  <c r="O91" i="32"/>
  <c r="O95" i="32" s="1"/>
  <c r="AE94" i="32"/>
  <c r="E90" i="32"/>
  <c r="AB91" i="32"/>
  <c r="AB95" i="32" s="1"/>
  <c r="G91" i="32"/>
  <c r="G95" i="32" s="1"/>
  <c r="R91" i="32"/>
  <c r="R95" i="32" s="1"/>
  <c r="Y94" i="32"/>
  <c r="I94" i="32"/>
  <c r="AG91" i="32"/>
  <c r="AG95" i="32" s="1"/>
  <c r="AL101" i="5"/>
  <c r="Y101" i="5"/>
  <c r="H101" i="5"/>
  <c r="T98" i="5"/>
  <c r="T102" i="5" s="1"/>
  <c r="AH101" i="5"/>
  <c r="AH127" i="5" s="1"/>
  <c r="AQ101" i="5"/>
  <c r="AQ127" i="5" s="1"/>
  <c r="H98" i="5"/>
  <c r="H102" i="5" s="1"/>
  <c r="AO98" i="5"/>
  <c r="AO102" i="5" s="1"/>
  <c r="AM98" i="5"/>
  <c r="AM102" i="5" s="1"/>
  <c r="M101" i="5"/>
  <c r="M127" i="5" s="1"/>
  <c r="Z101" i="5"/>
  <c r="AA101" i="5"/>
  <c r="F101" i="5"/>
  <c r="AQ98" i="5"/>
  <c r="AQ102" i="5" s="1"/>
  <c r="I98" i="5"/>
  <c r="I102" i="5" s="1"/>
  <c r="AU101" i="5"/>
  <c r="AT98" i="5"/>
  <c r="AT102" i="5" s="1"/>
  <c r="Q101" i="5"/>
  <c r="AB98" i="5"/>
  <c r="AB102" i="5" s="1"/>
  <c r="AG101" i="5"/>
  <c r="AN101" i="5"/>
  <c r="K101" i="5"/>
  <c r="E101" i="5"/>
  <c r="AS101" i="5"/>
  <c r="AC98" i="5"/>
  <c r="AC102" i="5" s="1"/>
  <c r="AG98" i="5"/>
  <c r="AG102" i="5" s="1"/>
  <c r="AF101" i="5"/>
  <c r="T101" i="5"/>
  <c r="O98" i="5"/>
  <c r="O102" i="5" s="1"/>
  <c r="O101" i="5"/>
  <c r="AD98" i="5"/>
  <c r="AD102" i="5" s="1"/>
  <c r="AE101" i="5"/>
  <c r="AP98" i="5"/>
  <c r="AP102" i="5" s="1"/>
  <c r="AJ101" i="5"/>
  <c r="N101" i="5"/>
  <c r="N127" i="5" s="1"/>
  <c r="W101" i="5"/>
  <c r="AA98" i="5"/>
  <c r="AA102" i="5" s="1"/>
  <c r="R101" i="5"/>
  <c r="U98" i="5"/>
  <c r="U102" i="5" s="1"/>
  <c r="AN98" i="5"/>
  <c r="AN102" i="5" s="1"/>
  <c r="AE98" i="5"/>
  <c r="AE102" i="5" s="1"/>
  <c r="V101" i="5"/>
  <c r="AH98" i="5"/>
  <c r="AH102" i="5" s="1"/>
  <c r="V98" i="5"/>
  <c r="V102" i="5" s="1"/>
  <c r="E97" i="5"/>
  <c r="AO101" i="5"/>
  <c r="G101" i="5"/>
  <c r="Z98" i="5"/>
  <c r="Z102" i="5" s="1"/>
  <c r="W98" i="5"/>
  <c r="W102" i="5" s="1"/>
  <c r="AV101" i="5"/>
  <c r="X101" i="5"/>
  <c r="S101" i="5"/>
  <c r="S127" i="5" s="1"/>
  <c r="L98" i="5"/>
  <c r="L102" i="5" s="1"/>
  <c r="AW101" i="5"/>
  <c r="AK101" i="5"/>
  <c r="AI101" i="5"/>
  <c r="AS98" i="5"/>
  <c r="AS102" i="5" s="1"/>
  <c r="X98" i="5"/>
  <c r="X102" i="5" s="1"/>
  <c r="Y98" i="5"/>
  <c r="Y102" i="5" s="1"/>
  <c r="P101" i="5"/>
  <c r="AT101" i="5"/>
  <c r="F98" i="5"/>
  <c r="F102" i="5" s="1"/>
  <c r="U101" i="5"/>
  <c r="AR101" i="5"/>
  <c r="AR127" i="5" s="1"/>
  <c r="K98" i="5"/>
  <c r="K102" i="5" s="1"/>
  <c r="L101" i="5"/>
  <c r="L127" i="5" s="1"/>
  <c r="S98" i="5"/>
  <c r="S102" i="5" s="1"/>
  <c r="Q98" i="5"/>
  <c r="Q102" i="5" s="1"/>
  <c r="AM101" i="5"/>
  <c r="AL98" i="5"/>
  <c r="AL102" i="5" s="1"/>
  <c r="AR98" i="5"/>
  <c r="AR102" i="5" s="1"/>
  <c r="AK98" i="5"/>
  <c r="AK102" i="5" s="1"/>
  <c r="G98" i="5"/>
  <c r="G102" i="5" s="1"/>
  <c r="I101" i="5"/>
  <c r="M98" i="5"/>
  <c r="M102" i="5" s="1"/>
  <c r="AB101" i="5"/>
  <c r="AI98" i="5"/>
  <c r="AI102" i="5" s="1"/>
  <c r="AJ98" i="5"/>
  <c r="AJ102" i="5" s="1"/>
  <c r="R98" i="5"/>
  <c r="R102" i="5" s="1"/>
  <c r="AP101" i="5"/>
  <c r="P98" i="5"/>
  <c r="P102" i="5" s="1"/>
  <c r="AU98" i="5"/>
  <c r="AU102" i="5" s="1"/>
  <c r="AC101" i="5"/>
  <c r="AC127" i="5" s="1"/>
  <c r="E98" i="5"/>
  <c r="E102" i="5" s="1"/>
  <c r="AV98" i="5"/>
  <c r="AV102" i="5" s="1"/>
  <c r="AW98" i="5"/>
  <c r="AW102" i="5" s="1"/>
  <c r="AF98" i="5"/>
  <c r="AF102" i="5" s="1"/>
  <c r="N98" i="5"/>
  <c r="N102" i="5" s="1"/>
  <c r="D97" i="5"/>
  <c r="D99" i="5" s="1"/>
  <c r="J98" i="5"/>
  <c r="J102" i="5" s="1"/>
  <c r="J101" i="5"/>
  <c r="AD101" i="5"/>
  <c r="J9" i="9"/>
  <c r="I13" i="9"/>
  <c r="I10" i="9"/>
  <c r="I33" i="9" s="1"/>
  <c r="I90" i="9" s="1"/>
  <c r="I111" i="9" s="1"/>
  <c r="G38" i="9"/>
  <c r="E67" i="9" s="1"/>
  <c r="G139" i="9"/>
  <c r="G49" i="9"/>
  <c r="H24" i="9"/>
  <c r="H15" i="9"/>
  <c r="H20" i="9"/>
  <c r="H21" i="9"/>
  <c r="H18" i="9"/>
  <c r="H14" i="9"/>
  <c r="H19" i="9"/>
  <c r="H16" i="9"/>
  <c r="H22" i="9"/>
  <c r="H17" i="9"/>
  <c r="G14" i="5"/>
  <c r="G17" i="5"/>
  <c r="G22" i="5"/>
  <c r="G16" i="5"/>
  <c r="G15" i="5"/>
  <c r="G20" i="5"/>
  <c r="G19" i="5"/>
  <c r="G21" i="5"/>
  <c r="G18" i="5"/>
  <c r="H46" i="32"/>
  <c r="I44" i="32"/>
  <c r="F16" i="5"/>
  <c r="F21" i="5"/>
  <c r="F22" i="5"/>
  <c r="F18" i="5"/>
  <c r="F14" i="5"/>
  <c r="F17" i="5"/>
  <c r="F20" i="5"/>
  <c r="F15" i="5"/>
  <c r="F19" i="5"/>
  <c r="H42" i="9"/>
  <c r="H141" i="9" s="1"/>
  <c r="I32" i="9"/>
  <c r="E32" i="12"/>
  <c r="E14" i="5"/>
  <c r="E19" i="5"/>
  <c r="E22" i="5"/>
  <c r="E16" i="5"/>
  <c r="E17" i="5"/>
  <c r="E21" i="5"/>
  <c r="E15" i="5"/>
  <c r="E20" i="5"/>
  <c r="E18" i="5"/>
  <c r="J10" i="32"/>
  <c r="J26" i="32" s="1"/>
  <c r="J83" i="32" s="1"/>
  <c r="J104" i="32" s="1"/>
  <c r="K9" i="32"/>
  <c r="D15" i="5"/>
  <c r="D16" i="5"/>
  <c r="D17" i="5"/>
  <c r="D21" i="5"/>
  <c r="D14" i="5"/>
  <c r="D20" i="5"/>
  <c r="D18" i="5"/>
  <c r="D22" i="5"/>
  <c r="D19" i="5"/>
  <c r="K13" i="32"/>
  <c r="K12" i="32"/>
  <c r="L11" i="32" s="1"/>
  <c r="K14" i="32"/>
  <c r="K15" i="32"/>
  <c r="J32" i="21"/>
  <c r="I42" i="21"/>
  <c r="I142" i="21" s="1"/>
  <c r="I17" i="5"/>
  <c r="I21" i="5"/>
  <c r="I14" i="5"/>
  <c r="I15" i="5"/>
  <c r="I19" i="5"/>
  <c r="I16" i="5"/>
  <c r="I22" i="5"/>
  <c r="I20" i="5"/>
  <c r="I18" i="5"/>
  <c r="H24" i="5"/>
  <c r="F119" i="21"/>
  <c r="F120" i="21"/>
  <c r="K9" i="5"/>
  <c r="J10" i="5"/>
  <c r="J13" i="5"/>
  <c r="J42" i="5"/>
  <c r="J134" i="5" s="1"/>
  <c r="D94" i="21"/>
  <c r="E79" i="21"/>
  <c r="J101" i="21" s="1"/>
  <c r="E13" i="33"/>
  <c r="I18" i="21"/>
  <c r="I14" i="21"/>
  <c r="I15" i="21"/>
  <c r="I19" i="21"/>
  <c r="I24" i="21"/>
  <c r="L4" i="41" s="1"/>
  <c r="AB18" i="37" s="1"/>
  <c r="I21" i="21"/>
  <c r="I20" i="21"/>
  <c r="I22" i="21"/>
  <c r="I16" i="21"/>
  <c r="I17" i="21"/>
  <c r="H140" i="21"/>
  <c r="H38" i="21"/>
  <c r="H49" i="21"/>
  <c r="H110" i="21"/>
  <c r="G114" i="21"/>
  <c r="I141" i="21"/>
  <c r="J10" i="21"/>
  <c r="J33" i="21" s="1"/>
  <c r="J90" i="21" s="1"/>
  <c r="J111" i="21" s="1"/>
  <c r="K9" i="21"/>
  <c r="J13" i="21"/>
  <c r="K89" i="21"/>
  <c r="N12" i="21"/>
  <c r="O11" i="21" s="1"/>
  <c r="O29" i="12"/>
  <c r="J89" i="10"/>
  <c r="I116" i="8"/>
  <c r="N30" i="8"/>
  <c r="M57" i="8"/>
  <c r="J14" i="8"/>
  <c r="J15" i="8"/>
  <c r="J16" i="8"/>
  <c r="J17" i="8"/>
  <c r="J18" i="8"/>
  <c r="J20" i="8"/>
  <c r="J22" i="8"/>
  <c r="J24" i="8"/>
  <c r="N5" i="41" s="1"/>
  <c r="J21" i="8"/>
  <c r="J19" i="8"/>
  <c r="I49" i="8"/>
  <c r="I144" i="8"/>
  <c r="J145" i="8" s="1"/>
  <c r="I38" i="8"/>
  <c r="J110" i="8"/>
  <c r="J116" i="8" s="1"/>
  <c r="K10" i="8"/>
  <c r="K33" i="8" s="1"/>
  <c r="K90" i="8" s="1"/>
  <c r="K111" i="8" s="1"/>
  <c r="L9" i="8"/>
  <c r="K13" i="8"/>
  <c r="K32" i="8"/>
  <c r="J42" i="8"/>
  <c r="J146" i="8" s="1"/>
  <c r="AV89" i="8"/>
  <c r="M12" i="8"/>
  <c r="N11" i="8" s="1"/>
  <c r="Q30" i="9"/>
  <c r="P57" i="9"/>
  <c r="K12" i="9"/>
  <c r="L11" i="9" s="1"/>
  <c r="N89" i="9"/>
  <c r="G38" i="26"/>
  <c r="G142" i="26"/>
  <c r="G49" i="26"/>
  <c r="H42" i="26"/>
  <c r="H144" i="26" s="1"/>
  <c r="I32" i="26"/>
  <c r="H89" i="26"/>
  <c r="K12" i="26"/>
  <c r="L11" i="26" s="1"/>
  <c r="I13" i="26"/>
  <c r="I10" i="26"/>
  <c r="I33" i="26" s="1"/>
  <c r="I90" i="26" s="1"/>
  <c r="I111" i="26" s="1"/>
  <c r="J9" i="26"/>
  <c r="M57" i="26"/>
  <c r="N30" i="26"/>
  <c r="H24" i="26"/>
  <c r="M6" i="41" s="1"/>
  <c r="H16" i="26"/>
  <c r="H20" i="26"/>
  <c r="H18" i="26"/>
  <c r="H17" i="26"/>
  <c r="H15" i="26"/>
  <c r="H21" i="26"/>
  <c r="H22" i="26"/>
  <c r="H14" i="26"/>
  <c r="H19" i="26"/>
  <c r="F122" i="26"/>
  <c r="G110" i="26"/>
  <c r="F113" i="26"/>
  <c r="D16" i="33" s="1"/>
  <c r="D25" i="33" s="1"/>
  <c r="N30" i="29"/>
  <c r="M57" i="29"/>
  <c r="N89" i="29"/>
  <c r="O30" i="24"/>
  <c r="N57" i="24"/>
  <c r="I89" i="24"/>
  <c r="O160" i="36" l="1"/>
  <c r="P132" i="36"/>
  <c r="D112" i="21"/>
  <c r="AS18" i="37"/>
  <c r="J3" i="41"/>
  <c r="J3" i="42" s="1"/>
  <c r="AQ16" i="37"/>
  <c r="N5" i="42"/>
  <c r="L4" i="42"/>
  <c r="Z16" i="37"/>
  <c r="M6" i="42"/>
  <c r="E110" i="29"/>
  <c r="D114" i="29"/>
  <c r="D138" i="29" s="1"/>
  <c r="D118" i="29"/>
  <c r="C9" i="33"/>
  <c r="E14" i="33"/>
  <c r="E10" i="33" s="1"/>
  <c r="E4" i="33"/>
  <c r="F3" i="33"/>
  <c r="E30" i="33"/>
  <c r="E46" i="33" s="1"/>
  <c r="E7" i="33"/>
  <c r="E24" i="10"/>
  <c r="D113" i="8"/>
  <c r="F16" i="10"/>
  <c r="F20" i="10"/>
  <c r="F21" i="10"/>
  <c r="F22" i="10"/>
  <c r="F19" i="10"/>
  <c r="F18" i="10"/>
  <c r="F17" i="10"/>
  <c r="F14" i="10"/>
  <c r="F15" i="10"/>
  <c r="H32" i="10"/>
  <c r="I32" i="10" s="1"/>
  <c r="G42" i="10"/>
  <c r="G149" i="10" s="1"/>
  <c r="D113" i="24"/>
  <c r="D112" i="24"/>
  <c r="E110" i="24"/>
  <c r="D140" i="24"/>
  <c r="D114" i="24"/>
  <c r="C8" i="33" s="1" a="1"/>
  <c r="C8" i="33" s="1"/>
  <c r="D118" i="24"/>
  <c r="F134" i="36"/>
  <c r="E192" i="36"/>
  <c r="E24" i="29"/>
  <c r="D48" i="33"/>
  <c r="E113" i="8" s="1"/>
  <c r="D47" i="33"/>
  <c r="E112" i="9" s="1"/>
  <c r="E112" i="8"/>
  <c r="D112" i="26"/>
  <c r="F42" i="10"/>
  <c r="F149" i="10" s="1"/>
  <c r="D147" i="10"/>
  <c r="D49" i="10"/>
  <c r="D149" i="10" s="1"/>
  <c r="D38" i="10"/>
  <c r="F29" i="36"/>
  <c r="G29" i="36" s="1"/>
  <c r="H29" i="36" s="1"/>
  <c r="I29" i="36" s="1"/>
  <c r="J29" i="36" s="1"/>
  <c r="K29" i="36" s="1"/>
  <c r="L29" i="36" s="1"/>
  <c r="M29" i="36" s="1"/>
  <c r="N29" i="36" s="1"/>
  <c r="O29" i="36" s="1"/>
  <c r="P29" i="36" s="1"/>
  <c r="Q29" i="36" s="1"/>
  <c r="R29" i="36" s="1"/>
  <c r="S29" i="36" s="1"/>
  <c r="T29" i="36" s="1"/>
  <c r="U29" i="36" s="1"/>
  <c r="V29" i="36" s="1"/>
  <c r="W29" i="36" s="1"/>
  <c r="X29" i="36" s="1"/>
  <c r="Y29" i="36" s="1"/>
  <c r="Z29" i="36" s="1"/>
  <c r="AA29" i="36" s="1"/>
  <c r="AB29" i="36" s="1"/>
  <c r="AC29" i="36" s="1"/>
  <c r="AD29" i="36" s="1"/>
  <c r="AE29" i="36" s="1"/>
  <c r="AF29" i="36" s="1"/>
  <c r="AG29" i="36" s="1"/>
  <c r="AH29" i="36" s="1"/>
  <c r="AI29" i="36" s="1"/>
  <c r="AJ29" i="36" s="1"/>
  <c r="AK29" i="36" s="1"/>
  <c r="AL29" i="36" s="1"/>
  <c r="AM29" i="36" s="1"/>
  <c r="AN29" i="36" s="1"/>
  <c r="AO29" i="36" s="1"/>
  <c r="AP29" i="36" s="1"/>
  <c r="AQ29" i="36" s="1"/>
  <c r="AR29" i="36" s="1"/>
  <c r="AS29" i="36" s="1"/>
  <c r="AT29" i="36" s="1"/>
  <c r="AU29" i="36" s="1"/>
  <c r="AV29" i="36" s="1"/>
  <c r="AW29" i="36" s="1"/>
  <c r="AX29" i="36" s="1"/>
  <c r="E88" i="36"/>
  <c r="E82" i="32"/>
  <c r="F82" i="32" s="1"/>
  <c r="G82" i="32" s="1"/>
  <c r="H82" i="32" s="1"/>
  <c r="I82" i="32" s="1"/>
  <c r="J82" i="32" s="1"/>
  <c r="K82" i="32" s="1"/>
  <c r="L82" i="32" s="1"/>
  <c r="M82" i="32" s="1"/>
  <c r="N82" i="32" s="1"/>
  <c r="O82" i="32" s="1"/>
  <c r="P82" i="32" s="1"/>
  <c r="Q82" i="32" s="1"/>
  <c r="R82" i="32" s="1"/>
  <c r="S82" i="32" s="1"/>
  <c r="T82" i="32" s="1"/>
  <c r="U82" i="32" s="1"/>
  <c r="V82" i="32" s="1"/>
  <c r="W82" i="32" s="1"/>
  <c r="X82" i="32" s="1"/>
  <c r="Y82" i="32" s="1"/>
  <c r="Z82" i="32" s="1"/>
  <c r="AA82" i="32" s="1"/>
  <c r="AB82" i="32" s="1"/>
  <c r="AC82" i="32" s="1"/>
  <c r="AD82" i="32" s="1"/>
  <c r="AE82" i="32" s="1"/>
  <c r="AF82" i="32" s="1"/>
  <c r="AG82" i="32" s="1"/>
  <c r="AH82" i="32" s="1"/>
  <c r="AI82" i="32" s="1"/>
  <c r="AJ82" i="32" s="1"/>
  <c r="AK82" i="32" s="1"/>
  <c r="AL82" i="32" s="1"/>
  <c r="AM82" i="32" s="1"/>
  <c r="AN82" i="32" s="1"/>
  <c r="AO82" i="32" s="1"/>
  <c r="AP82" i="32" s="1"/>
  <c r="AQ82" i="32" s="1"/>
  <c r="AR82" i="32" s="1"/>
  <c r="AS82" i="32" s="1"/>
  <c r="AT82" i="32" s="1"/>
  <c r="AU82" i="32" s="1"/>
  <c r="AV82" i="32" s="1"/>
  <c r="AW82" i="32" s="1"/>
  <c r="D103" i="32"/>
  <c r="F95" i="36"/>
  <c r="F95" i="12"/>
  <c r="D112" i="9"/>
  <c r="E111" i="12"/>
  <c r="F111" i="12" s="1"/>
  <c r="G111" i="12" s="1"/>
  <c r="H111" i="12" s="1"/>
  <c r="I111" i="12" s="1"/>
  <c r="J111" i="12" s="1"/>
  <c r="K111" i="12" s="1"/>
  <c r="L111" i="12" s="1"/>
  <c r="M111" i="12" s="1"/>
  <c r="N111" i="12" s="1"/>
  <c r="O111" i="12" s="1"/>
  <c r="P111" i="12" s="1"/>
  <c r="Q111" i="12" s="1"/>
  <c r="R111" i="12" s="1"/>
  <c r="S111" i="12" s="1"/>
  <c r="T111" i="12" s="1"/>
  <c r="U111" i="12" s="1"/>
  <c r="V111" i="12" s="1"/>
  <c r="W111" i="12" s="1"/>
  <c r="X111" i="12" s="1"/>
  <c r="Y111" i="12" s="1"/>
  <c r="Z111" i="12" s="1"/>
  <c r="AA111" i="12" s="1"/>
  <c r="AB111" i="12" s="1"/>
  <c r="AC111" i="12" s="1"/>
  <c r="AD111" i="12" s="1"/>
  <c r="AE111" i="12" s="1"/>
  <c r="AF111" i="12" s="1"/>
  <c r="AG111" i="12" s="1"/>
  <c r="AH111" i="12" s="1"/>
  <c r="AI111" i="12" s="1"/>
  <c r="AJ111" i="12" s="1"/>
  <c r="AK111" i="12" s="1"/>
  <c r="AL111" i="12" s="1"/>
  <c r="AM111" i="12" s="1"/>
  <c r="AN111" i="12" s="1"/>
  <c r="AO111" i="12" s="1"/>
  <c r="AP111" i="12" s="1"/>
  <c r="AQ111" i="12" s="1"/>
  <c r="AR111" i="12" s="1"/>
  <c r="AS111" i="12" s="1"/>
  <c r="AT111" i="12" s="1"/>
  <c r="AU111" i="12" s="1"/>
  <c r="AV111" i="12" s="1"/>
  <c r="AW111" i="12" s="1"/>
  <c r="AX111" i="12" s="1"/>
  <c r="F88" i="12"/>
  <c r="G11" i="12"/>
  <c r="H6" i="12"/>
  <c r="G8" i="12"/>
  <c r="G7" i="12"/>
  <c r="G12" i="12"/>
  <c r="G13" i="12"/>
  <c r="G14" i="12"/>
  <c r="F14" i="29"/>
  <c r="F17" i="29"/>
  <c r="F15" i="29"/>
  <c r="F21" i="29"/>
  <c r="F22" i="29"/>
  <c r="F18" i="29"/>
  <c r="F19" i="29"/>
  <c r="F16" i="29"/>
  <c r="F20" i="29"/>
  <c r="F15" i="24"/>
  <c r="F14" i="24"/>
  <c r="F18" i="24"/>
  <c r="F16" i="24"/>
  <c r="F17" i="24"/>
  <c r="F20" i="24"/>
  <c r="F22" i="24"/>
  <c r="F19" i="24"/>
  <c r="F21" i="24"/>
  <c r="F12" i="36"/>
  <c r="F18" i="36"/>
  <c r="F20" i="36"/>
  <c r="F13" i="36"/>
  <c r="F14" i="36"/>
  <c r="G6" i="36"/>
  <c r="F11" i="36"/>
  <c r="F8" i="36"/>
  <c r="F7" i="36"/>
  <c r="G13" i="29"/>
  <c r="G10" i="29"/>
  <c r="H9" i="29"/>
  <c r="F197" i="12"/>
  <c r="F141" i="12"/>
  <c r="F143" i="12"/>
  <c r="G134" i="12"/>
  <c r="F191" i="12"/>
  <c r="F144" i="12"/>
  <c r="E20" i="24"/>
  <c r="E16" i="24"/>
  <c r="E21" i="24"/>
  <c r="E22" i="24"/>
  <c r="E14" i="24"/>
  <c r="E19" i="24"/>
  <c r="E15" i="24"/>
  <c r="E17" i="24"/>
  <c r="E18" i="24"/>
  <c r="F135" i="12"/>
  <c r="F192" i="12" s="1"/>
  <c r="F30" i="12"/>
  <c r="F89" i="12" s="1"/>
  <c r="F112" i="12" s="1"/>
  <c r="D116" i="10"/>
  <c r="D118" i="10" s="1"/>
  <c r="D126" i="10"/>
  <c r="E110" i="10"/>
  <c r="D112" i="10"/>
  <c r="C6" i="33"/>
  <c r="H9" i="24"/>
  <c r="G10" i="24"/>
  <c r="G13" i="24"/>
  <c r="G32" i="29"/>
  <c r="F42" i="29"/>
  <c r="D156" i="29"/>
  <c r="E157" i="29" s="1"/>
  <c r="E8" i="41"/>
  <c r="D38" i="29"/>
  <c r="D49" i="29"/>
  <c r="D20" i="24"/>
  <c r="D22" i="24"/>
  <c r="D19" i="24"/>
  <c r="D16" i="24"/>
  <c r="D21" i="24"/>
  <c r="D18" i="24"/>
  <c r="D14" i="24"/>
  <c r="D24" i="24" s="1"/>
  <c r="D38" i="24" s="1"/>
  <c r="D17" i="24"/>
  <c r="D15" i="24"/>
  <c r="E15" i="33"/>
  <c r="E112" i="21"/>
  <c r="H9" i="10"/>
  <c r="G13" i="10"/>
  <c r="G10" i="10"/>
  <c r="G33" i="10" s="1"/>
  <c r="G90" i="10" s="1"/>
  <c r="G111" i="10" s="1"/>
  <c r="G32" i="24"/>
  <c r="F42" i="24"/>
  <c r="F160" i="24" s="1"/>
  <c r="O2" i="49"/>
  <c r="Z96" i="32"/>
  <c r="Z85" i="32" s="1"/>
  <c r="P2" i="44"/>
  <c r="AR103" i="5"/>
  <c r="AR92" i="5" s="1"/>
  <c r="M103" i="5"/>
  <c r="M92" i="5" s="1"/>
  <c r="O96" i="32"/>
  <c r="O85" i="32" s="1"/>
  <c r="W96" i="32"/>
  <c r="W85" i="32" s="1"/>
  <c r="AL96" i="32"/>
  <c r="AL85" i="32" s="1"/>
  <c r="AQ103" i="5"/>
  <c r="AQ92" i="5" s="1"/>
  <c r="AS96" i="32"/>
  <c r="AS85" i="32" s="1"/>
  <c r="T96" i="32"/>
  <c r="T85" i="32" s="1"/>
  <c r="AJ96" i="32"/>
  <c r="AJ85" i="32" s="1"/>
  <c r="J138" i="32"/>
  <c r="J31" i="32" s="1"/>
  <c r="H140" i="9"/>
  <c r="D49" i="24"/>
  <c r="AB96" i="32"/>
  <c r="AB85" i="32" s="1"/>
  <c r="J98" i="21"/>
  <c r="J102" i="21" s="1"/>
  <c r="J103" i="21" s="1"/>
  <c r="J92" i="21" s="1"/>
  <c r="N103" i="5"/>
  <c r="N92" i="5" s="1"/>
  <c r="K17" i="32"/>
  <c r="K138" i="32" s="1"/>
  <c r="K31" i="32" s="1"/>
  <c r="R96" i="32"/>
  <c r="R85" i="32" s="1"/>
  <c r="L103" i="5"/>
  <c r="L92" i="5" s="1"/>
  <c r="AD127" i="5"/>
  <c r="AD103" i="5"/>
  <c r="AD92" i="5" s="1"/>
  <c r="P103" i="5"/>
  <c r="P92" i="5" s="1"/>
  <c r="P127" i="5"/>
  <c r="AG127" i="5"/>
  <c r="AG103" i="5"/>
  <c r="AG92" i="5" s="1"/>
  <c r="D24" i="5"/>
  <c r="D94" i="9"/>
  <c r="E79" i="9"/>
  <c r="J127" i="5"/>
  <c r="J103" i="5"/>
  <c r="J92" i="5" s="1"/>
  <c r="S103" i="5"/>
  <c r="S92" i="5" s="1"/>
  <c r="X127" i="5"/>
  <c r="X103" i="5"/>
  <c r="X92" i="5" s="1"/>
  <c r="AH103" i="5"/>
  <c r="AH92" i="5" s="1"/>
  <c r="AF127" i="5"/>
  <c r="AF103" i="5"/>
  <c r="AF92" i="5" s="1"/>
  <c r="Z127" i="5"/>
  <c r="Z103" i="5"/>
  <c r="Z92" i="5" s="1"/>
  <c r="H127" i="5"/>
  <c r="H103" i="5"/>
  <c r="H92" i="5" s="1"/>
  <c r="N96" i="32"/>
  <c r="N85" i="32" s="1"/>
  <c r="AA96" i="32"/>
  <c r="AA85" i="32" s="1"/>
  <c r="AA127" i="32"/>
  <c r="Q127" i="32"/>
  <c r="Q96" i="32"/>
  <c r="Q85" i="32" s="1"/>
  <c r="E96" i="32"/>
  <c r="E85" i="32" s="1"/>
  <c r="E127" i="32"/>
  <c r="AH96" i="32"/>
  <c r="AH85" i="32" s="1"/>
  <c r="AH127" i="32"/>
  <c r="I42" i="9"/>
  <c r="I141" i="9" s="1"/>
  <c r="J32" i="9"/>
  <c r="G24" i="5"/>
  <c r="W127" i="5"/>
  <c r="W103" i="5"/>
  <c r="W92" i="5" s="1"/>
  <c r="X96" i="32"/>
  <c r="X85" i="32" s="1"/>
  <c r="X127" i="32"/>
  <c r="H110" i="9"/>
  <c r="G122" i="9"/>
  <c r="G113" i="9"/>
  <c r="F15" i="33" s="1"/>
  <c r="E24" i="5"/>
  <c r="H38" i="9"/>
  <c r="H49" i="9"/>
  <c r="H139" i="9"/>
  <c r="I127" i="5"/>
  <c r="I103" i="5"/>
  <c r="I92" i="5" s="1"/>
  <c r="AV127" i="5"/>
  <c r="AV103" i="5"/>
  <c r="AV92" i="5" s="1"/>
  <c r="V103" i="5"/>
  <c r="V92" i="5" s="1"/>
  <c r="V127" i="5"/>
  <c r="AJ127" i="5"/>
  <c r="AJ103" i="5"/>
  <c r="AJ92" i="5" s="1"/>
  <c r="Q127" i="5"/>
  <c r="Q103" i="5"/>
  <c r="Q92" i="5" s="1"/>
  <c r="Y103" i="5"/>
  <c r="Y92" i="5" s="1"/>
  <c r="Y127" i="5"/>
  <c r="AW127" i="32"/>
  <c r="AW96" i="32"/>
  <c r="AW85" i="32" s="1"/>
  <c r="AR96" i="32"/>
  <c r="AR85" i="32" s="1"/>
  <c r="P96" i="32"/>
  <c r="P85" i="32" s="1"/>
  <c r="P127" i="32"/>
  <c r="AI127" i="32"/>
  <c r="AI96" i="32"/>
  <c r="AI85" i="32" s="1"/>
  <c r="AV96" i="32"/>
  <c r="AV85" i="32" s="1"/>
  <c r="AV127" i="32"/>
  <c r="M96" i="32"/>
  <c r="M85" i="32" s="1"/>
  <c r="M127" i="32"/>
  <c r="T103" i="5"/>
  <c r="T92" i="5" s="1"/>
  <c r="T127" i="5"/>
  <c r="L12" i="32"/>
  <c r="M11" i="32" s="1"/>
  <c r="L13" i="32"/>
  <c r="L14" i="32"/>
  <c r="L15" i="32"/>
  <c r="I15" i="9"/>
  <c r="I20" i="9"/>
  <c r="I19" i="9"/>
  <c r="I17" i="9"/>
  <c r="I18" i="9"/>
  <c r="I16" i="9"/>
  <c r="I24" i="9"/>
  <c r="I21" i="9"/>
  <c r="I14" i="9"/>
  <c r="I22" i="9"/>
  <c r="AC103" i="5"/>
  <c r="AC92" i="5" s="1"/>
  <c r="AL103" i="5"/>
  <c r="AL92" i="5" s="1"/>
  <c r="AL127" i="5"/>
  <c r="E92" i="32"/>
  <c r="F90" i="32" s="1"/>
  <c r="F92" i="32" s="1"/>
  <c r="G90" i="32" s="1"/>
  <c r="G92" i="32" s="1"/>
  <c r="H90" i="32" s="1"/>
  <c r="H92" i="32" s="1"/>
  <c r="I90" i="32" s="1"/>
  <c r="I92" i="32" s="1"/>
  <c r="J90" i="32" s="1"/>
  <c r="J92" i="32" s="1"/>
  <c r="K90" i="32" s="1"/>
  <c r="K92" i="32" s="1"/>
  <c r="L90" i="32" s="1"/>
  <c r="L92" i="32" s="1"/>
  <c r="M90" i="32" s="1"/>
  <c r="M92" i="32" s="1"/>
  <c r="N90" i="32" s="1"/>
  <c r="N92" i="32" s="1"/>
  <c r="O90" i="32" s="1"/>
  <c r="O92" i="32" s="1"/>
  <c r="P90" i="32" s="1"/>
  <c r="P92" i="32" s="1"/>
  <c r="Q90" i="32" s="1"/>
  <c r="Q92" i="32" s="1"/>
  <c r="R90" i="32" s="1"/>
  <c r="R92" i="32" s="1"/>
  <c r="S90" i="32" s="1"/>
  <c r="S92" i="32" s="1"/>
  <c r="T90" i="32" s="1"/>
  <c r="T92" i="32" s="1"/>
  <c r="U90" i="32" s="1"/>
  <c r="U92" i="32" s="1"/>
  <c r="V90" i="32" s="1"/>
  <c r="V92" i="32" s="1"/>
  <c r="W90" i="32" s="1"/>
  <c r="W92" i="32" s="1"/>
  <c r="X90" i="32" s="1"/>
  <c r="X92" i="32" s="1"/>
  <c r="Y90" i="32" s="1"/>
  <c r="Y92" i="32" s="1"/>
  <c r="Z90" i="32" s="1"/>
  <c r="Z92" i="32" s="1"/>
  <c r="AA90" i="32" s="1"/>
  <c r="AA92" i="32" s="1"/>
  <c r="AB90" i="32" s="1"/>
  <c r="AB92" i="32" s="1"/>
  <c r="AC90" i="32" s="1"/>
  <c r="AC92" i="32" s="1"/>
  <c r="AD90" i="32" s="1"/>
  <c r="AD92" i="32" s="1"/>
  <c r="AE90" i="32" s="1"/>
  <c r="AE92" i="32" s="1"/>
  <c r="AF90" i="32" s="1"/>
  <c r="AF92" i="32" s="1"/>
  <c r="AG90" i="32" s="1"/>
  <c r="AG92" i="32" s="1"/>
  <c r="AH90" i="32" s="1"/>
  <c r="AH92" i="32" s="1"/>
  <c r="AI90" i="32" s="1"/>
  <c r="AI92" i="32" s="1"/>
  <c r="AJ90" i="32" s="1"/>
  <c r="AJ92" i="32" s="1"/>
  <c r="AK90" i="32" s="1"/>
  <c r="AK92" i="32" s="1"/>
  <c r="AL90" i="32" s="1"/>
  <c r="AL92" i="32" s="1"/>
  <c r="AM90" i="32" s="1"/>
  <c r="AM92" i="32" s="1"/>
  <c r="AN90" i="32" s="1"/>
  <c r="AN92" i="32" s="1"/>
  <c r="AO90" i="32" s="1"/>
  <c r="AO92" i="32" s="1"/>
  <c r="AP90" i="32" s="1"/>
  <c r="AP92" i="32" s="1"/>
  <c r="AQ90" i="32" s="1"/>
  <c r="AQ92" i="32" s="1"/>
  <c r="AR90" i="32" s="1"/>
  <c r="AR92" i="32" s="1"/>
  <c r="AS90" i="32" s="1"/>
  <c r="AS92" i="32" s="1"/>
  <c r="AT90" i="32" s="1"/>
  <c r="AT92" i="32" s="1"/>
  <c r="AU90" i="32" s="1"/>
  <c r="AU92" i="32" s="1"/>
  <c r="AV90" i="32" s="1"/>
  <c r="AV92" i="32" s="1"/>
  <c r="AW90" i="32" s="1"/>
  <c r="AW92" i="32" s="1"/>
  <c r="L127" i="32"/>
  <c r="L96" i="32"/>
  <c r="L85" i="32" s="1"/>
  <c r="AN127" i="32"/>
  <c r="AN96" i="32"/>
  <c r="AN85" i="32" s="1"/>
  <c r="I46" i="32"/>
  <c r="J44" i="32"/>
  <c r="J13" i="9"/>
  <c r="K9" i="9"/>
  <c r="J10" i="9"/>
  <c r="J33" i="9" s="1"/>
  <c r="J90" i="9" s="1"/>
  <c r="J111" i="9" s="1"/>
  <c r="AP127" i="5"/>
  <c r="AP103" i="5"/>
  <c r="AP92" i="5" s="1"/>
  <c r="AI103" i="5"/>
  <c r="AI92" i="5" s="1"/>
  <c r="AI127" i="5"/>
  <c r="AE103" i="5"/>
  <c r="AE92" i="5" s="1"/>
  <c r="AE127" i="5"/>
  <c r="AS103" i="5"/>
  <c r="AS92" i="5" s="1"/>
  <c r="AS127" i="5"/>
  <c r="AU127" i="5"/>
  <c r="AU103" i="5"/>
  <c r="AU92" i="5" s="1"/>
  <c r="AE96" i="32"/>
  <c r="AE85" i="32" s="1"/>
  <c r="AE127" i="32"/>
  <c r="G96" i="32"/>
  <c r="G85" i="32" s="1"/>
  <c r="G127" i="32"/>
  <c r="AG96" i="32"/>
  <c r="AG85" i="32" s="1"/>
  <c r="AG127" i="32"/>
  <c r="AD96" i="32"/>
  <c r="AD85" i="32" s="1"/>
  <c r="AD127" i="32"/>
  <c r="U127" i="32"/>
  <c r="U96" i="32"/>
  <c r="U85" i="32" s="1"/>
  <c r="AB127" i="5"/>
  <c r="AB103" i="5"/>
  <c r="AB92" i="5" s="1"/>
  <c r="U103" i="5"/>
  <c r="U92" i="5" s="1"/>
  <c r="U127" i="5"/>
  <c r="AK127" i="5"/>
  <c r="AK103" i="5"/>
  <c r="AK92" i="5" s="1"/>
  <c r="G103" i="5"/>
  <c r="G92" i="5" s="1"/>
  <c r="G127" i="5"/>
  <c r="E127" i="5"/>
  <c r="E103" i="5"/>
  <c r="E92" i="5" s="1"/>
  <c r="AM96" i="32"/>
  <c r="AM85" i="32" s="1"/>
  <c r="AM127" i="32"/>
  <c r="AF96" i="32"/>
  <c r="AF85" i="32" s="1"/>
  <c r="AF127" i="32"/>
  <c r="H127" i="32"/>
  <c r="H96" i="32"/>
  <c r="H85" i="32" s="1"/>
  <c r="AA103" i="5"/>
  <c r="AA92" i="5" s="1"/>
  <c r="AA127" i="5"/>
  <c r="K10" i="32"/>
  <c r="K26" i="32" s="1"/>
  <c r="K83" i="32" s="1"/>
  <c r="K104" i="32" s="1"/>
  <c r="L9" i="32"/>
  <c r="AW103" i="5"/>
  <c r="AW92" i="5" s="1"/>
  <c r="AW127" i="5"/>
  <c r="AO127" i="5"/>
  <c r="AO103" i="5"/>
  <c r="AO92" i="5" s="1"/>
  <c r="R103" i="5"/>
  <c r="R92" i="5" s="1"/>
  <c r="R127" i="5"/>
  <c r="O103" i="5"/>
  <c r="O92" i="5" s="1"/>
  <c r="O127" i="5"/>
  <c r="K127" i="5"/>
  <c r="K103" i="5"/>
  <c r="K92" i="5" s="1"/>
  <c r="I127" i="32"/>
  <c r="I96" i="32"/>
  <c r="I85" i="32" s="1"/>
  <c r="AQ96" i="32"/>
  <c r="AQ85" i="32" s="1"/>
  <c r="AT96" i="32"/>
  <c r="AT85" i="32" s="1"/>
  <c r="AT127" i="32"/>
  <c r="V127" i="32"/>
  <c r="V96" i="32"/>
  <c r="V85" i="32" s="1"/>
  <c r="S127" i="32"/>
  <c r="S96" i="32"/>
  <c r="S85" i="32" s="1"/>
  <c r="AK127" i="32"/>
  <c r="AK96" i="32"/>
  <c r="AK85" i="32" s="1"/>
  <c r="K127" i="32"/>
  <c r="K96" i="32"/>
  <c r="K85" i="32" s="1"/>
  <c r="AU96" i="32"/>
  <c r="AU85" i="32" s="1"/>
  <c r="F96" i="32"/>
  <c r="F85" i="32" s="1"/>
  <c r="F127" i="32"/>
  <c r="F24" i="5"/>
  <c r="AM127" i="5"/>
  <c r="AM103" i="5"/>
  <c r="AM92" i="5" s="1"/>
  <c r="AT103" i="5"/>
  <c r="AT92" i="5" s="1"/>
  <c r="AT127" i="5"/>
  <c r="E99" i="5"/>
  <c r="F97" i="5" s="1"/>
  <c r="F99" i="5" s="1"/>
  <c r="G97" i="5" s="1"/>
  <c r="G99" i="5" s="1"/>
  <c r="H97" i="5" s="1"/>
  <c r="H99" i="5" s="1"/>
  <c r="I97" i="5" s="1"/>
  <c r="I99" i="5" s="1"/>
  <c r="J97" i="5" s="1"/>
  <c r="J99" i="5" s="1"/>
  <c r="K97" i="5" s="1"/>
  <c r="K99" i="5" s="1"/>
  <c r="L97" i="5" s="1"/>
  <c r="L99" i="5" s="1"/>
  <c r="M97" i="5" s="1"/>
  <c r="M99" i="5" s="1"/>
  <c r="N97" i="5" s="1"/>
  <c r="N99" i="5" s="1"/>
  <c r="O97" i="5" s="1"/>
  <c r="O99" i="5" s="1"/>
  <c r="P97" i="5" s="1"/>
  <c r="P99" i="5" s="1"/>
  <c r="Q97" i="5" s="1"/>
  <c r="Q99" i="5" s="1"/>
  <c r="R97" i="5" s="1"/>
  <c r="R99" i="5" s="1"/>
  <c r="S97" i="5" s="1"/>
  <c r="S99" i="5" s="1"/>
  <c r="T97" i="5" s="1"/>
  <c r="T99" i="5" s="1"/>
  <c r="U97" i="5" s="1"/>
  <c r="U99" i="5" s="1"/>
  <c r="V97" i="5" s="1"/>
  <c r="V99" i="5" s="1"/>
  <c r="W97" i="5" s="1"/>
  <c r="W99" i="5" s="1"/>
  <c r="X97" i="5" s="1"/>
  <c r="X99" i="5" s="1"/>
  <c r="Y97" i="5" s="1"/>
  <c r="Y99" i="5" s="1"/>
  <c r="Z97" i="5" s="1"/>
  <c r="Z99" i="5" s="1"/>
  <c r="AA97" i="5" s="1"/>
  <c r="AA99" i="5" s="1"/>
  <c r="AB97" i="5" s="1"/>
  <c r="AB99" i="5" s="1"/>
  <c r="AC97" i="5" s="1"/>
  <c r="AC99" i="5" s="1"/>
  <c r="AD97" i="5" s="1"/>
  <c r="AD99" i="5" s="1"/>
  <c r="AE97" i="5" s="1"/>
  <c r="AE99" i="5" s="1"/>
  <c r="AF97" i="5" s="1"/>
  <c r="AF99" i="5" s="1"/>
  <c r="AG97" i="5" s="1"/>
  <c r="AG99" i="5" s="1"/>
  <c r="AH97" i="5" s="1"/>
  <c r="AH99" i="5" s="1"/>
  <c r="AI97" i="5" s="1"/>
  <c r="AI99" i="5" s="1"/>
  <c r="AJ97" i="5" s="1"/>
  <c r="AJ99" i="5" s="1"/>
  <c r="AK97" i="5" s="1"/>
  <c r="AK99" i="5" s="1"/>
  <c r="AL97" i="5" s="1"/>
  <c r="AL99" i="5" s="1"/>
  <c r="AM97" i="5" s="1"/>
  <c r="AM99" i="5" s="1"/>
  <c r="AN97" i="5" s="1"/>
  <c r="AN99" i="5" s="1"/>
  <c r="AO97" i="5" s="1"/>
  <c r="AO99" i="5" s="1"/>
  <c r="AP97" i="5" s="1"/>
  <c r="AP99" i="5" s="1"/>
  <c r="AQ97" i="5" s="1"/>
  <c r="AQ99" i="5" s="1"/>
  <c r="AR97" i="5" s="1"/>
  <c r="AR99" i="5" s="1"/>
  <c r="AS97" i="5" s="1"/>
  <c r="AS99" i="5" s="1"/>
  <c r="AT97" i="5" s="1"/>
  <c r="AT99" i="5" s="1"/>
  <c r="AU97" i="5" s="1"/>
  <c r="AU99" i="5" s="1"/>
  <c r="AV97" i="5" s="1"/>
  <c r="AV99" i="5" s="1"/>
  <c r="AW97" i="5" s="1"/>
  <c r="AW99" i="5" s="1"/>
  <c r="AN127" i="5"/>
  <c r="AN103" i="5"/>
  <c r="AN92" i="5" s="1"/>
  <c r="F127" i="5"/>
  <c r="F103" i="5"/>
  <c r="F92" i="5" s="1"/>
  <c r="Y96" i="32"/>
  <c r="Y85" i="32" s="1"/>
  <c r="Y127" i="32"/>
  <c r="J127" i="32"/>
  <c r="J96" i="32"/>
  <c r="J85" i="32" s="1"/>
  <c r="AO96" i="32"/>
  <c r="AO85" i="32" s="1"/>
  <c r="AO127" i="32"/>
  <c r="AP127" i="32"/>
  <c r="AP96" i="32"/>
  <c r="AP85" i="32" s="1"/>
  <c r="F13" i="33"/>
  <c r="G119" i="21"/>
  <c r="G120" i="21"/>
  <c r="I24" i="5"/>
  <c r="J16" i="21"/>
  <c r="J15" i="21"/>
  <c r="J24" i="21"/>
  <c r="M4" i="41" s="1"/>
  <c r="AC18" i="37" s="1"/>
  <c r="J22" i="21"/>
  <c r="J17" i="21"/>
  <c r="J14" i="21"/>
  <c r="J21" i="21"/>
  <c r="J19" i="21"/>
  <c r="J18" i="21"/>
  <c r="J20" i="21"/>
  <c r="L9" i="21"/>
  <c r="K10" i="21"/>
  <c r="K33" i="21" s="1"/>
  <c r="K90" i="21" s="1"/>
  <c r="K111" i="21" s="1"/>
  <c r="K13" i="21"/>
  <c r="H49" i="5"/>
  <c r="H132" i="5"/>
  <c r="H38" i="5" s="1"/>
  <c r="K32" i="21"/>
  <c r="J42" i="21"/>
  <c r="J142" i="21" s="1"/>
  <c r="H98" i="21"/>
  <c r="H102" i="21" s="1"/>
  <c r="G98" i="21"/>
  <c r="G102" i="21" s="1"/>
  <c r="D97" i="21"/>
  <c r="D99" i="21" s="1"/>
  <c r="H101" i="21"/>
  <c r="I101" i="21"/>
  <c r="E101" i="21"/>
  <c r="I98" i="21"/>
  <c r="I102" i="21" s="1"/>
  <c r="E97" i="21"/>
  <c r="E98" i="21"/>
  <c r="E102" i="21" s="1"/>
  <c r="F98" i="21"/>
  <c r="F102" i="21" s="1"/>
  <c r="F101" i="21"/>
  <c r="G101" i="21"/>
  <c r="J16" i="5"/>
  <c r="J18" i="5"/>
  <c r="J22" i="5"/>
  <c r="J14" i="5"/>
  <c r="J15" i="5"/>
  <c r="J17" i="5"/>
  <c r="J19" i="5"/>
  <c r="J20" i="5"/>
  <c r="J21" i="5"/>
  <c r="I110" i="21"/>
  <c r="H114" i="21"/>
  <c r="I140" i="21"/>
  <c r="J141" i="21" s="1"/>
  <c r="I49" i="21"/>
  <c r="I38" i="21"/>
  <c r="L9" i="5"/>
  <c r="K10" i="5"/>
  <c r="K13" i="5"/>
  <c r="K42" i="5"/>
  <c r="K134" i="5" s="1"/>
  <c r="P29" i="12"/>
  <c r="K101" i="21"/>
  <c r="L89" i="21"/>
  <c r="K98" i="21"/>
  <c r="K102" i="21" s="1"/>
  <c r="K89" i="10"/>
  <c r="O12" i="21"/>
  <c r="P11" i="21" s="1"/>
  <c r="J128" i="21"/>
  <c r="J130" i="21" s="1"/>
  <c r="L32" i="8"/>
  <c r="K42" i="8"/>
  <c r="K146" i="8" s="1"/>
  <c r="J38" i="8"/>
  <c r="J49" i="8"/>
  <c r="J144" i="8"/>
  <c r="K145" i="8" s="1"/>
  <c r="K19" i="8"/>
  <c r="K20" i="8"/>
  <c r="K18" i="8"/>
  <c r="K24" i="8"/>
  <c r="O5" i="41" s="1"/>
  <c r="O5" i="42" s="1"/>
  <c r="K21" i="8"/>
  <c r="K22" i="8"/>
  <c r="K15" i="8"/>
  <c r="K16" i="8"/>
  <c r="K17" i="8"/>
  <c r="K14" i="8"/>
  <c r="L10" i="8"/>
  <c r="L33" i="8" s="1"/>
  <c r="L90" i="8" s="1"/>
  <c r="L111" i="8" s="1"/>
  <c r="M9" i="8"/>
  <c r="L13" i="8"/>
  <c r="K110" i="8"/>
  <c r="N57" i="8"/>
  <c r="O30" i="8"/>
  <c r="N12" i="8"/>
  <c r="O11" i="8" s="1"/>
  <c r="AW89" i="8"/>
  <c r="R30" i="9"/>
  <c r="Q57" i="9"/>
  <c r="L12" i="9"/>
  <c r="M11" i="9" s="1"/>
  <c r="O89" i="9"/>
  <c r="N101" i="9"/>
  <c r="N98" i="9"/>
  <c r="N102" i="9" s="1"/>
  <c r="H38" i="26"/>
  <c r="H142" i="26"/>
  <c r="H49" i="26"/>
  <c r="J13" i="26"/>
  <c r="K9" i="26"/>
  <c r="J10" i="26"/>
  <c r="J33" i="26" s="1"/>
  <c r="J90" i="26" s="1"/>
  <c r="J111" i="26" s="1"/>
  <c r="I89" i="26"/>
  <c r="G122" i="26"/>
  <c r="H110" i="26"/>
  <c r="G113" i="26"/>
  <c r="E16" i="33" s="1"/>
  <c r="E25" i="33" s="1"/>
  <c r="I24" i="26"/>
  <c r="N6" i="41" s="1"/>
  <c r="I19" i="26"/>
  <c r="I21" i="26"/>
  <c r="I14" i="26"/>
  <c r="I22" i="26"/>
  <c r="I20" i="26"/>
  <c r="I18" i="26"/>
  <c r="I16" i="26"/>
  <c r="I15" i="26"/>
  <c r="I17" i="26"/>
  <c r="I42" i="26"/>
  <c r="I144" i="26" s="1"/>
  <c r="J32" i="26"/>
  <c r="L12" i="26"/>
  <c r="M11" i="26" s="1"/>
  <c r="N57" i="26"/>
  <c r="O30" i="26"/>
  <c r="N57" i="29"/>
  <c r="O30" i="29"/>
  <c r="O89" i="29"/>
  <c r="P30" i="24"/>
  <c r="O57" i="24"/>
  <c r="J89" i="24"/>
  <c r="P160" i="36" l="1"/>
  <c r="Q132" i="36"/>
  <c r="E112" i="26"/>
  <c r="AT18" i="37"/>
  <c r="K3" i="41"/>
  <c r="K3" i="42" s="1"/>
  <c r="E8" i="42"/>
  <c r="AM19" i="37" s="1"/>
  <c r="U19" i="37"/>
  <c r="AR16" i="37"/>
  <c r="M4" i="42"/>
  <c r="AA16" i="37"/>
  <c r="N6" i="42"/>
  <c r="I9" i="29"/>
  <c r="H10" i="29"/>
  <c r="H13" i="29"/>
  <c r="G134" i="36"/>
  <c r="F198" i="36"/>
  <c r="F141" i="36"/>
  <c r="F145" i="36"/>
  <c r="F192" i="36"/>
  <c r="J32" i="10"/>
  <c r="K32" i="10" s="1"/>
  <c r="I9" i="24"/>
  <c r="H10" i="24"/>
  <c r="H13" i="24"/>
  <c r="E148" i="10"/>
  <c r="C66" i="37"/>
  <c r="D121" i="24"/>
  <c r="D138" i="24"/>
  <c r="D120" i="24"/>
  <c r="E116" i="36"/>
  <c r="D123" i="24"/>
  <c r="E116" i="12"/>
  <c r="D122" i="24"/>
  <c r="D129" i="24"/>
  <c r="G95" i="12"/>
  <c r="G95" i="36"/>
  <c r="H32" i="24"/>
  <c r="G42" i="24"/>
  <c r="G160" i="24" s="1"/>
  <c r="D158" i="24"/>
  <c r="E159" i="24" s="1"/>
  <c r="E7" i="41"/>
  <c r="G20" i="29"/>
  <c r="G17" i="29"/>
  <c r="G19" i="29"/>
  <c r="G15" i="29"/>
  <c r="G14" i="29"/>
  <c r="G22" i="29"/>
  <c r="G21" i="29"/>
  <c r="G18" i="29"/>
  <c r="G16" i="29"/>
  <c r="E93" i="12"/>
  <c r="E93" i="36"/>
  <c r="F24" i="10"/>
  <c r="E91" i="36"/>
  <c r="C24" i="33"/>
  <c r="E91" i="12"/>
  <c r="F135" i="36"/>
  <c r="F193" i="36" s="1"/>
  <c r="F30" i="36"/>
  <c r="F89" i="36" s="1"/>
  <c r="F112" i="36" s="1"/>
  <c r="F24" i="24"/>
  <c r="G30" i="12"/>
  <c r="G89" i="12" s="1"/>
  <c r="G112" i="12" s="1"/>
  <c r="G135" i="12"/>
  <c r="G192" i="12" s="1"/>
  <c r="E147" i="10"/>
  <c r="E38" i="10"/>
  <c r="E49" i="10"/>
  <c r="F18" i="12"/>
  <c r="E94" i="12"/>
  <c r="E94" i="36"/>
  <c r="G19" i="10"/>
  <c r="G14" i="10"/>
  <c r="G18" i="10"/>
  <c r="G21" i="10"/>
  <c r="G17" i="10"/>
  <c r="G22" i="10"/>
  <c r="G20" i="10"/>
  <c r="G15" i="10"/>
  <c r="G16" i="10"/>
  <c r="F110" i="10"/>
  <c r="E126" i="10"/>
  <c r="E116" i="10"/>
  <c r="E118" i="10" s="1"/>
  <c r="E112" i="10"/>
  <c r="E113" i="10"/>
  <c r="G141" i="12"/>
  <c r="H134" i="12"/>
  <c r="G191" i="12"/>
  <c r="G143" i="12"/>
  <c r="G197" i="12"/>
  <c r="G144" i="12"/>
  <c r="D106" i="32"/>
  <c r="D107" i="32"/>
  <c r="D111" i="32"/>
  <c r="D112" i="32"/>
  <c r="D136" i="29" s="1"/>
  <c r="E103" i="32"/>
  <c r="D113" i="32"/>
  <c r="D139" i="24" s="1"/>
  <c r="D109" i="32"/>
  <c r="D128" i="32"/>
  <c r="D130" i="32" s="1"/>
  <c r="E55" i="36" s="1"/>
  <c r="D108" i="32"/>
  <c r="D110" i="32"/>
  <c r="E113" i="24"/>
  <c r="E140" i="24"/>
  <c r="E112" i="24"/>
  <c r="F110" i="24"/>
  <c r="E118" i="24"/>
  <c r="E114" i="24"/>
  <c r="D8" i="33" s="1" a="1"/>
  <c r="D8" i="33" s="1"/>
  <c r="G92" i="36"/>
  <c r="G92" i="12"/>
  <c r="E124" i="36"/>
  <c r="C67" i="37"/>
  <c r="E124" i="12"/>
  <c r="D137" i="29"/>
  <c r="D120" i="29"/>
  <c r="D121" i="29"/>
  <c r="D122" i="29"/>
  <c r="H42" i="10"/>
  <c r="H149" i="10" s="1"/>
  <c r="H13" i="10"/>
  <c r="I9" i="10"/>
  <c r="I42" i="10" s="1"/>
  <c r="I149" i="10" s="1"/>
  <c r="H10" i="10"/>
  <c r="H33" i="10" s="1"/>
  <c r="H90" i="10" s="1"/>
  <c r="H111" i="10" s="1"/>
  <c r="E24" i="24"/>
  <c r="F24" i="29"/>
  <c r="H12" i="12"/>
  <c r="H13" i="12"/>
  <c r="H14" i="12"/>
  <c r="H8" i="12"/>
  <c r="D8" i="12" s="1"/>
  <c r="H7" i="12"/>
  <c r="I6" i="12"/>
  <c r="H11" i="12"/>
  <c r="H32" i="29"/>
  <c r="G42" i="29"/>
  <c r="G158" i="29" s="1"/>
  <c r="E113" i="12"/>
  <c r="E113" i="36"/>
  <c r="D119" i="10"/>
  <c r="D125" i="10" s="1"/>
  <c r="D122" i="10"/>
  <c r="G13" i="36"/>
  <c r="G18" i="36"/>
  <c r="G8" i="36"/>
  <c r="G11" i="36"/>
  <c r="G7" i="36"/>
  <c r="G12" i="36"/>
  <c r="G14" i="36"/>
  <c r="H6" i="36"/>
  <c r="H17" i="36" s="1"/>
  <c r="E111" i="36"/>
  <c r="F111" i="36" s="1"/>
  <c r="G111" i="36" s="1"/>
  <c r="H111" i="36" s="1"/>
  <c r="I111" i="36" s="1"/>
  <c r="J111" i="36" s="1"/>
  <c r="K111" i="36" s="1"/>
  <c r="L111" i="36" s="1"/>
  <c r="M111" i="36" s="1"/>
  <c r="N111" i="36" s="1"/>
  <c r="O111" i="36" s="1"/>
  <c r="P111" i="36" s="1"/>
  <c r="Q111" i="36" s="1"/>
  <c r="R111" i="36" s="1"/>
  <c r="S111" i="36" s="1"/>
  <c r="T111" i="36" s="1"/>
  <c r="U111" i="36" s="1"/>
  <c r="V111" i="36" s="1"/>
  <c r="W111" i="36" s="1"/>
  <c r="X111" i="36" s="1"/>
  <c r="Y111" i="36" s="1"/>
  <c r="Z111" i="36" s="1"/>
  <c r="AA111" i="36" s="1"/>
  <c r="AB111" i="36" s="1"/>
  <c r="AC111" i="36" s="1"/>
  <c r="AD111" i="36" s="1"/>
  <c r="AE111" i="36" s="1"/>
  <c r="AF111" i="36" s="1"/>
  <c r="AG111" i="36" s="1"/>
  <c r="AH111" i="36" s="1"/>
  <c r="AI111" i="36" s="1"/>
  <c r="AJ111" i="36" s="1"/>
  <c r="AK111" i="36" s="1"/>
  <c r="AL111" i="36" s="1"/>
  <c r="AM111" i="36" s="1"/>
  <c r="AN111" i="36" s="1"/>
  <c r="AO111" i="36" s="1"/>
  <c r="AP111" i="36" s="1"/>
  <c r="AQ111" i="36" s="1"/>
  <c r="AR111" i="36" s="1"/>
  <c r="AS111" i="36" s="1"/>
  <c r="AT111" i="36" s="1"/>
  <c r="AU111" i="36" s="1"/>
  <c r="AV111" i="36" s="1"/>
  <c r="AW111" i="36" s="1"/>
  <c r="AX111" i="36" s="1"/>
  <c r="F88" i="36"/>
  <c r="F44" i="36" s="1"/>
  <c r="E32" i="36"/>
  <c r="F8" i="41"/>
  <c r="E49" i="29"/>
  <c r="E38" i="29"/>
  <c r="E156" i="29"/>
  <c r="F157" i="29" s="1"/>
  <c r="F158" i="29" s="1"/>
  <c r="F20" i="12"/>
  <c r="E48" i="33"/>
  <c r="E47" i="33"/>
  <c r="F112" i="26" s="1"/>
  <c r="F110" i="29"/>
  <c r="E118" i="29"/>
  <c r="E114" i="29"/>
  <c r="E138" i="29" s="1"/>
  <c r="E112" i="29"/>
  <c r="E113" i="29"/>
  <c r="G15" i="24"/>
  <c r="G20" i="24"/>
  <c r="G21" i="24"/>
  <c r="G19" i="24"/>
  <c r="G14" i="24"/>
  <c r="G24" i="24" s="1"/>
  <c r="G16" i="24"/>
  <c r="G22" i="24"/>
  <c r="G17" i="24"/>
  <c r="G18" i="24"/>
  <c r="F32" i="12"/>
  <c r="G88" i="12"/>
  <c r="F75" i="12"/>
  <c r="F46" i="12"/>
  <c r="F30" i="33"/>
  <c r="F46" i="33" s="1"/>
  <c r="F7" i="33"/>
  <c r="F14" i="33"/>
  <c r="F10" i="33" s="1"/>
  <c r="G3" i="33"/>
  <c r="F4" i="33"/>
  <c r="E44" i="12"/>
  <c r="E44" i="36"/>
  <c r="P2" i="49"/>
  <c r="Q2" i="44"/>
  <c r="I140" i="9"/>
  <c r="K42" i="32"/>
  <c r="K44" i="32" s="1"/>
  <c r="E99" i="21"/>
  <c r="F97" i="21" s="1"/>
  <c r="F99" i="21" s="1"/>
  <c r="G97" i="21" s="1"/>
  <c r="G99" i="21" s="1"/>
  <c r="H97" i="21" s="1"/>
  <c r="H99" i="21" s="1"/>
  <c r="I97" i="21" s="1"/>
  <c r="I99" i="21" s="1"/>
  <c r="J97" i="21" s="1"/>
  <c r="J99" i="21" s="1"/>
  <c r="K97" i="21" s="1"/>
  <c r="K99" i="21" s="1"/>
  <c r="L97" i="21" s="1"/>
  <c r="H17" i="12"/>
  <c r="F49" i="5"/>
  <c r="F132" i="5"/>
  <c r="F38" i="5" s="1"/>
  <c r="K13" i="9"/>
  <c r="K10" i="9"/>
  <c r="K33" i="9" s="1"/>
  <c r="K90" i="9" s="1"/>
  <c r="K111" i="9" s="1"/>
  <c r="L9" i="9"/>
  <c r="F44" i="12"/>
  <c r="J20" i="9"/>
  <c r="J17" i="9"/>
  <c r="J19" i="9"/>
  <c r="J18" i="9"/>
  <c r="J16" i="9"/>
  <c r="J15" i="9"/>
  <c r="J22" i="9"/>
  <c r="J24" i="9"/>
  <c r="J21" i="9"/>
  <c r="J14" i="9"/>
  <c r="G17" i="36"/>
  <c r="G17" i="12"/>
  <c r="E132" i="5"/>
  <c r="E38" i="5" s="1"/>
  <c r="E49" i="5"/>
  <c r="J46" i="32"/>
  <c r="L17" i="32"/>
  <c r="M15" i="32"/>
  <c r="M14" i="32"/>
  <c r="M12" i="32"/>
  <c r="N11" i="32" s="1"/>
  <c r="M13" i="32"/>
  <c r="G49" i="5"/>
  <c r="G132" i="5"/>
  <c r="I17" i="12"/>
  <c r="L10" i="32"/>
  <c r="L26" i="32" s="1"/>
  <c r="L83" i="32" s="1"/>
  <c r="L104" i="32" s="1"/>
  <c r="M9" i="32"/>
  <c r="K32" i="9"/>
  <c r="J42" i="9"/>
  <c r="J141" i="9" s="1"/>
  <c r="F17" i="36"/>
  <c r="D132" i="5"/>
  <c r="D49" i="5"/>
  <c r="F17" i="12"/>
  <c r="I38" i="9"/>
  <c r="I139" i="9"/>
  <c r="J140" i="9" s="1"/>
  <c r="I49" i="9"/>
  <c r="I110" i="9"/>
  <c r="H113" i="9"/>
  <c r="G15" i="33" s="1"/>
  <c r="H122" i="9"/>
  <c r="L101" i="9"/>
  <c r="L98" i="9"/>
  <c r="L102" i="9" s="1"/>
  <c r="F97" i="9"/>
  <c r="G98" i="9"/>
  <c r="G102" i="9" s="1"/>
  <c r="K98" i="9"/>
  <c r="K102" i="9" s="1"/>
  <c r="F101" i="9"/>
  <c r="H98" i="9"/>
  <c r="H102" i="9" s="1"/>
  <c r="M101" i="9"/>
  <c r="D97" i="9"/>
  <c r="D99" i="9" s="1"/>
  <c r="H101" i="9"/>
  <c r="M98" i="9"/>
  <c r="M102" i="9" s="1"/>
  <c r="I98" i="9"/>
  <c r="I102" i="9" s="1"/>
  <c r="F98" i="9"/>
  <c r="F102" i="9" s="1"/>
  <c r="E97" i="9"/>
  <c r="I101" i="9"/>
  <c r="E98" i="9"/>
  <c r="E102" i="9" s="1"/>
  <c r="J98" i="9"/>
  <c r="J102" i="9" s="1"/>
  <c r="G101" i="9"/>
  <c r="E101" i="9"/>
  <c r="J101" i="9"/>
  <c r="K101" i="9"/>
  <c r="I128" i="21"/>
  <c r="I130" i="21" s="1"/>
  <c r="I103" i="21"/>
  <c r="I92" i="21" s="1"/>
  <c r="G128" i="21"/>
  <c r="G130" i="21" s="1"/>
  <c r="G103" i="21"/>
  <c r="G92" i="21" s="1"/>
  <c r="F128" i="21"/>
  <c r="F130" i="21" s="1"/>
  <c r="F103" i="21"/>
  <c r="F92" i="21" s="1"/>
  <c r="K22" i="21"/>
  <c r="K14" i="21"/>
  <c r="K15" i="21"/>
  <c r="K24" i="21"/>
  <c r="N4" i="41" s="1"/>
  <c r="K16" i="21"/>
  <c r="K19" i="21"/>
  <c r="K17" i="21"/>
  <c r="K18" i="21"/>
  <c r="K20" i="21"/>
  <c r="K21" i="21"/>
  <c r="H103" i="21"/>
  <c r="H92" i="21" s="1"/>
  <c r="H128" i="21"/>
  <c r="H130" i="21" s="1"/>
  <c r="H119" i="21"/>
  <c r="H120" i="21"/>
  <c r="M9" i="21"/>
  <c r="L10" i="21"/>
  <c r="L33" i="21" s="1"/>
  <c r="L90" i="21" s="1"/>
  <c r="L111" i="21" s="1"/>
  <c r="L13" i="21"/>
  <c r="K22" i="5"/>
  <c r="K14" i="5"/>
  <c r="K19" i="5"/>
  <c r="K17" i="5"/>
  <c r="K15" i="5"/>
  <c r="K18" i="5"/>
  <c r="K21" i="5"/>
  <c r="K16" i="5"/>
  <c r="K20" i="5"/>
  <c r="J110" i="21"/>
  <c r="I114" i="21"/>
  <c r="J24" i="5"/>
  <c r="I132" i="5"/>
  <c r="I38" i="5" s="1"/>
  <c r="I49" i="5"/>
  <c r="J49" i="21"/>
  <c r="J140" i="21"/>
  <c r="K141" i="21" s="1"/>
  <c r="J38" i="21"/>
  <c r="L13" i="5"/>
  <c r="L42" i="5"/>
  <c r="L134" i="5" s="1"/>
  <c r="L10" i="5"/>
  <c r="M9" i="5"/>
  <c r="E128" i="21"/>
  <c r="E130" i="21" s="1"/>
  <c r="E103" i="21"/>
  <c r="E92" i="21" s="1"/>
  <c r="L32" i="21"/>
  <c r="K42" i="21"/>
  <c r="K142" i="21" s="1"/>
  <c r="L101" i="21"/>
  <c r="L98" i="21"/>
  <c r="L102" i="21" s="1"/>
  <c r="M89" i="21"/>
  <c r="Q29" i="12"/>
  <c r="P12" i="21"/>
  <c r="Q11" i="21" s="1"/>
  <c r="K128" i="21"/>
  <c r="K130" i="21" s="1"/>
  <c r="K103" i="21"/>
  <c r="K92" i="21" s="1"/>
  <c r="L89" i="10"/>
  <c r="P30" i="8"/>
  <c r="O57" i="8"/>
  <c r="L19" i="8"/>
  <c r="L20" i="8"/>
  <c r="L24" i="8"/>
  <c r="P5" i="41" s="1"/>
  <c r="L18" i="8"/>
  <c r="L22" i="8"/>
  <c r="L14" i="8"/>
  <c r="L15" i="8"/>
  <c r="L17" i="8"/>
  <c r="L21" i="8"/>
  <c r="L16" i="8"/>
  <c r="N9" i="8"/>
  <c r="M10" i="8"/>
  <c r="M33" i="8" s="1"/>
  <c r="M90" i="8" s="1"/>
  <c r="M111" i="8" s="1"/>
  <c r="M13" i="8"/>
  <c r="K144" i="8"/>
  <c r="L145" i="8" s="1"/>
  <c r="K49" i="8"/>
  <c r="K38" i="8"/>
  <c r="L110" i="8"/>
  <c r="K116" i="8"/>
  <c r="M32" i="8"/>
  <c r="L42" i="8"/>
  <c r="L146" i="8" s="1"/>
  <c r="O12" i="8"/>
  <c r="P11" i="8" s="1"/>
  <c r="P89" i="9"/>
  <c r="O101" i="9"/>
  <c r="O98" i="9"/>
  <c r="O102" i="9" s="1"/>
  <c r="M12" i="9"/>
  <c r="N11" i="9" s="1"/>
  <c r="N103" i="9"/>
  <c r="N92" i="9" s="1"/>
  <c r="N129" i="9"/>
  <c r="N131" i="9" s="1"/>
  <c r="S30" i="9"/>
  <c r="R57" i="9"/>
  <c r="J42" i="26"/>
  <c r="J144" i="26" s="1"/>
  <c r="K32" i="26"/>
  <c r="H122" i="26"/>
  <c r="I110" i="26"/>
  <c r="H113" i="26"/>
  <c r="F16" i="33" s="1"/>
  <c r="F25" i="33" s="1"/>
  <c r="J89" i="26"/>
  <c r="K13" i="26"/>
  <c r="K10" i="26"/>
  <c r="K33" i="26" s="1"/>
  <c r="K90" i="26" s="1"/>
  <c r="K111" i="26" s="1"/>
  <c r="L9" i="26"/>
  <c r="J24" i="26"/>
  <c r="O6" i="41" s="1"/>
  <c r="J18" i="26"/>
  <c r="J21" i="26"/>
  <c r="J22" i="26"/>
  <c r="J16" i="26"/>
  <c r="J19" i="26"/>
  <c r="J17" i="26"/>
  <c r="J15" i="26"/>
  <c r="J14" i="26"/>
  <c r="J20" i="26"/>
  <c r="P30" i="26"/>
  <c r="O57" i="26"/>
  <c r="M12" i="26"/>
  <c r="N11" i="26" s="1"/>
  <c r="I142" i="26"/>
  <c r="I38" i="26"/>
  <c r="I49" i="26"/>
  <c r="P30" i="29"/>
  <c r="O57" i="29"/>
  <c r="P89" i="29"/>
  <c r="Q30" i="24"/>
  <c r="P57" i="24"/>
  <c r="K89" i="24"/>
  <c r="Q160" i="36" l="1"/>
  <c r="R132" i="36"/>
  <c r="E128" i="29"/>
  <c r="E127" i="29"/>
  <c r="E126" i="29"/>
  <c r="C69" i="37"/>
  <c r="U68" i="37" s="1"/>
  <c r="E7" i="42"/>
  <c r="AM17" i="37" s="1"/>
  <c r="U17" i="37"/>
  <c r="N4" i="42"/>
  <c r="AD18" i="37"/>
  <c r="AU18" i="37"/>
  <c r="L3" i="41"/>
  <c r="L3" i="42" s="1"/>
  <c r="F8" i="42"/>
  <c r="AN19" i="37" s="1"/>
  <c r="V19" i="37"/>
  <c r="U21" i="37"/>
  <c r="AM20" i="37"/>
  <c r="AM21" i="37"/>
  <c r="AS16" i="37"/>
  <c r="P5" i="42"/>
  <c r="AB16" i="37"/>
  <c r="O6" i="42"/>
  <c r="F47" i="33"/>
  <c r="G112" i="21" s="1"/>
  <c r="F48" i="33"/>
  <c r="G112" i="9"/>
  <c r="G113" i="8"/>
  <c r="G112" i="26"/>
  <c r="F112" i="10"/>
  <c r="F112" i="8"/>
  <c r="F112" i="21"/>
  <c r="F46" i="36"/>
  <c r="G88" i="36"/>
  <c r="F32" i="36"/>
  <c r="F75" i="36"/>
  <c r="I32" i="29"/>
  <c r="H42" i="29"/>
  <c r="H158" i="29" s="1"/>
  <c r="H17" i="10"/>
  <c r="H20" i="10"/>
  <c r="H18" i="10"/>
  <c r="H15" i="10"/>
  <c r="H21" i="10"/>
  <c r="H19" i="10"/>
  <c r="H16" i="10"/>
  <c r="H22" i="10"/>
  <c r="H14" i="10"/>
  <c r="E119" i="12"/>
  <c r="E119" i="36"/>
  <c r="H7" i="41"/>
  <c r="X17" i="37" s="1"/>
  <c r="G158" i="24"/>
  <c r="G38" i="24"/>
  <c r="G49" i="24"/>
  <c r="H19" i="12"/>
  <c r="F113" i="29"/>
  <c r="F113" i="8"/>
  <c r="E119" i="10"/>
  <c r="E125" i="10" s="1"/>
  <c r="F113" i="12"/>
  <c r="F113" i="36"/>
  <c r="E122" i="10"/>
  <c r="E120" i="29"/>
  <c r="D67" i="37"/>
  <c r="F124" i="36"/>
  <c r="E121" i="29"/>
  <c r="E137" i="29"/>
  <c r="E122" i="29"/>
  <c r="F124" i="12"/>
  <c r="H12" i="36"/>
  <c r="H18" i="36"/>
  <c r="H8" i="36"/>
  <c r="H14" i="36"/>
  <c r="H13" i="36"/>
  <c r="H11" i="36"/>
  <c r="H7" i="36"/>
  <c r="I6" i="36"/>
  <c r="H19" i="36"/>
  <c r="U20" i="37"/>
  <c r="E120" i="36"/>
  <c r="E120" i="12"/>
  <c r="F148" i="10"/>
  <c r="G75" i="12"/>
  <c r="G32" i="12"/>
  <c r="G46" i="12"/>
  <c r="H88" i="12"/>
  <c r="G110" i="29"/>
  <c r="F118" i="29"/>
  <c r="F114" i="29"/>
  <c r="F138" i="29" s="1"/>
  <c r="F112" i="29"/>
  <c r="E9" i="33"/>
  <c r="D128" i="29"/>
  <c r="E128" i="36"/>
  <c r="E128" i="12"/>
  <c r="E106" i="32"/>
  <c r="E123" i="9" s="1"/>
  <c r="E107" i="32"/>
  <c r="D121" i="21" s="1"/>
  <c r="D122" i="21" s="1"/>
  <c r="F103" i="32"/>
  <c r="E108" i="32"/>
  <c r="D124" i="8" s="1"/>
  <c r="E113" i="32"/>
  <c r="E112" i="32"/>
  <c r="E136" i="29" s="1"/>
  <c r="E111" i="32"/>
  <c r="D127" i="10" s="1"/>
  <c r="D128" i="10" s="1"/>
  <c r="E128" i="32"/>
  <c r="E130" i="32" s="1"/>
  <c r="E110" i="32"/>
  <c r="E121" i="5" s="1"/>
  <c r="E122" i="5" s="1"/>
  <c r="E109" i="32"/>
  <c r="D123" i="26" s="1"/>
  <c r="F116" i="10"/>
  <c r="F126" i="10"/>
  <c r="G110" i="10"/>
  <c r="F113" i="10"/>
  <c r="G24" i="10"/>
  <c r="C19" i="33"/>
  <c r="E103" i="12"/>
  <c r="E103" i="36"/>
  <c r="H19" i="24"/>
  <c r="H17" i="24"/>
  <c r="H20" i="24"/>
  <c r="H21" i="24"/>
  <c r="H22" i="24"/>
  <c r="H14" i="24"/>
  <c r="H18" i="24"/>
  <c r="H16" i="24"/>
  <c r="H15" i="24"/>
  <c r="G7" i="33"/>
  <c r="G14" i="33"/>
  <c r="G10" i="33" s="1"/>
  <c r="G30" i="33"/>
  <c r="G46" i="33" s="1"/>
  <c r="H3" i="33"/>
  <c r="G4" i="33"/>
  <c r="G8" i="41"/>
  <c r="F49" i="29"/>
  <c r="F156" i="29"/>
  <c r="G157" i="29" s="1"/>
  <c r="F38" i="29"/>
  <c r="G20" i="12"/>
  <c r="E127" i="12"/>
  <c r="E127" i="36"/>
  <c r="D127" i="29"/>
  <c r="F93" i="12"/>
  <c r="F93" i="36"/>
  <c r="H141" i="12"/>
  <c r="H197" i="12"/>
  <c r="H191" i="12"/>
  <c r="I134" i="12"/>
  <c r="H143" i="12"/>
  <c r="H144" i="12"/>
  <c r="D130" i="24"/>
  <c r="E121" i="12"/>
  <c r="E121" i="36"/>
  <c r="H134" i="36"/>
  <c r="G198" i="36"/>
  <c r="G145" i="36"/>
  <c r="G192" i="36"/>
  <c r="G141" i="36"/>
  <c r="H95" i="12"/>
  <c r="H95" i="36"/>
  <c r="F112" i="9"/>
  <c r="G30" i="36"/>
  <c r="G89" i="36" s="1"/>
  <c r="G112" i="36" s="1"/>
  <c r="G135" i="36"/>
  <c r="G193" i="36" s="1"/>
  <c r="I14" i="12"/>
  <c r="I12" i="12"/>
  <c r="I8" i="12"/>
  <c r="J6" i="12"/>
  <c r="I11" i="12"/>
  <c r="I7" i="12"/>
  <c r="I13" i="12"/>
  <c r="F7" i="41"/>
  <c r="E158" i="24"/>
  <c r="F159" i="24" s="1"/>
  <c r="E38" i="24"/>
  <c r="E49" i="24"/>
  <c r="F19" i="36"/>
  <c r="F22" i="36" s="1"/>
  <c r="F19" i="12"/>
  <c r="F22" i="12" s="1"/>
  <c r="E126" i="36"/>
  <c r="E126" i="12"/>
  <c r="D126" i="29"/>
  <c r="D66" i="37"/>
  <c r="E120" i="24"/>
  <c r="E121" i="24"/>
  <c r="E123" i="24"/>
  <c r="E130" i="24"/>
  <c r="F116" i="36"/>
  <c r="E122" i="24"/>
  <c r="E138" i="24"/>
  <c r="F116" i="12"/>
  <c r="E129" i="24"/>
  <c r="E55" i="12"/>
  <c r="G7" i="41"/>
  <c r="W17" i="37" s="1"/>
  <c r="G19" i="36"/>
  <c r="G22" i="36" s="1"/>
  <c r="F38" i="24"/>
  <c r="F158" i="24"/>
  <c r="G159" i="24" s="1"/>
  <c r="H159" i="24" s="1"/>
  <c r="F49" i="24"/>
  <c r="G19" i="12"/>
  <c r="G24" i="29"/>
  <c r="I32" i="24"/>
  <c r="H42" i="24"/>
  <c r="H160" i="24" s="1"/>
  <c r="I13" i="24"/>
  <c r="I10" i="24"/>
  <c r="J9" i="24"/>
  <c r="H21" i="29"/>
  <c r="H22" i="29"/>
  <c r="H15" i="29"/>
  <c r="H19" i="29"/>
  <c r="H16" i="29"/>
  <c r="H14" i="29"/>
  <c r="H18" i="29"/>
  <c r="H17" i="29"/>
  <c r="H20" i="29"/>
  <c r="D9" i="33"/>
  <c r="G20" i="36"/>
  <c r="H135" i="12"/>
  <c r="H192" i="12" s="1"/>
  <c r="H30" i="12"/>
  <c r="H89" i="12" s="1"/>
  <c r="H112" i="12" s="1"/>
  <c r="F118" i="24"/>
  <c r="G110" i="24"/>
  <c r="F114" i="24"/>
  <c r="E8" i="33" s="1" a="1"/>
  <c r="E8" i="33" s="1"/>
  <c r="F113" i="24"/>
  <c r="F140" i="24"/>
  <c r="F112" i="24"/>
  <c r="D6" i="33"/>
  <c r="F38" i="10"/>
  <c r="F49" i="10"/>
  <c r="F147" i="10"/>
  <c r="G148" i="10" s="1"/>
  <c r="G18" i="12"/>
  <c r="G22" i="12" s="1"/>
  <c r="G13" i="33"/>
  <c r="E118" i="36"/>
  <c r="E118" i="12"/>
  <c r="G44" i="12"/>
  <c r="H92" i="36"/>
  <c r="H92" i="12"/>
  <c r="G112" i="8"/>
  <c r="I10" i="10"/>
  <c r="I33" i="10" s="1"/>
  <c r="I90" i="10" s="1"/>
  <c r="I111" i="10" s="1"/>
  <c r="J9" i="10"/>
  <c r="I13" i="10"/>
  <c r="D114" i="32"/>
  <c r="L32" i="10"/>
  <c r="M32" i="10" s="1"/>
  <c r="N32" i="10" s="1"/>
  <c r="J9" i="29"/>
  <c r="I13" i="29"/>
  <c r="I10" i="29"/>
  <c r="Q2" i="49"/>
  <c r="R2" i="44"/>
  <c r="L99" i="21"/>
  <c r="M97" i="21" s="1"/>
  <c r="J103" i="9"/>
  <c r="J92" i="9" s="1"/>
  <c r="J129" i="9"/>
  <c r="J131" i="9" s="1"/>
  <c r="L138" i="32"/>
  <c r="L31" i="32" s="1"/>
  <c r="L42" i="32"/>
  <c r="L44" i="32" s="1"/>
  <c r="E129" i="9"/>
  <c r="E131" i="9" s="1"/>
  <c r="E103" i="9"/>
  <c r="E92" i="9" s="1"/>
  <c r="F99" i="9"/>
  <c r="G97" i="9" s="1"/>
  <c r="G99" i="9" s="1"/>
  <c r="H97" i="9" s="1"/>
  <c r="H99" i="9" s="1"/>
  <c r="I97" i="9" s="1"/>
  <c r="I99" i="9" s="1"/>
  <c r="J97" i="9" s="1"/>
  <c r="J99" i="9" s="1"/>
  <c r="K97" i="9" s="1"/>
  <c r="K99" i="9" s="1"/>
  <c r="L97" i="9" s="1"/>
  <c r="L99" i="9" s="1"/>
  <c r="M97" i="9" s="1"/>
  <c r="M99" i="9" s="1"/>
  <c r="N97" i="9" s="1"/>
  <c r="N99" i="9" s="1"/>
  <c r="O97" i="9" s="1"/>
  <c r="O99" i="9" s="1"/>
  <c r="P97" i="9" s="1"/>
  <c r="G129" i="9"/>
  <c r="G131" i="9" s="1"/>
  <c r="G103" i="9"/>
  <c r="G92" i="9" s="1"/>
  <c r="H129" i="9"/>
  <c r="H131" i="9" s="1"/>
  <c r="H103" i="9"/>
  <c r="H92" i="9" s="1"/>
  <c r="E133" i="5"/>
  <c r="F133" i="5" s="1"/>
  <c r="G133" i="5" s="1"/>
  <c r="H133" i="5" s="1"/>
  <c r="I133" i="5" s="1"/>
  <c r="J133" i="5" s="1"/>
  <c r="D38" i="5"/>
  <c r="G38" i="5"/>
  <c r="M17" i="32"/>
  <c r="K46" i="32"/>
  <c r="L103" i="9"/>
  <c r="L92" i="9" s="1"/>
  <c r="L129" i="9"/>
  <c r="L131" i="9" s="1"/>
  <c r="N12" i="32"/>
  <c r="O11" i="32" s="1"/>
  <c r="N15" i="32"/>
  <c r="N14" i="32"/>
  <c r="N13" i="32"/>
  <c r="M129" i="9"/>
  <c r="M131" i="9" s="1"/>
  <c r="M103" i="9"/>
  <c r="M92" i="9" s="1"/>
  <c r="I129" i="9"/>
  <c r="I131" i="9" s="1"/>
  <c r="I103" i="9"/>
  <c r="I92" i="9" s="1"/>
  <c r="L10" i="9"/>
  <c r="L33" i="9" s="1"/>
  <c r="L90" i="9" s="1"/>
  <c r="L111" i="9" s="1"/>
  <c r="M9" i="9"/>
  <c r="L13" i="9"/>
  <c r="E99" i="9"/>
  <c r="F103" i="9"/>
  <c r="F92" i="9" s="1"/>
  <c r="F129" i="9"/>
  <c r="F131" i="9" s="1"/>
  <c r="K129" i="9"/>
  <c r="K131" i="9" s="1"/>
  <c r="K103" i="9"/>
  <c r="K92" i="9" s="1"/>
  <c r="I122" i="9"/>
  <c r="J110" i="9"/>
  <c r="I113" i="9"/>
  <c r="H15" i="33" s="1"/>
  <c r="L32" i="9"/>
  <c r="K42" i="9"/>
  <c r="K141" i="9" s="1"/>
  <c r="M10" i="32"/>
  <c r="M26" i="32" s="1"/>
  <c r="M83" i="32" s="1"/>
  <c r="M104" i="32" s="1"/>
  <c r="N9" i="32"/>
  <c r="J38" i="9"/>
  <c r="J49" i="9"/>
  <c r="J139" i="9"/>
  <c r="K140" i="9" s="1"/>
  <c r="K21" i="9"/>
  <c r="K17" i="9"/>
  <c r="K16" i="9"/>
  <c r="K18" i="9"/>
  <c r="K19" i="9"/>
  <c r="K22" i="9"/>
  <c r="K15" i="9"/>
  <c r="K24" i="9"/>
  <c r="K14" i="9"/>
  <c r="K20" i="9"/>
  <c r="L21" i="5"/>
  <c r="L19" i="5"/>
  <c r="L22" i="5"/>
  <c r="L16" i="5"/>
  <c r="L15" i="5"/>
  <c r="L20" i="5"/>
  <c r="L18" i="5"/>
  <c r="L14" i="5"/>
  <c r="L17" i="5"/>
  <c r="M32" i="21"/>
  <c r="L42" i="21"/>
  <c r="L142" i="21" s="1"/>
  <c r="G72" i="12"/>
  <c r="G72" i="36"/>
  <c r="F72" i="12"/>
  <c r="F72" i="36"/>
  <c r="J49" i="5"/>
  <c r="J132" i="5"/>
  <c r="J38" i="5" s="1"/>
  <c r="H72" i="12"/>
  <c r="I119" i="21"/>
  <c r="H13" i="33"/>
  <c r="I120" i="21"/>
  <c r="K140" i="21"/>
  <c r="L141" i="21" s="1"/>
  <c r="K49" i="21"/>
  <c r="K38" i="21"/>
  <c r="L15" i="21"/>
  <c r="L17" i="21"/>
  <c r="L18" i="21"/>
  <c r="L21" i="21"/>
  <c r="L24" i="21"/>
  <c r="O4" i="41" s="1"/>
  <c r="AE18" i="37" s="1"/>
  <c r="L14" i="21"/>
  <c r="L20" i="21"/>
  <c r="L22" i="21"/>
  <c r="L19" i="21"/>
  <c r="L16" i="21"/>
  <c r="K110" i="21"/>
  <c r="J114" i="21"/>
  <c r="K24" i="5"/>
  <c r="M10" i="5"/>
  <c r="N9" i="5"/>
  <c r="M13" i="5"/>
  <c r="M42" i="5"/>
  <c r="M134" i="5" s="1"/>
  <c r="M10" i="21"/>
  <c r="M33" i="21" s="1"/>
  <c r="M90" i="21" s="1"/>
  <c r="M111" i="21" s="1"/>
  <c r="N9" i="21"/>
  <c r="M13" i="21"/>
  <c r="O32" i="10"/>
  <c r="L128" i="21"/>
  <c r="L130" i="21" s="1"/>
  <c r="L103" i="21"/>
  <c r="L92" i="21" s="1"/>
  <c r="R29" i="12"/>
  <c r="M89" i="10"/>
  <c r="M101" i="21"/>
  <c r="N89" i="21"/>
  <c r="M98" i="21"/>
  <c r="M102" i="21" s="1"/>
  <c r="Q12" i="21"/>
  <c r="R11" i="21" s="1"/>
  <c r="M15" i="8"/>
  <c r="M14" i="8"/>
  <c r="M24" i="8"/>
  <c r="Q5" i="41" s="1"/>
  <c r="M17" i="8"/>
  <c r="M22" i="8"/>
  <c r="M19" i="8"/>
  <c r="M21" i="8"/>
  <c r="M16" i="8"/>
  <c r="M18" i="8"/>
  <c r="M20" i="8"/>
  <c r="M110" i="8"/>
  <c r="N10" i="8"/>
  <c r="N33" i="8" s="1"/>
  <c r="N90" i="8" s="1"/>
  <c r="N111" i="8" s="1"/>
  <c r="O9" i="8"/>
  <c r="N13" i="8"/>
  <c r="L49" i="8"/>
  <c r="L144" i="8"/>
  <c r="M145" i="8" s="1"/>
  <c r="L38" i="8"/>
  <c r="L116" i="8"/>
  <c r="N32" i="8"/>
  <c r="M42" i="8"/>
  <c r="M146" i="8" s="1"/>
  <c r="P57" i="8"/>
  <c r="Q30" i="8"/>
  <c r="P12" i="8"/>
  <c r="Q11" i="8" s="1"/>
  <c r="N12" i="9"/>
  <c r="O11" i="9" s="1"/>
  <c r="S57" i="9"/>
  <c r="T30" i="9"/>
  <c r="O103" i="9"/>
  <c r="O92" i="9" s="1"/>
  <c r="O129" i="9"/>
  <c r="O131" i="9" s="1"/>
  <c r="Q89" i="9"/>
  <c r="P101" i="9"/>
  <c r="P98" i="9"/>
  <c r="P102" i="9" s="1"/>
  <c r="L13" i="26"/>
  <c r="M9" i="26"/>
  <c r="L10" i="26"/>
  <c r="L33" i="26" s="1"/>
  <c r="L90" i="26" s="1"/>
  <c r="L111" i="26" s="1"/>
  <c r="J142" i="26"/>
  <c r="J38" i="26"/>
  <c r="J49" i="26"/>
  <c r="K24" i="26"/>
  <c r="K22" i="26"/>
  <c r="K16" i="26"/>
  <c r="K20" i="26"/>
  <c r="K19" i="26"/>
  <c r="K21" i="26"/>
  <c r="K17" i="26"/>
  <c r="K15" i="26"/>
  <c r="K18" i="26"/>
  <c r="K14" i="26"/>
  <c r="K42" i="26"/>
  <c r="K144" i="26" s="1"/>
  <c r="L32" i="26"/>
  <c r="N12" i="26"/>
  <c r="O11" i="26" s="1"/>
  <c r="I122" i="26"/>
  <c r="J110" i="26"/>
  <c r="I113" i="26"/>
  <c r="G16" i="33" s="1"/>
  <c r="G25" i="33" s="1"/>
  <c r="Q30" i="26"/>
  <c r="P57" i="26"/>
  <c r="K89" i="26"/>
  <c r="Q30" i="29"/>
  <c r="P57" i="29"/>
  <c r="Q89" i="29"/>
  <c r="L89" i="24"/>
  <c r="R30" i="24"/>
  <c r="Q57" i="24"/>
  <c r="R160" i="36" l="1"/>
  <c r="S132" i="36"/>
  <c r="F126" i="29"/>
  <c r="F127" i="29"/>
  <c r="F128" i="29"/>
  <c r="V21" i="37"/>
  <c r="V17" i="37"/>
  <c r="AV18" i="37"/>
  <c r="M3" i="41"/>
  <c r="M3" i="42" s="1"/>
  <c r="U25" i="37"/>
  <c r="G8" i="42"/>
  <c r="AO19" i="37" s="1"/>
  <c r="W19" i="37"/>
  <c r="AT16" i="37"/>
  <c r="W20" i="37"/>
  <c r="G7" i="42"/>
  <c r="AO17" i="37" s="1"/>
  <c r="V20" i="37"/>
  <c r="F7" i="42"/>
  <c r="AN17" i="37" s="1"/>
  <c r="X20" i="37"/>
  <c r="H7" i="42"/>
  <c r="Q5" i="42"/>
  <c r="O4" i="42"/>
  <c r="U24" i="37"/>
  <c r="G140" i="36"/>
  <c r="G144" i="36" s="1"/>
  <c r="G152" i="36"/>
  <c r="F151" i="12"/>
  <c r="F140" i="12"/>
  <c r="F140" i="36"/>
  <c r="F144" i="36" s="1"/>
  <c r="F152" i="36"/>
  <c r="G140" i="12"/>
  <c r="G151" i="12"/>
  <c r="AC16" i="37"/>
  <c r="F121" i="12"/>
  <c r="F121" i="36"/>
  <c r="I30" i="12"/>
  <c r="I89" i="12" s="1"/>
  <c r="I112" i="12" s="1"/>
  <c r="I135" i="12"/>
  <c r="I192" i="12" s="1"/>
  <c r="G47" i="33"/>
  <c r="G48" i="33"/>
  <c r="H112" i="26"/>
  <c r="H112" i="9"/>
  <c r="H24" i="24"/>
  <c r="C20" i="33"/>
  <c r="E98" i="36"/>
  <c r="E98" i="12"/>
  <c r="D115" i="21"/>
  <c r="F112" i="32"/>
  <c r="F136" i="29" s="1"/>
  <c r="F106" i="32"/>
  <c r="G103" i="32"/>
  <c r="F107" i="32"/>
  <c r="E121" i="21" s="1"/>
  <c r="E122" i="21" s="1"/>
  <c r="F128" i="32"/>
  <c r="F130" i="32" s="1"/>
  <c r="F111" i="32"/>
  <c r="E127" i="10" s="1"/>
  <c r="E128" i="10" s="1"/>
  <c r="F110" i="32"/>
  <c r="F121" i="5" s="1"/>
  <c r="F122" i="5" s="1"/>
  <c r="F108" i="32"/>
  <c r="E124" i="8" s="1"/>
  <c r="F113" i="32"/>
  <c r="E139" i="24" s="1"/>
  <c r="F109" i="32"/>
  <c r="E123" i="26" s="1"/>
  <c r="G55" i="12"/>
  <c r="G55" i="36"/>
  <c r="F139" i="24"/>
  <c r="F121" i="21"/>
  <c r="F122" i="21" s="1"/>
  <c r="H30" i="36"/>
  <c r="H89" i="36" s="1"/>
  <c r="H112" i="36" s="1"/>
  <c r="H135" i="36"/>
  <c r="H193" i="36" s="1"/>
  <c r="H145" i="36"/>
  <c r="I134" i="36"/>
  <c r="H198" i="36"/>
  <c r="H141" i="36"/>
  <c r="H192" i="36"/>
  <c r="I95" i="36"/>
  <c r="I95" i="12"/>
  <c r="H18" i="12"/>
  <c r="G49" i="10"/>
  <c r="G147" i="10"/>
  <c r="H148" i="10" s="1"/>
  <c r="G38" i="10"/>
  <c r="E67" i="10" s="1"/>
  <c r="G4" i="44"/>
  <c r="E67" i="37"/>
  <c r="F137" i="29"/>
  <c r="F122" i="29"/>
  <c r="F121" i="29"/>
  <c r="G124" i="36"/>
  <c r="F120" i="29"/>
  <c r="G124" i="12"/>
  <c r="F128" i="36"/>
  <c r="F128" i="12"/>
  <c r="H113" i="8"/>
  <c r="I16" i="29"/>
  <c r="I21" i="29"/>
  <c r="I22" i="29"/>
  <c r="I15" i="29"/>
  <c r="I17" i="29"/>
  <c r="I14" i="29"/>
  <c r="I20" i="29"/>
  <c r="I19" i="29"/>
  <c r="I18" i="29"/>
  <c r="K9" i="29"/>
  <c r="J13" i="29"/>
  <c r="J10" i="29"/>
  <c r="G140" i="24"/>
  <c r="H110" i="24"/>
  <c r="G118" i="24"/>
  <c r="G114" i="24"/>
  <c r="F8" i="33" s="1" a="1"/>
  <c r="F8" i="33" s="1"/>
  <c r="G112" i="24"/>
  <c r="G113" i="24"/>
  <c r="F94" i="36"/>
  <c r="F94" i="12"/>
  <c r="H8" i="41"/>
  <c r="G156" i="29"/>
  <c r="H157" i="29" s="1"/>
  <c r="G38" i="29"/>
  <c r="E67" i="29" s="1"/>
  <c r="G49" i="29"/>
  <c r="H20" i="12"/>
  <c r="F118" i="36"/>
  <c r="F118" i="12"/>
  <c r="E67" i="24"/>
  <c r="E124" i="5"/>
  <c r="E38" i="12"/>
  <c r="E38" i="36"/>
  <c r="D123" i="9"/>
  <c r="E114" i="32"/>
  <c r="H110" i="29"/>
  <c r="G114" i="29"/>
  <c r="G113" i="29"/>
  <c r="G112" i="29"/>
  <c r="H24" i="10"/>
  <c r="G93" i="36"/>
  <c r="G93" i="12"/>
  <c r="J32" i="24"/>
  <c r="I42" i="24"/>
  <c r="I160" i="24" s="1"/>
  <c r="E66" i="37"/>
  <c r="F138" i="24"/>
  <c r="G116" i="36"/>
  <c r="G116" i="12"/>
  <c r="F122" i="24"/>
  <c r="F123" i="24"/>
  <c r="F130" i="24"/>
  <c r="F121" i="24"/>
  <c r="F129" i="24"/>
  <c r="F120" i="24"/>
  <c r="J17" i="12"/>
  <c r="J12" i="12"/>
  <c r="J7" i="12"/>
  <c r="K6" i="12"/>
  <c r="J14" i="12"/>
  <c r="J13" i="12"/>
  <c r="J8" i="12"/>
  <c r="J11" i="12"/>
  <c r="I92" i="36"/>
  <c r="I92" i="12"/>
  <c r="G126" i="10"/>
  <c r="H110" i="10"/>
  <c r="G116" i="10"/>
  <c r="G118" i="10" s="1"/>
  <c r="G112" i="10"/>
  <c r="G113" i="10"/>
  <c r="F55" i="36"/>
  <c r="F55" i="12"/>
  <c r="H75" i="12"/>
  <c r="H44" i="12"/>
  <c r="I88" i="12"/>
  <c r="H46" i="12"/>
  <c r="H32" i="12"/>
  <c r="F127" i="12"/>
  <c r="F127" i="36"/>
  <c r="G32" i="36"/>
  <c r="G75" i="36"/>
  <c r="G46" i="36"/>
  <c r="H88" i="36"/>
  <c r="G44" i="36"/>
  <c r="H112" i="8"/>
  <c r="F119" i="36"/>
  <c r="F119" i="12"/>
  <c r="W21" i="37"/>
  <c r="J32" i="29"/>
  <c r="I42" i="29"/>
  <c r="I158" i="29" s="1"/>
  <c r="H112" i="21"/>
  <c r="D124" i="32"/>
  <c r="E51" i="12"/>
  <c r="E51" i="36"/>
  <c r="D24" i="33"/>
  <c r="F91" i="12"/>
  <c r="F91" i="36"/>
  <c r="J13" i="24"/>
  <c r="J10" i="24"/>
  <c r="K9" i="24"/>
  <c r="F120" i="36"/>
  <c r="F120" i="12"/>
  <c r="D130" i="29"/>
  <c r="F118" i="10"/>
  <c r="E6" i="33"/>
  <c r="H20" i="36"/>
  <c r="H22" i="36" s="1"/>
  <c r="P6" i="41"/>
  <c r="P6" i="42" s="1"/>
  <c r="I17" i="10"/>
  <c r="I16" i="10"/>
  <c r="I18" i="10"/>
  <c r="I19" i="10"/>
  <c r="I15" i="10"/>
  <c r="I21" i="10"/>
  <c r="I22" i="10"/>
  <c r="I20" i="10"/>
  <c r="I14" i="10"/>
  <c r="G94" i="36"/>
  <c r="G94" i="12"/>
  <c r="F126" i="12"/>
  <c r="F126" i="36"/>
  <c r="J42" i="10"/>
  <c r="J149" i="10" s="1"/>
  <c r="J13" i="10"/>
  <c r="K9" i="10"/>
  <c r="J10" i="10"/>
  <c r="J33" i="10" s="1"/>
  <c r="J90" i="10" s="1"/>
  <c r="J111" i="10" s="1"/>
  <c r="H24" i="29"/>
  <c r="I18" i="24"/>
  <c r="I19" i="24"/>
  <c r="I14" i="24"/>
  <c r="I16" i="24"/>
  <c r="I21" i="24"/>
  <c r="I22" i="24"/>
  <c r="I20" i="24"/>
  <c r="I17" i="24"/>
  <c r="I15" i="24"/>
  <c r="I197" i="12"/>
  <c r="I191" i="12"/>
  <c r="J134" i="12"/>
  <c r="I141" i="12"/>
  <c r="I143" i="12"/>
  <c r="I144" i="12"/>
  <c r="H7" i="33"/>
  <c r="I3" i="33"/>
  <c r="H30" i="33"/>
  <c r="H46" i="33" s="1"/>
  <c r="H14" i="33"/>
  <c r="H10" i="33" s="1"/>
  <c r="H4" i="33"/>
  <c r="I12" i="36"/>
  <c r="I11" i="36"/>
  <c r="I7" i="36"/>
  <c r="I19" i="36"/>
  <c r="I8" i="36"/>
  <c r="J6" i="36"/>
  <c r="I20" i="36"/>
  <c r="I13" i="36"/>
  <c r="I14" i="36"/>
  <c r="I17" i="36"/>
  <c r="R2" i="49"/>
  <c r="S2" i="44"/>
  <c r="N17" i="32"/>
  <c r="N138" i="32" s="1"/>
  <c r="N31" i="32" s="1"/>
  <c r="G74" i="12"/>
  <c r="G74" i="36"/>
  <c r="J122" i="9"/>
  <c r="K110" i="9"/>
  <c r="J113" i="9"/>
  <c r="I15" i="33" s="1"/>
  <c r="K49" i="9"/>
  <c r="K38" i="9"/>
  <c r="K139" i="9"/>
  <c r="L140" i="9" s="1"/>
  <c r="N10" i="32"/>
  <c r="N26" i="32" s="1"/>
  <c r="N83" i="32" s="1"/>
  <c r="N104" i="32" s="1"/>
  <c r="O9" i="32"/>
  <c r="L16" i="9"/>
  <c r="L24" i="9"/>
  <c r="L14" i="9"/>
  <c r="L21" i="9"/>
  <c r="L15" i="9"/>
  <c r="L19" i="9"/>
  <c r="L20" i="9"/>
  <c r="L18" i="9"/>
  <c r="L22" i="9"/>
  <c r="L17" i="9"/>
  <c r="O15" i="32"/>
  <c r="O12" i="32"/>
  <c r="P11" i="32" s="1"/>
  <c r="O13" i="32"/>
  <c r="O14" i="32"/>
  <c r="M10" i="9"/>
  <c r="M33" i="9" s="1"/>
  <c r="M90" i="9" s="1"/>
  <c r="M111" i="9" s="1"/>
  <c r="M13" i="9"/>
  <c r="N9" i="9"/>
  <c r="I74" i="12"/>
  <c r="F74" i="12"/>
  <c r="F74" i="36"/>
  <c r="L46" i="32"/>
  <c r="M32" i="9"/>
  <c r="L42" i="9"/>
  <c r="L141" i="9" s="1"/>
  <c r="M138" i="32"/>
  <c r="M31" i="32" s="1"/>
  <c r="M42" i="32"/>
  <c r="M44" i="32" s="1"/>
  <c r="H74" i="12"/>
  <c r="H74" i="36"/>
  <c r="O9" i="5"/>
  <c r="N10" i="5"/>
  <c r="N13" i="5"/>
  <c r="N42" i="5"/>
  <c r="L110" i="21"/>
  <c r="K114" i="21"/>
  <c r="M17" i="21"/>
  <c r="M24" i="21"/>
  <c r="P4" i="41" s="1"/>
  <c r="AF18" i="37" s="1"/>
  <c r="M18" i="21"/>
  <c r="M20" i="21"/>
  <c r="M19" i="21"/>
  <c r="M21" i="21"/>
  <c r="M14" i="21"/>
  <c r="M15" i="21"/>
  <c r="M22" i="21"/>
  <c r="M16" i="21"/>
  <c r="N13" i="21"/>
  <c r="O9" i="21"/>
  <c r="N10" i="21"/>
  <c r="N33" i="21" s="1"/>
  <c r="N90" i="21" s="1"/>
  <c r="N111" i="21" s="1"/>
  <c r="K49" i="5"/>
  <c r="K132" i="5"/>
  <c r="K38" i="5" s="1"/>
  <c r="N32" i="21"/>
  <c r="M42" i="21"/>
  <c r="M142" i="21" s="1"/>
  <c r="J120" i="21"/>
  <c r="I13" i="33"/>
  <c r="J119" i="21"/>
  <c r="M15" i="5"/>
  <c r="M16" i="5"/>
  <c r="M21" i="5"/>
  <c r="M14" i="5"/>
  <c r="M18" i="5"/>
  <c r="M17" i="5"/>
  <c r="M22" i="5"/>
  <c r="M20" i="5"/>
  <c r="M19" i="5"/>
  <c r="L140" i="21"/>
  <c r="M141" i="21" s="1"/>
  <c r="L49" i="21"/>
  <c r="L38" i="21"/>
  <c r="K133" i="5"/>
  <c r="L24" i="5"/>
  <c r="N89" i="10"/>
  <c r="S29" i="12"/>
  <c r="P32" i="10"/>
  <c r="H16" i="33"/>
  <c r="N101" i="21"/>
  <c r="O89" i="21"/>
  <c r="N98" i="21"/>
  <c r="N102" i="21" s="1"/>
  <c r="R12" i="21"/>
  <c r="S11" i="21" s="1"/>
  <c r="M99" i="21"/>
  <c r="N97" i="21" s="1"/>
  <c r="M128" i="21"/>
  <c r="M130" i="21" s="1"/>
  <c r="M103" i="21"/>
  <c r="M92" i="21" s="1"/>
  <c r="R30" i="8"/>
  <c r="Q57" i="8"/>
  <c r="N110" i="8"/>
  <c r="M144" i="8"/>
  <c r="N145" i="8" s="1"/>
  <c r="M38" i="8"/>
  <c r="M49" i="8"/>
  <c r="N18" i="8"/>
  <c r="N24" i="8"/>
  <c r="R5" i="41" s="1"/>
  <c r="N15" i="8"/>
  <c r="N16" i="8"/>
  <c r="N20" i="8"/>
  <c r="N14" i="8"/>
  <c r="N22" i="8"/>
  <c r="N17" i="8"/>
  <c r="N19" i="8"/>
  <c r="N21" i="8"/>
  <c r="O32" i="8"/>
  <c r="N42" i="8"/>
  <c r="N146" i="8" s="1"/>
  <c r="P9" i="8"/>
  <c r="O10" i="8"/>
  <c r="O33" i="8" s="1"/>
  <c r="O90" i="8" s="1"/>
  <c r="O111" i="8" s="1"/>
  <c r="O13" i="8"/>
  <c r="M116" i="8"/>
  <c r="Q12" i="8"/>
  <c r="R11" i="8" s="1"/>
  <c r="P129" i="9"/>
  <c r="P131" i="9" s="1"/>
  <c r="P103" i="9"/>
  <c r="P92" i="9" s="1"/>
  <c r="O12" i="9"/>
  <c r="P11" i="9" s="1"/>
  <c r="P99" i="9"/>
  <c r="Q97" i="9" s="1"/>
  <c r="Q101" i="9"/>
  <c r="Q98" i="9"/>
  <c r="Q102" i="9" s="1"/>
  <c r="R89" i="9"/>
  <c r="U30" i="9"/>
  <c r="T57" i="9"/>
  <c r="R30" i="26"/>
  <c r="Q57" i="26"/>
  <c r="K38" i="26"/>
  <c r="K142" i="26"/>
  <c r="K49" i="26"/>
  <c r="M13" i="26"/>
  <c r="M10" i="26"/>
  <c r="M33" i="26" s="1"/>
  <c r="M90" i="26" s="1"/>
  <c r="M111" i="26" s="1"/>
  <c r="N9" i="26"/>
  <c r="J122" i="26"/>
  <c r="K110" i="26"/>
  <c r="J113" i="26"/>
  <c r="L24" i="26"/>
  <c r="Q6" i="41" s="1"/>
  <c r="L16" i="26"/>
  <c r="L17" i="26"/>
  <c r="L20" i="26"/>
  <c r="L22" i="26"/>
  <c r="L18" i="26"/>
  <c r="L15" i="26"/>
  <c r="L21" i="26"/>
  <c r="L14" i="26"/>
  <c r="L19" i="26"/>
  <c r="L42" i="26"/>
  <c r="L144" i="26" s="1"/>
  <c r="M32" i="26"/>
  <c r="L89" i="26"/>
  <c r="O12" i="26"/>
  <c r="P11" i="26" s="1"/>
  <c r="R30" i="29"/>
  <c r="Q57" i="29"/>
  <c r="R89" i="29"/>
  <c r="S30" i="24"/>
  <c r="R57" i="24"/>
  <c r="M89" i="24"/>
  <c r="T132" i="36" l="1"/>
  <c r="S160" i="36"/>
  <c r="E130" i="29"/>
  <c r="AP20" i="37"/>
  <c r="AP17" i="37"/>
  <c r="E47" i="37"/>
  <c r="AW18" i="37"/>
  <c r="N3" i="41"/>
  <c r="N3" i="42" s="1"/>
  <c r="H8" i="42"/>
  <c r="AP19" i="37" s="1"/>
  <c r="X19" i="37"/>
  <c r="AN20" i="37"/>
  <c r="AN21" i="37"/>
  <c r="AO20" i="37"/>
  <c r="AO21" i="37"/>
  <c r="AU16" i="37"/>
  <c r="R5" i="42"/>
  <c r="P4" i="42"/>
  <c r="AD16" i="37"/>
  <c r="Q6" i="42"/>
  <c r="U27" i="37"/>
  <c r="V23" i="37"/>
  <c r="V25" i="37" s="1"/>
  <c r="X21" i="37"/>
  <c r="H152" i="36"/>
  <c r="H140" i="36"/>
  <c r="H144" i="36" s="1"/>
  <c r="J17" i="10"/>
  <c r="J22" i="10"/>
  <c r="J14" i="10"/>
  <c r="J20" i="10"/>
  <c r="J21" i="10"/>
  <c r="J18" i="10"/>
  <c r="J16" i="10"/>
  <c r="J19" i="10"/>
  <c r="J15" i="10"/>
  <c r="I44" i="12"/>
  <c r="I46" i="12"/>
  <c r="I32" i="12"/>
  <c r="I72" i="12"/>
  <c r="I75" i="12"/>
  <c r="J88" i="12"/>
  <c r="G122" i="10"/>
  <c r="H113" i="36"/>
  <c r="G119" i="10"/>
  <c r="G125" i="10" s="1"/>
  <c r="H113" i="12"/>
  <c r="F67" i="37"/>
  <c r="H124" i="12"/>
  <c r="G137" i="29"/>
  <c r="G120" i="29"/>
  <c r="G121" i="29"/>
  <c r="G122" i="29"/>
  <c r="H124" i="36"/>
  <c r="D94" i="24"/>
  <c r="E79" i="24"/>
  <c r="I4" i="44"/>
  <c r="G66" i="36"/>
  <c r="G66" i="12"/>
  <c r="F124" i="5"/>
  <c r="F38" i="12"/>
  <c r="F38" i="36"/>
  <c r="J12" i="36"/>
  <c r="J13" i="36"/>
  <c r="J11" i="36"/>
  <c r="J7" i="36"/>
  <c r="J8" i="36"/>
  <c r="J14" i="36"/>
  <c r="K6" i="36"/>
  <c r="J17" i="36"/>
  <c r="J95" i="12"/>
  <c r="J95" i="36"/>
  <c r="J143" i="12"/>
  <c r="J191" i="12"/>
  <c r="K134" i="12"/>
  <c r="J141" i="12"/>
  <c r="J144" i="12"/>
  <c r="J197" i="12"/>
  <c r="H126" i="10"/>
  <c r="H116" i="10"/>
  <c r="H118" i="10" s="1"/>
  <c r="I110" i="10"/>
  <c r="H113" i="10"/>
  <c r="H112" i="10"/>
  <c r="G6" i="33"/>
  <c r="G119" i="12"/>
  <c r="G119" i="36"/>
  <c r="G138" i="29"/>
  <c r="F9" i="33"/>
  <c r="J14" i="29"/>
  <c r="J17" i="29"/>
  <c r="J15" i="29"/>
  <c r="J22" i="29"/>
  <c r="J19" i="29"/>
  <c r="J20" i="29"/>
  <c r="J21" i="29"/>
  <c r="J16" i="29"/>
  <c r="J18" i="29"/>
  <c r="F39" i="12"/>
  <c r="F39" i="36"/>
  <c r="H47" i="33"/>
  <c r="H48" i="33"/>
  <c r="I113" i="8" s="1"/>
  <c r="I112" i="9"/>
  <c r="I24" i="24"/>
  <c r="L9" i="24"/>
  <c r="K10" i="24"/>
  <c r="K13" i="24"/>
  <c r="D133" i="32"/>
  <c r="D27" i="32"/>
  <c r="K12" i="12"/>
  <c r="K8" i="12"/>
  <c r="K17" i="12"/>
  <c r="K7" i="12"/>
  <c r="L6" i="12"/>
  <c r="K13" i="12"/>
  <c r="K11" i="12"/>
  <c r="K14" i="12"/>
  <c r="J42" i="24"/>
  <c r="J160" i="24" s="1"/>
  <c r="K32" i="24"/>
  <c r="I110" i="29"/>
  <c r="H114" i="29"/>
  <c r="H138" i="29" s="1"/>
  <c r="H118" i="29"/>
  <c r="H113" i="29"/>
  <c r="H112" i="29"/>
  <c r="G9" i="33"/>
  <c r="K10" i="29"/>
  <c r="K13" i="29"/>
  <c r="L9" i="29"/>
  <c r="G126" i="36"/>
  <c r="G126" i="12"/>
  <c r="E79" i="10"/>
  <c r="D94" i="10"/>
  <c r="E99" i="36"/>
  <c r="D117" i="8"/>
  <c r="E99" i="12"/>
  <c r="I7" i="33"/>
  <c r="I30" i="33"/>
  <c r="I46" i="33" s="1"/>
  <c r="J3" i="33"/>
  <c r="I14" i="33"/>
  <c r="I10" i="33" s="1"/>
  <c r="I4" i="33"/>
  <c r="G121" i="36"/>
  <c r="G121" i="12"/>
  <c r="E124" i="32"/>
  <c r="F51" i="12"/>
  <c r="F57" i="12" s="1"/>
  <c r="F51" i="36"/>
  <c r="F57" i="36" s="1"/>
  <c r="I145" i="36"/>
  <c r="I198" i="36"/>
  <c r="I141" i="36"/>
  <c r="J134" i="36"/>
  <c r="I192" i="36"/>
  <c r="H4" i="44"/>
  <c r="F66" i="12"/>
  <c r="F66" i="36"/>
  <c r="I7" i="41"/>
  <c r="H158" i="24"/>
  <c r="I159" i="24" s="1"/>
  <c r="H38" i="24"/>
  <c r="H49" i="24"/>
  <c r="I19" i="12"/>
  <c r="I30" i="36"/>
  <c r="I89" i="36" s="1"/>
  <c r="I112" i="36" s="1"/>
  <c r="I135" i="36"/>
  <c r="I193" i="36" s="1"/>
  <c r="G91" i="12"/>
  <c r="G91" i="36"/>
  <c r="E24" i="33"/>
  <c r="J14" i="24"/>
  <c r="J19" i="24"/>
  <c r="J21" i="24"/>
  <c r="J17" i="24"/>
  <c r="J22" i="24"/>
  <c r="J16" i="24"/>
  <c r="J15" i="24"/>
  <c r="J20" i="24"/>
  <c r="J18" i="24"/>
  <c r="E132" i="29"/>
  <c r="F6" i="43" s="1"/>
  <c r="E135" i="29"/>
  <c r="J135" i="12"/>
  <c r="J192" i="12" s="1"/>
  <c r="J30" i="12"/>
  <c r="J89" i="12" s="1"/>
  <c r="J112" i="12" s="1"/>
  <c r="G120" i="36"/>
  <c r="G120" i="12"/>
  <c r="H93" i="12"/>
  <c r="H93" i="36"/>
  <c r="G127" i="36"/>
  <c r="G127" i="12"/>
  <c r="H103" i="32"/>
  <c r="G113" i="32"/>
  <c r="G109" i="32"/>
  <c r="F123" i="26" s="1"/>
  <c r="G128" i="32"/>
  <c r="G130" i="32" s="1"/>
  <c r="G112" i="32"/>
  <c r="G136" i="29" s="1"/>
  <c r="G106" i="32"/>
  <c r="G108" i="32"/>
  <c r="F124" i="8" s="1"/>
  <c r="G110" i="32"/>
  <c r="G121" i="5" s="1"/>
  <c r="G122" i="5" s="1"/>
  <c r="G107" i="32"/>
  <c r="G111" i="32"/>
  <c r="F127" i="10" s="1"/>
  <c r="H55" i="36"/>
  <c r="H55" i="12"/>
  <c r="J92" i="36"/>
  <c r="J92" i="12"/>
  <c r="I8" i="41"/>
  <c r="H49" i="29"/>
  <c r="H38" i="29"/>
  <c r="H156" i="29"/>
  <c r="I157" i="29" s="1"/>
  <c r="I20" i="12"/>
  <c r="F119" i="10"/>
  <c r="F125" i="10" s="1"/>
  <c r="G113" i="36"/>
  <c r="F122" i="10"/>
  <c r="G113" i="12"/>
  <c r="K32" i="29"/>
  <c r="J42" i="29"/>
  <c r="J158" i="29" s="1"/>
  <c r="F6" i="33"/>
  <c r="I18" i="36"/>
  <c r="I22" i="36" s="1"/>
  <c r="H49" i="10"/>
  <c r="H147" i="10"/>
  <c r="I148" i="10" s="1"/>
  <c r="H38" i="10"/>
  <c r="I18" i="12"/>
  <c r="I22" i="12" s="1"/>
  <c r="D94" i="29"/>
  <c r="E79" i="29"/>
  <c r="F66" i="37"/>
  <c r="H116" i="36"/>
  <c r="G138" i="24"/>
  <c r="G122" i="24"/>
  <c r="G120" i="24"/>
  <c r="G123" i="24"/>
  <c r="H116" i="12"/>
  <c r="G121" i="24"/>
  <c r="G129" i="24"/>
  <c r="G130" i="24"/>
  <c r="G128" i="36"/>
  <c r="G128" i="12"/>
  <c r="H22" i="12"/>
  <c r="F114" i="32"/>
  <c r="D132" i="29"/>
  <c r="D135" i="29"/>
  <c r="H44" i="36"/>
  <c r="I88" i="36"/>
  <c r="H46" i="36"/>
  <c r="H32" i="36"/>
  <c r="H75" i="36"/>
  <c r="H72" i="36"/>
  <c r="H114" i="24"/>
  <c r="G8" i="33" s="1" a="1"/>
  <c r="G8" i="33" s="1"/>
  <c r="H118" i="24"/>
  <c r="H112" i="24"/>
  <c r="H113" i="24"/>
  <c r="H140" i="24"/>
  <c r="I110" i="24"/>
  <c r="K13" i="10"/>
  <c r="K10" i="10"/>
  <c r="K33" i="10" s="1"/>
  <c r="K90" i="10" s="1"/>
  <c r="K111" i="10" s="1"/>
  <c r="L9" i="10"/>
  <c r="K42" i="10"/>
  <c r="K149" i="10" s="1"/>
  <c r="I24" i="10"/>
  <c r="J18" i="36" s="1"/>
  <c r="F103" i="12"/>
  <c r="F103" i="36"/>
  <c r="D19" i="33"/>
  <c r="D20" i="33"/>
  <c r="D22" i="33"/>
  <c r="G118" i="12"/>
  <c r="G118" i="36"/>
  <c r="E34" i="5"/>
  <c r="E125" i="5"/>
  <c r="E128" i="5"/>
  <c r="E35" i="5" s="1"/>
  <c r="E130" i="5"/>
  <c r="I24" i="29"/>
  <c r="J20" i="36" s="1"/>
  <c r="G4" i="49"/>
  <c r="D116" i="21"/>
  <c r="S2" i="49"/>
  <c r="T2" i="44"/>
  <c r="L133" i="5"/>
  <c r="N42" i="32"/>
  <c r="N44" i="32" s="1"/>
  <c r="Q99" i="9"/>
  <c r="N99" i="21"/>
  <c r="O97" i="21" s="1"/>
  <c r="M46" i="32"/>
  <c r="M18" i="9"/>
  <c r="M17" i="9"/>
  <c r="M14" i="9"/>
  <c r="M24" i="9"/>
  <c r="M16" i="9"/>
  <c r="M19" i="9"/>
  <c r="M22" i="9"/>
  <c r="M15" i="9"/>
  <c r="M20" i="9"/>
  <c r="M21" i="9"/>
  <c r="O10" i="32"/>
  <c r="O26" i="32" s="1"/>
  <c r="O83" i="32" s="1"/>
  <c r="O104" i="32" s="1"/>
  <c r="P9" i="32"/>
  <c r="O17" i="32"/>
  <c r="P13" i="32"/>
  <c r="P15" i="32"/>
  <c r="P14" i="32"/>
  <c r="P12" i="32"/>
  <c r="Q11" i="32" s="1"/>
  <c r="K122" i="9"/>
  <c r="L110" i="9"/>
  <c r="K113" i="9"/>
  <c r="J15" i="33" s="1"/>
  <c r="N32" i="9"/>
  <c r="M42" i="9"/>
  <c r="M141" i="9" s="1"/>
  <c r="O9" i="9"/>
  <c r="N10" i="9"/>
  <c r="N33" i="9" s="1"/>
  <c r="N90" i="9" s="1"/>
  <c r="N111" i="9" s="1"/>
  <c r="N13" i="9"/>
  <c r="L139" i="9"/>
  <c r="M140" i="9" s="1"/>
  <c r="L38" i="9"/>
  <c r="L49" i="9"/>
  <c r="N17" i="5"/>
  <c r="N14" i="5"/>
  <c r="N21" i="5"/>
  <c r="N20" i="5"/>
  <c r="N18" i="5"/>
  <c r="N19" i="5"/>
  <c r="N15" i="5"/>
  <c r="N22" i="5"/>
  <c r="N16" i="5"/>
  <c r="O13" i="5"/>
  <c r="O10" i="5"/>
  <c r="P9" i="5"/>
  <c r="O42" i="5"/>
  <c r="O32" i="21"/>
  <c r="N42" i="21"/>
  <c r="N142" i="21" s="1"/>
  <c r="M24" i="5"/>
  <c r="L132" i="5"/>
  <c r="L38" i="5" s="1"/>
  <c r="L49" i="5"/>
  <c r="P9" i="21"/>
  <c r="O10" i="21"/>
  <c r="O33" i="21" s="1"/>
  <c r="O90" i="21" s="1"/>
  <c r="O111" i="21" s="1"/>
  <c r="O13" i="21"/>
  <c r="K119" i="21"/>
  <c r="K120" i="21"/>
  <c r="J13" i="33"/>
  <c r="M140" i="21"/>
  <c r="N141" i="21" s="1"/>
  <c r="M38" i="21"/>
  <c r="M49" i="21"/>
  <c r="N19" i="21"/>
  <c r="N15" i="21"/>
  <c r="N22" i="21"/>
  <c r="N24" i="21"/>
  <c r="Q4" i="41" s="1"/>
  <c r="AG18" i="37" s="1"/>
  <c r="N14" i="21"/>
  <c r="N18" i="21"/>
  <c r="N20" i="21"/>
  <c r="N16" i="21"/>
  <c r="N21" i="21"/>
  <c r="N17" i="21"/>
  <c r="M110" i="21"/>
  <c r="L114" i="21"/>
  <c r="O101" i="21"/>
  <c r="P89" i="21"/>
  <c r="O98" i="21"/>
  <c r="O102" i="21" s="1"/>
  <c r="N101" i="10"/>
  <c r="N98" i="10"/>
  <c r="N102" i="10" s="1"/>
  <c r="O89" i="10"/>
  <c r="N128" i="21"/>
  <c r="N130" i="21" s="1"/>
  <c r="N103" i="21"/>
  <c r="N92" i="21" s="1"/>
  <c r="T29" i="12"/>
  <c r="S12" i="21"/>
  <c r="T11" i="21" s="1"/>
  <c r="H25" i="33"/>
  <c r="Q32" i="10"/>
  <c r="O110" i="8"/>
  <c r="N116" i="8"/>
  <c r="O16" i="8"/>
  <c r="O18" i="8"/>
  <c r="O20" i="8"/>
  <c r="O24" i="8"/>
  <c r="S5" i="41" s="1"/>
  <c r="O19" i="8"/>
  <c r="O15" i="8"/>
  <c r="O22" i="8"/>
  <c r="O21" i="8"/>
  <c r="O14" i="8"/>
  <c r="O17" i="8"/>
  <c r="P10" i="8"/>
  <c r="P33" i="8" s="1"/>
  <c r="P90" i="8" s="1"/>
  <c r="P111" i="8" s="1"/>
  <c r="Q9" i="8"/>
  <c r="P13" i="8"/>
  <c r="R57" i="8"/>
  <c r="S30" i="8"/>
  <c r="O42" i="8"/>
  <c r="O146" i="8" s="1"/>
  <c r="P32" i="8"/>
  <c r="N38" i="8"/>
  <c r="N49" i="8"/>
  <c r="N144" i="8"/>
  <c r="O145" i="8" s="1"/>
  <c r="R12" i="8"/>
  <c r="S11" i="8" s="1"/>
  <c r="V30" i="9"/>
  <c r="U57" i="9"/>
  <c r="R98" i="9"/>
  <c r="R102" i="9" s="1"/>
  <c r="S89" i="9"/>
  <c r="R101" i="9"/>
  <c r="R97" i="9"/>
  <c r="P12" i="9"/>
  <c r="Q11" i="9" s="1"/>
  <c r="Q103" i="9"/>
  <c r="Q92" i="9" s="1"/>
  <c r="Q129" i="9"/>
  <c r="Q131" i="9" s="1"/>
  <c r="M89" i="26"/>
  <c r="K122" i="26"/>
  <c r="L110" i="26"/>
  <c r="K113" i="26"/>
  <c r="L142" i="26"/>
  <c r="L38" i="26"/>
  <c r="L49" i="26"/>
  <c r="N13" i="26"/>
  <c r="O9" i="26"/>
  <c r="N10" i="26"/>
  <c r="N33" i="26" s="1"/>
  <c r="N90" i="26" s="1"/>
  <c r="N111" i="26" s="1"/>
  <c r="S30" i="26"/>
  <c r="R57" i="26"/>
  <c r="P12" i="26"/>
  <c r="Q11" i="26" s="1"/>
  <c r="M42" i="26"/>
  <c r="M144" i="26" s="1"/>
  <c r="N32" i="26"/>
  <c r="M22" i="26"/>
  <c r="M16" i="26"/>
  <c r="M17" i="26"/>
  <c r="M19" i="26"/>
  <c r="M21" i="26"/>
  <c r="M20" i="26"/>
  <c r="M18" i="26"/>
  <c r="M24" i="26"/>
  <c r="R6" i="41" s="1"/>
  <c r="M14" i="26"/>
  <c r="M15" i="26"/>
  <c r="S30" i="29"/>
  <c r="R57" i="29"/>
  <c r="R98" i="29"/>
  <c r="R102" i="29" s="1"/>
  <c r="S89" i="29"/>
  <c r="M101" i="24"/>
  <c r="N89" i="24"/>
  <c r="M98" i="24"/>
  <c r="M102" i="24" s="1"/>
  <c r="T30" i="24"/>
  <c r="S57" i="24"/>
  <c r="U132" i="36" l="1"/>
  <c r="T160" i="36"/>
  <c r="H126" i="29"/>
  <c r="H127" i="29"/>
  <c r="H128" i="29"/>
  <c r="E8" i="43"/>
  <c r="E6" i="43"/>
  <c r="AP21" i="37"/>
  <c r="I7" i="42"/>
  <c r="Y17" i="37"/>
  <c r="AO67" i="37"/>
  <c r="AO68" i="37"/>
  <c r="AX18" i="37"/>
  <c r="O3" i="41"/>
  <c r="O3" i="42" s="1"/>
  <c r="I8" i="42"/>
  <c r="AQ19" i="37" s="1"/>
  <c r="Y19" i="37"/>
  <c r="AV16" i="37"/>
  <c r="S5" i="42"/>
  <c r="Q4" i="42"/>
  <c r="AE16" i="37"/>
  <c r="R6" i="42"/>
  <c r="V24" i="37"/>
  <c r="W23" i="37" s="1"/>
  <c r="Y21" i="37"/>
  <c r="I152" i="36"/>
  <c r="I140" i="36"/>
  <c r="I144" i="36" s="1"/>
  <c r="L42" i="10"/>
  <c r="L149" i="10" s="1"/>
  <c r="L13" i="10"/>
  <c r="L10" i="10"/>
  <c r="L33" i="10" s="1"/>
  <c r="L90" i="10" s="1"/>
  <c r="L111" i="10" s="1"/>
  <c r="M9" i="10"/>
  <c r="I93" i="36"/>
  <c r="I93" i="12"/>
  <c r="H106" i="32"/>
  <c r="H107" i="32"/>
  <c r="G121" i="21" s="1"/>
  <c r="G122" i="21" s="1"/>
  <c r="H111" i="32"/>
  <c r="G127" i="10" s="1"/>
  <c r="G128" i="10" s="1"/>
  <c r="H109" i="32"/>
  <c r="G123" i="26" s="1"/>
  <c r="H110" i="32"/>
  <c r="H121" i="5" s="1"/>
  <c r="H122" i="5" s="1"/>
  <c r="H108" i="32"/>
  <c r="G124" i="8" s="1"/>
  <c r="I103" i="32"/>
  <c r="H128" i="32"/>
  <c r="H130" i="32" s="1"/>
  <c r="H112" i="32"/>
  <c r="H136" i="29" s="1"/>
  <c r="H113" i="32"/>
  <c r="G139" i="24" s="1"/>
  <c r="H121" i="21"/>
  <c r="H122" i="21" s="1"/>
  <c r="H124" i="8"/>
  <c r="Y20" i="37"/>
  <c r="L13" i="29"/>
  <c r="M9" i="29"/>
  <c r="L10" i="29"/>
  <c r="I114" i="29"/>
  <c r="I138" i="29" s="1"/>
  <c r="J110" i="29"/>
  <c r="I118" i="29"/>
  <c r="I112" i="29"/>
  <c r="I113" i="29"/>
  <c r="K135" i="12"/>
  <c r="K192" i="12" s="1"/>
  <c r="K30" i="12"/>
  <c r="K89" i="12" s="1"/>
  <c r="K112" i="12" s="1"/>
  <c r="L13" i="24"/>
  <c r="M9" i="24"/>
  <c r="L10" i="24"/>
  <c r="I112" i="10"/>
  <c r="I91" i="36"/>
  <c r="G24" i="33"/>
  <c r="I91" i="12"/>
  <c r="G38" i="12"/>
  <c r="G124" i="5"/>
  <c r="G38" i="36"/>
  <c r="H5" i="49"/>
  <c r="D123" i="8"/>
  <c r="D125" i="8" s="1"/>
  <c r="D118" i="8"/>
  <c r="D120" i="8" s="1"/>
  <c r="F4" i="43" s="1"/>
  <c r="F4" i="45" s="1"/>
  <c r="K14" i="29"/>
  <c r="K22" i="29"/>
  <c r="K16" i="29"/>
  <c r="K20" i="29"/>
  <c r="K21" i="29"/>
  <c r="K15" i="29"/>
  <c r="K17" i="29"/>
  <c r="K19" i="29"/>
  <c r="K18" i="29"/>
  <c r="L32" i="24"/>
  <c r="K42" i="24"/>
  <c r="K160" i="24" s="1"/>
  <c r="J7" i="41"/>
  <c r="Z17" i="37" s="1"/>
  <c r="I49" i="24"/>
  <c r="I158" i="24"/>
  <c r="J159" i="24" s="1"/>
  <c r="I38" i="24"/>
  <c r="J19" i="12"/>
  <c r="K18" i="10"/>
  <c r="K22" i="10"/>
  <c r="K21" i="10"/>
  <c r="K14" i="10"/>
  <c r="K20" i="10"/>
  <c r="K15" i="10"/>
  <c r="K17" i="10"/>
  <c r="K16" i="10"/>
  <c r="K19" i="10"/>
  <c r="H119" i="36"/>
  <c r="H119" i="12"/>
  <c r="N98" i="29"/>
  <c r="N102" i="29" s="1"/>
  <c r="H98" i="29"/>
  <c r="H102" i="29" s="1"/>
  <c r="L98" i="29"/>
  <c r="L102" i="29" s="1"/>
  <c r="D97" i="29"/>
  <c r="D99" i="29" s="1"/>
  <c r="E97" i="29" s="1"/>
  <c r="E99" i="29" s="1"/>
  <c r="F97" i="29" s="1"/>
  <c r="H101" i="29"/>
  <c r="L101" i="29"/>
  <c r="F101" i="29"/>
  <c r="I98" i="29"/>
  <c r="I102" i="29" s="1"/>
  <c r="M98" i="29"/>
  <c r="M102" i="29" s="1"/>
  <c r="O101" i="29"/>
  <c r="O103" i="29" s="1"/>
  <c r="O92" i="29" s="1"/>
  <c r="F98" i="29"/>
  <c r="F102" i="29" s="1"/>
  <c r="M101" i="29"/>
  <c r="M103" i="29" s="1"/>
  <c r="M92" i="29" s="1"/>
  <c r="N101" i="29"/>
  <c r="I101" i="29"/>
  <c r="I103" i="29" s="1"/>
  <c r="I92" i="29" s="1"/>
  <c r="E98" i="29"/>
  <c r="E102" i="29" s="1"/>
  <c r="J98" i="29"/>
  <c r="J102" i="29" s="1"/>
  <c r="O98" i="29"/>
  <c r="O102" i="29" s="1"/>
  <c r="J101" i="29"/>
  <c r="G98" i="29"/>
  <c r="G102" i="29" s="1"/>
  <c r="G101" i="29"/>
  <c r="K101" i="29"/>
  <c r="E101" i="29"/>
  <c r="E103" i="29" s="1"/>
  <c r="E92" i="29" s="1"/>
  <c r="K98" i="29"/>
  <c r="K102" i="29" s="1"/>
  <c r="P98" i="29"/>
  <c r="P102" i="29" s="1"/>
  <c r="P101" i="29"/>
  <c r="Q98" i="29"/>
  <c r="Q102" i="29" s="1"/>
  <c r="Q101" i="29"/>
  <c r="Q103" i="29" s="1"/>
  <c r="Q92" i="29" s="1"/>
  <c r="K12" i="36"/>
  <c r="K14" i="36"/>
  <c r="K17" i="36"/>
  <c r="L6" i="36"/>
  <c r="K7" i="36"/>
  <c r="K13" i="36"/>
  <c r="K8" i="36"/>
  <c r="K11" i="36"/>
  <c r="H98" i="24"/>
  <c r="H102" i="24" s="1"/>
  <c r="K98" i="24"/>
  <c r="K102" i="24" s="1"/>
  <c r="K101" i="24"/>
  <c r="J101" i="24"/>
  <c r="G98" i="24"/>
  <c r="G102" i="24" s="1"/>
  <c r="J98" i="24"/>
  <c r="J102" i="24" s="1"/>
  <c r="G101" i="24"/>
  <c r="F98" i="24"/>
  <c r="F102" i="24" s="1"/>
  <c r="F103" i="24" s="1"/>
  <c r="F92" i="24" s="1"/>
  <c r="D97" i="24"/>
  <c r="D99" i="24" s="1"/>
  <c r="E97" i="24" s="1"/>
  <c r="L101" i="24"/>
  <c r="E101" i="24"/>
  <c r="F101" i="24"/>
  <c r="F147" i="24" s="1"/>
  <c r="F150" i="24" s="1"/>
  <c r="H101" i="24"/>
  <c r="L98" i="24"/>
  <c r="L102" i="24" s="1"/>
  <c r="E98" i="24"/>
  <c r="E102" i="24" s="1"/>
  <c r="I98" i="24"/>
  <c r="I102" i="24" s="1"/>
  <c r="I101" i="24"/>
  <c r="J8" i="41"/>
  <c r="I38" i="29"/>
  <c r="I156" i="29"/>
  <c r="J157" i="29" s="1"/>
  <c r="I49" i="29"/>
  <c r="J20" i="12"/>
  <c r="F24" i="33"/>
  <c r="H91" i="12"/>
  <c r="H91" i="36"/>
  <c r="F98" i="12"/>
  <c r="F98" i="36"/>
  <c r="E115" i="21"/>
  <c r="I118" i="24"/>
  <c r="I113" i="24"/>
  <c r="J110" i="24"/>
  <c r="I140" i="24"/>
  <c r="I114" i="24"/>
  <c r="H8" i="33" s="1" a="1"/>
  <c r="H8" i="33" s="1"/>
  <c r="I112" i="24"/>
  <c r="F124" i="32"/>
  <c r="G51" i="36"/>
  <c r="G57" i="36" s="1"/>
  <c r="G51" i="12"/>
  <c r="G57" i="12" s="1"/>
  <c r="L32" i="29"/>
  <c r="K42" i="29"/>
  <c r="K158" i="29" s="1"/>
  <c r="F123" i="9"/>
  <c r="G114" i="32"/>
  <c r="K95" i="12"/>
  <c r="K95" i="36"/>
  <c r="I94" i="12"/>
  <c r="I94" i="36"/>
  <c r="J24" i="29"/>
  <c r="J110" i="10"/>
  <c r="I126" i="10"/>
  <c r="I116" i="10"/>
  <c r="I118" i="10" s="1"/>
  <c r="I113" i="10"/>
  <c r="K143" i="12"/>
  <c r="K141" i="12"/>
  <c r="K197" i="12"/>
  <c r="L134" i="12"/>
  <c r="K191" i="12"/>
  <c r="K144" i="12"/>
  <c r="J24" i="10"/>
  <c r="H151" i="12"/>
  <c r="H140" i="12"/>
  <c r="H121" i="12"/>
  <c r="H121" i="36"/>
  <c r="I151" i="12"/>
  <c r="I140" i="12"/>
  <c r="J7" i="33"/>
  <c r="J14" i="33"/>
  <c r="J10" i="33" s="1"/>
  <c r="J4" i="33"/>
  <c r="K3" i="33"/>
  <c r="J30" i="33"/>
  <c r="J46" i="33" s="1"/>
  <c r="J101" i="10"/>
  <c r="J134" i="10" s="1"/>
  <c r="J137" i="10" s="1"/>
  <c r="K98" i="10"/>
  <c r="K102" i="10" s="1"/>
  <c r="F101" i="10"/>
  <c r="G98" i="10"/>
  <c r="G102" i="10" s="1"/>
  <c r="K101" i="10"/>
  <c r="G101" i="10"/>
  <c r="D97" i="10"/>
  <c r="D99" i="10" s="1"/>
  <c r="H101" i="10"/>
  <c r="E97" i="10"/>
  <c r="E101" i="10"/>
  <c r="H98" i="10"/>
  <c r="H102" i="10" s="1"/>
  <c r="I101" i="10"/>
  <c r="E98" i="10"/>
  <c r="E102" i="10" s="1"/>
  <c r="I98" i="10"/>
  <c r="I102" i="10" s="1"/>
  <c r="J98" i="10"/>
  <c r="J102" i="10" s="1"/>
  <c r="J103" i="10" s="1"/>
  <c r="J92" i="10" s="1"/>
  <c r="F98" i="10"/>
  <c r="F102" i="10" s="1"/>
  <c r="L101" i="10"/>
  <c r="L98" i="10"/>
  <c r="L102" i="10" s="1"/>
  <c r="M98" i="10"/>
  <c r="M102" i="10" s="1"/>
  <c r="M101" i="10"/>
  <c r="I112" i="26"/>
  <c r="H94" i="36"/>
  <c r="H94" i="12"/>
  <c r="I113" i="12"/>
  <c r="H119" i="10"/>
  <c r="H125" i="10" s="1"/>
  <c r="H122" i="10"/>
  <c r="I113" i="36"/>
  <c r="F101" i="36"/>
  <c r="F101" i="12"/>
  <c r="E36" i="5"/>
  <c r="E47" i="5" s="1"/>
  <c r="H118" i="36"/>
  <c r="H118" i="12"/>
  <c r="F8" i="43"/>
  <c r="F34" i="12"/>
  <c r="F34" i="36"/>
  <c r="E133" i="32"/>
  <c r="E142" i="32"/>
  <c r="E27" i="32"/>
  <c r="I48" i="33"/>
  <c r="J113" i="8" s="1"/>
  <c r="I47" i="33"/>
  <c r="J112" i="26"/>
  <c r="J112" i="9"/>
  <c r="F130" i="29"/>
  <c r="D134" i="32"/>
  <c r="D28" i="32" s="1"/>
  <c r="D29" i="32" s="1"/>
  <c r="I112" i="21"/>
  <c r="J135" i="36"/>
  <c r="J193" i="36" s="1"/>
  <c r="J30" i="36"/>
  <c r="J89" i="36" s="1"/>
  <c r="J112" i="36" s="1"/>
  <c r="F34" i="5"/>
  <c r="F36" i="5" s="1"/>
  <c r="F47" i="5" s="1"/>
  <c r="F125" i="5"/>
  <c r="F128" i="5"/>
  <c r="F35" i="5" s="1"/>
  <c r="F130" i="5"/>
  <c r="H128" i="12"/>
  <c r="H128" i="36"/>
  <c r="D21" i="33"/>
  <c r="F99" i="36"/>
  <c r="F99" i="12"/>
  <c r="E117" i="8"/>
  <c r="R101" i="29"/>
  <c r="J18" i="12"/>
  <c r="J22" i="12" s="1"/>
  <c r="I49" i="10"/>
  <c r="I147" i="10"/>
  <c r="J148" i="10" s="1"/>
  <c r="I38" i="10"/>
  <c r="H120" i="36"/>
  <c r="H120" i="12"/>
  <c r="J24" i="24"/>
  <c r="G67" i="37"/>
  <c r="H121" i="29"/>
  <c r="I124" i="36"/>
  <c r="H137" i="29"/>
  <c r="H122" i="29"/>
  <c r="I124" i="12"/>
  <c r="H120" i="29"/>
  <c r="K21" i="24"/>
  <c r="K14" i="24"/>
  <c r="K19" i="24"/>
  <c r="K22" i="24"/>
  <c r="K15" i="24"/>
  <c r="K16" i="24"/>
  <c r="K17" i="24"/>
  <c r="K18" i="24"/>
  <c r="K20" i="24"/>
  <c r="I112" i="8"/>
  <c r="H127" i="12"/>
  <c r="H127" i="36"/>
  <c r="D125" i="21"/>
  <c r="G66" i="37"/>
  <c r="H120" i="24"/>
  <c r="H122" i="24"/>
  <c r="H138" i="24"/>
  <c r="I116" i="36"/>
  <c r="H130" i="24"/>
  <c r="H121" i="24"/>
  <c r="H129" i="24"/>
  <c r="H123" i="24"/>
  <c r="I116" i="12"/>
  <c r="I75" i="36"/>
  <c r="I32" i="36"/>
  <c r="I44" i="36"/>
  <c r="I46" i="36"/>
  <c r="I72" i="36"/>
  <c r="J88" i="36"/>
  <c r="I74" i="36"/>
  <c r="F128" i="10"/>
  <c r="G103" i="36"/>
  <c r="E19" i="33"/>
  <c r="G103" i="12"/>
  <c r="J141" i="36"/>
  <c r="J192" i="36"/>
  <c r="J145" i="36"/>
  <c r="K134" i="36"/>
  <c r="J198" i="36"/>
  <c r="K92" i="12"/>
  <c r="K92" i="36"/>
  <c r="L12" i="12"/>
  <c r="L8" i="12"/>
  <c r="M6" i="12"/>
  <c r="L13" i="12"/>
  <c r="L7" i="12"/>
  <c r="L17" i="12"/>
  <c r="L14" i="12"/>
  <c r="L11" i="12"/>
  <c r="J19" i="36"/>
  <c r="J22" i="36" s="1"/>
  <c r="H126" i="12"/>
  <c r="H126" i="36"/>
  <c r="J75" i="12"/>
  <c r="J72" i="12"/>
  <c r="J74" i="12"/>
  <c r="J44" i="12"/>
  <c r="K88" i="12"/>
  <c r="J46" i="12"/>
  <c r="J32" i="12"/>
  <c r="T2" i="49"/>
  <c r="I16" i="33"/>
  <c r="I25" i="33" s="1"/>
  <c r="G47" i="36"/>
  <c r="G47" i="12"/>
  <c r="O32" i="9"/>
  <c r="N42" i="9"/>
  <c r="N141" i="9" s="1"/>
  <c r="Q13" i="32"/>
  <c r="Q12" i="32"/>
  <c r="R11" i="32" s="1"/>
  <c r="Q15" i="32"/>
  <c r="Q14" i="32"/>
  <c r="P17" i="32"/>
  <c r="M110" i="9"/>
  <c r="L122" i="9"/>
  <c r="L113" i="9"/>
  <c r="K15" i="33" s="1"/>
  <c r="Q9" i="32"/>
  <c r="P10" i="32"/>
  <c r="P26" i="32" s="1"/>
  <c r="P83" i="32" s="1"/>
  <c r="P104" i="32" s="1"/>
  <c r="N22" i="9"/>
  <c r="N14" i="9"/>
  <c r="N24" i="9"/>
  <c r="N18" i="9"/>
  <c r="N15" i="9"/>
  <c r="N20" i="9"/>
  <c r="N16" i="9"/>
  <c r="N19" i="9"/>
  <c r="N21" i="9"/>
  <c r="N17" i="9"/>
  <c r="N46" i="32"/>
  <c r="O13" i="9"/>
  <c r="O10" i="9"/>
  <c r="O33" i="9" s="1"/>
  <c r="O90" i="9" s="1"/>
  <c r="O111" i="9" s="1"/>
  <c r="P9" i="9"/>
  <c r="O42" i="32"/>
  <c r="O44" i="32" s="1"/>
  <c r="O138" i="32"/>
  <c r="O31" i="32" s="1"/>
  <c r="M38" i="9"/>
  <c r="M49" i="9"/>
  <c r="M139" i="9"/>
  <c r="N140" i="9" s="1"/>
  <c r="K13" i="33"/>
  <c r="L119" i="21"/>
  <c r="L120" i="21"/>
  <c r="P32" i="21"/>
  <c r="O42" i="21"/>
  <c r="O142" i="21" s="1"/>
  <c r="N24" i="5"/>
  <c r="P10" i="21"/>
  <c r="P33" i="21" s="1"/>
  <c r="P90" i="21" s="1"/>
  <c r="P111" i="21" s="1"/>
  <c r="P13" i="21"/>
  <c r="Q9" i="21"/>
  <c r="M132" i="5"/>
  <c r="M49" i="5"/>
  <c r="N110" i="21"/>
  <c r="M114" i="21"/>
  <c r="P10" i="5"/>
  <c r="P13" i="5"/>
  <c r="P42" i="5"/>
  <c r="P134" i="5" s="1"/>
  <c r="Q9" i="5"/>
  <c r="O19" i="5"/>
  <c r="O14" i="5"/>
  <c r="O16" i="5"/>
  <c r="O17" i="5"/>
  <c r="O21" i="5"/>
  <c r="O22" i="5"/>
  <c r="O20" i="5"/>
  <c r="O15" i="5"/>
  <c r="O18" i="5"/>
  <c r="M133" i="5"/>
  <c r="N140" i="21"/>
  <c r="O141" i="21" s="1"/>
  <c r="N49" i="21"/>
  <c r="N38" i="21"/>
  <c r="O17" i="21"/>
  <c r="O18" i="21"/>
  <c r="O19" i="21"/>
  <c r="O20" i="21"/>
  <c r="O21" i="21"/>
  <c r="O14" i="21"/>
  <c r="O22" i="21"/>
  <c r="O15" i="21"/>
  <c r="O24" i="21"/>
  <c r="R4" i="41" s="1"/>
  <c r="AH18" i="37" s="1"/>
  <c r="O16" i="21"/>
  <c r="R32" i="10"/>
  <c r="R99" i="9"/>
  <c r="S97" i="9" s="1"/>
  <c r="T12" i="21"/>
  <c r="U11" i="21" s="1"/>
  <c r="O98" i="10"/>
  <c r="O102" i="10" s="1"/>
  <c r="P89" i="10"/>
  <c r="O101" i="10"/>
  <c r="O116" i="8"/>
  <c r="U29" i="12"/>
  <c r="N134" i="10"/>
  <c r="N137" i="10" s="1"/>
  <c r="N103" i="10"/>
  <c r="N92" i="10" s="1"/>
  <c r="P101" i="21"/>
  <c r="Q89" i="21"/>
  <c r="P98" i="21"/>
  <c r="P102" i="21" s="1"/>
  <c r="O99" i="21"/>
  <c r="P97" i="21" s="1"/>
  <c r="O128" i="21"/>
  <c r="O130" i="21" s="1"/>
  <c r="O103" i="21"/>
  <c r="O92" i="21" s="1"/>
  <c r="R9" i="8"/>
  <c r="Q10" i="8"/>
  <c r="Q33" i="8" s="1"/>
  <c r="Q90" i="8" s="1"/>
  <c r="Q111" i="8" s="1"/>
  <c r="Q13" i="8"/>
  <c r="P20" i="8"/>
  <c r="P21" i="8"/>
  <c r="P24" i="8"/>
  <c r="T5" i="41" s="1"/>
  <c r="P19" i="8"/>
  <c r="P18" i="8"/>
  <c r="P17" i="8"/>
  <c r="P16" i="8"/>
  <c r="P22" i="8"/>
  <c r="P15" i="8"/>
  <c r="P14" i="8"/>
  <c r="O49" i="8"/>
  <c r="O144" i="8"/>
  <c r="P145" i="8" s="1"/>
  <c r="O38" i="8"/>
  <c r="T30" i="8"/>
  <c r="S57" i="8"/>
  <c r="Q32" i="8"/>
  <c r="P42" i="8"/>
  <c r="P146" i="8" s="1"/>
  <c r="P110" i="8"/>
  <c r="S12" i="8"/>
  <c r="T11" i="8" s="1"/>
  <c r="Q12" i="9"/>
  <c r="R11" i="9" s="1"/>
  <c r="R129" i="9"/>
  <c r="R131" i="9" s="1"/>
  <c r="R103" i="9"/>
  <c r="R92" i="9" s="1"/>
  <c r="T89" i="9"/>
  <c r="S101" i="9"/>
  <c r="S98" i="9"/>
  <c r="S102" i="9" s="1"/>
  <c r="V57" i="9"/>
  <c r="W30" i="9"/>
  <c r="L122" i="26"/>
  <c r="M110" i="26"/>
  <c r="L113" i="26"/>
  <c r="J16" i="33" s="1"/>
  <c r="J25" i="33" s="1"/>
  <c r="S57" i="26"/>
  <c r="T30" i="26"/>
  <c r="N89" i="26"/>
  <c r="N42" i="26"/>
  <c r="N144" i="26" s="1"/>
  <c r="O32" i="26"/>
  <c r="O13" i="26"/>
  <c r="P9" i="26"/>
  <c r="O10" i="26"/>
  <c r="O33" i="26" s="1"/>
  <c r="O90" i="26" s="1"/>
  <c r="O111" i="26" s="1"/>
  <c r="N24" i="26"/>
  <c r="S6" i="41" s="1"/>
  <c r="N18" i="26"/>
  <c r="N16" i="26"/>
  <c r="N14" i="26"/>
  <c r="N17" i="26"/>
  <c r="N19" i="26"/>
  <c r="N21" i="26"/>
  <c r="N15" i="26"/>
  <c r="N20" i="26"/>
  <c r="N22" i="26"/>
  <c r="Q12" i="26"/>
  <c r="R11" i="26" s="1"/>
  <c r="M142" i="26"/>
  <c r="M38" i="26"/>
  <c r="M49" i="26"/>
  <c r="T30" i="29"/>
  <c r="S57" i="29"/>
  <c r="R103" i="29"/>
  <c r="R92" i="29" s="1"/>
  <c r="T89" i="29"/>
  <c r="S101" i="29"/>
  <c r="S98" i="29"/>
  <c r="S102" i="29" s="1"/>
  <c r="T57" i="24"/>
  <c r="U30" i="24"/>
  <c r="N101" i="24"/>
  <c r="O89" i="24"/>
  <c r="N98" i="24"/>
  <c r="N102" i="24" s="1"/>
  <c r="M147" i="24"/>
  <c r="M150" i="24" s="1"/>
  <c r="M103" i="24"/>
  <c r="M92" i="24" s="1"/>
  <c r="V132" i="36" l="1"/>
  <c r="U160" i="36"/>
  <c r="I126" i="29"/>
  <c r="I127" i="29"/>
  <c r="I128" i="29"/>
  <c r="AQ21" i="37"/>
  <c r="AQ20" i="37"/>
  <c r="AQ17" i="37"/>
  <c r="AY18" i="37"/>
  <c r="F4" i="48"/>
  <c r="V47" i="37"/>
  <c r="P3" i="41"/>
  <c r="P3" i="42" s="1"/>
  <c r="J8" i="42"/>
  <c r="AR19" i="37" s="1"/>
  <c r="Z19" i="37"/>
  <c r="AW16" i="37"/>
  <c r="J7" i="42"/>
  <c r="AR17" i="37" s="1"/>
  <c r="T5" i="42"/>
  <c r="R4" i="42"/>
  <c r="AF16" i="37"/>
  <c r="S6" i="42"/>
  <c r="V27" i="37"/>
  <c r="W25" i="37"/>
  <c r="W24" i="37" s="1"/>
  <c r="E115" i="9"/>
  <c r="F100" i="36"/>
  <c r="F100" i="12"/>
  <c r="G134" i="10"/>
  <c r="G137" i="10" s="1"/>
  <c r="G103" i="10"/>
  <c r="G92" i="10" s="1"/>
  <c r="K7" i="33"/>
  <c r="K4" i="33"/>
  <c r="K30" i="33"/>
  <c r="K46" i="33" s="1"/>
  <c r="L3" i="33"/>
  <c r="K14" i="33"/>
  <c r="K10" i="33" s="1"/>
  <c r="H66" i="37"/>
  <c r="I123" i="24"/>
  <c r="I130" i="24"/>
  <c r="I138" i="24"/>
  <c r="I121" i="24"/>
  <c r="I120" i="24"/>
  <c r="J116" i="12"/>
  <c r="J116" i="36"/>
  <c r="I122" i="24"/>
  <c r="I129" i="24"/>
  <c r="J103" i="29"/>
  <c r="J92" i="29" s="1"/>
  <c r="H67" i="37"/>
  <c r="I120" i="29"/>
  <c r="I121" i="29"/>
  <c r="I122" i="29"/>
  <c r="J124" i="36"/>
  <c r="J124" i="12"/>
  <c r="I137" i="29"/>
  <c r="I55" i="12"/>
  <c r="I55" i="36"/>
  <c r="I120" i="36"/>
  <c r="I120" i="12"/>
  <c r="J140" i="36"/>
  <c r="J144" i="36" s="1"/>
  <c r="J152" i="36"/>
  <c r="D40" i="32"/>
  <c r="D47" i="32" s="1"/>
  <c r="D33" i="32"/>
  <c r="K134" i="10"/>
  <c r="K137" i="10" s="1"/>
  <c r="K103" i="10"/>
  <c r="K92" i="10" s="1"/>
  <c r="D26" i="33"/>
  <c r="H103" i="24"/>
  <c r="H92" i="24" s="1"/>
  <c r="H147" i="24"/>
  <c r="H150" i="24" s="1"/>
  <c r="P103" i="29"/>
  <c r="P92" i="29" s="1"/>
  <c r="K24" i="10"/>
  <c r="N9" i="24"/>
  <c r="M13" i="24"/>
  <c r="M10" i="24"/>
  <c r="K110" i="29"/>
  <c r="J118" i="29"/>
  <c r="J114" i="29"/>
  <c r="J113" i="29"/>
  <c r="J112" i="29"/>
  <c r="I108" i="32"/>
  <c r="I106" i="32"/>
  <c r="I107" i="32"/>
  <c r="I113" i="32"/>
  <c r="H139" i="24" s="1"/>
  <c r="I112" i="32"/>
  <c r="I136" i="29" s="1"/>
  <c r="I109" i="32"/>
  <c r="H123" i="26" s="1"/>
  <c r="I111" i="32"/>
  <c r="H127" i="10" s="1"/>
  <c r="H128" i="10" s="1"/>
  <c r="I128" i="32"/>
  <c r="I130" i="32" s="1"/>
  <c r="I110" i="32"/>
  <c r="I121" i="5" s="1"/>
  <c r="I122" i="5" s="1"/>
  <c r="J103" i="32"/>
  <c r="I123" i="9"/>
  <c r="L30" i="12"/>
  <c r="L89" i="12" s="1"/>
  <c r="L112" i="12" s="1"/>
  <c r="L135" i="12"/>
  <c r="L192" i="12" s="1"/>
  <c r="G39" i="12"/>
  <c r="G39" i="36"/>
  <c r="G130" i="29"/>
  <c r="K145" i="36"/>
  <c r="K192" i="36"/>
  <c r="K198" i="36"/>
  <c r="K141" i="36"/>
  <c r="L134" i="36"/>
  <c r="I118" i="12"/>
  <c r="I118" i="36"/>
  <c r="I127" i="12"/>
  <c r="I127" i="36"/>
  <c r="M103" i="10"/>
  <c r="M92" i="10" s="1"/>
  <c r="M134" i="10"/>
  <c r="M137" i="10" s="1"/>
  <c r="I134" i="10"/>
  <c r="I137" i="10" s="1"/>
  <c r="I103" i="10"/>
  <c r="I92" i="10" s="1"/>
  <c r="L95" i="12"/>
  <c r="L95" i="36"/>
  <c r="H6" i="33"/>
  <c r="F27" i="32"/>
  <c r="F142" i="32"/>
  <c r="F133" i="32"/>
  <c r="H4" i="49"/>
  <c r="AP67" i="37" s="1"/>
  <c r="E116" i="21"/>
  <c r="J147" i="24"/>
  <c r="J150" i="24" s="1"/>
  <c r="J103" i="24"/>
  <c r="J92" i="24" s="1"/>
  <c r="K30" i="36"/>
  <c r="K89" i="36" s="1"/>
  <c r="K112" i="36" s="1"/>
  <c r="K135" i="36"/>
  <c r="K193" i="36" s="1"/>
  <c r="G34" i="5"/>
  <c r="G36" i="5" s="1"/>
  <c r="G47" i="5" s="1"/>
  <c r="G125" i="5"/>
  <c r="G128" i="5"/>
  <c r="G35" i="5" s="1"/>
  <c r="G130" i="5"/>
  <c r="L19" i="24"/>
  <c r="L14" i="24"/>
  <c r="L21" i="24"/>
  <c r="L20" i="24"/>
  <c r="L22" i="24"/>
  <c r="L16" i="24"/>
  <c r="L15" i="24"/>
  <c r="L17" i="24"/>
  <c r="L18" i="24"/>
  <c r="M42" i="10"/>
  <c r="M149" i="10" s="1"/>
  <c r="M13" i="10"/>
  <c r="M10" i="10"/>
  <c r="M33" i="10" s="1"/>
  <c r="M90" i="10" s="1"/>
  <c r="M111" i="10" s="1"/>
  <c r="N9" i="10"/>
  <c r="M13" i="12"/>
  <c r="M7" i="12"/>
  <c r="M8" i="12"/>
  <c r="N6" i="12"/>
  <c r="M17" i="12"/>
  <c r="M11" i="12"/>
  <c r="I121" i="36"/>
  <c r="I121" i="12"/>
  <c r="K24" i="24"/>
  <c r="J140" i="12"/>
  <c r="J151" i="12"/>
  <c r="D136" i="32"/>
  <c r="J112" i="8"/>
  <c r="J112" i="21"/>
  <c r="F103" i="10"/>
  <c r="F92" i="10" s="1"/>
  <c r="F134" i="10"/>
  <c r="F137" i="10" s="1"/>
  <c r="L92" i="12"/>
  <c r="L92" i="36"/>
  <c r="K18" i="12"/>
  <c r="J49" i="10"/>
  <c r="J147" i="10"/>
  <c r="K148" i="10" s="1"/>
  <c r="J38" i="10"/>
  <c r="E103" i="24"/>
  <c r="E92" i="24" s="1"/>
  <c r="E147" i="24"/>
  <c r="E150" i="24" s="1"/>
  <c r="K103" i="24"/>
  <c r="K92" i="24" s="1"/>
  <c r="K147" i="24"/>
  <c r="K150" i="24" s="1"/>
  <c r="L18" i="36"/>
  <c r="L11" i="36"/>
  <c r="M6" i="36"/>
  <c r="L13" i="36"/>
  <c r="L7" i="36"/>
  <c r="L12" i="36"/>
  <c r="L8" i="36"/>
  <c r="L17" i="36"/>
  <c r="F103" i="29"/>
  <c r="F92" i="29" s="1"/>
  <c r="K4" i="44"/>
  <c r="I66" i="36"/>
  <c r="I66" i="12"/>
  <c r="H38" i="36"/>
  <c r="H38" i="12"/>
  <c r="H124" i="5"/>
  <c r="J75" i="36"/>
  <c r="J72" i="36"/>
  <c r="J74" i="36"/>
  <c r="K88" i="36"/>
  <c r="J44" i="36"/>
  <c r="J46" i="36"/>
  <c r="J32" i="36"/>
  <c r="J45" i="36"/>
  <c r="D34" i="21"/>
  <c r="D133" i="21"/>
  <c r="D134" i="21" s="1"/>
  <c r="E103" i="10"/>
  <c r="E92" i="10" s="1"/>
  <c r="E134" i="10"/>
  <c r="E137" i="10" s="1"/>
  <c r="J113" i="36"/>
  <c r="I119" i="10"/>
  <c r="I125" i="10" s="1"/>
  <c r="I122" i="10"/>
  <c r="J113" i="12"/>
  <c r="G124" i="32"/>
  <c r="H51" i="36"/>
  <c r="H57" i="36" s="1"/>
  <c r="H51" i="12"/>
  <c r="H57" i="12" s="1"/>
  <c r="J93" i="36"/>
  <c r="J93" i="12"/>
  <c r="Z21" i="37"/>
  <c r="L147" i="24"/>
  <c r="L150" i="24" s="1"/>
  <c r="L103" i="24"/>
  <c r="L92" i="24" s="1"/>
  <c r="L103" i="29"/>
  <c r="L92" i="29" s="1"/>
  <c r="L42" i="24"/>
  <c r="L160" i="24" s="1"/>
  <c r="M32" i="24"/>
  <c r="M13" i="29"/>
  <c r="N9" i="29"/>
  <c r="M10" i="29"/>
  <c r="L17" i="10"/>
  <c r="L15" i="10"/>
  <c r="L20" i="10"/>
  <c r="L18" i="10"/>
  <c r="L21" i="10"/>
  <c r="L22" i="10"/>
  <c r="L14" i="10"/>
  <c r="L16" i="10"/>
  <c r="L19" i="10"/>
  <c r="K47" i="12"/>
  <c r="K74" i="12"/>
  <c r="K32" i="12"/>
  <c r="K75" i="12"/>
  <c r="K46" i="12"/>
  <c r="L88" i="12"/>
  <c r="K72" i="12"/>
  <c r="K44" i="12"/>
  <c r="I119" i="12"/>
  <c r="I119" i="36"/>
  <c r="I126" i="12"/>
  <c r="I126" i="36"/>
  <c r="K7" i="41"/>
  <c r="AA17" i="37" s="1"/>
  <c r="J38" i="24"/>
  <c r="J49" i="24"/>
  <c r="J158" i="24"/>
  <c r="K159" i="24" s="1"/>
  <c r="K19" i="12"/>
  <c r="I5" i="49"/>
  <c r="E123" i="8"/>
  <c r="E125" i="8" s="1"/>
  <c r="E118" i="8"/>
  <c r="E120" i="8" s="1"/>
  <c r="G4" i="43" s="1"/>
  <c r="F132" i="29"/>
  <c r="G6" i="43" s="1"/>
  <c r="F135" i="29"/>
  <c r="L103" i="10"/>
  <c r="L92" i="10" s="1"/>
  <c r="L134" i="10"/>
  <c r="L137" i="10" s="1"/>
  <c r="E99" i="10"/>
  <c r="F97" i="10" s="1"/>
  <c r="F99" i="10" s="1"/>
  <c r="G97" i="10" s="1"/>
  <c r="G99" i="10" s="1"/>
  <c r="H97" i="10" s="1"/>
  <c r="H99" i="10" s="1"/>
  <c r="I97" i="10" s="1"/>
  <c r="I99" i="10" s="1"/>
  <c r="J97" i="10" s="1"/>
  <c r="J99" i="10" s="1"/>
  <c r="K97" i="10" s="1"/>
  <c r="K99" i="10" s="1"/>
  <c r="L97" i="10" s="1"/>
  <c r="L99" i="10" s="1"/>
  <c r="M97" i="10" s="1"/>
  <c r="M99" i="10" s="1"/>
  <c r="N97" i="10" s="1"/>
  <c r="N99" i="10" s="1"/>
  <c r="O97" i="10" s="1"/>
  <c r="O99" i="10" s="1"/>
  <c r="P97" i="10" s="1"/>
  <c r="I147" i="24"/>
  <c r="I150" i="24" s="1"/>
  <c r="I103" i="24"/>
  <c r="I92" i="24" s="1"/>
  <c r="E99" i="24"/>
  <c r="F97" i="24" s="1"/>
  <c r="F99" i="24" s="1"/>
  <c r="G97" i="24" s="1"/>
  <c r="G99" i="24" s="1"/>
  <c r="H97" i="24" s="1"/>
  <c r="H99" i="24" s="1"/>
  <c r="I97" i="24" s="1"/>
  <c r="I99" i="24" s="1"/>
  <c r="J97" i="24" s="1"/>
  <c r="J99" i="24" s="1"/>
  <c r="K97" i="24" s="1"/>
  <c r="K99" i="24" s="1"/>
  <c r="L97" i="24" s="1"/>
  <c r="L99" i="24" s="1"/>
  <c r="M97" i="24" s="1"/>
  <c r="M99" i="24" s="1"/>
  <c r="N97" i="24" s="1"/>
  <c r="K103" i="29"/>
  <c r="K92" i="29" s="1"/>
  <c r="N103" i="29"/>
  <c r="N92" i="29" s="1"/>
  <c r="H103" i="29"/>
  <c r="H92" i="29" s="1"/>
  <c r="K24" i="29"/>
  <c r="I103" i="36"/>
  <c r="I103" i="12"/>
  <c r="G19" i="33"/>
  <c r="G22" i="33" s="1"/>
  <c r="G20" i="33"/>
  <c r="H9" i="33"/>
  <c r="L20" i="29"/>
  <c r="L14" i="29"/>
  <c r="L21" i="29"/>
  <c r="L17" i="29"/>
  <c r="L19" i="29"/>
  <c r="L18" i="29"/>
  <c r="L22" i="29"/>
  <c r="L15" i="29"/>
  <c r="L16" i="29"/>
  <c r="H39" i="12"/>
  <c r="H39" i="36"/>
  <c r="H103" i="10"/>
  <c r="H92" i="10" s="1"/>
  <c r="H134" i="10"/>
  <c r="H137" i="10" s="1"/>
  <c r="L143" i="12"/>
  <c r="L191" i="12"/>
  <c r="L197" i="12"/>
  <c r="M134" i="12"/>
  <c r="L141" i="12"/>
  <c r="L144" i="12"/>
  <c r="J116" i="10"/>
  <c r="J118" i="10" s="1"/>
  <c r="J126" i="10"/>
  <c r="K110" i="10"/>
  <c r="J113" i="10"/>
  <c r="J112" i="10"/>
  <c r="I6" i="33"/>
  <c r="K110" i="24"/>
  <c r="J114" i="24"/>
  <c r="I8" i="33" s="1" a="1"/>
  <c r="I8" i="33" s="1"/>
  <c r="J140" i="24"/>
  <c r="J118" i="24"/>
  <c r="J113" i="24"/>
  <c r="J112" i="24"/>
  <c r="K19" i="36"/>
  <c r="G103" i="29"/>
  <c r="G92" i="29" s="1"/>
  <c r="F99" i="29"/>
  <c r="G97" i="29" s="1"/>
  <c r="G99" i="29" s="1"/>
  <c r="H97" i="29" s="1"/>
  <c r="H99" i="29" s="1"/>
  <c r="I97" i="29" s="1"/>
  <c r="I99" i="29" s="1"/>
  <c r="J97" i="29" s="1"/>
  <c r="J99" i="29" s="1"/>
  <c r="K97" i="29" s="1"/>
  <c r="K99" i="29" s="1"/>
  <c r="L97" i="29" s="1"/>
  <c r="L99" i="29" s="1"/>
  <c r="M97" i="29" s="1"/>
  <c r="M99" i="29" s="1"/>
  <c r="N97" i="29" s="1"/>
  <c r="N99" i="29" s="1"/>
  <c r="O97" i="29" s="1"/>
  <c r="O99" i="29" s="1"/>
  <c r="P97" i="29" s="1"/>
  <c r="P99" i="29" s="1"/>
  <c r="Q97" i="29" s="1"/>
  <c r="Q99" i="29" s="1"/>
  <c r="R97" i="29" s="1"/>
  <c r="R99" i="29" s="1"/>
  <c r="S97" i="29" s="1"/>
  <c r="S99" i="29" s="1"/>
  <c r="T97" i="29" s="1"/>
  <c r="J4" i="44"/>
  <c r="H66" i="12"/>
  <c r="H66" i="36"/>
  <c r="E20" i="33"/>
  <c r="E22" i="33" s="1"/>
  <c r="F115" i="21"/>
  <c r="G98" i="36"/>
  <c r="G98" i="12"/>
  <c r="I128" i="12"/>
  <c r="I128" i="36"/>
  <c r="E134" i="32"/>
  <c r="E28" i="32" s="1"/>
  <c r="E29" i="32" s="1"/>
  <c r="E136" i="32"/>
  <c r="J47" i="33"/>
  <c r="K112" i="8" s="1"/>
  <c r="J48" i="33"/>
  <c r="K113" i="8" s="1"/>
  <c r="K8" i="41"/>
  <c r="J156" i="29"/>
  <c r="K157" i="29" s="1"/>
  <c r="J49" i="29"/>
  <c r="J38" i="29"/>
  <c r="M32" i="29"/>
  <c r="L42" i="29"/>
  <c r="L158" i="29" s="1"/>
  <c r="H103" i="36"/>
  <c r="F19" i="33"/>
  <c r="H103" i="12"/>
  <c r="F20" i="33"/>
  <c r="G147" i="24"/>
  <c r="G150" i="24" s="1"/>
  <c r="G103" i="24"/>
  <c r="G92" i="24" s="1"/>
  <c r="D128" i="8"/>
  <c r="G123" i="9"/>
  <c r="H114" i="32"/>
  <c r="O46" i="32"/>
  <c r="P138" i="32"/>
  <c r="P31" i="32" s="1"/>
  <c r="P42" i="32"/>
  <c r="P44" i="32" s="1"/>
  <c r="R14" i="32"/>
  <c r="R13" i="32"/>
  <c r="R15" i="32"/>
  <c r="R12" i="32"/>
  <c r="S11" i="32" s="1"/>
  <c r="P99" i="21"/>
  <c r="Q97" i="21" s="1"/>
  <c r="Q17" i="32"/>
  <c r="N139" i="9"/>
  <c r="O140" i="9" s="1"/>
  <c r="N38" i="9"/>
  <c r="N49" i="9"/>
  <c r="Q10" i="32"/>
  <c r="Q26" i="32" s="1"/>
  <c r="Q83" i="32" s="1"/>
  <c r="Q104" i="32" s="1"/>
  <c r="R9" i="32"/>
  <c r="O42" i="9"/>
  <c r="O141" i="9" s="1"/>
  <c r="P32" i="9"/>
  <c r="Q9" i="9"/>
  <c r="P10" i="9"/>
  <c r="P33" i="9" s="1"/>
  <c r="P90" i="9" s="1"/>
  <c r="P111" i="9" s="1"/>
  <c r="P13" i="9"/>
  <c r="M122" i="9"/>
  <c r="N110" i="9"/>
  <c r="M113" i="9"/>
  <c r="L15" i="33" s="1"/>
  <c r="O17" i="9"/>
  <c r="O21" i="9"/>
  <c r="O16" i="9"/>
  <c r="O20" i="9"/>
  <c r="O22" i="9"/>
  <c r="O14" i="9"/>
  <c r="O19" i="9"/>
  <c r="O24" i="9"/>
  <c r="O15" i="9"/>
  <c r="O18" i="9"/>
  <c r="M38" i="5"/>
  <c r="N133" i="5"/>
  <c r="N134" i="5" s="1"/>
  <c r="Q10" i="5"/>
  <c r="Q42" i="5"/>
  <c r="Q134" i="5" s="1"/>
  <c r="Q13" i="5"/>
  <c r="R9" i="5"/>
  <c r="N49" i="5"/>
  <c r="N132" i="5"/>
  <c r="M119" i="21"/>
  <c r="M120" i="21"/>
  <c r="L13" i="33"/>
  <c r="Q13" i="21"/>
  <c r="Q10" i="21"/>
  <c r="Q33" i="21" s="1"/>
  <c r="Q90" i="21" s="1"/>
  <c r="Q111" i="21" s="1"/>
  <c r="R9" i="21"/>
  <c r="P21" i="5"/>
  <c r="P16" i="5"/>
  <c r="P20" i="5"/>
  <c r="P18" i="5"/>
  <c r="P19" i="5"/>
  <c r="P17" i="5"/>
  <c r="P15" i="5"/>
  <c r="P14" i="5"/>
  <c r="P22" i="5"/>
  <c r="P20" i="21"/>
  <c r="P21" i="21"/>
  <c r="P14" i="21"/>
  <c r="P24" i="21"/>
  <c r="S4" i="41" s="1"/>
  <c r="AI18" i="37" s="1"/>
  <c r="P22" i="21"/>
  <c r="P18" i="21"/>
  <c r="P15" i="21"/>
  <c r="P16" i="21"/>
  <c r="P17" i="21"/>
  <c r="P19" i="21"/>
  <c r="Q32" i="21"/>
  <c r="P42" i="21"/>
  <c r="P142" i="21" s="1"/>
  <c r="O110" i="21"/>
  <c r="N114" i="21"/>
  <c r="N99" i="24"/>
  <c r="O97" i="24" s="1"/>
  <c r="O24" i="5"/>
  <c r="O140" i="21"/>
  <c r="P141" i="21" s="1"/>
  <c r="O49" i="21"/>
  <c r="O38" i="21"/>
  <c r="P101" i="10"/>
  <c r="P98" i="10"/>
  <c r="P102" i="10" s="1"/>
  <c r="Q89" i="10"/>
  <c r="Q101" i="21"/>
  <c r="R89" i="21"/>
  <c r="Q98" i="21"/>
  <c r="Q102" i="21" s="1"/>
  <c r="U12" i="21"/>
  <c r="V11" i="21" s="1"/>
  <c r="P116" i="8"/>
  <c r="P128" i="21"/>
  <c r="P130" i="21" s="1"/>
  <c r="P103" i="21"/>
  <c r="P92" i="21" s="1"/>
  <c r="V29" i="12"/>
  <c r="S32" i="10"/>
  <c r="O103" i="10"/>
  <c r="O92" i="10" s="1"/>
  <c r="O134" i="10"/>
  <c r="O137" i="10" s="1"/>
  <c r="U30" i="8"/>
  <c r="T57" i="8"/>
  <c r="Q110" i="8"/>
  <c r="Q22" i="8"/>
  <c r="Q15" i="8"/>
  <c r="Q24" i="8"/>
  <c r="Q17" i="8"/>
  <c r="Q20" i="8"/>
  <c r="Q14" i="8"/>
  <c r="Q16" i="8"/>
  <c r="Q21" i="8"/>
  <c r="Q18" i="8"/>
  <c r="Q19" i="8"/>
  <c r="S9" i="8"/>
  <c r="R10" i="8"/>
  <c r="R33" i="8" s="1"/>
  <c r="R90" i="8" s="1"/>
  <c r="R111" i="8" s="1"/>
  <c r="R13" i="8"/>
  <c r="R32" i="8"/>
  <c r="Q42" i="8"/>
  <c r="Q146" i="8" s="1"/>
  <c r="P144" i="8"/>
  <c r="Q145" i="8" s="1"/>
  <c r="P38" i="8"/>
  <c r="P49" i="8"/>
  <c r="T12" i="8"/>
  <c r="U11" i="8" s="1"/>
  <c r="S99" i="9"/>
  <c r="T97" i="9" s="1"/>
  <c r="R12" i="9"/>
  <c r="S11" i="9" s="1"/>
  <c r="S103" i="9"/>
  <c r="S92" i="9" s="1"/>
  <c r="S129" i="9"/>
  <c r="S131" i="9" s="1"/>
  <c r="W57" i="9"/>
  <c r="X30" i="9"/>
  <c r="U89" i="9"/>
  <c r="T98" i="9"/>
  <c r="T102" i="9" s="1"/>
  <c r="T101" i="9"/>
  <c r="N38" i="26"/>
  <c r="N142" i="26"/>
  <c r="N49" i="26"/>
  <c r="Q9" i="26"/>
  <c r="P10" i="26"/>
  <c r="P33" i="26" s="1"/>
  <c r="P90" i="26" s="1"/>
  <c r="P111" i="26" s="1"/>
  <c r="P13" i="26"/>
  <c r="M122" i="26"/>
  <c r="N110" i="26"/>
  <c r="M113" i="26"/>
  <c r="O24" i="26"/>
  <c r="T6" i="41" s="1"/>
  <c r="O19" i="26"/>
  <c r="O20" i="26"/>
  <c r="O15" i="26"/>
  <c r="O16" i="26"/>
  <c r="O17" i="26"/>
  <c r="O18" i="26"/>
  <c r="O22" i="26"/>
  <c r="O14" i="26"/>
  <c r="O21" i="26"/>
  <c r="R12" i="26"/>
  <c r="S11" i="26" s="1"/>
  <c r="O89" i="26"/>
  <c r="T57" i="26"/>
  <c r="U30" i="26"/>
  <c r="O42" i="26"/>
  <c r="O144" i="26" s="1"/>
  <c r="P32" i="26"/>
  <c r="S103" i="29"/>
  <c r="S92" i="29" s="1"/>
  <c r="U30" i="29"/>
  <c r="T57" i="29"/>
  <c r="U89" i="29"/>
  <c r="T98" i="29"/>
  <c r="T102" i="29" s="1"/>
  <c r="T101" i="29"/>
  <c r="P89" i="24"/>
  <c r="O101" i="24"/>
  <c r="O98" i="24"/>
  <c r="O102" i="24" s="1"/>
  <c r="N147" i="24"/>
  <c r="N150" i="24" s="1"/>
  <c r="N103" i="24"/>
  <c r="N92" i="24" s="1"/>
  <c r="V30" i="24"/>
  <c r="U57" i="24"/>
  <c r="W132" i="36" l="1"/>
  <c r="V160" i="36"/>
  <c r="K112" i="26"/>
  <c r="J126" i="29"/>
  <c r="J127" i="29"/>
  <c r="J128" i="29"/>
  <c r="AZ18" i="37"/>
  <c r="AP68" i="37"/>
  <c r="Q3" i="41"/>
  <c r="Q3" i="42" s="1"/>
  <c r="K8" i="42"/>
  <c r="AS19" i="37" s="1"/>
  <c r="AA19" i="37"/>
  <c r="AR20" i="37"/>
  <c r="AR21" i="37"/>
  <c r="AX16" i="37"/>
  <c r="AA20" i="37"/>
  <c r="K7" i="42"/>
  <c r="AS17" i="37" s="1"/>
  <c r="S4" i="42"/>
  <c r="AG16" i="37"/>
  <c r="T6" i="42"/>
  <c r="X23" i="37"/>
  <c r="W27" i="37"/>
  <c r="G101" i="36"/>
  <c r="G101" i="12"/>
  <c r="F115" i="26"/>
  <c r="E40" i="32"/>
  <c r="E47" i="32" s="1"/>
  <c r="E59" i="32"/>
  <c r="E33" i="32"/>
  <c r="I101" i="36"/>
  <c r="I101" i="12"/>
  <c r="H115" i="26"/>
  <c r="M6" i="49" s="1"/>
  <c r="H98" i="36"/>
  <c r="H98" i="12"/>
  <c r="G115" i="21"/>
  <c r="F67" i="12"/>
  <c r="F67" i="36"/>
  <c r="E128" i="8"/>
  <c r="E34" i="8" s="1"/>
  <c r="H130" i="29"/>
  <c r="M42" i="24"/>
  <c r="M160" i="24" s="1"/>
  <c r="N32" i="24"/>
  <c r="F45" i="12"/>
  <c r="F45" i="36"/>
  <c r="H128" i="5"/>
  <c r="H35" i="5" s="1"/>
  <c r="H125" i="5"/>
  <c r="H34" i="5"/>
  <c r="H130" i="5"/>
  <c r="M135" i="12"/>
  <c r="M192" i="12" s="1"/>
  <c r="M30" i="12"/>
  <c r="M89" i="12" s="1"/>
  <c r="M112" i="12" s="1"/>
  <c r="L192" i="36"/>
  <c r="L198" i="36"/>
  <c r="M134" i="36"/>
  <c r="L141" i="36"/>
  <c r="I39" i="36"/>
  <c r="I39" i="12"/>
  <c r="H45" i="36"/>
  <c r="H45" i="12"/>
  <c r="I4" i="49"/>
  <c r="AQ67" i="37" s="1"/>
  <c r="F116" i="21"/>
  <c r="D137" i="8"/>
  <c r="D138" i="8" s="1"/>
  <c r="D34" i="8"/>
  <c r="L24" i="29"/>
  <c r="L7" i="41"/>
  <c r="AB17" i="37" s="1"/>
  <c r="K158" i="24"/>
  <c r="L159" i="24" s="1"/>
  <c r="K38" i="24"/>
  <c r="K49" i="24"/>
  <c r="F134" i="32"/>
  <c r="F28" i="32" s="1"/>
  <c r="F29" i="32" s="1"/>
  <c r="J138" i="29"/>
  <c r="I9" i="33"/>
  <c r="J47" i="12"/>
  <c r="I47" i="12"/>
  <c r="I47" i="36"/>
  <c r="J128" i="36"/>
  <c r="J128" i="12"/>
  <c r="M95" i="36"/>
  <c r="M95" i="12"/>
  <c r="K112" i="21"/>
  <c r="F22" i="33"/>
  <c r="G117" i="8"/>
  <c r="H99" i="12"/>
  <c r="H99" i="36"/>
  <c r="K113" i="24"/>
  <c r="L110" i="24"/>
  <c r="K114" i="24"/>
  <c r="K140" i="24"/>
  <c r="K118" i="24"/>
  <c r="K112" i="24"/>
  <c r="K112" i="9"/>
  <c r="K126" i="10"/>
  <c r="L110" i="10"/>
  <c r="K116" i="10"/>
  <c r="K118" i="10" s="1"/>
  <c r="K112" i="10"/>
  <c r="K113" i="10"/>
  <c r="L8" i="41"/>
  <c r="K156" i="29"/>
  <c r="L157" i="29" s="1"/>
  <c r="K49" i="29"/>
  <c r="K38" i="29"/>
  <c r="F47" i="12"/>
  <c r="F47" i="36"/>
  <c r="G45" i="12"/>
  <c r="G45" i="36"/>
  <c r="N13" i="10"/>
  <c r="O9" i="10"/>
  <c r="N10" i="10"/>
  <c r="N33" i="10" s="1"/>
  <c r="N90" i="10" s="1"/>
  <c r="N111" i="10" s="1"/>
  <c r="N42" i="10"/>
  <c r="N149" i="10" s="1"/>
  <c r="I67" i="37"/>
  <c r="J120" i="29"/>
  <c r="J121" i="29"/>
  <c r="K124" i="12"/>
  <c r="K124" i="36"/>
  <c r="J122" i="29"/>
  <c r="J137" i="29"/>
  <c r="J127" i="36"/>
  <c r="J127" i="12"/>
  <c r="J118" i="12"/>
  <c r="J118" i="36"/>
  <c r="L7" i="33"/>
  <c r="L30" i="33"/>
  <c r="L46" i="33" s="1"/>
  <c r="M3" i="33"/>
  <c r="L14" i="33"/>
  <c r="L10" i="33" s="1"/>
  <c r="L4" i="33"/>
  <c r="N32" i="29"/>
  <c r="M42" i="29"/>
  <c r="M158" i="29" s="1"/>
  <c r="I66" i="37"/>
  <c r="J122" i="24"/>
  <c r="K116" i="12"/>
  <c r="J130" i="24"/>
  <c r="J123" i="24"/>
  <c r="J138" i="24"/>
  <c r="J121" i="24"/>
  <c r="J120" i="24"/>
  <c r="J129" i="24"/>
  <c r="K116" i="36"/>
  <c r="I45" i="12"/>
  <c r="I45" i="36"/>
  <c r="J94" i="12"/>
  <c r="J94" i="36"/>
  <c r="G133" i="32"/>
  <c r="G142" i="32"/>
  <c r="G27" i="32"/>
  <c r="K74" i="36"/>
  <c r="K45" i="36"/>
  <c r="L88" i="36"/>
  <c r="K47" i="36"/>
  <c r="K44" i="36"/>
  <c r="K32" i="36"/>
  <c r="K72" i="36"/>
  <c r="K46" i="36"/>
  <c r="K75" i="36"/>
  <c r="L135" i="36"/>
  <c r="L193" i="36" s="1"/>
  <c r="L30" i="36"/>
  <c r="L89" i="36" s="1"/>
  <c r="L112" i="36" s="1"/>
  <c r="K114" i="29"/>
  <c r="K138" i="29" s="1"/>
  <c r="L110" i="29"/>
  <c r="K118" i="29"/>
  <c r="K112" i="29"/>
  <c r="K113" i="29"/>
  <c r="D32" i="33"/>
  <c r="D27" i="33"/>
  <c r="D36" i="33"/>
  <c r="D33" i="33"/>
  <c r="F104" i="36"/>
  <c r="F104" i="12"/>
  <c r="D34" i="33"/>
  <c r="D35" i="33"/>
  <c r="J126" i="36"/>
  <c r="J126" i="12"/>
  <c r="J119" i="12"/>
  <c r="J119" i="36"/>
  <c r="K48" i="33"/>
  <c r="L113" i="8" s="1"/>
  <c r="K47" i="33"/>
  <c r="L112" i="9" s="1"/>
  <c r="L112" i="26"/>
  <c r="H47" i="36"/>
  <c r="H47" i="12"/>
  <c r="K113" i="36"/>
  <c r="J119" i="10"/>
  <c r="J125" i="10" s="1"/>
  <c r="J122" i="10"/>
  <c r="K113" i="12"/>
  <c r="G21" i="33"/>
  <c r="M21" i="10"/>
  <c r="M22" i="10"/>
  <c r="M17" i="10"/>
  <c r="M20" i="10"/>
  <c r="M15" i="10"/>
  <c r="M18" i="10"/>
  <c r="M16" i="10"/>
  <c r="M19" i="10"/>
  <c r="M14" i="10"/>
  <c r="J91" i="12"/>
  <c r="H24" i="33"/>
  <c r="J91" i="36"/>
  <c r="E114" i="9"/>
  <c r="E116" i="9"/>
  <c r="E118" i="9" s="1"/>
  <c r="G9" i="43" s="1"/>
  <c r="G9" i="45" s="1"/>
  <c r="G9" i="48" s="1"/>
  <c r="F21" i="33"/>
  <c r="K93" i="12"/>
  <c r="K93" i="36"/>
  <c r="M12" i="36"/>
  <c r="M20" i="36"/>
  <c r="M17" i="36"/>
  <c r="M7" i="36"/>
  <c r="M8" i="36"/>
  <c r="M11" i="36"/>
  <c r="M13" i="36"/>
  <c r="N6" i="36"/>
  <c r="L24" i="24"/>
  <c r="G135" i="29"/>
  <c r="G132" i="29"/>
  <c r="H6" i="43" s="1"/>
  <c r="J111" i="32"/>
  <c r="I127" i="10" s="1"/>
  <c r="I128" i="10" s="1"/>
  <c r="J109" i="32"/>
  <c r="I123" i="26" s="1"/>
  <c r="J110" i="32"/>
  <c r="J121" i="5" s="1"/>
  <c r="J122" i="5" s="1"/>
  <c r="J108" i="32"/>
  <c r="I124" i="8" s="1"/>
  <c r="J112" i="32"/>
  <c r="J136" i="29" s="1"/>
  <c r="J128" i="32"/>
  <c r="J130" i="32" s="1"/>
  <c r="K55" i="36" s="1"/>
  <c r="J106" i="32"/>
  <c r="K103" i="32"/>
  <c r="J113" i="32"/>
  <c r="I139" i="24" s="1"/>
  <c r="J107" i="32"/>
  <c r="I121" i="21" s="1"/>
  <c r="I122" i="21" s="1"/>
  <c r="J139" i="24"/>
  <c r="J123" i="9"/>
  <c r="J124" i="8"/>
  <c r="H123" i="9"/>
  <c r="I114" i="32"/>
  <c r="M20" i="24"/>
  <c r="M21" i="24"/>
  <c r="M17" i="24"/>
  <c r="M18" i="24"/>
  <c r="M14" i="24"/>
  <c r="M22" i="24"/>
  <c r="M16" i="24"/>
  <c r="M15" i="24"/>
  <c r="M19" i="24"/>
  <c r="I99" i="36"/>
  <c r="H117" i="8"/>
  <c r="I99" i="12"/>
  <c r="G8" i="43"/>
  <c r="G34" i="36"/>
  <c r="G34" i="12"/>
  <c r="L47" i="12"/>
  <c r="L75" i="12"/>
  <c r="M88" i="12"/>
  <c r="L72" i="12"/>
  <c r="L32" i="12"/>
  <c r="L46" i="12"/>
  <c r="L44" i="12"/>
  <c r="L24" i="10"/>
  <c r="O9" i="29"/>
  <c r="N13" i="29"/>
  <c r="N10" i="29"/>
  <c r="N12" i="12"/>
  <c r="N17" i="12"/>
  <c r="O6" i="12"/>
  <c r="N11" i="12"/>
  <c r="N13" i="12"/>
  <c r="N8" i="12"/>
  <c r="N7" i="12"/>
  <c r="I38" i="36"/>
  <c r="I38" i="12"/>
  <c r="I124" i="5"/>
  <c r="O9" i="24"/>
  <c r="N13" i="24"/>
  <c r="N10" i="24"/>
  <c r="D84" i="32"/>
  <c r="D36" i="32"/>
  <c r="D37" i="32" s="1"/>
  <c r="D51" i="32" s="1"/>
  <c r="D52" i="32" s="1"/>
  <c r="J121" i="36"/>
  <c r="J121" i="12"/>
  <c r="M92" i="12"/>
  <c r="M92" i="36"/>
  <c r="H124" i="32"/>
  <c r="I51" i="12"/>
  <c r="I57" i="12" s="1"/>
  <c r="I51" i="36"/>
  <c r="I57" i="36" s="1"/>
  <c r="AA21" i="37"/>
  <c r="G99" i="12"/>
  <c r="G99" i="36"/>
  <c r="F117" i="8"/>
  <c r="E21" i="33"/>
  <c r="E26" i="33" s="1"/>
  <c r="K91" i="12"/>
  <c r="I24" i="33"/>
  <c r="K91" i="36"/>
  <c r="M141" i="12"/>
  <c r="M191" i="12"/>
  <c r="N134" i="12"/>
  <c r="M197" i="12"/>
  <c r="M143" i="12"/>
  <c r="M144" i="12"/>
  <c r="I98" i="12"/>
  <c r="H115" i="21"/>
  <c r="I98" i="36"/>
  <c r="F61" i="36"/>
  <c r="F61" i="12"/>
  <c r="M16" i="29"/>
  <c r="M20" i="29"/>
  <c r="M22" i="29"/>
  <c r="M19" i="29"/>
  <c r="M21" i="29"/>
  <c r="M14" i="29"/>
  <c r="M17" i="29"/>
  <c r="M15" i="29"/>
  <c r="M18" i="29"/>
  <c r="G4" i="45"/>
  <c r="G4" i="48" s="1"/>
  <c r="F60" i="36"/>
  <c r="F60" i="12"/>
  <c r="E125" i="21"/>
  <c r="J55" i="12"/>
  <c r="J55" i="36"/>
  <c r="K49" i="10"/>
  <c r="K147" i="10"/>
  <c r="L148" i="10" s="1"/>
  <c r="K38" i="10"/>
  <c r="L18" i="12"/>
  <c r="J120" i="12"/>
  <c r="J120" i="36"/>
  <c r="P99" i="10"/>
  <c r="Q97" i="10" s="1"/>
  <c r="Q32" i="9"/>
  <c r="P42" i="9"/>
  <c r="P141" i="9" s="1"/>
  <c r="S9" i="32"/>
  <c r="R10" i="32"/>
  <c r="R26" i="32" s="1"/>
  <c r="R83" i="32" s="1"/>
  <c r="R104" i="32" s="1"/>
  <c r="O110" i="9"/>
  <c r="N122" i="9"/>
  <c r="N113" i="9"/>
  <c r="S13" i="32"/>
  <c r="S12" i="32"/>
  <c r="T11" i="32" s="1"/>
  <c r="S14" i="32"/>
  <c r="S15" i="32"/>
  <c r="P46" i="32"/>
  <c r="P22" i="9"/>
  <c r="P15" i="9"/>
  <c r="P21" i="9"/>
  <c r="P14" i="9"/>
  <c r="P19" i="9"/>
  <c r="P17" i="9"/>
  <c r="P20" i="9"/>
  <c r="P18" i="9"/>
  <c r="P24" i="9"/>
  <c r="P16" i="9"/>
  <c r="R17" i="32"/>
  <c r="O49" i="9"/>
  <c r="O38" i="9"/>
  <c r="O139" i="9"/>
  <c r="P140" i="9" s="1"/>
  <c r="Q10" i="9"/>
  <c r="Q33" i="9" s="1"/>
  <c r="Q90" i="9" s="1"/>
  <c r="Q111" i="9" s="1"/>
  <c r="R9" i="9"/>
  <c r="Q13" i="9"/>
  <c r="Q138" i="32"/>
  <c r="Q31" i="32" s="1"/>
  <c r="Q42" i="32"/>
  <c r="Q44" i="32" s="1"/>
  <c r="Q99" i="21"/>
  <c r="R97" i="21" s="1"/>
  <c r="P110" i="21"/>
  <c r="O114" i="21"/>
  <c r="N38" i="5"/>
  <c r="O133" i="5"/>
  <c r="O134" i="5" s="1"/>
  <c r="P24" i="5"/>
  <c r="S9" i="5"/>
  <c r="R10" i="5"/>
  <c r="R42" i="5"/>
  <c r="R134" i="5" s="1"/>
  <c r="R13" i="5"/>
  <c r="O132" i="5"/>
  <c r="O49" i="5"/>
  <c r="R10" i="21"/>
  <c r="R33" i="21" s="1"/>
  <c r="R90" i="21" s="1"/>
  <c r="R111" i="21" s="1"/>
  <c r="S9" i="21"/>
  <c r="R13" i="21"/>
  <c r="Q21" i="5"/>
  <c r="Q16" i="5"/>
  <c r="Q14" i="5"/>
  <c r="Q19" i="5"/>
  <c r="Q22" i="5"/>
  <c r="Q17" i="5"/>
  <c r="Q18" i="5"/>
  <c r="Q15" i="5"/>
  <c r="Q20" i="5"/>
  <c r="P140" i="21"/>
  <c r="Q141" i="21" s="1"/>
  <c r="P38" i="21"/>
  <c r="P49" i="21"/>
  <c r="M13" i="33"/>
  <c r="N119" i="21"/>
  <c r="N120" i="21"/>
  <c r="R32" i="21"/>
  <c r="Q42" i="21"/>
  <c r="Q142" i="21" s="1"/>
  <c r="Q17" i="21"/>
  <c r="Q18" i="21"/>
  <c r="Q19" i="21"/>
  <c r="Q20" i="21"/>
  <c r="Q22" i="21"/>
  <c r="Q24" i="21"/>
  <c r="T4" i="41" s="1"/>
  <c r="AJ18" i="37" s="1"/>
  <c r="Q14" i="21"/>
  <c r="Q21" i="21"/>
  <c r="Q16" i="21"/>
  <c r="Q15" i="21"/>
  <c r="T32" i="10"/>
  <c r="R101" i="21"/>
  <c r="S89" i="21"/>
  <c r="R98" i="21"/>
  <c r="R102" i="21" s="1"/>
  <c r="Q128" i="21"/>
  <c r="Q130" i="21" s="1"/>
  <c r="Q103" i="21"/>
  <c r="Q92" i="21" s="1"/>
  <c r="R89" i="10"/>
  <c r="Q101" i="10"/>
  <c r="Q98" i="10"/>
  <c r="Q102" i="10" s="1"/>
  <c r="V12" i="21"/>
  <c r="W11" i="21" s="1"/>
  <c r="P103" i="10"/>
  <c r="P92" i="10" s="1"/>
  <c r="P134" i="10"/>
  <c r="P137" i="10" s="1"/>
  <c r="O99" i="24"/>
  <c r="W29" i="12"/>
  <c r="S32" i="8"/>
  <c r="R42" i="8"/>
  <c r="R146" i="8" s="1"/>
  <c r="R24" i="8"/>
  <c r="R15" i="8"/>
  <c r="R17" i="8"/>
  <c r="R21" i="8"/>
  <c r="R19" i="8"/>
  <c r="R18" i="8"/>
  <c r="R16" i="8"/>
  <c r="R20" i="8"/>
  <c r="R14" i="8"/>
  <c r="R22" i="8"/>
  <c r="R110" i="8"/>
  <c r="T9" i="8"/>
  <c r="S10" i="8"/>
  <c r="S33" i="8" s="1"/>
  <c r="S90" i="8" s="1"/>
  <c r="S111" i="8" s="1"/>
  <c r="S13" i="8"/>
  <c r="Q49" i="8"/>
  <c r="Q38" i="8"/>
  <c r="Q144" i="8"/>
  <c r="R145" i="8" s="1"/>
  <c r="U57" i="8"/>
  <c r="V30" i="8"/>
  <c r="Q116" i="8"/>
  <c r="U12" i="8"/>
  <c r="V11" i="8" s="1"/>
  <c r="V89" i="9"/>
  <c r="U101" i="9"/>
  <c r="U98" i="9"/>
  <c r="U102" i="9" s="1"/>
  <c r="Y30" i="9"/>
  <c r="X57" i="9"/>
  <c r="T99" i="9"/>
  <c r="U97" i="9" s="1"/>
  <c r="S12" i="9"/>
  <c r="T11" i="9" s="1"/>
  <c r="T129" i="9"/>
  <c r="T131" i="9" s="1"/>
  <c r="T103" i="9"/>
  <c r="T92" i="9" s="1"/>
  <c r="P89" i="26"/>
  <c r="P42" i="26"/>
  <c r="P144" i="26" s="1"/>
  <c r="Q32" i="26"/>
  <c r="S12" i="26"/>
  <c r="T11" i="26" s="1"/>
  <c r="N122" i="26"/>
  <c r="O110" i="26"/>
  <c r="N113" i="26"/>
  <c r="V30" i="26"/>
  <c r="U57" i="26"/>
  <c r="O38" i="26"/>
  <c r="O142" i="26"/>
  <c r="O49" i="26"/>
  <c r="P24" i="26"/>
  <c r="P14" i="26"/>
  <c r="P20" i="26"/>
  <c r="P17" i="26"/>
  <c r="P19" i="26"/>
  <c r="P15" i="26"/>
  <c r="P18" i="26"/>
  <c r="P22" i="26"/>
  <c r="P16" i="26"/>
  <c r="P21" i="26"/>
  <c r="Q13" i="26"/>
  <c r="R9" i="26"/>
  <c r="Q10" i="26"/>
  <c r="Q33" i="26" s="1"/>
  <c r="Q90" i="26" s="1"/>
  <c r="Q111" i="26" s="1"/>
  <c r="T99" i="29"/>
  <c r="U97" i="29" s="1"/>
  <c r="T103" i="29"/>
  <c r="T92" i="29" s="1"/>
  <c r="V30" i="29"/>
  <c r="U57" i="29"/>
  <c r="V89" i="29"/>
  <c r="U101" i="29"/>
  <c r="U98" i="29"/>
  <c r="U102" i="29" s="1"/>
  <c r="W30" i="24"/>
  <c r="V57" i="24"/>
  <c r="H114" i="26"/>
  <c r="H128" i="24" s="1"/>
  <c r="H116" i="26"/>
  <c r="H118" i="26" s="1"/>
  <c r="O147" i="24"/>
  <c r="O150" i="24" s="1"/>
  <c r="O103" i="24"/>
  <c r="O92" i="24" s="1"/>
  <c r="Q89" i="24"/>
  <c r="P97" i="24"/>
  <c r="P98" i="24"/>
  <c r="P102" i="24" s="1"/>
  <c r="P101" i="24"/>
  <c r="X132" i="36" l="1"/>
  <c r="W160" i="36"/>
  <c r="K126" i="29"/>
  <c r="K127" i="29"/>
  <c r="K128" i="29"/>
  <c r="W47" i="37"/>
  <c r="BA18" i="37"/>
  <c r="AQ68" i="37"/>
  <c r="R3" i="41"/>
  <c r="R3" i="42" s="1"/>
  <c r="L8" i="42"/>
  <c r="AT19" i="37" s="1"/>
  <c r="AB19" i="37"/>
  <c r="AS20" i="37"/>
  <c r="AS21" i="37"/>
  <c r="AO66" i="37"/>
  <c r="AY16" i="37"/>
  <c r="AB20" i="37"/>
  <c r="L7" i="42"/>
  <c r="T4" i="42"/>
  <c r="AH16" i="37"/>
  <c r="AB21" i="37"/>
  <c r="G104" i="12"/>
  <c r="G104" i="36"/>
  <c r="E35" i="33"/>
  <c r="E32" i="33"/>
  <c r="E33" i="33"/>
  <c r="E27" i="33"/>
  <c r="E36" i="33"/>
  <c r="E34" i="33"/>
  <c r="M18" i="36"/>
  <c r="L38" i="10"/>
  <c r="L49" i="10"/>
  <c r="L147" i="10"/>
  <c r="M148" i="10" s="1"/>
  <c r="I124" i="32"/>
  <c r="J51" i="36"/>
  <c r="J57" i="36" s="1"/>
  <c r="J51" i="12"/>
  <c r="L4" i="44"/>
  <c r="J66" i="12"/>
  <c r="J66" i="36"/>
  <c r="M24" i="10"/>
  <c r="L114" i="29"/>
  <c r="L118" i="29"/>
  <c r="M110" i="29"/>
  <c r="L112" i="29"/>
  <c r="L113" i="29"/>
  <c r="K118" i="36"/>
  <c r="K118" i="12"/>
  <c r="L48" i="33"/>
  <c r="L47" i="33"/>
  <c r="M112" i="9" s="1"/>
  <c r="M112" i="8"/>
  <c r="F136" i="32"/>
  <c r="D139" i="8"/>
  <c r="D35" i="8" s="1"/>
  <c r="D36" i="8" s="1"/>
  <c r="D47" i="8" s="1"/>
  <c r="M141" i="36"/>
  <c r="M192" i="36"/>
  <c r="N134" i="36"/>
  <c r="M198" i="36"/>
  <c r="H36" i="5"/>
  <c r="H47" i="5" s="1"/>
  <c r="G100" i="36"/>
  <c r="F115" i="9"/>
  <c r="G100" i="12"/>
  <c r="H27" i="32"/>
  <c r="H133" i="32"/>
  <c r="H142" i="32"/>
  <c r="N20" i="24"/>
  <c r="N21" i="24"/>
  <c r="N14" i="24"/>
  <c r="N15" i="24"/>
  <c r="N19" i="24"/>
  <c r="N16" i="24"/>
  <c r="N22" i="24"/>
  <c r="N17" i="24"/>
  <c r="N18" i="24"/>
  <c r="J39" i="12"/>
  <c r="J39" i="36"/>
  <c r="M30" i="36"/>
  <c r="M89" i="36" s="1"/>
  <c r="M112" i="36" s="1"/>
  <c r="M135" i="36"/>
  <c r="M193" i="36" s="1"/>
  <c r="G115" i="9"/>
  <c r="H100" i="36"/>
  <c r="H100" i="12"/>
  <c r="I100" i="36"/>
  <c r="H115" i="9"/>
  <c r="I100" i="12"/>
  <c r="G134" i="32"/>
  <c r="G28" i="32" s="1"/>
  <c r="G136" i="32"/>
  <c r="K119" i="36"/>
  <c r="K119" i="12"/>
  <c r="K128" i="36"/>
  <c r="K128" i="12"/>
  <c r="O13" i="10"/>
  <c r="O42" i="10"/>
  <c r="O149" i="10" s="1"/>
  <c r="P9" i="10"/>
  <c r="O10" i="10"/>
  <c r="O33" i="10" s="1"/>
  <c r="O90" i="10" s="1"/>
  <c r="O111" i="10" s="1"/>
  <c r="F33" i="32"/>
  <c r="F40" i="32"/>
  <c r="F47" i="32" s="1"/>
  <c r="G60" i="12"/>
  <c r="G60" i="36"/>
  <c r="F125" i="21"/>
  <c r="J57" i="12"/>
  <c r="J5" i="49"/>
  <c r="F118" i="8"/>
  <c r="F120" i="8" s="1"/>
  <c r="H4" i="43" s="1"/>
  <c r="H4" i="45" s="1"/>
  <c r="H4" i="48" s="1"/>
  <c r="F123" i="8"/>
  <c r="F125" i="8" s="1"/>
  <c r="P9" i="24"/>
  <c r="O10" i="24"/>
  <c r="O13" i="24"/>
  <c r="O17" i="12"/>
  <c r="O12" i="12"/>
  <c r="O11" i="12"/>
  <c r="O7" i="12"/>
  <c r="O13" i="12"/>
  <c r="P6" i="12"/>
  <c r="O8" i="12"/>
  <c r="K111" i="32"/>
  <c r="J127" i="10" s="1"/>
  <c r="J128" i="10" s="1"/>
  <c r="K128" i="32"/>
  <c r="K130" i="32" s="1"/>
  <c r="L55" i="36" s="1"/>
  <c r="K109" i="32"/>
  <c r="J123" i="26" s="1"/>
  <c r="K107" i="32"/>
  <c r="J121" i="21" s="1"/>
  <c r="J122" i="21" s="1"/>
  <c r="K110" i="32"/>
  <c r="K121" i="5" s="1"/>
  <c r="K122" i="5" s="1"/>
  <c r="K113" i="32"/>
  <c r="L103" i="32"/>
  <c r="K112" i="32"/>
  <c r="K136" i="29" s="1"/>
  <c r="K106" i="32"/>
  <c r="K108" i="32"/>
  <c r="H8" i="43"/>
  <c r="H34" i="12"/>
  <c r="H34" i="36"/>
  <c r="O32" i="29"/>
  <c r="N42" i="29"/>
  <c r="N158" i="29" s="1"/>
  <c r="N92" i="12"/>
  <c r="N92" i="36"/>
  <c r="N20" i="10"/>
  <c r="N16" i="10"/>
  <c r="N14" i="10"/>
  <c r="N22" i="10"/>
  <c r="N15" i="10"/>
  <c r="N21" i="10"/>
  <c r="N18" i="10"/>
  <c r="N17" i="10"/>
  <c r="N19" i="10"/>
  <c r="K139" i="24"/>
  <c r="F26" i="33"/>
  <c r="E36" i="32"/>
  <c r="E37" i="32" s="1"/>
  <c r="E51" i="32" s="1"/>
  <c r="E52" i="32" s="1"/>
  <c r="E84" i="32"/>
  <c r="E34" i="21"/>
  <c r="E133" i="21"/>
  <c r="E134" i="21" s="1"/>
  <c r="M24" i="29"/>
  <c r="N143" i="12"/>
  <c r="N141" i="12"/>
  <c r="N191" i="12"/>
  <c r="O134" i="12"/>
  <c r="N197" i="12"/>
  <c r="I128" i="5"/>
  <c r="I35" i="5" s="1"/>
  <c r="I34" i="5"/>
  <c r="I125" i="5"/>
  <c r="M24" i="24"/>
  <c r="L55" i="12"/>
  <c r="J114" i="32"/>
  <c r="E121" i="9"/>
  <c r="E120" i="9"/>
  <c r="E124" i="9" s="1"/>
  <c r="M113" i="8"/>
  <c r="D43" i="33"/>
  <c r="E122" i="8" s="1"/>
  <c r="D42" i="33"/>
  <c r="D40" i="33"/>
  <c r="F105" i="12"/>
  <c r="D41" i="33"/>
  <c r="E136" i="24" s="1"/>
  <c r="F105" i="36"/>
  <c r="D39" i="33"/>
  <c r="E121" i="10" s="1"/>
  <c r="E123" i="10" s="1"/>
  <c r="E131" i="10" s="1"/>
  <c r="K121" i="12"/>
  <c r="K121" i="36"/>
  <c r="J6" i="33"/>
  <c r="K5" i="49"/>
  <c r="G123" i="8"/>
  <c r="G125" i="8" s="1"/>
  <c r="G118" i="8"/>
  <c r="G120" i="8" s="1"/>
  <c r="I4" i="43" s="1"/>
  <c r="O32" i="24"/>
  <c r="N42" i="24"/>
  <c r="N160" i="24" s="1"/>
  <c r="J4" i="49"/>
  <c r="AR67" i="37" s="1"/>
  <c r="G116" i="21"/>
  <c r="G26" i="33"/>
  <c r="L5" i="49"/>
  <c r="H123" i="8"/>
  <c r="H125" i="8" s="1"/>
  <c r="H118" i="8"/>
  <c r="H120" i="8" s="1"/>
  <c r="I61" i="36" s="1"/>
  <c r="M7" i="41"/>
  <c r="L49" i="24"/>
  <c r="L158" i="24"/>
  <c r="M159" i="24" s="1"/>
  <c r="L38" i="24"/>
  <c r="I130" i="29"/>
  <c r="L74" i="36"/>
  <c r="M88" i="36"/>
  <c r="L44" i="36"/>
  <c r="L72" i="36"/>
  <c r="L45" i="36"/>
  <c r="L75" i="36"/>
  <c r="L32" i="36"/>
  <c r="L46" i="36"/>
  <c r="K127" i="36"/>
  <c r="K127" i="12"/>
  <c r="J66" i="37"/>
  <c r="K123" i="24"/>
  <c r="K130" i="24"/>
  <c r="L116" i="36"/>
  <c r="K120" i="24"/>
  <c r="K129" i="24"/>
  <c r="K122" i="24"/>
  <c r="L116" i="12"/>
  <c r="K138" i="24"/>
  <c r="K121" i="24"/>
  <c r="H101" i="12"/>
  <c r="H101" i="36"/>
  <c r="G115" i="26"/>
  <c r="M74" i="12"/>
  <c r="M44" i="12"/>
  <c r="N88" i="12"/>
  <c r="M32" i="12"/>
  <c r="M46" i="12"/>
  <c r="N17" i="36"/>
  <c r="N8" i="36"/>
  <c r="O6" i="36"/>
  <c r="N12" i="36"/>
  <c r="N13" i="36"/>
  <c r="N18" i="36"/>
  <c r="N7" i="36"/>
  <c r="N11" i="36"/>
  <c r="K126" i="12"/>
  <c r="K126" i="36"/>
  <c r="H135" i="29"/>
  <c r="H132" i="29"/>
  <c r="I8" i="43" s="1"/>
  <c r="K6" i="49"/>
  <c r="F116" i="26"/>
  <c r="F118" i="26" s="1"/>
  <c r="F114" i="26"/>
  <c r="K4" i="49"/>
  <c r="AS67" i="37" s="1"/>
  <c r="H116" i="21"/>
  <c r="D54" i="32"/>
  <c r="D53" i="32"/>
  <c r="N135" i="12"/>
  <c r="N192" i="12" s="1"/>
  <c r="N30" i="12"/>
  <c r="N89" i="12" s="1"/>
  <c r="N112" i="12" s="1"/>
  <c r="N21" i="29"/>
  <c r="N22" i="29"/>
  <c r="N17" i="29"/>
  <c r="N16" i="29"/>
  <c r="N18" i="29"/>
  <c r="N14" i="29"/>
  <c r="N24" i="29" s="1"/>
  <c r="N19" i="29"/>
  <c r="N15" i="29"/>
  <c r="N20" i="29"/>
  <c r="J103" i="12"/>
  <c r="J103" i="36"/>
  <c r="H19" i="33"/>
  <c r="H20" i="33"/>
  <c r="H21" i="33"/>
  <c r="L112" i="8"/>
  <c r="L112" i="21"/>
  <c r="K120" i="12"/>
  <c r="K120" i="36"/>
  <c r="N95" i="12"/>
  <c r="N95" i="36"/>
  <c r="K122" i="10"/>
  <c r="K119" i="10"/>
  <c r="K125" i="10" s="1"/>
  <c r="L113" i="12"/>
  <c r="L113" i="36"/>
  <c r="K94" i="36"/>
  <c r="K94" i="12"/>
  <c r="M8" i="41"/>
  <c r="L49" i="29"/>
  <c r="L156" i="29"/>
  <c r="M157" i="29" s="1"/>
  <c r="L38" i="29"/>
  <c r="K103" i="12"/>
  <c r="I19" i="33"/>
  <c r="K103" i="36"/>
  <c r="O10" i="29"/>
  <c r="O13" i="29"/>
  <c r="P9" i="29"/>
  <c r="J38" i="12"/>
  <c r="J124" i="5"/>
  <c r="J38" i="36"/>
  <c r="J67" i="37"/>
  <c r="K120" i="29"/>
  <c r="K122" i="29"/>
  <c r="L124" i="12"/>
  <c r="L124" i="36"/>
  <c r="K121" i="29"/>
  <c r="K137" i="29"/>
  <c r="G29" i="32"/>
  <c r="M7" i="33"/>
  <c r="M14" i="33"/>
  <c r="M10" i="33" s="1"/>
  <c r="M4" i="33"/>
  <c r="M30" i="33"/>
  <c r="M46" i="33" s="1"/>
  <c r="N3" i="33"/>
  <c r="L126" i="10"/>
  <c r="L116" i="10"/>
  <c r="L118" i="10" s="1"/>
  <c r="M110" i="10"/>
  <c r="L113" i="10"/>
  <c r="L112" i="10"/>
  <c r="L113" i="24"/>
  <c r="M110" i="24"/>
  <c r="L114" i="24"/>
  <c r="L112" i="24"/>
  <c r="L118" i="24"/>
  <c r="L140" i="24"/>
  <c r="S17" i="32"/>
  <c r="S138" i="32" s="1"/>
  <c r="S31" i="32" s="1"/>
  <c r="Q24" i="5"/>
  <c r="R138" i="32"/>
  <c r="R31" i="32" s="1"/>
  <c r="R42" i="32"/>
  <c r="R44" i="32" s="1"/>
  <c r="S10" i="32"/>
  <c r="S26" i="32" s="1"/>
  <c r="S83" i="32" s="1"/>
  <c r="S104" i="32" s="1"/>
  <c r="T9" i="32"/>
  <c r="P38" i="9"/>
  <c r="P49" i="9"/>
  <c r="P139" i="9"/>
  <c r="Q140" i="9" s="1"/>
  <c r="T15" i="32"/>
  <c r="T12" i="32"/>
  <c r="U11" i="32" s="1"/>
  <c r="T13" i="32"/>
  <c r="T14" i="32"/>
  <c r="Q18" i="9"/>
  <c r="Q24" i="9"/>
  <c r="Q17" i="9"/>
  <c r="Q14" i="9"/>
  <c r="Q22" i="9"/>
  <c r="Q19" i="9"/>
  <c r="Q21" i="9"/>
  <c r="Q16" i="9"/>
  <c r="Q15" i="9"/>
  <c r="Q20" i="9"/>
  <c r="R13" i="9"/>
  <c r="R10" i="9"/>
  <c r="R33" i="9" s="1"/>
  <c r="R90" i="9" s="1"/>
  <c r="R111" i="9" s="1"/>
  <c r="S9" i="9"/>
  <c r="Q46" i="32"/>
  <c r="Q42" i="9"/>
  <c r="Q141" i="9" s="1"/>
  <c r="R32" i="9"/>
  <c r="O122" i="9"/>
  <c r="P110" i="9"/>
  <c r="O113" i="9"/>
  <c r="S13" i="21"/>
  <c r="S10" i="21"/>
  <c r="S33" i="21" s="1"/>
  <c r="S90" i="21" s="1"/>
  <c r="S111" i="21" s="1"/>
  <c r="T9" i="21"/>
  <c r="S10" i="5"/>
  <c r="T9" i="5"/>
  <c r="S13" i="5"/>
  <c r="S42" i="5"/>
  <c r="S134" i="5" s="1"/>
  <c r="P132" i="5"/>
  <c r="P49" i="5"/>
  <c r="Q110" i="21"/>
  <c r="P114" i="21"/>
  <c r="O38" i="5"/>
  <c r="P133" i="5"/>
  <c r="S32" i="21"/>
  <c r="R42" i="21"/>
  <c r="R142" i="21" s="1"/>
  <c r="R18" i="5"/>
  <c r="R19" i="5"/>
  <c r="R21" i="5"/>
  <c r="R15" i="5"/>
  <c r="R22" i="5"/>
  <c r="R16" i="5"/>
  <c r="R20" i="5"/>
  <c r="R17" i="5"/>
  <c r="R14" i="5"/>
  <c r="Q49" i="21"/>
  <c r="Q140" i="21"/>
  <c r="R141" i="21" s="1"/>
  <c r="Q38" i="21"/>
  <c r="N13" i="33"/>
  <c r="O119" i="21"/>
  <c r="O120" i="21"/>
  <c r="R14" i="21"/>
  <c r="R24" i="21"/>
  <c r="R21" i="21"/>
  <c r="R22" i="21"/>
  <c r="R20" i="21"/>
  <c r="R15" i="21"/>
  <c r="R18" i="21"/>
  <c r="R19" i="21"/>
  <c r="R17" i="21"/>
  <c r="R16" i="21"/>
  <c r="H127" i="24"/>
  <c r="H132" i="24" s="1"/>
  <c r="Q103" i="10"/>
  <c r="Q92" i="10" s="1"/>
  <c r="Q134" i="10"/>
  <c r="Q137" i="10" s="1"/>
  <c r="R128" i="21"/>
  <c r="R130" i="21" s="1"/>
  <c r="R103" i="21"/>
  <c r="R92" i="21" s="1"/>
  <c r="X29" i="12"/>
  <c r="R101" i="10"/>
  <c r="R98" i="10"/>
  <c r="R102" i="10" s="1"/>
  <c r="S89" i="10"/>
  <c r="U32" i="10"/>
  <c r="R116" i="8"/>
  <c r="R99" i="21"/>
  <c r="S97" i="21" s="1"/>
  <c r="W12" i="21"/>
  <c r="X11" i="21" s="1"/>
  <c r="Q99" i="10"/>
  <c r="R97" i="10" s="1"/>
  <c r="S101" i="21"/>
  <c r="T89" i="21"/>
  <c r="S98" i="21"/>
  <c r="S102" i="21" s="1"/>
  <c r="S110" i="8"/>
  <c r="S14" i="8"/>
  <c r="S16" i="8"/>
  <c r="S18" i="8"/>
  <c r="S15" i="8"/>
  <c r="S21" i="8"/>
  <c r="S20" i="8"/>
  <c r="S17" i="8"/>
  <c r="S19" i="8"/>
  <c r="S24" i="8"/>
  <c r="S22" i="8"/>
  <c r="V57" i="8"/>
  <c r="W30" i="8"/>
  <c r="U9" i="8"/>
  <c r="T10" i="8"/>
  <c r="T33" i="8" s="1"/>
  <c r="T90" i="8" s="1"/>
  <c r="T111" i="8" s="1"/>
  <c r="T13" i="8"/>
  <c r="R38" i="8"/>
  <c r="R49" i="8"/>
  <c r="R144" i="8"/>
  <c r="S145" i="8" s="1"/>
  <c r="T32" i="8"/>
  <c r="S42" i="8"/>
  <c r="S146" i="8" s="1"/>
  <c r="V12" i="8"/>
  <c r="W11" i="8" s="1"/>
  <c r="U99" i="9"/>
  <c r="V97" i="9" s="1"/>
  <c r="U103" i="9"/>
  <c r="U92" i="9" s="1"/>
  <c r="U129" i="9"/>
  <c r="U131" i="9" s="1"/>
  <c r="Z30" i="9"/>
  <c r="Y57" i="9"/>
  <c r="W89" i="9"/>
  <c r="V101" i="9"/>
  <c r="V98" i="9"/>
  <c r="V102" i="9" s="1"/>
  <c r="T12" i="9"/>
  <c r="U11" i="9" s="1"/>
  <c r="Q24" i="26"/>
  <c r="Q14" i="26"/>
  <c r="Q22" i="26"/>
  <c r="Q19" i="26"/>
  <c r="Q17" i="26"/>
  <c r="Q15" i="26"/>
  <c r="Q21" i="26"/>
  <c r="Q16" i="26"/>
  <c r="Q18" i="26"/>
  <c r="Q20" i="26"/>
  <c r="T12" i="26"/>
  <c r="U11" i="26" s="1"/>
  <c r="V57" i="26"/>
  <c r="W30" i="26"/>
  <c r="Q42" i="26"/>
  <c r="Q144" i="26" s="1"/>
  <c r="R32" i="26"/>
  <c r="P38" i="26"/>
  <c r="P142" i="26"/>
  <c r="P49" i="26"/>
  <c r="O122" i="26"/>
  <c r="P110" i="26"/>
  <c r="O113" i="26"/>
  <c r="R13" i="26"/>
  <c r="R10" i="26"/>
  <c r="R33" i="26" s="1"/>
  <c r="R90" i="26" s="1"/>
  <c r="R111" i="26" s="1"/>
  <c r="S9" i="26"/>
  <c r="Q89" i="26"/>
  <c r="U99" i="29"/>
  <c r="V97" i="29" s="1"/>
  <c r="W30" i="29"/>
  <c r="V57" i="29"/>
  <c r="U103" i="29"/>
  <c r="U92" i="29" s="1"/>
  <c r="V101" i="29"/>
  <c r="V98" i="29"/>
  <c r="V102" i="29" s="1"/>
  <c r="W89" i="29"/>
  <c r="I63" i="36"/>
  <c r="I63" i="12"/>
  <c r="I34" i="36"/>
  <c r="I34" i="12"/>
  <c r="P147" i="24"/>
  <c r="P150" i="24" s="1"/>
  <c r="P103" i="24"/>
  <c r="P92" i="24" s="1"/>
  <c r="H121" i="26"/>
  <c r="H120" i="26"/>
  <c r="X30" i="24"/>
  <c r="W57" i="24"/>
  <c r="P99" i="24"/>
  <c r="Q97" i="24" s="1"/>
  <c r="R89" i="24"/>
  <c r="Q101" i="24"/>
  <c r="Q98" i="24"/>
  <c r="Q102" i="24" s="1"/>
  <c r="Y132" i="36" l="1"/>
  <c r="X160" i="36"/>
  <c r="I61" i="12"/>
  <c r="H128" i="8"/>
  <c r="M112" i="26"/>
  <c r="L126" i="29"/>
  <c r="L127" i="29"/>
  <c r="L128" i="29"/>
  <c r="M7" i="42"/>
  <c r="AC17" i="37"/>
  <c r="AT20" i="37"/>
  <c r="AT17" i="37"/>
  <c r="AR68" i="37"/>
  <c r="AT21" i="37"/>
  <c r="BB18" i="37"/>
  <c r="X47" i="37"/>
  <c r="J47" i="37"/>
  <c r="AS68" i="37"/>
  <c r="S3" i="41"/>
  <c r="S3" i="42" s="1"/>
  <c r="M8" i="42"/>
  <c r="AU19" i="37" s="1"/>
  <c r="AC19" i="37"/>
  <c r="AZ16" i="37"/>
  <c r="AI16" i="37"/>
  <c r="AC21" i="37"/>
  <c r="L127" i="12"/>
  <c r="L127" i="36"/>
  <c r="I115" i="21"/>
  <c r="J98" i="36"/>
  <c r="J98" i="12"/>
  <c r="I60" i="36"/>
  <c r="I60" i="12"/>
  <c r="H125" i="21"/>
  <c r="J130" i="29"/>
  <c r="L6" i="49"/>
  <c r="G116" i="26"/>
  <c r="G118" i="26" s="1"/>
  <c r="G114" i="26"/>
  <c r="L118" i="36"/>
  <c r="L118" i="12"/>
  <c r="M32" i="36"/>
  <c r="M72" i="36"/>
  <c r="M46" i="36"/>
  <c r="N88" i="36"/>
  <c r="M74" i="36"/>
  <c r="M44" i="36"/>
  <c r="M75" i="36"/>
  <c r="M45" i="36"/>
  <c r="H61" i="12"/>
  <c r="H61" i="36"/>
  <c r="J124" i="32"/>
  <c r="K51" i="12"/>
  <c r="K51" i="36"/>
  <c r="K57" i="36" s="1"/>
  <c r="O191" i="12"/>
  <c r="P134" i="12"/>
  <c r="E86" i="32"/>
  <c r="E87" i="32"/>
  <c r="P32" i="29"/>
  <c r="O42" i="29"/>
  <c r="O158" i="29" s="1"/>
  <c r="O134" i="36"/>
  <c r="N198" i="36"/>
  <c r="N141" i="36"/>
  <c r="N192" i="36"/>
  <c r="M114" i="29"/>
  <c r="M138" i="29" s="1"/>
  <c r="N110" i="29"/>
  <c r="M118" i="29"/>
  <c r="M112" i="29"/>
  <c r="M113" i="29"/>
  <c r="L9" i="33"/>
  <c r="N7" i="33"/>
  <c r="N14" i="33"/>
  <c r="N10" i="33" s="1"/>
  <c r="O3" i="33"/>
  <c r="N30" i="33"/>
  <c r="N46" i="33" s="1"/>
  <c r="N4" i="33"/>
  <c r="P13" i="29"/>
  <c r="P10" i="29"/>
  <c r="Q9" i="29"/>
  <c r="G128" i="8"/>
  <c r="G34" i="8" s="1"/>
  <c r="H67" i="36"/>
  <c r="H67" i="12"/>
  <c r="E53" i="32"/>
  <c r="E54" i="32"/>
  <c r="E65" i="32" s="1"/>
  <c r="K114" i="32"/>
  <c r="K39" i="36"/>
  <c r="K39" i="12"/>
  <c r="O22" i="24"/>
  <c r="O18" i="24"/>
  <c r="O17" i="24"/>
  <c r="O15" i="24"/>
  <c r="O16" i="24"/>
  <c r="O21" i="24"/>
  <c r="O14" i="24"/>
  <c r="O19" i="24"/>
  <c r="O20" i="24"/>
  <c r="F84" i="32"/>
  <c r="F36" i="32"/>
  <c r="F37" i="32" s="1"/>
  <c r="H134" i="32"/>
  <c r="H28" i="32" s="1"/>
  <c r="H136" i="32"/>
  <c r="K67" i="37"/>
  <c r="M124" i="12"/>
  <c r="L122" i="29"/>
  <c r="L120" i="29"/>
  <c r="L121" i="29"/>
  <c r="L137" i="29"/>
  <c r="M124" i="36"/>
  <c r="G105" i="12"/>
  <c r="E41" i="33"/>
  <c r="F136" i="24" s="1"/>
  <c r="E43" i="33"/>
  <c r="F122" i="8" s="1"/>
  <c r="E40" i="33"/>
  <c r="G105" i="36"/>
  <c r="E39" i="33"/>
  <c r="F121" i="10" s="1"/>
  <c r="F123" i="10" s="1"/>
  <c r="E42" i="33"/>
  <c r="M114" i="24"/>
  <c r="M118" i="24"/>
  <c r="M112" i="24"/>
  <c r="M140" i="24"/>
  <c r="M113" i="24"/>
  <c r="N110" i="24"/>
  <c r="M47" i="33"/>
  <c r="N112" i="21" s="1"/>
  <c r="M48" i="33"/>
  <c r="N113" i="8"/>
  <c r="N112" i="9"/>
  <c r="N112" i="8"/>
  <c r="N112" i="26"/>
  <c r="O14" i="29"/>
  <c r="O22" i="29"/>
  <c r="O18" i="29"/>
  <c r="O19" i="29"/>
  <c r="O15" i="29"/>
  <c r="O21" i="29"/>
  <c r="O17" i="29"/>
  <c r="O20" i="29"/>
  <c r="O16" i="29"/>
  <c r="F121" i="26"/>
  <c r="F120" i="26"/>
  <c r="F127" i="24"/>
  <c r="F128" i="24"/>
  <c r="I132" i="29"/>
  <c r="J8" i="43" s="1"/>
  <c r="I135" i="29"/>
  <c r="G34" i="33"/>
  <c r="G27" i="33"/>
  <c r="G33" i="33"/>
  <c r="G32" i="33"/>
  <c r="I104" i="36"/>
  <c r="I104" i="12"/>
  <c r="G35" i="33"/>
  <c r="G36" i="33"/>
  <c r="N7" i="41"/>
  <c r="M49" i="24"/>
  <c r="M38" i="24"/>
  <c r="M158" i="24"/>
  <c r="N159" i="24" s="1"/>
  <c r="F34" i="33"/>
  <c r="F27" i="33"/>
  <c r="H104" i="12"/>
  <c r="H104" i="36"/>
  <c r="F35" i="33"/>
  <c r="F32" i="33"/>
  <c r="F36" i="33"/>
  <c r="F33" i="33"/>
  <c r="N24" i="10"/>
  <c r="K6" i="33"/>
  <c r="I3" i="49"/>
  <c r="G116" i="9"/>
  <c r="G118" i="9" s="1"/>
  <c r="I9" i="43" s="1"/>
  <c r="I9" i="45" s="1"/>
  <c r="I9" i="48" s="1"/>
  <c r="G114" i="9"/>
  <c r="H29" i="32"/>
  <c r="M112" i="10"/>
  <c r="M112" i="21"/>
  <c r="L138" i="29"/>
  <c r="K9" i="33"/>
  <c r="I27" i="32"/>
  <c r="I142" i="32"/>
  <c r="I133" i="32"/>
  <c r="L128" i="12"/>
  <c r="L128" i="36"/>
  <c r="N135" i="36"/>
  <c r="N193" i="36" s="1"/>
  <c r="N30" i="36"/>
  <c r="N89" i="36" s="1"/>
  <c r="N112" i="36" s="1"/>
  <c r="L119" i="12"/>
  <c r="L119" i="36"/>
  <c r="L121" i="36"/>
  <c r="L121" i="12"/>
  <c r="L91" i="12"/>
  <c r="L91" i="36"/>
  <c r="I130" i="5"/>
  <c r="L113" i="32"/>
  <c r="L139" i="24" s="1"/>
  <c r="L128" i="32"/>
  <c r="L130" i="32" s="1"/>
  <c r="M103" i="32"/>
  <c r="L112" i="32"/>
  <c r="L107" i="32"/>
  <c r="K121" i="21" s="1"/>
  <c r="K122" i="21" s="1"/>
  <c r="L111" i="32"/>
  <c r="K127" i="10" s="1"/>
  <c r="K128" i="10" s="1"/>
  <c r="L39" i="36" s="1"/>
  <c r="L109" i="32"/>
  <c r="K123" i="26" s="1"/>
  <c r="L108" i="32"/>
  <c r="K124" i="8" s="1"/>
  <c r="L110" i="32"/>
  <c r="L121" i="5" s="1"/>
  <c r="L122" i="5" s="1"/>
  <c r="L106" i="32"/>
  <c r="L123" i="9" s="1"/>
  <c r="L121" i="21"/>
  <c r="L122" i="21" s="1"/>
  <c r="P12" i="12"/>
  <c r="Q6" i="12"/>
  <c r="P17" i="12"/>
  <c r="P7" i="12"/>
  <c r="P8" i="12"/>
  <c r="P13" i="12"/>
  <c r="P11" i="12"/>
  <c r="Q9" i="24"/>
  <c r="P13" i="24"/>
  <c r="P10" i="24"/>
  <c r="F133" i="21"/>
  <c r="F134" i="21" s="1"/>
  <c r="F34" i="21"/>
  <c r="P42" i="10"/>
  <c r="P149" i="10" s="1"/>
  <c r="P13" i="10"/>
  <c r="P10" i="10"/>
  <c r="P33" i="10" s="1"/>
  <c r="P90" i="10" s="1"/>
  <c r="P111" i="10" s="1"/>
  <c r="Q9" i="10"/>
  <c r="N18" i="12"/>
  <c r="M147" i="10"/>
  <c r="N148" i="10" s="1"/>
  <c r="M38" i="10"/>
  <c r="M49" i="10"/>
  <c r="O95" i="36"/>
  <c r="O95" i="12"/>
  <c r="L126" i="36"/>
  <c r="L126" i="12"/>
  <c r="K130" i="29"/>
  <c r="N75" i="12"/>
  <c r="N72" i="12"/>
  <c r="O88" i="12"/>
  <c r="N32" i="12"/>
  <c r="N44" i="12"/>
  <c r="N46" i="12"/>
  <c r="I4" i="45"/>
  <c r="J4" i="43"/>
  <c r="J4" i="45" s="1"/>
  <c r="J4" i="48" s="1"/>
  <c r="H60" i="36"/>
  <c r="H60" i="12"/>
  <c r="G125" i="21"/>
  <c r="N8" i="41"/>
  <c r="AD19" i="37" s="1"/>
  <c r="M38" i="29"/>
  <c r="M156" i="29"/>
  <c r="N157" i="29" s="1"/>
  <c r="M49" i="29"/>
  <c r="G67" i="36"/>
  <c r="G67" i="12"/>
  <c r="F128" i="8"/>
  <c r="F34" i="8" s="1"/>
  <c r="H3" i="49"/>
  <c r="H3" i="47" s="1"/>
  <c r="F68" i="37" s="1"/>
  <c r="F69" i="37" s="1"/>
  <c r="X68" i="37" s="1"/>
  <c r="F116" i="9"/>
  <c r="F118" i="9" s="1"/>
  <c r="H9" i="43" s="1"/>
  <c r="H9" i="45" s="1"/>
  <c r="H9" i="48" s="1"/>
  <c r="F114" i="9"/>
  <c r="D142" i="8"/>
  <c r="D140" i="8"/>
  <c r="F134" i="29"/>
  <c r="F139" i="29" s="1"/>
  <c r="G6" i="44" s="1"/>
  <c r="G6" i="45" s="1"/>
  <c r="G6" i="48" s="1"/>
  <c r="O92" i="36"/>
  <c r="O92" i="12"/>
  <c r="H22" i="33"/>
  <c r="I36" i="5"/>
  <c r="I47" i="5" s="1"/>
  <c r="K38" i="12"/>
  <c r="K124" i="5"/>
  <c r="K38" i="36"/>
  <c r="O135" i="12"/>
  <c r="O192" i="12" s="1"/>
  <c r="O30" i="12"/>
  <c r="O89" i="12" s="1"/>
  <c r="O112" i="12" s="1"/>
  <c r="G61" i="36"/>
  <c r="G61" i="12"/>
  <c r="O21" i="10"/>
  <c r="O19" i="10"/>
  <c r="O14" i="10"/>
  <c r="O22" i="10"/>
  <c r="O15" i="10"/>
  <c r="O17" i="10"/>
  <c r="O20" i="10"/>
  <c r="O18" i="10"/>
  <c r="O16" i="10"/>
  <c r="N24" i="24"/>
  <c r="M126" i="10"/>
  <c r="M116" i="10"/>
  <c r="M118" i="10" s="1"/>
  <c r="N110" i="10"/>
  <c r="M113" i="10"/>
  <c r="G40" i="32"/>
  <c r="G47" i="32" s="1"/>
  <c r="G33" i="32"/>
  <c r="J100" i="36"/>
  <c r="I115" i="9"/>
  <c r="J100" i="12"/>
  <c r="O8" i="41"/>
  <c r="N38" i="29"/>
  <c r="N156" i="29"/>
  <c r="O157" i="29" s="1"/>
  <c r="N49" i="29"/>
  <c r="L120" i="36"/>
  <c r="L120" i="12"/>
  <c r="AC20" i="37"/>
  <c r="E34" i="10"/>
  <c r="E140" i="10"/>
  <c r="E141" i="10" s="1"/>
  <c r="E35" i="10" s="1"/>
  <c r="E126" i="9"/>
  <c r="M4" i="44"/>
  <c r="K66" i="12"/>
  <c r="K66" i="36"/>
  <c r="J3" i="49"/>
  <c r="H114" i="9"/>
  <c r="H116" i="9"/>
  <c r="H118" i="9" s="1"/>
  <c r="J9" i="43" s="1"/>
  <c r="J9" i="45" s="1"/>
  <c r="J9" i="48" s="1"/>
  <c r="K66" i="37"/>
  <c r="L121" i="24"/>
  <c r="L130" i="24"/>
  <c r="L129" i="24"/>
  <c r="L120" i="24"/>
  <c r="M116" i="36"/>
  <c r="L122" i="24"/>
  <c r="M116" i="12"/>
  <c r="L138" i="24"/>
  <c r="L123" i="24"/>
  <c r="M113" i="12"/>
  <c r="M113" i="36"/>
  <c r="L122" i="10"/>
  <c r="L119" i="10"/>
  <c r="L125" i="10" s="1"/>
  <c r="J125" i="5"/>
  <c r="J34" i="5"/>
  <c r="J128" i="5"/>
  <c r="J35" i="5" s="1"/>
  <c r="I20" i="33"/>
  <c r="J115" i="21"/>
  <c r="K98" i="36"/>
  <c r="K98" i="12"/>
  <c r="J99" i="12"/>
  <c r="I117" i="8"/>
  <c r="J99" i="36"/>
  <c r="O12" i="36"/>
  <c r="O17" i="36"/>
  <c r="O8" i="36"/>
  <c r="O18" i="36"/>
  <c r="O13" i="36"/>
  <c r="O11" i="36"/>
  <c r="P6" i="36"/>
  <c r="O7" i="36"/>
  <c r="O42" i="24"/>
  <c r="O160" i="24" s="1"/>
  <c r="P32" i="24"/>
  <c r="R99" i="10"/>
  <c r="S42" i="32"/>
  <c r="S44" i="32" s="1"/>
  <c r="Q132" i="5"/>
  <c r="Q38" i="5" s="1"/>
  <c r="Q49" i="5"/>
  <c r="V99" i="9"/>
  <c r="W97" i="9" s="1"/>
  <c r="U9" i="32"/>
  <c r="T10" i="32"/>
  <c r="T26" i="32" s="1"/>
  <c r="T83" i="32" s="1"/>
  <c r="T104" i="32" s="1"/>
  <c r="R46" i="32"/>
  <c r="Q38" i="9"/>
  <c r="Q139" i="9"/>
  <c r="R140" i="9" s="1"/>
  <c r="Q49" i="9"/>
  <c r="Q110" i="9"/>
  <c r="P122" i="9"/>
  <c r="P113" i="9"/>
  <c r="S32" i="9"/>
  <c r="R42" i="9"/>
  <c r="R141" i="9" s="1"/>
  <c r="S10" i="9"/>
  <c r="S33" i="9" s="1"/>
  <c r="S90" i="9" s="1"/>
  <c r="S111" i="9" s="1"/>
  <c r="T9" i="9"/>
  <c r="S13" i="9"/>
  <c r="T17" i="32"/>
  <c r="U12" i="32"/>
  <c r="V11" i="32" s="1"/>
  <c r="U15" i="32"/>
  <c r="U14" i="32"/>
  <c r="U13" i="32"/>
  <c r="R16" i="9"/>
  <c r="R21" i="9"/>
  <c r="R24" i="9"/>
  <c r="R19" i="9"/>
  <c r="R18" i="9"/>
  <c r="R17" i="9"/>
  <c r="R15" i="9"/>
  <c r="R22" i="9"/>
  <c r="R20" i="9"/>
  <c r="R14" i="9"/>
  <c r="T42" i="5"/>
  <c r="T134" i="5" s="1"/>
  <c r="T10" i="5"/>
  <c r="U9" i="5"/>
  <c r="T13" i="5"/>
  <c r="R140" i="21"/>
  <c r="S141" i="21" s="1"/>
  <c r="R49" i="21"/>
  <c r="R38" i="21"/>
  <c r="S99" i="21"/>
  <c r="T97" i="21" s="1"/>
  <c r="P38" i="5"/>
  <c r="Q133" i="5"/>
  <c r="T13" i="21"/>
  <c r="T10" i="21"/>
  <c r="T33" i="21" s="1"/>
  <c r="T90" i="21" s="1"/>
  <c r="T111" i="21" s="1"/>
  <c r="U9" i="21"/>
  <c r="T32" i="21"/>
  <c r="S42" i="21"/>
  <c r="S142" i="21" s="1"/>
  <c r="P119" i="21"/>
  <c r="P120" i="21"/>
  <c r="Q99" i="24"/>
  <c r="R97" i="24" s="1"/>
  <c r="S20" i="21"/>
  <c r="S22" i="21"/>
  <c r="S24" i="21"/>
  <c r="S16" i="21"/>
  <c r="S21" i="21"/>
  <c r="S14" i="21"/>
  <c r="S15" i="21"/>
  <c r="S18" i="21"/>
  <c r="S19" i="21"/>
  <c r="S17" i="21"/>
  <c r="R110" i="21"/>
  <c r="Q114" i="21"/>
  <c r="R24" i="5"/>
  <c r="O13" i="33"/>
  <c r="S14" i="5"/>
  <c r="S16" i="5"/>
  <c r="S19" i="5"/>
  <c r="S18" i="5"/>
  <c r="S15" i="5"/>
  <c r="S17" i="5"/>
  <c r="S20" i="5"/>
  <c r="S21" i="5"/>
  <c r="S22" i="5"/>
  <c r="T101" i="21"/>
  <c r="U89" i="21"/>
  <c r="T98" i="21"/>
  <c r="T102" i="21" s="1"/>
  <c r="X12" i="21"/>
  <c r="Y11" i="21" s="1"/>
  <c r="R103" i="10"/>
  <c r="R92" i="10" s="1"/>
  <c r="R134" i="10"/>
  <c r="R137" i="10" s="1"/>
  <c r="Y29" i="12"/>
  <c r="S128" i="21"/>
  <c r="S130" i="21" s="1"/>
  <c r="S103" i="21"/>
  <c r="S92" i="21" s="1"/>
  <c r="S97" i="10"/>
  <c r="S101" i="10"/>
  <c r="S98" i="10"/>
  <c r="S102" i="10" s="1"/>
  <c r="T89" i="10"/>
  <c r="V32" i="10"/>
  <c r="U32" i="8"/>
  <c r="T42" i="8"/>
  <c r="T146" i="8" s="1"/>
  <c r="U10" i="8"/>
  <c r="U33" i="8" s="1"/>
  <c r="U90" i="8" s="1"/>
  <c r="U111" i="8" s="1"/>
  <c r="V9" i="8"/>
  <c r="U13" i="8"/>
  <c r="X30" i="8"/>
  <c r="W57" i="8"/>
  <c r="T110" i="8"/>
  <c r="S49" i="8"/>
  <c r="S144" i="8"/>
  <c r="T145" i="8" s="1"/>
  <c r="S38" i="8"/>
  <c r="T24" i="8"/>
  <c r="T20" i="8"/>
  <c r="T18" i="8"/>
  <c r="T16" i="8"/>
  <c r="T15" i="8"/>
  <c r="T22" i="8"/>
  <c r="T19" i="8"/>
  <c r="T17" i="8"/>
  <c r="T14" i="8"/>
  <c r="T21" i="8"/>
  <c r="S116" i="8"/>
  <c r="I67" i="36"/>
  <c r="I67" i="12"/>
  <c r="W12" i="8"/>
  <c r="X11" i="8" s="1"/>
  <c r="H124" i="26"/>
  <c r="X89" i="9"/>
  <c r="W101" i="9"/>
  <c r="W98" i="9"/>
  <c r="W102" i="9" s="1"/>
  <c r="AA30" i="9"/>
  <c r="Z57" i="9"/>
  <c r="U12" i="9"/>
  <c r="V11" i="9" s="1"/>
  <c r="V129" i="9"/>
  <c r="V131" i="9" s="1"/>
  <c r="V103" i="9"/>
  <c r="V92" i="9" s="1"/>
  <c r="R24" i="26"/>
  <c r="R21" i="26"/>
  <c r="R18" i="26"/>
  <c r="R17" i="26"/>
  <c r="R19" i="26"/>
  <c r="R16" i="26"/>
  <c r="R22" i="26"/>
  <c r="R20" i="26"/>
  <c r="R14" i="26"/>
  <c r="R15" i="26"/>
  <c r="U12" i="26"/>
  <c r="V11" i="26" s="1"/>
  <c r="R89" i="26"/>
  <c r="R42" i="26"/>
  <c r="R144" i="26" s="1"/>
  <c r="S32" i="26"/>
  <c r="Q142" i="26"/>
  <c r="Q38" i="26"/>
  <c r="Q49" i="26"/>
  <c r="S13" i="26"/>
  <c r="T9" i="26"/>
  <c r="S10" i="26"/>
  <c r="S33" i="26" s="1"/>
  <c r="S90" i="26" s="1"/>
  <c r="S111" i="26" s="1"/>
  <c r="P122" i="26"/>
  <c r="Q110" i="26"/>
  <c r="P113" i="26"/>
  <c r="X30" i="26"/>
  <c r="W57" i="26"/>
  <c r="V103" i="29"/>
  <c r="V92" i="29" s="1"/>
  <c r="X30" i="29"/>
  <c r="W57" i="29"/>
  <c r="V99" i="29"/>
  <c r="W97" i="29" s="1"/>
  <c r="W98" i="29"/>
  <c r="W102" i="29" s="1"/>
  <c r="X89" i="29"/>
  <c r="W101" i="29"/>
  <c r="H134" i="24"/>
  <c r="H137" i="24"/>
  <c r="J34" i="12"/>
  <c r="J34" i="36"/>
  <c r="Y30" i="24"/>
  <c r="X57" i="24"/>
  <c r="Q147" i="24"/>
  <c r="Q150" i="24" s="1"/>
  <c r="Q103" i="24"/>
  <c r="Q92" i="24" s="1"/>
  <c r="S89" i="24"/>
  <c r="R101" i="24"/>
  <c r="R98" i="24"/>
  <c r="R102" i="24" s="1"/>
  <c r="H34" i="8"/>
  <c r="Z132" i="36" l="1"/>
  <c r="Y160" i="36"/>
  <c r="AR66" i="37"/>
  <c r="J3" i="47"/>
  <c r="H68" i="37" s="1"/>
  <c r="H69" i="37" s="1"/>
  <c r="Z68" i="37" s="1"/>
  <c r="AQ66" i="37"/>
  <c r="I3" i="47"/>
  <c r="G68" i="37" s="1"/>
  <c r="G69" i="37" s="1"/>
  <c r="Y68" i="37" s="1"/>
  <c r="M126" i="29"/>
  <c r="M127" i="29"/>
  <c r="M128" i="29"/>
  <c r="AU21" i="37"/>
  <c r="N7" i="42"/>
  <c r="AD17" i="37"/>
  <c r="AU20" i="37"/>
  <c r="AU17" i="37"/>
  <c r="I4" i="48"/>
  <c r="Y47" i="37"/>
  <c r="I7" i="43"/>
  <c r="T3" i="41"/>
  <c r="T3" i="42" s="1"/>
  <c r="O8" i="42"/>
  <c r="AW19" i="37" s="1"/>
  <c r="AE19" i="37"/>
  <c r="N8" i="42"/>
  <c r="AP66" i="37"/>
  <c r="AP69" i="37"/>
  <c r="BA16" i="37"/>
  <c r="AJ16" i="37"/>
  <c r="AD21" i="37"/>
  <c r="P19" i="10"/>
  <c r="P18" i="10"/>
  <c r="P15" i="10"/>
  <c r="P17" i="10"/>
  <c r="P20" i="10"/>
  <c r="P21" i="10"/>
  <c r="P16" i="10"/>
  <c r="P22" i="10"/>
  <c r="P14" i="10"/>
  <c r="N140" i="24"/>
  <c r="O110" i="24"/>
  <c r="N114" i="24"/>
  <c r="N118" i="24"/>
  <c r="N112" i="24"/>
  <c r="N113" i="24"/>
  <c r="F131" i="10"/>
  <c r="G33" i="12"/>
  <c r="G33" i="36"/>
  <c r="M127" i="12"/>
  <c r="M127" i="36"/>
  <c r="F87" i="32"/>
  <c r="F86" i="32"/>
  <c r="N48" i="33"/>
  <c r="N47" i="33"/>
  <c r="O112" i="21"/>
  <c r="O112" i="26"/>
  <c r="O112" i="9"/>
  <c r="L67" i="37"/>
  <c r="M137" i="29"/>
  <c r="M120" i="29"/>
  <c r="M121" i="29"/>
  <c r="N124" i="12"/>
  <c r="M122" i="29"/>
  <c r="N124" i="36"/>
  <c r="Q32" i="29"/>
  <c r="P42" i="29"/>
  <c r="P158" i="29" s="1"/>
  <c r="O88" i="36"/>
  <c r="N44" i="36"/>
  <c r="N72" i="36"/>
  <c r="N45" i="36"/>
  <c r="N74" i="36"/>
  <c r="N32" i="36"/>
  <c r="M119" i="10"/>
  <c r="M125" i="10" s="1"/>
  <c r="N113" i="12"/>
  <c r="N113" i="36"/>
  <c r="M122" i="10"/>
  <c r="I69" i="36"/>
  <c r="Q32" i="24"/>
  <c r="P42" i="24"/>
  <c r="P160" i="24" s="1"/>
  <c r="M118" i="12"/>
  <c r="M118" i="36"/>
  <c r="O24" i="10"/>
  <c r="G34" i="21"/>
  <c r="G133" i="21"/>
  <c r="G134" i="21" s="1"/>
  <c r="O74" i="12"/>
  <c r="O46" i="12"/>
  <c r="P88" i="12"/>
  <c r="O32" i="12"/>
  <c r="O44" i="12"/>
  <c r="M109" i="32"/>
  <c r="L123" i="26" s="1"/>
  <c r="M110" i="32"/>
  <c r="M121" i="5" s="1"/>
  <c r="M122" i="5" s="1"/>
  <c r="M111" i="32"/>
  <c r="L127" i="10" s="1"/>
  <c r="L128" i="10" s="1"/>
  <c r="M39" i="36" s="1"/>
  <c r="M128" i="32"/>
  <c r="M130" i="32" s="1"/>
  <c r="N55" i="12" s="1"/>
  <c r="N103" i="32"/>
  <c r="M113" i="32"/>
  <c r="M106" i="32"/>
  <c r="M107" i="32"/>
  <c r="M108" i="32"/>
  <c r="L124" i="8" s="1"/>
  <c r="M112" i="32"/>
  <c r="M127" i="10"/>
  <c r="M128" i="10" s="1"/>
  <c r="N39" i="36" s="1"/>
  <c r="M124" i="8"/>
  <c r="H33" i="32"/>
  <c r="H40" i="32"/>
  <c r="H47" i="32" s="1"/>
  <c r="G39" i="33"/>
  <c r="H121" i="10" s="1"/>
  <c r="H123" i="10" s="1"/>
  <c r="I105" i="36"/>
  <c r="I105" i="12"/>
  <c r="G43" i="33"/>
  <c r="H122" i="8" s="1"/>
  <c r="G42" i="33"/>
  <c r="H134" i="29" s="1"/>
  <c r="H139" i="29" s="1"/>
  <c r="G41" i="33"/>
  <c r="H136" i="24" s="1"/>
  <c r="G40" i="33"/>
  <c r="O24" i="29"/>
  <c r="M126" i="12"/>
  <c r="M126" i="36"/>
  <c r="O7" i="33"/>
  <c r="O4" i="33"/>
  <c r="P3" i="33"/>
  <c r="O14" i="33"/>
  <c r="O10" i="33" s="1"/>
  <c r="O30" i="33"/>
  <c r="O46" i="33" s="1"/>
  <c r="O110" i="29"/>
  <c r="N118" i="29"/>
  <c r="N114" i="29"/>
  <c r="N138" i="29" s="1"/>
  <c r="N113" i="29"/>
  <c r="N112" i="29"/>
  <c r="J132" i="29"/>
  <c r="J135" i="29"/>
  <c r="M4" i="49"/>
  <c r="AU67" i="37" s="1"/>
  <c r="J116" i="21"/>
  <c r="I114" i="9"/>
  <c r="I116" i="9"/>
  <c r="I118" i="9" s="1"/>
  <c r="K9" i="43" s="1"/>
  <c r="K9" i="45" s="1"/>
  <c r="K9" i="48" s="1"/>
  <c r="O7" i="41"/>
  <c r="N49" i="24"/>
  <c r="N38" i="24"/>
  <c r="N158" i="24"/>
  <c r="O159" i="24" s="1"/>
  <c r="K128" i="5"/>
  <c r="K35" i="5" s="1"/>
  <c r="K36" i="5" s="1"/>
  <c r="K47" i="5" s="1"/>
  <c r="K34" i="5"/>
  <c r="K125" i="5"/>
  <c r="F142" i="29"/>
  <c r="P135" i="12"/>
  <c r="P192" i="12" s="1"/>
  <c r="P30" i="12"/>
  <c r="P89" i="12" s="1"/>
  <c r="P112" i="12" s="1"/>
  <c r="K123" i="9"/>
  <c r="L114" i="32"/>
  <c r="M55" i="36"/>
  <c r="M55" i="12"/>
  <c r="I134" i="32"/>
  <c r="I28" i="32" s="1"/>
  <c r="I29" i="32" s="1"/>
  <c r="G121" i="9"/>
  <c r="G120" i="9"/>
  <c r="G124" i="9" s="1"/>
  <c r="AD20" i="37"/>
  <c r="M128" i="36"/>
  <c r="M128" i="12"/>
  <c r="P95" i="36"/>
  <c r="P95" i="12"/>
  <c r="H133" i="21"/>
  <c r="H134" i="21" s="1"/>
  <c r="H34" i="21"/>
  <c r="L4" i="49"/>
  <c r="I116" i="21"/>
  <c r="P13" i="33"/>
  <c r="K99" i="36"/>
  <c r="K99" i="12"/>
  <c r="J117" i="8"/>
  <c r="L38" i="12"/>
  <c r="L124" i="5"/>
  <c r="L38" i="36"/>
  <c r="I3" i="43"/>
  <c r="H62" i="12"/>
  <c r="H62" i="36"/>
  <c r="O24" i="24"/>
  <c r="Q13" i="29"/>
  <c r="R9" i="29"/>
  <c r="Q10" i="29"/>
  <c r="P92" i="36"/>
  <c r="P92" i="12"/>
  <c r="Q134" i="12"/>
  <c r="P191" i="12"/>
  <c r="J130" i="5"/>
  <c r="M121" i="36"/>
  <c r="M121" i="12"/>
  <c r="M119" i="12"/>
  <c r="M119" i="36"/>
  <c r="G36" i="32"/>
  <c r="G84" i="32"/>
  <c r="I22" i="33"/>
  <c r="Q17" i="12"/>
  <c r="Q12" i="12"/>
  <c r="Q8" i="12"/>
  <c r="R6" i="12"/>
  <c r="Q13" i="12"/>
  <c r="Q7" i="12"/>
  <c r="L66" i="37"/>
  <c r="M123" i="24"/>
  <c r="N116" i="36"/>
  <c r="M129" i="24"/>
  <c r="N116" i="12"/>
  <c r="M121" i="24"/>
  <c r="M120" i="24"/>
  <c r="M122" i="24"/>
  <c r="M138" i="24"/>
  <c r="M130" i="24"/>
  <c r="K124" i="32"/>
  <c r="L51" i="12"/>
  <c r="L57" i="12" s="1"/>
  <c r="L51" i="36"/>
  <c r="L57" i="36" s="1"/>
  <c r="I115" i="26"/>
  <c r="K3" i="49" s="1"/>
  <c r="K3" i="47" s="1"/>
  <c r="I68" i="37" s="1"/>
  <c r="I69" i="37" s="1"/>
  <c r="AA68" i="37" s="1"/>
  <c r="J101" i="12"/>
  <c r="J101" i="36"/>
  <c r="F121" i="9"/>
  <c r="F120" i="9"/>
  <c r="F124" i="9" s="1"/>
  <c r="K135" i="29"/>
  <c r="K132" i="29"/>
  <c r="L8" i="43" s="1"/>
  <c r="P15" i="24"/>
  <c r="P18" i="24"/>
  <c r="P17" i="24"/>
  <c r="P19" i="24"/>
  <c r="P16" i="24"/>
  <c r="P20" i="24"/>
  <c r="P14" i="24"/>
  <c r="P21" i="24"/>
  <c r="P22" i="24"/>
  <c r="M94" i="36"/>
  <c r="M94" i="12"/>
  <c r="M91" i="12"/>
  <c r="M91" i="36"/>
  <c r="H105" i="12"/>
  <c r="F43" i="33"/>
  <c r="G122" i="8" s="1"/>
  <c r="F40" i="33"/>
  <c r="F39" i="33"/>
  <c r="G121" i="10" s="1"/>
  <c r="G123" i="10" s="1"/>
  <c r="H105" i="36"/>
  <c r="F42" i="33"/>
  <c r="G134" i="29" s="1"/>
  <c r="G139" i="29" s="1"/>
  <c r="H6" i="44" s="1"/>
  <c r="F41" i="33"/>
  <c r="G136" i="24" s="1"/>
  <c r="P22" i="29"/>
  <c r="P18" i="29"/>
  <c r="P16" i="29"/>
  <c r="P15" i="29"/>
  <c r="P17" i="29"/>
  <c r="P14" i="29"/>
  <c r="P21" i="29"/>
  <c r="P19" i="29"/>
  <c r="P20" i="29"/>
  <c r="N94" i="36"/>
  <c r="N94" i="12"/>
  <c r="H141" i="24"/>
  <c r="E134" i="9"/>
  <c r="E34" i="9"/>
  <c r="L6" i="33"/>
  <c r="P12" i="36"/>
  <c r="P11" i="36"/>
  <c r="P8" i="36"/>
  <c r="P17" i="36"/>
  <c r="P13" i="36"/>
  <c r="P7" i="36"/>
  <c r="Q6" i="36"/>
  <c r="P18" i="36"/>
  <c r="M5" i="49"/>
  <c r="I123" i="8"/>
  <c r="I125" i="8" s="1"/>
  <c r="I118" i="8"/>
  <c r="I120" i="8" s="1"/>
  <c r="K4" i="43" s="1"/>
  <c r="J36" i="5"/>
  <c r="J47" i="5" s="1"/>
  <c r="J3" i="43"/>
  <c r="I62" i="36"/>
  <c r="I62" i="12"/>
  <c r="E45" i="37"/>
  <c r="H3" i="43"/>
  <c r="G62" i="12"/>
  <c r="G62" i="36"/>
  <c r="Q10" i="10"/>
  <c r="Q33" i="10" s="1"/>
  <c r="Q90" i="10" s="1"/>
  <c r="Q111" i="10" s="1"/>
  <c r="R9" i="10"/>
  <c r="Q13" i="10"/>
  <c r="Q42" i="10"/>
  <c r="Q149" i="10" s="1"/>
  <c r="Q13" i="24"/>
  <c r="Q10" i="24"/>
  <c r="R9" i="24"/>
  <c r="O4" i="44"/>
  <c r="M66" i="36"/>
  <c r="N147" i="10"/>
  <c r="O148" i="10" s="1"/>
  <c r="N49" i="10"/>
  <c r="N38" i="10"/>
  <c r="F132" i="24"/>
  <c r="P134" i="36"/>
  <c r="O192" i="36"/>
  <c r="G120" i="26"/>
  <c r="G121" i="26"/>
  <c r="G127" i="24"/>
  <c r="G128" i="24"/>
  <c r="I21" i="33"/>
  <c r="O30" i="36"/>
  <c r="O89" i="36" s="1"/>
  <c r="O112" i="36" s="1"/>
  <c r="O135" i="36"/>
  <c r="O193" i="36" s="1"/>
  <c r="M120" i="12"/>
  <c r="M120" i="36"/>
  <c r="H121" i="9"/>
  <c r="H120" i="9"/>
  <c r="E36" i="10"/>
  <c r="E47" i="10" s="1"/>
  <c r="N126" i="10"/>
  <c r="N116" i="10"/>
  <c r="N118" i="10" s="1"/>
  <c r="O110" i="10"/>
  <c r="N112" i="10"/>
  <c r="N113" i="10"/>
  <c r="N4" i="44"/>
  <c r="L66" i="12"/>
  <c r="L66" i="36"/>
  <c r="F124" i="26"/>
  <c r="F51" i="32"/>
  <c r="F52" i="32" s="1"/>
  <c r="G37" i="32"/>
  <c r="G51" i="32" s="1"/>
  <c r="J133" i="32"/>
  <c r="J142" i="32"/>
  <c r="J27" i="32"/>
  <c r="H63" i="12"/>
  <c r="H63" i="36"/>
  <c r="H26" i="33"/>
  <c r="I69" i="12"/>
  <c r="R133" i="5"/>
  <c r="S24" i="9"/>
  <c r="S18" i="9"/>
  <c r="S20" i="9"/>
  <c r="S22" i="9"/>
  <c r="S17" i="9"/>
  <c r="S16" i="9"/>
  <c r="S21" i="9"/>
  <c r="S14" i="9"/>
  <c r="S19" i="9"/>
  <c r="S15" i="9"/>
  <c r="R110" i="9"/>
  <c r="Q122" i="9"/>
  <c r="Q113" i="9"/>
  <c r="T13" i="9"/>
  <c r="U9" i="9"/>
  <c r="T10" i="9"/>
  <c r="T33" i="9" s="1"/>
  <c r="T90" i="9" s="1"/>
  <c r="T111" i="9" s="1"/>
  <c r="R38" i="9"/>
  <c r="R139" i="9"/>
  <c r="S140" i="9" s="1"/>
  <c r="R49" i="9"/>
  <c r="U17" i="32"/>
  <c r="T32" i="9"/>
  <c r="S42" i="9"/>
  <c r="S141" i="9" s="1"/>
  <c r="S46" i="32"/>
  <c r="V15" i="32"/>
  <c r="V14" i="32"/>
  <c r="V12" i="32"/>
  <c r="W11" i="32" s="1"/>
  <c r="V13" i="32"/>
  <c r="T42" i="32"/>
  <c r="T44" i="32" s="1"/>
  <c r="T138" i="32"/>
  <c r="T31" i="32" s="1"/>
  <c r="U10" i="32"/>
  <c r="U26" i="32" s="1"/>
  <c r="U83" i="32" s="1"/>
  <c r="U104" i="32" s="1"/>
  <c r="V9" i="32"/>
  <c r="S38" i="21"/>
  <c r="S140" i="21"/>
  <c r="T141" i="21" s="1"/>
  <c r="S49" i="21"/>
  <c r="R132" i="5"/>
  <c r="R49" i="5"/>
  <c r="U13" i="21"/>
  <c r="U10" i="21"/>
  <c r="U33" i="21" s="1"/>
  <c r="U90" i="21" s="1"/>
  <c r="U111" i="21" s="1"/>
  <c r="V9" i="21"/>
  <c r="T20" i="5"/>
  <c r="T19" i="5"/>
  <c r="T14" i="5"/>
  <c r="T16" i="5"/>
  <c r="T17" i="5"/>
  <c r="T15" i="5"/>
  <c r="T18" i="5"/>
  <c r="T21" i="5"/>
  <c r="T22" i="5"/>
  <c r="U10" i="5"/>
  <c r="V9" i="5"/>
  <c r="U42" i="5"/>
  <c r="U134" i="5" s="1"/>
  <c r="U13" i="5"/>
  <c r="S24" i="5"/>
  <c r="U32" i="21"/>
  <c r="T42" i="21"/>
  <c r="T142" i="21" s="1"/>
  <c r="T16" i="21"/>
  <c r="T17" i="21"/>
  <c r="T14" i="21"/>
  <c r="T18" i="21"/>
  <c r="T15" i="21"/>
  <c r="T24" i="21"/>
  <c r="T22" i="21"/>
  <c r="T19" i="21"/>
  <c r="T20" i="21"/>
  <c r="T21" i="21"/>
  <c r="Q120" i="21"/>
  <c r="Q119" i="21"/>
  <c r="R114" i="21"/>
  <c r="S110" i="21"/>
  <c r="T99" i="21"/>
  <c r="U97" i="21" s="1"/>
  <c r="S103" i="10"/>
  <c r="S92" i="10" s="1"/>
  <c r="S134" i="10"/>
  <c r="S137" i="10" s="1"/>
  <c r="S99" i="10"/>
  <c r="T97" i="10" s="1"/>
  <c r="T128" i="21"/>
  <c r="T130" i="21" s="1"/>
  <c r="T103" i="21"/>
  <c r="T92" i="21" s="1"/>
  <c r="W32" i="10"/>
  <c r="Y12" i="21"/>
  <c r="Z11" i="21" s="1"/>
  <c r="Z29" i="12"/>
  <c r="U89" i="10"/>
  <c r="T98" i="10"/>
  <c r="T102" i="10" s="1"/>
  <c r="T101" i="10"/>
  <c r="W99" i="9"/>
  <c r="X97" i="9" s="1"/>
  <c r="U101" i="21"/>
  <c r="V89" i="21"/>
  <c r="U98" i="21"/>
  <c r="U102" i="21" s="1"/>
  <c r="T144" i="8"/>
  <c r="U145" i="8" s="1"/>
  <c r="T49" i="8"/>
  <c r="T38" i="8"/>
  <c r="U110" i="8"/>
  <c r="X57" i="8"/>
  <c r="Y30" i="8"/>
  <c r="U22" i="8"/>
  <c r="U19" i="8"/>
  <c r="U24" i="8"/>
  <c r="U21" i="8"/>
  <c r="U17" i="8"/>
  <c r="U14" i="8"/>
  <c r="U18" i="8"/>
  <c r="U16" i="8"/>
  <c r="U20" i="8"/>
  <c r="U15" i="8"/>
  <c r="V10" i="8"/>
  <c r="V33" i="8" s="1"/>
  <c r="V90" i="8" s="1"/>
  <c r="V111" i="8" s="1"/>
  <c r="W9" i="8"/>
  <c r="V13" i="8"/>
  <c r="T116" i="8"/>
  <c r="V32" i="8"/>
  <c r="U42" i="8"/>
  <c r="U146" i="8" s="1"/>
  <c r="X12" i="8"/>
  <c r="Y11" i="8" s="1"/>
  <c r="J67" i="12"/>
  <c r="J67" i="36"/>
  <c r="Y89" i="9"/>
  <c r="X101" i="9"/>
  <c r="X98" i="9"/>
  <c r="X102" i="9" s="1"/>
  <c r="AB30" i="9"/>
  <c r="AA57" i="9"/>
  <c r="V12" i="9"/>
  <c r="W11" i="9" s="1"/>
  <c r="W103" i="9"/>
  <c r="W92" i="9" s="1"/>
  <c r="W129" i="9"/>
  <c r="W131" i="9" s="1"/>
  <c r="T13" i="26"/>
  <c r="T10" i="26"/>
  <c r="T33" i="26" s="1"/>
  <c r="T90" i="26" s="1"/>
  <c r="T111" i="26" s="1"/>
  <c r="U9" i="26"/>
  <c r="Y30" i="26"/>
  <c r="X57" i="26"/>
  <c r="S24" i="26"/>
  <c r="S18" i="26"/>
  <c r="S17" i="26"/>
  <c r="S14" i="26"/>
  <c r="S16" i="26"/>
  <c r="S22" i="26"/>
  <c r="S20" i="26"/>
  <c r="S19" i="26"/>
  <c r="S15" i="26"/>
  <c r="S21" i="26"/>
  <c r="R142" i="26"/>
  <c r="R38" i="26"/>
  <c r="R49" i="26"/>
  <c r="H126" i="26"/>
  <c r="H34" i="26" s="1"/>
  <c r="S89" i="26"/>
  <c r="Q122" i="26"/>
  <c r="R110" i="26"/>
  <c r="Q113" i="26"/>
  <c r="V12" i="26"/>
  <c r="W11" i="26" s="1"/>
  <c r="S42" i="26"/>
  <c r="S144" i="26" s="1"/>
  <c r="T32" i="26"/>
  <c r="W103" i="29"/>
  <c r="W92" i="29" s="1"/>
  <c r="X57" i="29"/>
  <c r="Y30" i="29"/>
  <c r="Y89" i="29"/>
  <c r="X101" i="29"/>
  <c r="X98" i="29"/>
  <c r="X102" i="29" s="1"/>
  <c r="W99" i="29"/>
  <c r="X97" i="29" s="1"/>
  <c r="H144" i="24"/>
  <c r="R99" i="24"/>
  <c r="S97" i="24" s="1"/>
  <c r="I35" i="36"/>
  <c r="I35" i="12"/>
  <c r="R147" i="24"/>
  <c r="R150" i="24" s="1"/>
  <c r="R103" i="24"/>
  <c r="R92" i="24" s="1"/>
  <c r="S101" i="24"/>
  <c r="T89" i="24"/>
  <c r="S98" i="24"/>
  <c r="S102" i="24" s="1"/>
  <c r="Z30" i="24"/>
  <c r="Y57" i="24"/>
  <c r="AA132" i="36" l="1"/>
  <c r="Z160" i="36"/>
  <c r="N126" i="29"/>
  <c r="N127" i="29"/>
  <c r="N128" i="29"/>
  <c r="AE21" i="37"/>
  <c r="AE17" i="37"/>
  <c r="AV20" i="37"/>
  <c r="AV17" i="37"/>
  <c r="H47" i="37"/>
  <c r="AU68" i="37"/>
  <c r="AT67" i="37"/>
  <c r="AT68" i="37"/>
  <c r="Z47" i="37"/>
  <c r="G132" i="24"/>
  <c r="G134" i="24" s="1"/>
  <c r="I7" i="44"/>
  <c r="G46" i="37" s="1"/>
  <c r="AV21" i="37"/>
  <c r="AV19" i="37"/>
  <c r="AS66" i="37"/>
  <c r="AS69" i="37"/>
  <c r="BB16" i="37"/>
  <c r="AE20" i="37"/>
  <c r="O7" i="42"/>
  <c r="AW17" i="37" s="1"/>
  <c r="I40" i="32"/>
  <c r="I47" i="32" s="1"/>
  <c r="E64" i="32" s="1"/>
  <c r="I33" i="32"/>
  <c r="F126" i="26"/>
  <c r="F34" i="26" s="1"/>
  <c r="W45" i="37"/>
  <c r="H3" i="44"/>
  <c r="H3" i="45" s="1"/>
  <c r="G68" i="36"/>
  <c r="F126" i="9"/>
  <c r="G68" i="12"/>
  <c r="G137" i="24"/>
  <c r="G141" i="24" s="1"/>
  <c r="H124" i="9"/>
  <c r="Q14" i="10"/>
  <c r="Q17" i="10"/>
  <c r="Q18" i="10"/>
  <c r="Q20" i="10"/>
  <c r="Q16" i="10"/>
  <c r="Q15" i="10"/>
  <c r="Q21" i="10"/>
  <c r="Q22" i="10"/>
  <c r="Q19" i="10"/>
  <c r="Q12" i="36"/>
  <c r="Q17" i="36"/>
  <c r="Q7" i="36"/>
  <c r="Q13" i="36"/>
  <c r="Q8" i="36"/>
  <c r="Q11" i="36"/>
  <c r="R6" i="36"/>
  <c r="P24" i="29"/>
  <c r="N120" i="36"/>
  <c r="N120" i="12"/>
  <c r="G86" i="32"/>
  <c r="G87" i="32"/>
  <c r="P7" i="41"/>
  <c r="AF17" i="37" s="1"/>
  <c r="O158" i="24"/>
  <c r="P159" i="24" s="1"/>
  <c r="O49" i="24"/>
  <c r="O38" i="24"/>
  <c r="I136" i="32"/>
  <c r="F34" i="29"/>
  <c r="F151" i="29"/>
  <c r="F152" i="29" s="1"/>
  <c r="O48" i="33"/>
  <c r="O47" i="33"/>
  <c r="P112" i="21" s="1"/>
  <c r="P112" i="26"/>
  <c r="P8" i="41"/>
  <c r="O49" i="29"/>
  <c r="O156" i="29"/>
  <c r="P157" i="29" s="1"/>
  <c r="O38" i="29"/>
  <c r="O45" i="36"/>
  <c r="O72" i="36"/>
  <c r="O44" i="36"/>
  <c r="P88" i="36"/>
  <c r="O32" i="36"/>
  <c r="N121" i="12"/>
  <c r="N121" i="36"/>
  <c r="G126" i="9"/>
  <c r="H68" i="36"/>
  <c r="H68" i="12"/>
  <c r="R42" i="10"/>
  <c r="R149" i="10" s="1"/>
  <c r="R13" i="10"/>
  <c r="R10" i="10"/>
  <c r="R33" i="10" s="1"/>
  <c r="R90" i="10" s="1"/>
  <c r="R111" i="10" s="1"/>
  <c r="S9" i="10"/>
  <c r="P30" i="36"/>
  <c r="P89" i="36" s="1"/>
  <c r="P112" i="36" s="1"/>
  <c r="P135" i="36"/>
  <c r="P193" i="36" s="1"/>
  <c r="E135" i="9"/>
  <c r="E35" i="9" s="1"/>
  <c r="E36" i="9" s="1"/>
  <c r="E47" i="9" s="1"/>
  <c r="E137" i="9"/>
  <c r="H33" i="12"/>
  <c r="H33" i="36"/>
  <c r="G131" i="10"/>
  <c r="N118" i="36"/>
  <c r="N118" i="12"/>
  <c r="Q30" i="12"/>
  <c r="Q89" i="12" s="1"/>
  <c r="Q112" i="12" s="1"/>
  <c r="Q135" i="12"/>
  <c r="Q192" i="12" s="1"/>
  <c r="K8" i="43"/>
  <c r="K34" i="12"/>
  <c r="K34" i="36"/>
  <c r="Q95" i="12"/>
  <c r="Q95" i="36"/>
  <c r="H84" i="32"/>
  <c r="H36" i="32"/>
  <c r="H37" i="32" s="1"/>
  <c r="H51" i="32" s="1"/>
  <c r="M114" i="32"/>
  <c r="N6" i="49"/>
  <c r="I114" i="26"/>
  <c r="I116" i="26"/>
  <c r="I118" i="26" s="1"/>
  <c r="N119" i="36"/>
  <c r="N119" i="12"/>
  <c r="R134" i="12"/>
  <c r="Q191" i="12"/>
  <c r="P7" i="33"/>
  <c r="Q3" i="33"/>
  <c r="P4" i="33"/>
  <c r="P14" i="33"/>
  <c r="P10" i="33" s="1"/>
  <c r="P30" i="33"/>
  <c r="P46" i="33" s="1"/>
  <c r="P44" i="12"/>
  <c r="P46" i="12"/>
  <c r="Q88" i="12"/>
  <c r="P32" i="12"/>
  <c r="R32" i="29"/>
  <c r="Q42" i="29"/>
  <c r="Q158" i="29" s="1"/>
  <c r="M66" i="37"/>
  <c r="N138" i="24"/>
  <c r="O116" i="36"/>
  <c r="N123" i="24"/>
  <c r="N130" i="24"/>
  <c r="N129" i="24"/>
  <c r="N121" i="24"/>
  <c r="N122" i="24"/>
  <c r="O116" i="12"/>
  <c r="N120" i="24"/>
  <c r="F137" i="24"/>
  <c r="F141" i="24" s="1"/>
  <c r="F134" i="24"/>
  <c r="J134" i="32"/>
  <c r="J28" i="32" s="1"/>
  <c r="J29" i="32" s="1"/>
  <c r="J136" i="32"/>
  <c r="G124" i="26"/>
  <c r="I3" i="44" s="1"/>
  <c r="G45" i="37" s="1"/>
  <c r="P24" i="24"/>
  <c r="R12" i="12"/>
  <c r="R7" i="12"/>
  <c r="S6" i="12"/>
  <c r="R8" i="12"/>
  <c r="R13" i="12"/>
  <c r="R17" i="12"/>
  <c r="K4" i="45"/>
  <c r="J60" i="12"/>
  <c r="J60" i="36"/>
  <c r="I125" i="21"/>
  <c r="K130" i="5"/>
  <c r="K3" i="43"/>
  <c r="J62" i="36"/>
  <c r="J62" i="12"/>
  <c r="I8" i="44"/>
  <c r="H142" i="29"/>
  <c r="I40" i="36"/>
  <c r="I40" i="12"/>
  <c r="O103" i="32"/>
  <c r="N107" i="32"/>
  <c r="M121" i="21" s="1"/>
  <c r="M122" i="21" s="1"/>
  <c r="N112" i="32"/>
  <c r="N109" i="32"/>
  <c r="M123" i="26" s="1"/>
  <c r="N128" i="32"/>
  <c r="N130" i="32" s="1"/>
  <c r="O55" i="36" s="1"/>
  <c r="N110" i="32"/>
  <c r="N111" i="32"/>
  <c r="N106" i="32"/>
  <c r="N108" i="32"/>
  <c r="N113" i="32"/>
  <c r="M139" i="24" s="1"/>
  <c r="N121" i="21"/>
  <c r="N122" i="21" s="1"/>
  <c r="R32" i="24"/>
  <c r="Q42" i="24"/>
  <c r="Q160" i="24" s="1"/>
  <c r="Q22" i="24"/>
  <c r="Q17" i="24"/>
  <c r="Q18" i="24"/>
  <c r="Q14" i="24"/>
  <c r="Q15" i="24"/>
  <c r="Q16" i="24"/>
  <c r="Q19" i="24"/>
  <c r="Q20" i="24"/>
  <c r="Q21" i="24"/>
  <c r="G52" i="32"/>
  <c r="H52" i="32"/>
  <c r="O126" i="10"/>
  <c r="O116" i="10"/>
  <c r="O118" i="10" s="1"/>
  <c r="P110" i="10"/>
  <c r="O112" i="10"/>
  <c r="O113" i="10"/>
  <c r="S9" i="24"/>
  <c r="R13" i="24"/>
  <c r="R10" i="24"/>
  <c r="J61" i="36"/>
  <c r="J61" i="12"/>
  <c r="L124" i="32"/>
  <c r="M51" i="12"/>
  <c r="M57" i="12" s="1"/>
  <c r="M51" i="36"/>
  <c r="M57" i="36" s="1"/>
  <c r="I121" i="9"/>
  <c r="I120" i="9"/>
  <c r="Q92" i="36"/>
  <c r="Q92" i="12"/>
  <c r="N128" i="12"/>
  <c r="N128" i="36"/>
  <c r="O140" i="24"/>
  <c r="P110" i="24"/>
  <c r="O114" i="24"/>
  <c r="O118" i="24"/>
  <c r="O113" i="24"/>
  <c r="O112" i="24"/>
  <c r="H36" i="33"/>
  <c r="H34" i="33"/>
  <c r="H33" i="33"/>
  <c r="H35" i="33"/>
  <c r="H27" i="33"/>
  <c r="J104" i="12"/>
  <c r="J104" i="36"/>
  <c r="H32" i="33"/>
  <c r="F54" i="32"/>
  <c r="F53" i="32"/>
  <c r="N122" i="10"/>
  <c r="O113" i="12"/>
  <c r="N119" i="10"/>
  <c r="N125" i="10" s="1"/>
  <c r="O113" i="36"/>
  <c r="P192" i="36"/>
  <c r="Q134" i="36"/>
  <c r="I128" i="8"/>
  <c r="I34" i="8" s="1"/>
  <c r="K142" i="32"/>
  <c r="K27" i="32"/>
  <c r="K133" i="32"/>
  <c r="L125" i="5"/>
  <c r="L34" i="5"/>
  <c r="L128" i="5"/>
  <c r="L35" i="5" s="1"/>
  <c r="L36" i="5" s="1"/>
  <c r="L47" i="5" s="1"/>
  <c r="L130" i="5"/>
  <c r="M67" i="37"/>
  <c r="N121" i="29"/>
  <c r="N122" i="29"/>
  <c r="O124" i="12"/>
  <c r="N137" i="29"/>
  <c r="O124" i="36"/>
  <c r="N120" i="29"/>
  <c r="P113" i="8"/>
  <c r="N127" i="36"/>
  <c r="N127" i="12"/>
  <c r="O112" i="29"/>
  <c r="O112" i="8"/>
  <c r="P24" i="10"/>
  <c r="R13" i="29"/>
  <c r="R10" i="29"/>
  <c r="S9" i="29"/>
  <c r="K60" i="36"/>
  <c r="K60" i="12"/>
  <c r="J125" i="21"/>
  <c r="P110" i="29"/>
  <c r="O114" i="29"/>
  <c r="O138" i="29" s="1"/>
  <c r="O118" i="29"/>
  <c r="M38" i="36"/>
  <c r="M124" i="5"/>
  <c r="M38" i="12"/>
  <c r="K100" i="36"/>
  <c r="J115" i="9"/>
  <c r="K100" i="12"/>
  <c r="N91" i="36"/>
  <c r="N91" i="12"/>
  <c r="H8" i="44"/>
  <c r="G142" i="29"/>
  <c r="H40" i="12"/>
  <c r="H40" i="36"/>
  <c r="I26" i="33"/>
  <c r="K101" i="36"/>
  <c r="K101" i="12"/>
  <c r="Q15" i="29"/>
  <c r="Q20" i="29"/>
  <c r="Q21" i="29"/>
  <c r="Q22" i="29"/>
  <c r="Q16" i="29"/>
  <c r="Q18" i="29"/>
  <c r="Q17" i="29"/>
  <c r="Q19" i="29"/>
  <c r="Q14" i="29"/>
  <c r="N5" i="49"/>
  <c r="J123" i="8"/>
  <c r="J125" i="8" s="1"/>
  <c r="J118" i="8"/>
  <c r="J120" i="8" s="1"/>
  <c r="L4" i="43" s="1"/>
  <c r="L4" i="45" s="1"/>
  <c r="L4" i="48" s="1"/>
  <c r="L130" i="29"/>
  <c r="H131" i="10"/>
  <c r="I33" i="36"/>
  <c r="I79" i="36" s="1"/>
  <c r="I33" i="12"/>
  <c r="I79" i="12" s="1"/>
  <c r="O38" i="10"/>
  <c r="O49" i="10"/>
  <c r="O147" i="10"/>
  <c r="P148" i="10" s="1"/>
  <c r="N126" i="36"/>
  <c r="N126" i="12"/>
  <c r="O113" i="29"/>
  <c r="O113" i="8"/>
  <c r="F140" i="10"/>
  <c r="F141" i="10" s="1"/>
  <c r="F35" i="10" s="1"/>
  <c r="F34" i="10"/>
  <c r="N6" i="33"/>
  <c r="H41" i="36"/>
  <c r="H41" i="12"/>
  <c r="I41" i="36"/>
  <c r="G144" i="24"/>
  <c r="G153" i="24" s="1"/>
  <c r="G154" i="24" s="1"/>
  <c r="G156" i="24" s="1"/>
  <c r="X99" i="29"/>
  <c r="Y97" i="29" s="1"/>
  <c r="V17" i="32"/>
  <c r="V138" i="32" s="1"/>
  <c r="V31" i="32" s="1"/>
  <c r="S99" i="24"/>
  <c r="U13" i="9"/>
  <c r="V9" i="9"/>
  <c r="U10" i="9"/>
  <c r="U33" i="9" s="1"/>
  <c r="U90" i="9" s="1"/>
  <c r="U111" i="9" s="1"/>
  <c r="T46" i="32"/>
  <c r="U32" i="9"/>
  <c r="T42" i="9"/>
  <c r="T141" i="9" s="1"/>
  <c r="T21" i="9"/>
  <c r="T19" i="9"/>
  <c r="T20" i="9"/>
  <c r="T18" i="9"/>
  <c r="T17" i="9"/>
  <c r="T15" i="9"/>
  <c r="T14" i="9"/>
  <c r="T22" i="9"/>
  <c r="T24" i="9"/>
  <c r="T16" i="9"/>
  <c r="T99" i="10"/>
  <c r="V10" i="32"/>
  <c r="V26" i="32" s="1"/>
  <c r="V83" i="32" s="1"/>
  <c r="V104" i="32" s="1"/>
  <c r="W9" i="32"/>
  <c r="R122" i="9"/>
  <c r="S110" i="9"/>
  <c r="R113" i="9"/>
  <c r="U138" i="32"/>
  <c r="U31" i="32" s="1"/>
  <c r="U42" i="32"/>
  <c r="U44" i="32" s="1"/>
  <c r="S38" i="9"/>
  <c r="S49" i="9"/>
  <c r="S139" i="9"/>
  <c r="T140" i="9" s="1"/>
  <c r="W12" i="32"/>
  <c r="X11" i="32" s="1"/>
  <c r="W13" i="32"/>
  <c r="W15" i="32"/>
  <c r="W14" i="32"/>
  <c r="V32" i="21"/>
  <c r="U42" i="21"/>
  <c r="U142" i="21" s="1"/>
  <c r="W9" i="5"/>
  <c r="V10" i="5"/>
  <c r="V13" i="5"/>
  <c r="V42" i="5"/>
  <c r="V134" i="5" s="1"/>
  <c r="T49" i="21"/>
  <c r="T38" i="21"/>
  <c r="T140" i="21"/>
  <c r="U141" i="21" s="1"/>
  <c r="S49" i="5"/>
  <c r="S132" i="5"/>
  <c r="S38" i="5" s="1"/>
  <c r="R38" i="5"/>
  <c r="S133" i="5"/>
  <c r="T110" i="21"/>
  <c r="S114" i="21"/>
  <c r="W9" i="21"/>
  <c r="V10" i="21"/>
  <c r="V33" i="21" s="1"/>
  <c r="V90" i="21" s="1"/>
  <c r="V111" i="21" s="1"/>
  <c r="V13" i="21"/>
  <c r="X103" i="29"/>
  <c r="X92" i="29" s="1"/>
  <c r="R119" i="21"/>
  <c r="R120" i="21"/>
  <c r="Q13" i="33"/>
  <c r="U14" i="5"/>
  <c r="U20" i="5"/>
  <c r="U16" i="5"/>
  <c r="U15" i="5"/>
  <c r="U17" i="5"/>
  <c r="U18" i="5"/>
  <c r="U19" i="5"/>
  <c r="U22" i="5"/>
  <c r="U21" i="5"/>
  <c r="U14" i="21"/>
  <c r="U17" i="21"/>
  <c r="U16" i="21"/>
  <c r="U15" i="21"/>
  <c r="U18" i="21"/>
  <c r="U24" i="21"/>
  <c r="U19" i="21"/>
  <c r="U22" i="21"/>
  <c r="U20" i="21"/>
  <c r="U21" i="21"/>
  <c r="T24" i="5"/>
  <c r="T103" i="10"/>
  <c r="T92" i="10" s="1"/>
  <c r="T134" i="10"/>
  <c r="T137" i="10" s="1"/>
  <c r="AA29" i="12"/>
  <c r="U99" i="21"/>
  <c r="V97" i="21" s="1"/>
  <c r="U101" i="10"/>
  <c r="V89" i="10"/>
  <c r="U98" i="10"/>
  <c r="U102" i="10" s="1"/>
  <c r="U97" i="10"/>
  <c r="V101" i="21"/>
  <c r="W89" i="21"/>
  <c r="V98" i="21"/>
  <c r="V102" i="21" s="1"/>
  <c r="Z12" i="21"/>
  <c r="AA11" i="21" s="1"/>
  <c r="X32" i="10"/>
  <c r="U128" i="21"/>
  <c r="U130" i="21" s="1"/>
  <c r="U103" i="21"/>
  <c r="U92" i="21" s="1"/>
  <c r="V24" i="8"/>
  <c r="V19" i="8"/>
  <c r="V16" i="8"/>
  <c r="V21" i="8"/>
  <c r="V15" i="8"/>
  <c r="V14" i="8"/>
  <c r="V20" i="8"/>
  <c r="V22" i="8"/>
  <c r="V17" i="8"/>
  <c r="V18" i="8"/>
  <c r="V110" i="8"/>
  <c r="X9" i="8"/>
  <c r="W10" i="8"/>
  <c r="W33" i="8" s="1"/>
  <c r="W90" i="8" s="1"/>
  <c r="W111" i="8" s="1"/>
  <c r="W13" i="8"/>
  <c r="U38" i="8"/>
  <c r="U49" i="8"/>
  <c r="U144" i="8"/>
  <c r="V145" i="8" s="1"/>
  <c r="V42" i="8"/>
  <c r="V146" i="8" s="1"/>
  <c r="W32" i="8"/>
  <c r="U116" i="8"/>
  <c r="Y57" i="8"/>
  <c r="Z30" i="8"/>
  <c r="Y12" i="8"/>
  <c r="Z11" i="8" s="1"/>
  <c r="AC30" i="9"/>
  <c r="AB57" i="9"/>
  <c r="X99" i="9"/>
  <c r="Y97" i="9" s="1"/>
  <c r="W12" i="9"/>
  <c r="X11" i="9" s="1"/>
  <c r="X103" i="9"/>
  <c r="X92" i="9" s="1"/>
  <c r="X129" i="9"/>
  <c r="X131" i="9" s="1"/>
  <c r="Z89" i="9"/>
  <c r="Y101" i="9"/>
  <c r="Y98" i="9"/>
  <c r="Y102" i="9" s="1"/>
  <c r="T89" i="26"/>
  <c r="S38" i="26"/>
  <c r="S142" i="26"/>
  <c r="S49" i="26"/>
  <c r="R122" i="26"/>
  <c r="S110" i="26"/>
  <c r="R113" i="26"/>
  <c r="Z30" i="26"/>
  <c r="Y57" i="26"/>
  <c r="T42" i="26"/>
  <c r="U32" i="26"/>
  <c r="U13" i="26"/>
  <c r="V9" i="26"/>
  <c r="U10" i="26"/>
  <c r="U33" i="26" s="1"/>
  <c r="U90" i="26" s="1"/>
  <c r="U111" i="26" s="1"/>
  <c r="W12" i="26"/>
  <c r="X11" i="26" s="1"/>
  <c r="T24" i="26"/>
  <c r="T17" i="26"/>
  <c r="T14" i="26"/>
  <c r="T15" i="26"/>
  <c r="T18" i="26"/>
  <c r="T19" i="26"/>
  <c r="T22" i="26"/>
  <c r="T20" i="26"/>
  <c r="T16" i="26"/>
  <c r="T21" i="26"/>
  <c r="Y57" i="29"/>
  <c r="Z30" i="29"/>
  <c r="Z89" i="29"/>
  <c r="Y101" i="29"/>
  <c r="Y98" i="29"/>
  <c r="Y102" i="29" s="1"/>
  <c r="T101" i="24"/>
  <c r="T97" i="24"/>
  <c r="U89" i="24"/>
  <c r="T98" i="24"/>
  <c r="T102" i="24" s="1"/>
  <c r="H34" i="24"/>
  <c r="H153" i="24"/>
  <c r="H154" i="24" s="1"/>
  <c r="Z57" i="24"/>
  <c r="AA30" i="24"/>
  <c r="S147" i="24"/>
  <c r="S150" i="24" s="1"/>
  <c r="S103" i="24"/>
  <c r="S92" i="24" s="1"/>
  <c r="AB132" i="36" l="1"/>
  <c r="AA160" i="36"/>
  <c r="I5" i="44"/>
  <c r="G47" i="37" s="1"/>
  <c r="J5" i="44"/>
  <c r="I5" i="43"/>
  <c r="I5" i="45" s="1"/>
  <c r="I5" i="48" s="1"/>
  <c r="J5" i="43"/>
  <c r="O126" i="29"/>
  <c r="O127" i="29"/>
  <c r="O128" i="29"/>
  <c r="K4" i="48"/>
  <c r="AA47" i="37"/>
  <c r="G7" i="43"/>
  <c r="K6" i="43"/>
  <c r="H7" i="43"/>
  <c r="L6" i="43"/>
  <c r="H35" i="12"/>
  <c r="H79" i="12" s="1"/>
  <c r="H35" i="36"/>
  <c r="P8" i="42"/>
  <c r="AX19" i="37" s="1"/>
  <c r="AF19" i="37"/>
  <c r="I3" i="45"/>
  <c r="I3" i="48" s="1"/>
  <c r="AW20" i="37"/>
  <c r="AW21" i="37"/>
  <c r="F45" i="37"/>
  <c r="F48" i="37"/>
  <c r="AF20" i="37"/>
  <c r="P7" i="42"/>
  <c r="I8" i="45"/>
  <c r="I8" i="48" s="1"/>
  <c r="AF21" i="37"/>
  <c r="J40" i="32"/>
  <c r="J47" i="32" s="1"/>
  <c r="J33" i="32"/>
  <c r="L133" i="32"/>
  <c r="L27" i="32"/>
  <c r="L142" i="32"/>
  <c r="H34" i="29"/>
  <c r="H151" i="29"/>
  <c r="H152" i="29" s="1"/>
  <c r="S12" i="12"/>
  <c r="T6" i="12"/>
  <c r="S17" i="12"/>
  <c r="S13" i="12"/>
  <c r="S7" i="12"/>
  <c r="S8" i="12"/>
  <c r="G7" i="44"/>
  <c r="F144" i="24"/>
  <c r="P91" i="12"/>
  <c r="P91" i="36"/>
  <c r="K61" i="36"/>
  <c r="K61" i="12"/>
  <c r="K134" i="32"/>
  <c r="K28" i="32" s="1"/>
  <c r="K29" i="32" s="1"/>
  <c r="R42" i="24"/>
  <c r="R160" i="24" s="1"/>
  <c r="S32" i="24"/>
  <c r="R30" i="12"/>
  <c r="R89" i="12" s="1"/>
  <c r="R112" i="12" s="1"/>
  <c r="R135" i="12"/>
  <c r="R192" i="12" s="1"/>
  <c r="O118" i="36"/>
  <c r="O118" i="12"/>
  <c r="S134" i="12"/>
  <c r="R191" i="12"/>
  <c r="H87" i="32"/>
  <c r="H86" i="32"/>
  <c r="G34" i="9"/>
  <c r="G134" i="9"/>
  <c r="Q8" i="41"/>
  <c r="P156" i="29"/>
  <c r="Q157" i="29" s="1"/>
  <c r="P49" i="29"/>
  <c r="P38" i="29"/>
  <c r="J128" i="8"/>
  <c r="J34" i="8" s="1"/>
  <c r="K67" i="12"/>
  <c r="K67" i="36"/>
  <c r="G151" i="29"/>
  <c r="G152" i="29" s="1"/>
  <c r="G34" i="29"/>
  <c r="M125" i="5"/>
  <c r="M34" i="5"/>
  <c r="M36" i="5" s="1"/>
  <c r="M47" i="5" s="1"/>
  <c r="M128" i="5"/>
  <c r="M35" i="5" s="1"/>
  <c r="O128" i="36"/>
  <c r="O128" i="12"/>
  <c r="J105" i="12"/>
  <c r="J105" i="36"/>
  <c r="H41" i="33"/>
  <c r="I136" i="24" s="1"/>
  <c r="H40" i="33"/>
  <c r="H43" i="33"/>
  <c r="I122" i="8" s="1"/>
  <c r="H42" i="33"/>
  <c r="I134" i="29" s="1"/>
  <c r="I139" i="29" s="1"/>
  <c r="H39" i="33"/>
  <c r="I121" i="10" s="1"/>
  <c r="I123" i="10" s="1"/>
  <c r="P126" i="10"/>
  <c r="Q110" i="10"/>
  <c r="P116" i="10"/>
  <c r="P118" i="10" s="1"/>
  <c r="P112" i="10"/>
  <c r="P113" i="10"/>
  <c r="P48" i="33"/>
  <c r="P47" i="33"/>
  <c r="Q113" i="8"/>
  <c r="Q112" i="9"/>
  <c r="Q112" i="26"/>
  <c r="S10" i="10"/>
  <c r="S33" i="10" s="1"/>
  <c r="S90" i="10" s="1"/>
  <c r="S111" i="10" s="1"/>
  <c r="S42" i="10"/>
  <c r="S149" i="10" s="1"/>
  <c r="T9" i="10"/>
  <c r="S13" i="10"/>
  <c r="P112" i="9"/>
  <c r="Q24" i="10"/>
  <c r="F36" i="10"/>
  <c r="F47" i="10" s="1"/>
  <c r="H8" i="45"/>
  <c r="H8" i="48" s="1"/>
  <c r="O127" i="36"/>
  <c r="O127" i="12"/>
  <c r="N66" i="37"/>
  <c r="O123" i="24"/>
  <c r="O130" i="24"/>
  <c r="O138" i="24"/>
  <c r="O129" i="24"/>
  <c r="O121" i="24"/>
  <c r="O120" i="24"/>
  <c r="P116" i="36"/>
  <c r="O122" i="24"/>
  <c r="P116" i="12"/>
  <c r="O122" i="10"/>
  <c r="P113" i="36"/>
  <c r="O119" i="10"/>
  <c r="O125" i="10" s="1"/>
  <c r="P113" i="12"/>
  <c r="Q4" i="44"/>
  <c r="O66" i="36"/>
  <c r="Q7" i="41"/>
  <c r="P38" i="24"/>
  <c r="P158" i="24"/>
  <c r="Q159" i="24" s="1"/>
  <c r="P49" i="24"/>
  <c r="O120" i="12"/>
  <c r="O120" i="36"/>
  <c r="R95" i="12"/>
  <c r="R95" i="36"/>
  <c r="G140" i="10"/>
  <c r="G141" i="10" s="1"/>
  <c r="G35" i="10" s="1"/>
  <c r="G34" i="10"/>
  <c r="H136" i="12" s="1"/>
  <c r="P112" i="8"/>
  <c r="R12" i="36"/>
  <c r="R8" i="36"/>
  <c r="R17" i="36"/>
  <c r="R13" i="36"/>
  <c r="R7" i="36"/>
  <c r="S6" i="36"/>
  <c r="R18" i="36"/>
  <c r="J3" i="44"/>
  <c r="H45" i="37" s="1"/>
  <c r="I68" i="12"/>
  <c r="H126" i="9"/>
  <c r="I68" i="36"/>
  <c r="I80" i="36" s="1"/>
  <c r="Q24" i="29"/>
  <c r="N67" i="37"/>
  <c r="O120" i="29"/>
  <c r="P124" i="36"/>
  <c r="O121" i="29"/>
  <c r="P124" i="12"/>
  <c r="O122" i="29"/>
  <c r="O137" i="29"/>
  <c r="S13" i="29"/>
  <c r="T9" i="29"/>
  <c r="S10" i="29"/>
  <c r="I124" i="9"/>
  <c r="AB47" i="37"/>
  <c r="Q24" i="24"/>
  <c r="P4" i="44"/>
  <c r="N66" i="36"/>
  <c r="Y45" i="37"/>
  <c r="G126" i="26"/>
  <c r="G34" i="26" s="1"/>
  <c r="H69" i="12"/>
  <c r="H69" i="36"/>
  <c r="H80" i="36" s="1"/>
  <c r="O119" i="36"/>
  <c r="O119" i="12"/>
  <c r="S32" i="29"/>
  <c r="R42" i="29"/>
  <c r="R158" i="29" s="1"/>
  <c r="J63" i="36"/>
  <c r="J63" i="12"/>
  <c r="R21" i="10"/>
  <c r="R19" i="10"/>
  <c r="R17" i="10"/>
  <c r="R14" i="10"/>
  <c r="R20" i="10"/>
  <c r="R16" i="10"/>
  <c r="R15" i="10"/>
  <c r="R18" i="10"/>
  <c r="R22" i="10"/>
  <c r="I41" i="12"/>
  <c r="I49" i="12" s="1"/>
  <c r="H7" i="44"/>
  <c r="H80" i="12"/>
  <c r="P113" i="24"/>
  <c r="Q110" i="24"/>
  <c r="P112" i="24"/>
  <c r="P140" i="24"/>
  <c r="P114" i="24"/>
  <c r="P118" i="24"/>
  <c r="H53" i="32"/>
  <c r="H54" i="32"/>
  <c r="O111" i="32"/>
  <c r="N127" i="10" s="1"/>
  <c r="N128" i="10" s="1"/>
  <c r="O39" i="36" s="1"/>
  <c r="O128" i="32"/>
  <c r="O130" i="32" s="1"/>
  <c r="P55" i="36" s="1"/>
  <c r="O112" i="32"/>
  <c r="O113" i="32"/>
  <c r="N139" i="24" s="1"/>
  <c r="O106" i="32"/>
  <c r="O107" i="32"/>
  <c r="O108" i="32"/>
  <c r="N124" i="8" s="1"/>
  <c r="P103" i="32"/>
  <c r="O109" i="32"/>
  <c r="N123" i="26" s="1"/>
  <c r="O110" i="32"/>
  <c r="O139" i="24"/>
  <c r="Q7" i="33"/>
  <c r="Q14" i="33"/>
  <c r="Q10" i="33" s="1"/>
  <c r="Q4" i="33"/>
  <c r="R3" i="33"/>
  <c r="Q30" i="33"/>
  <c r="Q46" i="33" s="1"/>
  <c r="I121" i="26"/>
  <c r="I120" i="26"/>
  <c r="I124" i="26" s="1"/>
  <c r="H34" i="10"/>
  <c r="H140" i="10"/>
  <c r="H141" i="10" s="1"/>
  <c r="H35" i="10" s="1"/>
  <c r="H36" i="10" s="1"/>
  <c r="H47" i="10" s="1"/>
  <c r="P118" i="29"/>
  <c r="P114" i="29"/>
  <c r="P138" i="29" s="1"/>
  <c r="Q110" i="29"/>
  <c r="P113" i="29"/>
  <c r="P112" i="29"/>
  <c r="R18" i="29"/>
  <c r="R21" i="29"/>
  <c r="R15" i="29"/>
  <c r="R20" i="29"/>
  <c r="R17" i="29"/>
  <c r="R14" i="29"/>
  <c r="R16" i="29"/>
  <c r="R22" i="29"/>
  <c r="R19" i="29"/>
  <c r="O126" i="12"/>
  <c r="O126" i="36"/>
  <c r="H3" i="48"/>
  <c r="X45" i="37"/>
  <c r="R15" i="24"/>
  <c r="R19" i="24"/>
  <c r="R20" i="24"/>
  <c r="R16" i="24"/>
  <c r="R17" i="24"/>
  <c r="R21" i="24"/>
  <c r="R18" i="24"/>
  <c r="R22" i="24"/>
  <c r="R14" i="24"/>
  <c r="G53" i="32"/>
  <c r="G54" i="32"/>
  <c r="M123" i="9"/>
  <c r="N114" i="32"/>
  <c r="Q32" i="12"/>
  <c r="Q44" i="12"/>
  <c r="R88" i="12"/>
  <c r="R92" i="36"/>
  <c r="R92" i="12"/>
  <c r="P44" i="36"/>
  <c r="P32" i="36"/>
  <c r="P72" i="36"/>
  <c r="Q88" i="36"/>
  <c r="P45" i="36"/>
  <c r="Q112" i="8"/>
  <c r="F154" i="29"/>
  <c r="F35" i="29"/>
  <c r="F36" i="29" s="1"/>
  <c r="F47" i="29" s="1"/>
  <c r="I36" i="32"/>
  <c r="I37" i="32" s="1"/>
  <c r="I51" i="32" s="1"/>
  <c r="I52" i="32" s="1"/>
  <c r="I84" i="32"/>
  <c r="M130" i="29"/>
  <c r="L132" i="29"/>
  <c r="L135" i="29"/>
  <c r="I35" i="33"/>
  <c r="I27" i="33"/>
  <c r="I36" i="33"/>
  <c r="I34" i="33"/>
  <c r="I32" i="33"/>
  <c r="I33" i="33"/>
  <c r="K104" i="12"/>
  <c r="K104" i="36"/>
  <c r="J114" i="9"/>
  <c r="J116" i="9"/>
  <c r="J118" i="9" s="1"/>
  <c r="L9" i="43" s="1"/>
  <c r="L9" i="45" s="1"/>
  <c r="L9" i="48" s="1"/>
  <c r="J133" i="21"/>
  <c r="J134" i="21" s="1"/>
  <c r="J34" i="21"/>
  <c r="Q18" i="36"/>
  <c r="P49" i="10"/>
  <c r="P147" i="10"/>
  <c r="Q148" i="10" s="1"/>
  <c r="P38" i="10"/>
  <c r="R134" i="36"/>
  <c r="Q192" i="36"/>
  <c r="S13" i="24"/>
  <c r="T9" i="24"/>
  <c r="S10" i="24"/>
  <c r="I34" i="21"/>
  <c r="I133" i="21"/>
  <c r="I134" i="21" s="1"/>
  <c r="O121" i="12"/>
  <c r="O121" i="36"/>
  <c r="M124" i="32"/>
  <c r="N51" i="36"/>
  <c r="N51" i="12"/>
  <c r="N57" i="12" s="1"/>
  <c r="Q30" i="36"/>
  <c r="Q89" i="36" s="1"/>
  <c r="Q112" i="36" s="1"/>
  <c r="Q135" i="36"/>
  <c r="Q193" i="36" s="1"/>
  <c r="F134" i="9"/>
  <c r="F34" i="9"/>
  <c r="V42" i="32"/>
  <c r="H49" i="12"/>
  <c r="G35" i="24"/>
  <c r="G34" i="24"/>
  <c r="I49" i="36"/>
  <c r="T133" i="5"/>
  <c r="W17" i="32"/>
  <c r="X12" i="32"/>
  <c r="Y11" i="32" s="1"/>
  <c r="X13" i="32"/>
  <c r="X14" i="32"/>
  <c r="X15" i="32"/>
  <c r="W10" i="32"/>
  <c r="W26" i="32" s="1"/>
  <c r="W83" i="32" s="1"/>
  <c r="W104" i="32" s="1"/>
  <c r="X9" i="32"/>
  <c r="V32" i="9"/>
  <c r="U42" i="9"/>
  <c r="U141" i="9" s="1"/>
  <c r="V44" i="32"/>
  <c r="U46" i="32"/>
  <c r="T110" i="9"/>
  <c r="S122" i="9"/>
  <c r="S113" i="9"/>
  <c r="T49" i="9"/>
  <c r="T38" i="9"/>
  <c r="T139" i="9"/>
  <c r="U140" i="9" s="1"/>
  <c r="V13" i="9"/>
  <c r="V10" i="9"/>
  <c r="V33" i="9" s="1"/>
  <c r="V90" i="9" s="1"/>
  <c r="V111" i="9" s="1"/>
  <c r="W9" i="9"/>
  <c r="U21" i="9"/>
  <c r="U19" i="9"/>
  <c r="U18" i="9"/>
  <c r="U17" i="9"/>
  <c r="U14" i="9"/>
  <c r="U20" i="9"/>
  <c r="U24" i="9"/>
  <c r="U15" i="9"/>
  <c r="U16" i="9"/>
  <c r="U22" i="9"/>
  <c r="S119" i="21"/>
  <c r="S120" i="21"/>
  <c r="R13" i="33"/>
  <c r="U110" i="21"/>
  <c r="T114" i="21"/>
  <c r="X9" i="5"/>
  <c r="W10" i="5"/>
  <c r="W42" i="5"/>
  <c r="W134" i="5" s="1"/>
  <c r="W13" i="5"/>
  <c r="U24" i="5"/>
  <c r="T132" i="5"/>
  <c r="T49" i="5"/>
  <c r="W32" i="21"/>
  <c r="V42" i="21"/>
  <c r="V142" i="21" s="1"/>
  <c r="U140" i="21"/>
  <c r="V141" i="21" s="1"/>
  <c r="U49" i="21"/>
  <c r="U38" i="21"/>
  <c r="V17" i="21"/>
  <c r="V14" i="21"/>
  <c r="V19" i="21"/>
  <c r="V21" i="21"/>
  <c r="V20" i="21"/>
  <c r="V18" i="21"/>
  <c r="V24" i="21"/>
  <c r="V16" i="21"/>
  <c r="V22" i="21"/>
  <c r="V15" i="21"/>
  <c r="V99" i="21"/>
  <c r="W97" i="21" s="1"/>
  <c r="W13" i="21"/>
  <c r="W10" i="21"/>
  <c r="W33" i="21" s="1"/>
  <c r="W90" i="21" s="1"/>
  <c r="W111" i="21" s="1"/>
  <c r="X9" i="21"/>
  <c r="V18" i="5"/>
  <c r="V19" i="5"/>
  <c r="V16" i="5"/>
  <c r="V14" i="5"/>
  <c r="V21" i="5"/>
  <c r="V20" i="5"/>
  <c r="V15" i="5"/>
  <c r="V17" i="5"/>
  <c r="V22" i="5"/>
  <c r="V101" i="10"/>
  <c r="V98" i="10"/>
  <c r="V102" i="10" s="1"/>
  <c r="W89" i="10"/>
  <c r="Y32" i="10"/>
  <c r="W101" i="21"/>
  <c r="X89" i="21"/>
  <c r="W98" i="21"/>
  <c r="W102" i="21" s="1"/>
  <c r="U103" i="10"/>
  <c r="U92" i="10" s="1"/>
  <c r="U134" i="10"/>
  <c r="U137" i="10" s="1"/>
  <c r="AA12" i="21"/>
  <c r="AB11" i="21" s="1"/>
  <c r="V128" i="21"/>
  <c r="V130" i="21" s="1"/>
  <c r="V103" i="21"/>
  <c r="V92" i="21" s="1"/>
  <c r="AB29" i="12"/>
  <c r="U99" i="10"/>
  <c r="V97" i="10" s="1"/>
  <c r="Y9" i="8"/>
  <c r="X10" i="8"/>
  <c r="X33" i="8" s="1"/>
  <c r="X90" i="8" s="1"/>
  <c r="X111" i="8" s="1"/>
  <c r="X13" i="8"/>
  <c r="X32" i="8"/>
  <c r="W42" i="8"/>
  <c r="W146" i="8" s="1"/>
  <c r="W110" i="8"/>
  <c r="V116" i="8"/>
  <c r="Z57" i="8"/>
  <c r="AA30" i="8"/>
  <c r="W19" i="8"/>
  <c r="W14" i="8"/>
  <c r="W21" i="8"/>
  <c r="W17" i="8"/>
  <c r="W20" i="8"/>
  <c r="W22" i="8"/>
  <c r="W24" i="8"/>
  <c r="W18" i="8"/>
  <c r="W15" i="8"/>
  <c r="W16" i="8"/>
  <c r="V144" i="8"/>
  <c r="W145" i="8" s="1"/>
  <c r="V38" i="8"/>
  <c r="V49" i="8"/>
  <c r="Z12" i="8"/>
  <c r="AA11" i="8" s="1"/>
  <c r="AD30" i="9"/>
  <c r="AC57" i="9"/>
  <c r="X12" i="9"/>
  <c r="Y11" i="9" s="1"/>
  <c r="Y99" i="9"/>
  <c r="Z97" i="9" s="1"/>
  <c r="Y129" i="9"/>
  <c r="Y131" i="9" s="1"/>
  <c r="Y103" i="9"/>
  <c r="Y92" i="9" s="1"/>
  <c r="Z101" i="9"/>
  <c r="Z98" i="9"/>
  <c r="Z102" i="9" s="1"/>
  <c r="AA89" i="9"/>
  <c r="U42" i="26"/>
  <c r="U144" i="26" s="1"/>
  <c r="V32" i="26"/>
  <c r="T142" i="26"/>
  <c r="T38" i="26"/>
  <c r="T49" i="26"/>
  <c r="X12" i="26"/>
  <c r="Y11" i="26" s="1"/>
  <c r="Z57" i="26"/>
  <c r="AA30" i="26"/>
  <c r="V13" i="26"/>
  <c r="W9" i="26"/>
  <c r="V10" i="26"/>
  <c r="V33" i="26" s="1"/>
  <c r="V90" i="26" s="1"/>
  <c r="V111" i="26" s="1"/>
  <c r="S122" i="26"/>
  <c r="T110" i="26"/>
  <c r="T113" i="26" s="1"/>
  <c r="S113" i="26"/>
  <c r="U24" i="26"/>
  <c r="U20" i="26"/>
  <c r="U21" i="26"/>
  <c r="U19" i="26"/>
  <c r="U15" i="26"/>
  <c r="U16" i="26"/>
  <c r="U14" i="26"/>
  <c r="U17" i="26"/>
  <c r="U22" i="26"/>
  <c r="U18" i="26"/>
  <c r="U89" i="26"/>
  <c r="Y103" i="29"/>
  <c r="Y92" i="29" s="1"/>
  <c r="AA30" i="29"/>
  <c r="Z57" i="29"/>
  <c r="AA89" i="29"/>
  <c r="Z101" i="29"/>
  <c r="Z98" i="29"/>
  <c r="Z102" i="29" s="1"/>
  <c r="Y99" i="29"/>
  <c r="Z97" i="29" s="1"/>
  <c r="H35" i="24"/>
  <c r="H36" i="24" s="1"/>
  <c r="H156" i="24"/>
  <c r="AA57" i="24"/>
  <c r="AB30" i="24"/>
  <c r="T99" i="24"/>
  <c r="U97" i="24" s="1"/>
  <c r="U101" i="24"/>
  <c r="V89" i="24"/>
  <c r="U98" i="24"/>
  <c r="U102" i="24" s="1"/>
  <c r="T147" i="24"/>
  <c r="T150" i="24" s="1"/>
  <c r="T103" i="24"/>
  <c r="T92" i="24" s="1"/>
  <c r="AB160" i="36" l="1"/>
  <c r="AC132" i="36"/>
  <c r="J5" i="45"/>
  <c r="J5" i="48" s="1"/>
  <c r="P126" i="29"/>
  <c r="P127" i="29"/>
  <c r="P128" i="29"/>
  <c r="M8" i="43"/>
  <c r="M6" i="43"/>
  <c r="Q7" i="42"/>
  <c r="AG17" i="37"/>
  <c r="AX20" i="37"/>
  <c r="AX17" i="37"/>
  <c r="F50" i="37"/>
  <c r="F46" i="37"/>
  <c r="G7" i="45"/>
  <c r="G7" i="48" s="1"/>
  <c r="E46" i="37"/>
  <c r="F47" i="37"/>
  <c r="G36" i="10"/>
  <c r="G47" i="10" s="1"/>
  <c r="H79" i="36"/>
  <c r="H49" i="36"/>
  <c r="Q8" i="42"/>
  <c r="AY19" i="37" s="1"/>
  <c r="AG19" i="37"/>
  <c r="AX21" i="37"/>
  <c r="AT66" i="37"/>
  <c r="AG21" i="37"/>
  <c r="K40" i="32"/>
  <c r="K47" i="32" s="1"/>
  <c r="K33" i="32"/>
  <c r="S92" i="36"/>
  <c r="S92" i="12"/>
  <c r="O66" i="37"/>
  <c r="P130" i="24"/>
  <c r="P123" i="24"/>
  <c r="P138" i="24"/>
  <c r="P121" i="24"/>
  <c r="Q116" i="36"/>
  <c r="P120" i="24"/>
  <c r="P129" i="24"/>
  <c r="P122" i="24"/>
  <c r="Q116" i="12"/>
  <c r="S19" i="29"/>
  <c r="S21" i="29"/>
  <c r="S20" i="29"/>
  <c r="S15" i="29"/>
  <c r="S17" i="29"/>
  <c r="S16" i="29"/>
  <c r="S18" i="29"/>
  <c r="S22" i="29"/>
  <c r="S14" i="29"/>
  <c r="R8" i="41"/>
  <c r="Q156" i="29"/>
  <c r="R157" i="29" s="1"/>
  <c r="Q49" i="29"/>
  <c r="Q38" i="29"/>
  <c r="T6" i="36"/>
  <c r="S8" i="36"/>
  <c r="S7" i="36"/>
  <c r="S17" i="36"/>
  <c r="S13" i="36"/>
  <c r="S12" i="36"/>
  <c r="AG20" i="37"/>
  <c r="J8" i="44"/>
  <c r="I142" i="29"/>
  <c r="J40" i="36"/>
  <c r="J40" i="12"/>
  <c r="G135" i="9"/>
  <c r="G35" i="9" s="1"/>
  <c r="G36" i="9" s="1"/>
  <c r="G47" i="9" s="1"/>
  <c r="O6" i="33"/>
  <c r="R24" i="24"/>
  <c r="I126" i="26"/>
  <c r="I34" i="26" s="1"/>
  <c r="J69" i="36"/>
  <c r="J69" i="12"/>
  <c r="N123" i="9"/>
  <c r="O114" i="32"/>
  <c r="O124" i="32" s="1"/>
  <c r="R30" i="36"/>
  <c r="R89" i="36" s="1"/>
  <c r="R112" i="36" s="1"/>
  <c r="R135" i="36"/>
  <c r="R193" i="36" s="1"/>
  <c r="T12" i="12"/>
  <c r="T17" i="12"/>
  <c r="T7" i="12"/>
  <c r="U6" i="12"/>
  <c r="T8" i="12"/>
  <c r="T13" i="12"/>
  <c r="S88" i="12"/>
  <c r="R32" i="12"/>
  <c r="R44" i="12"/>
  <c r="R24" i="29"/>
  <c r="R110" i="29"/>
  <c r="Q114" i="29"/>
  <c r="Q138" i="29" s="1"/>
  <c r="Q118" i="29"/>
  <c r="Q112" i="29"/>
  <c r="Q113" i="29"/>
  <c r="O124" i="8"/>
  <c r="R7" i="41"/>
  <c r="Q38" i="24"/>
  <c r="Q158" i="24"/>
  <c r="R159" i="24" s="1"/>
  <c r="Q49" i="24"/>
  <c r="P128" i="36"/>
  <c r="P128" i="12"/>
  <c r="P121" i="36"/>
  <c r="P121" i="12"/>
  <c r="M130" i="5"/>
  <c r="T32" i="24"/>
  <c r="S42" i="24"/>
  <c r="S160" i="24" s="1"/>
  <c r="J84" i="32"/>
  <c r="J36" i="32"/>
  <c r="J37" i="32" s="1"/>
  <c r="J51" i="32" s="1"/>
  <c r="M142" i="32"/>
  <c r="M133" i="32"/>
  <c r="M27" i="32"/>
  <c r="M135" i="29"/>
  <c r="M132" i="29"/>
  <c r="N8" i="43" s="1"/>
  <c r="Q44" i="36"/>
  <c r="Q72" i="36"/>
  <c r="Q45" i="36"/>
  <c r="R88" i="36"/>
  <c r="Q32" i="36"/>
  <c r="H34" i="9"/>
  <c r="I136" i="12" s="1"/>
  <c r="H134" i="9"/>
  <c r="P120" i="36"/>
  <c r="P120" i="12"/>
  <c r="R18" i="12"/>
  <c r="Q147" i="10"/>
  <c r="R148" i="10" s="1"/>
  <c r="Q38" i="10"/>
  <c r="Q49" i="10"/>
  <c r="F34" i="24"/>
  <c r="F153" i="24"/>
  <c r="F154" i="24" s="1"/>
  <c r="H35" i="29"/>
  <c r="H36" i="29" s="1"/>
  <c r="H47" i="29" s="1"/>
  <c r="H154" i="29"/>
  <c r="U9" i="24"/>
  <c r="T10" i="24"/>
  <c r="T13" i="24"/>
  <c r="I87" i="32"/>
  <c r="I86" i="32"/>
  <c r="O67" i="37"/>
  <c r="P120" i="29"/>
  <c r="P121" i="29"/>
  <c r="Q124" i="36"/>
  <c r="Q124" i="12"/>
  <c r="P137" i="29"/>
  <c r="P122" i="29"/>
  <c r="Q48" i="33"/>
  <c r="R113" i="8" s="1"/>
  <c r="Q47" i="33"/>
  <c r="R112" i="21" s="1"/>
  <c r="Q114" i="24"/>
  <c r="Q112" i="24"/>
  <c r="Q113" i="24"/>
  <c r="R110" i="24"/>
  <c r="Q140" i="24"/>
  <c r="Q118" i="24"/>
  <c r="P127" i="12"/>
  <c r="P127" i="36"/>
  <c r="I80" i="12"/>
  <c r="Q113" i="12"/>
  <c r="P122" i="10"/>
  <c r="Q113" i="36"/>
  <c r="P119" i="10"/>
  <c r="P125" i="10" s="1"/>
  <c r="K136" i="32"/>
  <c r="S18" i="24"/>
  <c r="S15" i="24"/>
  <c r="S21" i="24"/>
  <c r="S16" i="24"/>
  <c r="S22" i="24"/>
  <c r="S17" i="24"/>
  <c r="S14" i="24"/>
  <c r="S19" i="24"/>
  <c r="S20" i="24"/>
  <c r="N124" i="32"/>
  <c r="O51" i="12"/>
  <c r="R7" i="33"/>
  <c r="S3" i="33"/>
  <c r="R4" i="33"/>
  <c r="R30" i="33"/>
  <c r="R46" i="33" s="1"/>
  <c r="R14" i="33"/>
  <c r="R10" i="33" s="1"/>
  <c r="S16" i="10"/>
  <c r="S21" i="10"/>
  <c r="S14" i="10"/>
  <c r="S20" i="10"/>
  <c r="S15" i="10"/>
  <c r="S18" i="10"/>
  <c r="S19" i="10"/>
  <c r="S22" i="10"/>
  <c r="S17" i="10"/>
  <c r="R110" i="10"/>
  <c r="Q126" i="10"/>
  <c r="Q116" i="10"/>
  <c r="Q118" i="10" s="1"/>
  <c r="Q113" i="10"/>
  <c r="T134" i="12"/>
  <c r="S191" i="12"/>
  <c r="F135" i="9"/>
  <c r="F35" i="9" s="1"/>
  <c r="F36" i="9" s="1"/>
  <c r="F47" i="9" s="1"/>
  <c r="K62" i="36"/>
  <c r="K62" i="12"/>
  <c r="N130" i="29"/>
  <c r="Q103" i="32"/>
  <c r="P106" i="32"/>
  <c r="P111" i="32"/>
  <c r="O127" i="10" s="1"/>
  <c r="O128" i="10" s="1"/>
  <c r="P39" i="36" s="1"/>
  <c r="P108" i="32"/>
  <c r="P113" i="32"/>
  <c r="P128" i="32"/>
  <c r="P130" i="32" s="1"/>
  <c r="Q55" i="12" s="1"/>
  <c r="P109" i="32"/>
  <c r="O123" i="26" s="1"/>
  <c r="P107" i="32"/>
  <c r="O121" i="21" s="1"/>
  <c r="O122" i="21" s="1"/>
  <c r="P110" i="32"/>
  <c r="P112" i="32"/>
  <c r="R24" i="10"/>
  <c r="T32" i="29"/>
  <c r="S42" i="29"/>
  <c r="S158" i="29" s="1"/>
  <c r="O130" i="29"/>
  <c r="P126" i="12"/>
  <c r="P126" i="36"/>
  <c r="J3" i="45"/>
  <c r="P119" i="36"/>
  <c r="P119" i="12"/>
  <c r="T42" i="10"/>
  <c r="T149" i="10" s="1"/>
  <c r="T10" i="10"/>
  <c r="T33" i="10" s="1"/>
  <c r="T90" i="10" s="1"/>
  <c r="T111" i="10" s="1"/>
  <c r="T13" i="10"/>
  <c r="U9" i="10"/>
  <c r="Q112" i="10"/>
  <c r="S135" i="12"/>
  <c r="S192" i="12" s="1"/>
  <c r="S30" i="12"/>
  <c r="S89" i="12" s="1"/>
  <c r="S112" i="12" s="1"/>
  <c r="I53" i="32"/>
  <c r="I54" i="32"/>
  <c r="K3" i="44"/>
  <c r="I126" i="9"/>
  <c r="J68" i="12"/>
  <c r="J68" i="36"/>
  <c r="P118" i="36"/>
  <c r="P118" i="12"/>
  <c r="S13" i="33"/>
  <c r="R192" i="36"/>
  <c r="S134" i="36"/>
  <c r="J120" i="9"/>
  <c r="J121" i="9"/>
  <c r="I43" i="33"/>
  <c r="J122" i="8" s="1"/>
  <c r="I40" i="33"/>
  <c r="K105" i="12"/>
  <c r="K105" i="36"/>
  <c r="I41" i="33"/>
  <c r="J136" i="24" s="1"/>
  <c r="I39" i="33"/>
  <c r="J121" i="10" s="1"/>
  <c r="J123" i="10" s="1"/>
  <c r="I42" i="33"/>
  <c r="J134" i="29" s="1"/>
  <c r="J139" i="29" s="1"/>
  <c r="K6" i="44" s="1"/>
  <c r="K6" i="45" s="1"/>
  <c r="K6" i="48" s="1"/>
  <c r="S95" i="36"/>
  <c r="S95" i="12"/>
  <c r="H7" i="45"/>
  <c r="T13" i="29"/>
  <c r="U9" i="29"/>
  <c r="T10" i="29"/>
  <c r="J33" i="12"/>
  <c r="J33" i="36"/>
  <c r="I131" i="10"/>
  <c r="G154" i="29"/>
  <c r="G35" i="29"/>
  <c r="G36" i="29" s="1"/>
  <c r="G47" i="29" s="1"/>
  <c r="L134" i="32"/>
  <c r="L28" i="32" s="1"/>
  <c r="L29" i="32" s="1"/>
  <c r="L136" i="32"/>
  <c r="Q112" i="21"/>
  <c r="G36" i="24"/>
  <c r="G47" i="24" s="1"/>
  <c r="V99" i="10"/>
  <c r="X17" i="32"/>
  <c r="X138" i="32" s="1"/>
  <c r="X31" i="32" s="1"/>
  <c r="Y9" i="32"/>
  <c r="X10" i="32"/>
  <c r="X26" i="32" s="1"/>
  <c r="X83" i="32" s="1"/>
  <c r="X104" i="32" s="1"/>
  <c r="Y15" i="32"/>
  <c r="Y12" i="32"/>
  <c r="Z11" i="32" s="1"/>
  <c r="Y13" i="32"/>
  <c r="Y14" i="32"/>
  <c r="X9" i="9"/>
  <c r="W13" i="9"/>
  <c r="W10" i="9"/>
  <c r="W33" i="9" s="1"/>
  <c r="W90" i="9" s="1"/>
  <c r="W111" i="9" s="1"/>
  <c r="V14" i="9"/>
  <c r="V20" i="9"/>
  <c r="V19" i="9"/>
  <c r="V17" i="9"/>
  <c r="V16" i="9"/>
  <c r="V15" i="9"/>
  <c r="V24" i="9"/>
  <c r="V21" i="9"/>
  <c r="V22" i="9"/>
  <c r="V18" i="9"/>
  <c r="V46" i="32"/>
  <c r="U139" i="9"/>
  <c r="V140" i="9" s="1"/>
  <c r="U38" i="9"/>
  <c r="U49" i="9"/>
  <c r="T122" i="9"/>
  <c r="U110" i="9"/>
  <c r="T113" i="9"/>
  <c r="W32" i="9"/>
  <c r="V42" i="9"/>
  <c r="V141" i="9" s="1"/>
  <c r="X42" i="32"/>
  <c r="W138" i="32"/>
  <c r="W31" i="32" s="1"/>
  <c r="W42" i="32"/>
  <c r="W44" i="32" s="1"/>
  <c r="V110" i="21"/>
  <c r="U114" i="21"/>
  <c r="V140" i="21"/>
  <c r="W141" i="21" s="1"/>
  <c r="V38" i="21"/>
  <c r="V49" i="21"/>
  <c r="Y9" i="5"/>
  <c r="X13" i="5"/>
  <c r="X42" i="5"/>
  <c r="X134" i="5" s="1"/>
  <c r="X10" i="5"/>
  <c r="X32" i="21"/>
  <c r="W42" i="21"/>
  <c r="W142" i="21" s="1"/>
  <c r="Y9" i="21"/>
  <c r="X10" i="21"/>
  <c r="X33" i="21" s="1"/>
  <c r="X90" i="21" s="1"/>
  <c r="X111" i="21" s="1"/>
  <c r="X13" i="21"/>
  <c r="T38" i="5"/>
  <c r="U133" i="5"/>
  <c r="U49" i="5"/>
  <c r="U132" i="5"/>
  <c r="U38" i="5" s="1"/>
  <c r="W21" i="21"/>
  <c r="W18" i="21"/>
  <c r="W24" i="21"/>
  <c r="W20" i="21"/>
  <c r="W14" i="21"/>
  <c r="W16" i="21"/>
  <c r="W22" i="21"/>
  <c r="W15" i="21"/>
  <c r="W17" i="21"/>
  <c r="W19" i="21"/>
  <c r="W20" i="5"/>
  <c r="W14" i="5"/>
  <c r="W22" i="5"/>
  <c r="W18" i="5"/>
  <c r="W17" i="5"/>
  <c r="W16" i="5"/>
  <c r="W15" i="5"/>
  <c r="W21" i="5"/>
  <c r="W19" i="5"/>
  <c r="V24" i="5"/>
  <c r="T120" i="21"/>
  <c r="T119" i="21"/>
  <c r="W128" i="21"/>
  <c r="W130" i="21" s="1"/>
  <c r="W103" i="21"/>
  <c r="W92" i="21" s="1"/>
  <c r="V103" i="10"/>
  <c r="V92" i="10" s="1"/>
  <c r="V134" i="10"/>
  <c r="V137" i="10" s="1"/>
  <c r="Z99" i="9"/>
  <c r="AA97" i="9" s="1"/>
  <c r="AC29" i="12"/>
  <c r="Z99" i="29"/>
  <c r="AA97" i="29" s="1"/>
  <c r="AB12" i="21"/>
  <c r="AC11" i="21" s="1"/>
  <c r="X101" i="21"/>
  <c r="X98" i="21"/>
  <c r="X102" i="21" s="1"/>
  <c r="Y89" i="21"/>
  <c r="W101" i="10"/>
  <c r="X89" i="10"/>
  <c r="W97" i="10"/>
  <c r="W98" i="10"/>
  <c r="W102" i="10" s="1"/>
  <c r="W99" i="21"/>
  <c r="X97" i="21" s="1"/>
  <c r="Z32" i="10"/>
  <c r="X110" i="8"/>
  <c r="X116" i="8" s="1"/>
  <c r="W116" i="8"/>
  <c r="W144" i="8"/>
  <c r="X145" i="8" s="1"/>
  <c r="W49" i="8"/>
  <c r="W38" i="8"/>
  <c r="AA57" i="8"/>
  <c r="AB30" i="8"/>
  <c r="Y32" i="8"/>
  <c r="X42" i="8"/>
  <c r="X146" i="8" s="1"/>
  <c r="X21" i="8"/>
  <c r="X24" i="8"/>
  <c r="X17" i="8"/>
  <c r="X16" i="8"/>
  <c r="X18" i="8"/>
  <c r="X20" i="8"/>
  <c r="X19" i="8"/>
  <c r="X22" i="8"/>
  <c r="X14" i="8"/>
  <c r="X15" i="8"/>
  <c r="Y10" i="8"/>
  <c r="Y33" i="8" s="1"/>
  <c r="Y90" i="8" s="1"/>
  <c r="Y111" i="8" s="1"/>
  <c r="Z9" i="8"/>
  <c r="Y13" i="8"/>
  <c r="AA12" i="8"/>
  <c r="AB11" i="8" s="1"/>
  <c r="Z103" i="9"/>
  <c r="Z92" i="9" s="1"/>
  <c r="Z129" i="9"/>
  <c r="Z131" i="9" s="1"/>
  <c r="AE30" i="9"/>
  <c r="AD57" i="9"/>
  <c r="AA101" i="9"/>
  <c r="AA98" i="9"/>
  <c r="AA102" i="9" s="1"/>
  <c r="AB89" i="9"/>
  <c r="Y12" i="9"/>
  <c r="Z11" i="9" s="1"/>
  <c r="T122" i="26"/>
  <c r="U110" i="26"/>
  <c r="Y12" i="26"/>
  <c r="Z11" i="26" s="1"/>
  <c r="V89" i="26"/>
  <c r="W13" i="26"/>
  <c r="X9" i="26"/>
  <c r="W10" i="26"/>
  <c r="W33" i="26" s="1"/>
  <c r="W90" i="26" s="1"/>
  <c r="W111" i="26" s="1"/>
  <c r="U142" i="26"/>
  <c r="U38" i="26"/>
  <c r="U49" i="26"/>
  <c r="V24" i="26"/>
  <c r="V16" i="26"/>
  <c r="V20" i="26"/>
  <c r="V21" i="26"/>
  <c r="V22" i="26"/>
  <c r="V17" i="26"/>
  <c r="V18" i="26"/>
  <c r="V15" i="26"/>
  <c r="V14" i="26"/>
  <c r="V19" i="26"/>
  <c r="V42" i="26"/>
  <c r="V144" i="26" s="1"/>
  <c r="W32" i="26"/>
  <c r="AA57" i="26"/>
  <c r="AB30" i="26"/>
  <c r="AA57" i="29"/>
  <c r="AB30" i="29"/>
  <c r="Z103" i="29"/>
  <c r="Z92" i="29" s="1"/>
  <c r="AB89" i="29"/>
  <c r="AA101" i="29"/>
  <c r="AA98" i="29"/>
  <c r="AA102" i="29" s="1"/>
  <c r="H47" i="24"/>
  <c r="U99" i="24"/>
  <c r="V97" i="24" s="1"/>
  <c r="V101" i="24"/>
  <c r="W89" i="24"/>
  <c r="V98" i="24"/>
  <c r="V102" i="24" s="1"/>
  <c r="AC30" i="24"/>
  <c r="AB57" i="24"/>
  <c r="U147" i="24"/>
  <c r="U150" i="24" s="1"/>
  <c r="U103" i="24"/>
  <c r="U92" i="24" s="1"/>
  <c r="AC160" i="36" l="1"/>
  <c r="AD132" i="36"/>
  <c r="G137" i="9"/>
  <c r="Q126" i="29"/>
  <c r="Q127" i="29"/>
  <c r="Q128" i="29"/>
  <c r="AY21" i="37"/>
  <c r="H7" i="48"/>
  <c r="X46" i="37"/>
  <c r="R7" i="42"/>
  <c r="AH17" i="37"/>
  <c r="W46" i="37"/>
  <c r="AY20" i="37"/>
  <c r="AY17" i="37"/>
  <c r="R8" i="42"/>
  <c r="AZ19" i="37" s="1"/>
  <c r="AH19" i="37"/>
  <c r="K8" i="44"/>
  <c r="I48" i="37" s="1"/>
  <c r="J142" i="29"/>
  <c r="K40" i="12"/>
  <c r="K40" i="36"/>
  <c r="T17" i="10"/>
  <c r="T14" i="10"/>
  <c r="T24" i="10" s="1"/>
  <c r="T21" i="10"/>
  <c r="T18" i="10"/>
  <c r="T15" i="10"/>
  <c r="T22" i="10"/>
  <c r="T19" i="10"/>
  <c r="T16" i="10"/>
  <c r="T20" i="10"/>
  <c r="O132" i="29"/>
  <c r="O135" i="29"/>
  <c r="N132" i="29"/>
  <c r="O8" i="43" s="1"/>
  <c r="N135" i="29"/>
  <c r="Q127" i="12"/>
  <c r="Q127" i="36"/>
  <c r="Q120" i="12"/>
  <c r="Q120" i="36"/>
  <c r="Q119" i="10"/>
  <c r="Q125" i="10" s="1"/>
  <c r="R113" i="12"/>
  <c r="Q122" i="10"/>
  <c r="R113" i="36"/>
  <c r="S7" i="33"/>
  <c r="T3" i="33"/>
  <c r="S30" i="33"/>
  <c r="S46" i="33" s="1"/>
  <c r="S4" i="33"/>
  <c r="S14" i="33"/>
  <c r="S10" i="33" s="1"/>
  <c r="R113" i="24"/>
  <c r="S110" i="24"/>
  <c r="R112" i="24"/>
  <c r="R140" i="24"/>
  <c r="R114" i="24"/>
  <c r="R118" i="24"/>
  <c r="Q126" i="12"/>
  <c r="Q126" i="36"/>
  <c r="J86" i="32"/>
  <c r="J87" i="32"/>
  <c r="P67" i="37"/>
  <c r="Q121" i="29"/>
  <c r="Q120" i="29"/>
  <c r="Q122" i="29"/>
  <c r="Q137" i="29"/>
  <c r="R124" i="36"/>
  <c r="R124" i="12"/>
  <c r="S7" i="41"/>
  <c r="AI17" i="37" s="1"/>
  <c r="R49" i="24"/>
  <c r="R158" i="24"/>
  <c r="S159" i="24" s="1"/>
  <c r="R38" i="24"/>
  <c r="J8" i="45"/>
  <c r="J8" i="48" s="1"/>
  <c r="T12" i="36"/>
  <c r="T8" i="36"/>
  <c r="T17" i="36"/>
  <c r="T7" i="36"/>
  <c r="U6" i="36"/>
  <c r="J52" i="32"/>
  <c r="L33" i="32"/>
  <c r="L40" i="32"/>
  <c r="L47" i="32" s="1"/>
  <c r="U32" i="29"/>
  <c r="T42" i="29"/>
  <c r="T158" i="29" s="1"/>
  <c r="S24" i="10"/>
  <c r="T92" i="12"/>
  <c r="T92" i="36"/>
  <c r="F35" i="24"/>
  <c r="F36" i="24" s="1"/>
  <c r="F47" i="24" s="1"/>
  <c r="F156" i="24"/>
  <c r="H135" i="9"/>
  <c r="H35" i="9" s="1"/>
  <c r="H36" i="9" s="1"/>
  <c r="H47" i="9" s="1"/>
  <c r="H137" i="9"/>
  <c r="Q91" i="12"/>
  <c r="Q91" i="36"/>
  <c r="Q118" i="36"/>
  <c r="Q118" i="12"/>
  <c r="R147" i="10"/>
  <c r="S148" i="10" s="1"/>
  <c r="R38" i="10"/>
  <c r="R49" i="10"/>
  <c r="R126" i="10"/>
  <c r="R116" i="10"/>
  <c r="R118" i="10" s="1"/>
  <c r="S110" i="10"/>
  <c r="R113" i="10"/>
  <c r="R112" i="10"/>
  <c r="T42" i="24"/>
  <c r="T160" i="24" s="1"/>
  <c r="U32" i="24"/>
  <c r="R114" i="29"/>
  <c r="R138" i="29" s="1"/>
  <c r="S110" i="29"/>
  <c r="R118" i="29"/>
  <c r="R112" i="29"/>
  <c r="R113" i="29"/>
  <c r="U12" i="12"/>
  <c r="U17" i="12"/>
  <c r="V6" i="12"/>
  <c r="U8" i="12"/>
  <c r="U13" i="12"/>
  <c r="U7" i="12"/>
  <c r="O27" i="32"/>
  <c r="O133" i="32"/>
  <c r="O142" i="32"/>
  <c r="U10" i="29"/>
  <c r="V9" i="29"/>
  <c r="U13" i="29"/>
  <c r="J124" i="9"/>
  <c r="I134" i="9"/>
  <c r="I34" i="9"/>
  <c r="P121" i="21"/>
  <c r="P122" i="21" s="1"/>
  <c r="F137" i="9"/>
  <c r="N27" i="32"/>
  <c r="N133" i="32"/>
  <c r="N142" i="32"/>
  <c r="Q128" i="36"/>
  <c r="Q128" i="12"/>
  <c r="Q6" i="33"/>
  <c r="S8" i="41"/>
  <c r="R156" i="29"/>
  <c r="S157" i="29" s="1"/>
  <c r="R49" i="29"/>
  <c r="R38" i="29"/>
  <c r="T30" i="12"/>
  <c r="T89" i="12" s="1"/>
  <c r="T112" i="12" s="1"/>
  <c r="T135" i="12"/>
  <c r="T192" i="12" s="1"/>
  <c r="Q119" i="36"/>
  <c r="Q119" i="12"/>
  <c r="R4" i="44"/>
  <c r="P66" i="36"/>
  <c r="T15" i="29"/>
  <c r="T22" i="29"/>
  <c r="T21" i="29"/>
  <c r="T16" i="29"/>
  <c r="T14" i="29"/>
  <c r="T17" i="29"/>
  <c r="T18" i="29"/>
  <c r="T20" i="29"/>
  <c r="T19" i="29"/>
  <c r="K33" i="12"/>
  <c r="J131" i="10"/>
  <c r="K33" i="36"/>
  <c r="T134" i="36"/>
  <c r="S192" i="36"/>
  <c r="I45" i="37"/>
  <c r="K3" i="45"/>
  <c r="J3" i="48"/>
  <c r="Z45" i="37"/>
  <c r="R112" i="26"/>
  <c r="T20" i="24"/>
  <c r="T21" i="24"/>
  <c r="T18" i="24"/>
  <c r="T16" i="24"/>
  <c r="T22" i="24"/>
  <c r="T14" i="24"/>
  <c r="T24" i="24" s="1"/>
  <c r="T15" i="24"/>
  <c r="T17" i="24"/>
  <c r="T19" i="24"/>
  <c r="AH20" i="37"/>
  <c r="AH21" i="37"/>
  <c r="R112" i="8"/>
  <c r="I140" i="10"/>
  <c r="I141" i="10" s="1"/>
  <c r="I35" i="10" s="1"/>
  <c r="I34" i="10"/>
  <c r="O123" i="9"/>
  <c r="P114" i="32"/>
  <c r="T95" i="12"/>
  <c r="T95" i="36"/>
  <c r="R72" i="36"/>
  <c r="S88" i="36"/>
  <c r="R44" i="36"/>
  <c r="R32" i="36"/>
  <c r="R45" i="36"/>
  <c r="M134" i="32"/>
  <c r="M28" i="32" s="1"/>
  <c r="M29" i="32" s="1"/>
  <c r="S24" i="29"/>
  <c r="Q121" i="36"/>
  <c r="Q121" i="12"/>
  <c r="K36" i="32"/>
  <c r="K37" i="32" s="1"/>
  <c r="K51" i="32" s="1"/>
  <c r="K52" i="32" s="1"/>
  <c r="K84" i="32"/>
  <c r="U42" i="10"/>
  <c r="U149" i="10" s="1"/>
  <c r="U13" i="10"/>
  <c r="V9" i="10"/>
  <c r="U10" i="10"/>
  <c r="U33" i="10" s="1"/>
  <c r="U90" i="10" s="1"/>
  <c r="U111" i="10" s="1"/>
  <c r="Q113" i="32"/>
  <c r="P139" i="24" s="1"/>
  <c r="Q128" i="32"/>
  <c r="Q130" i="32" s="1"/>
  <c r="Q106" i="32"/>
  <c r="Q108" i="32"/>
  <c r="P124" i="8" s="1"/>
  <c r="Q112" i="32"/>
  <c r="Q109" i="32"/>
  <c r="P123" i="26" s="1"/>
  <c r="Q107" i="32"/>
  <c r="Q121" i="21" s="1"/>
  <c r="Q122" i="21" s="1"/>
  <c r="Q110" i="32"/>
  <c r="R103" i="32"/>
  <c r="Q111" i="32"/>
  <c r="P127" i="10" s="1"/>
  <c r="P128" i="10" s="1"/>
  <c r="Q39" i="36" s="1"/>
  <c r="Q139" i="24"/>
  <c r="Q124" i="8"/>
  <c r="Q123" i="9"/>
  <c r="T191" i="12"/>
  <c r="U134" i="12"/>
  <c r="R47" i="33"/>
  <c r="S112" i="10" s="1"/>
  <c r="R48" i="33"/>
  <c r="S113" i="8" s="1"/>
  <c r="S112" i="26"/>
  <c r="S24" i="24"/>
  <c r="P66" i="37"/>
  <c r="Q129" i="24"/>
  <c r="Q123" i="24"/>
  <c r="Q120" i="24"/>
  <c r="Q138" i="24"/>
  <c r="Q130" i="24"/>
  <c r="R116" i="36"/>
  <c r="Q122" i="24"/>
  <c r="R116" i="12"/>
  <c r="Q121" i="24"/>
  <c r="R112" i="9"/>
  <c r="V9" i="24"/>
  <c r="U13" i="24"/>
  <c r="U10" i="24"/>
  <c r="S32" i="12"/>
  <c r="T88" i="12"/>
  <c r="S44" i="12"/>
  <c r="I34" i="29"/>
  <c r="I151" i="29"/>
  <c r="I152" i="29" s="1"/>
  <c r="S135" i="36"/>
  <c r="S193" i="36" s="1"/>
  <c r="S30" i="36"/>
  <c r="S89" i="36" s="1"/>
  <c r="S112" i="36" s="1"/>
  <c r="X99" i="21"/>
  <c r="Y97" i="21" s="1"/>
  <c r="V133" i="5"/>
  <c r="Y17" i="32"/>
  <c r="Y138" i="32" s="1"/>
  <c r="Y31" i="32" s="1"/>
  <c r="X44" i="32"/>
  <c r="W46" i="32"/>
  <c r="X10" i="9"/>
  <c r="X33" i="9" s="1"/>
  <c r="X90" i="9" s="1"/>
  <c r="X111" i="9" s="1"/>
  <c r="Y9" i="9"/>
  <c r="X13" i="9"/>
  <c r="U122" i="9"/>
  <c r="V110" i="9"/>
  <c r="U113" i="9"/>
  <c r="X32" i="9"/>
  <c r="W42" i="9"/>
  <c r="W141" i="9" s="1"/>
  <c r="Z14" i="32"/>
  <c r="Z15" i="32"/>
  <c r="Z13" i="32"/>
  <c r="Z12" i="32"/>
  <c r="AA11" i="32" s="1"/>
  <c r="V139" i="9"/>
  <c r="W140" i="9" s="1"/>
  <c r="V49" i="9"/>
  <c r="V38" i="9"/>
  <c r="W21" i="9"/>
  <c r="W19" i="9"/>
  <c r="W20" i="9"/>
  <c r="W14" i="9"/>
  <c r="W17" i="9"/>
  <c r="W16" i="9"/>
  <c r="W18" i="9"/>
  <c r="W22" i="9"/>
  <c r="W15" i="9"/>
  <c r="W24" i="9"/>
  <c r="Z9" i="32"/>
  <c r="Y10" i="32"/>
  <c r="Y26" i="32" s="1"/>
  <c r="Y83" i="32" s="1"/>
  <c r="Y104" i="32" s="1"/>
  <c r="W140" i="21"/>
  <c r="X141" i="21" s="1"/>
  <c r="W49" i="21"/>
  <c r="W38" i="21"/>
  <c r="X22" i="5"/>
  <c r="X19" i="5"/>
  <c r="X16" i="5"/>
  <c r="X20" i="5"/>
  <c r="X14" i="5"/>
  <c r="X18" i="5"/>
  <c r="X15" i="5"/>
  <c r="X21" i="5"/>
  <c r="X17" i="5"/>
  <c r="W110" i="21"/>
  <c r="V114" i="21"/>
  <c r="X15" i="21"/>
  <c r="X14" i="21"/>
  <c r="X21" i="21"/>
  <c r="X24" i="21"/>
  <c r="X20" i="21"/>
  <c r="X19" i="21"/>
  <c r="X17" i="21"/>
  <c r="X18" i="21"/>
  <c r="X22" i="21"/>
  <c r="X16" i="21"/>
  <c r="Z9" i="5"/>
  <c r="Y10" i="5"/>
  <c r="Y42" i="5"/>
  <c r="Y134" i="5" s="1"/>
  <c r="Y13" i="5"/>
  <c r="V49" i="5"/>
  <c r="V132" i="5"/>
  <c r="W24" i="5"/>
  <c r="Z9" i="21"/>
  <c r="Y10" i="21"/>
  <c r="Y33" i="21" s="1"/>
  <c r="Y90" i="21" s="1"/>
  <c r="Y111" i="21" s="1"/>
  <c r="Y13" i="21"/>
  <c r="Y32" i="21"/>
  <c r="X42" i="21"/>
  <c r="X142" i="21" s="1"/>
  <c r="U120" i="21"/>
  <c r="U119" i="21"/>
  <c r="T13" i="33"/>
  <c r="AA99" i="29"/>
  <c r="AB97" i="29" s="1"/>
  <c r="AC12" i="21"/>
  <c r="AD11" i="21" s="1"/>
  <c r="AA32" i="10"/>
  <c r="Y101" i="21"/>
  <c r="Z89" i="21"/>
  <c r="Y98" i="21"/>
  <c r="Y102" i="21" s="1"/>
  <c r="W99" i="10"/>
  <c r="X97" i="10" s="1"/>
  <c r="AD29" i="12"/>
  <c r="V99" i="24"/>
  <c r="W97" i="24" s="1"/>
  <c r="X101" i="10"/>
  <c r="X98" i="10"/>
  <c r="X102" i="10" s="1"/>
  <c r="Y89" i="10"/>
  <c r="X128" i="21"/>
  <c r="X130" i="21" s="1"/>
  <c r="X103" i="21"/>
  <c r="X92" i="21" s="1"/>
  <c r="W103" i="10"/>
  <c r="W92" i="10" s="1"/>
  <c r="W134" i="10"/>
  <c r="W137" i="10" s="1"/>
  <c r="X49" i="8"/>
  <c r="X144" i="8"/>
  <c r="Y145" i="8" s="1"/>
  <c r="X38" i="8"/>
  <c r="Y110" i="8"/>
  <c r="Y42" i="8"/>
  <c r="Y146" i="8" s="1"/>
  <c r="Z32" i="8"/>
  <c r="Y15" i="8"/>
  <c r="Y16" i="8"/>
  <c r="Y20" i="8"/>
  <c r="Y18" i="8"/>
  <c r="Y21" i="8"/>
  <c r="Y22" i="8"/>
  <c r="Y14" i="8"/>
  <c r="Y24" i="8"/>
  <c r="Y19" i="8"/>
  <c r="Y17" i="8"/>
  <c r="AC30" i="8"/>
  <c r="AB57" i="8"/>
  <c r="AA9" i="8"/>
  <c r="Z10" i="8"/>
  <c r="Z33" i="8" s="1"/>
  <c r="Z90" i="8" s="1"/>
  <c r="Z111" i="8" s="1"/>
  <c r="Z13" i="8"/>
  <c r="AB12" i="8"/>
  <c r="AC11" i="8" s="1"/>
  <c r="AA99" i="9"/>
  <c r="AB97" i="9" s="1"/>
  <c r="AA129" i="9"/>
  <c r="AA131" i="9" s="1"/>
  <c r="AA103" i="9"/>
  <c r="AA92" i="9" s="1"/>
  <c r="AE57" i="9"/>
  <c r="AF30" i="9"/>
  <c r="Z12" i="9"/>
  <c r="AA11" i="9" s="1"/>
  <c r="AB101" i="9"/>
  <c r="AB98" i="9"/>
  <c r="AB102" i="9" s="1"/>
  <c r="AC89" i="9"/>
  <c r="W42" i="26"/>
  <c r="W144" i="26" s="1"/>
  <c r="X32" i="26"/>
  <c r="W89" i="26"/>
  <c r="Z12" i="26"/>
  <c r="AA11" i="26" s="1"/>
  <c r="X13" i="26"/>
  <c r="X10" i="26"/>
  <c r="X33" i="26" s="1"/>
  <c r="X90" i="26" s="1"/>
  <c r="X111" i="26" s="1"/>
  <c r="Y9" i="26"/>
  <c r="W24" i="26"/>
  <c r="W21" i="26"/>
  <c r="W19" i="26"/>
  <c r="W16" i="26"/>
  <c r="W18" i="26"/>
  <c r="W15" i="26"/>
  <c r="W17" i="26"/>
  <c r="W22" i="26"/>
  <c r="W20" i="26"/>
  <c r="W14" i="26"/>
  <c r="U122" i="26"/>
  <c r="V110" i="26"/>
  <c r="U113" i="26"/>
  <c r="V38" i="26"/>
  <c r="V142" i="26"/>
  <c r="V49" i="26"/>
  <c r="AB57" i="26"/>
  <c r="AC30" i="26"/>
  <c r="AC30" i="29"/>
  <c r="AB57" i="29"/>
  <c r="AA103" i="29"/>
  <c r="AA92" i="29" s="1"/>
  <c r="AC89" i="29"/>
  <c r="AB101" i="29"/>
  <c r="AB98" i="29"/>
  <c r="AB102" i="29" s="1"/>
  <c r="AD30" i="24"/>
  <c r="AC57" i="24"/>
  <c r="X89" i="24"/>
  <c r="W101" i="24"/>
  <c r="W98" i="24"/>
  <c r="W102" i="24" s="1"/>
  <c r="V147" i="24"/>
  <c r="V150" i="24" s="1"/>
  <c r="V103" i="24"/>
  <c r="V92" i="24" s="1"/>
  <c r="AD160" i="36" l="1"/>
  <c r="AE132" i="36"/>
  <c r="R126" i="29"/>
  <c r="R127" i="29"/>
  <c r="R128" i="29"/>
  <c r="P130" i="29"/>
  <c r="P8" i="43"/>
  <c r="AZ21" i="37"/>
  <c r="AZ20" i="37"/>
  <c r="AZ17" i="37"/>
  <c r="I36" i="10"/>
  <c r="I47" i="10" s="1"/>
  <c r="S8" i="42"/>
  <c r="BA19" i="37" s="1"/>
  <c r="AI19" i="37"/>
  <c r="AI20" i="37"/>
  <c r="S7" i="42"/>
  <c r="BA17" i="37" s="1"/>
  <c r="K54" i="32"/>
  <c r="K53" i="32"/>
  <c r="T4" i="44"/>
  <c r="R66" i="36"/>
  <c r="M33" i="32"/>
  <c r="M40" i="32"/>
  <c r="M47" i="32" s="1"/>
  <c r="U19" i="10"/>
  <c r="U14" i="10"/>
  <c r="U17" i="10"/>
  <c r="U18" i="10"/>
  <c r="U22" i="10"/>
  <c r="U20" i="10"/>
  <c r="U15" i="10"/>
  <c r="U21" i="10"/>
  <c r="U16" i="10"/>
  <c r="T38" i="24"/>
  <c r="T49" i="24"/>
  <c r="T158" i="24"/>
  <c r="U22" i="29"/>
  <c r="U18" i="29"/>
  <c r="U19" i="29"/>
  <c r="U15" i="29"/>
  <c r="U16" i="29"/>
  <c r="U21" i="29"/>
  <c r="U14" i="29"/>
  <c r="U17" i="29"/>
  <c r="U20" i="29"/>
  <c r="V32" i="29"/>
  <c r="U42" i="29"/>
  <c r="U158" i="29" s="1"/>
  <c r="R119" i="36"/>
  <c r="R119" i="12"/>
  <c r="P124" i="32"/>
  <c r="Q51" i="12"/>
  <c r="Q57" i="12" s="1"/>
  <c r="N134" i="32"/>
  <c r="N28" i="32" s="1"/>
  <c r="N136" i="32"/>
  <c r="V13" i="29"/>
  <c r="V10" i="29"/>
  <c r="W9" i="29"/>
  <c r="V12" i="12"/>
  <c r="V8" i="12"/>
  <c r="W6" i="12"/>
  <c r="V17" i="12"/>
  <c r="V7" i="12"/>
  <c r="U42" i="24"/>
  <c r="U160" i="24" s="1"/>
  <c r="V32" i="24"/>
  <c r="U95" i="12"/>
  <c r="U95" i="36"/>
  <c r="K87" i="32"/>
  <c r="K86" i="32"/>
  <c r="N29" i="32"/>
  <c r="L36" i="32"/>
  <c r="L37" i="32" s="1"/>
  <c r="L51" i="32" s="1"/>
  <c r="L84" i="32"/>
  <c r="R128" i="36"/>
  <c r="R128" i="12"/>
  <c r="T44" i="12"/>
  <c r="U88" i="12"/>
  <c r="T32" i="12"/>
  <c r="R120" i="36"/>
  <c r="R120" i="12"/>
  <c r="T7" i="41"/>
  <c r="AJ17" i="37" s="1"/>
  <c r="S38" i="24"/>
  <c r="S158" i="24"/>
  <c r="T159" i="24" s="1"/>
  <c r="S49" i="24"/>
  <c r="U191" i="12"/>
  <c r="V134" i="12"/>
  <c r="Q114" i="32"/>
  <c r="AI21" i="37"/>
  <c r="R126" i="36"/>
  <c r="R126" i="12"/>
  <c r="Q66" i="37"/>
  <c r="R121" i="24"/>
  <c r="R129" i="24"/>
  <c r="R138" i="24"/>
  <c r="R123" i="24"/>
  <c r="R122" i="24"/>
  <c r="R120" i="24"/>
  <c r="R130" i="24"/>
  <c r="S116" i="12"/>
  <c r="S116" i="36"/>
  <c r="S47" i="33"/>
  <c r="T112" i="9" s="1"/>
  <c r="S48" i="33"/>
  <c r="T113" i="8" s="1"/>
  <c r="S91" i="36"/>
  <c r="S91" i="12"/>
  <c r="S4" i="44"/>
  <c r="Q66" i="36"/>
  <c r="O134" i="32"/>
  <c r="O28" i="32" s="1"/>
  <c r="O136" i="32"/>
  <c r="J53" i="32"/>
  <c r="J54" i="32"/>
  <c r="R127" i="36"/>
  <c r="R127" i="12"/>
  <c r="T7" i="33"/>
  <c r="T4" i="33"/>
  <c r="T30" i="33"/>
  <c r="T46" i="33" s="1"/>
  <c r="U3" i="33"/>
  <c r="R121" i="36"/>
  <c r="R121" i="12"/>
  <c r="K3" i="48"/>
  <c r="AA45" i="37"/>
  <c r="T147" i="10"/>
  <c r="T38" i="10"/>
  <c r="T49" i="10"/>
  <c r="Q127" i="10"/>
  <c r="Q128" i="10" s="1"/>
  <c r="R39" i="36" s="1"/>
  <c r="R108" i="32"/>
  <c r="R128" i="32"/>
  <c r="R130" i="32" s="1"/>
  <c r="R106" i="32"/>
  <c r="R112" i="32"/>
  <c r="S103" i="32"/>
  <c r="R107" i="32"/>
  <c r="R113" i="32"/>
  <c r="R109" i="32"/>
  <c r="Q123" i="26" s="1"/>
  <c r="R111" i="32"/>
  <c r="R127" i="10" s="1"/>
  <c r="R128" i="10" s="1"/>
  <c r="S39" i="36" s="1"/>
  <c r="R110" i="32"/>
  <c r="T88" i="36"/>
  <c r="S44" i="36"/>
  <c r="S32" i="36"/>
  <c r="S72" i="36"/>
  <c r="S45" i="36"/>
  <c r="T192" i="36"/>
  <c r="U134" i="36"/>
  <c r="T24" i="29"/>
  <c r="O29" i="32"/>
  <c r="U12" i="36"/>
  <c r="U7" i="36"/>
  <c r="U8" i="36"/>
  <c r="V6" i="36"/>
  <c r="U17" i="36"/>
  <c r="U92" i="12"/>
  <c r="U92" i="36"/>
  <c r="I154" i="29"/>
  <c r="I35" i="29"/>
  <c r="I36" i="29" s="1"/>
  <c r="I47" i="29" s="1"/>
  <c r="P132" i="29"/>
  <c r="Q8" i="43" s="1"/>
  <c r="P135" i="29"/>
  <c r="U19" i="24"/>
  <c r="U22" i="24"/>
  <c r="U15" i="24"/>
  <c r="U17" i="24"/>
  <c r="U20" i="24"/>
  <c r="U21" i="24"/>
  <c r="U14" i="24"/>
  <c r="U16" i="24"/>
  <c r="U18" i="24"/>
  <c r="S112" i="9"/>
  <c r="T8" i="41"/>
  <c r="S49" i="29"/>
  <c r="S156" i="29"/>
  <c r="T157" i="29" s="1"/>
  <c r="S38" i="29"/>
  <c r="I135" i="9"/>
  <c r="I35" i="9" s="1"/>
  <c r="I36" i="9" s="1"/>
  <c r="I47" i="9" s="1"/>
  <c r="I137" i="9"/>
  <c r="U135" i="12"/>
  <c r="U192" i="12" s="1"/>
  <c r="U30" i="12"/>
  <c r="U89" i="12" s="1"/>
  <c r="U112" i="12" s="1"/>
  <c r="Q67" i="37"/>
  <c r="R121" i="29"/>
  <c r="S124" i="12"/>
  <c r="S124" i="36"/>
  <c r="R137" i="29"/>
  <c r="R120" i="29"/>
  <c r="R122" i="29"/>
  <c r="S116" i="10"/>
  <c r="S118" i="10" s="1"/>
  <c r="S126" i="10"/>
  <c r="T110" i="10"/>
  <c r="S113" i="10"/>
  <c r="T18" i="36"/>
  <c r="S49" i="10"/>
  <c r="S147" i="10"/>
  <c r="T148" i="10" s="1"/>
  <c r="S38" i="10"/>
  <c r="T30" i="36"/>
  <c r="T89" i="36" s="1"/>
  <c r="T112" i="36" s="1"/>
  <c r="T135" i="36"/>
  <c r="T193" i="36" s="1"/>
  <c r="J34" i="29"/>
  <c r="J151" i="29"/>
  <c r="J152" i="29" s="1"/>
  <c r="W9" i="24"/>
  <c r="V13" i="24"/>
  <c r="V10" i="24"/>
  <c r="R118" i="12"/>
  <c r="R118" i="36"/>
  <c r="S112" i="8"/>
  <c r="V42" i="10"/>
  <c r="V149" i="10" s="1"/>
  <c r="V13" i="10"/>
  <c r="W9" i="10"/>
  <c r="V10" i="10"/>
  <c r="V33" i="10" s="1"/>
  <c r="V90" i="10" s="1"/>
  <c r="V111" i="10" s="1"/>
  <c r="M136" i="32"/>
  <c r="R6" i="33"/>
  <c r="J140" i="10"/>
  <c r="J141" i="10" s="1"/>
  <c r="J35" i="10" s="1"/>
  <c r="J34" i="10"/>
  <c r="K68" i="12"/>
  <c r="K68" i="36"/>
  <c r="J126" i="9"/>
  <c r="S114" i="29"/>
  <c r="S138" i="29" s="1"/>
  <c r="S118" i="29"/>
  <c r="T110" i="29"/>
  <c r="S112" i="29"/>
  <c r="S113" i="29"/>
  <c r="R122" i="10"/>
  <c r="R119" i="10"/>
  <c r="R125" i="10" s="1"/>
  <c r="S113" i="36"/>
  <c r="S113" i="12"/>
  <c r="S140" i="24"/>
  <c r="T110" i="24"/>
  <c r="S114" i="24"/>
  <c r="S113" i="24"/>
  <c r="S118" i="24"/>
  <c r="S112" i="24"/>
  <c r="K8" i="45"/>
  <c r="K8" i="48" s="1"/>
  <c r="S112" i="21"/>
  <c r="Y42" i="32"/>
  <c r="Z17" i="32"/>
  <c r="Z42" i="32" s="1"/>
  <c r="AB99" i="9"/>
  <c r="AC97" i="9" s="1"/>
  <c r="AA9" i="32"/>
  <c r="Z10" i="32"/>
  <c r="Z26" i="32" s="1"/>
  <c r="Z83" i="32" s="1"/>
  <c r="Z104" i="32" s="1"/>
  <c r="X99" i="10"/>
  <c r="Y97" i="10" s="1"/>
  <c r="W139" i="9"/>
  <c r="X140" i="9" s="1"/>
  <c r="W49" i="9"/>
  <c r="W38" i="9"/>
  <c r="AA12" i="32"/>
  <c r="AB11" i="32" s="1"/>
  <c r="AA14" i="32"/>
  <c r="AA15" i="32"/>
  <c r="AA13" i="32"/>
  <c r="V122" i="9"/>
  <c r="W110" i="9"/>
  <c r="V113" i="9"/>
  <c r="Y32" i="9"/>
  <c r="X42" i="9"/>
  <c r="X141" i="9" s="1"/>
  <c r="X15" i="9"/>
  <c r="X17" i="9"/>
  <c r="X18" i="9"/>
  <c r="X19" i="9"/>
  <c r="X16" i="9"/>
  <c r="X22" i="9"/>
  <c r="X14" i="9"/>
  <c r="X20" i="9"/>
  <c r="X21" i="9"/>
  <c r="X24" i="9"/>
  <c r="Y10" i="9"/>
  <c r="Y33" i="9" s="1"/>
  <c r="Y90" i="9" s="1"/>
  <c r="Y111" i="9" s="1"/>
  <c r="Z9" i="9"/>
  <c r="Y13" i="9"/>
  <c r="X46" i="32"/>
  <c r="Y44" i="32"/>
  <c r="W49" i="5"/>
  <c r="W132" i="5"/>
  <c r="Y15" i="5"/>
  <c r="Y17" i="5"/>
  <c r="Y19" i="5"/>
  <c r="Y22" i="5"/>
  <c r="Y20" i="5"/>
  <c r="Y21" i="5"/>
  <c r="Y14" i="5"/>
  <c r="Y18" i="5"/>
  <c r="Y16" i="5"/>
  <c r="Y99" i="21"/>
  <c r="Z97" i="21" s="1"/>
  <c r="Z32" i="21"/>
  <c r="Y42" i="21"/>
  <c r="Y142" i="21" s="1"/>
  <c r="V38" i="5"/>
  <c r="W133" i="5"/>
  <c r="X24" i="5"/>
  <c r="W99" i="24"/>
  <c r="X97" i="24" s="1"/>
  <c r="Y16" i="21"/>
  <c r="Y19" i="21"/>
  <c r="Y24" i="21"/>
  <c r="Y22" i="21"/>
  <c r="Y17" i="21"/>
  <c r="Y14" i="21"/>
  <c r="Y21" i="21"/>
  <c r="Y20" i="21"/>
  <c r="Y15" i="21"/>
  <c r="Y18" i="21"/>
  <c r="Z10" i="5"/>
  <c r="AA9" i="5"/>
  <c r="Z42" i="5"/>
  <c r="Z134" i="5" s="1"/>
  <c r="Z13" i="5"/>
  <c r="V119" i="21"/>
  <c r="V120" i="21"/>
  <c r="U13" i="33"/>
  <c r="X110" i="21"/>
  <c r="W114" i="21"/>
  <c r="AA9" i="21"/>
  <c r="Z10" i="21"/>
  <c r="Z33" i="21" s="1"/>
  <c r="Z90" i="21" s="1"/>
  <c r="Z111" i="21" s="1"/>
  <c r="Z13" i="21"/>
  <c r="X140" i="21"/>
  <c r="Y141" i="21" s="1"/>
  <c r="X49" i="21"/>
  <c r="X38" i="21"/>
  <c r="Y101" i="10"/>
  <c r="Y98" i="10"/>
  <c r="Y102" i="10" s="1"/>
  <c r="Z89" i="10"/>
  <c r="AE29" i="12"/>
  <c r="Z101" i="21"/>
  <c r="AA89" i="21"/>
  <c r="Z98" i="21"/>
  <c r="Z102" i="21" s="1"/>
  <c r="Y128" i="21"/>
  <c r="Y130" i="21" s="1"/>
  <c r="Y103" i="21"/>
  <c r="Y92" i="21" s="1"/>
  <c r="AB32" i="10"/>
  <c r="AD12" i="21"/>
  <c r="AE11" i="21" s="1"/>
  <c r="X103" i="10"/>
  <c r="X92" i="10" s="1"/>
  <c r="X134" i="10"/>
  <c r="X137" i="10" s="1"/>
  <c r="AA10" i="8"/>
  <c r="AA33" i="8" s="1"/>
  <c r="AA90" i="8" s="1"/>
  <c r="AA111" i="8" s="1"/>
  <c r="AB9" i="8"/>
  <c r="AA13" i="8"/>
  <c r="Z110" i="8"/>
  <c r="AC57" i="8"/>
  <c r="AD30" i="8"/>
  <c r="Y116" i="8"/>
  <c r="Z15" i="8"/>
  <c r="Z22" i="8"/>
  <c r="Z24" i="8"/>
  <c r="Z18" i="8"/>
  <c r="Z16" i="8"/>
  <c r="Z14" i="8"/>
  <c r="Z21" i="8"/>
  <c r="Z19" i="8"/>
  <c r="Z17" i="8"/>
  <c r="Z20" i="8"/>
  <c r="Y144" i="8"/>
  <c r="Z145" i="8" s="1"/>
  <c r="Y49" i="8"/>
  <c r="Y38" i="8"/>
  <c r="Z42" i="8"/>
  <c r="Z146" i="8" s="1"/>
  <c r="AA32" i="8"/>
  <c r="AC12" i="8"/>
  <c r="AD11" i="8" s="1"/>
  <c r="AA12" i="9"/>
  <c r="AB11" i="9" s="1"/>
  <c r="AF57" i="9"/>
  <c r="AG30" i="9"/>
  <c r="AC101" i="9"/>
  <c r="AC98" i="9"/>
  <c r="AC102" i="9" s="1"/>
  <c r="AD89" i="9"/>
  <c r="AB103" i="9"/>
  <c r="AB92" i="9" s="1"/>
  <c r="AB129" i="9"/>
  <c r="AB131" i="9" s="1"/>
  <c r="AA12" i="26"/>
  <c r="AB11" i="26" s="1"/>
  <c r="W142" i="26"/>
  <c r="W38" i="26"/>
  <c r="W49" i="26"/>
  <c r="Y13" i="26"/>
  <c r="Y10" i="26"/>
  <c r="Y33" i="26" s="1"/>
  <c r="Y90" i="26" s="1"/>
  <c r="Y111" i="26" s="1"/>
  <c r="Z9" i="26"/>
  <c r="X89" i="26"/>
  <c r="V122" i="26"/>
  <c r="W110" i="26"/>
  <c r="V113" i="26"/>
  <c r="X42" i="26"/>
  <c r="X144" i="26" s="1"/>
  <c r="Y32" i="26"/>
  <c r="AD30" i="26"/>
  <c r="AC57" i="26"/>
  <c r="X24" i="26"/>
  <c r="X22" i="26"/>
  <c r="X20" i="26"/>
  <c r="X14" i="26"/>
  <c r="X17" i="26"/>
  <c r="X21" i="26"/>
  <c r="X19" i="26"/>
  <c r="X15" i="26"/>
  <c r="X18" i="26"/>
  <c r="X16" i="26"/>
  <c r="AC57" i="29"/>
  <c r="AD30" i="29"/>
  <c r="AB99" i="29"/>
  <c r="AC97" i="29" s="1"/>
  <c r="AB103" i="29"/>
  <c r="AB92" i="29" s="1"/>
  <c r="AD89" i="29"/>
  <c r="AC98" i="29"/>
  <c r="AC102" i="29" s="1"/>
  <c r="AC101" i="29"/>
  <c r="AE30" i="24"/>
  <c r="AD57" i="24"/>
  <c r="Y89" i="24"/>
  <c r="X101" i="24"/>
  <c r="X98" i="24"/>
  <c r="X102" i="24" s="1"/>
  <c r="W147" i="24"/>
  <c r="W150" i="24" s="1"/>
  <c r="W103" i="24"/>
  <c r="W92" i="24" s="1"/>
  <c r="AF132" i="36" l="1"/>
  <c r="AE160" i="36"/>
  <c r="S126" i="29"/>
  <c r="S127" i="29"/>
  <c r="S128" i="29"/>
  <c r="T8" i="42"/>
  <c r="BB19" i="37" s="1"/>
  <c r="AJ19" i="37"/>
  <c r="AA48" i="37"/>
  <c r="BA20" i="37"/>
  <c r="BA21" i="37"/>
  <c r="J45" i="37"/>
  <c r="AJ20" i="37"/>
  <c r="T7" i="42"/>
  <c r="AJ21" i="37"/>
  <c r="O33" i="32"/>
  <c r="O40" i="32"/>
  <c r="O47" i="32" s="1"/>
  <c r="X9" i="29"/>
  <c r="W13" i="29"/>
  <c r="W10" i="29"/>
  <c r="T116" i="10"/>
  <c r="T118" i="10" s="1"/>
  <c r="U110" i="10"/>
  <c r="T126" i="10"/>
  <c r="T113" i="10"/>
  <c r="T112" i="10"/>
  <c r="S127" i="36"/>
  <c r="S127" i="12"/>
  <c r="U7" i="33"/>
  <c r="U30" i="33"/>
  <c r="U46" i="33" s="1"/>
  <c r="V3" i="33"/>
  <c r="U4" i="33"/>
  <c r="S118" i="12"/>
  <c r="S118" i="36"/>
  <c r="Q130" i="29"/>
  <c r="T118" i="24"/>
  <c r="T114" i="24"/>
  <c r="T113" i="24"/>
  <c r="U110" i="24"/>
  <c r="T140" i="24"/>
  <c r="T112" i="24"/>
  <c r="U110" i="29"/>
  <c r="T114" i="29"/>
  <c r="T138" i="29" s="1"/>
  <c r="T118" i="29"/>
  <c r="T113" i="29"/>
  <c r="T112" i="29"/>
  <c r="J36" i="10"/>
  <c r="J47" i="10" s="1"/>
  <c r="S122" i="10"/>
  <c r="S119" i="10"/>
  <c r="S125" i="10" s="1"/>
  <c r="T113" i="36"/>
  <c r="T113" i="12"/>
  <c r="T156" i="29"/>
  <c r="U157" i="29" s="1"/>
  <c r="T38" i="29"/>
  <c r="T49" i="29"/>
  <c r="S128" i="32"/>
  <c r="S130" i="32" s="1"/>
  <c r="T55" i="12" s="1"/>
  <c r="S112" i="32"/>
  <c r="S113" i="32"/>
  <c r="R139" i="24" s="1"/>
  <c r="S107" i="32"/>
  <c r="R121" i="21" s="1"/>
  <c r="R122" i="21" s="1"/>
  <c r="S66" i="36" s="1"/>
  <c r="T103" i="32"/>
  <c r="S108" i="32"/>
  <c r="R124" i="8" s="1"/>
  <c r="S106" i="32"/>
  <c r="S110" i="32"/>
  <c r="S109" i="32"/>
  <c r="R123" i="26" s="1"/>
  <c r="S111" i="32"/>
  <c r="S121" i="21"/>
  <c r="S122" i="21" s="1"/>
  <c r="T66" i="36" s="1"/>
  <c r="U148" i="10"/>
  <c r="S121" i="36"/>
  <c r="S121" i="12"/>
  <c r="W32" i="24"/>
  <c r="V42" i="24"/>
  <c r="V160" i="24" s="1"/>
  <c r="M84" i="32"/>
  <c r="M36" i="32"/>
  <c r="M37" i="32" s="1"/>
  <c r="M51" i="32" s="1"/>
  <c r="M52" i="32" s="1"/>
  <c r="S120" i="12"/>
  <c r="S120" i="36"/>
  <c r="R67" i="37"/>
  <c r="F27" i="37" s="1"/>
  <c r="S137" i="29"/>
  <c r="S122" i="29"/>
  <c r="S121" i="29"/>
  <c r="S120" i="29"/>
  <c r="T124" i="36"/>
  <c r="T124" i="12"/>
  <c r="T91" i="12"/>
  <c r="T91" i="36"/>
  <c r="S128" i="12"/>
  <c r="S128" i="36"/>
  <c r="U192" i="36"/>
  <c r="V134" i="36"/>
  <c r="T45" i="36"/>
  <c r="T72" i="36"/>
  <c r="T32" i="36"/>
  <c r="U88" i="36"/>
  <c r="T44" i="36"/>
  <c r="V92" i="36"/>
  <c r="V92" i="12"/>
  <c r="L86" i="32"/>
  <c r="L87" i="32"/>
  <c r="V19" i="29"/>
  <c r="V20" i="29"/>
  <c r="V14" i="29"/>
  <c r="V15" i="29"/>
  <c r="V16" i="29"/>
  <c r="V17" i="29"/>
  <c r="V21" i="29"/>
  <c r="V18" i="29"/>
  <c r="V22" i="29"/>
  <c r="W32" i="29"/>
  <c r="V42" i="29"/>
  <c r="V158" i="29" s="1"/>
  <c r="T47" i="33"/>
  <c r="U112" i="21" s="1"/>
  <c r="T48" i="33"/>
  <c r="U113" i="8" s="1"/>
  <c r="U112" i="9"/>
  <c r="U112" i="8"/>
  <c r="U112" i="26"/>
  <c r="S126" i="12"/>
  <c r="S126" i="36"/>
  <c r="R114" i="32"/>
  <c r="T112" i="8"/>
  <c r="T112" i="21"/>
  <c r="Q124" i="32"/>
  <c r="R51" i="12"/>
  <c r="L52" i="32"/>
  <c r="V30" i="12"/>
  <c r="V89" i="12" s="1"/>
  <c r="V112" i="12" s="1"/>
  <c r="V135" i="12"/>
  <c r="V192" i="12" s="1"/>
  <c r="J34" i="9"/>
  <c r="J134" i="9"/>
  <c r="V20" i="24"/>
  <c r="V21" i="24"/>
  <c r="V16" i="24"/>
  <c r="V17" i="24"/>
  <c r="V19" i="24"/>
  <c r="V14" i="24"/>
  <c r="V24" i="24" s="1"/>
  <c r="V22" i="24"/>
  <c r="V15" i="24"/>
  <c r="V18" i="24"/>
  <c r="U24" i="24"/>
  <c r="V12" i="36"/>
  <c r="V7" i="36"/>
  <c r="V8" i="36"/>
  <c r="W6" i="36"/>
  <c r="V17" i="36"/>
  <c r="S55" i="36"/>
  <c r="S55" i="12"/>
  <c r="S119" i="36"/>
  <c r="S119" i="12"/>
  <c r="W134" i="12"/>
  <c r="V191" i="12"/>
  <c r="N33" i="32"/>
  <c r="N40" i="32"/>
  <c r="N47" i="32" s="1"/>
  <c r="U159" i="24"/>
  <c r="V13" i="33"/>
  <c r="W10" i="10"/>
  <c r="W33" i="10" s="1"/>
  <c r="W90" i="10" s="1"/>
  <c r="W111" i="10" s="1"/>
  <c r="W42" i="10"/>
  <c r="W149" i="10" s="1"/>
  <c r="X9" i="10"/>
  <c r="W13" i="10"/>
  <c r="X9" i="24"/>
  <c r="W10" i="24"/>
  <c r="W13" i="24"/>
  <c r="V88" i="12"/>
  <c r="U32" i="12"/>
  <c r="U44" i="12"/>
  <c r="W17" i="12"/>
  <c r="W7" i="12"/>
  <c r="X6" i="12"/>
  <c r="W8" i="12"/>
  <c r="W12" i="12"/>
  <c r="U24" i="29"/>
  <c r="R66" i="37"/>
  <c r="S122" i="24"/>
  <c r="T116" i="12"/>
  <c r="S138" i="24"/>
  <c r="S123" i="24"/>
  <c r="S130" i="24"/>
  <c r="S121" i="24"/>
  <c r="S129" i="24"/>
  <c r="T116" i="36"/>
  <c r="S120" i="24"/>
  <c r="V20" i="10"/>
  <c r="V17" i="10"/>
  <c r="V18" i="10"/>
  <c r="V15" i="10"/>
  <c r="V19" i="10"/>
  <c r="V22" i="10"/>
  <c r="V21" i="10"/>
  <c r="V14" i="10"/>
  <c r="V16" i="10"/>
  <c r="J35" i="29"/>
  <c r="J36" i="29" s="1"/>
  <c r="J47" i="29" s="1"/>
  <c r="J154" i="29"/>
  <c r="U30" i="36"/>
  <c r="U89" i="36" s="1"/>
  <c r="U112" i="36" s="1"/>
  <c r="U135" i="36"/>
  <c r="U193" i="36" s="1"/>
  <c r="T112" i="26"/>
  <c r="P27" i="32"/>
  <c r="P133" i="32"/>
  <c r="P142" i="32"/>
  <c r="U24" i="10"/>
  <c r="Z138" i="32"/>
  <c r="Z31" i="32" s="1"/>
  <c r="AA17" i="32"/>
  <c r="AC99" i="29"/>
  <c r="AD97" i="29" s="1"/>
  <c r="X49" i="9"/>
  <c r="X139" i="9"/>
  <c r="Y140" i="9" s="1"/>
  <c r="X38" i="9"/>
  <c r="Z44" i="32"/>
  <c r="Y46" i="32"/>
  <c r="AA138" i="32"/>
  <c r="AA31" i="32" s="1"/>
  <c r="AA42" i="32"/>
  <c r="Y19" i="9"/>
  <c r="Y22" i="9"/>
  <c r="Y20" i="9"/>
  <c r="Y21" i="9"/>
  <c r="Y17" i="9"/>
  <c r="Y14" i="9"/>
  <c r="Y18" i="9"/>
  <c r="Y15" i="9"/>
  <c r="Y24" i="9"/>
  <c r="Y16" i="9"/>
  <c r="Z32" i="9"/>
  <c r="Y42" i="9"/>
  <c r="Y141" i="9" s="1"/>
  <c r="W122" i="9"/>
  <c r="X110" i="9"/>
  <c r="W113" i="9"/>
  <c r="Z13" i="9"/>
  <c r="AA9" i="9"/>
  <c r="Z10" i="9"/>
  <c r="Z33" i="9" s="1"/>
  <c r="Z90" i="9" s="1"/>
  <c r="Z111" i="9" s="1"/>
  <c r="AB15" i="32"/>
  <c r="AB13" i="32"/>
  <c r="AB12" i="32"/>
  <c r="AC11" i="32" s="1"/>
  <c r="AB14" i="32"/>
  <c r="AA10" i="32"/>
  <c r="AA26" i="32" s="1"/>
  <c r="AA83" i="32" s="1"/>
  <c r="AA104" i="32" s="1"/>
  <c r="AB9" i="32"/>
  <c r="Z21" i="21"/>
  <c r="Z14" i="21"/>
  <c r="Z22" i="21"/>
  <c r="Z17" i="21"/>
  <c r="Z15" i="21"/>
  <c r="Z24" i="21"/>
  <c r="Z19" i="21"/>
  <c r="Z16" i="21"/>
  <c r="Z20" i="21"/>
  <c r="Z18" i="21"/>
  <c r="Y140" i="21"/>
  <c r="Z141" i="21" s="1"/>
  <c r="Y38" i="21"/>
  <c r="Y49" i="21"/>
  <c r="Z99" i="21"/>
  <c r="AA97" i="21" s="1"/>
  <c r="W119" i="21"/>
  <c r="W120" i="21"/>
  <c r="X49" i="5"/>
  <c r="X132" i="5"/>
  <c r="X38" i="5" s="1"/>
  <c r="Y24" i="5"/>
  <c r="AB9" i="21"/>
  <c r="AA10" i="21"/>
  <c r="AA33" i="21" s="1"/>
  <c r="AA90" i="21" s="1"/>
  <c r="AA111" i="21" s="1"/>
  <c r="AA13" i="21"/>
  <c r="Y110" i="21"/>
  <c r="X114" i="21"/>
  <c r="X119" i="21" s="1"/>
  <c r="Z17" i="5"/>
  <c r="Z18" i="5"/>
  <c r="Z19" i="5"/>
  <c r="Z16" i="5"/>
  <c r="Z14" i="5"/>
  <c r="Z21" i="5"/>
  <c r="Z20" i="5"/>
  <c r="Z22" i="5"/>
  <c r="Z15" i="5"/>
  <c r="Y99" i="10"/>
  <c r="Z97" i="10" s="1"/>
  <c r="AB9" i="5"/>
  <c r="AA13" i="5"/>
  <c r="AA42" i="5"/>
  <c r="AA134" i="5" s="1"/>
  <c r="AA10" i="5"/>
  <c r="AA32" i="21"/>
  <c r="Z42" i="21"/>
  <c r="Z142" i="21" s="1"/>
  <c r="W38" i="5"/>
  <c r="X133" i="5"/>
  <c r="AC32" i="10"/>
  <c r="AF29" i="12"/>
  <c r="AA89" i="10"/>
  <c r="Z101" i="10"/>
  <c r="Z98" i="10"/>
  <c r="Z102" i="10" s="1"/>
  <c r="AE12" i="21"/>
  <c r="AF11" i="21" s="1"/>
  <c r="Z116" i="8"/>
  <c r="AA101" i="21"/>
  <c r="AB89" i="21"/>
  <c r="AA98" i="21"/>
  <c r="AA102" i="21" s="1"/>
  <c r="Y103" i="10"/>
  <c r="Y92" i="10" s="1"/>
  <c r="Y134" i="10"/>
  <c r="Y137" i="10" s="1"/>
  <c r="Z128" i="21"/>
  <c r="Z130" i="21" s="1"/>
  <c r="Z103" i="21"/>
  <c r="Z92" i="21" s="1"/>
  <c r="Z49" i="8"/>
  <c r="Z38" i="8"/>
  <c r="Z144" i="8"/>
  <c r="AA145" i="8" s="1"/>
  <c r="AA110" i="8"/>
  <c r="AA22" i="8"/>
  <c r="AA24" i="8"/>
  <c r="AA18" i="8"/>
  <c r="AA19" i="8"/>
  <c r="AA20" i="8"/>
  <c r="AA21" i="8"/>
  <c r="AA14" i="8"/>
  <c r="AA15" i="8"/>
  <c r="AA17" i="8"/>
  <c r="AA16" i="8"/>
  <c r="AA42" i="8"/>
  <c r="AA146" i="8" s="1"/>
  <c r="AB32" i="8"/>
  <c r="AC9" i="8"/>
  <c r="AB10" i="8"/>
  <c r="AB33" i="8" s="1"/>
  <c r="AB90" i="8" s="1"/>
  <c r="AB111" i="8" s="1"/>
  <c r="AB13" i="8"/>
  <c r="AE30" i="8"/>
  <c r="AD57" i="8"/>
  <c r="AD12" i="8"/>
  <c r="AE11" i="8" s="1"/>
  <c r="AE89" i="9"/>
  <c r="AD101" i="9"/>
  <c r="AD98" i="9"/>
  <c r="AD102" i="9" s="1"/>
  <c r="AC103" i="9"/>
  <c r="AC92" i="9" s="1"/>
  <c r="AC129" i="9"/>
  <c r="AC131" i="9" s="1"/>
  <c r="AB12" i="9"/>
  <c r="AC11" i="9" s="1"/>
  <c r="AG57" i="9"/>
  <c r="AH30" i="9"/>
  <c r="AC99" i="9"/>
  <c r="AD97" i="9" s="1"/>
  <c r="Y24" i="26"/>
  <c r="Y14" i="26"/>
  <c r="Y15" i="26"/>
  <c r="Y16" i="26"/>
  <c r="Y20" i="26"/>
  <c r="Y21" i="26"/>
  <c r="Y17" i="26"/>
  <c r="Y18" i="26"/>
  <c r="Y22" i="26"/>
  <c r="Y19" i="26"/>
  <c r="X38" i="26"/>
  <c r="X142" i="26"/>
  <c r="X49" i="26"/>
  <c r="AE30" i="26"/>
  <c r="AD57" i="26"/>
  <c r="Y42" i="26"/>
  <c r="Y144" i="26" s="1"/>
  <c r="Z32" i="26"/>
  <c r="W122" i="26"/>
  <c r="X110" i="26"/>
  <c r="W113" i="26"/>
  <c r="Y89" i="26"/>
  <c r="AB12" i="26"/>
  <c r="AC11" i="26" s="1"/>
  <c r="Z13" i="26"/>
  <c r="AA9" i="26"/>
  <c r="Z10" i="26"/>
  <c r="Z33" i="26" s="1"/>
  <c r="Z90" i="26" s="1"/>
  <c r="Z111" i="26" s="1"/>
  <c r="AC103" i="29"/>
  <c r="AC92" i="29" s="1"/>
  <c r="AE30" i="29"/>
  <c r="AD57" i="29"/>
  <c r="AE89" i="29"/>
  <c r="AD101" i="29"/>
  <c r="AD98" i="29"/>
  <c r="AD102" i="29" s="1"/>
  <c r="X99" i="24"/>
  <c r="Y97" i="24" s="1"/>
  <c r="X147" i="24"/>
  <c r="X150" i="24" s="1"/>
  <c r="X103" i="24"/>
  <c r="X92" i="24" s="1"/>
  <c r="Z89" i="24"/>
  <c r="Y101" i="24"/>
  <c r="Y98" i="24"/>
  <c r="Y102" i="24" s="1"/>
  <c r="AF30" i="24"/>
  <c r="AE57" i="24"/>
  <c r="AF160" i="36" l="1"/>
  <c r="AG132" i="36"/>
  <c r="T126" i="29"/>
  <c r="T127" i="29"/>
  <c r="T128" i="29"/>
  <c r="BB20" i="37"/>
  <c r="BB17" i="37"/>
  <c r="C24" i="37"/>
  <c r="BB21" i="37"/>
  <c r="I27" i="37"/>
  <c r="M53" i="32"/>
  <c r="M54" i="32"/>
  <c r="W135" i="12"/>
  <c r="W192" i="12" s="1"/>
  <c r="W30" i="12"/>
  <c r="W89" i="12" s="1"/>
  <c r="W112" i="12" s="1"/>
  <c r="W20" i="10"/>
  <c r="W16" i="10"/>
  <c r="W21" i="10"/>
  <c r="W14" i="10"/>
  <c r="W22" i="10"/>
  <c r="W15" i="10"/>
  <c r="W18" i="10"/>
  <c r="W19" i="10"/>
  <c r="W17" i="10"/>
  <c r="N36" i="32"/>
  <c r="N37" i="32" s="1"/>
  <c r="N84" i="32"/>
  <c r="W12" i="36"/>
  <c r="W7" i="36"/>
  <c r="X6" i="36"/>
  <c r="W17" i="36"/>
  <c r="W8" i="36"/>
  <c r="V49" i="24"/>
  <c r="V38" i="24"/>
  <c r="V158" i="24"/>
  <c r="R124" i="32"/>
  <c r="S51" i="12"/>
  <c r="S57" i="12" s="1"/>
  <c r="U118" i="29"/>
  <c r="V110" i="29"/>
  <c r="U114" i="29"/>
  <c r="U138" i="29" s="1"/>
  <c r="U112" i="29"/>
  <c r="U113" i="29"/>
  <c r="P134" i="32"/>
  <c r="P28" i="32" s="1"/>
  <c r="W134" i="36"/>
  <c r="V192" i="36"/>
  <c r="P29" i="32"/>
  <c r="V24" i="10"/>
  <c r="T118" i="12"/>
  <c r="T118" i="36"/>
  <c r="T120" i="36"/>
  <c r="T120" i="12"/>
  <c r="X134" i="12"/>
  <c r="W191" i="12"/>
  <c r="V135" i="36"/>
  <c r="V193" i="36" s="1"/>
  <c r="V30" i="36"/>
  <c r="V89" i="36" s="1"/>
  <c r="V112" i="36" s="1"/>
  <c r="R130" i="29"/>
  <c r="T126" i="36"/>
  <c r="T126" i="12"/>
  <c r="M87" i="32"/>
  <c r="M86" i="32"/>
  <c r="L53" i="32"/>
  <c r="L54" i="32"/>
  <c r="T127" i="36"/>
  <c r="T127" i="12"/>
  <c r="U113" i="24"/>
  <c r="U118" i="24"/>
  <c r="U114" i="24"/>
  <c r="U140" i="24"/>
  <c r="V110" i="24"/>
  <c r="U112" i="24"/>
  <c r="W19" i="29"/>
  <c r="W14" i="29"/>
  <c r="W18" i="29"/>
  <c r="W21" i="29"/>
  <c r="W20" i="29"/>
  <c r="W22" i="29"/>
  <c r="W15" i="29"/>
  <c r="W17" i="29"/>
  <c r="W16" i="29"/>
  <c r="X42" i="10"/>
  <c r="X149" i="10" s="1"/>
  <c r="X10" i="10"/>
  <c r="X33" i="10" s="1"/>
  <c r="X90" i="10" s="1"/>
  <c r="X111" i="10" s="1"/>
  <c r="Y9" i="10"/>
  <c r="X13" i="10"/>
  <c r="U156" i="29"/>
  <c r="V157" i="29" s="1"/>
  <c r="U49" i="29"/>
  <c r="U38" i="29"/>
  <c r="V32" i="12"/>
  <c r="W88" i="12"/>
  <c r="V44" i="12"/>
  <c r="U158" i="24"/>
  <c r="V159" i="24" s="1"/>
  <c r="U49" i="24"/>
  <c r="U38" i="24"/>
  <c r="T128" i="12"/>
  <c r="T128" i="36"/>
  <c r="W42" i="24"/>
  <c r="W160" i="24" s="1"/>
  <c r="X32" i="24"/>
  <c r="V7" i="33"/>
  <c r="V30" i="33"/>
  <c r="V46" i="33" s="1"/>
  <c r="W3" i="33"/>
  <c r="V4" i="33"/>
  <c r="X13" i="29"/>
  <c r="Y9" i="29"/>
  <c r="X10" i="29"/>
  <c r="W16" i="24"/>
  <c r="W20" i="24"/>
  <c r="W15" i="24"/>
  <c r="W14" i="24"/>
  <c r="W21" i="24"/>
  <c r="W22" i="24"/>
  <c r="W19" i="24"/>
  <c r="W17" i="24"/>
  <c r="W18" i="24"/>
  <c r="Q27" i="32"/>
  <c r="Q133" i="32"/>
  <c r="Q142" i="32"/>
  <c r="V24" i="29"/>
  <c r="U45" i="36"/>
  <c r="U44" i="36"/>
  <c r="U32" i="36"/>
  <c r="U72" i="36"/>
  <c r="V88" i="36"/>
  <c r="R123" i="9"/>
  <c r="S114" i="32"/>
  <c r="U48" i="33"/>
  <c r="V113" i="8" s="1"/>
  <c r="U47" i="33"/>
  <c r="V112" i="9" s="1"/>
  <c r="U126" i="10"/>
  <c r="U116" i="10"/>
  <c r="V110" i="10"/>
  <c r="U113" i="10"/>
  <c r="U112" i="10"/>
  <c r="T119" i="12"/>
  <c r="T119" i="36"/>
  <c r="J135" i="9"/>
  <c r="J35" i="9" s="1"/>
  <c r="X32" i="29"/>
  <c r="W42" i="29"/>
  <c r="W158" i="29" s="1"/>
  <c r="T137" i="29"/>
  <c r="U124" i="36"/>
  <c r="U124" i="12"/>
  <c r="T120" i="29"/>
  <c r="T121" i="29"/>
  <c r="T122" i="29"/>
  <c r="T138" i="24"/>
  <c r="T121" i="24"/>
  <c r="U116" i="36"/>
  <c r="T122" i="24"/>
  <c r="T120" i="24"/>
  <c r="T130" i="24"/>
  <c r="U116" i="12"/>
  <c r="T129" i="24"/>
  <c r="T123" i="24"/>
  <c r="W92" i="12"/>
  <c r="W92" i="36"/>
  <c r="U113" i="12"/>
  <c r="T122" i="10"/>
  <c r="U113" i="36"/>
  <c r="T119" i="10"/>
  <c r="T125" i="10" s="1"/>
  <c r="O36" i="32"/>
  <c r="O84" i="32"/>
  <c r="V18" i="36"/>
  <c r="U49" i="10"/>
  <c r="U147" i="10"/>
  <c r="V148" i="10" s="1"/>
  <c r="U38" i="10"/>
  <c r="T121" i="36"/>
  <c r="T121" i="12"/>
  <c r="X17" i="12"/>
  <c r="X8" i="12"/>
  <c r="Y6" i="12"/>
  <c r="X7" i="12"/>
  <c r="Y9" i="24"/>
  <c r="X13" i="24"/>
  <c r="X10" i="24"/>
  <c r="J36" i="9"/>
  <c r="J47" i="9" s="1"/>
  <c r="T113" i="32"/>
  <c r="S139" i="24" s="1"/>
  <c r="T109" i="32"/>
  <c r="S123" i="26" s="1"/>
  <c r="T107" i="32"/>
  <c r="T110" i="32"/>
  <c r="T112" i="32"/>
  <c r="U103" i="32"/>
  <c r="T111" i="32"/>
  <c r="S127" i="10" s="1"/>
  <c r="S128" i="10" s="1"/>
  <c r="T39" i="36" s="1"/>
  <c r="T106" i="32"/>
  <c r="T128" i="32"/>
  <c r="T130" i="32" s="1"/>
  <c r="U55" i="12" s="1"/>
  <c r="T108" i="32"/>
  <c r="S124" i="8" s="1"/>
  <c r="T124" i="8"/>
  <c r="T123" i="9"/>
  <c r="Q132" i="29"/>
  <c r="R8" i="43" s="1"/>
  <c r="Q135" i="29"/>
  <c r="Y133" i="5"/>
  <c r="AB17" i="32"/>
  <c r="AB9" i="9"/>
  <c r="AA10" i="9"/>
  <c r="AA33" i="9" s="1"/>
  <c r="AA90" i="9" s="1"/>
  <c r="AA111" i="9" s="1"/>
  <c r="AA13" i="9"/>
  <c r="Z15" i="9"/>
  <c r="Z18" i="9"/>
  <c r="Z24" i="9"/>
  <c r="Z14" i="9"/>
  <c r="Z17" i="9"/>
  <c r="Z22" i="9"/>
  <c r="Z20" i="9"/>
  <c r="Z16" i="9"/>
  <c r="Z19" i="9"/>
  <c r="Z21" i="9"/>
  <c r="Y38" i="9"/>
  <c r="Y49" i="9"/>
  <c r="Y139" i="9"/>
  <c r="Z140" i="9" s="1"/>
  <c r="AA44" i="32"/>
  <c r="Z46" i="32"/>
  <c r="AC9" i="32"/>
  <c r="AB10" i="32"/>
  <c r="AB26" i="32" s="1"/>
  <c r="AB83" i="32" s="1"/>
  <c r="AB104" i="32" s="1"/>
  <c r="Y110" i="9"/>
  <c r="X122" i="9"/>
  <c r="X113" i="9"/>
  <c r="AA99" i="21"/>
  <c r="AB97" i="21" s="1"/>
  <c r="AC13" i="32"/>
  <c r="AC14" i="32"/>
  <c r="AC12" i="32"/>
  <c r="AD11" i="32" s="1"/>
  <c r="AC15" i="32"/>
  <c r="AA32" i="9"/>
  <c r="Z42" i="9"/>
  <c r="Z141" i="9" s="1"/>
  <c r="AA20" i="5"/>
  <c r="AA14" i="5"/>
  <c r="AA15" i="5"/>
  <c r="AA22" i="5"/>
  <c r="AA19" i="5"/>
  <c r="AA17" i="5"/>
  <c r="AA21" i="5"/>
  <c r="AA16" i="5"/>
  <c r="AA18" i="5"/>
  <c r="AC9" i="5"/>
  <c r="AB10" i="5"/>
  <c r="AB13" i="5"/>
  <c r="AB42" i="5"/>
  <c r="AB134" i="5" s="1"/>
  <c r="AB13" i="21"/>
  <c r="AC9" i="21"/>
  <c r="AB10" i="21"/>
  <c r="AB33" i="21" s="1"/>
  <c r="AB90" i="21" s="1"/>
  <c r="AB111" i="21" s="1"/>
  <c r="AB32" i="21"/>
  <c r="AA42" i="21"/>
  <c r="AA142" i="21" s="1"/>
  <c r="Y132" i="5"/>
  <c r="Y49" i="5"/>
  <c r="Z24" i="5"/>
  <c r="Z140" i="21"/>
  <c r="AA141" i="21" s="1"/>
  <c r="Z49" i="21"/>
  <c r="Z38" i="21"/>
  <c r="AD99" i="9"/>
  <c r="Z110" i="21"/>
  <c r="Y114" i="21"/>
  <c r="AA24" i="21"/>
  <c r="AA16" i="21"/>
  <c r="AA15" i="21"/>
  <c r="AA19" i="21"/>
  <c r="AA17" i="21"/>
  <c r="AA14" i="21"/>
  <c r="AA18" i="21"/>
  <c r="AA21" i="21"/>
  <c r="AA20" i="21"/>
  <c r="AA22" i="21"/>
  <c r="AB101" i="21"/>
  <c r="AB98" i="21"/>
  <c r="AB102" i="21" s="1"/>
  <c r="AC89" i="21"/>
  <c r="AA128" i="21"/>
  <c r="AA130" i="21" s="1"/>
  <c r="AA103" i="21"/>
  <c r="AA92" i="21" s="1"/>
  <c r="Y99" i="24"/>
  <c r="Z97" i="24" s="1"/>
  <c r="Z103" i="10"/>
  <c r="Z92" i="10" s="1"/>
  <c r="Z134" i="10"/>
  <c r="Z137" i="10" s="1"/>
  <c r="AB89" i="10"/>
  <c r="AA101" i="10"/>
  <c r="AA98" i="10"/>
  <c r="AA102" i="10" s="1"/>
  <c r="AG29" i="12"/>
  <c r="Z99" i="10"/>
  <c r="AA97" i="10" s="1"/>
  <c r="AF12" i="21"/>
  <c r="AG11" i="21" s="1"/>
  <c r="AD32" i="10"/>
  <c r="AB18" i="8"/>
  <c r="AB15" i="8"/>
  <c r="AB21" i="8"/>
  <c r="AB22" i="8"/>
  <c r="AB20" i="8"/>
  <c r="AB16" i="8"/>
  <c r="AB24" i="8"/>
  <c r="AB17" i="8"/>
  <c r="AB14" i="8"/>
  <c r="AB19" i="8"/>
  <c r="AB110" i="8"/>
  <c r="AC10" i="8"/>
  <c r="AC33" i="8" s="1"/>
  <c r="AC90" i="8" s="1"/>
  <c r="AC111" i="8" s="1"/>
  <c r="AD9" i="8"/>
  <c r="AC13" i="8"/>
  <c r="AC32" i="8"/>
  <c r="AB42" i="8"/>
  <c r="AB146" i="8" s="1"/>
  <c r="AA49" i="8"/>
  <c r="AA38" i="8"/>
  <c r="AA144" i="8"/>
  <c r="AB145" i="8" s="1"/>
  <c r="AF30" i="8"/>
  <c r="AE57" i="8"/>
  <c r="AA116" i="8"/>
  <c r="AE12" i="8"/>
  <c r="AF11" i="8" s="1"/>
  <c r="AC12" i="9"/>
  <c r="AD11" i="9" s="1"/>
  <c r="AI30" i="9"/>
  <c r="AH57" i="9"/>
  <c r="AD103" i="9"/>
  <c r="AD92" i="9" s="1"/>
  <c r="AD129" i="9"/>
  <c r="AD131" i="9" s="1"/>
  <c r="AF89" i="9"/>
  <c r="AE101" i="9"/>
  <c r="AE97" i="9"/>
  <c r="AE98" i="9"/>
  <c r="AE102" i="9" s="1"/>
  <c r="Z24" i="26"/>
  <c r="Z18" i="26"/>
  <c r="Z14" i="26"/>
  <c r="Z16" i="26"/>
  <c r="Z22" i="26"/>
  <c r="Z19" i="26"/>
  <c r="Z17" i="26"/>
  <c r="Z20" i="26"/>
  <c r="Z21" i="26"/>
  <c r="Z15" i="26"/>
  <c r="AC12" i="26"/>
  <c r="AD11" i="26" s="1"/>
  <c r="X122" i="26"/>
  <c r="Y110" i="26"/>
  <c r="X113" i="26"/>
  <c r="AA13" i="26"/>
  <c r="AA10" i="26"/>
  <c r="AA33" i="26" s="1"/>
  <c r="AA90" i="26" s="1"/>
  <c r="AA111" i="26" s="1"/>
  <c r="AB9" i="26"/>
  <c r="Z42" i="26"/>
  <c r="Z144" i="26" s="1"/>
  <c r="AA32" i="26"/>
  <c r="AE57" i="26"/>
  <c r="AF30" i="26"/>
  <c r="Z89" i="26"/>
  <c r="Y142" i="26"/>
  <c r="Y38" i="26"/>
  <c r="Y49" i="26"/>
  <c r="AF30" i="29"/>
  <c r="AE57" i="29"/>
  <c r="AD99" i="29"/>
  <c r="AE97" i="29" s="1"/>
  <c r="AD103" i="29"/>
  <c r="AD92" i="29" s="1"/>
  <c r="AE98" i="29"/>
  <c r="AE102" i="29" s="1"/>
  <c r="AF89" i="29"/>
  <c r="AE101" i="29"/>
  <c r="Z101" i="24"/>
  <c r="Z98" i="24"/>
  <c r="Z102" i="24" s="1"/>
  <c r="AA89" i="24"/>
  <c r="AG30" i="24"/>
  <c r="AF57" i="24"/>
  <c r="Y147" i="24"/>
  <c r="Y150" i="24" s="1"/>
  <c r="Y103" i="24"/>
  <c r="Y92" i="24" s="1"/>
  <c r="AH132" i="36" l="1"/>
  <c r="AG160" i="36"/>
  <c r="U126" i="29"/>
  <c r="U127" i="29"/>
  <c r="U128" i="29"/>
  <c r="O27" i="37"/>
  <c r="X30" i="12"/>
  <c r="X89" i="12" s="1"/>
  <c r="X112" i="12" s="1"/>
  <c r="X135" i="12"/>
  <c r="X192" i="12" s="1"/>
  <c r="W7" i="33"/>
  <c r="X3" i="33"/>
  <c r="W30" i="33"/>
  <c r="W46" i="33" s="1"/>
  <c r="W4" i="33"/>
  <c r="S123" i="9"/>
  <c r="T114" i="32"/>
  <c r="U127" i="36"/>
  <c r="U127" i="12"/>
  <c r="V112" i="21"/>
  <c r="V112" i="8"/>
  <c r="V112" i="26"/>
  <c r="Y10" i="29"/>
  <c r="Y13" i="29"/>
  <c r="Z9" i="29"/>
  <c r="X88" i="12"/>
  <c r="W32" i="12"/>
  <c r="W44" i="12"/>
  <c r="W24" i="29"/>
  <c r="W159" i="24"/>
  <c r="W24" i="10"/>
  <c r="U112" i="32"/>
  <c r="U128" i="32"/>
  <c r="U130" i="32" s="1"/>
  <c r="U107" i="32"/>
  <c r="T121" i="21" s="1"/>
  <c r="T122" i="21" s="1"/>
  <c r="U66" i="36" s="1"/>
  <c r="U106" i="32"/>
  <c r="U108" i="32"/>
  <c r="U124" i="8" s="1"/>
  <c r="V103" i="32"/>
  <c r="U109" i="32"/>
  <c r="T123" i="26" s="1"/>
  <c r="U110" i="32"/>
  <c r="U111" i="32"/>
  <c r="T127" i="10" s="1"/>
  <c r="T128" i="10" s="1"/>
  <c r="U39" i="36" s="1"/>
  <c r="U113" i="32"/>
  <c r="T139" i="24" s="1"/>
  <c r="U139" i="24"/>
  <c r="X20" i="24"/>
  <c r="X15" i="24"/>
  <c r="X22" i="24"/>
  <c r="X16" i="24"/>
  <c r="X19" i="24"/>
  <c r="X21" i="24"/>
  <c r="X14" i="24"/>
  <c r="X24" i="24" s="1"/>
  <c r="X17" i="24"/>
  <c r="X18" i="24"/>
  <c r="U118" i="12"/>
  <c r="U118" i="36"/>
  <c r="S124" i="32"/>
  <c r="T51" i="12"/>
  <c r="T57" i="12" s="1"/>
  <c r="V38" i="29"/>
  <c r="V49" i="29"/>
  <c r="V156" i="29"/>
  <c r="W157" i="29" s="1"/>
  <c r="R132" i="29"/>
  <c r="S8" i="43" s="1"/>
  <c r="R135" i="29"/>
  <c r="O37" i="32"/>
  <c r="O51" i="32" s="1"/>
  <c r="N51" i="32"/>
  <c r="U126" i="12"/>
  <c r="U126" i="36"/>
  <c r="X15" i="29"/>
  <c r="X16" i="29"/>
  <c r="X21" i="29"/>
  <c r="X19" i="29"/>
  <c r="X22" i="29"/>
  <c r="X17" i="29"/>
  <c r="X20" i="29"/>
  <c r="X14" i="29"/>
  <c r="X18" i="29"/>
  <c r="S130" i="29"/>
  <c r="N86" i="32"/>
  <c r="N87" i="32"/>
  <c r="Y13" i="24"/>
  <c r="Z9" i="24"/>
  <c r="Y10" i="24"/>
  <c r="U120" i="12"/>
  <c r="U120" i="36"/>
  <c r="W24" i="24"/>
  <c r="W110" i="24"/>
  <c r="V113" i="24"/>
  <c r="V118" i="24"/>
  <c r="V140" i="24"/>
  <c r="V114" i="24"/>
  <c r="V112" i="24"/>
  <c r="V49" i="10"/>
  <c r="V38" i="10"/>
  <c r="V147" i="10"/>
  <c r="W148" i="10" s="1"/>
  <c r="W110" i="29"/>
  <c r="V114" i="29"/>
  <c r="V138" i="29" s="1"/>
  <c r="V118" i="29"/>
  <c r="V112" i="29"/>
  <c r="V113" i="29"/>
  <c r="Y17" i="12"/>
  <c r="Y8" i="12"/>
  <c r="Z6" i="12"/>
  <c r="Y7" i="12"/>
  <c r="Y12" i="12"/>
  <c r="U119" i="36"/>
  <c r="U119" i="12"/>
  <c r="V126" i="10"/>
  <c r="V116" i="10"/>
  <c r="V118" i="10" s="1"/>
  <c r="W110" i="10"/>
  <c r="V112" i="10"/>
  <c r="V113" i="10"/>
  <c r="U6" i="33"/>
  <c r="W88" i="36"/>
  <c r="V44" i="36"/>
  <c r="V32" i="36"/>
  <c r="V45" i="36"/>
  <c r="V72" i="36"/>
  <c r="V48" i="33"/>
  <c r="W113" i="29" s="1"/>
  <c r="V47" i="33"/>
  <c r="W112" i="26" s="1"/>
  <c r="W113" i="8"/>
  <c r="X20" i="10"/>
  <c r="X15" i="10"/>
  <c r="X22" i="10"/>
  <c r="X21" i="10"/>
  <c r="X16" i="10"/>
  <c r="X19" i="10"/>
  <c r="X14" i="10"/>
  <c r="X17" i="10"/>
  <c r="X18" i="10"/>
  <c r="U137" i="29"/>
  <c r="V124" i="12"/>
  <c r="U120" i="29"/>
  <c r="V124" i="36"/>
  <c r="U121" i="29"/>
  <c r="U122" i="29"/>
  <c r="X18" i="36"/>
  <c r="Y6" i="36"/>
  <c r="X12" i="36"/>
  <c r="X7" i="36"/>
  <c r="X17" i="36"/>
  <c r="X8" i="36"/>
  <c r="Q134" i="32"/>
  <c r="Q28" i="32" s="1"/>
  <c r="Q29" i="32" s="1"/>
  <c r="Q136" i="32"/>
  <c r="W13" i="33"/>
  <c r="O86" i="32"/>
  <c r="O87" i="32"/>
  <c r="U121" i="36"/>
  <c r="U121" i="12"/>
  <c r="Y32" i="29"/>
  <c r="X42" i="29"/>
  <c r="X158" i="29" s="1"/>
  <c r="U118" i="10"/>
  <c r="T6" i="33"/>
  <c r="X92" i="36"/>
  <c r="X92" i="12"/>
  <c r="Y42" i="10"/>
  <c r="Y10" i="10"/>
  <c r="Y33" i="10" s="1"/>
  <c r="Y90" i="10" s="1"/>
  <c r="Y111" i="10" s="1"/>
  <c r="Y13" i="10"/>
  <c r="Z9" i="10"/>
  <c r="U138" i="24"/>
  <c r="V116" i="12"/>
  <c r="U122" i="24"/>
  <c r="V116" i="36"/>
  <c r="U120" i="24"/>
  <c r="U130" i="24"/>
  <c r="U129" i="24"/>
  <c r="U123" i="24"/>
  <c r="U121" i="24"/>
  <c r="X191" i="12"/>
  <c r="Y134" i="12"/>
  <c r="W192" i="36"/>
  <c r="X134" i="36"/>
  <c r="W135" i="36"/>
  <c r="W193" i="36" s="1"/>
  <c r="W30" i="36"/>
  <c r="W89" i="36" s="1"/>
  <c r="W112" i="36" s="1"/>
  <c r="P40" i="32"/>
  <c r="P47" i="32" s="1"/>
  <c r="P33" i="32"/>
  <c r="U128" i="36"/>
  <c r="U128" i="12"/>
  <c r="J137" i="9"/>
  <c r="X42" i="24"/>
  <c r="X160" i="24" s="1"/>
  <c r="Y32" i="24"/>
  <c r="P136" i="32"/>
  <c r="R27" i="32"/>
  <c r="R142" i="32"/>
  <c r="R133" i="32"/>
  <c r="W18" i="36"/>
  <c r="AC17" i="32"/>
  <c r="AC138" i="32" s="1"/>
  <c r="AC31" i="32" s="1"/>
  <c r="AA46" i="32"/>
  <c r="AA19" i="9"/>
  <c r="AA20" i="9"/>
  <c r="AA22" i="9"/>
  <c r="AA17" i="9"/>
  <c r="AA14" i="9"/>
  <c r="AA24" i="9"/>
  <c r="AA16" i="9"/>
  <c r="AA21" i="9"/>
  <c r="AA18" i="9"/>
  <c r="AA15" i="9"/>
  <c r="AC9" i="9"/>
  <c r="AB10" i="9"/>
  <c r="AB33" i="9" s="1"/>
  <c r="AB90" i="9" s="1"/>
  <c r="AB111" i="9" s="1"/>
  <c r="AB13" i="9"/>
  <c r="AD9" i="32"/>
  <c r="AC10" i="32"/>
  <c r="AC26" i="32" s="1"/>
  <c r="AC83" i="32" s="1"/>
  <c r="AC104" i="32" s="1"/>
  <c r="Z38" i="9"/>
  <c r="Z139" i="9"/>
  <c r="AA140" i="9" s="1"/>
  <c r="Z49" i="9"/>
  <c r="AB32" i="9"/>
  <c r="AA42" i="9"/>
  <c r="AA141" i="9" s="1"/>
  <c r="Y113" i="9"/>
  <c r="Y122" i="9"/>
  <c r="Z110" i="9"/>
  <c r="AB138" i="32"/>
  <c r="AB31" i="32" s="1"/>
  <c r="AB42" i="32"/>
  <c r="AB44" i="32" s="1"/>
  <c r="AD15" i="32"/>
  <c r="AD14" i="32"/>
  <c r="AD13" i="32"/>
  <c r="AD12" i="32"/>
  <c r="AE11" i="32" s="1"/>
  <c r="AA49" i="21"/>
  <c r="AA38" i="21"/>
  <c r="AA140" i="21"/>
  <c r="AB141" i="21" s="1"/>
  <c r="Y119" i="21"/>
  <c r="X13" i="33"/>
  <c r="Y38" i="5"/>
  <c r="Z133" i="5"/>
  <c r="AD9" i="5"/>
  <c r="AC10" i="5"/>
  <c r="AC13" i="5"/>
  <c r="AC42" i="5"/>
  <c r="AC134" i="5" s="1"/>
  <c r="AA110" i="21"/>
  <c r="Z114" i="21"/>
  <c r="AC32" i="21"/>
  <c r="AB42" i="21"/>
  <c r="AB142" i="21" s="1"/>
  <c r="AD9" i="21"/>
  <c r="AC10" i="21"/>
  <c r="AC33" i="21" s="1"/>
  <c r="AC90" i="21" s="1"/>
  <c r="AC111" i="21" s="1"/>
  <c r="AC13" i="21"/>
  <c r="AB22" i="21"/>
  <c r="AB24" i="21"/>
  <c r="AB19" i="21"/>
  <c r="AB16" i="21"/>
  <c r="AB20" i="21"/>
  <c r="AB17" i="21"/>
  <c r="AB15" i="21"/>
  <c r="AB14" i="21"/>
  <c r="AB21" i="21"/>
  <c r="AB18" i="21"/>
  <c r="AA99" i="10"/>
  <c r="AB97" i="10" s="1"/>
  <c r="Z132" i="5"/>
  <c r="Z49" i="5"/>
  <c r="AA24" i="5"/>
  <c r="AB16" i="5"/>
  <c r="AB22" i="5"/>
  <c r="AB20" i="5"/>
  <c r="AB18" i="5"/>
  <c r="AB17" i="5"/>
  <c r="AB19" i="5"/>
  <c r="AB14" i="5"/>
  <c r="AB15" i="5"/>
  <c r="AB21" i="5"/>
  <c r="AB98" i="10"/>
  <c r="AB102" i="10" s="1"/>
  <c r="AB101" i="10"/>
  <c r="AC89" i="10"/>
  <c r="AB99" i="21"/>
  <c r="AC97" i="21" s="1"/>
  <c r="AB128" i="21"/>
  <c r="AB130" i="21" s="1"/>
  <c r="AB103" i="21"/>
  <c r="AB92" i="21" s="1"/>
  <c r="AH29" i="12"/>
  <c r="AE32" i="10"/>
  <c r="AE99" i="9"/>
  <c r="AF97" i="9" s="1"/>
  <c r="AG12" i="21"/>
  <c r="AH11" i="21" s="1"/>
  <c r="AA103" i="10"/>
  <c r="AA92" i="10" s="1"/>
  <c r="AA134" i="10"/>
  <c r="AA137" i="10" s="1"/>
  <c r="AC101" i="21"/>
  <c r="AD89" i="21"/>
  <c r="AC98" i="21"/>
  <c r="AC102" i="21" s="1"/>
  <c r="AF57" i="8"/>
  <c r="AG30" i="8"/>
  <c r="AB144" i="8"/>
  <c r="AC145" i="8" s="1"/>
  <c r="AB38" i="8"/>
  <c r="AB49" i="8"/>
  <c r="AC110" i="8"/>
  <c r="AD32" i="8"/>
  <c r="AC42" i="8"/>
  <c r="AC146" i="8" s="1"/>
  <c r="AC20" i="8"/>
  <c r="AC22" i="8"/>
  <c r="AC24" i="8"/>
  <c r="AC17" i="8"/>
  <c r="AC18" i="8"/>
  <c r="AC15" i="8"/>
  <c r="AC21" i="8"/>
  <c r="AC14" i="8"/>
  <c r="AC19" i="8"/>
  <c r="AC16" i="8"/>
  <c r="AB116" i="8"/>
  <c r="AE9" i="8"/>
  <c r="AD10" i="8"/>
  <c r="AD33" i="8" s="1"/>
  <c r="AD90" i="8" s="1"/>
  <c r="AD111" i="8" s="1"/>
  <c r="AD13" i="8"/>
  <c r="AF12" i="8"/>
  <c r="AG11" i="8" s="1"/>
  <c r="AE103" i="9"/>
  <c r="AE92" i="9" s="1"/>
  <c r="AE129" i="9"/>
  <c r="AE131" i="9" s="1"/>
  <c r="AF101" i="9"/>
  <c r="AF98" i="9"/>
  <c r="AF102" i="9" s="1"/>
  <c r="AG89" i="9"/>
  <c r="AJ30" i="9"/>
  <c r="AI57" i="9"/>
  <c r="AD12" i="9"/>
  <c r="AE11" i="9" s="1"/>
  <c r="AA42" i="26"/>
  <c r="AA144" i="26" s="1"/>
  <c r="AB32" i="26"/>
  <c r="Y122" i="26"/>
  <c r="Z110" i="26"/>
  <c r="Y113" i="26"/>
  <c r="AB13" i="26"/>
  <c r="AC9" i="26"/>
  <c r="AB10" i="26"/>
  <c r="AB33" i="26" s="1"/>
  <c r="AB90" i="26" s="1"/>
  <c r="AB111" i="26" s="1"/>
  <c r="AD12" i="26"/>
  <c r="AE11" i="26" s="1"/>
  <c r="AA24" i="26"/>
  <c r="AA21" i="26"/>
  <c r="AA14" i="26"/>
  <c r="AA17" i="26"/>
  <c r="AA18" i="26"/>
  <c r="AA19" i="26"/>
  <c r="AA20" i="26"/>
  <c r="AA22" i="26"/>
  <c r="AA15" i="26"/>
  <c r="AA16" i="26"/>
  <c r="AA89" i="26"/>
  <c r="AG30" i="26"/>
  <c r="AF57" i="26"/>
  <c r="Z38" i="26"/>
  <c r="Z142" i="26"/>
  <c r="Z49" i="26"/>
  <c r="AE99" i="29"/>
  <c r="AF97" i="29" s="1"/>
  <c r="AG30" i="29"/>
  <c r="AF57" i="29"/>
  <c r="AE103" i="29"/>
  <c r="AE92" i="29" s="1"/>
  <c r="AF101" i="29"/>
  <c r="AG89" i="29"/>
  <c r="AF98" i="29"/>
  <c r="AF102" i="29" s="1"/>
  <c r="Z99" i="24"/>
  <c r="AA97" i="24" s="1"/>
  <c r="Z147" i="24"/>
  <c r="Z150" i="24" s="1"/>
  <c r="Z103" i="24"/>
  <c r="Z92" i="24" s="1"/>
  <c r="AG57" i="24"/>
  <c r="AH30" i="24"/>
  <c r="AA101" i="24"/>
  <c r="AB89" i="24"/>
  <c r="AA98" i="24"/>
  <c r="AA102" i="24" s="1"/>
  <c r="AH160" i="36" l="1"/>
  <c r="AI132" i="36"/>
  <c r="W112" i="21"/>
  <c r="W112" i="9"/>
  <c r="W112" i="8"/>
  <c r="V126" i="29"/>
  <c r="V127" i="29"/>
  <c r="V128" i="29"/>
  <c r="Q33" i="32"/>
  <c r="Q40" i="32"/>
  <c r="Q47" i="32" s="1"/>
  <c r="Y134" i="36"/>
  <c r="X192" i="36"/>
  <c r="V118" i="36"/>
  <c r="V118" i="12"/>
  <c r="X30" i="36"/>
  <c r="X89" i="36" s="1"/>
  <c r="X112" i="36" s="1"/>
  <c r="X135" i="36"/>
  <c r="X193" i="36" s="1"/>
  <c r="X24" i="29"/>
  <c r="R134" i="32"/>
  <c r="R28" i="32" s="1"/>
  <c r="R29" i="32" s="1"/>
  <c r="Y191" i="12"/>
  <c r="Z134" i="12"/>
  <c r="V120" i="12"/>
  <c r="V120" i="36"/>
  <c r="Y8" i="36"/>
  <c r="Y7" i="36"/>
  <c r="Z6" i="36"/>
  <c r="Y17" i="36"/>
  <c r="Y12" i="36"/>
  <c r="W72" i="36"/>
  <c r="W32" i="36"/>
  <c r="W44" i="36"/>
  <c r="X88" i="36"/>
  <c r="W45" i="36"/>
  <c r="V137" i="29"/>
  <c r="V122" i="29"/>
  <c r="W124" i="36"/>
  <c r="V120" i="29"/>
  <c r="V121" i="29"/>
  <c r="W124" i="12"/>
  <c r="AA9" i="24"/>
  <c r="Z13" i="24"/>
  <c r="Z10" i="24"/>
  <c r="W47" i="33"/>
  <c r="W48" i="33"/>
  <c r="X113" i="8" s="1"/>
  <c r="X112" i="26"/>
  <c r="X38" i="24"/>
  <c r="X49" i="24"/>
  <c r="X158" i="24"/>
  <c r="V91" i="36"/>
  <c r="V91" i="12"/>
  <c r="W112" i="29"/>
  <c r="W91" i="12"/>
  <c r="W91" i="36"/>
  <c r="V138" i="24"/>
  <c r="V130" i="24"/>
  <c r="W116" i="12"/>
  <c r="V120" i="24"/>
  <c r="W116" i="36"/>
  <c r="V122" i="24"/>
  <c r="V121" i="24"/>
  <c r="V129" i="24"/>
  <c r="V123" i="24"/>
  <c r="Y22" i="24"/>
  <c r="Y14" i="24"/>
  <c r="Y17" i="24"/>
  <c r="Y18" i="24"/>
  <c r="Y15" i="24"/>
  <c r="Y19" i="24"/>
  <c r="Y21" i="24"/>
  <c r="Y16" i="24"/>
  <c r="Y20" i="24"/>
  <c r="U121" i="21"/>
  <c r="U122" i="21" s="1"/>
  <c r="V66" i="36" s="1"/>
  <c r="U114" i="32"/>
  <c r="X7" i="33"/>
  <c r="X30" i="33"/>
  <c r="X46" i="33" s="1"/>
  <c r="Y3" i="33"/>
  <c r="X4" i="33"/>
  <c r="P84" i="32"/>
  <c r="P36" i="32"/>
  <c r="P37" i="32" s="1"/>
  <c r="V119" i="12"/>
  <c r="V119" i="36"/>
  <c r="U119" i="10"/>
  <c r="U125" i="10" s="1"/>
  <c r="V113" i="12"/>
  <c r="V113" i="36"/>
  <c r="U122" i="10"/>
  <c r="V128" i="36"/>
  <c r="V128" i="12"/>
  <c r="X24" i="10"/>
  <c r="Y135" i="12"/>
  <c r="Y192" i="12" s="1"/>
  <c r="Y30" i="12"/>
  <c r="Y89" i="12" s="1"/>
  <c r="Y112" i="12" s="1"/>
  <c r="X110" i="29"/>
  <c r="W114" i="29"/>
  <c r="W138" i="29" s="1"/>
  <c r="W118" i="29"/>
  <c r="N52" i="32"/>
  <c r="O52" i="32"/>
  <c r="S142" i="32"/>
  <c r="S27" i="32"/>
  <c r="S133" i="32"/>
  <c r="X32" i="12"/>
  <c r="X44" i="12"/>
  <c r="Y88" i="12"/>
  <c r="Y92" i="36"/>
  <c r="Y92" i="12"/>
  <c r="V121" i="12"/>
  <c r="V121" i="36"/>
  <c r="Z42" i="10"/>
  <c r="Z149" i="10" s="1"/>
  <c r="AA9" i="10"/>
  <c r="Z13" i="10"/>
  <c r="Z10" i="10"/>
  <c r="Z33" i="10" s="1"/>
  <c r="Z90" i="10" s="1"/>
  <c r="Z111" i="10" s="1"/>
  <c r="V127" i="12"/>
  <c r="V127" i="36"/>
  <c r="Z12" i="12"/>
  <c r="Z8" i="12"/>
  <c r="AA6" i="12"/>
  <c r="Z17" i="12"/>
  <c r="Z7" i="12"/>
  <c r="W114" i="24"/>
  <c r="X110" i="24"/>
  <c r="W140" i="24"/>
  <c r="W118" i="24"/>
  <c r="W112" i="24"/>
  <c r="W113" i="24"/>
  <c r="V55" i="36"/>
  <c r="V55" i="12"/>
  <c r="AA9" i="29"/>
  <c r="Z13" i="29"/>
  <c r="Z10" i="29"/>
  <c r="T130" i="29"/>
  <c r="V109" i="32"/>
  <c r="U123" i="26" s="1"/>
  <c r="V110" i="32"/>
  <c r="V107" i="32"/>
  <c r="V121" i="21" s="1"/>
  <c r="V122" i="21" s="1"/>
  <c r="W66" i="36" s="1"/>
  <c r="V108" i="32"/>
  <c r="V113" i="32"/>
  <c r="V128" i="32"/>
  <c r="V130" i="32" s="1"/>
  <c r="W55" i="12" s="1"/>
  <c r="V106" i="32"/>
  <c r="V111" i="32"/>
  <c r="U127" i="10" s="1"/>
  <c r="U128" i="10" s="1"/>
  <c r="V39" i="36" s="1"/>
  <c r="W103" i="32"/>
  <c r="V112" i="32"/>
  <c r="V124" i="8"/>
  <c r="V139" i="24"/>
  <c r="Y42" i="24"/>
  <c r="Y160" i="24" s="1"/>
  <c r="Z32" i="24"/>
  <c r="Y19" i="10"/>
  <c r="Y17" i="10"/>
  <c r="Y22" i="10"/>
  <c r="Y16" i="10"/>
  <c r="Y14" i="10"/>
  <c r="Y24" i="10" s="1"/>
  <c r="Y21" i="10"/>
  <c r="Y20" i="10"/>
  <c r="Y15" i="10"/>
  <c r="Y18" i="10"/>
  <c r="Z32" i="29"/>
  <c r="Y42" i="29"/>
  <c r="Y158" i="29" s="1"/>
  <c r="X110" i="10"/>
  <c r="W116" i="10"/>
  <c r="W118" i="10" s="1"/>
  <c r="W126" i="10"/>
  <c r="W112" i="10"/>
  <c r="W113" i="10"/>
  <c r="W158" i="24"/>
  <c r="X159" i="24" s="1"/>
  <c r="W49" i="24"/>
  <c r="W38" i="24"/>
  <c r="S132" i="29"/>
  <c r="T8" i="43" s="1"/>
  <c r="S135" i="29"/>
  <c r="Y16" i="29"/>
  <c r="Y14" i="29"/>
  <c r="Y19" i="29"/>
  <c r="Y18" i="29"/>
  <c r="Y21" i="29"/>
  <c r="Y17" i="29"/>
  <c r="Y22" i="29"/>
  <c r="Y15" i="29"/>
  <c r="Y20" i="29"/>
  <c r="T124" i="32"/>
  <c r="U51" i="12"/>
  <c r="U57" i="12" s="1"/>
  <c r="W38" i="29"/>
  <c r="W156" i="29"/>
  <c r="X157" i="29" s="1"/>
  <c r="W49" i="29"/>
  <c r="U130" i="29"/>
  <c r="V126" i="12"/>
  <c r="V126" i="36"/>
  <c r="V122" i="10"/>
  <c r="W113" i="36"/>
  <c r="W113" i="12"/>
  <c r="V119" i="10"/>
  <c r="V125" i="10" s="1"/>
  <c r="W49" i="10"/>
  <c r="W147" i="10"/>
  <c r="X148" i="10" s="1"/>
  <c r="W38" i="10"/>
  <c r="AC42" i="32"/>
  <c r="AC44" i="32"/>
  <c r="AB46" i="32"/>
  <c r="AF99" i="29"/>
  <c r="AG97" i="29" s="1"/>
  <c r="AE12" i="32"/>
  <c r="AF11" i="32" s="1"/>
  <c r="AE13" i="32"/>
  <c r="AE14" i="32"/>
  <c r="AE15" i="32"/>
  <c r="AA110" i="9"/>
  <c r="Z122" i="9"/>
  <c r="Z113" i="9"/>
  <c r="AF99" i="9"/>
  <c r="AD17" i="32"/>
  <c r="AE9" i="32"/>
  <c r="AD10" i="32"/>
  <c r="AD26" i="32" s="1"/>
  <c r="AD83" i="32" s="1"/>
  <c r="AD104" i="32" s="1"/>
  <c r="AB15" i="9"/>
  <c r="AB21" i="9"/>
  <c r="AB16" i="9"/>
  <c r="AB24" i="9"/>
  <c r="AB17" i="9"/>
  <c r="AB14" i="9"/>
  <c r="AB19" i="9"/>
  <c r="AB22" i="9"/>
  <c r="AB18" i="9"/>
  <c r="AB20" i="9"/>
  <c r="AB24" i="5"/>
  <c r="AB132" i="5" s="1"/>
  <c r="AA49" i="9"/>
  <c r="AA139" i="9"/>
  <c r="AB140" i="9" s="1"/>
  <c r="AA38" i="9"/>
  <c r="AC32" i="9"/>
  <c r="AB42" i="9"/>
  <c r="AB141" i="9" s="1"/>
  <c r="AC10" i="9"/>
  <c r="AC33" i="9" s="1"/>
  <c r="AC90" i="9" s="1"/>
  <c r="AC111" i="9" s="1"/>
  <c r="AD9" i="9"/>
  <c r="AC13" i="9"/>
  <c r="AD42" i="5"/>
  <c r="AD134" i="5" s="1"/>
  <c r="AE9" i="5"/>
  <c r="AD10" i="5"/>
  <c r="AD13" i="5"/>
  <c r="AB140" i="21"/>
  <c r="AC141" i="21" s="1"/>
  <c r="AB49" i="21"/>
  <c r="AB38" i="21"/>
  <c r="AA132" i="5"/>
  <c r="AA49" i="5"/>
  <c r="AD32" i="21"/>
  <c r="AC42" i="21"/>
  <c r="AC142" i="21" s="1"/>
  <c r="AC18" i="21"/>
  <c r="AC19" i="21"/>
  <c r="AC20" i="21"/>
  <c r="AC15" i="21"/>
  <c r="AC24" i="21"/>
  <c r="AC16" i="21"/>
  <c r="AC22" i="21"/>
  <c r="AC17" i="21"/>
  <c r="AC21" i="21"/>
  <c r="AC14" i="21"/>
  <c r="AE9" i="21"/>
  <c r="AD10" i="21"/>
  <c r="AD33" i="21" s="1"/>
  <c r="AD90" i="21" s="1"/>
  <c r="AD111" i="21" s="1"/>
  <c r="AD13" i="21"/>
  <c r="Z119" i="21"/>
  <c r="Y13" i="33"/>
  <c r="AC22" i="5"/>
  <c r="AC21" i="5"/>
  <c r="AC14" i="5"/>
  <c r="AC15" i="5"/>
  <c r="AC17" i="5"/>
  <c r="AC16" i="5"/>
  <c r="AC20" i="5"/>
  <c r="AC18" i="5"/>
  <c r="AC19" i="5"/>
  <c r="Z38" i="5"/>
  <c r="AA133" i="5"/>
  <c r="AB110" i="21"/>
  <c r="AA114" i="21"/>
  <c r="AF32" i="10"/>
  <c r="AC116" i="8"/>
  <c r="AD101" i="21"/>
  <c r="AE89" i="21"/>
  <c r="AD98" i="21"/>
  <c r="AD102" i="21" s="1"/>
  <c r="AC128" i="21"/>
  <c r="AC130" i="21" s="1"/>
  <c r="AC103" i="21"/>
  <c r="AC92" i="21" s="1"/>
  <c r="AA99" i="24"/>
  <c r="AB97" i="24" s="1"/>
  <c r="AC98" i="10"/>
  <c r="AC102" i="10" s="1"/>
  <c r="AD89" i="10"/>
  <c r="AC101" i="10"/>
  <c r="AI29" i="12"/>
  <c r="AB103" i="10"/>
  <c r="AB92" i="10" s="1"/>
  <c r="AB134" i="10"/>
  <c r="AB137" i="10" s="1"/>
  <c r="AH12" i="21"/>
  <c r="AI11" i="21" s="1"/>
  <c r="AB99" i="10"/>
  <c r="AC97" i="10" s="1"/>
  <c r="AC99" i="21"/>
  <c r="AD97" i="21" s="1"/>
  <c r="AE10" i="8"/>
  <c r="AE33" i="8" s="1"/>
  <c r="AE90" i="8" s="1"/>
  <c r="AE111" i="8" s="1"/>
  <c r="AF9" i="8"/>
  <c r="AE13" i="8"/>
  <c r="AD110" i="8"/>
  <c r="AC49" i="8"/>
  <c r="AC38" i="8"/>
  <c r="AC144" i="8"/>
  <c r="AD145" i="8" s="1"/>
  <c r="AD24" i="8"/>
  <c r="AD20" i="8"/>
  <c r="AD21" i="8"/>
  <c r="AD15" i="8"/>
  <c r="AD22" i="8"/>
  <c r="AD19" i="8"/>
  <c r="AD16" i="8"/>
  <c r="AD17" i="8"/>
  <c r="AD14" i="8"/>
  <c r="AD18" i="8"/>
  <c r="AE32" i="8"/>
  <c r="AD42" i="8"/>
  <c r="AH30" i="8"/>
  <c r="AG57" i="8"/>
  <c r="AG12" i="8"/>
  <c r="AH11" i="8" s="1"/>
  <c r="AG97" i="9"/>
  <c r="AH89" i="9"/>
  <c r="AG98" i="9"/>
  <c r="AG102" i="9" s="1"/>
  <c r="AG101" i="9"/>
  <c r="AK30" i="9"/>
  <c r="AJ57" i="9"/>
  <c r="AF129" i="9"/>
  <c r="AF131" i="9" s="1"/>
  <c r="AF103" i="9"/>
  <c r="AF92" i="9" s="1"/>
  <c r="AE12" i="9"/>
  <c r="AF11" i="9" s="1"/>
  <c r="AB24" i="26"/>
  <c r="AB16" i="26"/>
  <c r="AB18" i="26"/>
  <c r="AB14" i="26"/>
  <c r="AB17" i="26"/>
  <c r="AB20" i="26"/>
  <c r="AB22" i="26"/>
  <c r="AB19" i="26"/>
  <c r="AB21" i="26"/>
  <c r="AB15" i="26"/>
  <c r="Z122" i="26"/>
  <c r="AA110" i="26"/>
  <c r="Z113" i="26"/>
  <c r="AA38" i="26"/>
  <c r="AA142" i="26"/>
  <c r="AA49" i="26"/>
  <c r="AG57" i="26"/>
  <c r="AH30" i="26"/>
  <c r="AE12" i="26"/>
  <c r="AF11" i="26" s="1"/>
  <c r="AB89" i="26"/>
  <c r="AB42" i="26"/>
  <c r="AB144" i="26" s="1"/>
  <c r="AC32" i="26"/>
  <c r="AC13" i="26"/>
  <c r="AC10" i="26"/>
  <c r="AC33" i="26" s="1"/>
  <c r="AC90" i="26" s="1"/>
  <c r="AC111" i="26" s="1"/>
  <c r="AD9" i="26"/>
  <c r="AH30" i="29"/>
  <c r="AG57" i="29"/>
  <c r="AH89" i="29"/>
  <c r="AG98" i="29"/>
  <c r="AG102" i="29" s="1"/>
  <c r="AG101" i="29"/>
  <c r="AF103" i="29"/>
  <c r="AF92" i="29" s="1"/>
  <c r="AB101" i="24"/>
  <c r="AC89" i="24"/>
  <c r="AB98" i="24"/>
  <c r="AB102" i="24" s="1"/>
  <c r="AA103" i="24"/>
  <c r="AA92" i="24" s="1"/>
  <c r="AA147" i="24"/>
  <c r="AA150" i="24" s="1"/>
  <c r="AH57" i="24"/>
  <c r="AI30" i="24"/>
  <c r="AI160" i="36" l="1"/>
  <c r="AJ132" i="36"/>
  <c r="W126" i="29"/>
  <c r="W127" i="29"/>
  <c r="W128" i="29"/>
  <c r="V6" i="33"/>
  <c r="Z22" i="29"/>
  <c r="Z15" i="29"/>
  <c r="Z16" i="29"/>
  <c r="Z14" i="29"/>
  <c r="Z19" i="29"/>
  <c r="Z21" i="29"/>
  <c r="Z18" i="29"/>
  <c r="Z20" i="29"/>
  <c r="Z17" i="29"/>
  <c r="X118" i="24"/>
  <c r="Y110" i="24"/>
  <c r="X114" i="24"/>
  <c r="X140" i="24"/>
  <c r="X112" i="24"/>
  <c r="X113" i="24"/>
  <c r="Y18" i="36"/>
  <c r="X147" i="10"/>
  <c r="Y148" i="10" s="1"/>
  <c r="Y149" i="10" s="1"/>
  <c r="X49" i="10"/>
  <c r="X38" i="10"/>
  <c r="Z92" i="36"/>
  <c r="Z92" i="12"/>
  <c r="W126" i="12"/>
  <c r="W126" i="36"/>
  <c r="Z18" i="36"/>
  <c r="Y38" i="10"/>
  <c r="Y147" i="10"/>
  <c r="Z148" i="10" s="1"/>
  <c r="Y49" i="10"/>
  <c r="U132" i="29"/>
  <c r="U135" i="29"/>
  <c r="X116" i="10"/>
  <c r="X118" i="10" s="1"/>
  <c r="X126" i="10"/>
  <c r="Y110" i="10"/>
  <c r="X112" i="10"/>
  <c r="X113" i="10"/>
  <c r="Z18" i="12"/>
  <c r="N53" i="32"/>
  <c r="N54" i="32"/>
  <c r="P51" i="32"/>
  <c r="Y24" i="24"/>
  <c r="Y159" i="24"/>
  <c r="X112" i="21"/>
  <c r="X112" i="8"/>
  <c r="W128" i="12"/>
  <c r="W128" i="36"/>
  <c r="AA13" i="29"/>
  <c r="AB9" i="29"/>
  <c r="AA10" i="29"/>
  <c r="U124" i="32"/>
  <c r="V51" i="12"/>
  <c r="V57" i="12" s="1"/>
  <c r="W118" i="36"/>
  <c r="W118" i="12"/>
  <c r="Z135" i="12"/>
  <c r="Z192" i="12" s="1"/>
  <c r="Z30" i="12"/>
  <c r="Z89" i="12" s="1"/>
  <c r="Z112" i="12" s="1"/>
  <c r="Z88" i="12"/>
  <c r="Y44" i="12"/>
  <c r="Y32" i="12"/>
  <c r="W137" i="29"/>
  <c r="X124" i="12"/>
  <c r="W121" i="29"/>
  <c r="W122" i="29"/>
  <c r="X124" i="36"/>
  <c r="W120" i="29"/>
  <c r="P87" i="32"/>
  <c r="P86" i="32"/>
  <c r="R136" i="32"/>
  <c r="Z134" i="36"/>
  <c r="Y192" i="36"/>
  <c r="O54" i="32"/>
  <c r="O53" i="32"/>
  <c r="Z191" i="12"/>
  <c r="AA134" i="12"/>
  <c r="AA32" i="29"/>
  <c r="Z42" i="29"/>
  <c r="Z158" i="29" s="1"/>
  <c r="Z22" i="10"/>
  <c r="Z21" i="10"/>
  <c r="Z17" i="10"/>
  <c r="Z15" i="10"/>
  <c r="Z16" i="10"/>
  <c r="Z19" i="10"/>
  <c r="Z18" i="10"/>
  <c r="Z20" i="10"/>
  <c r="Z14" i="10"/>
  <c r="Z24" i="10" s="1"/>
  <c r="W121" i="36"/>
  <c r="W121" i="12"/>
  <c r="Z22" i="24"/>
  <c r="Z15" i="24"/>
  <c r="Z16" i="24"/>
  <c r="Z18" i="24"/>
  <c r="Z19" i="24"/>
  <c r="Z20" i="24"/>
  <c r="Z17" i="24"/>
  <c r="Z21" i="24"/>
  <c r="Z14" i="24"/>
  <c r="Z12" i="36"/>
  <c r="Z17" i="36"/>
  <c r="AA6" i="36"/>
  <c r="Z8" i="36"/>
  <c r="Z7" i="36"/>
  <c r="R33" i="32"/>
  <c r="R40" i="32"/>
  <c r="R47" i="32" s="1"/>
  <c r="W6" i="33"/>
  <c r="W106" i="32"/>
  <c r="W107" i="32"/>
  <c r="W112" i="32"/>
  <c r="W128" i="32"/>
  <c r="W130" i="32" s="1"/>
  <c r="X55" i="12" s="1"/>
  <c r="W111" i="32"/>
  <c r="V127" i="10" s="1"/>
  <c r="V128" i="10" s="1"/>
  <c r="W39" i="36" s="1"/>
  <c r="W113" i="32"/>
  <c r="W109" i="32"/>
  <c r="V123" i="26" s="1"/>
  <c r="W108" i="32"/>
  <c r="W124" i="8" s="1"/>
  <c r="W110" i="32"/>
  <c r="X103" i="32"/>
  <c r="AA12" i="12"/>
  <c r="AA7" i="12"/>
  <c r="AB6" i="12"/>
  <c r="AA17" i="12"/>
  <c r="AA8" i="12"/>
  <c r="AA42" i="10"/>
  <c r="AA149" i="10" s="1"/>
  <c r="AB9" i="10"/>
  <c r="AA10" i="10"/>
  <c r="AA33" i="10" s="1"/>
  <c r="AA90" i="10" s="1"/>
  <c r="AA111" i="10" s="1"/>
  <c r="AA13" i="10"/>
  <c r="Y110" i="29"/>
  <c r="X114" i="29"/>
  <c r="X138" i="29" s="1"/>
  <c r="X118" i="29"/>
  <c r="X112" i="29"/>
  <c r="X113" i="29"/>
  <c r="AB9" i="24"/>
  <c r="AA13" i="24"/>
  <c r="AA10" i="24"/>
  <c r="Y30" i="36"/>
  <c r="Y89" i="36" s="1"/>
  <c r="Y112" i="36" s="1"/>
  <c r="Y135" i="36"/>
  <c r="Y193" i="36" s="1"/>
  <c r="X156" i="29"/>
  <c r="Y157" i="29" s="1"/>
  <c r="X49" i="29"/>
  <c r="X38" i="29"/>
  <c r="X113" i="12"/>
  <c r="W122" i="10"/>
  <c r="X113" i="36"/>
  <c r="W119" i="10"/>
  <c r="W125" i="10" s="1"/>
  <c r="AA32" i="24"/>
  <c r="Z42" i="24"/>
  <c r="T135" i="29"/>
  <c r="T132" i="29"/>
  <c r="W138" i="24"/>
  <c r="W120" i="24"/>
  <c r="X116" i="36"/>
  <c r="W122" i="24"/>
  <c r="W123" i="24"/>
  <c r="W130" i="24"/>
  <c r="W121" i="24"/>
  <c r="W129" i="24"/>
  <c r="X116" i="12"/>
  <c r="S134" i="32"/>
  <c r="S28" i="32" s="1"/>
  <c r="S29" i="32" s="1"/>
  <c r="Y7" i="33"/>
  <c r="Y30" i="33"/>
  <c r="Y46" i="33" s="1"/>
  <c r="Y4" i="33"/>
  <c r="Z3" i="33"/>
  <c r="W119" i="12"/>
  <c r="W119" i="36"/>
  <c r="X112" i="9"/>
  <c r="Y88" i="36"/>
  <c r="X44" i="36"/>
  <c r="X32" i="36"/>
  <c r="X45" i="36"/>
  <c r="X72" i="36"/>
  <c r="T27" i="32"/>
  <c r="T133" i="32"/>
  <c r="T142" i="32"/>
  <c r="Y24" i="29"/>
  <c r="U123" i="9"/>
  <c r="V114" i="32"/>
  <c r="X47" i="33"/>
  <c r="X48" i="33"/>
  <c r="Y113" i="8" s="1"/>
  <c r="Y112" i="9"/>
  <c r="Y112" i="26"/>
  <c r="W120" i="12"/>
  <c r="W120" i="36"/>
  <c r="Y112" i="8"/>
  <c r="W127" i="12"/>
  <c r="W127" i="36"/>
  <c r="Q84" i="32"/>
  <c r="Q36" i="32"/>
  <c r="Q37" i="32" s="1"/>
  <c r="Q51" i="32" s="1"/>
  <c r="AD146" i="8"/>
  <c r="AC99" i="10"/>
  <c r="AD97" i="10" s="1"/>
  <c r="AD99" i="21"/>
  <c r="AE97" i="21" s="1"/>
  <c r="AB49" i="5"/>
  <c r="AE17" i="32"/>
  <c r="AE138" i="32" s="1"/>
  <c r="AE31" i="32" s="1"/>
  <c r="AC16" i="9"/>
  <c r="AC19" i="9"/>
  <c r="AC21" i="9"/>
  <c r="AC14" i="9"/>
  <c r="AC22" i="9"/>
  <c r="AC24" i="9"/>
  <c r="AC20" i="9"/>
  <c r="AC18" i="9"/>
  <c r="AC15" i="9"/>
  <c r="AC17" i="9"/>
  <c r="AA122" i="9"/>
  <c r="AB110" i="9"/>
  <c r="AA113" i="9"/>
  <c r="AE9" i="9"/>
  <c r="AD10" i="9"/>
  <c r="AD33" i="9" s="1"/>
  <c r="AD90" i="9" s="1"/>
  <c r="AD111" i="9" s="1"/>
  <c r="AD13" i="9"/>
  <c r="AF9" i="32"/>
  <c r="AE10" i="32"/>
  <c r="AE26" i="32" s="1"/>
  <c r="AE83" i="32" s="1"/>
  <c r="AE104" i="32" s="1"/>
  <c r="AB38" i="9"/>
  <c r="AB49" i="9"/>
  <c r="AB139" i="9"/>
  <c r="AC140" i="9" s="1"/>
  <c r="AD42" i="32"/>
  <c r="AD44" i="32" s="1"/>
  <c r="AD138" i="32"/>
  <c r="AD31" i="32" s="1"/>
  <c r="AD32" i="9"/>
  <c r="AC42" i="9"/>
  <c r="AC141" i="9" s="1"/>
  <c r="AF13" i="32"/>
  <c r="AF15" i="32"/>
  <c r="AF14" i="32"/>
  <c r="AF12" i="32"/>
  <c r="AG11" i="32" s="1"/>
  <c r="AC46" i="32"/>
  <c r="AC110" i="21"/>
  <c r="AB114" i="21"/>
  <c r="AB119" i="21" s="1"/>
  <c r="AE10" i="21"/>
  <c r="AE33" i="21" s="1"/>
  <c r="AE90" i="21" s="1"/>
  <c r="AE111" i="21" s="1"/>
  <c r="AF9" i="21"/>
  <c r="AE13" i="21"/>
  <c r="AA38" i="5"/>
  <c r="AB133" i="5"/>
  <c r="AC133" i="5" s="1"/>
  <c r="AB38" i="5"/>
  <c r="AC24" i="5"/>
  <c r="AD16" i="5"/>
  <c r="AD22" i="5"/>
  <c r="AD15" i="5"/>
  <c r="AD17" i="5"/>
  <c r="AD19" i="5"/>
  <c r="AD18" i="5"/>
  <c r="AD20" i="5"/>
  <c r="AD14" i="5"/>
  <c r="AD21" i="5"/>
  <c r="AE32" i="21"/>
  <c r="AD42" i="21"/>
  <c r="AE10" i="5"/>
  <c r="AF9" i="5"/>
  <c r="AE13" i="5"/>
  <c r="AE42" i="5"/>
  <c r="AE134" i="5" s="1"/>
  <c r="AA119" i="21"/>
  <c r="Z13" i="33"/>
  <c r="AD24" i="21"/>
  <c r="AD16" i="21"/>
  <c r="AD18" i="21"/>
  <c r="AD17" i="21"/>
  <c r="AD19" i="21"/>
  <c r="AD20" i="21"/>
  <c r="AD21" i="21"/>
  <c r="AD14" i="21"/>
  <c r="AD22" i="21"/>
  <c r="AD15" i="21"/>
  <c r="AC140" i="21"/>
  <c r="AD141" i="21" s="1"/>
  <c r="AC49" i="21"/>
  <c r="AC38" i="21"/>
  <c r="AI12" i="21"/>
  <c r="AJ11" i="21" s="1"/>
  <c r="AE89" i="10"/>
  <c r="AD101" i="10"/>
  <c r="AD98" i="10"/>
  <c r="AD102" i="10" s="1"/>
  <c r="AB99" i="24"/>
  <c r="AC97" i="24" s="1"/>
  <c r="AG32" i="10"/>
  <c r="AJ29" i="12"/>
  <c r="AE101" i="21"/>
  <c r="AF89" i="21"/>
  <c r="AE98" i="21"/>
  <c r="AE102" i="21" s="1"/>
  <c r="AC103" i="10"/>
  <c r="AC92" i="10" s="1"/>
  <c r="AC134" i="10"/>
  <c r="AC137" i="10" s="1"/>
  <c r="AD128" i="21"/>
  <c r="AD130" i="21" s="1"/>
  <c r="AD103" i="21"/>
  <c r="AD92" i="21" s="1"/>
  <c r="AH57" i="8"/>
  <c r="AI30" i="8"/>
  <c r="AE42" i="8"/>
  <c r="AE146" i="8" s="1"/>
  <c r="AF32" i="8"/>
  <c r="AE110" i="8"/>
  <c r="AD49" i="8"/>
  <c r="AD38" i="8"/>
  <c r="AD144" i="8"/>
  <c r="AE21" i="8"/>
  <c r="AE18" i="8"/>
  <c r="AE16" i="8"/>
  <c r="AE20" i="8"/>
  <c r="AE24" i="8"/>
  <c r="AE17" i="8"/>
  <c r="AE19" i="8"/>
  <c r="AE14" i="8"/>
  <c r="AE22" i="8"/>
  <c r="AE15" i="8"/>
  <c r="AD116" i="8"/>
  <c r="AF10" i="8"/>
  <c r="AF33" i="8" s="1"/>
  <c r="AF90" i="8" s="1"/>
  <c r="AF111" i="8" s="1"/>
  <c r="AG9" i="8"/>
  <c r="AF13" i="8"/>
  <c r="AH12" i="8"/>
  <c r="AI11" i="8" s="1"/>
  <c r="AG103" i="9"/>
  <c r="AG92" i="9" s="1"/>
  <c r="AG129" i="9"/>
  <c r="AG131" i="9" s="1"/>
  <c r="AL30" i="9"/>
  <c r="AK57" i="9"/>
  <c r="AI89" i="9"/>
  <c r="AH101" i="9"/>
  <c r="AH98" i="9"/>
  <c r="AH102" i="9" s="1"/>
  <c r="AG99" i="9"/>
  <c r="AH97" i="9" s="1"/>
  <c r="AF12" i="9"/>
  <c r="AG11" i="9" s="1"/>
  <c r="AC42" i="26"/>
  <c r="AC144" i="26" s="1"/>
  <c r="AD32" i="26"/>
  <c r="AI30" i="26"/>
  <c r="AH57" i="26"/>
  <c r="AF12" i="26"/>
  <c r="AG11" i="26" s="1"/>
  <c r="AC24" i="26"/>
  <c r="AC20" i="26"/>
  <c r="AC14" i="26"/>
  <c r="AC21" i="26"/>
  <c r="AC16" i="26"/>
  <c r="AC15" i="26"/>
  <c r="AC17" i="26"/>
  <c r="AC19" i="26"/>
  <c r="AC18" i="26"/>
  <c r="AC22" i="26"/>
  <c r="AA122" i="26"/>
  <c r="AB110" i="26"/>
  <c r="AA113" i="26"/>
  <c r="AD13" i="26"/>
  <c r="AD10" i="26"/>
  <c r="AD33" i="26" s="1"/>
  <c r="AD90" i="26" s="1"/>
  <c r="AD111" i="26" s="1"/>
  <c r="AE9" i="26"/>
  <c r="AC89" i="26"/>
  <c r="AB142" i="26"/>
  <c r="AB38" i="26"/>
  <c r="AB49" i="26"/>
  <c r="AI30" i="29"/>
  <c r="AH57" i="29"/>
  <c r="AH98" i="29"/>
  <c r="AH102" i="29" s="1"/>
  <c r="AH101" i="29"/>
  <c r="AI89" i="29"/>
  <c r="AG99" i="29"/>
  <c r="AH97" i="29" s="1"/>
  <c r="AG103" i="29"/>
  <c r="AG92" i="29" s="1"/>
  <c r="AJ30" i="24"/>
  <c r="AI57" i="24"/>
  <c r="AC101" i="24"/>
  <c r="AD89" i="24"/>
  <c r="AC98" i="24"/>
  <c r="AC102" i="24" s="1"/>
  <c r="AB147" i="24"/>
  <c r="AB150" i="24" s="1"/>
  <c r="AB103" i="24"/>
  <c r="AB92" i="24" s="1"/>
  <c r="AK132" i="36" l="1"/>
  <c r="AJ160" i="36"/>
  <c r="X126" i="29"/>
  <c r="X127" i="29"/>
  <c r="X128" i="29"/>
  <c r="S40" i="32"/>
  <c r="S47" i="32" s="1"/>
  <c r="S33" i="32"/>
  <c r="S136" i="32"/>
  <c r="Y118" i="29"/>
  <c r="Z110" i="29"/>
  <c r="Y114" i="29"/>
  <c r="Y138" i="29" s="1"/>
  <c r="Y112" i="29"/>
  <c r="Y113" i="29"/>
  <c r="AA135" i="12"/>
  <c r="AA192" i="12" s="1"/>
  <c r="AA30" i="12"/>
  <c r="AA89" i="12" s="1"/>
  <c r="AA112" i="12" s="1"/>
  <c r="Z30" i="36"/>
  <c r="Z89" i="36" s="1"/>
  <c r="Z112" i="36" s="1"/>
  <c r="Z135" i="36"/>
  <c r="Z193" i="36" s="1"/>
  <c r="X127" i="36"/>
  <c r="X127" i="12"/>
  <c r="V130" i="29"/>
  <c r="T134" i="32"/>
  <c r="T28" i="32" s="1"/>
  <c r="T136" i="32"/>
  <c r="AA18" i="10"/>
  <c r="AA20" i="10"/>
  <c r="AA22" i="10"/>
  <c r="AA19" i="10"/>
  <c r="AA21" i="10"/>
  <c r="AA14" i="10"/>
  <c r="AA15" i="10"/>
  <c r="AA17" i="10"/>
  <c r="AA16" i="10"/>
  <c r="T29" i="32"/>
  <c r="AA15" i="24"/>
  <c r="AA16" i="24"/>
  <c r="AA17" i="24"/>
  <c r="AA18" i="24"/>
  <c r="AA20" i="24"/>
  <c r="AA21" i="24"/>
  <c r="AA19" i="24"/>
  <c r="AA14" i="24"/>
  <c r="AA22" i="24"/>
  <c r="AA18" i="36"/>
  <c r="AA7" i="36"/>
  <c r="AA17" i="36"/>
  <c r="AB6" i="36"/>
  <c r="AA8" i="36"/>
  <c r="AA12" i="36"/>
  <c r="Z24" i="29"/>
  <c r="Z192" i="36"/>
  <c r="AA134" i="36"/>
  <c r="Y112" i="10"/>
  <c r="Y112" i="21"/>
  <c r="AB10" i="24"/>
  <c r="AB13" i="24"/>
  <c r="AC9" i="24"/>
  <c r="AB42" i="10"/>
  <c r="AB149" i="10" s="1"/>
  <c r="AC9" i="10"/>
  <c r="AB13" i="10"/>
  <c r="AB10" i="10"/>
  <c r="AB33" i="10" s="1"/>
  <c r="AB90" i="10" s="1"/>
  <c r="AB111" i="10" s="1"/>
  <c r="X106" i="32"/>
  <c r="Y103" i="32"/>
  <c r="X108" i="32"/>
  <c r="X110" i="32"/>
  <c r="X113" i="32"/>
  <c r="W139" i="24" s="1"/>
  <c r="X128" i="32"/>
  <c r="X130" i="32" s="1"/>
  <c r="Y55" i="12" s="1"/>
  <c r="X111" i="32"/>
  <c r="W127" i="10" s="1"/>
  <c r="W128" i="10" s="1"/>
  <c r="X39" i="36" s="1"/>
  <c r="X107" i="32"/>
  <c r="W121" i="21" s="1"/>
  <c r="W122" i="21" s="1"/>
  <c r="X66" i="36" s="1"/>
  <c r="X109" i="32"/>
  <c r="W123" i="26" s="1"/>
  <c r="X112" i="32"/>
  <c r="X124" i="8"/>
  <c r="AB32" i="29"/>
  <c r="AA42" i="29"/>
  <c r="AA158" i="29" s="1"/>
  <c r="U142" i="32"/>
  <c r="U27" i="32"/>
  <c r="U133" i="32"/>
  <c r="Y113" i="24"/>
  <c r="Y140" i="24"/>
  <c r="Z110" i="24"/>
  <c r="Y118" i="24"/>
  <c r="Y114" i="24"/>
  <c r="Y112" i="24"/>
  <c r="X118" i="12"/>
  <c r="X118" i="36"/>
  <c r="Z147" i="10"/>
  <c r="AA148" i="10" s="1"/>
  <c r="Z49" i="10"/>
  <c r="Z38" i="10"/>
  <c r="Z7" i="33"/>
  <c r="Z30" i="33"/>
  <c r="Z46" i="33" s="1"/>
  <c r="Z4" i="33"/>
  <c r="AA3" i="33"/>
  <c r="X119" i="12"/>
  <c r="X119" i="36"/>
  <c r="W114" i="32"/>
  <c r="AA191" i="12"/>
  <c r="AB134" i="12"/>
  <c r="X138" i="24"/>
  <c r="Y116" i="12"/>
  <c r="X129" i="24"/>
  <c r="X130" i="24"/>
  <c r="X123" i="24"/>
  <c r="X121" i="24"/>
  <c r="Y116" i="36"/>
  <c r="X122" i="24"/>
  <c r="X120" i="24"/>
  <c r="W51" i="12"/>
  <c r="W57" i="12" s="1"/>
  <c r="V124" i="32"/>
  <c r="Y91" i="36"/>
  <c r="Y91" i="12"/>
  <c r="Z24" i="24"/>
  <c r="X126" i="12"/>
  <c r="X126" i="36"/>
  <c r="Z32" i="12"/>
  <c r="Z44" i="12"/>
  <c r="AA88" i="12"/>
  <c r="AB13" i="29"/>
  <c r="AB10" i="29"/>
  <c r="AC9" i="29"/>
  <c r="Y49" i="24"/>
  <c r="Y158" i="24"/>
  <c r="Z159" i="24" s="1"/>
  <c r="Z160" i="24" s="1"/>
  <c r="Y38" i="24"/>
  <c r="Y126" i="10"/>
  <c r="Z110" i="10"/>
  <c r="Y116" i="10"/>
  <c r="Y113" i="10"/>
  <c r="Q87" i="32"/>
  <c r="Q86" i="32"/>
  <c r="Y47" i="33"/>
  <c r="Z112" i="26" s="1"/>
  <c r="Y48" i="33"/>
  <c r="Z113" i="8" s="1"/>
  <c r="X121" i="12"/>
  <c r="X121" i="36"/>
  <c r="AB32" i="24"/>
  <c r="AA42" i="24"/>
  <c r="AA160" i="24" s="1"/>
  <c r="X137" i="29"/>
  <c r="X120" i="29"/>
  <c r="X121" i="29"/>
  <c r="Y124" i="12"/>
  <c r="X122" i="29"/>
  <c r="Y124" i="36"/>
  <c r="AA19" i="29"/>
  <c r="AA14" i="29"/>
  <c r="AA15" i="29"/>
  <c r="AA17" i="29"/>
  <c r="AA21" i="29"/>
  <c r="AA16" i="29"/>
  <c r="AA20" i="29"/>
  <c r="AA18" i="29"/>
  <c r="AA22" i="29"/>
  <c r="X91" i="12"/>
  <c r="X91" i="36"/>
  <c r="Y156" i="29"/>
  <c r="Z157" i="29" s="1"/>
  <c r="Y38" i="29"/>
  <c r="Y49" i="29"/>
  <c r="Y32" i="36"/>
  <c r="Z88" i="36"/>
  <c r="Y72" i="36"/>
  <c r="Y45" i="36"/>
  <c r="Y44" i="36"/>
  <c r="AA92" i="36"/>
  <c r="AA92" i="12"/>
  <c r="X120" i="36"/>
  <c r="X120" i="12"/>
  <c r="AB12" i="12"/>
  <c r="AB17" i="12"/>
  <c r="AC6" i="12"/>
  <c r="AB8" i="12"/>
  <c r="AB7" i="12"/>
  <c r="R84" i="32"/>
  <c r="R36" i="32"/>
  <c r="R37" i="32" s="1"/>
  <c r="R51" i="32" s="1"/>
  <c r="X128" i="36"/>
  <c r="X128" i="12"/>
  <c r="P52" i="32"/>
  <c r="Q52" i="32"/>
  <c r="Y113" i="36"/>
  <c r="X122" i="10"/>
  <c r="Y113" i="12"/>
  <c r="X119" i="10"/>
  <c r="X125" i="10" s="1"/>
  <c r="W123" i="9"/>
  <c r="AE145" i="8"/>
  <c r="AD142" i="21"/>
  <c r="AE42" i="32"/>
  <c r="AE44" i="32" s="1"/>
  <c r="AA13" i="33"/>
  <c r="AH103" i="29"/>
  <c r="AH92" i="29" s="1"/>
  <c r="AE99" i="21"/>
  <c r="AF17" i="32"/>
  <c r="AF138" i="32" s="1"/>
  <c r="AF31" i="32" s="1"/>
  <c r="AG12" i="32"/>
  <c r="AH11" i="32" s="1"/>
  <c r="AG15" i="32"/>
  <c r="AG13" i="32"/>
  <c r="AG14" i="32"/>
  <c r="AD22" i="9"/>
  <c r="AD24" i="9"/>
  <c r="AD15" i="9"/>
  <c r="AD14" i="9"/>
  <c r="AD21" i="9"/>
  <c r="AD16" i="9"/>
  <c r="AD20" i="9"/>
  <c r="AD19" i="9"/>
  <c r="AD17" i="9"/>
  <c r="AD18" i="9"/>
  <c r="AC38" i="9"/>
  <c r="AC49" i="9"/>
  <c r="AC139" i="9"/>
  <c r="AD140" i="9" s="1"/>
  <c r="AB113" i="9"/>
  <c r="AC110" i="9"/>
  <c r="AB122" i="9"/>
  <c r="AG9" i="32"/>
  <c r="AF10" i="32"/>
  <c r="AF26" i="32" s="1"/>
  <c r="AF83" i="32" s="1"/>
  <c r="AF104" i="32" s="1"/>
  <c r="AF9" i="9"/>
  <c r="AE10" i="9"/>
  <c r="AE33" i="9" s="1"/>
  <c r="AE90" i="9" s="1"/>
  <c r="AE111" i="9" s="1"/>
  <c r="AE13" i="9"/>
  <c r="AD46" i="32"/>
  <c r="AE32" i="9"/>
  <c r="AD42" i="9"/>
  <c r="AD141" i="9" s="1"/>
  <c r="AE16" i="5"/>
  <c r="AE19" i="5"/>
  <c r="AE22" i="5"/>
  <c r="AE17" i="5"/>
  <c r="AE14" i="5"/>
  <c r="AE21" i="5"/>
  <c r="AE15" i="5"/>
  <c r="AE18" i="5"/>
  <c r="AE20" i="5"/>
  <c r="AF10" i="5"/>
  <c r="AG9" i="5"/>
  <c r="AF42" i="5"/>
  <c r="AF134" i="5" s="1"/>
  <c r="AF13" i="5"/>
  <c r="AF32" i="21"/>
  <c r="AE42" i="21"/>
  <c r="AD110" i="21"/>
  <c r="AC114" i="21"/>
  <c r="AD140" i="21"/>
  <c r="AD49" i="21"/>
  <c r="AD38" i="21"/>
  <c r="AD99" i="10"/>
  <c r="AE97" i="10" s="1"/>
  <c r="AE15" i="21"/>
  <c r="AE24" i="21"/>
  <c r="AE18" i="21"/>
  <c r="AE21" i="21"/>
  <c r="AE20" i="21"/>
  <c r="AE19" i="21"/>
  <c r="AE14" i="21"/>
  <c r="AE16" i="21"/>
  <c r="AE22" i="21"/>
  <c r="AE17" i="21"/>
  <c r="AD24" i="5"/>
  <c r="AC49" i="5"/>
  <c r="AC132" i="5"/>
  <c r="AC38" i="5" s="1"/>
  <c r="AF10" i="21"/>
  <c r="AF33" i="21" s="1"/>
  <c r="AF90" i="21" s="1"/>
  <c r="AF111" i="21" s="1"/>
  <c r="AG9" i="21"/>
  <c r="AF13" i="21"/>
  <c r="AH32" i="10"/>
  <c r="AD103" i="10"/>
  <c r="AD92" i="10" s="1"/>
  <c r="AD134" i="10"/>
  <c r="AD137" i="10" s="1"/>
  <c r="AE98" i="10"/>
  <c r="AE102" i="10" s="1"/>
  <c r="AE101" i="10"/>
  <c r="AF89" i="10"/>
  <c r="AJ12" i="21"/>
  <c r="AK11" i="21" s="1"/>
  <c r="AH99" i="29"/>
  <c r="AI97" i="29" s="1"/>
  <c r="AK29" i="12"/>
  <c r="AF101" i="21"/>
  <c r="AF97" i="21"/>
  <c r="AG89" i="21"/>
  <c r="AF98" i="21"/>
  <c r="AF102" i="21" s="1"/>
  <c r="AE128" i="21"/>
  <c r="AE130" i="21" s="1"/>
  <c r="AE103" i="21"/>
  <c r="AE92" i="21" s="1"/>
  <c r="AE49" i="8"/>
  <c r="AE38" i="8"/>
  <c r="AE144" i="8"/>
  <c r="AF110" i="8"/>
  <c r="AF116" i="8" s="1"/>
  <c r="AG32" i="8"/>
  <c r="AF42" i="8"/>
  <c r="AF146" i="8" s="1"/>
  <c r="AF17" i="8"/>
  <c r="AF19" i="8"/>
  <c r="AF24" i="8"/>
  <c r="AF14" i="8"/>
  <c r="AF21" i="8"/>
  <c r="AF16" i="8"/>
  <c r="AF22" i="8"/>
  <c r="AF15" i="8"/>
  <c r="AF18" i="8"/>
  <c r="AF20" i="8"/>
  <c r="AI57" i="8"/>
  <c r="AJ30" i="8"/>
  <c r="AH9" i="8"/>
  <c r="AG10" i="8"/>
  <c r="AG33" i="8" s="1"/>
  <c r="AG90" i="8" s="1"/>
  <c r="AG111" i="8" s="1"/>
  <c r="AG13" i="8"/>
  <c r="AE116" i="8"/>
  <c r="AI12" i="8"/>
  <c r="AJ11" i="8" s="1"/>
  <c r="AH129" i="9"/>
  <c r="AH131" i="9" s="1"/>
  <c r="AH103" i="9"/>
  <c r="AH92" i="9" s="1"/>
  <c r="AL57" i="9"/>
  <c r="AM30" i="9"/>
  <c r="AH99" i="9"/>
  <c r="AI97" i="9" s="1"/>
  <c r="AI98" i="9"/>
  <c r="AI102" i="9" s="1"/>
  <c r="AJ89" i="9"/>
  <c r="AI101" i="9"/>
  <c r="AG12" i="9"/>
  <c r="AH11" i="9" s="1"/>
  <c r="AD24" i="26"/>
  <c r="AD17" i="26"/>
  <c r="AD19" i="26"/>
  <c r="AD21" i="26"/>
  <c r="AD20" i="26"/>
  <c r="AD14" i="26"/>
  <c r="AD16" i="26"/>
  <c r="AD22" i="26"/>
  <c r="AD15" i="26"/>
  <c r="AD18" i="26"/>
  <c r="AC142" i="26"/>
  <c r="AC38" i="26"/>
  <c r="AC49" i="26"/>
  <c r="AB122" i="26"/>
  <c r="AC110" i="26"/>
  <c r="AB113" i="26"/>
  <c r="AG12" i="26"/>
  <c r="AH11" i="26" s="1"/>
  <c r="AD89" i="26"/>
  <c r="AJ30" i="26"/>
  <c r="AI57" i="26"/>
  <c r="AE13" i="26"/>
  <c r="AE10" i="26"/>
  <c r="AE33" i="26" s="1"/>
  <c r="AE90" i="26" s="1"/>
  <c r="AE111" i="26" s="1"/>
  <c r="AF9" i="26"/>
  <c r="AD42" i="26"/>
  <c r="AD144" i="26" s="1"/>
  <c r="AE32" i="26"/>
  <c r="AI57" i="29"/>
  <c r="AJ30" i="29"/>
  <c r="AJ89" i="29"/>
  <c r="AI98" i="29"/>
  <c r="AI102" i="29" s="1"/>
  <c r="AI101" i="29"/>
  <c r="AC99" i="24"/>
  <c r="AD97" i="24" s="1"/>
  <c r="AE89" i="24"/>
  <c r="AD101" i="24"/>
  <c r="AD98" i="24"/>
  <c r="AD102" i="24" s="1"/>
  <c r="AC147" i="24"/>
  <c r="AC150" i="24" s="1"/>
  <c r="AC103" i="24"/>
  <c r="AC92" i="24" s="1"/>
  <c r="AK30" i="24"/>
  <c r="AJ57" i="24"/>
  <c r="AL132" i="36" l="1"/>
  <c r="AK160" i="36"/>
  <c r="Y126" i="29"/>
  <c r="Y127" i="29"/>
  <c r="Y128" i="29"/>
  <c r="Q54" i="32"/>
  <c r="Q53" i="32"/>
  <c r="Z112" i="8"/>
  <c r="Z112" i="21"/>
  <c r="AB30" i="12"/>
  <c r="AB89" i="12" s="1"/>
  <c r="AB112" i="12" s="1"/>
  <c r="AB135" i="12"/>
  <c r="AB192" i="12" s="1"/>
  <c r="Y126" i="36"/>
  <c r="Y126" i="12"/>
  <c r="Z116" i="10"/>
  <c r="Z118" i="10" s="1"/>
  <c r="Z126" i="10"/>
  <c r="AA110" i="10"/>
  <c r="Z113" i="10"/>
  <c r="Z112" i="10"/>
  <c r="Y6" i="33"/>
  <c r="AB88" i="12"/>
  <c r="AA32" i="12"/>
  <c r="AA44" i="12"/>
  <c r="X114" i="32"/>
  <c r="X124" i="32" s="1"/>
  <c r="AA24" i="10"/>
  <c r="V132" i="29"/>
  <c r="V135" i="29"/>
  <c r="P53" i="32"/>
  <c r="P54" i="32"/>
  <c r="AC17" i="12"/>
  <c r="AC12" i="12"/>
  <c r="AD6" i="12"/>
  <c r="AC8" i="12"/>
  <c r="AC7" i="12"/>
  <c r="AA24" i="29"/>
  <c r="AA7" i="33"/>
  <c r="AA4" i="33"/>
  <c r="AB3" i="33"/>
  <c r="AA30" i="33"/>
  <c r="AA46" i="33" s="1"/>
  <c r="AB15" i="10"/>
  <c r="AB20" i="10"/>
  <c r="AB21" i="10"/>
  <c r="AB17" i="10"/>
  <c r="AB16" i="10"/>
  <c r="AB18" i="10"/>
  <c r="AB22" i="10"/>
  <c r="AB14" i="10"/>
  <c r="AB19" i="10"/>
  <c r="AB134" i="36"/>
  <c r="AA192" i="36"/>
  <c r="AC42" i="10"/>
  <c r="AC149" i="10" s="1"/>
  <c r="AC13" i="10"/>
  <c r="AD9" i="10"/>
  <c r="AC10" i="10"/>
  <c r="AC33" i="10" s="1"/>
  <c r="AC90" i="10" s="1"/>
  <c r="AC111" i="10" s="1"/>
  <c r="Z118" i="29"/>
  <c r="Z114" i="29"/>
  <c r="Z138" i="29" s="1"/>
  <c r="AA110" i="29"/>
  <c r="Z112" i="29"/>
  <c r="Z113" i="29"/>
  <c r="Y118" i="36"/>
  <c r="Y118" i="12"/>
  <c r="Z45" i="36"/>
  <c r="Z72" i="36"/>
  <c r="Z44" i="36"/>
  <c r="Z32" i="36"/>
  <c r="AA88" i="36"/>
  <c r="Y120" i="12"/>
  <c r="Y120" i="36"/>
  <c r="AB191" i="12"/>
  <c r="AC134" i="12"/>
  <c r="Z47" i="33"/>
  <c r="AA112" i="9" s="1"/>
  <c r="Z48" i="33"/>
  <c r="AA113" i="8" s="1"/>
  <c r="AA112" i="26"/>
  <c r="Z156" i="29"/>
  <c r="AA157" i="29" s="1"/>
  <c r="Z49" i="29"/>
  <c r="Z38" i="29"/>
  <c r="AA24" i="24"/>
  <c r="T33" i="32"/>
  <c r="T40" i="32"/>
  <c r="T47" i="32" s="1"/>
  <c r="Y137" i="29"/>
  <c r="Z124" i="36"/>
  <c r="Y120" i="29"/>
  <c r="Z124" i="12"/>
  <c r="Y121" i="29"/>
  <c r="Y122" i="29"/>
  <c r="V133" i="32"/>
  <c r="V27" i="32"/>
  <c r="V142" i="32"/>
  <c r="AA30" i="36"/>
  <c r="AA89" i="36" s="1"/>
  <c r="AA112" i="36" s="1"/>
  <c r="AA135" i="36"/>
  <c r="AA193" i="36" s="1"/>
  <c r="AI99" i="9"/>
  <c r="AF145" i="8"/>
  <c r="Y128" i="12"/>
  <c r="Y128" i="36"/>
  <c r="AD9" i="29"/>
  <c r="AC13" i="29"/>
  <c r="AC10" i="29"/>
  <c r="W130" i="29"/>
  <c r="AB92" i="12"/>
  <c r="AB92" i="36"/>
  <c r="Y138" i="24"/>
  <c r="Y121" i="24"/>
  <c r="Y129" i="24"/>
  <c r="Z116" i="36"/>
  <c r="Y122" i="24"/>
  <c r="Z116" i="12"/>
  <c r="Y130" i="24"/>
  <c r="Y120" i="24"/>
  <c r="Y123" i="24"/>
  <c r="AC32" i="29"/>
  <c r="AB42" i="29"/>
  <c r="AB158" i="29" s="1"/>
  <c r="AC10" i="24"/>
  <c r="AC13" i="24"/>
  <c r="AD9" i="24"/>
  <c r="AC32" i="24"/>
  <c r="AB42" i="24"/>
  <c r="AB160" i="24" s="1"/>
  <c r="R52" i="32"/>
  <c r="Z158" i="24"/>
  <c r="AA159" i="24" s="1"/>
  <c r="Z38" i="24"/>
  <c r="Z49" i="24"/>
  <c r="Y119" i="12"/>
  <c r="Y119" i="36"/>
  <c r="W124" i="32"/>
  <c r="X51" i="12"/>
  <c r="X57" i="12" s="1"/>
  <c r="Z140" i="24"/>
  <c r="Z118" i="24"/>
  <c r="Z112" i="24"/>
  <c r="Z113" i="24"/>
  <c r="AA110" i="24"/>
  <c r="Z114" i="24"/>
  <c r="AB15" i="24"/>
  <c r="AB18" i="24"/>
  <c r="AB19" i="24"/>
  <c r="AB20" i="24"/>
  <c r="AB21" i="24"/>
  <c r="AB22" i="24"/>
  <c r="AB16" i="24"/>
  <c r="AB17" i="24"/>
  <c r="AB14" i="24"/>
  <c r="S84" i="32"/>
  <c r="S36" i="32"/>
  <c r="S37" i="32" s="1"/>
  <c r="S51" i="32" s="1"/>
  <c r="S52" i="32" s="1"/>
  <c r="U134" i="32"/>
  <c r="U28" i="32" s="1"/>
  <c r="U29" i="32" s="1"/>
  <c r="R87" i="32"/>
  <c r="R86" i="32"/>
  <c r="Y127" i="36"/>
  <c r="Y127" i="12"/>
  <c r="Z112" i="9"/>
  <c r="Y118" i="10"/>
  <c r="X6" i="33"/>
  <c r="AB20" i="29"/>
  <c r="AB19" i="29"/>
  <c r="AB21" i="29"/>
  <c r="AB14" i="29"/>
  <c r="AB22" i="29"/>
  <c r="AB16" i="29"/>
  <c r="AB17" i="29"/>
  <c r="AB15" i="29"/>
  <c r="AB18" i="29"/>
  <c r="Y121" i="36"/>
  <c r="Y121" i="12"/>
  <c r="Y113" i="32"/>
  <c r="X139" i="24" s="1"/>
  <c r="Y109" i="32"/>
  <c r="X123" i="26" s="1"/>
  <c r="Y110" i="32"/>
  <c r="Z103" i="32"/>
  <c r="Y108" i="32"/>
  <c r="Y106" i="32"/>
  <c r="Y112" i="32"/>
  <c r="Y111" i="32"/>
  <c r="X127" i="10" s="1"/>
  <c r="X128" i="10" s="1"/>
  <c r="Y39" i="36" s="1"/>
  <c r="Y128" i="32"/>
  <c r="Y130" i="32" s="1"/>
  <c r="Z55" i="12" s="1"/>
  <c r="Y107" i="32"/>
  <c r="X121" i="21" s="1"/>
  <c r="X122" i="21" s="1"/>
  <c r="Y66" i="36" s="1"/>
  <c r="Y121" i="21"/>
  <c r="Y122" i="21" s="1"/>
  <c r="Z66" i="36" s="1"/>
  <c r="Y139" i="24"/>
  <c r="Y127" i="10"/>
  <c r="AB18" i="36"/>
  <c r="AB12" i="36"/>
  <c r="AB7" i="36"/>
  <c r="AB8" i="36"/>
  <c r="AB17" i="36"/>
  <c r="AC6" i="36"/>
  <c r="AE141" i="21"/>
  <c r="AG17" i="32"/>
  <c r="AG138" i="32" s="1"/>
  <c r="AG31" i="32" s="1"/>
  <c r="AF42" i="32"/>
  <c r="AF44" i="32" s="1"/>
  <c r="AH9" i="32"/>
  <c r="AG10" i="32"/>
  <c r="AG26" i="32" s="1"/>
  <c r="AG83" i="32" s="1"/>
  <c r="AG104" i="32" s="1"/>
  <c r="AF32" i="9"/>
  <c r="AE42" i="9"/>
  <c r="AE141" i="9" s="1"/>
  <c r="AE46" i="32"/>
  <c r="AH14" i="32"/>
  <c r="AH15" i="32"/>
  <c r="AH12" i="32"/>
  <c r="AI11" i="32" s="1"/>
  <c r="AH13" i="32"/>
  <c r="AE18" i="9"/>
  <c r="AE19" i="9"/>
  <c r="AE15" i="9"/>
  <c r="AE20" i="9"/>
  <c r="AE22" i="9"/>
  <c r="AE21" i="9"/>
  <c r="AE17" i="9"/>
  <c r="AE24" i="9"/>
  <c r="AE16" i="9"/>
  <c r="AE14" i="9"/>
  <c r="AC122" i="9"/>
  <c r="AD110" i="9"/>
  <c r="AC113" i="9"/>
  <c r="AF10" i="9"/>
  <c r="AF33" i="9" s="1"/>
  <c r="AF90" i="9" s="1"/>
  <c r="AF111" i="9" s="1"/>
  <c r="AF13" i="9"/>
  <c r="AG9" i="9"/>
  <c r="AD49" i="9"/>
  <c r="AD38" i="9"/>
  <c r="AD139" i="9"/>
  <c r="AE140" i="9" s="1"/>
  <c r="AD99" i="24"/>
  <c r="AE97" i="24" s="1"/>
  <c r="AF17" i="21"/>
  <c r="AF14" i="21"/>
  <c r="AF22" i="21"/>
  <c r="AF15" i="21"/>
  <c r="AF18" i="21"/>
  <c r="AF21" i="21"/>
  <c r="AF19" i="21"/>
  <c r="AF16" i="21"/>
  <c r="AF24" i="21"/>
  <c r="AF20" i="21"/>
  <c r="AH9" i="21"/>
  <c r="AG10" i="21"/>
  <c r="AG33" i="21" s="1"/>
  <c r="AG90" i="21" s="1"/>
  <c r="AG111" i="21" s="1"/>
  <c r="AG13" i="21"/>
  <c r="AD114" i="21"/>
  <c r="AD119" i="21" s="1"/>
  <c r="AE110" i="21"/>
  <c r="AG32" i="21"/>
  <c r="AF42" i="21"/>
  <c r="AF142" i="21" s="1"/>
  <c r="AF19" i="5"/>
  <c r="AF18" i="5"/>
  <c r="AF22" i="5"/>
  <c r="AF20" i="5"/>
  <c r="AF15" i="5"/>
  <c r="AF21" i="5"/>
  <c r="AF16" i="5"/>
  <c r="AF14" i="5"/>
  <c r="AF17" i="5"/>
  <c r="AD49" i="5"/>
  <c r="AD132" i="5"/>
  <c r="AG13" i="5"/>
  <c r="AG10" i="5"/>
  <c r="AH9" i="5"/>
  <c r="AG42" i="5"/>
  <c r="AG134" i="5" s="1"/>
  <c r="AE49" i="21"/>
  <c r="AE38" i="21"/>
  <c r="AE140" i="21"/>
  <c r="AE142" i="21"/>
  <c r="AE24" i="5"/>
  <c r="AI103" i="29"/>
  <c r="AI92" i="29" s="1"/>
  <c r="AE99" i="10"/>
  <c r="AF97" i="10" s="1"/>
  <c r="AI99" i="29"/>
  <c r="AJ97" i="29" s="1"/>
  <c r="AC119" i="21"/>
  <c r="AB13" i="33"/>
  <c r="AD133" i="5"/>
  <c r="AL29" i="12"/>
  <c r="AK12" i="21"/>
  <c r="AL11" i="21" s="1"/>
  <c r="AI32" i="10"/>
  <c r="AG101" i="21"/>
  <c r="AH89" i="21"/>
  <c r="AG98" i="21"/>
  <c r="AG102" i="21" s="1"/>
  <c r="AF99" i="21"/>
  <c r="AG97" i="21" s="1"/>
  <c r="AG89" i="10"/>
  <c r="AF101" i="10"/>
  <c r="AF98" i="10"/>
  <c r="AF102" i="10" s="1"/>
  <c r="AF128" i="21"/>
  <c r="AF130" i="21" s="1"/>
  <c r="AF103" i="21"/>
  <c r="AF92" i="21" s="1"/>
  <c r="AE103" i="10"/>
  <c r="AE92" i="10" s="1"/>
  <c r="AE134" i="10"/>
  <c r="AE137" i="10" s="1"/>
  <c r="AH32" i="8"/>
  <c r="AG42" i="8"/>
  <c r="AG146" i="8" s="1"/>
  <c r="AH10" i="8"/>
  <c r="AH33" i="8" s="1"/>
  <c r="AH90" i="8" s="1"/>
  <c r="AH111" i="8" s="1"/>
  <c r="AI9" i="8"/>
  <c r="AH13" i="8"/>
  <c r="AG110" i="8"/>
  <c r="AK30" i="8"/>
  <c r="AJ57" i="8"/>
  <c r="AF49" i="8"/>
  <c r="AF38" i="8"/>
  <c r="AF144" i="8"/>
  <c r="AG145" i="8" s="1"/>
  <c r="AG24" i="8"/>
  <c r="AG15" i="8"/>
  <c r="AG16" i="8"/>
  <c r="AG20" i="8"/>
  <c r="AG21" i="8"/>
  <c r="AG14" i="8"/>
  <c r="AG19" i="8"/>
  <c r="AG17" i="8"/>
  <c r="AG22" i="8"/>
  <c r="AG18" i="8"/>
  <c r="AJ12" i="8"/>
  <c r="AK11" i="8" s="1"/>
  <c r="AI103" i="9"/>
  <c r="AI92" i="9" s="1"/>
  <c r="AI129" i="9"/>
  <c r="AI131" i="9" s="1"/>
  <c r="AN30" i="9"/>
  <c r="AM57" i="9"/>
  <c r="AH12" i="9"/>
  <c r="AI11" i="9" s="1"/>
  <c r="AK89" i="9"/>
  <c r="AJ98" i="9"/>
  <c r="AJ102" i="9" s="1"/>
  <c r="AJ101" i="9"/>
  <c r="AJ97" i="9"/>
  <c r="AE24" i="26"/>
  <c r="AE18" i="26"/>
  <c r="AE21" i="26"/>
  <c r="AE17" i="26"/>
  <c r="AE20" i="26"/>
  <c r="AE19" i="26"/>
  <c r="AE14" i="26"/>
  <c r="AE22" i="26"/>
  <c r="AE16" i="26"/>
  <c r="AE15" i="26"/>
  <c r="AH12" i="26"/>
  <c r="AI11" i="26" s="1"/>
  <c r="AK30" i="26"/>
  <c r="AJ57" i="26"/>
  <c r="AE89" i="26"/>
  <c r="AC122" i="26"/>
  <c r="AD110" i="26"/>
  <c r="AC113" i="26"/>
  <c r="AF13" i="26"/>
  <c r="AF10" i="26"/>
  <c r="AF33" i="26" s="1"/>
  <c r="AF90" i="26" s="1"/>
  <c r="AF111" i="26" s="1"/>
  <c r="AG9" i="26"/>
  <c r="AE42" i="26"/>
  <c r="AE144" i="26" s="1"/>
  <c r="AF32" i="26"/>
  <c r="AD38" i="26"/>
  <c r="AD142" i="26"/>
  <c r="AD49" i="26"/>
  <c r="AK30" i="29"/>
  <c r="AJ57" i="29"/>
  <c r="AK89" i="29"/>
  <c r="AJ101" i="29"/>
  <c r="AJ98" i="29"/>
  <c r="AJ102" i="29" s="1"/>
  <c r="AF89" i="24"/>
  <c r="AE101" i="24"/>
  <c r="AE98" i="24"/>
  <c r="AE102" i="24" s="1"/>
  <c r="AL30" i="24"/>
  <c r="AK57" i="24"/>
  <c r="AD147" i="24"/>
  <c r="AD150" i="24" s="1"/>
  <c r="AD103" i="24"/>
  <c r="AD92" i="24" s="1"/>
  <c r="AL160" i="36" l="1"/>
  <c r="AM132" i="36"/>
  <c r="Z126" i="29"/>
  <c r="Z127" i="29"/>
  <c r="Z128" i="29"/>
  <c r="X130" i="29"/>
  <c r="U40" i="32"/>
  <c r="U47" i="32" s="1"/>
  <c r="U33" i="32"/>
  <c r="S53" i="32"/>
  <c r="S54" i="32"/>
  <c r="Z113" i="12"/>
  <c r="Z113" i="36"/>
  <c r="Y122" i="10"/>
  <c r="Y119" i="10"/>
  <c r="Y125" i="10" s="1"/>
  <c r="AB110" i="29"/>
  <c r="AA118" i="29"/>
  <c r="AA114" i="29"/>
  <c r="AA138" i="29" s="1"/>
  <c r="AA113" i="29"/>
  <c r="AA112" i="29"/>
  <c r="Z91" i="12"/>
  <c r="Z91" i="36"/>
  <c r="U136" i="32"/>
  <c r="AC14" i="29"/>
  <c r="AC19" i="29"/>
  <c r="AC22" i="29"/>
  <c r="AC21" i="29"/>
  <c r="AC16" i="29"/>
  <c r="AC15" i="29"/>
  <c r="AC18" i="29"/>
  <c r="AC17" i="29"/>
  <c r="AC20" i="29"/>
  <c r="AA44" i="36"/>
  <c r="AA32" i="36"/>
  <c r="AA45" i="36"/>
  <c r="AB88" i="36"/>
  <c r="AA72" i="36"/>
  <c r="AC92" i="36"/>
  <c r="AC92" i="12"/>
  <c r="AC88" i="12"/>
  <c r="AB32" i="12"/>
  <c r="AB44" i="12"/>
  <c r="AA91" i="36"/>
  <c r="AA91" i="12"/>
  <c r="AB30" i="36"/>
  <c r="AB89" i="36" s="1"/>
  <c r="AB112" i="36" s="1"/>
  <c r="AB135" i="36"/>
  <c r="AB193" i="36" s="1"/>
  <c r="AD32" i="29"/>
  <c r="AC42" i="29"/>
  <c r="AC158" i="29" s="1"/>
  <c r="Z119" i="36"/>
  <c r="Z119" i="12"/>
  <c r="AC135" i="12"/>
  <c r="AC192" i="12" s="1"/>
  <c r="AC30" i="12"/>
  <c r="AC89" i="12" s="1"/>
  <c r="AC112" i="12" s="1"/>
  <c r="AB192" i="36"/>
  <c r="AC134" i="36"/>
  <c r="S86" i="32"/>
  <c r="S87" i="32"/>
  <c r="R53" i="32"/>
  <c r="R54" i="32"/>
  <c r="Z121" i="36"/>
  <c r="Z121" i="12"/>
  <c r="V134" i="32"/>
  <c r="V28" i="32" s="1"/>
  <c r="V29" i="32" s="1"/>
  <c r="T36" i="32"/>
  <c r="T37" i="32" s="1"/>
  <c r="T51" i="32" s="1"/>
  <c r="T52" i="32" s="1"/>
  <c r="T84" i="32"/>
  <c r="AA112" i="8"/>
  <c r="AA112" i="21"/>
  <c r="Z137" i="29"/>
  <c r="Z121" i="29"/>
  <c r="Z120" i="29"/>
  <c r="AA124" i="12"/>
  <c r="AA124" i="36"/>
  <c r="Z122" i="29"/>
  <c r="AB24" i="10"/>
  <c r="Z138" i="24"/>
  <c r="Z122" i="24"/>
  <c r="Z130" i="24"/>
  <c r="Z129" i="24"/>
  <c r="AA116" i="36"/>
  <c r="Z123" i="24"/>
  <c r="Z121" i="24"/>
  <c r="Z120" i="24"/>
  <c r="AA116" i="12"/>
  <c r="AB24" i="29"/>
  <c r="AB24" i="24"/>
  <c r="W133" i="32"/>
  <c r="W142" i="32"/>
  <c r="W27" i="32"/>
  <c r="Z118" i="12"/>
  <c r="Z118" i="36"/>
  <c r="Z128" i="36"/>
  <c r="Z128" i="12"/>
  <c r="AA158" i="24"/>
  <c r="AB159" i="24" s="1"/>
  <c r="AA38" i="24"/>
  <c r="AA49" i="24"/>
  <c r="AD134" i="12"/>
  <c r="AC191" i="12"/>
  <c r="AD7" i="12"/>
  <c r="AD17" i="12"/>
  <c r="AD8" i="12"/>
  <c r="AE6" i="12"/>
  <c r="AA49" i="10"/>
  <c r="AA147" i="10"/>
  <c r="AB148" i="10" s="1"/>
  <c r="AA38" i="10"/>
  <c r="AA126" i="10"/>
  <c r="AA116" i="10"/>
  <c r="AA118" i="10" s="1"/>
  <c r="AB110" i="10"/>
  <c r="AA113" i="10"/>
  <c r="AA112" i="10"/>
  <c r="Z6" i="33"/>
  <c r="Z106" i="32"/>
  <c r="Z110" i="32"/>
  <c r="Z128" i="32"/>
  <c r="Z130" i="32" s="1"/>
  <c r="AA55" i="12" s="1"/>
  <c r="Z111" i="32"/>
  <c r="Z107" i="32"/>
  <c r="AA103" i="32"/>
  <c r="Z112" i="32"/>
  <c r="Z113" i="32"/>
  <c r="Z139" i="24" s="1"/>
  <c r="Z109" i="32"/>
  <c r="Y123" i="26" s="1"/>
  <c r="Z108" i="32"/>
  <c r="Y124" i="8" s="1"/>
  <c r="Z124" i="8"/>
  <c r="AE9" i="29"/>
  <c r="AD13" i="29"/>
  <c r="AD10" i="29"/>
  <c r="Y128" i="10"/>
  <c r="Z39" i="36" s="1"/>
  <c r="AD32" i="24"/>
  <c r="AC42" i="24"/>
  <c r="AC160" i="24" s="1"/>
  <c r="Z127" i="36"/>
  <c r="Z127" i="12"/>
  <c r="AD42" i="10"/>
  <c r="AE9" i="10"/>
  <c r="AD10" i="10"/>
  <c r="AD33" i="10" s="1"/>
  <c r="AD90" i="10" s="1"/>
  <c r="AD111" i="10" s="1"/>
  <c r="AD13" i="10"/>
  <c r="AA47" i="33"/>
  <c r="AB112" i="21" s="1"/>
  <c r="AA48" i="33"/>
  <c r="AB113" i="29" s="1"/>
  <c r="AB113" i="8"/>
  <c r="AB112" i="8"/>
  <c r="AB112" i="9"/>
  <c r="AB112" i="26"/>
  <c r="X133" i="32"/>
  <c r="X142" i="32"/>
  <c r="X27" i="32"/>
  <c r="AA49" i="29"/>
  <c r="AA156" i="29"/>
  <c r="AB157" i="29" s="1"/>
  <c r="AA38" i="29"/>
  <c r="AG42" i="32"/>
  <c r="AA112" i="24"/>
  <c r="AA113" i="24"/>
  <c r="AA140" i="24"/>
  <c r="AB110" i="24"/>
  <c r="AA114" i="24"/>
  <c r="AA118" i="24"/>
  <c r="AD10" i="24"/>
  <c r="AE9" i="24"/>
  <c r="AD13" i="24"/>
  <c r="W132" i="29"/>
  <c r="W135" i="29"/>
  <c r="AC14" i="10"/>
  <c r="AC17" i="10"/>
  <c r="AC15" i="10"/>
  <c r="AC22" i="10"/>
  <c r="AC19" i="10"/>
  <c r="AC20" i="10"/>
  <c r="AC18" i="10"/>
  <c r="AC21" i="10"/>
  <c r="AC16" i="10"/>
  <c r="AB7" i="33"/>
  <c r="AB4" i="33"/>
  <c r="AC3" i="33"/>
  <c r="AB30" i="33"/>
  <c r="AB46" i="33" s="1"/>
  <c r="Z122" i="10"/>
  <c r="AA113" i="36"/>
  <c r="Z119" i="10"/>
  <c r="Z125" i="10" s="1"/>
  <c r="AA113" i="12"/>
  <c r="X132" i="29"/>
  <c r="X135" i="29"/>
  <c r="AC12" i="36"/>
  <c r="AC18" i="36"/>
  <c r="AC17" i="36"/>
  <c r="AC8" i="36"/>
  <c r="AC7" i="36"/>
  <c r="AD6" i="36"/>
  <c r="X123" i="9"/>
  <c r="Y114" i="32"/>
  <c r="AC15" i="24"/>
  <c r="AC20" i="24"/>
  <c r="AC22" i="24"/>
  <c r="AC17" i="24"/>
  <c r="AC18" i="24"/>
  <c r="AC16" i="24"/>
  <c r="AC21" i="24"/>
  <c r="AC19" i="24"/>
  <c r="AC14" i="24"/>
  <c r="Z120" i="36"/>
  <c r="Z120" i="12"/>
  <c r="Y130" i="29"/>
  <c r="Z126" i="12"/>
  <c r="Z126" i="36"/>
  <c r="AJ99" i="9"/>
  <c r="AE38" i="9"/>
  <c r="AE139" i="9"/>
  <c r="AF140" i="9" s="1"/>
  <c r="AE49" i="9"/>
  <c r="AH17" i="32"/>
  <c r="AI12" i="32"/>
  <c r="AJ11" i="32" s="1"/>
  <c r="AI15" i="32"/>
  <c r="AI14" i="32"/>
  <c r="AI13" i="32"/>
  <c r="AI9" i="32"/>
  <c r="AH10" i="32"/>
  <c r="AH26" i="32" s="1"/>
  <c r="AH83" i="32" s="1"/>
  <c r="AH104" i="32" s="1"/>
  <c r="AG10" i="9"/>
  <c r="AG33" i="9" s="1"/>
  <c r="AG90" i="9" s="1"/>
  <c r="AG111" i="9" s="1"/>
  <c r="AH9" i="9"/>
  <c r="AG13" i="9"/>
  <c r="AD122" i="9"/>
  <c r="AD113" i="9"/>
  <c r="AE110" i="9"/>
  <c r="AG32" i="9"/>
  <c r="AF42" i="9"/>
  <c r="AF21" i="9"/>
  <c r="AF17" i="9"/>
  <c r="AF24" i="9"/>
  <c r="AF22" i="9"/>
  <c r="AF14" i="9"/>
  <c r="AF16" i="9"/>
  <c r="AF20" i="9"/>
  <c r="AF15" i="9"/>
  <c r="AF18" i="9"/>
  <c r="AF19" i="9"/>
  <c r="AG44" i="32"/>
  <c r="AF46" i="32"/>
  <c r="AE132" i="5"/>
  <c r="AE49" i="5"/>
  <c r="AG15" i="5"/>
  <c r="AG22" i="5"/>
  <c r="AG16" i="5"/>
  <c r="AG14" i="5"/>
  <c r="AG20" i="5"/>
  <c r="AG17" i="5"/>
  <c r="AG18" i="5"/>
  <c r="AG21" i="5"/>
  <c r="AG19" i="5"/>
  <c r="AH13" i="21"/>
  <c r="AI9" i="21"/>
  <c r="AH10" i="21"/>
  <c r="AH33" i="21" s="1"/>
  <c r="AH90" i="21" s="1"/>
  <c r="AH111" i="21" s="1"/>
  <c r="AG99" i="21"/>
  <c r="AH97" i="21" s="1"/>
  <c r="AF141" i="21"/>
  <c r="AF99" i="10"/>
  <c r="AG97" i="10" s="1"/>
  <c r="AF24" i="5"/>
  <c r="AH10" i="5"/>
  <c r="AI9" i="5"/>
  <c r="AH13" i="5"/>
  <c r="AH42" i="5"/>
  <c r="AH134" i="5" s="1"/>
  <c r="AH32" i="21"/>
  <c r="AG42" i="21"/>
  <c r="AG142" i="21" s="1"/>
  <c r="AD38" i="5"/>
  <c r="AE133" i="5"/>
  <c r="AF110" i="21"/>
  <c r="AE114" i="21"/>
  <c r="AG17" i="21"/>
  <c r="AG22" i="21"/>
  <c r="AG20" i="21"/>
  <c r="AG15" i="21"/>
  <c r="AG18" i="21"/>
  <c r="AG16" i="21"/>
  <c r="AG19" i="21"/>
  <c r="AG21" i="21"/>
  <c r="AG24" i="21"/>
  <c r="AG14" i="21"/>
  <c r="AF140" i="21"/>
  <c r="AF49" i="21"/>
  <c r="AF38" i="21"/>
  <c r="AF103" i="10"/>
  <c r="AF92" i="10" s="1"/>
  <c r="AF134" i="10"/>
  <c r="AF137" i="10" s="1"/>
  <c r="AH89" i="10"/>
  <c r="AG101" i="10"/>
  <c r="AG98" i="10"/>
  <c r="AG102" i="10" s="1"/>
  <c r="AJ32" i="10"/>
  <c r="AE99" i="24"/>
  <c r="AF97" i="24" s="1"/>
  <c r="AM29" i="12"/>
  <c r="AH101" i="21"/>
  <c r="AI89" i="21"/>
  <c r="AH98" i="21"/>
  <c r="AH102" i="21" s="1"/>
  <c r="AL12" i="21"/>
  <c r="AM11" i="21" s="1"/>
  <c r="AG116" i="8"/>
  <c r="AG128" i="21"/>
  <c r="AG130" i="21" s="1"/>
  <c r="AG103" i="21"/>
  <c r="AG92" i="21" s="1"/>
  <c r="AG144" i="8"/>
  <c r="AH145" i="8" s="1"/>
  <c r="AG49" i="8"/>
  <c r="AG38" i="8"/>
  <c r="AH110" i="8"/>
  <c r="AH116" i="8" s="1"/>
  <c r="AH17" i="8"/>
  <c r="AH15" i="8"/>
  <c r="AH21" i="8"/>
  <c r="AH20" i="8"/>
  <c r="AH22" i="8"/>
  <c r="AH16" i="8"/>
  <c r="AH18" i="8"/>
  <c r="AH24" i="8"/>
  <c r="AH19" i="8"/>
  <c r="AH14" i="8"/>
  <c r="AJ9" i="8"/>
  <c r="AI10" i="8"/>
  <c r="AI33" i="8" s="1"/>
  <c r="AI90" i="8" s="1"/>
  <c r="AI111" i="8" s="1"/>
  <c r="AI13" i="8"/>
  <c r="AL30" i="8"/>
  <c r="AK57" i="8"/>
  <c r="AI32" i="8"/>
  <c r="AH42" i="8"/>
  <c r="AH146" i="8" s="1"/>
  <c r="AK12" i="8"/>
  <c r="AL11" i="8" s="1"/>
  <c r="AI12" i="9"/>
  <c r="AJ11" i="9" s="1"/>
  <c r="AN57" i="9"/>
  <c r="AO30" i="9"/>
  <c r="AJ103" i="9"/>
  <c r="AJ92" i="9" s="1"/>
  <c r="AJ129" i="9"/>
  <c r="AJ131" i="9" s="1"/>
  <c r="AL89" i="9"/>
  <c r="AK101" i="9"/>
  <c r="AK98" i="9"/>
  <c r="AK102" i="9" s="1"/>
  <c r="AK97" i="9"/>
  <c r="AF89" i="26"/>
  <c r="AK57" i="26"/>
  <c r="AL30" i="26"/>
  <c r="AF42" i="26"/>
  <c r="AF144" i="26" s="1"/>
  <c r="AG32" i="26"/>
  <c r="AI12" i="26"/>
  <c r="AJ11" i="26" s="1"/>
  <c r="AD122" i="26"/>
  <c r="AE110" i="26"/>
  <c r="AD113" i="26"/>
  <c r="AG13" i="26"/>
  <c r="AG10" i="26"/>
  <c r="AG33" i="26" s="1"/>
  <c r="AG90" i="26" s="1"/>
  <c r="AG111" i="26" s="1"/>
  <c r="AH9" i="26"/>
  <c r="AF24" i="26"/>
  <c r="AF22" i="26"/>
  <c r="AF18" i="26"/>
  <c r="AF20" i="26"/>
  <c r="AF19" i="26"/>
  <c r="AF21" i="26"/>
  <c r="AF15" i="26"/>
  <c r="AF17" i="26"/>
  <c r="AF16" i="26"/>
  <c r="AF14" i="26"/>
  <c r="AE142" i="26"/>
  <c r="AE38" i="26"/>
  <c r="AE49" i="26"/>
  <c r="AJ99" i="29"/>
  <c r="AL30" i="29"/>
  <c r="AK57" i="29"/>
  <c r="AJ103" i="29"/>
  <c r="AJ92" i="29" s="1"/>
  <c r="AL89" i="29"/>
  <c r="AK101" i="29"/>
  <c r="AK98" i="29"/>
  <c r="AK102" i="29" s="1"/>
  <c r="AK97" i="29"/>
  <c r="AG89" i="24"/>
  <c r="AF98" i="24"/>
  <c r="AF102" i="24" s="1"/>
  <c r="AF101" i="24"/>
  <c r="AM30" i="24"/>
  <c r="AL57" i="24"/>
  <c r="AE147" i="24"/>
  <c r="AE150" i="24" s="1"/>
  <c r="AE103" i="24"/>
  <c r="AE92" i="24" s="1"/>
  <c r="AM160" i="36" l="1"/>
  <c r="AN132" i="36"/>
  <c r="AA126" i="29"/>
  <c r="AA127" i="29"/>
  <c r="AA128" i="29"/>
  <c r="V33" i="32"/>
  <c r="V40" i="32"/>
  <c r="V47" i="32" s="1"/>
  <c r="AA121" i="36"/>
  <c r="AA121" i="12"/>
  <c r="AB47" i="33"/>
  <c r="AC112" i="21" s="1"/>
  <c r="AB48" i="33"/>
  <c r="AC112" i="8"/>
  <c r="AC112" i="9"/>
  <c r="AE13" i="24"/>
  <c r="AE10" i="24"/>
  <c r="AF9" i="24"/>
  <c r="AD20" i="10"/>
  <c r="AD17" i="10"/>
  <c r="AD18" i="10"/>
  <c r="AD22" i="10"/>
  <c r="AD16" i="10"/>
  <c r="AD19" i="10"/>
  <c r="AD14" i="10"/>
  <c r="AD21" i="10"/>
  <c r="AD15" i="10"/>
  <c r="AD42" i="24"/>
  <c r="AE32" i="24"/>
  <c r="AD191" i="12"/>
  <c r="AE134" i="12"/>
  <c r="AA119" i="12"/>
  <c r="AA119" i="36"/>
  <c r="AA128" i="36"/>
  <c r="AA128" i="12"/>
  <c r="T87" i="32"/>
  <c r="T86" i="32"/>
  <c r="AD12" i="36"/>
  <c r="AD8" i="36"/>
  <c r="AE6" i="36"/>
  <c r="AD17" i="36"/>
  <c r="AD7" i="36"/>
  <c r="AC7" i="33"/>
  <c r="AC4" i="33"/>
  <c r="AC30" i="33"/>
  <c r="AC46" i="33" s="1"/>
  <c r="AD3" i="33"/>
  <c r="AC135" i="36"/>
  <c r="AC193" i="36" s="1"/>
  <c r="AC30" i="36"/>
  <c r="AC89" i="36" s="1"/>
  <c r="AC112" i="36" s="1"/>
  <c r="AA138" i="24"/>
  <c r="AA129" i="24"/>
  <c r="AB116" i="12"/>
  <c r="AB116" i="36"/>
  <c r="AA130" i="24"/>
  <c r="AA122" i="24"/>
  <c r="AA121" i="24"/>
  <c r="AA123" i="24"/>
  <c r="AA120" i="24"/>
  <c r="AE42" i="10"/>
  <c r="AE149" i="10" s="1"/>
  <c r="AF9" i="10"/>
  <c r="AE10" i="10"/>
  <c r="AE33" i="10" s="1"/>
  <c r="AE90" i="10" s="1"/>
  <c r="AE111" i="10" s="1"/>
  <c r="AE13" i="10"/>
  <c r="AB91" i="36"/>
  <c r="AB91" i="12"/>
  <c r="V136" i="32"/>
  <c r="AD134" i="36"/>
  <c r="AC192" i="36"/>
  <c r="AE32" i="29"/>
  <c r="AD42" i="29"/>
  <c r="AD92" i="12"/>
  <c r="AD92" i="36"/>
  <c r="AC113" i="8"/>
  <c r="AD15" i="29"/>
  <c r="AD16" i="29"/>
  <c r="AD19" i="29"/>
  <c r="AD21" i="29"/>
  <c r="AD22" i="29"/>
  <c r="AD18" i="29"/>
  <c r="AD14" i="29"/>
  <c r="AD20" i="29"/>
  <c r="AD17" i="29"/>
  <c r="AE12" i="12"/>
  <c r="AE17" i="12"/>
  <c r="AF6" i="12"/>
  <c r="AE8" i="12"/>
  <c r="AE7" i="12"/>
  <c r="W134" i="32"/>
  <c r="W28" i="32" s="1"/>
  <c r="W29" i="32" s="1"/>
  <c r="W136" i="32"/>
  <c r="AA126" i="12"/>
  <c r="AA126" i="36"/>
  <c r="AA55" i="36"/>
  <c r="AC32" i="12"/>
  <c r="AC44" i="12"/>
  <c r="AD88" i="12"/>
  <c r="Y132" i="29"/>
  <c r="Y135" i="29"/>
  <c r="AC24" i="10"/>
  <c r="AD18" i="36" s="1"/>
  <c r="AB114" i="24"/>
  <c r="AB140" i="24"/>
  <c r="AC110" i="24"/>
  <c r="AB113" i="24"/>
  <c r="AB118" i="24"/>
  <c r="AB112" i="24"/>
  <c r="AF9" i="29"/>
  <c r="AE10" i="29"/>
  <c r="AE13" i="29"/>
  <c r="AA111" i="32"/>
  <c r="Z127" i="10" s="1"/>
  <c r="Z128" i="10" s="1"/>
  <c r="AA39" i="36" s="1"/>
  <c r="AA106" i="32"/>
  <c r="AB103" i="32"/>
  <c r="AA112" i="32"/>
  <c r="AA107" i="32"/>
  <c r="AA113" i="32"/>
  <c r="AA139" i="24" s="1"/>
  <c r="AA110" i="32"/>
  <c r="AA108" i="32"/>
  <c r="AA128" i="32"/>
  <c r="AA130" i="32" s="1"/>
  <c r="AA109" i="32"/>
  <c r="Z123" i="26" s="1"/>
  <c r="AB158" i="24"/>
  <c r="AC159" i="24" s="1"/>
  <c r="AB49" i="24"/>
  <c r="AB38" i="24"/>
  <c r="AA127" i="12"/>
  <c r="AA127" i="36"/>
  <c r="AC110" i="10"/>
  <c r="AB126" i="10"/>
  <c r="AB116" i="10"/>
  <c r="AB118" i="10" s="1"/>
  <c r="AB113" i="10"/>
  <c r="AB112" i="10"/>
  <c r="AA6" i="33"/>
  <c r="AB38" i="29"/>
  <c r="AB156" i="29"/>
  <c r="AC157" i="29" s="1"/>
  <c r="AB49" i="29"/>
  <c r="AA120" i="36"/>
  <c r="AA120" i="12"/>
  <c r="AC24" i="29"/>
  <c r="AA137" i="29"/>
  <c r="AA120" i="29"/>
  <c r="AA121" i="29"/>
  <c r="AA122" i="29"/>
  <c r="AB124" i="36"/>
  <c r="AB124" i="12"/>
  <c r="Z114" i="32"/>
  <c r="T53" i="32"/>
  <c r="T54" i="32" s="1"/>
  <c r="AB72" i="36"/>
  <c r="AC88" i="36"/>
  <c r="AB44" i="36"/>
  <c r="AB45" i="36"/>
  <c r="AB32" i="36"/>
  <c r="AC24" i="24"/>
  <c r="AB113" i="12"/>
  <c r="AA119" i="10"/>
  <c r="AA125" i="10" s="1"/>
  <c r="AB113" i="36"/>
  <c r="AA122" i="10"/>
  <c r="AD135" i="12"/>
  <c r="AD192" i="12" s="1"/>
  <c r="AD30" i="12"/>
  <c r="AD89" i="12" s="1"/>
  <c r="AD112" i="12" s="1"/>
  <c r="AB118" i="29"/>
  <c r="AB114" i="29"/>
  <c r="AB138" i="29" s="1"/>
  <c r="AC110" i="29"/>
  <c r="AB112" i="29"/>
  <c r="U84" i="32"/>
  <c r="U36" i="32"/>
  <c r="U37" i="32" s="1"/>
  <c r="U51" i="32" s="1"/>
  <c r="U52" i="32" s="1"/>
  <c r="AC13" i="33"/>
  <c r="AF141" i="9"/>
  <c r="Y124" i="32"/>
  <c r="Z51" i="12"/>
  <c r="Z57" i="12" s="1"/>
  <c r="AD17" i="24"/>
  <c r="AD21" i="24"/>
  <c r="AD18" i="24"/>
  <c r="AD20" i="24"/>
  <c r="AD19" i="24"/>
  <c r="AD16" i="24"/>
  <c r="AD14" i="24"/>
  <c r="AD22" i="24"/>
  <c r="AD15" i="24"/>
  <c r="X134" i="32"/>
  <c r="X28" i="32" s="1"/>
  <c r="X29" i="32" s="1"/>
  <c r="X136" i="32"/>
  <c r="AA118" i="36"/>
  <c r="AA118" i="12"/>
  <c r="AB38" i="10"/>
  <c r="AB147" i="10"/>
  <c r="AC148" i="10" s="1"/>
  <c r="AB49" i="10"/>
  <c r="AG141" i="21"/>
  <c r="AH99" i="21"/>
  <c r="AI97" i="21" s="1"/>
  <c r="AE113" i="9"/>
  <c r="AE122" i="9"/>
  <c r="AF110" i="9"/>
  <c r="AH138" i="32"/>
  <c r="AH31" i="32" s="1"/>
  <c r="AH42" i="32"/>
  <c r="AH44" i="32" s="1"/>
  <c r="AG46" i="32"/>
  <c r="AF49" i="9"/>
  <c r="AF38" i="9"/>
  <c r="AF139" i="9"/>
  <c r="AG140" i="9" s="1"/>
  <c r="AI10" i="32"/>
  <c r="AI26" i="32" s="1"/>
  <c r="AI83" i="32" s="1"/>
  <c r="AI104" i="32" s="1"/>
  <c r="AJ9" i="32"/>
  <c r="AI17" i="32"/>
  <c r="AG24" i="9"/>
  <c r="AG19" i="9"/>
  <c r="AG15" i="9"/>
  <c r="AG16" i="9"/>
  <c r="AG22" i="9"/>
  <c r="AG17" i="9"/>
  <c r="AG21" i="9"/>
  <c r="AG20" i="9"/>
  <c r="AG18" i="9"/>
  <c r="AG14" i="9"/>
  <c r="AI9" i="9"/>
  <c r="AH13" i="9"/>
  <c r="AH10" i="9"/>
  <c r="AH33" i="9" s="1"/>
  <c r="AH90" i="9" s="1"/>
  <c r="AH111" i="9" s="1"/>
  <c r="AJ13" i="32"/>
  <c r="AJ15" i="32"/>
  <c r="AJ14" i="32"/>
  <c r="AJ12" i="32"/>
  <c r="AK11" i="32" s="1"/>
  <c r="AH32" i="9"/>
  <c r="AG42" i="9"/>
  <c r="AG141" i="9" s="1"/>
  <c r="AK99" i="9"/>
  <c r="AL97" i="9" s="1"/>
  <c r="AG140" i="21"/>
  <c r="AG49" i="21"/>
  <c r="AG38" i="21"/>
  <c r="AJ9" i="21"/>
  <c r="AI10" i="21"/>
  <c r="AI33" i="21" s="1"/>
  <c r="AI90" i="21" s="1"/>
  <c r="AI111" i="21" s="1"/>
  <c r="AI13" i="21"/>
  <c r="AE119" i="21"/>
  <c r="AD13" i="33"/>
  <c r="AI32" i="21"/>
  <c r="AH42" i="21"/>
  <c r="AH142" i="21" s="1"/>
  <c r="AH22" i="21"/>
  <c r="AH24" i="21"/>
  <c r="AH20" i="21"/>
  <c r="AH14" i="21"/>
  <c r="AH21" i="21"/>
  <c r="AH16" i="21"/>
  <c r="AH18" i="21"/>
  <c r="AH19" i="21"/>
  <c r="AH17" i="21"/>
  <c r="AH15" i="21"/>
  <c r="AG24" i="5"/>
  <c r="AE38" i="5"/>
  <c r="AF133" i="5"/>
  <c r="AF99" i="24"/>
  <c r="AG97" i="24" s="1"/>
  <c r="AG110" i="21"/>
  <c r="AF114" i="21"/>
  <c r="AF119" i="21" s="1"/>
  <c r="AF49" i="5"/>
  <c r="AF132" i="5"/>
  <c r="AH21" i="5"/>
  <c r="AH17" i="5"/>
  <c r="AH22" i="5"/>
  <c r="AH15" i="5"/>
  <c r="AH19" i="5"/>
  <c r="AH16" i="5"/>
  <c r="AH14" i="5"/>
  <c r="AH18" i="5"/>
  <c r="AH20" i="5"/>
  <c r="AI42" i="5"/>
  <c r="AI134" i="5" s="1"/>
  <c r="AJ9" i="5"/>
  <c r="AI10" i="5"/>
  <c r="AI13" i="5"/>
  <c r="AI101" i="21"/>
  <c r="AJ89" i="21"/>
  <c r="AI98" i="21"/>
  <c r="AI102" i="21" s="1"/>
  <c r="AI89" i="10"/>
  <c r="AH101" i="10"/>
  <c r="AH98" i="10"/>
  <c r="AH102" i="10" s="1"/>
  <c r="AM12" i="21"/>
  <c r="AN11" i="21" s="1"/>
  <c r="AH128" i="21"/>
  <c r="AH130" i="21" s="1"/>
  <c r="AH103" i="21"/>
  <c r="AH92" i="21" s="1"/>
  <c r="AG99" i="10"/>
  <c r="AH97" i="10" s="1"/>
  <c r="AK32" i="10"/>
  <c r="AN29" i="12"/>
  <c r="AG103" i="10"/>
  <c r="AG92" i="10" s="1"/>
  <c r="AG134" i="10"/>
  <c r="AG137" i="10" s="1"/>
  <c r="AI42" i="8"/>
  <c r="AI146" i="8" s="1"/>
  <c r="AJ32" i="8"/>
  <c r="AH49" i="8"/>
  <c r="AH144" i="8"/>
  <c r="AI145" i="8" s="1"/>
  <c r="AH38" i="8"/>
  <c r="AM30" i="8"/>
  <c r="AL57" i="8"/>
  <c r="AI22" i="8"/>
  <c r="AI21" i="8"/>
  <c r="AI16" i="8"/>
  <c r="AI18" i="8"/>
  <c r="AI20" i="8"/>
  <c r="AI14" i="8"/>
  <c r="AI19" i="8"/>
  <c r="AI17" i="8"/>
  <c r="AI24" i="8"/>
  <c r="AI15" i="8"/>
  <c r="AI110" i="8"/>
  <c r="AI116" i="8" s="1"/>
  <c r="AJ10" i="8"/>
  <c r="AJ33" i="8" s="1"/>
  <c r="AJ90" i="8" s="1"/>
  <c r="AJ111" i="8" s="1"/>
  <c r="AK9" i="8"/>
  <c r="AJ13" i="8"/>
  <c r="AL12" i="8"/>
  <c r="AM11" i="8" s="1"/>
  <c r="AO57" i="9"/>
  <c r="AP30" i="9"/>
  <c r="AK103" i="9"/>
  <c r="AK92" i="9" s="1"/>
  <c r="AK129" i="9"/>
  <c r="AK131" i="9" s="1"/>
  <c r="AL98" i="9"/>
  <c r="AL102" i="9" s="1"/>
  <c r="AM89" i="9"/>
  <c r="AL101" i="9"/>
  <c r="AJ12" i="9"/>
  <c r="AK11" i="9" s="1"/>
  <c r="AG42" i="26"/>
  <c r="AH32" i="26"/>
  <c r="AE122" i="26"/>
  <c r="AF110" i="26"/>
  <c r="AE113" i="26"/>
  <c r="AM30" i="26"/>
  <c r="AL57" i="26"/>
  <c r="AF38" i="26"/>
  <c r="AF142" i="26"/>
  <c r="AF49" i="26"/>
  <c r="AH13" i="26"/>
  <c r="AH10" i="26"/>
  <c r="AH33" i="26" s="1"/>
  <c r="AH90" i="26" s="1"/>
  <c r="AH111" i="26" s="1"/>
  <c r="AI9" i="26"/>
  <c r="AJ12" i="26"/>
  <c r="AK11" i="26" s="1"/>
  <c r="AG24" i="26"/>
  <c r="AG19" i="26"/>
  <c r="AG20" i="26"/>
  <c r="AG17" i="26"/>
  <c r="AG21" i="26"/>
  <c r="AG22" i="26"/>
  <c r="AG15" i="26"/>
  <c r="AG14" i="26"/>
  <c r="AG18" i="26"/>
  <c r="AG16" i="26"/>
  <c r="AG89" i="26"/>
  <c r="AM30" i="29"/>
  <c r="AL57" i="29"/>
  <c r="AK99" i="29"/>
  <c r="AL97" i="29" s="1"/>
  <c r="AK103" i="29"/>
  <c r="AK92" i="29" s="1"/>
  <c r="AL98" i="29"/>
  <c r="AL102" i="29" s="1"/>
  <c r="AL101" i="29"/>
  <c r="AM89" i="29"/>
  <c r="AH89" i="24"/>
  <c r="AG101" i="24"/>
  <c r="AG98" i="24"/>
  <c r="AG102" i="24" s="1"/>
  <c r="AN30" i="24"/>
  <c r="AM57" i="24"/>
  <c r="AF147" i="24"/>
  <c r="AF150" i="24" s="1"/>
  <c r="AF103" i="24"/>
  <c r="AF92" i="24" s="1"/>
  <c r="AN160" i="36" l="1"/>
  <c r="AO132" i="36"/>
  <c r="AB126" i="29"/>
  <c r="AB127" i="29"/>
  <c r="AB128" i="29"/>
  <c r="Z130" i="29"/>
  <c r="W33" i="32"/>
  <c r="W40" i="32"/>
  <c r="W47" i="32" s="1"/>
  <c r="AB126" i="36"/>
  <c r="AB126" i="12"/>
  <c r="AC91" i="12"/>
  <c r="AC91" i="36"/>
  <c r="AG9" i="29"/>
  <c r="AF13" i="29"/>
  <c r="AF10" i="29"/>
  <c r="Z135" i="29"/>
  <c r="Z132" i="29"/>
  <c r="AB121" i="36"/>
  <c r="AB121" i="12"/>
  <c r="AD30" i="36"/>
  <c r="AD89" i="36" s="1"/>
  <c r="AD112" i="36" s="1"/>
  <c r="AD135" i="36"/>
  <c r="AD193" i="36" s="1"/>
  <c r="AB119" i="12"/>
  <c r="AB119" i="36"/>
  <c r="AD24" i="24"/>
  <c r="Y133" i="32"/>
  <c r="Y142" i="32"/>
  <c r="Y27" i="32"/>
  <c r="AB137" i="29"/>
  <c r="AB120" i="29"/>
  <c r="AB121" i="29"/>
  <c r="AC124" i="36"/>
  <c r="AB122" i="29"/>
  <c r="AC124" i="12"/>
  <c r="AC38" i="24"/>
  <c r="AC158" i="24"/>
  <c r="AD159" i="24" s="1"/>
  <c r="AD160" i="24" s="1"/>
  <c r="AC49" i="24"/>
  <c r="Z124" i="32"/>
  <c r="AA51" i="12"/>
  <c r="AA57" i="12" s="1"/>
  <c r="AC156" i="29"/>
  <c r="AD157" i="29" s="1"/>
  <c r="AD158" i="29" s="1"/>
  <c r="AC38" i="29"/>
  <c r="AC49" i="29"/>
  <c r="AB138" i="24"/>
  <c r="AB129" i="24"/>
  <c r="AB130" i="24"/>
  <c r="AB122" i="24"/>
  <c r="AB120" i="24"/>
  <c r="AC116" i="36"/>
  <c r="AB123" i="24"/>
  <c r="AC116" i="12"/>
  <c r="AB121" i="24"/>
  <c r="AD44" i="12"/>
  <c r="AD32" i="12"/>
  <c r="AE88" i="12"/>
  <c r="AD24" i="29"/>
  <c r="AB120" i="12"/>
  <c r="AB120" i="36"/>
  <c r="AE12" i="36"/>
  <c r="AE17" i="36"/>
  <c r="AF6" i="36"/>
  <c r="AE7" i="36"/>
  <c r="AE8" i="36"/>
  <c r="AF13" i="24"/>
  <c r="AF10" i="24"/>
  <c r="AG9" i="24"/>
  <c r="AC118" i="29"/>
  <c r="AD110" i="29"/>
  <c r="AC114" i="29"/>
  <c r="AC138" i="29" s="1"/>
  <c r="AC112" i="29"/>
  <c r="AC113" i="29"/>
  <c r="Z121" i="21"/>
  <c r="Z122" i="21" s="1"/>
  <c r="AA66" i="36" s="1"/>
  <c r="AA121" i="21"/>
  <c r="AA122" i="21" s="1"/>
  <c r="AB66" i="36" s="1"/>
  <c r="AA127" i="10"/>
  <c r="AA128" i="10" s="1"/>
  <c r="AB39" i="36" s="1"/>
  <c r="AB122" i="10"/>
  <c r="AC113" i="12"/>
  <c r="AB119" i="10"/>
  <c r="AB125" i="10" s="1"/>
  <c r="AC113" i="36"/>
  <c r="AB107" i="32"/>
  <c r="AB112" i="32"/>
  <c r="AB108" i="32"/>
  <c r="AA124" i="8" s="1"/>
  <c r="AB128" i="32"/>
  <c r="AB130" i="32" s="1"/>
  <c r="AC55" i="36" s="1"/>
  <c r="AB109" i="32"/>
  <c r="AA123" i="26" s="1"/>
  <c r="AB110" i="32"/>
  <c r="AB113" i="32"/>
  <c r="AB106" i="32"/>
  <c r="AC103" i="32"/>
  <c r="AB111" i="32"/>
  <c r="AC55" i="12"/>
  <c r="AB124" i="8"/>
  <c r="AE135" i="12"/>
  <c r="AE192" i="12" s="1"/>
  <c r="AE30" i="12"/>
  <c r="AE89" i="12" s="1"/>
  <c r="AE112" i="12" s="1"/>
  <c r="AE19" i="10"/>
  <c r="AE15" i="10"/>
  <c r="AE18" i="10"/>
  <c r="AE17" i="10"/>
  <c r="AE20" i="10"/>
  <c r="AE16" i="10"/>
  <c r="AE21" i="10"/>
  <c r="AE22" i="10"/>
  <c r="AE14" i="10"/>
  <c r="AD24" i="10"/>
  <c r="Z123" i="9"/>
  <c r="AA114" i="32"/>
  <c r="AC114" i="24"/>
  <c r="AC113" i="24"/>
  <c r="AC118" i="24"/>
  <c r="AD110" i="24"/>
  <c r="AC140" i="24"/>
  <c r="AC112" i="24"/>
  <c r="AD7" i="33"/>
  <c r="AD4" i="33"/>
  <c r="AD30" i="33"/>
  <c r="AD46" i="33" s="1"/>
  <c r="AE3" i="33"/>
  <c r="AE18" i="24"/>
  <c r="AE21" i="24"/>
  <c r="AE17" i="24"/>
  <c r="AE19" i="24"/>
  <c r="AE20" i="24"/>
  <c r="AE22" i="24"/>
  <c r="AE15" i="24"/>
  <c r="AE14" i="24"/>
  <c r="AE16" i="24"/>
  <c r="U53" i="32"/>
  <c r="U54" i="32"/>
  <c r="AC116" i="10"/>
  <c r="AC118" i="10" s="1"/>
  <c r="AC126" i="10"/>
  <c r="AD110" i="10"/>
  <c r="AC113" i="10"/>
  <c r="AC112" i="10"/>
  <c r="AF12" i="12"/>
  <c r="AF8" i="12"/>
  <c r="AF7" i="12"/>
  <c r="AF17" i="12"/>
  <c r="AG6" i="12"/>
  <c r="AF32" i="29"/>
  <c r="AE42" i="29"/>
  <c r="AF10" i="10"/>
  <c r="AF33" i="10" s="1"/>
  <c r="AF90" i="10" s="1"/>
  <c r="AF111" i="10" s="1"/>
  <c r="AF13" i="10"/>
  <c r="AG9" i="10"/>
  <c r="AF42" i="10"/>
  <c r="AF149" i="10" s="1"/>
  <c r="AC48" i="33"/>
  <c r="AD113" i="29" s="1"/>
  <c r="AC47" i="33"/>
  <c r="AD112" i="9" s="1"/>
  <c r="AD113" i="8"/>
  <c r="AF134" i="12"/>
  <c r="AE191" i="12"/>
  <c r="AC112" i="26"/>
  <c r="U87" i="32"/>
  <c r="U86" i="32"/>
  <c r="AC72" i="36"/>
  <c r="AD88" i="36"/>
  <c r="AC44" i="36"/>
  <c r="AC32" i="36"/>
  <c r="AC45" i="36"/>
  <c r="AB128" i="36"/>
  <c r="AB128" i="12"/>
  <c r="AE18" i="29"/>
  <c r="AE21" i="29"/>
  <c r="AE19" i="29"/>
  <c r="AE20" i="29"/>
  <c r="AE16" i="29"/>
  <c r="AE17" i="29"/>
  <c r="AE14" i="29"/>
  <c r="AE22" i="29"/>
  <c r="AE15" i="29"/>
  <c r="X40" i="32"/>
  <c r="X47" i="32" s="1"/>
  <c r="X33" i="32"/>
  <c r="AB127" i="36"/>
  <c r="AB127" i="12"/>
  <c r="AC147" i="10"/>
  <c r="AD148" i="10" s="1"/>
  <c r="AD149" i="10" s="1"/>
  <c r="AC49" i="10"/>
  <c r="AC38" i="10"/>
  <c r="AD192" i="36"/>
  <c r="AE134" i="36"/>
  <c r="AB118" i="36"/>
  <c r="AB118" i="12"/>
  <c r="AE92" i="12"/>
  <c r="AE92" i="36"/>
  <c r="AE42" i="24"/>
  <c r="AF32" i="24"/>
  <c r="V84" i="32"/>
  <c r="V36" i="32"/>
  <c r="V37" i="32" s="1"/>
  <c r="AH141" i="21"/>
  <c r="AI32" i="9"/>
  <c r="AH42" i="9"/>
  <c r="AH141" i="9" s="1"/>
  <c r="AH19" i="9"/>
  <c r="AH20" i="9"/>
  <c r="AH16" i="9"/>
  <c r="AH17" i="9"/>
  <c r="AH24" i="9"/>
  <c r="AH14" i="9"/>
  <c r="AH15" i="9"/>
  <c r="AH21" i="9"/>
  <c r="AH18" i="9"/>
  <c r="AH22" i="9"/>
  <c r="AI10" i="9"/>
  <c r="AI33" i="9" s="1"/>
  <c r="AI90" i="9" s="1"/>
  <c r="AI111" i="9" s="1"/>
  <c r="AJ9" i="9"/>
  <c r="AI13" i="9"/>
  <c r="AG38" i="9"/>
  <c r="AG139" i="9"/>
  <c r="AH140" i="9" s="1"/>
  <c r="AG49" i="9"/>
  <c r="AI138" i="32"/>
  <c r="AI31" i="32" s="1"/>
  <c r="AI42" i="32"/>
  <c r="AI44" i="32" s="1"/>
  <c r="AK13" i="32"/>
  <c r="AK12" i="32"/>
  <c r="AL11" i="32" s="1"/>
  <c r="AK15" i="32"/>
  <c r="AK14" i="32"/>
  <c r="AF122" i="9"/>
  <c r="AF113" i="9"/>
  <c r="AG110" i="9"/>
  <c r="AH46" i="32"/>
  <c r="AK9" i="32"/>
  <c r="AJ10" i="32"/>
  <c r="AJ26" i="32" s="1"/>
  <c r="AJ83" i="32" s="1"/>
  <c r="AJ104" i="32" s="1"/>
  <c r="AJ17" i="32"/>
  <c r="AH110" i="21"/>
  <c r="AG114" i="21"/>
  <c r="AG119" i="21" s="1"/>
  <c r="AG49" i="5"/>
  <c r="AG132" i="5"/>
  <c r="AI99" i="21"/>
  <c r="AJ97" i="21" s="1"/>
  <c r="AJ13" i="21"/>
  <c r="AK9" i="21"/>
  <c r="AJ10" i="21"/>
  <c r="AJ33" i="21" s="1"/>
  <c r="AJ90" i="21" s="1"/>
  <c r="AJ111" i="21" s="1"/>
  <c r="AH24" i="5"/>
  <c r="AE13" i="33"/>
  <c r="AH140" i="21"/>
  <c r="AH38" i="21"/>
  <c r="AH49" i="21"/>
  <c r="AG99" i="24"/>
  <c r="AH97" i="24" s="1"/>
  <c r="AH99" i="10"/>
  <c r="AI97" i="10" s="1"/>
  <c r="AI22" i="5"/>
  <c r="AI14" i="5"/>
  <c r="AI15" i="5"/>
  <c r="AI19" i="5"/>
  <c r="AI17" i="5"/>
  <c r="AI18" i="5"/>
  <c r="AI16" i="5"/>
  <c r="AI20" i="5"/>
  <c r="AI21" i="5"/>
  <c r="AF38" i="5"/>
  <c r="AG133" i="5"/>
  <c r="AJ32" i="21"/>
  <c r="AI42" i="21"/>
  <c r="AI142" i="21" s="1"/>
  <c r="AJ10" i="5"/>
  <c r="AK9" i="5"/>
  <c r="AJ42" i="5"/>
  <c r="AJ134" i="5" s="1"/>
  <c r="AJ13" i="5"/>
  <c r="AI19" i="21"/>
  <c r="AI24" i="21"/>
  <c r="AI22" i="21"/>
  <c r="AI15" i="21"/>
  <c r="AI20" i="21"/>
  <c r="AI18" i="21"/>
  <c r="AI14" i="21"/>
  <c r="AI21" i="21"/>
  <c r="AI16" i="21"/>
  <c r="AI17" i="21"/>
  <c r="AI101" i="10"/>
  <c r="AJ89" i="10"/>
  <c r="AI98" i="10"/>
  <c r="AI102" i="10" s="1"/>
  <c r="AN12" i="21"/>
  <c r="AO11" i="21" s="1"/>
  <c r="AJ101" i="21"/>
  <c r="AJ98" i="21"/>
  <c r="AJ102" i="21" s="1"/>
  <c r="AK89" i="21"/>
  <c r="AI128" i="21"/>
  <c r="AI130" i="21" s="1"/>
  <c r="AI103" i="21"/>
  <c r="AI92" i="21" s="1"/>
  <c r="AL32" i="10"/>
  <c r="AO29" i="12"/>
  <c r="AH103" i="10"/>
  <c r="AH92" i="10" s="1"/>
  <c r="AH134" i="10"/>
  <c r="AH137" i="10" s="1"/>
  <c r="AK10" i="8"/>
  <c r="AK33" i="8" s="1"/>
  <c r="AK90" i="8" s="1"/>
  <c r="AK111" i="8" s="1"/>
  <c r="AL9" i="8"/>
  <c r="AK13" i="8"/>
  <c r="AN30" i="8"/>
  <c r="AM57" i="8"/>
  <c r="AJ110" i="8"/>
  <c r="AJ42" i="8"/>
  <c r="AJ146" i="8" s="1"/>
  <c r="AK32" i="8"/>
  <c r="AJ20" i="8"/>
  <c r="AJ21" i="8"/>
  <c r="AJ16" i="8"/>
  <c r="AJ19" i="8"/>
  <c r="AJ17" i="8"/>
  <c r="AJ14" i="8"/>
  <c r="AJ22" i="8"/>
  <c r="AJ24" i="8"/>
  <c r="AJ18" i="8"/>
  <c r="AJ15" i="8"/>
  <c r="AI49" i="8"/>
  <c r="AI144" i="8"/>
  <c r="AJ145" i="8" s="1"/>
  <c r="AI38" i="8"/>
  <c r="AM12" i="8"/>
  <c r="AN11" i="8" s="1"/>
  <c r="AN89" i="9"/>
  <c r="AM101" i="9"/>
  <c r="AM98" i="9"/>
  <c r="AM102" i="9" s="1"/>
  <c r="AQ30" i="9"/>
  <c r="AP57" i="9"/>
  <c r="AK12" i="9"/>
  <c r="AL11" i="9" s="1"/>
  <c r="AL129" i="9"/>
  <c r="AL131" i="9" s="1"/>
  <c r="AL103" i="9"/>
  <c r="AL92" i="9" s="1"/>
  <c r="AL99" i="9"/>
  <c r="AM97" i="9" s="1"/>
  <c r="AI13" i="26"/>
  <c r="AI10" i="26"/>
  <c r="AI33" i="26" s="1"/>
  <c r="AI90" i="26" s="1"/>
  <c r="AI111" i="26" s="1"/>
  <c r="AJ9" i="26"/>
  <c r="AH89" i="26"/>
  <c r="AH24" i="26"/>
  <c r="AH21" i="26"/>
  <c r="AH15" i="26"/>
  <c r="AH19" i="26"/>
  <c r="AH17" i="26"/>
  <c r="AH18" i="26"/>
  <c r="AH22" i="26"/>
  <c r="AH16" i="26"/>
  <c r="AH14" i="26"/>
  <c r="AH20" i="26"/>
  <c r="AF122" i="26"/>
  <c r="AG110" i="26"/>
  <c r="AF113" i="26"/>
  <c r="AG142" i="26"/>
  <c r="AG38" i="26"/>
  <c r="AG49" i="26"/>
  <c r="AH42" i="26"/>
  <c r="AI32" i="26"/>
  <c r="AN30" i="26"/>
  <c r="AM57" i="26"/>
  <c r="AK12" i="26"/>
  <c r="AL11" i="26" s="1"/>
  <c r="AL99" i="29"/>
  <c r="AM97" i="29" s="1"/>
  <c r="AN30" i="29"/>
  <c r="AM57" i="29"/>
  <c r="AM98" i="29"/>
  <c r="AM102" i="29" s="1"/>
  <c r="AN89" i="29"/>
  <c r="AM101" i="29"/>
  <c r="AL103" i="29"/>
  <c r="AL92" i="29" s="1"/>
  <c r="AN57" i="24"/>
  <c r="AO30" i="24"/>
  <c r="AG103" i="24"/>
  <c r="AG92" i="24" s="1"/>
  <c r="AG147" i="24"/>
  <c r="AG150" i="24" s="1"/>
  <c r="AH101" i="24"/>
  <c r="AI89" i="24"/>
  <c r="AH98" i="24"/>
  <c r="AH102" i="24" s="1"/>
  <c r="AP132" i="36" l="1"/>
  <c r="AO160" i="36"/>
  <c r="AC126" i="29"/>
  <c r="AC127" i="29"/>
  <c r="AC128" i="29"/>
  <c r="V51" i="32"/>
  <c r="AD112" i="26"/>
  <c r="AG32" i="29"/>
  <c r="AF42" i="29"/>
  <c r="AF158" i="29" s="1"/>
  <c r="AE7" i="33"/>
  <c r="AE30" i="33"/>
  <c r="AE46" i="33" s="1"/>
  <c r="AE4" i="33"/>
  <c r="AF3" i="33"/>
  <c r="AE135" i="36"/>
  <c r="AE193" i="36" s="1"/>
  <c r="AE30" i="36"/>
  <c r="AE89" i="36" s="1"/>
  <c r="AE112" i="36" s="1"/>
  <c r="AG12" i="12"/>
  <c r="AG7" i="12"/>
  <c r="AH6" i="12"/>
  <c r="AG8" i="12"/>
  <c r="AG17" i="12"/>
  <c r="AD126" i="10"/>
  <c r="AD116" i="10"/>
  <c r="AD118" i="10" s="1"/>
  <c r="AE110" i="10"/>
  <c r="AD113" i="10"/>
  <c r="AD112" i="10"/>
  <c r="AD112" i="21"/>
  <c r="AA124" i="32"/>
  <c r="AB51" i="12"/>
  <c r="AE110" i="29"/>
  <c r="AD118" i="29"/>
  <c r="AD114" i="29"/>
  <c r="AD138" i="29" s="1"/>
  <c r="AD112" i="29"/>
  <c r="AC119" i="36"/>
  <c r="AC119" i="12"/>
  <c r="AF42" i="24"/>
  <c r="AG32" i="24"/>
  <c r="AF135" i="12"/>
  <c r="AF192" i="12" s="1"/>
  <c r="AF30" i="12"/>
  <c r="AF89" i="12" s="1"/>
  <c r="AF112" i="12" s="1"/>
  <c r="AC119" i="10"/>
  <c r="AC125" i="10" s="1"/>
  <c r="AD113" i="36"/>
  <c r="AD113" i="12"/>
  <c r="AC122" i="10"/>
  <c r="AF92" i="36"/>
  <c r="AF92" i="12"/>
  <c r="AC137" i="29"/>
  <c r="AD124" i="36"/>
  <c r="AC122" i="29"/>
  <c r="AC120" i="29"/>
  <c r="AD124" i="12"/>
  <c r="AC121" i="29"/>
  <c r="Y134" i="32"/>
  <c r="Y28" i="32" s="1"/>
  <c r="Y29" i="32" s="1"/>
  <c r="Y136" i="32"/>
  <c r="V86" i="32"/>
  <c r="V87" i="32"/>
  <c r="AD47" i="33"/>
  <c r="AE112" i="9" s="1"/>
  <c r="AD48" i="33"/>
  <c r="AE113" i="8" s="1"/>
  <c r="AE112" i="26"/>
  <c r="AE112" i="8"/>
  <c r="AD112" i="8"/>
  <c r="AF191" i="12"/>
  <c r="AG134" i="12"/>
  <c r="AH9" i="10"/>
  <c r="AG13" i="10"/>
  <c r="AG10" i="10"/>
  <c r="AG33" i="10" s="1"/>
  <c r="AG90" i="10" s="1"/>
  <c r="AG111" i="10" s="1"/>
  <c r="AG42" i="10"/>
  <c r="AG149" i="10" s="1"/>
  <c r="AD49" i="10"/>
  <c r="AD147" i="10"/>
  <c r="AE148" i="10" s="1"/>
  <c r="AD38" i="10"/>
  <c r="AG10" i="24"/>
  <c r="AH9" i="24"/>
  <c r="AG13" i="24"/>
  <c r="AC121" i="36"/>
  <c r="AC121" i="12"/>
  <c r="AC128" i="36"/>
  <c r="AC128" i="12"/>
  <c r="AD49" i="24"/>
  <c r="AD158" i="24"/>
  <c r="AE159" i="24" s="1"/>
  <c r="AE160" i="24" s="1"/>
  <c r="AD38" i="24"/>
  <c r="AA130" i="29"/>
  <c r="AF8" i="36"/>
  <c r="AF12" i="36"/>
  <c r="AF7" i="36"/>
  <c r="AG6" i="36"/>
  <c r="AF17" i="36"/>
  <c r="AI141" i="21"/>
  <c r="AF20" i="10"/>
  <c r="AF14" i="10"/>
  <c r="AF15" i="10"/>
  <c r="AF17" i="10"/>
  <c r="AF16" i="10"/>
  <c r="AF21" i="10"/>
  <c r="AF18" i="10"/>
  <c r="AF22" i="10"/>
  <c r="AF19" i="10"/>
  <c r="AE24" i="10"/>
  <c r="AC6" i="33"/>
  <c r="AE192" i="36"/>
  <c r="AF134" i="36"/>
  <c r="AD32" i="36"/>
  <c r="AE88" i="36"/>
  <c r="AD72" i="36"/>
  <c r="AD44" i="36"/>
  <c r="AD45" i="36"/>
  <c r="AB6" i="33"/>
  <c r="AD140" i="24"/>
  <c r="AE110" i="24"/>
  <c r="AD114" i="24"/>
  <c r="AD118" i="24"/>
  <c r="AD113" i="24"/>
  <c r="AD112" i="24"/>
  <c r="AC106" i="32"/>
  <c r="AD103" i="32"/>
  <c r="AC108" i="32"/>
  <c r="AC107" i="32"/>
  <c r="AB121" i="21" s="1"/>
  <c r="AB122" i="21" s="1"/>
  <c r="AC66" i="36" s="1"/>
  <c r="AC128" i="32"/>
  <c r="AC130" i="32" s="1"/>
  <c r="AD55" i="36" s="1"/>
  <c r="AC109" i="32"/>
  <c r="AB123" i="26" s="1"/>
  <c r="AC113" i="32"/>
  <c r="AB139" i="24" s="1"/>
  <c r="AC112" i="32"/>
  <c r="AC110" i="32"/>
  <c r="AC111" i="32"/>
  <c r="AC121" i="21"/>
  <c r="AC122" i="21" s="1"/>
  <c r="AD66" i="36" s="1"/>
  <c r="AF16" i="24"/>
  <c r="AF22" i="24"/>
  <c r="AF18" i="24"/>
  <c r="AF14" i="24"/>
  <c r="AF24" i="24" s="1"/>
  <c r="AF17" i="24"/>
  <c r="AF19" i="24"/>
  <c r="AF20" i="24"/>
  <c r="AF15" i="24"/>
  <c r="AF21" i="24"/>
  <c r="AD38" i="29"/>
  <c r="AD156" i="29"/>
  <c r="AE157" i="29" s="1"/>
  <c r="AE158" i="29" s="1"/>
  <c r="AD49" i="29"/>
  <c r="AC118" i="36"/>
  <c r="AC118" i="12"/>
  <c r="AC127" i="36"/>
  <c r="AC127" i="12"/>
  <c r="AF22" i="29"/>
  <c r="AF21" i="29"/>
  <c r="AF14" i="29"/>
  <c r="AF24" i="29" s="1"/>
  <c r="AF16" i="29"/>
  <c r="AF15" i="29"/>
  <c r="AF19" i="29"/>
  <c r="AF20" i="29"/>
  <c r="AF17" i="29"/>
  <c r="AF18" i="29"/>
  <c r="X36" i="32"/>
  <c r="X84" i="32"/>
  <c r="AE24" i="29"/>
  <c r="AE24" i="24"/>
  <c r="AC138" i="24"/>
  <c r="AC123" i="24"/>
  <c r="AC121" i="24"/>
  <c r="AC129" i="24"/>
  <c r="AD116" i="12"/>
  <c r="AC120" i="24"/>
  <c r="AC122" i="24"/>
  <c r="AD116" i="36"/>
  <c r="AC130" i="24"/>
  <c r="AA123" i="9"/>
  <c r="AB114" i="32"/>
  <c r="AE44" i="12"/>
  <c r="AF88" i="12"/>
  <c r="AE32" i="12"/>
  <c r="AC120" i="36"/>
  <c r="AC120" i="12"/>
  <c r="Z142" i="32"/>
  <c r="Z133" i="32"/>
  <c r="Z27" i="32"/>
  <c r="AC126" i="36"/>
  <c r="AC126" i="12"/>
  <c r="AG13" i="29"/>
  <c r="AG10" i="29"/>
  <c r="AH9" i="29"/>
  <c r="W36" i="32"/>
  <c r="W37" i="32" s="1"/>
  <c r="W51" i="32" s="1"/>
  <c r="W84" i="32"/>
  <c r="AM99" i="29"/>
  <c r="AN97" i="29" s="1"/>
  <c r="AK10" i="32"/>
  <c r="AK26" i="32" s="1"/>
  <c r="AK83" i="32" s="1"/>
  <c r="AK104" i="32" s="1"/>
  <c r="AL9" i="32"/>
  <c r="AH49" i="9"/>
  <c r="AH38" i="9"/>
  <c r="AH139" i="9"/>
  <c r="AI140" i="9" s="1"/>
  <c r="AF13" i="33"/>
  <c r="AI46" i="32"/>
  <c r="AI19" i="9"/>
  <c r="AI22" i="9"/>
  <c r="AI17" i="9"/>
  <c r="AI21" i="9"/>
  <c r="AI24" i="9"/>
  <c r="AI15" i="9"/>
  <c r="AI16" i="9"/>
  <c r="AI20" i="9"/>
  <c r="AI14" i="9"/>
  <c r="AI18" i="9"/>
  <c r="AJ13" i="9"/>
  <c r="AJ10" i="9"/>
  <c r="AJ33" i="9" s="1"/>
  <c r="AJ90" i="9" s="1"/>
  <c r="AJ111" i="9" s="1"/>
  <c r="AK9" i="9"/>
  <c r="AM99" i="9"/>
  <c r="AJ42" i="32"/>
  <c r="AJ44" i="32" s="1"/>
  <c r="AJ138" i="32"/>
  <c r="AJ31" i="32" s="1"/>
  <c r="AL15" i="32"/>
  <c r="AL14" i="32"/>
  <c r="AL13" i="32"/>
  <c r="AL12" i="32"/>
  <c r="AM11" i="32" s="1"/>
  <c r="AJ32" i="9"/>
  <c r="AI42" i="9"/>
  <c r="AI141" i="9" s="1"/>
  <c r="AG122" i="9"/>
  <c r="AH110" i="9"/>
  <c r="AG113" i="9"/>
  <c r="AK17" i="32"/>
  <c r="AK10" i="21"/>
  <c r="AK33" i="21" s="1"/>
  <c r="AK90" i="21" s="1"/>
  <c r="AK111" i="21" s="1"/>
  <c r="AL9" i="21"/>
  <c r="AK13" i="21"/>
  <c r="AJ22" i="21"/>
  <c r="AJ20" i="21"/>
  <c r="AJ18" i="21"/>
  <c r="AJ19" i="21"/>
  <c r="AJ21" i="21"/>
  <c r="AJ24" i="21"/>
  <c r="AJ15" i="21"/>
  <c r="AJ16" i="21"/>
  <c r="AJ17" i="21"/>
  <c r="AJ14" i="21"/>
  <c r="AJ14" i="5"/>
  <c r="AJ19" i="5"/>
  <c r="AJ22" i="5"/>
  <c r="AJ20" i="5"/>
  <c r="AJ16" i="5"/>
  <c r="AJ21" i="5"/>
  <c r="AJ15" i="5"/>
  <c r="AJ18" i="5"/>
  <c r="AJ17" i="5"/>
  <c r="AH132" i="5"/>
  <c r="AH38" i="5" s="1"/>
  <c r="AH49" i="5"/>
  <c r="AI140" i="21"/>
  <c r="AJ141" i="21" s="1"/>
  <c r="AI38" i="21"/>
  <c r="AI49" i="21"/>
  <c r="AI24" i="5"/>
  <c r="AI110" i="21"/>
  <c r="AH114" i="21"/>
  <c r="AL9" i="5"/>
  <c r="AK10" i="5"/>
  <c r="AK42" i="5"/>
  <c r="AK134" i="5" s="1"/>
  <c r="AK13" i="5"/>
  <c r="AK32" i="21"/>
  <c r="AJ42" i="21"/>
  <c r="AJ142" i="21" s="1"/>
  <c r="AG38" i="5"/>
  <c r="AH133" i="5"/>
  <c r="AJ128" i="21"/>
  <c r="AJ130" i="21" s="1"/>
  <c r="AJ103" i="21"/>
  <c r="AJ92" i="21" s="1"/>
  <c r="AM32" i="10"/>
  <c r="AJ116" i="8"/>
  <c r="AP29" i="12"/>
  <c r="AO12" i="21"/>
  <c r="AP11" i="21" s="1"/>
  <c r="AK89" i="10"/>
  <c r="AJ98" i="10"/>
  <c r="AJ102" i="10" s="1"/>
  <c r="AJ101" i="10"/>
  <c r="AI103" i="10"/>
  <c r="AI92" i="10" s="1"/>
  <c r="AI134" i="10"/>
  <c r="AI137" i="10" s="1"/>
  <c r="AK101" i="21"/>
  <c r="AL89" i="21"/>
  <c r="AK98" i="21"/>
  <c r="AK102" i="21" s="1"/>
  <c r="AI99" i="10"/>
  <c r="AJ97" i="10" s="1"/>
  <c r="AJ99" i="21"/>
  <c r="AK97" i="21" s="1"/>
  <c r="AN57" i="8"/>
  <c r="AO30" i="8"/>
  <c r="AJ49" i="8"/>
  <c r="AJ38" i="8"/>
  <c r="AJ144" i="8"/>
  <c r="AK145" i="8" s="1"/>
  <c r="AL32" i="8"/>
  <c r="AK42" i="8"/>
  <c r="AK146" i="8" s="1"/>
  <c r="AK22" i="8"/>
  <c r="AK24" i="8"/>
  <c r="AK16" i="8"/>
  <c r="AK19" i="8"/>
  <c r="AK15" i="8"/>
  <c r="AK21" i="8"/>
  <c r="AK18" i="8"/>
  <c r="AK14" i="8"/>
  <c r="AK20" i="8"/>
  <c r="AK17" i="8"/>
  <c r="AM9" i="8"/>
  <c r="AL10" i="8"/>
  <c r="AL33" i="8" s="1"/>
  <c r="AL90" i="8" s="1"/>
  <c r="AL111" i="8" s="1"/>
  <c r="AL13" i="8"/>
  <c r="AK110" i="8"/>
  <c r="AN12" i="8"/>
  <c r="AO11" i="8" s="1"/>
  <c r="AR30" i="9"/>
  <c r="AQ57" i="9"/>
  <c r="AL12" i="9"/>
  <c r="AM11" i="9" s="1"/>
  <c r="AM103" i="9"/>
  <c r="AM92" i="9" s="1"/>
  <c r="AM129" i="9"/>
  <c r="AM131" i="9" s="1"/>
  <c r="AN101" i="9"/>
  <c r="AN98" i="9"/>
  <c r="AN102" i="9" s="1"/>
  <c r="AO89" i="9"/>
  <c r="AN97" i="9"/>
  <c r="AH142" i="26"/>
  <c r="AH38" i="26"/>
  <c r="AH49" i="26"/>
  <c r="AN57" i="26"/>
  <c r="AO30" i="26"/>
  <c r="AI42" i="26"/>
  <c r="AJ32" i="26"/>
  <c r="AG122" i="26"/>
  <c r="AH110" i="26"/>
  <c r="AG113" i="26"/>
  <c r="AI89" i="26"/>
  <c r="AJ13" i="26"/>
  <c r="AK9" i="26"/>
  <c r="AJ10" i="26"/>
  <c r="AJ33" i="26" s="1"/>
  <c r="AJ90" i="26" s="1"/>
  <c r="AJ111" i="26" s="1"/>
  <c r="AL12" i="26"/>
  <c r="AM11" i="26" s="1"/>
  <c r="AI24" i="26"/>
  <c r="AI19" i="26"/>
  <c r="AI17" i="26"/>
  <c r="AI21" i="26"/>
  <c r="AI14" i="26"/>
  <c r="AI15" i="26"/>
  <c r="AI18" i="26"/>
  <c r="AI20" i="26"/>
  <c r="AI22" i="26"/>
  <c r="AI16" i="26"/>
  <c r="AM103" i="29"/>
  <c r="AM92" i="29" s="1"/>
  <c r="AO30" i="29"/>
  <c r="AN57" i="29"/>
  <c r="AO89" i="29"/>
  <c r="AN101" i="29"/>
  <c r="AN98" i="29"/>
  <c r="AN102" i="29" s="1"/>
  <c r="AI101" i="24"/>
  <c r="AJ89" i="24"/>
  <c r="AI98" i="24"/>
  <c r="AI102" i="24" s="1"/>
  <c r="AH147" i="24"/>
  <c r="AH150" i="24" s="1"/>
  <c r="AH103" i="24"/>
  <c r="AH92" i="24" s="1"/>
  <c r="AO57" i="24"/>
  <c r="AP30" i="24"/>
  <c r="AH99" i="24"/>
  <c r="AI97" i="24" s="1"/>
  <c r="AQ132" i="36" l="1"/>
  <c r="AP160" i="36"/>
  <c r="AE112" i="21"/>
  <c r="AD126" i="29"/>
  <c r="AD127" i="29"/>
  <c r="AD128" i="29"/>
  <c r="Y40" i="32"/>
  <c r="Y47" i="32" s="1"/>
  <c r="Y33" i="32"/>
  <c r="AD137" i="29"/>
  <c r="AD121" i="29"/>
  <c r="AE124" i="36"/>
  <c r="AD122" i="29"/>
  <c r="AE124" i="12"/>
  <c r="AD120" i="29"/>
  <c r="AE126" i="10"/>
  <c r="AE116" i="10"/>
  <c r="AE118" i="10" s="1"/>
  <c r="AF110" i="10"/>
  <c r="AE112" i="10"/>
  <c r="AE113" i="10"/>
  <c r="AG92" i="12"/>
  <c r="AG92" i="36"/>
  <c r="AH10" i="29"/>
  <c r="AI9" i="29"/>
  <c r="AH13" i="29"/>
  <c r="X37" i="32"/>
  <c r="X51" i="32" s="1"/>
  <c r="AE49" i="10"/>
  <c r="AE147" i="10"/>
  <c r="AF148" i="10" s="1"/>
  <c r="AE38" i="10"/>
  <c r="AF24" i="10"/>
  <c r="AA132" i="29"/>
  <c r="AA135" i="29"/>
  <c r="AF110" i="29"/>
  <c r="AE114" i="29"/>
  <c r="AE138" i="29" s="1"/>
  <c r="AE118" i="29"/>
  <c r="AE112" i="29"/>
  <c r="AE113" i="29"/>
  <c r="AE113" i="36"/>
  <c r="AD122" i="10"/>
  <c r="AE113" i="12"/>
  <c r="AD119" i="10"/>
  <c r="AD125" i="10" s="1"/>
  <c r="X87" i="32"/>
  <c r="X86" i="32"/>
  <c r="AF49" i="29"/>
  <c r="AF156" i="29"/>
  <c r="AF38" i="29"/>
  <c r="AD6" i="33"/>
  <c r="AD138" i="24"/>
  <c r="AD120" i="24"/>
  <c r="AD130" i="24"/>
  <c r="AD123" i="24"/>
  <c r="AE116" i="12"/>
  <c r="AD121" i="24"/>
  <c r="AD129" i="24"/>
  <c r="AE116" i="36"/>
  <c r="AD122" i="24"/>
  <c r="AG15" i="24"/>
  <c r="AG18" i="24"/>
  <c r="AG20" i="24"/>
  <c r="AG19" i="24"/>
  <c r="AG21" i="24"/>
  <c r="AG14" i="24"/>
  <c r="AG24" i="24" s="1"/>
  <c r="AG16" i="24"/>
  <c r="AG17" i="24"/>
  <c r="AG22" i="24"/>
  <c r="AG20" i="10"/>
  <c r="AG18" i="10"/>
  <c r="AG17" i="10"/>
  <c r="AG16" i="10"/>
  <c r="AG15" i="10"/>
  <c r="AG21" i="10"/>
  <c r="AG14" i="10"/>
  <c r="AG19" i="10"/>
  <c r="AG22" i="10"/>
  <c r="AH32" i="24"/>
  <c r="AG42" i="24"/>
  <c r="AG160" i="24" s="1"/>
  <c r="AH32" i="29"/>
  <c r="AG42" i="29"/>
  <c r="AG158" i="29" s="1"/>
  <c r="AG22" i="29"/>
  <c r="AG19" i="29"/>
  <c r="AG16" i="29"/>
  <c r="AG17" i="29"/>
  <c r="AG18" i="29"/>
  <c r="AG15" i="29"/>
  <c r="AG14" i="29"/>
  <c r="AG20" i="29"/>
  <c r="AG21" i="29"/>
  <c r="AD120" i="12"/>
  <c r="AD120" i="36"/>
  <c r="AE38" i="24"/>
  <c r="AE158" i="24"/>
  <c r="AF159" i="24" s="1"/>
  <c r="AF160" i="24" s="1"/>
  <c r="AE49" i="24"/>
  <c r="AF88" i="36"/>
  <c r="AE44" i="36"/>
  <c r="AE72" i="36"/>
  <c r="AE45" i="36"/>
  <c r="AE32" i="36"/>
  <c r="AH13" i="24"/>
  <c r="AI9" i="24"/>
  <c r="AH10" i="24"/>
  <c r="AH42" i="10"/>
  <c r="AH149" i="10" s="1"/>
  <c r="AH10" i="10"/>
  <c r="AH33" i="10" s="1"/>
  <c r="AH90" i="10" s="1"/>
  <c r="AH111" i="10" s="1"/>
  <c r="AI9" i="10"/>
  <c r="AH13" i="10"/>
  <c r="AA133" i="32"/>
  <c r="AA27" i="32"/>
  <c r="AA142" i="32"/>
  <c r="AD55" i="12"/>
  <c r="AD118" i="36"/>
  <c r="AD118" i="12"/>
  <c r="AE156" i="29"/>
  <c r="AF157" i="29" s="1"/>
  <c r="AE38" i="29"/>
  <c r="AE49" i="29"/>
  <c r="AE112" i="24"/>
  <c r="AF110" i="24"/>
  <c r="AE114" i="24"/>
  <c r="AE140" i="24"/>
  <c r="AE118" i="24"/>
  <c r="AE113" i="24"/>
  <c r="AG191" i="12"/>
  <c r="AH134" i="12"/>
  <c r="AD127" i="36"/>
  <c r="AD127" i="12"/>
  <c r="V52" i="32"/>
  <c r="W52" i="32"/>
  <c r="W53" i="32" s="1"/>
  <c r="W54" i="32" s="1"/>
  <c r="AF158" i="24"/>
  <c r="AG159" i="24" s="1"/>
  <c r="AF38" i="24"/>
  <c r="AF49" i="24"/>
  <c r="AF32" i="12"/>
  <c r="AG88" i="12"/>
  <c r="AF44" i="12"/>
  <c r="AC139" i="24"/>
  <c r="AH6" i="36"/>
  <c r="AG8" i="36"/>
  <c r="AG12" i="36"/>
  <c r="AG17" i="36"/>
  <c r="AG7" i="36"/>
  <c r="AF7" i="33"/>
  <c r="AG3" i="33"/>
  <c r="AF30" i="33"/>
  <c r="AF46" i="33" s="1"/>
  <c r="AF4" i="33"/>
  <c r="AE91" i="12"/>
  <c r="AE91" i="36"/>
  <c r="AB130" i="29"/>
  <c r="AB127" i="10"/>
  <c r="AB128" i="10" s="1"/>
  <c r="AC39" i="36" s="1"/>
  <c r="AC127" i="10"/>
  <c r="AC128" i="10" s="1"/>
  <c r="AD39" i="36" s="1"/>
  <c r="AD108" i="32"/>
  <c r="AC124" i="8" s="1"/>
  <c r="AD112" i="32"/>
  <c r="AD128" i="32"/>
  <c r="AD130" i="32" s="1"/>
  <c r="AE55" i="12" s="1"/>
  <c r="AE103" i="32"/>
  <c r="AD113" i="32"/>
  <c r="AD106" i="32"/>
  <c r="AD107" i="32"/>
  <c r="AD111" i="32"/>
  <c r="AD110" i="32"/>
  <c r="AD109" i="32"/>
  <c r="AC123" i="26" s="1"/>
  <c r="AD139" i="24"/>
  <c r="AD91" i="12"/>
  <c r="AD91" i="36"/>
  <c r="AG134" i="36"/>
  <c r="AF192" i="36"/>
  <c r="AF135" i="36"/>
  <c r="AF193" i="36" s="1"/>
  <c r="AF30" i="36"/>
  <c r="AF89" i="36" s="1"/>
  <c r="AF112" i="36" s="1"/>
  <c r="AD126" i="36"/>
  <c r="AD126" i="12"/>
  <c r="AH12" i="12"/>
  <c r="AH7" i="12"/>
  <c r="AI6" i="12"/>
  <c r="AH8" i="12"/>
  <c r="AH17" i="12"/>
  <c r="Z134" i="32"/>
  <c r="Z28" i="32" s="1"/>
  <c r="Z29" i="32" s="1"/>
  <c r="AD121" i="12"/>
  <c r="AD121" i="36"/>
  <c r="W86" i="32"/>
  <c r="W87" i="32"/>
  <c r="AB124" i="32"/>
  <c r="AC51" i="12"/>
  <c r="AC57" i="12" s="1"/>
  <c r="AD119" i="12"/>
  <c r="AD119" i="36"/>
  <c r="AC114" i="32"/>
  <c r="AC124" i="32" s="1"/>
  <c r="AD128" i="36"/>
  <c r="AD128" i="12"/>
  <c r="AG135" i="12"/>
  <c r="AG192" i="12" s="1"/>
  <c r="AG30" i="12"/>
  <c r="AG89" i="12" s="1"/>
  <c r="AG112" i="12" s="1"/>
  <c r="AE48" i="33"/>
  <c r="AF113" i="29" s="1"/>
  <c r="AE47" i="33"/>
  <c r="AF112" i="26" s="1"/>
  <c r="AK99" i="21"/>
  <c r="AI133" i="5"/>
  <c r="AJ99" i="10"/>
  <c r="AK97" i="10" s="1"/>
  <c r="AJ46" i="32"/>
  <c r="AL17" i="32"/>
  <c r="AL9" i="9"/>
  <c r="AK10" i="9"/>
  <c r="AK33" i="9" s="1"/>
  <c r="AK90" i="9" s="1"/>
  <c r="AK111" i="9" s="1"/>
  <c r="AK13" i="9"/>
  <c r="AI139" i="9"/>
  <c r="AJ140" i="9" s="1"/>
  <c r="AI49" i="9"/>
  <c r="AI38" i="9"/>
  <c r="AH122" i="9"/>
  <c r="AI110" i="9"/>
  <c r="AH113" i="9"/>
  <c r="AL10" i="32"/>
  <c r="AL26" i="32" s="1"/>
  <c r="AL83" i="32" s="1"/>
  <c r="AL104" i="32" s="1"/>
  <c r="AM9" i="32"/>
  <c r="AJ15" i="9"/>
  <c r="AJ16" i="9"/>
  <c r="AJ17" i="9"/>
  <c r="AJ20" i="9"/>
  <c r="AJ14" i="9"/>
  <c r="AJ18" i="9"/>
  <c r="AJ21" i="9"/>
  <c r="AJ19" i="9"/>
  <c r="AJ24" i="9"/>
  <c r="AJ22" i="9"/>
  <c r="AK138" i="32"/>
  <c r="AK31" i="32" s="1"/>
  <c r="AK42" i="32"/>
  <c r="AK44" i="32" s="1"/>
  <c r="AK32" i="9"/>
  <c r="AJ42" i="9"/>
  <c r="AJ141" i="9" s="1"/>
  <c r="AM13" i="32"/>
  <c r="AM15" i="32"/>
  <c r="AM14" i="32"/>
  <c r="AM12" i="32"/>
  <c r="AN11" i="32" s="1"/>
  <c r="AJ110" i="21"/>
  <c r="AI114" i="21"/>
  <c r="AK22" i="21"/>
  <c r="AK20" i="21"/>
  <c r="AK15" i="21"/>
  <c r="AK21" i="21"/>
  <c r="AK19" i="21"/>
  <c r="AK14" i="21"/>
  <c r="AK24" i="21"/>
  <c r="AK17" i="21"/>
  <c r="AK18" i="21"/>
  <c r="AK16" i="21"/>
  <c r="AK20" i="5"/>
  <c r="AK16" i="5"/>
  <c r="AK17" i="5"/>
  <c r="AK22" i="5"/>
  <c r="AK21" i="5"/>
  <c r="AK14" i="5"/>
  <c r="AK18" i="5"/>
  <c r="AK19" i="5"/>
  <c r="AK15" i="5"/>
  <c r="AL10" i="21"/>
  <c r="AL33" i="21" s="1"/>
  <c r="AL90" i="21" s="1"/>
  <c r="AL111" i="21" s="1"/>
  <c r="AL13" i="21"/>
  <c r="AM9" i="21"/>
  <c r="AL32" i="21"/>
  <c r="AK42" i="21"/>
  <c r="AK142" i="21" s="1"/>
  <c r="AM9" i="5"/>
  <c r="AL10" i="5"/>
  <c r="AL42" i="5"/>
  <c r="AL134" i="5" s="1"/>
  <c r="AL13" i="5"/>
  <c r="AJ24" i="5"/>
  <c r="AJ140" i="21"/>
  <c r="AK141" i="21" s="1"/>
  <c r="AJ38" i="21"/>
  <c r="AJ49" i="21"/>
  <c r="AH119" i="21"/>
  <c r="AG13" i="33"/>
  <c r="AI132" i="5"/>
  <c r="AI49" i="5"/>
  <c r="AJ103" i="10"/>
  <c r="AJ92" i="10" s="1"/>
  <c r="AJ134" i="10"/>
  <c r="AJ137" i="10" s="1"/>
  <c r="AK116" i="8"/>
  <c r="AN32" i="10"/>
  <c r="AL89" i="10"/>
  <c r="AK101" i="10"/>
  <c r="AK98" i="10"/>
  <c r="AK102" i="10" s="1"/>
  <c r="AL101" i="21"/>
  <c r="AL97" i="21"/>
  <c r="AM89" i="21"/>
  <c r="AL98" i="21"/>
  <c r="AL102" i="21" s="1"/>
  <c r="AP12" i="21"/>
  <c r="AQ11" i="21" s="1"/>
  <c r="AQ29" i="12"/>
  <c r="AI99" i="24"/>
  <c r="AJ97" i="24" s="1"/>
  <c r="AK128" i="21"/>
  <c r="AK130" i="21" s="1"/>
  <c r="AK103" i="21"/>
  <c r="AK92" i="21" s="1"/>
  <c r="AL110" i="8"/>
  <c r="AL116" i="8" s="1"/>
  <c r="AM32" i="8"/>
  <c r="AL42" i="8"/>
  <c r="AL146" i="8" s="1"/>
  <c r="AL18" i="8"/>
  <c r="AL20" i="8"/>
  <c r="AL21" i="8"/>
  <c r="AL15" i="8"/>
  <c r="AL22" i="8"/>
  <c r="AL17" i="8"/>
  <c r="AL16" i="8"/>
  <c r="AL19" i="8"/>
  <c r="AL24" i="8"/>
  <c r="AL14" i="8"/>
  <c r="AM10" i="8"/>
  <c r="AM33" i="8" s="1"/>
  <c r="AM90" i="8" s="1"/>
  <c r="AM111" i="8" s="1"/>
  <c r="AN9" i="8"/>
  <c r="AM13" i="8"/>
  <c r="AK144" i="8"/>
  <c r="AL145" i="8" s="1"/>
  <c r="AK38" i="8"/>
  <c r="AK49" i="8"/>
  <c r="AP30" i="8"/>
  <c r="AO57" i="8"/>
  <c r="AO12" i="8"/>
  <c r="AP11" i="8" s="1"/>
  <c r="AN103" i="9"/>
  <c r="AN92" i="9" s="1"/>
  <c r="AN129" i="9"/>
  <c r="AN131" i="9" s="1"/>
  <c r="AM12" i="9"/>
  <c r="AN11" i="9" s="1"/>
  <c r="AS30" i="9"/>
  <c r="AR57" i="9"/>
  <c r="AN99" i="9"/>
  <c r="AO97" i="9" s="1"/>
  <c r="AP89" i="9"/>
  <c r="AO101" i="9"/>
  <c r="AO98" i="9"/>
  <c r="AO102" i="9" s="1"/>
  <c r="AJ89" i="26"/>
  <c r="AM12" i="26"/>
  <c r="AN11" i="26" s="1"/>
  <c r="AP30" i="26"/>
  <c r="AO57" i="26"/>
  <c r="AI38" i="26"/>
  <c r="AI142" i="26"/>
  <c r="AI49" i="26"/>
  <c r="AK13" i="26"/>
  <c r="AK10" i="26"/>
  <c r="AK33" i="26" s="1"/>
  <c r="AK90" i="26" s="1"/>
  <c r="AK111" i="26" s="1"/>
  <c r="AL9" i="26"/>
  <c r="AJ24" i="26"/>
  <c r="AJ15" i="26"/>
  <c r="AJ17" i="26"/>
  <c r="AJ16" i="26"/>
  <c r="AJ14" i="26"/>
  <c r="AJ18" i="26"/>
  <c r="AJ19" i="26"/>
  <c r="AJ20" i="26"/>
  <c r="AJ22" i="26"/>
  <c r="AJ21" i="26"/>
  <c r="AH122" i="26"/>
  <c r="AI110" i="26"/>
  <c r="AI113" i="26" s="1"/>
  <c r="AH113" i="26"/>
  <c r="AJ42" i="26"/>
  <c r="AJ144" i="26" s="1"/>
  <c r="AK32" i="26"/>
  <c r="AP30" i="29"/>
  <c r="AO57" i="29"/>
  <c r="AN99" i="29"/>
  <c r="AO97" i="29" s="1"/>
  <c r="AN103" i="29"/>
  <c r="AN92" i="29" s="1"/>
  <c r="AP89" i="29"/>
  <c r="AO101" i="29"/>
  <c r="AO98" i="29"/>
  <c r="AO102" i="29" s="1"/>
  <c r="AP57" i="24"/>
  <c r="AQ30" i="24"/>
  <c r="AJ101" i="24"/>
  <c r="AK89" i="24"/>
  <c r="AJ98" i="24"/>
  <c r="AJ102" i="24" s="1"/>
  <c r="AI147" i="24"/>
  <c r="AI150" i="24" s="1"/>
  <c r="AI103" i="24"/>
  <c r="AI92" i="24" s="1"/>
  <c r="AQ160" i="36" l="1"/>
  <c r="AR132" i="36"/>
  <c r="AE126" i="29"/>
  <c r="AE127" i="29"/>
  <c r="AE128" i="29"/>
  <c r="AC130" i="29"/>
  <c r="AI12" i="12"/>
  <c r="AI17" i="12"/>
  <c r="AJ6" i="12"/>
  <c r="AI7" i="12"/>
  <c r="AI8" i="12"/>
  <c r="AG7" i="33"/>
  <c r="AH3" i="33"/>
  <c r="AG4" i="33"/>
  <c r="AG30" i="33"/>
  <c r="AG46" i="33" s="1"/>
  <c r="AF91" i="36"/>
  <c r="AF91" i="12"/>
  <c r="AE126" i="36"/>
  <c r="AE126" i="12"/>
  <c r="AG18" i="36"/>
  <c r="AF38" i="10"/>
  <c r="AF147" i="10"/>
  <c r="AG148" i="10" s="1"/>
  <c r="AF49" i="10"/>
  <c r="AG18" i="12"/>
  <c r="AC123" i="9"/>
  <c r="AD114" i="32"/>
  <c r="AB132" i="29"/>
  <c r="AB135" i="29"/>
  <c r="AG135" i="36"/>
  <c r="AG193" i="36" s="1"/>
  <c r="AG30" i="36"/>
  <c r="AG89" i="36" s="1"/>
  <c r="AG112" i="36" s="1"/>
  <c r="AG110" i="24"/>
  <c r="AF140" i="24"/>
  <c r="AF114" i="24"/>
  <c r="AF118" i="24"/>
  <c r="AF112" i="24"/>
  <c r="AF113" i="24"/>
  <c r="AJ9" i="24"/>
  <c r="AI13" i="24"/>
  <c r="AI10" i="24"/>
  <c r="AF44" i="36"/>
  <c r="AF32" i="36"/>
  <c r="AF72" i="36"/>
  <c r="AF45" i="36"/>
  <c r="AG88" i="36"/>
  <c r="AG24" i="29"/>
  <c r="AI32" i="29"/>
  <c r="AH42" i="29"/>
  <c r="AH158" i="29" s="1"/>
  <c r="AE119" i="12"/>
  <c r="AE119" i="36"/>
  <c r="AG157" i="29"/>
  <c r="AE128" i="12"/>
  <c r="AE128" i="36"/>
  <c r="AH30" i="12"/>
  <c r="AH89" i="12" s="1"/>
  <c r="AH112" i="12" s="1"/>
  <c r="AH135" i="12"/>
  <c r="AH192" i="12" s="1"/>
  <c r="AG192" i="36"/>
  <c r="AH134" i="36"/>
  <c r="AH92" i="36"/>
  <c r="AH92" i="12"/>
  <c r="AG44" i="12"/>
  <c r="AG32" i="12"/>
  <c r="AH88" i="12"/>
  <c r="AG38" i="24"/>
  <c r="AG49" i="24"/>
  <c r="AG158" i="24"/>
  <c r="AH159" i="24" s="1"/>
  <c r="AF113" i="8"/>
  <c r="AC27" i="32"/>
  <c r="AC133" i="32"/>
  <c r="AC142" i="32"/>
  <c r="AH16" i="24"/>
  <c r="AH17" i="24"/>
  <c r="AH21" i="24"/>
  <c r="AH20" i="24"/>
  <c r="AH14" i="24"/>
  <c r="AH22" i="24"/>
  <c r="AH15" i="24"/>
  <c r="AH18" i="24"/>
  <c r="AH19" i="24"/>
  <c r="AF112" i="10"/>
  <c r="AF112" i="9"/>
  <c r="AF112" i="21"/>
  <c r="AF112" i="8"/>
  <c r="Z136" i="32"/>
  <c r="AE110" i="32"/>
  <c r="AE111" i="32"/>
  <c r="AD127" i="10" s="1"/>
  <c r="AD128" i="10" s="1"/>
  <c r="AE39" i="36" s="1"/>
  <c r="AE112" i="32"/>
  <c r="AE108" i="32"/>
  <c r="AD124" i="8" s="1"/>
  <c r="AE107" i="32"/>
  <c r="AD121" i="21" s="1"/>
  <c r="AD122" i="21" s="1"/>
  <c r="AE66" i="36" s="1"/>
  <c r="AF103" i="32"/>
  <c r="AE113" i="32"/>
  <c r="AE128" i="32"/>
  <c r="AE130" i="32" s="1"/>
  <c r="AF55" i="12" s="1"/>
  <c r="AE106" i="32"/>
  <c r="AE109" i="32"/>
  <c r="AD123" i="26" s="1"/>
  <c r="AI134" i="12"/>
  <c r="AH191" i="12"/>
  <c r="AA134" i="32"/>
  <c r="AA28" i="32" s="1"/>
  <c r="AA29" i="32" s="1"/>
  <c r="AA136" i="32"/>
  <c r="AI32" i="24"/>
  <c r="AH42" i="24"/>
  <c r="AH160" i="24" s="1"/>
  <c r="AE121" i="12"/>
  <c r="AE121" i="36"/>
  <c r="AE137" i="29"/>
  <c r="AF124" i="36"/>
  <c r="AE121" i="29"/>
  <c r="AE120" i="29"/>
  <c r="AE122" i="29"/>
  <c r="AF124" i="12"/>
  <c r="AE127" i="12"/>
  <c r="AE127" i="36"/>
  <c r="Z33" i="32"/>
  <c r="Z40" i="32"/>
  <c r="Z47" i="32" s="1"/>
  <c r="AC135" i="29"/>
  <c r="AC132" i="29"/>
  <c r="AH18" i="10"/>
  <c r="AH17" i="10"/>
  <c r="AH19" i="10"/>
  <c r="AH20" i="10"/>
  <c r="AH21" i="10"/>
  <c r="AH15" i="10"/>
  <c r="AH16" i="10"/>
  <c r="AH14" i="10"/>
  <c r="AH22" i="10"/>
  <c r="X52" i="32"/>
  <c r="AF116" i="10"/>
  <c r="AG110" i="10"/>
  <c r="AF126" i="10"/>
  <c r="AF113" i="10"/>
  <c r="AH12" i="36"/>
  <c r="AH8" i="36"/>
  <c r="AH17" i="36"/>
  <c r="AH7" i="36"/>
  <c r="AI6" i="36"/>
  <c r="AJ9" i="10"/>
  <c r="AI10" i="10"/>
  <c r="AI33" i="10" s="1"/>
  <c r="AI90" i="10" s="1"/>
  <c r="AI111" i="10" s="1"/>
  <c r="AI42" i="10"/>
  <c r="AI149" i="10" s="1"/>
  <c r="AI13" i="10"/>
  <c r="AE118" i="12"/>
  <c r="AE118" i="36"/>
  <c r="AG110" i="29"/>
  <c r="AF114" i="29"/>
  <c r="AF138" i="29" s="1"/>
  <c r="AF118" i="29"/>
  <c r="AF112" i="29"/>
  <c r="AH20" i="29"/>
  <c r="AH21" i="29"/>
  <c r="AH14" i="29"/>
  <c r="AH17" i="29"/>
  <c r="AH22" i="29"/>
  <c r="AH15" i="29"/>
  <c r="AH16" i="29"/>
  <c r="AH19" i="29"/>
  <c r="AH18" i="29"/>
  <c r="AF113" i="36"/>
  <c r="AE122" i="10"/>
  <c r="AF113" i="12"/>
  <c r="AE119" i="10"/>
  <c r="AE125" i="10" s="1"/>
  <c r="Y84" i="32"/>
  <c r="Y36" i="32"/>
  <c r="Y37" i="32" s="1"/>
  <c r="Y51" i="32" s="1"/>
  <c r="Y52" i="32" s="1"/>
  <c r="AB142" i="32"/>
  <c r="AB27" i="32"/>
  <c r="AB133" i="32"/>
  <c r="AF47" i="33"/>
  <c r="AG112" i="21" s="1"/>
  <c r="AF48" i="33"/>
  <c r="AG113" i="8" s="1"/>
  <c r="AG112" i="26"/>
  <c r="AG112" i="8"/>
  <c r="AG112" i="9"/>
  <c r="V54" i="32"/>
  <c r="V53" i="32"/>
  <c r="AE138" i="24"/>
  <c r="AE122" i="24"/>
  <c r="AF116" i="12"/>
  <c r="AE120" i="24"/>
  <c r="AE123" i="24"/>
  <c r="AE121" i="24"/>
  <c r="AE129" i="24"/>
  <c r="AE130" i="24"/>
  <c r="AF116" i="36"/>
  <c r="AG24" i="10"/>
  <c r="AE120" i="12"/>
  <c r="AE120" i="36"/>
  <c r="AI10" i="29"/>
  <c r="AI13" i="29"/>
  <c r="AJ9" i="29"/>
  <c r="AM17" i="32"/>
  <c r="AM138" i="32" s="1"/>
  <c r="AM31" i="32" s="1"/>
  <c r="AK46" i="32"/>
  <c r="AK24" i="5"/>
  <c r="AK132" i="5" s="1"/>
  <c r="AN9" i="32"/>
  <c r="AM10" i="32"/>
  <c r="AM26" i="32" s="1"/>
  <c r="AM83" i="32" s="1"/>
  <c r="AM104" i="32" s="1"/>
  <c r="AK14" i="9"/>
  <c r="AK21" i="9"/>
  <c r="AK24" i="9"/>
  <c r="AK22" i="9"/>
  <c r="AK17" i="9"/>
  <c r="AK15" i="9"/>
  <c r="AK18" i="9"/>
  <c r="AK16" i="9"/>
  <c r="AK20" i="9"/>
  <c r="AK19" i="9"/>
  <c r="AL32" i="9"/>
  <c r="AK42" i="9"/>
  <c r="AK141" i="9" s="1"/>
  <c r="AL13" i="9"/>
  <c r="AM9" i="9"/>
  <c r="AL10" i="9"/>
  <c r="AL33" i="9" s="1"/>
  <c r="AL90" i="9" s="1"/>
  <c r="AL111" i="9" s="1"/>
  <c r="AN13" i="32"/>
  <c r="AN15" i="32"/>
  <c r="AN14" i="32"/>
  <c r="AN12" i="32"/>
  <c r="AO11" i="32" s="1"/>
  <c r="AI113" i="9"/>
  <c r="AJ110" i="9"/>
  <c r="AI122" i="9"/>
  <c r="AL42" i="32"/>
  <c r="AL44" i="32" s="1"/>
  <c r="AL138" i="32"/>
  <c r="AL31" i="32" s="1"/>
  <c r="AJ139" i="9"/>
  <c r="AK140" i="9" s="1"/>
  <c r="AJ38" i="9"/>
  <c r="AJ49" i="9"/>
  <c r="AO99" i="9"/>
  <c r="AP97" i="9" s="1"/>
  <c r="AM13" i="21"/>
  <c r="AN9" i="21"/>
  <c r="AM10" i="21"/>
  <c r="AM33" i="21" s="1"/>
  <c r="AM90" i="21" s="1"/>
  <c r="AM111" i="21" s="1"/>
  <c r="AJ133" i="5"/>
  <c r="AI38" i="5"/>
  <c r="AL21" i="21"/>
  <c r="AL22" i="21"/>
  <c r="AL19" i="21"/>
  <c r="AL24" i="21"/>
  <c r="AL16" i="21"/>
  <c r="AL20" i="21"/>
  <c r="AL17" i="21"/>
  <c r="AL15" i="21"/>
  <c r="AL14" i="21"/>
  <c r="AL18" i="21"/>
  <c r="AI119" i="21"/>
  <c r="AH13" i="33"/>
  <c r="AK140" i="21"/>
  <c r="AL141" i="21" s="1"/>
  <c r="AK49" i="21"/>
  <c r="AK38" i="21"/>
  <c r="AJ114" i="21"/>
  <c r="AJ119" i="21" s="1"/>
  <c r="AK110" i="21"/>
  <c r="AL21" i="5"/>
  <c r="AL17" i="5"/>
  <c r="AL14" i="5"/>
  <c r="AL16" i="5"/>
  <c r="AL18" i="5"/>
  <c r="AL19" i="5"/>
  <c r="AL15" i="5"/>
  <c r="AL20" i="5"/>
  <c r="AL22" i="5"/>
  <c r="AJ132" i="5"/>
  <c r="AJ49" i="5"/>
  <c r="AM32" i="21"/>
  <c r="AL42" i="21"/>
  <c r="AL142" i="21" s="1"/>
  <c r="AN9" i="5"/>
  <c r="AM10" i="5"/>
  <c r="AM42" i="5"/>
  <c r="AM134" i="5" s="1"/>
  <c r="AM13" i="5"/>
  <c r="AO99" i="29"/>
  <c r="AP97" i="29" s="1"/>
  <c r="AR29" i="12"/>
  <c r="AM101" i="21"/>
  <c r="AN89" i="21"/>
  <c r="AM98" i="21"/>
  <c r="AM102" i="21" s="1"/>
  <c r="AK103" i="10"/>
  <c r="AK92" i="10" s="1"/>
  <c r="AK134" i="10"/>
  <c r="AK137" i="10" s="1"/>
  <c r="AL99" i="21"/>
  <c r="AM97" i="21" s="1"/>
  <c r="AL98" i="10"/>
  <c r="AL102" i="10" s="1"/>
  <c r="AL101" i="10"/>
  <c r="AM89" i="10"/>
  <c r="AO32" i="10"/>
  <c r="AL128" i="21"/>
  <c r="AL130" i="21" s="1"/>
  <c r="AL103" i="21"/>
  <c r="AL92" i="21" s="1"/>
  <c r="AK99" i="10"/>
  <c r="AL97" i="10" s="1"/>
  <c r="AQ12" i="21"/>
  <c r="AR11" i="21" s="1"/>
  <c r="AP57" i="8"/>
  <c r="AQ30" i="8"/>
  <c r="AL38" i="8"/>
  <c r="AL49" i="8"/>
  <c r="AL144" i="8"/>
  <c r="AM145" i="8" s="1"/>
  <c r="AM42" i="8"/>
  <c r="AM146" i="8" s="1"/>
  <c r="AN32" i="8"/>
  <c r="AM21" i="8"/>
  <c r="AM14" i="8"/>
  <c r="AM24" i="8"/>
  <c r="AM22" i="8"/>
  <c r="AM17" i="8"/>
  <c r="AM15" i="8"/>
  <c r="AM20" i="8"/>
  <c r="AM16" i="8"/>
  <c r="AM18" i="8"/>
  <c r="AM19" i="8"/>
  <c r="AN10" i="8"/>
  <c r="AN33" i="8" s="1"/>
  <c r="AN90" i="8" s="1"/>
  <c r="AN111" i="8" s="1"/>
  <c r="AO9" i="8"/>
  <c r="AN13" i="8"/>
  <c r="AM110" i="8"/>
  <c r="AP12" i="8"/>
  <c r="AQ11" i="8" s="1"/>
  <c r="T13" i="36"/>
  <c r="AC13" i="12"/>
  <c r="W13" i="36"/>
  <c r="AC13" i="36"/>
  <c r="AA13" i="36"/>
  <c r="AH13" i="12"/>
  <c r="AI13" i="12"/>
  <c r="AI13" i="36"/>
  <c r="AG13" i="36"/>
  <c r="AH13" i="36"/>
  <c r="Z13" i="36"/>
  <c r="Y13" i="36"/>
  <c r="AE13" i="36"/>
  <c r="AF13" i="12"/>
  <c r="AD13" i="12"/>
  <c r="X13" i="12"/>
  <c r="AG13" i="12"/>
  <c r="AD13" i="36"/>
  <c r="AB13" i="36"/>
  <c r="AB13" i="12"/>
  <c r="AJ13" i="12"/>
  <c r="Y13" i="12"/>
  <c r="Z13" i="12"/>
  <c r="AF13" i="36"/>
  <c r="AE13" i="12"/>
  <c r="AA13" i="12"/>
  <c r="AO103" i="9"/>
  <c r="AO92" i="9" s="1"/>
  <c r="AO129" i="9"/>
  <c r="AO131" i="9" s="1"/>
  <c r="AN12" i="9"/>
  <c r="AO11" i="9" s="1"/>
  <c r="AQ89" i="9"/>
  <c r="AP101" i="9"/>
  <c r="AP98" i="9"/>
  <c r="AP102" i="9" s="1"/>
  <c r="AS57" i="9"/>
  <c r="AT30" i="9"/>
  <c r="AJ142" i="26"/>
  <c r="AJ38" i="26"/>
  <c r="AJ49" i="26"/>
  <c r="AQ30" i="26"/>
  <c r="AP57" i="26"/>
  <c r="AN12" i="26"/>
  <c r="AO11" i="26" s="1"/>
  <c r="AI122" i="26"/>
  <c r="AJ110" i="26"/>
  <c r="AK16" i="26"/>
  <c r="AK15" i="26"/>
  <c r="AK20" i="26"/>
  <c r="AK21" i="26"/>
  <c r="AK14" i="26"/>
  <c r="AK18" i="26"/>
  <c r="AK24" i="26"/>
  <c r="AK22" i="26"/>
  <c r="AK17" i="26"/>
  <c r="AK19" i="26"/>
  <c r="AL13" i="26"/>
  <c r="AM9" i="26"/>
  <c r="AL10" i="26"/>
  <c r="AL33" i="26" s="1"/>
  <c r="AL90" i="26" s="1"/>
  <c r="AL111" i="26" s="1"/>
  <c r="AK89" i="26"/>
  <c r="AK42" i="26"/>
  <c r="AK144" i="26" s="1"/>
  <c r="AL32" i="26"/>
  <c r="AQ30" i="29"/>
  <c r="AP57" i="29"/>
  <c r="AO103" i="29"/>
  <c r="AO92" i="29" s="1"/>
  <c r="AP98" i="29"/>
  <c r="AP102" i="29" s="1"/>
  <c r="AQ89" i="29"/>
  <c r="AP101" i="29"/>
  <c r="AK101" i="24"/>
  <c r="AL89" i="24"/>
  <c r="AK98" i="24"/>
  <c r="AK102" i="24" s="1"/>
  <c r="AJ147" i="24"/>
  <c r="AJ150" i="24" s="1"/>
  <c r="AJ103" i="24"/>
  <c r="AJ92" i="24" s="1"/>
  <c r="AR30" i="24"/>
  <c r="AQ57" i="24"/>
  <c r="AJ99" i="24"/>
  <c r="AK97" i="24" s="1"/>
  <c r="AS132" i="36" l="1"/>
  <c r="AR160" i="36"/>
  <c r="AF126" i="29"/>
  <c r="AF127" i="29"/>
  <c r="AF128" i="29"/>
  <c r="AA40" i="32"/>
  <c r="AA47" i="32" s="1"/>
  <c r="AA33" i="32"/>
  <c r="Y54" i="32"/>
  <c r="Y53" i="32"/>
  <c r="AH110" i="29"/>
  <c r="AG114" i="29"/>
  <c r="AG138" i="29" s="1"/>
  <c r="AG118" i="29"/>
  <c r="AG112" i="29"/>
  <c r="AG113" i="29"/>
  <c r="AH30" i="36"/>
  <c r="AH89" i="36" s="1"/>
  <c r="AH112" i="36" s="1"/>
  <c r="AH135" i="36"/>
  <c r="AH193" i="36" s="1"/>
  <c r="AF112" i="32"/>
  <c r="AF109" i="32"/>
  <c r="AE123" i="26" s="1"/>
  <c r="AF106" i="32"/>
  <c r="AF113" i="32"/>
  <c r="AE139" i="24" s="1"/>
  <c r="AF108" i="32"/>
  <c r="AE124" i="8" s="1"/>
  <c r="AG103" i="32"/>
  <c r="AF107" i="32"/>
  <c r="AF121" i="21" s="1"/>
  <c r="AF122" i="21" s="1"/>
  <c r="AF110" i="32"/>
  <c r="AF128" i="32"/>
  <c r="AF130" i="32" s="1"/>
  <c r="AF111" i="32"/>
  <c r="AE127" i="10" s="1"/>
  <c r="AE128" i="10" s="1"/>
  <c r="AF39" i="36" s="1"/>
  <c r="AF138" i="24"/>
  <c r="AG116" i="36"/>
  <c r="AF120" i="24"/>
  <c r="AF129" i="24"/>
  <c r="AG116" i="12"/>
  <c r="AF122" i="24"/>
  <c r="AF130" i="24"/>
  <c r="AF123" i="24"/>
  <c r="AF121" i="24"/>
  <c r="AD124" i="32"/>
  <c r="AE51" i="12"/>
  <c r="AE57" i="12" s="1"/>
  <c r="AI92" i="12"/>
  <c r="AI92" i="36"/>
  <c r="AH192" i="36"/>
  <c r="AI134" i="36"/>
  <c r="AK9" i="29"/>
  <c r="AJ10" i="29"/>
  <c r="AJ13" i="29"/>
  <c r="AH24" i="29"/>
  <c r="AE121" i="21"/>
  <c r="AE122" i="21" s="1"/>
  <c r="AF66" i="36" s="1"/>
  <c r="AI30" i="12"/>
  <c r="AI89" i="12" s="1"/>
  <c r="AI112" i="12" s="1"/>
  <c r="AI135" i="12"/>
  <c r="AI192" i="12" s="1"/>
  <c r="AI17" i="29"/>
  <c r="AI16" i="29"/>
  <c r="AI22" i="29"/>
  <c r="AI19" i="29"/>
  <c r="AI14" i="29"/>
  <c r="AI20" i="29"/>
  <c r="AI15" i="29"/>
  <c r="AI18" i="29"/>
  <c r="AI21" i="29"/>
  <c r="AF119" i="12"/>
  <c r="AF119" i="36"/>
  <c r="AB134" i="32"/>
  <c r="AB28" i="32" s="1"/>
  <c r="AB29" i="32" s="1"/>
  <c r="AI14" i="10"/>
  <c r="AI20" i="10"/>
  <c r="AI21" i="10"/>
  <c r="AI15" i="10"/>
  <c r="AI22" i="10"/>
  <c r="AI18" i="10"/>
  <c r="AI17" i="10"/>
  <c r="AI19" i="10"/>
  <c r="AI16" i="10"/>
  <c r="AH24" i="10"/>
  <c r="AF128" i="36"/>
  <c r="AF128" i="12"/>
  <c r="AI42" i="24"/>
  <c r="AI160" i="24" s="1"/>
  <c r="AJ32" i="24"/>
  <c r="AG114" i="24"/>
  <c r="AH110" i="24"/>
  <c r="AG112" i="24"/>
  <c r="AG118" i="24"/>
  <c r="AG140" i="24"/>
  <c r="AG113" i="24"/>
  <c r="AJ12" i="12"/>
  <c r="AJ17" i="12"/>
  <c r="AK6" i="12"/>
  <c r="AJ7" i="12"/>
  <c r="AJ8" i="12"/>
  <c r="AF121" i="36"/>
  <c r="AF121" i="12"/>
  <c r="AF126" i="12"/>
  <c r="AF126" i="36"/>
  <c r="AH44" i="12"/>
  <c r="AI88" i="12"/>
  <c r="AH32" i="12"/>
  <c r="AJ32" i="29"/>
  <c r="AI42" i="29"/>
  <c r="AI158" i="29" s="1"/>
  <c r="AI21" i="24"/>
  <c r="AI14" i="24"/>
  <c r="AI16" i="24"/>
  <c r="AI20" i="24"/>
  <c r="AI22" i="24"/>
  <c r="AI19" i="24"/>
  <c r="AI18" i="24"/>
  <c r="AI17" i="24"/>
  <c r="AI15" i="24"/>
  <c r="X53" i="32"/>
  <c r="X54" i="32"/>
  <c r="AF118" i="36"/>
  <c r="AF118" i="12"/>
  <c r="AF127" i="12"/>
  <c r="AF127" i="36"/>
  <c r="AD123" i="9"/>
  <c r="AE114" i="32"/>
  <c r="AG156" i="29"/>
  <c r="AH157" i="29" s="1"/>
  <c r="AG49" i="29"/>
  <c r="AG38" i="29"/>
  <c r="AK9" i="24"/>
  <c r="AJ13" i="24"/>
  <c r="AJ10" i="24"/>
  <c r="AG47" i="33"/>
  <c r="AH112" i="9" s="1"/>
  <c r="AG48" i="33"/>
  <c r="AH113" i="8" s="1"/>
  <c r="AF137" i="29"/>
  <c r="AG124" i="36"/>
  <c r="AF120" i="29"/>
  <c r="AF122" i="29"/>
  <c r="AF121" i="29"/>
  <c r="AG124" i="12"/>
  <c r="AJ13" i="10"/>
  <c r="AJ10" i="10"/>
  <c r="AJ33" i="10" s="1"/>
  <c r="AJ90" i="10" s="1"/>
  <c r="AJ111" i="10" s="1"/>
  <c r="AJ42" i="10"/>
  <c r="AJ149" i="10" s="1"/>
  <c r="AK9" i="10"/>
  <c r="AG116" i="10"/>
  <c r="AG118" i="10" s="1"/>
  <c r="AG126" i="10"/>
  <c r="AH110" i="10"/>
  <c r="AG112" i="10"/>
  <c r="AG113" i="10"/>
  <c r="Z36" i="32"/>
  <c r="Z37" i="32" s="1"/>
  <c r="Z51" i="32" s="1"/>
  <c r="Z52" i="32" s="1"/>
  <c r="Z84" i="32"/>
  <c r="AC134" i="32"/>
  <c r="AC28" i="32" s="1"/>
  <c r="AC29" i="32" s="1"/>
  <c r="AG44" i="36"/>
  <c r="AG32" i="36"/>
  <c r="AG72" i="36"/>
  <c r="AG45" i="36"/>
  <c r="AH88" i="36"/>
  <c r="AG66" i="36"/>
  <c r="AG38" i="10"/>
  <c r="AG49" i="10"/>
  <c r="AG147" i="10"/>
  <c r="AH148" i="10" s="1"/>
  <c r="AF120" i="36"/>
  <c r="AF120" i="12"/>
  <c r="Y86" i="32"/>
  <c r="Y87" i="32"/>
  <c r="AI12" i="36"/>
  <c r="AJ6" i="36"/>
  <c r="AI8" i="36"/>
  <c r="AI7" i="36"/>
  <c r="AI17" i="36"/>
  <c r="AF118" i="10"/>
  <c r="AE6" i="33"/>
  <c r="AI191" i="12"/>
  <c r="AJ134" i="12"/>
  <c r="AH24" i="24"/>
  <c r="AD130" i="29"/>
  <c r="AH7" i="33"/>
  <c r="AH30" i="33"/>
  <c r="AH46" i="33" s="1"/>
  <c r="AI3" i="33"/>
  <c r="AH4" i="33"/>
  <c r="AF139" i="24"/>
  <c r="AK49" i="5"/>
  <c r="AL99" i="10"/>
  <c r="AM97" i="10" s="1"/>
  <c r="AM99" i="21"/>
  <c r="AN97" i="21" s="1"/>
  <c r="AM42" i="32"/>
  <c r="AM44" i="32" s="1"/>
  <c r="AL46" i="32"/>
  <c r="AL16" i="9"/>
  <c r="AL24" i="9"/>
  <c r="AL22" i="9"/>
  <c r="AL21" i="9"/>
  <c r="AL20" i="9"/>
  <c r="AL14" i="9"/>
  <c r="AL17" i="9"/>
  <c r="AL18" i="9"/>
  <c r="AL19" i="9"/>
  <c r="AL15" i="9"/>
  <c r="AI13" i="33"/>
  <c r="AO13" i="32"/>
  <c r="AO12" i="32"/>
  <c r="AP11" i="32" s="1"/>
  <c r="AO15" i="32"/>
  <c r="AO14" i="32"/>
  <c r="AN10" i="32"/>
  <c r="AN26" i="32" s="1"/>
  <c r="AN83" i="32" s="1"/>
  <c r="AN104" i="32" s="1"/>
  <c r="AO9" i="32"/>
  <c r="AP99" i="9"/>
  <c r="AN17" i="32"/>
  <c r="AM32" i="9"/>
  <c r="AL42" i="9"/>
  <c r="AL141" i="9" s="1"/>
  <c r="AK110" i="9"/>
  <c r="AJ122" i="9"/>
  <c r="AJ113" i="9"/>
  <c r="AM13" i="9"/>
  <c r="AN9" i="9"/>
  <c r="AM10" i="9"/>
  <c r="AM33" i="9" s="1"/>
  <c r="AM90" i="9" s="1"/>
  <c r="AM111" i="9" s="1"/>
  <c r="AK38" i="9"/>
  <c r="AK139" i="9"/>
  <c r="AL140" i="9" s="1"/>
  <c r="AK49" i="9"/>
  <c r="AM21" i="5"/>
  <c r="AM14" i="5"/>
  <c r="AM17" i="5"/>
  <c r="AM15" i="5"/>
  <c r="AM19" i="5"/>
  <c r="AM18" i="5"/>
  <c r="AM16" i="5"/>
  <c r="AM20" i="5"/>
  <c r="AM22" i="5"/>
  <c r="AL110" i="21"/>
  <c r="AK114" i="21"/>
  <c r="AK38" i="5"/>
  <c r="AN32" i="21"/>
  <c r="AM42" i="21"/>
  <c r="AM142" i="21" s="1"/>
  <c r="AO9" i="5"/>
  <c r="AN10" i="5"/>
  <c r="AN42" i="5"/>
  <c r="AN134" i="5" s="1"/>
  <c r="AN13" i="5"/>
  <c r="AL24" i="5"/>
  <c r="AJ38" i="5"/>
  <c r="AK133" i="5"/>
  <c r="AL133" i="5" s="1"/>
  <c r="AN10" i="21"/>
  <c r="AN33" i="21" s="1"/>
  <c r="AN90" i="21" s="1"/>
  <c r="AN111" i="21" s="1"/>
  <c r="AO9" i="21"/>
  <c r="AN13" i="21"/>
  <c r="AL140" i="21"/>
  <c r="AM141" i="21" s="1"/>
  <c r="AL49" i="21"/>
  <c r="AL38" i="21"/>
  <c r="AM19" i="21"/>
  <c r="AM21" i="21"/>
  <c r="AM18" i="21"/>
  <c r="AM17" i="21"/>
  <c r="AM20" i="21"/>
  <c r="AM24" i="21"/>
  <c r="AM22" i="21"/>
  <c r="AM16" i="21"/>
  <c r="AM14" i="21"/>
  <c r="AM15" i="21"/>
  <c r="AS29" i="12"/>
  <c r="AR12" i="21"/>
  <c r="AS11" i="21" s="1"/>
  <c r="AP32" i="10"/>
  <c r="AN101" i="21"/>
  <c r="AO89" i="21"/>
  <c r="AN98" i="21"/>
  <c r="AN102" i="21" s="1"/>
  <c r="AM116" i="8"/>
  <c r="AP103" i="29"/>
  <c r="AP92" i="29" s="1"/>
  <c r="AN89" i="10"/>
  <c r="AM98" i="10"/>
  <c r="AM102" i="10" s="1"/>
  <c r="AM101" i="10"/>
  <c r="AM128" i="21"/>
  <c r="AM130" i="21" s="1"/>
  <c r="AM103" i="21"/>
  <c r="AM92" i="21" s="1"/>
  <c r="AL103" i="10"/>
  <c r="AL92" i="10" s="1"/>
  <c r="AL134" i="10"/>
  <c r="AL137" i="10" s="1"/>
  <c r="AO32" i="8"/>
  <c r="AN42" i="8"/>
  <c r="AN146" i="8" s="1"/>
  <c r="AN110" i="8"/>
  <c r="AN17" i="8"/>
  <c r="AN14" i="8"/>
  <c r="AN21" i="8"/>
  <c r="AN18" i="8"/>
  <c r="AN15" i="8"/>
  <c r="AN20" i="8"/>
  <c r="AN16" i="8"/>
  <c r="AN19" i="8"/>
  <c r="AN22" i="8"/>
  <c r="AN24" i="8"/>
  <c r="AO10" i="8"/>
  <c r="AO33" i="8" s="1"/>
  <c r="AO90" i="8" s="1"/>
  <c r="AO111" i="8" s="1"/>
  <c r="AP9" i="8"/>
  <c r="AO13" i="8"/>
  <c r="AM38" i="8"/>
  <c r="AM49" i="8"/>
  <c r="AM144" i="8"/>
  <c r="AN145" i="8" s="1"/>
  <c r="AR30" i="8"/>
  <c r="AQ57" i="8"/>
  <c r="AC14" i="33"/>
  <c r="AC10" i="33" s="1"/>
  <c r="AB14" i="33"/>
  <c r="AB10" i="33" s="1"/>
  <c r="Y14" i="33"/>
  <c r="Y10" i="33" s="1"/>
  <c r="AD14" i="33"/>
  <c r="AD10" i="33" s="1"/>
  <c r="V14" i="33"/>
  <c r="V10" i="33" s="1"/>
  <c r="AF14" i="33"/>
  <c r="AF10" i="33" s="1"/>
  <c r="AE14" i="33"/>
  <c r="AE10" i="33" s="1"/>
  <c r="X14" i="33"/>
  <c r="X10" i="33" s="1"/>
  <c r="AA14" i="33"/>
  <c r="AA10" i="33" s="1"/>
  <c r="AI14" i="33"/>
  <c r="AI10" i="33" s="1"/>
  <c r="U14" i="33"/>
  <c r="U10" i="33" s="1"/>
  <c r="AG14" i="33"/>
  <c r="AG10" i="33" s="1"/>
  <c r="W14" i="33"/>
  <c r="W10" i="33" s="1"/>
  <c r="AH14" i="33"/>
  <c r="AH10" i="33" s="1"/>
  <c r="Z14" i="33"/>
  <c r="Z10" i="33" s="1"/>
  <c r="AQ12" i="8"/>
  <c r="AR11" i="8" s="1"/>
  <c r="AP103" i="9"/>
  <c r="AP92" i="9" s="1"/>
  <c r="AP129" i="9"/>
  <c r="AP131" i="9" s="1"/>
  <c r="AR89" i="9"/>
  <c r="AQ97" i="9"/>
  <c r="AQ101" i="9"/>
  <c r="AQ98" i="9"/>
  <c r="AQ102" i="9" s="1"/>
  <c r="AU30" i="9"/>
  <c r="AT57" i="9"/>
  <c r="AO12" i="9"/>
  <c r="AP11" i="9" s="1"/>
  <c r="AM13" i="26"/>
  <c r="AN9" i="26"/>
  <c r="AM10" i="26"/>
  <c r="AM33" i="26" s="1"/>
  <c r="AM90" i="26" s="1"/>
  <c r="AM111" i="26" s="1"/>
  <c r="AL24" i="26"/>
  <c r="AL21" i="26"/>
  <c r="AL22" i="26"/>
  <c r="AL17" i="26"/>
  <c r="AL19" i="26"/>
  <c r="AL20" i="26"/>
  <c r="AL15" i="26"/>
  <c r="AL14" i="26"/>
  <c r="AL18" i="26"/>
  <c r="AL16" i="26"/>
  <c r="AR30" i="26"/>
  <c r="AQ57" i="26"/>
  <c r="AO12" i="26"/>
  <c r="AP11" i="26" s="1"/>
  <c r="AL89" i="26"/>
  <c r="AK38" i="26"/>
  <c r="AK142" i="26"/>
  <c r="AK49" i="26"/>
  <c r="AJ122" i="26"/>
  <c r="AK110" i="26"/>
  <c r="AJ113" i="26"/>
  <c r="AL42" i="26"/>
  <c r="AL144" i="26" s="1"/>
  <c r="AM32" i="26"/>
  <c r="AR30" i="29"/>
  <c r="AQ57" i="29"/>
  <c r="AP99" i="29"/>
  <c r="AQ97" i="29" s="1"/>
  <c r="AR89" i="29"/>
  <c r="AQ101" i="29"/>
  <c r="AQ98" i="29"/>
  <c r="AQ102" i="29" s="1"/>
  <c r="AK99" i="24"/>
  <c r="AL97" i="24" s="1"/>
  <c r="AM89" i="24"/>
  <c r="AL98" i="24"/>
  <c r="AL102" i="24" s="1"/>
  <c r="AL101" i="24"/>
  <c r="AK147" i="24"/>
  <c r="AK150" i="24" s="1"/>
  <c r="AK103" i="24"/>
  <c r="AK92" i="24" s="1"/>
  <c r="AR57" i="24"/>
  <c r="AS30" i="24"/>
  <c r="AT132" i="36" l="1"/>
  <c r="AS160" i="36"/>
  <c r="AG126" i="29"/>
  <c r="AG127" i="29"/>
  <c r="AG128" i="29"/>
  <c r="AK10" i="29"/>
  <c r="AL9" i="29"/>
  <c r="AK13" i="29"/>
  <c r="AG121" i="36"/>
  <c r="AG121" i="12"/>
  <c r="AF127" i="10"/>
  <c r="AG137" i="29"/>
  <c r="AH124" i="36"/>
  <c r="AG121" i="29"/>
  <c r="AG122" i="29"/>
  <c r="AG120" i="29"/>
  <c r="AH124" i="12"/>
  <c r="AG122" i="10"/>
  <c r="AH113" i="36"/>
  <c r="AH113" i="12"/>
  <c r="AG119" i="10"/>
  <c r="AG125" i="10" s="1"/>
  <c r="AK134" i="12"/>
  <c r="AJ191" i="12"/>
  <c r="AK42" i="10"/>
  <c r="AK149" i="10" s="1"/>
  <c r="AK13" i="10"/>
  <c r="AK10" i="10"/>
  <c r="AK33" i="10" s="1"/>
  <c r="AK90" i="10" s="1"/>
  <c r="AK111" i="10" s="1"/>
  <c r="AL9" i="10"/>
  <c r="AI88" i="36"/>
  <c r="AH44" i="36"/>
  <c r="AH32" i="36"/>
  <c r="AH72" i="36"/>
  <c r="AH45" i="36"/>
  <c r="Z54" i="32"/>
  <c r="Z53" i="32"/>
  <c r="AJ20" i="24"/>
  <c r="AJ14" i="24"/>
  <c r="AJ15" i="24"/>
  <c r="AJ17" i="24"/>
  <c r="AJ16" i="24"/>
  <c r="AJ18" i="24"/>
  <c r="AJ19" i="24"/>
  <c r="AJ21" i="24"/>
  <c r="AJ22" i="24"/>
  <c r="AK32" i="29"/>
  <c r="AJ42" i="29"/>
  <c r="AJ158" i="29" s="1"/>
  <c r="AG138" i="24"/>
  <c r="AG130" i="24"/>
  <c r="AG123" i="24"/>
  <c r="AG129" i="24"/>
  <c r="AH116" i="36"/>
  <c r="AG122" i="24"/>
  <c r="AH116" i="12"/>
  <c r="AG121" i="24"/>
  <c r="AG120" i="24"/>
  <c r="AG120" i="36"/>
  <c r="AG120" i="12"/>
  <c r="AI110" i="29"/>
  <c r="AH118" i="29"/>
  <c r="AH114" i="29"/>
  <c r="AH138" i="29" s="1"/>
  <c r="AH112" i="29"/>
  <c r="AH113" i="29"/>
  <c r="Z87" i="32"/>
  <c r="Z86" i="32"/>
  <c r="AE123" i="9"/>
  <c r="AF114" i="32"/>
  <c r="AG91" i="12"/>
  <c r="AG91" i="36"/>
  <c r="AF6" i="33"/>
  <c r="AH112" i="26"/>
  <c r="AK13" i="24"/>
  <c r="AL9" i="24"/>
  <c r="AK10" i="24"/>
  <c r="AI18" i="36"/>
  <c r="AH49" i="10"/>
  <c r="AH38" i="10"/>
  <c r="AH147" i="10"/>
  <c r="AI148" i="10" s="1"/>
  <c r="AG55" i="36"/>
  <c r="AG55" i="12"/>
  <c r="AH158" i="24"/>
  <c r="AI159" i="24" s="1"/>
  <c r="AH49" i="24"/>
  <c r="AH38" i="24"/>
  <c r="AG126" i="36"/>
  <c r="AG126" i="12"/>
  <c r="AI192" i="36"/>
  <c r="AJ134" i="36"/>
  <c r="AI7" i="33"/>
  <c r="AI30" i="33"/>
  <c r="AI46" i="33" s="1"/>
  <c r="AJ3" i="33"/>
  <c r="AI4" i="33"/>
  <c r="AF122" i="10"/>
  <c r="AF119" i="10"/>
  <c r="AF125" i="10" s="1"/>
  <c r="AG113" i="12"/>
  <c r="AG113" i="36"/>
  <c r="AJ14" i="10"/>
  <c r="AJ16" i="10"/>
  <c r="AJ21" i="10"/>
  <c r="AJ15" i="10"/>
  <c r="AJ18" i="10"/>
  <c r="AJ22" i="10"/>
  <c r="AJ19" i="10"/>
  <c r="AJ17" i="10"/>
  <c r="AJ20" i="10"/>
  <c r="AJ88" i="12"/>
  <c r="AI44" i="12"/>
  <c r="AI32" i="12"/>
  <c r="AJ30" i="12"/>
  <c r="AJ89" i="12" s="1"/>
  <c r="AJ112" i="12" s="1"/>
  <c r="AJ135" i="12"/>
  <c r="AJ192" i="12" s="1"/>
  <c r="AH118" i="24"/>
  <c r="AH112" i="24"/>
  <c r="AI110" i="24"/>
  <c r="AH140" i="24"/>
  <c r="AH114" i="24"/>
  <c r="AH113" i="24"/>
  <c r="AI24" i="10"/>
  <c r="AJ12" i="36"/>
  <c r="AJ7" i="36"/>
  <c r="AK6" i="36"/>
  <c r="AJ8" i="36"/>
  <c r="AJ17" i="36"/>
  <c r="AJ13" i="36"/>
  <c r="AH47" i="33"/>
  <c r="AI112" i="21" s="1"/>
  <c r="AH48" i="33"/>
  <c r="AI112" i="9"/>
  <c r="AI112" i="8"/>
  <c r="AI113" i="8"/>
  <c r="AK12" i="12"/>
  <c r="AK17" i="12"/>
  <c r="AK8" i="12"/>
  <c r="AL6" i="12"/>
  <c r="AK13" i="12"/>
  <c r="AK7" i="12"/>
  <c r="AB136" i="32"/>
  <c r="AI24" i="29"/>
  <c r="AH156" i="29"/>
  <c r="AI157" i="29" s="1"/>
  <c r="AH49" i="29"/>
  <c r="AH38" i="29"/>
  <c r="AG118" i="36"/>
  <c r="AG118" i="12"/>
  <c r="AC40" i="32"/>
  <c r="AC47" i="32" s="1"/>
  <c r="AC33" i="32"/>
  <c r="AH112" i="10"/>
  <c r="AH112" i="21"/>
  <c r="AJ92" i="36"/>
  <c r="AJ92" i="12"/>
  <c r="AI30" i="36"/>
  <c r="AI89" i="36" s="1"/>
  <c r="AI112" i="36" s="1"/>
  <c r="AI135" i="36"/>
  <c r="AI193" i="36" s="1"/>
  <c r="AH126" i="10"/>
  <c r="AH116" i="10"/>
  <c r="AH118" i="10" s="1"/>
  <c r="AI110" i="10"/>
  <c r="AH113" i="10"/>
  <c r="AG127" i="36"/>
  <c r="AG127" i="12"/>
  <c r="AH112" i="8"/>
  <c r="AJ42" i="24"/>
  <c r="AJ160" i="24" s="1"/>
  <c r="AK32" i="24"/>
  <c r="AB33" i="32"/>
  <c r="AB40" i="32"/>
  <c r="AB47" i="32" s="1"/>
  <c r="AJ15" i="29"/>
  <c r="AJ18" i="29"/>
  <c r="AJ19" i="29"/>
  <c r="AJ21" i="29"/>
  <c r="AJ20" i="29"/>
  <c r="AJ16" i="29"/>
  <c r="AJ14" i="29"/>
  <c r="AJ22" i="29"/>
  <c r="AJ17" i="29"/>
  <c r="AD27" i="32"/>
  <c r="AD142" i="32"/>
  <c r="AD133" i="32"/>
  <c r="AG128" i="32"/>
  <c r="AG130" i="32" s="1"/>
  <c r="AH55" i="12" s="1"/>
  <c r="AH103" i="32"/>
  <c r="AG110" i="32"/>
  <c r="AG112" i="32"/>
  <c r="AG106" i="32"/>
  <c r="AG111" i="32"/>
  <c r="AG108" i="32"/>
  <c r="AF124" i="8" s="1"/>
  <c r="AG107" i="32"/>
  <c r="AG109" i="32"/>
  <c r="AF123" i="26" s="1"/>
  <c r="AG113" i="32"/>
  <c r="AA36" i="32"/>
  <c r="AA37" i="32" s="1"/>
  <c r="AA51" i="32" s="1"/>
  <c r="AA84" i="32"/>
  <c r="AD132" i="29"/>
  <c r="AD135" i="29"/>
  <c r="AC136" i="32"/>
  <c r="AG128" i="12"/>
  <c r="AG128" i="36"/>
  <c r="AE124" i="32"/>
  <c r="AF51" i="12"/>
  <c r="AF57" i="12" s="1"/>
  <c r="AI24" i="24"/>
  <c r="AE130" i="29"/>
  <c r="AG119" i="12"/>
  <c r="AG119" i="36"/>
  <c r="AO17" i="32"/>
  <c r="AO138" i="32" s="1"/>
  <c r="AO31" i="32" s="1"/>
  <c r="AQ99" i="29"/>
  <c r="AR97" i="29" s="1"/>
  <c r="AP15" i="32"/>
  <c r="AP12" i="32"/>
  <c r="AQ11" i="32" s="1"/>
  <c r="AP14" i="32"/>
  <c r="AP13" i="32"/>
  <c r="AN13" i="9"/>
  <c r="AO9" i="9"/>
  <c r="AN10" i="9"/>
  <c r="AN33" i="9" s="1"/>
  <c r="AN90" i="9" s="1"/>
  <c r="AN111" i="9" s="1"/>
  <c r="AN138" i="32"/>
  <c r="AN31" i="32" s="1"/>
  <c r="AN42" i="32"/>
  <c r="AN44" i="32" s="1"/>
  <c r="AP9" i="32"/>
  <c r="AO10" i="32"/>
  <c r="AO26" i="32" s="1"/>
  <c r="AO83" i="32" s="1"/>
  <c r="AO104" i="32" s="1"/>
  <c r="AL49" i="9"/>
  <c r="AL139" i="9"/>
  <c r="AM140" i="9" s="1"/>
  <c r="AL38" i="9"/>
  <c r="AM21" i="9"/>
  <c r="AM19" i="9"/>
  <c r="AM17" i="9"/>
  <c r="AM18" i="9"/>
  <c r="AM24" i="9"/>
  <c r="AM16" i="9"/>
  <c r="AM22" i="9"/>
  <c r="AM14" i="9"/>
  <c r="AM20" i="9"/>
  <c r="AM15" i="9"/>
  <c r="AL110" i="9"/>
  <c r="AK122" i="9"/>
  <c r="AK113" i="9"/>
  <c r="AN32" i="9"/>
  <c r="AM42" i="9"/>
  <c r="AM141" i="9" s="1"/>
  <c r="AM46" i="32"/>
  <c r="AK119" i="21"/>
  <c r="AJ13" i="33"/>
  <c r="AN21" i="21"/>
  <c r="AN17" i="21"/>
  <c r="AN15" i="21"/>
  <c r="AN24" i="21"/>
  <c r="AN16" i="21"/>
  <c r="AN19" i="21"/>
  <c r="AN18" i="21"/>
  <c r="AN14" i="21"/>
  <c r="AN22" i="21"/>
  <c r="AN20" i="21"/>
  <c r="AO32" i="21"/>
  <c r="AN42" i="21"/>
  <c r="AN142" i="21" s="1"/>
  <c r="AO10" i="21"/>
  <c r="AO33" i="21" s="1"/>
  <c r="AO90" i="21" s="1"/>
  <c r="AO111" i="21" s="1"/>
  <c r="AP9" i="21"/>
  <c r="AO13" i="21"/>
  <c r="AO10" i="5"/>
  <c r="AP9" i="5"/>
  <c r="AO13" i="5"/>
  <c r="AO42" i="5"/>
  <c r="AO134" i="5" s="1"/>
  <c r="AM110" i="21"/>
  <c r="AL114" i="21"/>
  <c r="AL119" i="21" s="1"/>
  <c r="AM24" i="5"/>
  <c r="AL49" i="5"/>
  <c r="AL132" i="5"/>
  <c r="AM140" i="21"/>
  <c r="AN141" i="21" s="1"/>
  <c r="AM49" i="21"/>
  <c r="AM38" i="21"/>
  <c r="AN21" i="5"/>
  <c r="AN19" i="5"/>
  <c r="AN14" i="5"/>
  <c r="AN18" i="5"/>
  <c r="AN17" i="5"/>
  <c r="AN15" i="5"/>
  <c r="AN22" i="5"/>
  <c r="AN16" i="5"/>
  <c r="AN20" i="5"/>
  <c r="AN99" i="21"/>
  <c r="AO97" i="21" s="1"/>
  <c r="AS12" i="21"/>
  <c r="AT11" i="21" s="1"/>
  <c r="AT29" i="12"/>
  <c r="AN98" i="10"/>
  <c r="AN102" i="10" s="1"/>
  <c r="AO89" i="10"/>
  <c r="AN101" i="10"/>
  <c r="AN128" i="21"/>
  <c r="AN130" i="21" s="1"/>
  <c r="AN103" i="21"/>
  <c r="AN92" i="21" s="1"/>
  <c r="AQ32" i="10"/>
  <c r="AM103" i="10"/>
  <c r="AM92" i="10" s="1"/>
  <c r="AM134" i="10"/>
  <c r="AM137" i="10" s="1"/>
  <c r="AQ99" i="9"/>
  <c r="AR97" i="9" s="1"/>
  <c r="AM99" i="10"/>
  <c r="AN97" i="10" s="1"/>
  <c r="AO101" i="21"/>
  <c r="AP89" i="21"/>
  <c r="AO98" i="21"/>
  <c r="AO102" i="21" s="1"/>
  <c r="AS30" i="8"/>
  <c r="AR57" i="8"/>
  <c r="AO16" i="8"/>
  <c r="AO20" i="8"/>
  <c r="AO17" i="8"/>
  <c r="AO21" i="8"/>
  <c r="AO19" i="8"/>
  <c r="AO24" i="8"/>
  <c r="AO18" i="8"/>
  <c r="AO14" i="8"/>
  <c r="AO15" i="8"/>
  <c r="AO22" i="8"/>
  <c r="AO110" i="8"/>
  <c r="AO116" i="8" s="1"/>
  <c r="AP10" i="8"/>
  <c r="AP33" i="8" s="1"/>
  <c r="AP90" i="8" s="1"/>
  <c r="AP111" i="8" s="1"/>
  <c r="AQ9" i="8"/>
  <c r="AP13" i="8"/>
  <c r="AN49" i="8"/>
  <c r="AN38" i="8"/>
  <c r="AN144" i="8"/>
  <c r="AO145" i="8" s="1"/>
  <c r="AN116" i="8"/>
  <c r="AP32" i="8"/>
  <c r="AO42" i="8"/>
  <c r="AO146" i="8" s="1"/>
  <c r="AF95" i="12"/>
  <c r="AF95" i="36"/>
  <c r="AR12" i="8"/>
  <c r="AS11" i="8" s="1"/>
  <c r="Y95" i="36"/>
  <c r="Y95" i="12"/>
  <c r="W95" i="36"/>
  <c r="W95" i="12"/>
  <c r="AI95" i="36"/>
  <c r="AI95" i="12"/>
  <c r="AC95" i="36"/>
  <c r="AC95" i="12"/>
  <c r="AG95" i="36"/>
  <c r="AG95" i="12"/>
  <c r="AE95" i="36"/>
  <c r="AE95" i="12"/>
  <c r="AA95" i="12"/>
  <c r="AA95" i="36"/>
  <c r="AJ95" i="36"/>
  <c r="AJ95" i="12"/>
  <c r="AD95" i="12"/>
  <c r="AD95" i="36"/>
  <c r="AK95" i="12"/>
  <c r="AK95" i="36"/>
  <c r="AB95" i="12"/>
  <c r="AB95" i="36"/>
  <c r="AH95" i="36"/>
  <c r="AH95" i="12"/>
  <c r="X95" i="36"/>
  <c r="X95" i="12"/>
  <c r="Z95" i="36"/>
  <c r="Z95" i="12"/>
  <c r="AQ103" i="9"/>
  <c r="AQ92" i="9" s="1"/>
  <c r="AQ129" i="9"/>
  <c r="AQ131" i="9" s="1"/>
  <c r="AP12" i="9"/>
  <c r="AQ11" i="9" s="1"/>
  <c r="AS89" i="9"/>
  <c r="AR98" i="9"/>
  <c r="AR102" i="9" s="1"/>
  <c r="AR101" i="9"/>
  <c r="AV30" i="9"/>
  <c r="AU57" i="9"/>
  <c r="AS30" i="26"/>
  <c r="AR57" i="26"/>
  <c r="AM42" i="26"/>
  <c r="AM144" i="26" s="1"/>
  <c r="AN32" i="26"/>
  <c r="AK122" i="26"/>
  <c r="AL110" i="26"/>
  <c r="AK113" i="26"/>
  <c r="AL38" i="26"/>
  <c r="AL142" i="26"/>
  <c r="AL49" i="26"/>
  <c r="AM89" i="26"/>
  <c r="AP12" i="26"/>
  <c r="AQ11" i="26" s="1"/>
  <c r="AN13" i="26"/>
  <c r="AN10" i="26"/>
  <c r="AN33" i="26" s="1"/>
  <c r="AN90" i="26" s="1"/>
  <c r="AN111" i="26" s="1"/>
  <c r="AO9" i="26"/>
  <c r="AM24" i="26"/>
  <c r="AM22" i="26"/>
  <c r="AM17" i="26"/>
  <c r="AM21" i="26"/>
  <c r="AM16" i="26"/>
  <c r="AM18" i="26"/>
  <c r="AM20" i="26"/>
  <c r="AM14" i="26"/>
  <c r="AM15" i="26"/>
  <c r="AM19" i="26"/>
  <c r="AS30" i="29"/>
  <c r="AR57" i="29"/>
  <c r="AQ103" i="29"/>
  <c r="AQ92" i="29" s="1"/>
  <c r="AS89" i="29"/>
  <c r="AR98" i="29"/>
  <c r="AR102" i="29" s="1"/>
  <c r="AR101" i="29"/>
  <c r="AN89" i="24"/>
  <c r="AM101" i="24"/>
  <c r="AM98" i="24"/>
  <c r="AM102" i="24" s="1"/>
  <c r="AT30" i="24"/>
  <c r="AS57" i="24"/>
  <c r="AL99" i="24"/>
  <c r="AM97" i="24" s="1"/>
  <c r="AL147" i="24"/>
  <c r="AL150" i="24" s="1"/>
  <c r="AL103" i="24"/>
  <c r="AL92" i="24" s="1"/>
  <c r="AU132" i="36" l="1"/>
  <c r="AT160" i="36"/>
  <c r="AH126" i="29"/>
  <c r="AH127" i="29"/>
  <c r="AH128" i="29"/>
  <c r="AI158" i="24"/>
  <c r="AJ159" i="24" s="1"/>
  <c r="AI38" i="24"/>
  <c r="AI49" i="24"/>
  <c r="AL13" i="12"/>
  <c r="AL12" i="12"/>
  <c r="AL17" i="12"/>
  <c r="AL7" i="12"/>
  <c r="AM6" i="12"/>
  <c r="AL8" i="12"/>
  <c r="AK12" i="36"/>
  <c r="AK13" i="36"/>
  <c r="AK8" i="36"/>
  <c r="AL6" i="36"/>
  <c r="AK7" i="36"/>
  <c r="AK17" i="36"/>
  <c r="AK92" i="36"/>
  <c r="AK92" i="12"/>
  <c r="AM9" i="24"/>
  <c r="AL13" i="24"/>
  <c r="AL10" i="24"/>
  <c r="AI118" i="29"/>
  <c r="AI114" i="29"/>
  <c r="AI138" i="29" s="1"/>
  <c r="AJ110" i="29"/>
  <c r="AI113" i="29"/>
  <c r="AI112" i="29"/>
  <c r="AL42" i="10"/>
  <c r="AL149" i="10" s="1"/>
  <c r="AL10" i="10"/>
  <c r="AL33" i="10" s="1"/>
  <c r="AL90" i="10" s="1"/>
  <c r="AL111" i="10" s="1"/>
  <c r="AM9" i="10"/>
  <c r="AL13" i="10"/>
  <c r="AF128" i="10"/>
  <c r="AG39" i="36" s="1"/>
  <c r="AF123" i="9"/>
  <c r="AG114" i="32"/>
  <c r="AH138" i="24"/>
  <c r="AH120" i="24"/>
  <c r="AH122" i="24"/>
  <c r="AH130" i="24"/>
  <c r="AI116" i="12"/>
  <c r="AH121" i="24"/>
  <c r="AH129" i="24"/>
  <c r="AI116" i="36"/>
  <c r="AH123" i="24"/>
  <c r="AK134" i="36"/>
  <c r="AJ192" i="36"/>
  <c r="AA86" i="32"/>
  <c r="AA87" i="32"/>
  <c r="AJ30" i="36"/>
  <c r="AJ89" i="36" s="1"/>
  <c r="AJ112" i="36" s="1"/>
  <c r="AJ135" i="36"/>
  <c r="AJ193" i="36" s="1"/>
  <c r="AK14" i="24"/>
  <c r="AK20" i="24"/>
  <c r="AK22" i="24"/>
  <c r="AK18" i="24"/>
  <c r="AK21" i="24"/>
  <c r="AK16" i="24"/>
  <c r="AK17" i="24"/>
  <c r="AK19" i="24"/>
  <c r="AK15" i="24"/>
  <c r="AH121" i="36"/>
  <c r="AH121" i="12"/>
  <c r="AE142" i="32"/>
  <c r="AE133" i="32"/>
  <c r="AE27" i="32"/>
  <c r="AA52" i="32"/>
  <c r="AK20" i="10"/>
  <c r="AK22" i="10"/>
  <c r="AK18" i="10"/>
  <c r="AK16" i="10"/>
  <c r="AK15" i="10"/>
  <c r="AK17" i="10"/>
  <c r="AK14" i="10"/>
  <c r="AK19" i="10"/>
  <c r="AK21" i="10"/>
  <c r="AJ24" i="29"/>
  <c r="AB36" i="32"/>
  <c r="AB37" i="32" s="1"/>
  <c r="AB84" i="32"/>
  <c r="AI126" i="10"/>
  <c r="AJ110" i="10"/>
  <c r="AI116" i="10"/>
  <c r="AI118" i="10" s="1"/>
  <c r="AI113" i="10"/>
  <c r="AI112" i="10"/>
  <c r="AI38" i="10"/>
  <c r="AI147" i="10"/>
  <c r="AJ148" i="10" s="1"/>
  <c r="AI49" i="10"/>
  <c r="AH91" i="36"/>
  <c r="AH91" i="12"/>
  <c r="AH118" i="36"/>
  <c r="AH118" i="12"/>
  <c r="AH126" i="12"/>
  <c r="AH126" i="36"/>
  <c r="AK18" i="29"/>
  <c r="AK21" i="29"/>
  <c r="AK19" i="29"/>
  <c r="AK22" i="29"/>
  <c r="AK20" i="29"/>
  <c r="AK15" i="29"/>
  <c r="AK16" i="29"/>
  <c r="AK17" i="29"/>
  <c r="AK14" i="29"/>
  <c r="AH109" i="32"/>
  <c r="AG123" i="26" s="1"/>
  <c r="AH110" i="32"/>
  <c r="AH107" i="32"/>
  <c r="AG121" i="21" s="1"/>
  <c r="AG122" i="21" s="1"/>
  <c r="AH66" i="36" s="1"/>
  <c r="AH128" i="32"/>
  <c r="AH130" i="32" s="1"/>
  <c r="AI55" i="12" s="1"/>
  <c r="AI103" i="32"/>
  <c r="AH112" i="32"/>
  <c r="AH106" i="32"/>
  <c r="AH111" i="32"/>
  <c r="AG127" i="10" s="1"/>
  <c r="AG128" i="10" s="1"/>
  <c r="AH39" i="36" s="1"/>
  <c r="AH113" i="32"/>
  <c r="AG139" i="24" s="1"/>
  <c r="AH108" i="32"/>
  <c r="AG124" i="8" s="1"/>
  <c r="AL32" i="24"/>
  <c r="AK42" i="24"/>
  <c r="AK160" i="24" s="1"/>
  <c r="AI113" i="36"/>
  <c r="AI113" i="12"/>
  <c r="AH119" i="10"/>
  <c r="AH125" i="10" s="1"/>
  <c r="AH122" i="10"/>
  <c r="AI156" i="29"/>
  <c r="AJ157" i="29" s="1"/>
  <c r="AI38" i="29"/>
  <c r="AI49" i="29"/>
  <c r="AH119" i="36"/>
  <c r="AH119" i="12"/>
  <c r="AH128" i="36"/>
  <c r="AH128" i="12"/>
  <c r="AL13" i="29"/>
  <c r="AM9" i="29"/>
  <c r="AL10" i="29"/>
  <c r="AC36" i="32"/>
  <c r="AC84" i="32"/>
  <c r="AF130" i="29"/>
  <c r="AL32" i="29"/>
  <c r="AK42" i="29"/>
  <c r="AK158" i="29" s="1"/>
  <c r="AJ24" i="24"/>
  <c r="AK191" i="12"/>
  <c r="AL134" i="12"/>
  <c r="AH127" i="36"/>
  <c r="AH127" i="12"/>
  <c r="AD134" i="32"/>
  <c r="AD28" i="32" s="1"/>
  <c r="AD29" i="32" s="1"/>
  <c r="AD136" i="32"/>
  <c r="AK30" i="12"/>
  <c r="AK89" i="12" s="1"/>
  <c r="AK112" i="12" s="1"/>
  <c r="AK135" i="12"/>
  <c r="AK192" i="12" s="1"/>
  <c r="AJ32" i="12"/>
  <c r="AJ44" i="12"/>
  <c r="AK88" i="12"/>
  <c r="AJ7" i="33"/>
  <c r="AJ30" i="33"/>
  <c r="AJ46" i="33" s="1"/>
  <c r="AK3" i="33"/>
  <c r="AJ4" i="33"/>
  <c r="AJ14" i="33"/>
  <c r="AJ10" i="33" s="1"/>
  <c r="AH120" i="36"/>
  <c r="AH120" i="12"/>
  <c r="AJ88" i="36"/>
  <c r="AI44" i="36"/>
  <c r="AI45" i="36"/>
  <c r="AI32" i="36"/>
  <c r="AI72" i="36"/>
  <c r="AE132" i="29"/>
  <c r="AE135" i="29"/>
  <c r="AI112" i="26"/>
  <c r="AJ110" i="24"/>
  <c r="AI114" i="24"/>
  <c r="AI140" i="24"/>
  <c r="AI118" i="24"/>
  <c r="AI113" i="24"/>
  <c r="AI112" i="24"/>
  <c r="AJ24" i="10"/>
  <c r="AK18" i="36" s="1"/>
  <c r="AI47" i="33"/>
  <c r="AJ112" i="9" s="1"/>
  <c r="AI48" i="33"/>
  <c r="AJ113" i="8" s="1"/>
  <c r="AF124" i="32"/>
  <c r="AG51" i="12"/>
  <c r="AG57" i="12" s="1"/>
  <c r="AH137" i="29"/>
  <c r="AH121" i="29"/>
  <c r="AH122" i="29"/>
  <c r="AI124" i="36"/>
  <c r="AH120" i="29"/>
  <c r="AI124" i="12"/>
  <c r="AO42" i="32"/>
  <c r="AN99" i="10"/>
  <c r="AO97" i="10" s="1"/>
  <c r="AP17" i="32"/>
  <c r="AP138" i="32" s="1"/>
  <c r="AP31" i="32" s="1"/>
  <c r="AO13" i="9"/>
  <c r="AO10" i="9"/>
  <c r="AO33" i="9" s="1"/>
  <c r="AO90" i="9" s="1"/>
  <c r="AO111" i="9" s="1"/>
  <c r="AP9" i="9"/>
  <c r="AN14" i="9"/>
  <c r="AN20" i="9"/>
  <c r="AN19" i="9"/>
  <c r="AN16" i="9"/>
  <c r="AN22" i="9"/>
  <c r="AN18" i="9"/>
  <c r="AN24" i="9"/>
  <c r="AN21" i="9"/>
  <c r="AN17" i="9"/>
  <c r="AN15" i="9"/>
  <c r="AM38" i="9"/>
  <c r="AM139" i="9"/>
  <c r="AN140" i="9" s="1"/>
  <c r="AM49" i="9"/>
  <c r="AP42" i="32"/>
  <c r="AQ9" i="32"/>
  <c r="AP10" i="32"/>
  <c r="AP26" i="32" s="1"/>
  <c r="AP83" i="32" s="1"/>
  <c r="AP104" i="32" s="1"/>
  <c r="AQ13" i="32"/>
  <c r="AQ15" i="32"/>
  <c r="AQ14" i="32"/>
  <c r="AQ12" i="32"/>
  <c r="AR11" i="32" s="1"/>
  <c r="AO32" i="9"/>
  <c r="AN42" i="9"/>
  <c r="AN141" i="9" s="1"/>
  <c r="AN46" i="32"/>
  <c r="AO44" i="32"/>
  <c r="AM110" i="9"/>
  <c r="AL122" i="9"/>
  <c r="AL113" i="9"/>
  <c r="AL38" i="5"/>
  <c r="AM133" i="5"/>
  <c r="AM49" i="5"/>
  <c r="AM132" i="5"/>
  <c r="AM38" i="5" s="1"/>
  <c r="AO21" i="5"/>
  <c r="AO20" i="5"/>
  <c r="AO16" i="5"/>
  <c r="AO15" i="5"/>
  <c r="AO17" i="5"/>
  <c r="AO18" i="5"/>
  <c r="AO14" i="5"/>
  <c r="AO22" i="5"/>
  <c r="AO19" i="5"/>
  <c r="AO15" i="21"/>
  <c r="AO21" i="21"/>
  <c r="AO16" i="21"/>
  <c r="AO19" i="21"/>
  <c r="AO17" i="21"/>
  <c r="AO18" i="21"/>
  <c r="AO14" i="21"/>
  <c r="AO20" i="21"/>
  <c r="AO24" i="21"/>
  <c r="AO22" i="21"/>
  <c r="AP10" i="5"/>
  <c r="AP13" i="5"/>
  <c r="AP42" i="5"/>
  <c r="AP134" i="5" s="1"/>
  <c r="AQ9" i="5"/>
  <c r="AQ9" i="21"/>
  <c r="AP10" i="21"/>
  <c r="AP33" i="21" s="1"/>
  <c r="AP90" i="21" s="1"/>
  <c r="AP111" i="21" s="1"/>
  <c r="AP13" i="21"/>
  <c r="AN24" i="5"/>
  <c r="AN140" i="21"/>
  <c r="AO141" i="21" s="1"/>
  <c r="AN38" i="21"/>
  <c r="AN49" i="21"/>
  <c r="AN110" i="21"/>
  <c r="AM114" i="21"/>
  <c r="AP32" i="21"/>
  <c r="AO42" i="21"/>
  <c r="AO142" i="21" s="1"/>
  <c r="AR32" i="10"/>
  <c r="AU29" i="12"/>
  <c r="AO99" i="21"/>
  <c r="AP97" i="21" s="1"/>
  <c r="AN103" i="10"/>
  <c r="AN92" i="10" s="1"/>
  <c r="AN134" i="10"/>
  <c r="AN137" i="10" s="1"/>
  <c r="AM99" i="24"/>
  <c r="AN97" i="24" s="1"/>
  <c r="AP101" i="21"/>
  <c r="AQ89" i="21"/>
  <c r="AP98" i="21"/>
  <c r="AP102" i="21" s="1"/>
  <c r="AO98" i="10"/>
  <c r="AO102" i="10" s="1"/>
  <c r="AP89" i="10"/>
  <c r="AO101" i="10"/>
  <c r="AO128" i="21"/>
  <c r="AO130" i="21" s="1"/>
  <c r="AO103" i="21"/>
  <c r="AO92" i="21" s="1"/>
  <c r="AT12" i="21"/>
  <c r="AU11" i="21" s="1"/>
  <c r="AO144" i="8"/>
  <c r="AP145" i="8" s="1"/>
  <c r="AO49" i="8"/>
  <c r="AO38" i="8"/>
  <c r="AP15" i="8"/>
  <c r="AP19" i="8"/>
  <c r="AP22" i="8"/>
  <c r="AP24" i="8"/>
  <c r="AP21" i="8"/>
  <c r="AP14" i="8"/>
  <c r="AP17" i="8"/>
  <c r="AP20" i="8"/>
  <c r="AP18" i="8"/>
  <c r="AP16" i="8"/>
  <c r="AP42" i="8"/>
  <c r="AP146" i="8" s="1"/>
  <c r="AQ32" i="8"/>
  <c r="AR9" i="8"/>
  <c r="AQ10" i="8"/>
  <c r="AQ33" i="8" s="1"/>
  <c r="AQ90" i="8" s="1"/>
  <c r="AQ111" i="8" s="1"/>
  <c r="AQ13" i="8"/>
  <c r="AP110" i="8"/>
  <c r="AT30" i="8"/>
  <c r="AS57" i="8"/>
  <c r="AS12" i="8"/>
  <c r="AT11" i="8" s="1"/>
  <c r="AR99" i="9"/>
  <c r="AS97" i="9" s="1"/>
  <c r="AV57" i="9"/>
  <c r="AW30" i="9"/>
  <c r="AW57" i="9" s="1"/>
  <c r="AT89" i="9"/>
  <c r="AS101" i="9"/>
  <c r="AS98" i="9"/>
  <c r="AS102" i="9" s="1"/>
  <c r="AQ12" i="9"/>
  <c r="AR11" i="9" s="1"/>
  <c r="AR103" i="9"/>
  <c r="AR92" i="9" s="1"/>
  <c r="AR129" i="9"/>
  <c r="AR131" i="9" s="1"/>
  <c r="AO13" i="26"/>
  <c r="AP9" i="26"/>
  <c r="AO10" i="26"/>
  <c r="AO33" i="26" s="1"/>
  <c r="AO90" i="26" s="1"/>
  <c r="AO111" i="26" s="1"/>
  <c r="AN24" i="26"/>
  <c r="AN20" i="26"/>
  <c r="AN17" i="26"/>
  <c r="AN21" i="26"/>
  <c r="AN14" i="26"/>
  <c r="AN22" i="26"/>
  <c r="AN15" i="26"/>
  <c r="AN19" i="26"/>
  <c r="AN16" i="26"/>
  <c r="AN18" i="26"/>
  <c r="AN42" i="26"/>
  <c r="AN144" i="26" s="1"/>
  <c r="AO32" i="26"/>
  <c r="AM142" i="26"/>
  <c r="AM38" i="26"/>
  <c r="AM49" i="26"/>
  <c r="AQ12" i="26"/>
  <c r="AR11" i="26" s="1"/>
  <c r="AN89" i="26"/>
  <c r="AL122" i="26"/>
  <c r="AM110" i="26"/>
  <c r="AL113" i="26"/>
  <c r="AT30" i="26"/>
  <c r="AS57" i="26"/>
  <c r="AS57" i="29"/>
  <c r="AT30" i="29"/>
  <c r="AR99" i="29"/>
  <c r="AS97" i="29" s="1"/>
  <c r="AR103" i="29"/>
  <c r="AR92" i="29" s="1"/>
  <c r="AT89" i="29"/>
  <c r="AS98" i="29"/>
  <c r="AS102" i="29" s="1"/>
  <c r="AS101" i="29"/>
  <c r="AU30" i="24"/>
  <c r="AT57" i="24"/>
  <c r="AM147" i="24"/>
  <c r="AM150" i="24" s="1"/>
  <c r="AM103" i="24"/>
  <c r="AM92" i="24" s="1"/>
  <c r="AO89" i="24"/>
  <c r="AN98" i="24"/>
  <c r="AN102" i="24" s="1"/>
  <c r="AN101" i="24"/>
  <c r="AU160" i="36" l="1"/>
  <c r="AV132" i="36"/>
  <c r="AI126" i="29"/>
  <c r="AI127" i="29"/>
  <c r="AI128" i="29"/>
  <c r="AG130" i="29"/>
  <c r="AD33" i="32"/>
  <c r="AD40" i="32"/>
  <c r="AD47" i="32" s="1"/>
  <c r="AL95" i="12"/>
  <c r="AL95" i="36"/>
  <c r="AN9" i="29"/>
  <c r="AM13" i="29"/>
  <c r="AM10" i="29"/>
  <c r="AM32" i="24"/>
  <c r="AL42" i="24"/>
  <c r="AL160" i="24" s="1"/>
  <c r="AG123" i="9"/>
  <c r="AH114" i="32"/>
  <c r="AG132" i="29"/>
  <c r="AG135" i="29"/>
  <c r="AB86" i="32"/>
  <c r="AB87" i="32"/>
  <c r="AM42" i="10"/>
  <c r="AM149" i="10" s="1"/>
  <c r="AM10" i="10"/>
  <c r="AM33" i="10" s="1"/>
  <c r="AM90" i="10" s="1"/>
  <c r="AM111" i="10" s="1"/>
  <c r="AM13" i="10"/>
  <c r="AN9" i="10"/>
  <c r="AJ158" i="24"/>
  <c r="AK159" i="24" s="1"/>
  <c r="AJ49" i="24"/>
  <c r="AJ38" i="24"/>
  <c r="AL19" i="29"/>
  <c r="AL20" i="29"/>
  <c r="AL14" i="29"/>
  <c r="AL15" i="29"/>
  <c r="AL17" i="29"/>
  <c r="AL21" i="29"/>
  <c r="AL22" i="29"/>
  <c r="AL18" i="29"/>
  <c r="AL16" i="29"/>
  <c r="AH121" i="21"/>
  <c r="AH122" i="21" s="1"/>
  <c r="AI66" i="36" s="1"/>
  <c r="AB51" i="32"/>
  <c r="AB52" i="32" s="1"/>
  <c r="AC37" i="32"/>
  <c r="AC51" i="32" s="1"/>
  <c r="AI120" i="12"/>
  <c r="AI120" i="36"/>
  <c r="AL21" i="24"/>
  <c r="AL14" i="24"/>
  <c r="AL19" i="24"/>
  <c r="AL15" i="24"/>
  <c r="AL16" i="24"/>
  <c r="AL17" i="24"/>
  <c r="AL22" i="24"/>
  <c r="AL18" i="24"/>
  <c r="AL20" i="24"/>
  <c r="AJ140" i="24"/>
  <c r="AJ113" i="24"/>
  <c r="AJ112" i="24"/>
  <c r="AJ118" i="24"/>
  <c r="AK110" i="24"/>
  <c r="AJ114" i="24"/>
  <c r="AK7" i="33"/>
  <c r="AK30" i="33"/>
  <c r="AK46" i="33" s="1"/>
  <c r="AK4" i="33"/>
  <c r="AK14" i="33"/>
  <c r="AK10" i="33" s="1"/>
  <c r="AL3" i="33"/>
  <c r="AH139" i="24"/>
  <c r="AI106" i="32"/>
  <c r="AJ103" i="32"/>
  <c r="AI128" i="32"/>
  <c r="AI130" i="32" s="1"/>
  <c r="AJ55" i="12" s="1"/>
  <c r="AI111" i="32"/>
  <c r="AH127" i="10" s="1"/>
  <c r="AH128" i="10" s="1"/>
  <c r="AI39" i="36" s="1"/>
  <c r="AI109" i="32"/>
  <c r="AH123" i="26" s="1"/>
  <c r="AI113" i="32"/>
  <c r="AI112" i="32"/>
  <c r="AI108" i="32"/>
  <c r="AI110" i="32"/>
  <c r="AI107" i="32"/>
  <c r="AH6" i="33"/>
  <c r="AJ156" i="29"/>
  <c r="AK157" i="29" s="1"/>
  <c r="AJ38" i="29"/>
  <c r="AJ49" i="29"/>
  <c r="AK192" i="36"/>
  <c r="AL134" i="36"/>
  <c r="AI118" i="36"/>
  <c r="AI118" i="12"/>
  <c r="AM10" i="24"/>
  <c r="AN9" i="24"/>
  <c r="AM13" i="24"/>
  <c r="AF142" i="32"/>
  <c r="AF133" i="32"/>
  <c r="AF27" i="32"/>
  <c r="AJ112" i="29"/>
  <c r="AJ112" i="21"/>
  <c r="AJ112" i="8"/>
  <c r="AK88" i="36"/>
  <c r="AJ44" i="36"/>
  <c r="AJ32" i="36"/>
  <c r="AJ45" i="36"/>
  <c r="AJ72" i="36"/>
  <c r="AJ47" i="33"/>
  <c r="AJ48" i="33"/>
  <c r="AK113" i="8" s="1"/>
  <c r="AK112" i="9"/>
  <c r="AK112" i="26"/>
  <c r="AM32" i="29"/>
  <c r="AL42" i="29"/>
  <c r="AL158" i="29" s="1"/>
  <c r="AI121" i="12"/>
  <c r="AI121" i="36"/>
  <c r="AI126" i="36"/>
  <c r="AI126" i="12"/>
  <c r="AK13" i="33"/>
  <c r="AI128" i="12"/>
  <c r="AI128" i="36"/>
  <c r="AJ49" i="10"/>
  <c r="AJ147" i="10"/>
  <c r="AK148" i="10" s="1"/>
  <c r="AJ38" i="10"/>
  <c r="AL92" i="36"/>
  <c r="AL92" i="12"/>
  <c r="AF132" i="29"/>
  <c r="AF135" i="29"/>
  <c r="AH124" i="8"/>
  <c r="AK24" i="24"/>
  <c r="AG124" i="32"/>
  <c r="AH51" i="12"/>
  <c r="AH57" i="12" s="1"/>
  <c r="AI127" i="12"/>
  <c r="AI127" i="36"/>
  <c r="AK32" i="12"/>
  <c r="AL88" i="12"/>
  <c r="AK44" i="12"/>
  <c r="AC86" i="32"/>
  <c r="AC87" i="32"/>
  <c r="AJ113" i="12"/>
  <c r="AJ113" i="36"/>
  <c r="AI119" i="10"/>
  <c r="AI125" i="10" s="1"/>
  <c r="AI122" i="10"/>
  <c r="AK24" i="10"/>
  <c r="AA54" i="32"/>
  <c r="AA53" i="32"/>
  <c r="AK110" i="29"/>
  <c r="AJ114" i="29"/>
  <c r="AJ138" i="29" s="1"/>
  <c r="AJ118" i="29"/>
  <c r="AJ113" i="29"/>
  <c r="AM12" i="12"/>
  <c r="AM13" i="12"/>
  <c r="AM7" i="12"/>
  <c r="AN6" i="12"/>
  <c r="AM17" i="12"/>
  <c r="AM8" i="12"/>
  <c r="AJ112" i="26"/>
  <c r="AK110" i="10"/>
  <c r="AJ126" i="10"/>
  <c r="AJ116" i="10"/>
  <c r="AJ112" i="10"/>
  <c r="AJ113" i="10"/>
  <c r="AI119" i="36"/>
  <c r="AI119" i="12"/>
  <c r="AK135" i="36"/>
  <c r="AK193" i="36" s="1"/>
  <c r="AK30" i="36"/>
  <c r="AK89" i="36" s="1"/>
  <c r="AK112" i="36" s="1"/>
  <c r="AL30" i="12"/>
  <c r="AL89" i="12" s="1"/>
  <c r="AL112" i="12" s="1"/>
  <c r="AL135" i="12"/>
  <c r="AL192" i="12" s="1"/>
  <c r="AK112" i="8"/>
  <c r="AI138" i="24"/>
  <c r="AI130" i="24"/>
  <c r="AI123" i="24"/>
  <c r="AI121" i="24"/>
  <c r="AI122" i="24"/>
  <c r="AJ116" i="12"/>
  <c r="AI120" i="24"/>
  <c r="AJ116" i="36"/>
  <c r="AI129" i="24"/>
  <c r="AM134" i="12"/>
  <c r="AL191" i="12"/>
  <c r="AK24" i="29"/>
  <c r="AE134" i="32"/>
  <c r="AE28" i="32" s="1"/>
  <c r="AE29" i="32" s="1"/>
  <c r="AL17" i="10"/>
  <c r="AL14" i="10"/>
  <c r="AL24" i="10" s="1"/>
  <c r="AL20" i="10"/>
  <c r="AL22" i="10"/>
  <c r="AL21" i="10"/>
  <c r="AL15" i="10"/>
  <c r="AL19" i="10"/>
  <c r="AL16" i="10"/>
  <c r="AL18" i="10"/>
  <c r="AI137" i="29"/>
  <c r="AJ124" i="36"/>
  <c r="AI121" i="29"/>
  <c r="AJ124" i="12"/>
  <c r="AI122" i="29"/>
  <c r="AI120" i="29"/>
  <c r="AL12" i="36"/>
  <c r="AL13" i="36"/>
  <c r="AL8" i="36"/>
  <c r="AL17" i="36"/>
  <c r="AL7" i="36"/>
  <c r="AM6" i="36"/>
  <c r="AN133" i="5"/>
  <c r="AP99" i="21"/>
  <c r="AN99" i="24"/>
  <c r="AO97" i="24" s="1"/>
  <c r="AS103" i="29"/>
  <c r="AS92" i="29" s="1"/>
  <c r="AO99" i="10"/>
  <c r="AP97" i="10" s="1"/>
  <c r="AO24" i="5"/>
  <c r="AO49" i="5" s="1"/>
  <c r="AP13" i="9"/>
  <c r="AP10" i="9"/>
  <c r="AP33" i="9" s="1"/>
  <c r="AP90" i="9" s="1"/>
  <c r="AP111" i="9" s="1"/>
  <c r="AQ9" i="9"/>
  <c r="AP32" i="9"/>
  <c r="AO42" i="9"/>
  <c r="AO141" i="9" s="1"/>
  <c r="AR13" i="32"/>
  <c r="AR15" i="32"/>
  <c r="AR14" i="32"/>
  <c r="AR12" i="32"/>
  <c r="AS11" i="32" s="1"/>
  <c r="AQ10" i="32"/>
  <c r="AQ26" i="32" s="1"/>
  <c r="AQ83" i="32" s="1"/>
  <c r="AQ104" i="32" s="1"/>
  <c r="AR9" i="32"/>
  <c r="AO21" i="9"/>
  <c r="AO18" i="9"/>
  <c r="AO20" i="9"/>
  <c r="AO16" i="9"/>
  <c r="AO17" i="9"/>
  <c r="AO14" i="9"/>
  <c r="AO24" i="9"/>
  <c r="AO19" i="9"/>
  <c r="AO15" i="9"/>
  <c r="AO22" i="9"/>
  <c r="AN139" i="9"/>
  <c r="AO140" i="9" s="1"/>
  <c r="AN49" i="9"/>
  <c r="AN38" i="9"/>
  <c r="AN110" i="9"/>
  <c r="AM113" i="9"/>
  <c r="AM122" i="9"/>
  <c r="AP44" i="32"/>
  <c r="AO46" i="32"/>
  <c r="AQ17" i="32"/>
  <c r="AQ10" i="21"/>
  <c r="AQ33" i="21" s="1"/>
  <c r="AQ90" i="21" s="1"/>
  <c r="AQ111" i="21" s="1"/>
  <c r="AR9" i="21"/>
  <c r="AQ13" i="21"/>
  <c r="AM119" i="21"/>
  <c r="AL13" i="33"/>
  <c r="AO110" i="21"/>
  <c r="AN114" i="21"/>
  <c r="AQ13" i="5"/>
  <c r="AR9" i="5"/>
  <c r="AQ10" i="5"/>
  <c r="AQ42" i="5"/>
  <c r="AQ134" i="5" s="1"/>
  <c r="AN49" i="5"/>
  <c r="AN132" i="5"/>
  <c r="AQ32" i="21"/>
  <c r="AP42" i="21"/>
  <c r="AP142" i="21" s="1"/>
  <c r="AP22" i="5"/>
  <c r="AP21" i="5"/>
  <c r="AP18" i="5"/>
  <c r="AP16" i="5"/>
  <c r="AP14" i="5"/>
  <c r="AP17" i="5"/>
  <c r="AP19" i="5"/>
  <c r="AP20" i="5"/>
  <c r="AP15" i="5"/>
  <c r="AO140" i="21"/>
  <c r="AP141" i="21" s="1"/>
  <c r="AO49" i="21"/>
  <c r="AO38" i="21"/>
  <c r="AP20" i="21"/>
  <c r="AP21" i="21"/>
  <c r="AP17" i="21"/>
  <c r="AP19" i="21"/>
  <c r="AP24" i="21"/>
  <c r="AP14" i="21"/>
  <c r="AP22" i="21"/>
  <c r="AP15" i="21"/>
  <c r="AP16" i="21"/>
  <c r="AP18" i="21"/>
  <c r="AS99" i="29"/>
  <c r="AT97" i="29" s="1"/>
  <c r="AV29" i="12"/>
  <c r="AQ101" i="21"/>
  <c r="AR89" i="21"/>
  <c r="AQ98" i="21"/>
  <c r="AQ102" i="21" s="1"/>
  <c r="AQ97" i="21"/>
  <c r="AP128" i="21"/>
  <c r="AP130" i="21" s="1"/>
  <c r="AP103" i="21"/>
  <c r="AP92" i="21" s="1"/>
  <c r="AU12" i="21"/>
  <c r="AV11" i="21" s="1"/>
  <c r="AO103" i="10"/>
  <c r="AO92" i="10" s="1"/>
  <c r="AO134" i="10"/>
  <c r="AO137" i="10" s="1"/>
  <c r="AS32" i="10"/>
  <c r="AP101" i="10"/>
  <c r="AP98" i="10"/>
  <c r="AP102" i="10" s="1"/>
  <c r="AQ89" i="10"/>
  <c r="AQ110" i="8"/>
  <c r="AQ116" i="8" s="1"/>
  <c r="AQ17" i="8"/>
  <c r="AQ16" i="8"/>
  <c r="AQ18" i="8"/>
  <c r="AQ19" i="8"/>
  <c r="AQ14" i="8"/>
  <c r="AQ21" i="8"/>
  <c r="AQ20" i="8"/>
  <c r="AQ22" i="8"/>
  <c r="AQ24" i="8"/>
  <c r="AQ15" i="8"/>
  <c r="AU30" i="8"/>
  <c r="AT57" i="8"/>
  <c r="AP116" i="8"/>
  <c r="AR10" i="8"/>
  <c r="AR33" i="8" s="1"/>
  <c r="AR90" i="8" s="1"/>
  <c r="AR111" i="8" s="1"/>
  <c r="AS9" i="8"/>
  <c r="AR13" i="8"/>
  <c r="AQ42" i="8"/>
  <c r="AQ146" i="8" s="1"/>
  <c r="AR32" i="8"/>
  <c r="AP144" i="8"/>
  <c r="AQ145" i="8" s="1"/>
  <c r="AP49" i="8"/>
  <c r="AP38" i="8"/>
  <c r="AT12" i="8"/>
  <c r="AU11" i="8" s="1"/>
  <c r="AS129" i="9"/>
  <c r="AS131" i="9" s="1"/>
  <c r="AS103" i="9"/>
  <c r="AS92" i="9" s="1"/>
  <c r="AR12" i="9"/>
  <c r="AS11" i="9" s="1"/>
  <c r="AS99" i="9"/>
  <c r="AT97" i="9" s="1"/>
  <c r="AU89" i="9"/>
  <c r="AT101" i="9"/>
  <c r="AT98" i="9"/>
  <c r="AT102" i="9" s="1"/>
  <c r="AO42" i="26"/>
  <c r="AO144" i="26" s="1"/>
  <c r="AP32" i="26"/>
  <c r="AR12" i="26"/>
  <c r="AS11" i="26" s="1"/>
  <c r="AO89" i="26"/>
  <c r="AM122" i="26"/>
  <c r="AN110" i="26"/>
  <c r="AM113" i="26"/>
  <c r="AN38" i="26"/>
  <c r="AN142" i="26"/>
  <c r="AN49" i="26"/>
  <c r="AP13" i="26"/>
  <c r="AP10" i="26"/>
  <c r="AP33" i="26" s="1"/>
  <c r="AP90" i="26" s="1"/>
  <c r="AP111" i="26" s="1"/>
  <c r="AQ9" i="26"/>
  <c r="AU30" i="26"/>
  <c r="AT57" i="26"/>
  <c r="AO24" i="26"/>
  <c r="AO20" i="26"/>
  <c r="AO22" i="26"/>
  <c r="AO21" i="26"/>
  <c r="AO15" i="26"/>
  <c r="AO18" i="26"/>
  <c r="AO16" i="26"/>
  <c r="AO17" i="26"/>
  <c r="AO14" i="26"/>
  <c r="AO19" i="26"/>
  <c r="AU30" i="29"/>
  <c r="AT57" i="29"/>
  <c r="AU89" i="29"/>
  <c r="AT101" i="29"/>
  <c r="AT98" i="29"/>
  <c r="AT102" i="29" s="1"/>
  <c r="AP89" i="24"/>
  <c r="AO101" i="24"/>
  <c r="AO98" i="24"/>
  <c r="AO102" i="24" s="1"/>
  <c r="AV30" i="24"/>
  <c r="AU57" i="24"/>
  <c r="AN147" i="24"/>
  <c r="AN150" i="24" s="1"/>
  <c r="AN103" i="24"/>
  <c r="AN92" i="24" s="1"/>
  <c r="AW132" i="36" l="1"/>
  <c r="AV160" i="36"/>
  <c r="AJ126" i="29"/>
  <c r="AJ127" i="29"/>
  <c r="AJ128" i="29"/>
  <c r="AH130" i="29"/>
  <c r="AM135" i="12"/>
  <c r="AM192" i="12" s="1"/>
  <c r="AM30" i="12"/>
  <c r="AM89" i="12" s="1"/>
  <c r="AM112" i="12" s="1"/>
  <c r="AK38" i="24"/>
  <c r="AK49" i="24"/>
  <c r="AK158" i="24"/>
  <c r="AL159" i="24" s="1"/>
  <c r="AO9" i="24"/>
  <c r="AN13" i="24"/>
  <c r="AN10" i="24"/>
  <c r="AN12" i="12"/>
  <c r="AN17" i="12"/>
  <c r="AN13" i="12"/>
  <c r="AO6" i="12"/>
  <c r="AN8" i="12"/>
  <c r="AN7" i="12"/>
  <c r="AG133" i="32"/>
  <c r="AG142" i="32"/>
  <c r="AG27" i="32"/>
  <c r="AM15" i="24"/>
  <c r="AM16" i="24"/>
  <c r="AM20" i="24"/>
  <c r="AM19" i="24"/>
  <c r="AM14" i="24"/>
  <c r="AM21" i="24"/>
  <c r="AM22" i="24"/>
  <c r="AM17" i="24"/>
  <c r="AM18" i="24"/>
  <c r="AL7" i="33"/>
  <c r="AL30" i="33"/>
  <c r="AL46" i="33" s="1"/>
  <c r="AL14" i="33"/>
  <c r="AL10" i="33" s="1"/>
  <c r="AL4" i="33"/>
  <c r="AM3" i="33"/>
  <c r="AN32" i="24"/>
  <c r="AM42" i="24"/>
  <c r="AM160" i="24" s="1"/>
  <c r="AH132" i="29"/>
  <c r="AH135" i="29"/>
  <c r="AK44" i="36"/>
  <c r="AK72" i="36"/>
  <c r="AK32" i="36"/>
  <c r="AK45" i="36"/>
  <c r="AL88" i="36"/>
  <c r="AM95" i="36"/>
  <c r="AM95" i="12"/>
  <c r="AJ118" i="36"/>
  <c r="AJ118" i="12"/>
  <c r="AJ118" i="10"/>
  <c r="AI6" i="33"/>
  <c r="AK147" i="10"/>
  <c r="AL148" i="10" s="1"/>
  <c r="AK49" i="10"/>
  <c r="AK38" i="10"/>
  <c r="AM88" i="12"/>
  <c r="AL32" i="12"/>
  <c r="AL44" i="12"/>
  <c r="AJ91" i="12"/>
  <c r="AJ91" i="36"/>
  <c r="AL24" i="24"/>
  <c r="AM14" i="29"/>
  <c r="AM17" i="29"/>
  <c r="AM19" i="29"/>
  <c r="AM15" i="29"/>
  <c r="AM18" i="29"/>
  <c r="AM20" i="29"/>
  <c r="AM16" i="29"/>
  <c r="AM21" i="29"/>
  <c r="AM22" i="29"/>
  <c r="AM18" i="36"/>
  <c r="AL38" i="10"/>
  <c r="AL49" i="10"/>
  <c r="AL147" i="10"/>
  <c r="AM148" i="10" s="1"/>
  <c r="AE136" i="32"/>
  <c r="AK47" i="33"/>
  <c r="AK48" i="33"/>
  <c r="AL113" i="8" s="1"/>
  <c r="AO9" i="29"/>
  <c r="AN13" i="29"/>
  <c r="AN10" i="29"/>
  <c r="AK112" i="10"/>
  <c r="AK112" i="21"/>
  <c r="AJ113" i="32"/>
  <c r="AI139" i="24" s="1"/>
  <c r="AJ128" i="32"/>
  <c r="AJ130" i="32" s="1"/>
  <c r="AJ112" i="32"/>
  <c r="AJ111" i="32"/>
  <c r="AI127" i="10" s="1"/>
  <c r="AI128" i="10" s="1"/>
  <c r="AJ39" i="36" s="1"/>
  <c r="AJ108" i="32"/>
  <c r="AI124" i="8" s="1"/>
  <c r="AJ106" i="32"/>
  <c r="AJ109" i="32"/>
  <c r="AI123" i="26" s="1"/>
  <c r="AJ107" i="32"/>
  <c r="AI121" i="21" s="1"/>
  <c r="AI122" i="21" s="1"/>
  <c r="AJ66" i="36" s="1"/>
  <c r="AK103" i="32"/>
  <c r="AJ110" i="32"/>
  <c r="AM92" i="36"/>
  <c r="AM92" i="12"/>
  <c r="AJ126" i="36"/>
  <c r="AJ126" i="12"/>
  <c r="AE33" i="32"/>
  <c r="AE40" i="32"/>
  <c r="AE47" i="32" s="1"/>
  <c r="AJ120" i="36"/>
  <c r="AJ120" i="12"/>
  <c r="AL110" i="10"/>
  <c r="AK116" i="10"/>
  <c r="AK118" i="10" s="1"/>
  <c r="AK126" i="10"/>
  <c r="AK113" i="10"/>
  <c r="AJ128" i="36"/>
  <c r="AJ128" i="12"/>
  <c r="AK38" i="29"/>
  <c r="AK49" i="29"/>
  <c r="AK156" i="29"/>
  <c r="AL157" i="29" s="1"/>
  <c r="AJ119" i="12"/>
  <c r="AJ119" i="36"/>
  <c r="AJ137" i="29"/>
  <c r="AJ122" i="29"/>
  <c r="AJ120" i="29"/>
  <c r="AK124" i="36"/>
  <c r="AK124" i="12"/>
  <c r="AJ121" i="29"/>
  <c r="AN32" i="29"/>
  <c r="AM42" i="29"/>
  <c r="AM158" i="29" s="1"/>
  <c r="AL192" i="36"/>
  <c r="AM134" i="36"/>
  <c r="AH123" i="9"/>
  <c r="AI114" i="32"/>
  <c r="AN42" i="10"/>
  <c r="AN149" i="10" s="1"/>
  <c r="AO9" i="10"/>
  <c r="AN10" i="10"/>
  <c r="AN33" i="10" s="1"/>
  <c r="AN90" i="10" s="1"/>
  <c r="AN111" i="10" s="1"/>
  <c r="AN13" i="10"/>
  <c r="AH124" i="32"/>
  <c r="AI51" i="12"/>
  <c r="AI57" i="12" s="1"/>
  <c r="AM12" i="36"/>
  <c r="AM17" i="36"/>
  <c r="AM8" i="36"/>
  <c r="AN6" i="36"/>
  <c r="AM7" i="36"/>
  <c r="AM13" i="36"/>
  <c r="AJ121" i="12"/>
  <c r="AJ121" i="36"/>
  <c r="AF134" i="32"/>
  <c r="AF28" i="32" s="1"/>
  <c r="AF29" i="32" s="1"/>
  <c r="AK113" i="24"/>
  <c r="AK112" i="24"/>
  <c r="AK140" i="24"/>
  <c r="AK114" i="24"/>
  <c r="AL110" i="24"/>
  <c r="AK118" i="24"/>
  <c r="AC52" i="32"/>
  <c r="AM20" i="10"/>
  <c r="AM21" i="10"/>
  <c r="AM16" i="10"/>
  <c r="AM14" i="10"/>
  <c r="AM17" i="10"/>
  <c r="AM22" i="10"/>
  <c r="AM19" i="10"/>
  <c r="AM18" i="10"/>
  <c r="AM15" i="10"/>
  <c r="AL135" i="36"/>
  <c r="AL193" i="36" s="1"/>
  <c r="AL30" i="36"/>
  <c r="AL89" i="36" s="1"/>
  <c r="AL112" i="36" s="1"/>
  <c r="AJ127" i="12"/>
  <c r="AJ127" i="36"/>
  <c r="AM191" i="12"/>
  <c r="AN134" i="12"/>
  <c r="AK114" i="29"/>
  <c r="AK138" i="29" s="1"/>
  <c r="AK118" i="29"/>
  <c r="AL110" i="29"/>
  <c r="AK112" i="29"/>
  <c r="AK113" i="29"/>
  <c r="AJ138" i="24"/>
  <c r="AK116" i="36"/>
  <c r="AJ122" i="24"/>
  <c r="AJ120" i="24"/>
  <c r="AJ121" i="24"/>
  <c r="AK116" i="12"/>
  <c r="AJ129" i="24"/>
  <c r="AJ130" i="24"/>
  <c r="AJ123" i="24"/>
  <c r="AB53" i="32"/>
  <c r="AB54" i="32"/>
  <c r="AL24" i="29"/>
  <c r="AD84" i="32"/>
  <c r="AD36" i="32"/>
  <c r="AD37" i="32" s="1"/>
  <c r="AD51" i="32" s="1"/>
  <c r="AD52" i="32" s="1"/>
  <c r="AO132" i="5"/>
  <c r="AO38" i="5" s="1"/>
  <c r="AQ138" i="32"/>
  <c r="AQ31" i="32" s="1"/>
  <c r="AQ42" i="32"/>
  <c r="AQ44" i="32" s="1"/>
  <c r="AN122" i="9"/>
  <c r="AO110" i="9"/>
  <c r="AN113" i="9"/>
  <c r="AP19" i="9"/>
  <c r="AP20" i="9"/>
  <c r="AP15" i="9"/>
  <c r="AP21" i="9"/>
  <c r="AP16" i="9"/>
  <c r="AP24" i="9"/>
  <c r="AP22" i="9"/>
  <c r="AP18" i="9"/>
  <c r="AP17" i="9"/>
  <c r="AP14" i="9"/>
  <c r="AR17" i="32"/>
  <c r="AS9" i="32"/>
  <c r="AR10" i="32"/>
  <c r="AR26" i="32" s="1"/>
  <c r="AR83" i="32" s="1"/>
  <c r="AR104" i="32" s="1"/>
  <c r="AO38" i="9"/>
  <c r="AO49" i="9"/>
  <c r="AO139" i="9"/>
  <c r="AP140" i="9" s="1"/>
  <c r="AQ32" i="9"/>
  <c r="AP42" i="9"/>
  <c r="AP141" i="9" s="1"/>
  <c r="AP46" i="32"/>
  <c r="AS15" i="32"/>
  <c r="AS12" i="32"/>
  <c r="AT11" i="32" s="1"/>
  <c r="AS14" i="32"/>
  <c r="AS13" i="32"/>
  <c r="AQ10" i="9"/>
  <c r="AQ33" i="9" s="1"/>
  <c r="AQ90" i="9" s="1"/>
  <c r="AQ111" i="9" s="1"/>
  <c r="AR9" i="9"/>
  <c r="AQ13" i="9"/>
  <c r="AP140" i="21"/>
  <c r="AQ141" i="21" s="1"/>
  <c r="AP38" i="21"/>
  <c r="AP49" i="21"/>
  <c r="AN119" i="21"/>
  <c r="AQ19" i="21"/>
  <c r="AQ24" i="21"/>
  <c r="AQ22" i="21"/>
  <c r="AQ16" i="21"/>
  <c r="AQ14" i="21"/>
  <c r="AQ21" i="21"/>
  <c r="AQ15" i="21"/>
  <c r="AQ17" i="21"/>
  <c r="AQ18" i="21"/>
  <c r="AQ20" i="21"/>
  <c r="AR13" i="21"/>
  <c r="AR10" i="21"/>
  <c r="AR33" i="21" s="1"/>
  <c r="AR90" i="21" s="1"/>
  <c r="AR111" i="21" s="1"/>
  <c r="AS9" i="21"/>
  <c r="AN38" i="5"/>
  <c r="AO133" i="5"/>
  <c r="AP133" i="5" s="1"/>
  <c r="AO114" i="21"/>
  <c r="AP110" i="21"/>
  <c r="AS9" i="5"/>
  <c r="AR10" i="5"/>
  <c r="AR13" i="5"/>
  <c r="AR42" i="5"/>
  <c r="AR134" i="5" s="1"/>
  <c r="AR32" i="21"/>
  <c r="AQ42" i="21"/>
  <c r="AQ142" i="21" s="1"/>
  <c r="AQ18" i="5"/>
  <c r="AQ15" i="5"/>
  <c r="AQ16" i="5"/>
  <c r="AQ19" i="5"/>
  <c r="AQ20" i="5"/>
  <c r="AQ14" i="5"/>
  <c r="AQ17" i="5"/>
  <c r="AQ21" i="5"/>
  <c r="AQ22" i="5"/>
  <c r="AP24" i="5"/>
  <c r="AO99" i="24"/>
  <c r="AP97" i="24" s="1"/>
  <c r="AP99" i="10"/>
  <c r="AQ97" i="10" s="1"/>
  <c r="AQ98" i="10"/>
  <c r="AQ102" i="10" s="1"/>
  <c r="AQ101" i="10"/>
  <c r="AR89" i="10"/>
  <c r="AQ99" i="21"/>
  <c r="AR97" i="21" s="1"/>
  <c r="AW29" i="12"/>
  <c r="AP103" i="10"/>
  <c r="AP92" i="10" s="1"/>
  <c r="AP134" i="10"/>
  <c r="AP137" i="10" s="1"/>
  <c r="AR101" i="21"/>
  <c r="AS89" i="21"/>
  <c r="AR98" i="21"/>
  <c r="AR102" i="21" s="1"/>
  <c r="AV12" i="21"/>
  <c r="AW11" i="21" s="1"/>
  <c r="AQ128" i="21"/>
  <c r="AQ130" i="21" s="1"/>
  <c r="AQ103" i="21"/>
  <c r="AQ92" i="21" s="1"/>
  <c r="AT32" i="10"/>
  <c r="AR16" i="8"/>
  <c r="AR24" i="8"/>
  <c r="AR20" i="8"/>
  <c r="AR22" i="8"/>
  <c r="AR19" i="8"/>
  <c r="AR18" i="8"/>
  <c r="AR17" i="8"/>
  <c r="AR15" i="8"/>
  <c r="AR14" i="8"/>
  <c r="AR21" i="8"/>
  <c r="AS10" i="8"/>
  <c r="AS33" i="8" s="1"/>
  <c r="AS90" i="8" s="1"/>
  <c r="AS111" i="8" s="1"/>
  <c r="AT9" i="8"/>
  <c r="AS13" i="8"/>
  <c r="AQ49" i="8"/>
  <c r="AQ38" i="8"/>
  <c r="AQ144" i="8"/>
  <c r="AR145" i="8" s="1"/>
  <c r="AV30" i="8"/>
  <c r="AU57" i="8"/>
  <c r="AS32" i="8"/>
  <c r="AR42" i="8"/>
  <c r="AR146" i="8" s="1"/>
  <c r="AR110" i="8"/>
  <c r="AU12" i="8"/>
  <c r="AV11" i="8" s="1"/>
  <c r="AS12" i="9"/>
  <c r="AT11" i="9" s="1"/>
  <c r="AT129" i="9"/>
  <c r="AT131" i="9" s="1"/>
  <c r="AT103" i="9"/>
  <c r="AT92" i="9" s="1"/>
  <c r="AT99" i="9"/>
  <c r="AU97" i="9" s="1"/>
  <c r="AU101" i="9"/>
  <c r="AU98" i="9"/>
  <c r="AU102" i="9" s="1"/>
  <c r="AV89" i="9"/>
  <c r="AO38" i="26"/>
  <c r="AO142" i="26"/>
  <c r="AO49" i="26"/>
  <c r="AV30" i="26"/>
  <c r="AU57" i="26"/>
  <c r="AP89" i="26"/>
  <c r="AQ13" i="26"/>
  <c r="AQ10" i="26"/>
  <c r="AQ33" i="26" s="1"/>
  <c r="AQ90" i="26" s="1"/>
  <c r="AQ111" i="26" s="1"/>
  <c r="AR9" i="26"/>
  <c r="AS12" i="26"/>
  <c r="AT11" i="26" s="1"/>
  <c r="AN122" i="26"/>
  <c r="AO110" i="26"/>
  <c r="AN113" i="26"/>
  <c r="AP24" i="26"/>
  <c r="AP20" i="26"/>
  <c r="AP17" i="26"/>
  <c r="AP22" i="26"/>
  <c r="AP14" i="26"/>
  <c r="AP18" i="26"/>
  <c r="AP21" i="26"/>
  <c r="AP19" i="26"/>
  <c r="AP15" i="26"/>
  <c r="AP16" i="26"/>
  <c r="AP42" i="26"/>
  <c r="AP144" i="26" s="1"/>
  <c r="AQ32" i="26"/>
  <c r="AU57" i="29"/>
  <c r="AV30" i="29"/>
  <c r="AT99" i="29"/>
  <c r="AU97" i="29" s="1"/>
  <c r="AT103" i="29"/>
  <c r="AT92" i="29" s="1"/>
  <c r="AU101" i="29"/>
  <c r="AV89" i="29"/>
  <c r="AU98" i="29"/>
  <c r="AU102" i="29" s="1"/>
  <c r="AW30" i="24"/>
  <c r="AW57" i="24" s="1"/>
  <c r="AV57" i="24"/>
  <c r="AO147" i="24"/>
  <c r="AO150" i="24" s="1"/>
  <c r="AO103" i="24"/>
  <c r="AO92" i="24" s="1"/>
  <c r="AP101" i="24"/>
  <c r="AP98" i="24"/>
  <c r="AP102" i="24" s="1"/>
  <c r="AQ89" i="24"/>
  <c r="AX132" i="36" l="1"/>
  <c r="AX160" i="36" s="1"/>
  <c r="AW160" i="36"/>
  <c r="AK126" i="29"/>
  <c r="AK127" i="29"/>
  <c r="AK128" i="29"/>
  <c r="AD54" i="32"/>
  <c r="AD53" i="32"/>
  <c r="AF33" i="32"/>
  <c r="AF40" i="32"/>
  <c r="AF47" i="32" s="1"/>
  <c r="AK122" i="10"/>
  <c r="AL113" i="36"/>
  <c r="AK119" i="10"/>
  <c r="AK125" i="10" s="1"/>
  <c r="AL113" i="12"/>
  <c r="AI130" i="29"/>
  <c r="AG134" i="32"/>
  <c r="AG28" i="32" s="1"/>
  <c r="AG29" i="32" s="1"/>
  <c r="AG136" i="32"/>
  <c r="AK138" i="24"/>
  <c r="AK123" i="24"/>
  <c r="AL116" i="12"/>
  <c r="AK120" i="24"/>
  <c r="AK122" i="24"/>
  <c r="AK130" i="24"/>
  <c r="AL116" i="36"/>
  <c r="AK121" i="24"/>
  <c r="AK129" i="24"/>
  <c r="AM192" i="36"/>
  <c r="AN134" i="36"/>
  <c r="AK126" i="36"/>
  <c r="AK126" i="12"/>
  <c r="AL126" i="10"/>
  <c r="AM110" i="10"/>
  <c r="AL116" i="10"/>
  <c r="AL113" i="10"/>
  <c r="AL112" i="10"/>
  <c r="AN18" i="29"/>
  <c r="AN14" i="29"/>
  <c r="AN21" i="29"/>
  <c r="AN17" i="29"/>
  <c r="AN20" i="29"/>
  <c r="AN19" i="29"/>
  <c r="AN22" i="29"/>
  <c r="AN16" i="29"/>
  <c r="AN15" i="29"/>
  <c r="AK113" i="36"/>
  <c r="AK113" i="12"/>
  <c r="AJ119" i="10"/>
  <c r="AJ125" i="10" s="1"/>
  <c r="AJ122" i="10"/>
  <c r="AM24" i="24"/>
  <c r="AN30" i="12"/>
  <c r="AN89" i="12" s="1"/>
  <c r="AN112" i="12" s="1"/>
  <c r="AN135" i="12"/>
  <c r="AN192" i="12" s="1"/>
  <c r="AO13" i="24"/>
  <c r="AP9" i="24"/>
  <c r="AO10" i="24"/>
  <c r="AK121" i="12"/>
  <c r="AK121" i="36"/>
  <c r="AC54" i="32"/>
  <c r="AC53" i="32"/>
  <c r="AI123" i="9"/>
  <c r="AJ114" i="32"/>
  <c r="AJ124" i="32" s="1"/>
  <c r="AL112" i="8"/>
  <c r="AL112" i="21"/>
  <c r="AK91" i="36"/>
  <c r="AK91" i="12"/>
  <c r="AM7" i="33"/>
  <c r="AM30" i="33"/>
  <c r="AM46" i="33" s="1"/>
  <c r="AN3" i="33"/>
  <c r="AM4" i="33"/>
  <c r="AM14" i="33"/>
  <c r="AM10" i="33" s="1"/>
  <c r="AN16" i="24"/>
  <c r="AN19" i="24"/>
  <c r="AN18" i="24"/>
  <c r="AN20" i="24"/>
  <c r="AN14" i="24"/>
  <c r="AN17" i="24"/>
  <c r="AN21" i="24"/>
  <c r="AN22" i="24"/>
  <c r="AN15" i="24"/>
  <c r="AL114" i="24"/>
  <c r="AL112" i="24"/>
  <c r="AL118" i="24"/>
  <c r="AL140" i="24"/>
  <c r="AL113" i="24"/>
  <c r="AM110" i="24"/>
  <c r="AH27" i="32"/>
  <c r="AH133" i="32"/>
  <c r="AH142" i="32"/>
  <c r="AK128" i="36"/>
  <c r="AK128" i="12"/>
  <c r="AP9" i="29"/>
  <c r="AO13" i="29"/>
  <c r="AO10" i="29"/>
  <c r="AN95" i="36"/>
  <c r="AN95" i="12"/>
  <c r="AD87" i="32"/>
  <c r="AD86" i="32"/>
  <c r="AK119" i="12"/>
  <c r="AK119" i="36"/>
  <c r="AM110" i="29"/>
  <c r="AL114" i="29"/>
  <c r="AL138" i="29" s="1"/>
  <c r="AL118" i="29"/>
  <c r="AL113" i="29"/>
  <c r="AL112" i="29"/>
  <c r="AM135" i="36"/>
  <c r="AM193" i="36" s="1"/>
  <c r="AM30" i="36"/>
  <c r="AM89" i="36" s="1"/>
  <c r="AM112" i="36" s="1"/>
  <c r="AK55" i="36"/>
  <c r="AK55" i="12"/>
  <c r="AL112" i="9"/>
  <c r="AN88" i="12"/>
  <c r="AM32" i="12"/>
  <c r="AM44" i="12"/>
  <c r="AN92" i="36"/>
  <c r="AN92" i="12"/>
  <c r="AN16" i="10"/>
  <c r="AN19" i="10"/>
  <c r="AN14" i="10"/>
  <c r="AN22" i="10"/>
  <c r="AN15" i="10"/>
  <c r="AN18" i="10"/>
  <c r="AN17" i="10"/>
  <c r="AN21" i="10"/>
  <c r="AN20" i="10"/>
  <c r="AM13" i="33"/>
  <c r="AL38" i="29"/>
  <c r="AL156" i="29"/>
  <c r="AM157" i="29" s="1"/>
  <c r="AL49" i="29"/>
  <c r="AK118" i="36"/>
  <c r="AK118" i="12"/>
  <c r="AK137" i="29"/>
  <c r="AK122" i="29"/>
  <c r="AK121" i="29"/>
  <c r="AK120" i="29"/>
  <c r="AL124" i="36"/>
  <c r="AL124" i="12"/>
  <c r="AN12" i="36"/>
  <c r="AN7" i="36"/>
  <c r="AN13" i="36"/>
  <c r="AN17" i="36"/>
  <c r="AN8" i="36"/>
  <c r="AO6" i="36"/>
  <c r="AP9" i="10"/>
  <c r="AO42" i="10"/>
  <c r="AO149" i="10" s="1"/>
  <c r="AO10" i="10"/>
  <c r="AO33" i="10" s="1"/>
  <c r="AO90" i="10" s="1"/>
  <c r="AO111" i="10" s="1"/>
  <c r="AO13" i="10"/>
  <c r="AO32" i="29"/>
  <c r="AN42" i="29"/>
  <c r="AN158" i="29" s="1"/>
  <c r="AJ6" i="33"/>
  <c r="AE36" i="32"/>
  <c r="AE37" i="32" s="1"/>
  <c r="AE51" i="32" s="1"/>
  <c r="AE52" i="32" s="1"/>
  <c r="AE84" i="32"/>
  <c r="AK112" i="32"/>
  <c r="AK107" i="32"/>
  <c r="AJ121" i="21" s="1"/>
  <c r="AJ122" i="21" s="1"/>
  <c r="AK66" i="36" s="1"/>
  <c r="AK109" i="32"/>
  <c r="AJ123" i="26" s="1"/>
  <c r="AK110" i="32"/>
  <c r="AK106" i="32"/>
  <c r="AK128" i="32"/>
  <c r="AK130" i="32" s="1"/>
  <c r="AL55" i="12" s="1"/>
  <c r="AK108" i="32"/>
  <c r="AJ124" i="8" s="1"/>
  <c r="AL103" i="32"/>
  <c r="AK111" i="32"/>
  <c r="AJ127" i="10" s="1"/>
  <c r="AJ128" i="10" s="1"/>
  <c r="AK39" i="36" s="1"/>
  <c r="AK113" i="32"/>
  <c r="AJ139" i="24" s="1"/>
  <c r="AK121" i="21"/>
  <c r="AK122" i="21" s="1"/>
  <c r="AL66" i="36" s="1"/>
  <c r="AL112" i="26"/>
  <c r="AM24" i="10"/>
  <c r="AL47" i="33"/>
  <c r="AM112" i="8" s="1"/>
  <c r="AL48" i="33"/>
  <c r="AM113" i="8" s="1"/>
  <c r="AM112" i="9"/>
  <c r="AK120" i="36"/>
  <c r="AK120" i="12"/>
  <c r="AK127" i="36"/>
  <c r="AK127" i="12"/>
  <c r="AM112" i="21"/>
  <c r="AM24" i="29"/>
  <c r="AM88" i="36"/>
  <c r="AL44" i="36"/>
  <c r="AL72" i="36"/>
  <c r="AL45" i="36"/>
  <c r="AL32" i="36"/>
  <c r="AN42" i="24"/>
  <c r="AN160" i="24" s="1"/>
  <c r="AO32" i="24"/>
  <c r="AJ123" i="9"/>
  <c r="AO12" i="12"/>
  <c r="AP6" i="12"/>
  <c r="AO17" i="12"/>
  <c r="AO7" i="12"/>
  <c r="AO13" i="12"/>
  <c r="AO8" i="12"/>
  <c r="AO134" i="12"/>
  <c r="AN191" i="12"/>
  <c r="AF136" i="32"/>
  <c r="AI124" i="32"/>
  <c r="AJ51" i="12"/>
  <c r="AJ57" i="12" s="1"/>
  <c r="AL158" i="24"/>
  <c r="AM159" i="24" s="1"/>
  <c r="AL49" i="24"/>
  <c r="AL38" i="24"/>
  <c r="AR99" i="21"/>
  <c r="AS97" i="21" s="1"/>
  <c r="AS9" i="9"/>
  <c r="AR10" i="9"/>
  <c r="AR33" i="9" s="1"/>
  <c r="AR90" i="9" s="1"/>
  <c r="AR111" i="9" s="1"/>
  <c r="AR13" i="9"/>
  <c r="AR42" i="32"/>
  <c r="AR44" i="32" s="1"/>
  <c r="AR138" i="32"/>
  <c r="AR31" i="32" s="1"/>
  <c r="AQ46" i="32"/>
  <c r="AS17" i="32"/>
  <c r="AP110" i="9"/>
  <c r="AO122" i="9"/>
  <c r="AO113" i="9"/>
  <c r="AQ24" i="5"/>
  <c r="AQ132" i="5" s="1"/>
  <c r="AP38" i="9"/>
  <c r="AP49" i="9"/>
  <c r="AP139" i="9"/>
  <c r="AQ140" i="9" s="1"/>
  <c r="AT14" i="32"/>
  <c r="AT12" i="32"/>
  <c r="AU11" i="32" s="1"/>
  <c r="AT15" i="32"/>
  <c r="AT13" i="32"/>
  <c r="AQ42" i="9"/>
  <c r="AQ141" i="9" s="1"/>
  <c r="AR32" i="9"/>
  <c r="AS10" i="32"/>
  <c r="AS26" i="32" s="1"/>
  <c r="AS83" i="32" s="1"/>
  <c r="AS104" i="32" s="1"/>
  <c r="AT9" i="32"/>
  <c r="AQ99" i="10"/>
  <c r="AR97" i="10" s="1"/>
  <c r="AQ14" i="9"/>
  <c r="AQ22" i="9"/>
  <c r="AQ16" i="9"/>
  <c r="AQ15" i="9"/>
  <c r="AQ17" i="9"/>
  <c r="AQ19" i="9"/>
  <c r="AQ21" i="9"/>
  <c r="AQ20" i="9"/>
  <c r="AQ24" i="9"/>
  <c r="AQ18" i="9"/>
  <c r="AP114" i="21"/>
  <c r="AP119" i="21" s="1"/>
  <c r="AQ110" i="21"/>
  <c r="AR18" i="5"/>
  <c r="AR16" i="5"/>
  <c r="AR21" i="5"/>
  <c r="AR17" i="5"/>
  <c r="AR14" i="5"/>
  <c r="AR20" i="5"/>
  <c r="AR22" i="5"/>
  <c r="AR15" i="5"/>
  <c r="AR19" i="5"/>
  <c r="AR20" i="21"/>
  <c r="AR18" i="21"/>
  <c r="AR24" i="21"/>
  <c r="AR15" i="21"/>
  <c r="AR21" i="21"/>
  <c r="AR22" i="21"/>
  <c r="AR16" i="21"/>
  <c r="AR17" i="21"/>
  <c r="AR19" i="21"/>
  <c r="AR14" i="21"/>
  <c r="AO119" i="21"/>
  <c r="AN13" i="33"/>
  <c r="AQ140" i="21"/>
  <c r="AR141" i="21" s="1"/>
  <c r="AQ38" i="21"/>
  <c r="AQ49" i="21"/>
  <c r="AP132" i="5"/>
  <c r="AP49" i="5"/>
  <c r="AT9" i="5"/>
  <c r="AS10" i="5"/>
  <c r="AS13" i="5"/>
  <c r="AS42" i="5"/>
  <c r="AS134" i="5" s="1"/>
  <c r="AS32" i="21"/>
  <c r="AR42" i="21"/>
  <c r="AR142" i="21" s="1"/>
  <c r="AT9" i="21"/>
  <c r="AS10" i="21"/>
  <c r="AS33" i="21" s="1"/>
  <c r="AS90" i="21" s="1"/>
  <c r="AS111" i="21" s="1"/>
  <c r="AS13" i="21"/>
  <c r="AW12" i="21"/>
  <c r="AX29" i="12"/>
  <c r="AQ103" i="10"/>
  <c r="AQ92" i="10" s="1"/>
  <c r="AQ134" i="10"/>
  <c r="AQ137" i="10" s="1"/>
  <c r="AS101" i="21"/>
  <c r="AT89" i="21"/>
  <c r="AS98" i="21"/>
  <c r="AS102" i="21" s="1"/>
  <c r="AU32" i="10"/>
  <c r="AR128" i="21"/>
  <c r="AR130" i="21" s="1"/>
  <c r="AR103" i="21"/>
  <c r="AR92" i="21" s="1"/>
  <c r="AS89" i="10"/>
  <c r="AR98" i="10"/>
  <c r="AR102" i="10" s="1"/>
  <c r="AR101" i="10"/>
  <c r="AV57" i="8"/>
  <c r="AW30" i="8"/>
  <c r="AW57" i="8" s="1"/>
  <c r="AS22" i="8"/>
  <c r="AS14" i="8"/>
  <c r="AS16" i="8"/>
  <c r="AS19" i="8"/>
  <c r="AS20" i="8"/>
  <c r="AS15" i="8"/>
  <c r="AS18" i="8"/>
  <c r="AS17" i="8"/>
  <c r="AS24" i="8"/>
  <c r="AS21" i="8"/>
  <c r="AS110" i="8"/>
  <c r="AU9" i="8"/>
  <c r="AT10" i="8"/>
  <c r="AT33" i="8" s="1"/>
  <c r="AT90" i="8" s="1"/>
  <c r="AT111" i="8" s="1"/>
  <c r="AT13" i="8"/>
  <c r="AR116" i="8"/>
  <c r="AT32" i="8"/>
  <c r="AS42" i="8"/>
  <c r="AS146" i="8" s="1"/>
  <c r="AR144" i="8"/>
  <c r="AS145" i="8" s="1"/>
  <c r="AR49" i="8"/>
  <c r="AR38" i="8"/>
  <c r="AV12" i="8"/>
  <c r="AW11" i="8" s="1"/>
  <c r="AU99" i="9"/>
  <c r="AV97" i="9" s="1"/>
  <c r="AU103" i="9"/>
  <c r="AU92" i="9" s="1"/>
  <c r="AU129" i="9"/>
  <c r="AU131" i="9" s="1"/>
  <c r="AT12" i="9"/>
  <c r="AU11" i="9" s="1"/>
  <c r="AV98" i="9"/>
  <c r="AV102" i="9" s="1"/>
  <c r="AW89" i="9"/>
  <c r="AV101" i="9"/>
  <c r="W11" i="36"/>
  <c r="V11" i="36"/>
  <c r="AI11" i="36"/>
  <c r="AM11" i="36"/>
  <c r="AF11" i="36"/>
  <c r="U11" i="12"/>
  <c r="AP11" i="12"/>
  <c r="AB11" i="12"/>
  <c r="Y11" i="12"/>
  <c r="AJ11" i="36"/>
  <c r="AD11" i="12"/>
  <c r="AA11" i="36"/>
  <c r="T11" i="12"/>
  <c r="S11" i="36"/>
  <c r="X11" i="12"/>
  <c r="AO11" i="36"/>
  <c r="AO11" i="12"/>
  <c r="S11" i="12"/>
  <c r="T11" i="36"/>
  <c r="AH11" i="36"/>
  <c r="AL11" i="36"/>
  <c r="U11" i="36"/>
  <c r="W11" i="12"/>
  <c r="AF11" i="12"/>
  <c r="AK11" i="12"/>
  <c r="Y11" i="36"/>
  <c r="AM11" i="12"/>
  <c r="AB11" i="36"/>
  <c r="AJ11" i="12"/>
  <c r="X11" i="36"/>
  <c r="AC11" i="36"/>
  <c r="AC11" i="12"/>
  <c r="AD11" i="36"/>
  <c r="Z11" i="12"/>
  <c r="AN11" i="12"/>
  <c r="V11" i="12"/>
  <c r="AK11" i="36"/>
  <c r="AE11" i="12"/>
  <c r="AH11" i="12"/>
  <c r="Z11" i="36"/>
  <c r="AE11" i="36"/>
  <c r="AN11" i="36"/>
  <c r="AI11" i="12"/>
  <c r="AL11" i="12"/>
  <c r="AG11" i="36"/>
  <c r="AG11" i="12"/>
  <c r="AA11" i="12"/>
  <c r="AQ42" i="26"/>
  <c r="AQ144" i="26" s="1"/>
  <c r="AR32" i="26"/>
  <c r="AQ89" i="26"/>
  <c r="AT12" i="26"/>
  <c r="AU11" i="26" s="1"/>
  <c r="AP142" i="26"/>
  <c r="AP38" i="26"/>
  <c r="AP49" i="26"/>
  <c r="AR13" i="26"/>
  <c r="AS9" i="26"/>
  <c r="AR10" i="26"/>
  <c r="AR33" i="26" s="1"/>
  <c r="AR90" i="26" s="1"/>
  <c r="AR111" i="26" s="1"/>
  <c r="AW30" i="26"/>
  <c r="AW57" i="26" s="1"/>
  <c r="AV57" i="26"/>
  <c r="AO122" i="26"/>
  <c r="AP110" i="26"/>
  <c r="AO113" i="26"/>
  <c r="AQ24" i="26"/>
  <c r="AQ18" i="26"/>
  <c r="AQ21" i="26"/>
  <c r="AQ15" i="26"/>
  <c r="AQ16" i="26"/>
  <c r="AQ14" i="26"/>
  <c r="AQ20" i="26"/>
  <c r="AQ17" i="26"/>
  <c r="AQ19" i="26"/>
  <c r="AQ22" i="26"/>
  <c r="AU99" i="29"/>
  <c r="AV97" i="29" s="1"/>
  <c r="AU103" i="29"/>
  <c r="AU92" i="29" s="1"/>
  <c r="AV57" i="29"/>
  <c r="AW30" i="29"/>
  <c r="AW57" i="29" s="1"/>
  <c r="AW89" i="29"/>
  <c r="AV98" i="29"/>
  <c r="AV102" i="29" s="1"/>
  <c r="AV101" i="29"/>
  <c r="AP99" i="24"/>
  <c r="AQ97" i="24" s="1"/>
  <c r="AP147" i="24"/>
  <c r="AP150" i="24" s="1"/>
  <c r="AP103" i="24"/>
  <c r="AP92" i="24" s="1"/>
  <c r="AQ101" i="24"/>
  <c r="AR89" i="24"/>
  <c r="AQ98" i="24"/>
  <c r="AQ102" i="24" s="1"/>
  <c r="AL126" i="29" l="1"/>
  <c r="AL127" i="29"/>
  <c r="AL128" i="29"/>
  <c r="AJ133" i="32"/>
  <c r="AJ27" i="32"/>
  <c r="AJ142" i="32"/>
  <c r="AO16" i="24"/>
  <c r="AO17" i="24"/>
  <c r="AO20" i="24"/>
  <c r="AO14" i="24"/>
  <c r="AO24" i="24" s="1"/>
  <c r="AO21" i="24"/>
  <c r="AO15" i="24"/>
  <c r="AO18" i="24"/>
  <c r="AO22" i="24"/>
  <c r="AO19" i="24"/>
  <c r="AL118" i="36"/>
  <c r="AL118" i="12"/>
  <c r="AO135" i="12"/>
  <c r="AO192" i="12" s="1"/>
  <c r="AO30" i="12"/>
  <c r="AO89" i="12" s="1"/>
  <c r="AO112" i="12" s="1"/>
  <c r="AL128" i="32"/>
  <c r="AL130" i="32" s="1"/>
  <c r="AM55" i="12" s="1"/>
  <c r="AL111" i="32"/>
  <c r="AL112" i="32"/>
  <c r="AL113" i="32"/>
  <c r="AK139" i="24" s="1"/>
  <c r="AL106" i="32"/>
  <c r="AL107" i="32"/>
  <c r="AL108" i="32"/>
  <c r="AM103" i="32"/>
  <c r="AL109" i="32"/>
  <c r="AK123" i="26" s="1"/>
  <c r="AL110" i="32"/>
  <c r="AE87" i="32"/>
  <c r="AE86" i="32"/>
  <c r="AP42" i="10"/>
  <c r="AP149" i="10" s="1"/>
  <c r="AP10" i="10"/>
  <c r="AP33" i="10" s="1"/>
  <c r="AP90" i="10" s="1"/>
  <c r="AP111" i="10" s="1"/>
  <c r="AP13" i="10"/>
  <c r="AQ9" i="10"/>
  <c r="AL138" i="24"/>
  <c r="AM116" i="12"/>
  <c r="AL121" i="24"/>
  <c r="AL120" i="24"/>
  <c r="AL130" i="24"/>
  <c r="AL123" i="24"/>
  <c r="AL129" i="24"/>
  <c r="AL122" i="24"/>
  <c r="AM116" i="36"/>
  <c r="AN24" i="24"/>
  <c r="AN7" i="33"/>
  <c r="AN14" i="33"/>
  <c r="AN10" i="33" s="1"/>
  <c r="AN30" i="33"/>
  <c r="AN46" i="33" s="1"/>
  <c r="AO3" i="33"/>
  <c r="AN4" i="33"/>
  <c r="AO134" i="36"/>
  <c r="AN192" i="36"/>
  <c r="AI142" i="32"/>
  <c r="AI27" i="32"/>
  <c r="AI133" i="32"/>
  <c r="AN18" i="36"/>
  <c r="AM147" i="10"/>
  <c r="AN148" i="10" s="1"/>
  <c r="AM49" i="10"/>
  <c r="AM38" i="10"/>
  <c r="AE53" i="32"/>
  <c r="AE54" i="32"/>
  <c r="AO13" i="36"/>
  <c r="AO17" i="36"/>
  <c r="AO8" i="36"/>
  <c r="AO7" i="36"/>
  <c r="AP6" i="36"/>
  <c r="AO12" i="36"/>
  <c r="AL126" i="36"/>
  <c r="AL126" i="12"/>
  <c r="AN32" i="12"/>
  <c r="AN44" i="12"/>
  <c r="AO88" i="12"/>
  <c r="AL137" i="29"/>
  <c r="AL120" i="29"/>
  <c r="AL121" i="29"/>
  <c r="AL122" i="29"/>
  <c r="AM124" i="36"/>
  <c r="AM124" i="12"/>
  <c r="AM47" i="33"/>
  <c r="AM48" i="33"/>
  <c r="AN113" i="8" s="1"/>
  <c r="AL121" i="36"/>
  <c r="AL121" i="12"/>
  <c r="AP12" i="12"/>
  <c r="AP8" i="12"/>
  <c r="AP13" i="12"/>
  <c r="AQ6" i="12"/>
  <c r="AP7" i="12"/>
  <c r="AP17" i="12"/>
  <c r="AL91" i="12"/>
  <c r="AL91" i="36"/>
  <c r="AL127" i="36"/>
  <c r="AL127" i="12"/>
  <c r="AN24" i="10"/>
  <c r="AO92" i="36"/>
  <c r="AO92" i="12"/>
  <c r="AM158" i="24"/>
  <c r="AN159" i="24" s="1"/>
  <c r="AM38" i="24"/>
  <c r="AM49" i="24"/>
  <c r="AL118" i="10"/>
  <c r="AK6" i="33"/>
  <c r="AK127" i="10"/>
  <c r="AK128" i="10" s="1"/>
  <c r="AL39" i="36" s="1"/>
  <c r="AM45" i="36"/>
  <c r="AM44" i="36"/>
  <c r="AM72" i="36"/>
  <c r="AN88" i="36"/>
  <c r="AM32" i="36"/>
  <c r="AK114" i="32"/>
  <c r="AL128" i="12"/>
  <c r="AL128" i="36"/>
  <c r="AN110" i="29"/>
  <c r="AM114" i="29"/>
  <c r="AM138" i="29" s="1"/>
  <c r="AM118" i="29"/>
  <c r="AM112" i="29"/>
  <c r="AM113" i="29"/>
  <c r="AH134" i="32"/>
  <c r="AH28" i="32" s="1"/>
  <c r="AH29" i="32" s="1"/>
  <c r="AM126" i="10"/>
  <c r="AM116" i="10"/>
  <c r="AN110" i="10"/>
  <c r="AM113" i="10"/>
  <c r="AM112" i="10"/>
  <c r="AL119" i="12"/>
  <c r="AL119" i="36"/>
  <c r="AO191" i="12"/>
  <c r="AP134" i="12"/>
  <c r="AM156" i="29"/>
  <c r="AN157" i="29" s="1"/>
  <c r="AM49" i="29"/>
  <c r="AM38" i="29"/>
  <c r="AM112" i="26"/>
  <c r="AK124" i="8"/>
  <c r="AP32" i="29"/>
  <c r="AO42" i="29"/>
  <c r="AO158" i="29" s="1"/>
  <c r="AG40" i="32"/>
  <c r="AG47" i="32" s="1"/>
  <c r="AG33" i="32"/>
  <c r="AF36" i="32"/>
  <c r="AF37" i="32" s="1"/>
  <c r="AF51" i="32" s="1"/>
  <c r="AF52" i="32" s="1"/>
  <c r="AF84" i="32"/>
  <c r="AO42" i="24"/>
  <c r="AO160" i="24" s="1"/>
  <c r="AP32" i="24"/>
  <c r="AO22" i="10"/>
  <c r="AO15" i="10"/>
  <c r="AO17" i="10"/>
  <c r="AO20" i="10"/>
  <c r="AO16" i="10"/>
  <c r="AO21" i="10"/>
  <c r="AO19" i="10"/>
  <c r="AO14" i="10"/>
  <c r="AO18" i="10"/>
  <c r="AN135" i="36"/>
  <c r="AN193" i="36" s="1"/>
  <c r="AN30" i="36"/>
  <c r="AN89" i="36" s="1"/>
  <c r="AN112" i="36" s="1"/>
  <c r="AO21" i="29"/>
  <c r="AO19" i="29"/>
  <c r="AO16" i="29"/>
  <c r="AO14" i="29"/>
  <c r="AO24" i="29" s="1"/>
  <c r="AO17" i="29"/>
  <c r="AO18" i="29"/>
  <c r="AO20" i="29"/>
  <c r="AO15" i="29"/>
  <c r="AO22" i="29"/>
  <c r="AM114" i="24"/>
  <c r="AM118" i="24"/>
  <c r="AM113" i="24"/>
  <c r="AM112" i="24"/>
  <c r="AM140" i="24"/>
  <c r="AN110" i="24"/>
  <c r="AI132" i="29"/>
  <c r="AI135" i="29"/>
  <c r="AQ9" i="29"/>
  <c r="AP13" i="29"/>
  <c r="AP10" i="29"/>
  <c r="AO95" i="12"/>
  <c r="AO95" i="36"/>
  <c r="AQ9" i="24"/>
  <c r="AP13" i="24"/>
  <c r="AP10" i="24"/>
  <c r="AN24" i="29"/>
  <c r="AJ130" i="29"/>
  <c r="AL120" i="36"/>
  <c r="AL120" i="12"/>
  <c r="AQ49" i="5"/>
  <c r="AO13" i="33"/>
  <c r="AR46" i="32"/>
  <c r="AP122" i="9"/>
  <c r="AQ110" i="9"/>
  <c r="AP113" i="9"/>
  <c r="AV99" i="29"/>
  <c r="AW97" i="29" s="1"/>
  <c r="AS42" i="32"/>
  <c r="AS44" i="32" s="1"/>
  <c r="AS138" i="32"/>
  <c r="AS31" i="32" s="1"/>
  <c r="AR20" i="9"/>
  <c r="AR18" i="9"/>
  <c r="AR22" i="9"/>
  <c r="AR17" i="9"/>
  <c r="AR14" i="9"/>
  <c r="AR24" i="9"/>
  <c r="AR15" i="9"/>
  <c r="AR16" i="9"/>
  <c r="AR21" i="9"/>
  <c r="AR19" i="9"/>
  <c r="AQ49" i="9"/>
  <c r="AQ38" i="9"/>
  <c r="AQ139" i="9"/>
  <c r="AR140" i="9" s="1"/>
  <c r="AU9" i="32"/>
  <c r="AT10" i="32"/>
  <c r="AT26" i="32" s="1"/>
  <c r="AT83" i="32" s="1"/>
  <c r="AT104" i="32" s="1"/>
  <c r="AT17" i="32"/>
  <c r="AS13" i="9"/>
  <c r="AS10" i="9"/>
  <c r="AS33" i="9" s="1"/>
  <c r="AS90" i="9" s="1"/>
  <c r="AS111" i="9" s="1"/>
  <c r="AT9" i="9"/>
  <c r="AS32" i="9"/>
  <c r="AR42" i="9"/>
  <c r="AR141" i="9" s="1"/>
  <c r="AU14" i="32"/>
  <c r="AU13" i="32"/>
  <c r="AU15" i="32"/>
  <c r="AU12" i="32"/>
  <c r="AV11" i="32" s="1"/>
  <c r="AT10" i="5"/>
  <c r="AU9" i="5"/>
  <c r="AT42" i="5"/>
  <c r="AT134" i="5" s="1"/>
  <c r="AT13" i="5"/>
  <c r="AU9" i="21"/>
  <c r="AT13" i="21"/>
  <c r="AT10" i="21"/>
  <c r="AT33" i="21" s="1"/>
  <c r="AT90" i="21" s="1"/>
  <c r="AT111" i="21" s="1"/>
  <c r="AR140" i="21"/>
  <c r="AS141" i="21" s="1"/>
  <c r="AR49" i="21"/>
  <c r="AR38" i="21"/>
  <c r="AS99" i="21"/>
  <c r="AT97" i="21" s="1"/>
  <c r="AQ38" i="5"/>
  <c r="AR110" i="21"/>
  <c r="AQ114" i="21"/>
  <c r="AR99" i="10"/>
  <c r="AS97" i="10" s="1"/>
  <c r="AR24" i="5"/>
  <c r="AT32" i="21"/>
  <c r="AS42" i="21"/>
  <c r="AS142" i="21" s="1"/>
  <c r="AS19" i="5"/>
  <c r="AS16" i="5"/>
  <c r="AS15" i="5"/>
  <c r="AS20" i="5"/>
  <c r="AS18" i="5"/>
  <c r="AS21" i="5"/>
  <c r="AS22" i="5"/>
  <c r="AS17" i="5"/>
  <c r="AS14" i="5"/>
  <c r="AP38" i="5"/>
  <c r="AQ133" i="5"/>
  <c r="AR133" i="5" s="1"/>
  <c r="AS21" i="21"/>
  <c r="AS22" i="21"/>
  <c r="AS15" i="21"/>
  <c r="AS19" i="21"/>
  <c r="AS14" i="21"/>
  <c r="AS24" i="21"/>
  <c r="AS17" i="21"/>
  <c r="AS20" i="21"/>
  <c r="AS16" i="21"/>
  <c r="AS18" i="21"/>
  <c r="AT101" i="21"/>
  <c r="AU89" i="21"/>
  <c r="AT98" i="21"/>
  <c r="AT102" i="21" s="1"/>
  <c r="AV32" i="10"/>
  <c r="AS128" i="21"/>
  <c r="AS130" i="21" s="1"/>
  <c r="AS103" i="21"/>
  <c r="AS92" i="21" s="1"/>
  <c r="AR103" i="10"/>
  <c r="AR92" i="10" s="1"/>
  <c r="AR134" i="10"/>
  <c r="AR137" i="10" s="1"/>
  <c r="AV99" i="9"/>
  <c r="AW97" i="9" s="1"/>
  <c r="AT89" i="10"/>
  <c r="AS101" i="10"/>
  <c r="AS98" i="10"/>
  <c r="AS102" i="10" s="1"/>
  <c r="AT110" i="8"/>
  <c r="AT116" i="8" s="1"/>
  <c r="AT42" i="8"/>
  <c r="AT146" i="8" s="1"/>
  <c r="AU32" i="8"/>
  <c r="AT15" i="8"/>
  <c r="AT16" i="8"/>
  <c r="AT19" i="8"/>
  <c r="AT18" i="8"/>
  <c r="AT24" i="8"/>
  <c r="AT14" i="8"/>
  <c r="AT17" i="8"/>
  <c r="AT20" i="8"/>
  <c r="AT22" i="8"/>
  <c r="AT21" i="8"/>
  <c r="AS49" i="8"/>
  <c r="AS38" i="8"/>
  <c r="AS144" i="8"/>
  <c r="AT145" i="8" s="1"/>
  <c r="AS116" i="8"/>
  <c r="AU10" i="8"/>
  <c r="AU33" i="8" s="1"/>
  <c r="AU90" i="8" s="1"/>
  <c r="AU111" i="8" s="1"/>
  <c r="AV9" i="8"/>
  <c r="AU13" i="8"/>
  <c r="AW12" i="8"/>
  <c r="AV129" i="9"/>
  <c r="AV131" i="9" s="1"/>
  <c r="AV103" i="9"/>
  <c r="AV92" i="9" s="1"/>
  <c r="AW98" i="9"/>
  <c r="AW102" i="9" s="1"/>
  <c r="AW101" i="9"/>
  <c r="AU12" i="9"/>
  <c r="AV11" i="9" s="1"/>
  <c r="AU12" i="26"/>
  <c r="AV11" i="26" s="1"/>
  <c r="AQ38" i="26"/>
  <c r="AQ142" i="26"/>
  <c r="AQ49" i="26"/>
  <c r="AS13" i="26"/>
  <c r="AT9" i="26"/>
  <c r="AS10" i="26"/>
  <c r="AS33" i="26" s="1"/>
  <c r="AS90" i="26" s="1"/>
  <c r="AS111" i="26" s="1"/>
  <c r="AP122" i="26"/>
  <c r="AQ110" i="26"/>
  <c r="AP113" i="26"/>
  <c r="AR24" i="26"/>
  <c r="AR17" i="26"/>
  <c r="AR20" i="26"/>
  <c r="AR14" i="26"/>
  <c r="AR22" i="26"/>
  <c r="AR19" i="26"/>
  <c r="AR21" i="26"/>
  <c r="AR16" i="26"/>
  <c r="AR18" i="26"/>
  <c r="AR15" i="26"/>
  <c r="AR89" i="26"/>
  <c r="AR42" i="26"/>
  <c r="AR144" i="26" s="1"/>
  <c r="AS32" i="26"/>
  <c r="AV103" i="29"/>
  <c r="AV92" i="29" s="1"/>
  <c r="AW98" i="29"/>
  <c r="AW102" i="29" s="1"/>
  <c r="AW101" i="29"/>
  <c r="AQ99" i="24"/>
  <c r="AR97" i="24" s="1"/>
  <c r="AR101" i="24"/>
  <c r="AR98" i="24"/>
  <c r="AR102" i="24" s="1"/>
  <c r="AS89" i="24"/>
  <c r="AQ147" i="24"/>
  <c r="AQ150" i="24" s="1"/>
  <c r="AQ103" i="24"/>
  <c r="AQ92" i="24" s="1"/>
  <c r="AM126" i="29" l="1"/>
  <c r="AM127" i="29"/>
  <c r="AM128" i="29"/>
  <c r="AH40" i="32"/>
  <c r="AH47" i="32" s="1"/>
  <c r="AH33" i="32"/>
  <c r="AN156" i="29"/>
  <c r="AO157" i="29" s="1"/>
  <c r="AN49" i="29"/>
  <c r="AN38" i="29"/>
  <c r="AO49" i="24"/>
  <c r="AO38" i="24"/>
  <c r="AO158" i="24"/>
  <c r="AM138" i="24"/>
  <c r="AN116" i="36"/>
  <c r="AM123" i="24"/>
  <c r="AM122" i="24"/>
  <c r="AM120" i="24"/>
  <c r="AM129" i="24"/>
  <c r="AM121" i="24"/>
  <c r="AM130" i="24"/>
  <c r="AN116" i="12"/>
  <c r="AF87" i="32"/>
  <c r="AF86" i="32"/>
  <c r="AP135" i="12"/>
  <c r="AP192" i="12" s="1"/>
  <c r="AP30" i="12"/>
  <c r="AP89" i="12" s="1"/>
  <c r="AP112" i="12" s="1"/>
  <c r="AO7" i="33"/>
  <c r="AO30" i="33"/>
  <c r="AO46" i="33" s="1"/>
  <c r="AO4" i="33"/>
  <c r="AP3" i="33"/>
  <c r="AO14" i="33"/>
  <c r="AO10" i="33" s="1"/>
  <c r="AF53" i="32"/>
  <c r="AF54" i="32"/>
  <c r="AN49" i="10"/>
  <c r="AN147" i="10"/>
  <c r="AO148" i="10" s="1"/>
  <c r="AN38" i="10"/>
  <c r="AQ12" i="12"/>
  <c r="AQ8" i="12"/>
  <c r="AQ17" i="12"/>
  <c r="AQ7" i="12"/>
  <c r="AQ11" i="12"/>
  <c r="AQ13" i="12"/>
  <c r="AR6" i="12"/>
  <c r="AI134" i="32"/>
  <c r="AI28" i="32" s="1"/>
  <c r="AN47" i="33"/>
  <c r="AO112" i="21" s="1"/>
  <c r="AN48" i="33"/>
  <c r="AO113" i="8" s="1"/>
  <c r="AO112" i="9"/>
  <c r="AO112" i="26"/>
  <c r="AJ135" i="29"/>
  <c r="AJ132" i="29"/>
  <c r="AM121" i="12"/>
  <c r="AM121" i="36"/>
  <c r="AP21" i="24"/>
  <c r="AP19" i="24"/>
  <c r="AP14" i="24"/>
  <c r="AP20" i="24"/>
  <c r="AP15" i="24"/>
  <c r="AP22" i="24"/>
  <c r="AP16" i="24"/>
  <c r="AP18" i="24"/>
  <c r="AP17" i="24"/>
  <c r="AG36" i="32"/>
  <c r="AG37" i="32" s="1"/>
  <c r="AG51" i="32" s="1"/>
  <c r="AG52" i="32" s="1"/>
  <c r="AG53" i="32" s="1"/>
  <c r="AG54" i="32" s="1"/>
  <c r="AG84" i="32"/>
  <c r="AN116" i="10"/>
  <c r="AN118" i="10" s="1"/>
  <c r="AN126" i="10"/>
  <c r="AO110" i="10"/>
  <c r="AN113" i="10"/>
  <c r="AN112" i="10"/>
  <c r="AM6" i="33"/>
  <c r="AM137" i="29"/>
  <c r="AM122" i="29"/>
  <c r="AN124" i="36"/>
  <c r="AN124" i="12"/>
  <c r="AM121" i="29"/>
  <c r="AM120" i="29"/>
  <c r="AM91" i="36"/>
  <c r="AM91" i="12"/>
  <c r="AK130" i="29"/>
  <c r="AI29" i="32"/>
  <c r="AP95" i="36"/>
  <c r="AP95" i="12"/>
  <c r="AM118" i="36"/>
  <c r="AM118" i="12"/>
  <c r="AK123" i="9"/>
  <c r="AL114" i="32"/>
  <c r="AR9" i="24"/>
  <c r="AQ13" i="24"/>
  <c r="AQ10" i="24"/>
  <c r="AM118" i="10"/>
  <c r="AL6" i="33"/>
  <c r="AM113" i="36"/>
  <c r="AL119" i="10"/>
  <c r="AL125" i="10" s="1"/>
  <c r="AL122" i="10"/>
  <c r="AM113" i="12"/>
  <c r="AM128" i="12"/>
  <c r="AM128" i="36"/>
  <c r="AP92" i="12"/>
  <c r="AP92" i="36"/>
  <c r="AM119" i="12"/>
  <c r="AM119" i="36"/>
  <c r="AK124" i="32"/>
  <c r="AL51" i="12"/>
  <c r="AL57" i="12" s="1"/>
  <c r="AN112" i="8"/>
  <c r="AN112" i="9"/>
  <c r="AN112" i="21"/>
  <c r="AN112" i="26"/>
  <c r="AO110" i="24"/>
  <c r="AN113" i="24"/>
  <c r="AN140" i="24"/>
  <c r="AN114" i="24"/>
  <c r="AN112" i="24"/>
  <c r="AN118" i="24"/>
  <c r="AP191" i="12"/>
  <c r="AQ134" i="12"/>
  <c r="AN114" i="29"/>
  <c r="AN138" i="29" s="1"/>
  <c r="AN118" i="29"/>
  <c r="AO110" i="29"/>
  <c r="AN112" i="29"/>
  <c r="AN113" i="29"/>
  <c r="AN45" i="36"/>
  <c r="AN32" i="36"/>
  <c r="AN72" i="36"/>
  <c r="AO88" i="36"/>
  <c r="AN44" i="36"/>
  <c r="AM127" i="36"/>
  <c r="AM127" i="12"/>
  <c r="AN49" i="24"/>
  <c r="AN38" i="24"/>
  <c r="AN158" i="24"/>
  <c r="AO159" i="24" s="1"/>
  <c r="AP21" i="29"/>
  <c r="AP19" i="29"/>
  <c r="AP18" i="29"/>
  <c r="AP16" i="29"/>
  <c r="AP14" i="29"/>
  <c r="AP15" i="29"/>
  <c r="AP17" i="29"/>
  <c r="AP20" i="29"/>
  <c r="AP22" i="29"/>
  <c r="AO49" i="29"/>
  <c r="AO156" i="29"/>
  <c r="AP157" i="29" s="1"/>
  <c r="AO38" i="29"/>
  <c r="AQ10" i="29"/>
  <c r="AR9" i="29"/>
  <c r="AQ13" i="29"/>
  <c r="AM126" i="36"/>
  <c r="AM126" i="12"/>
  <c r="AP134" i="36"/>
  <c r="AO192" i="36"/>
  <c r="AO24" i="10"/>
  <c r="AQ32" i="24"/>
  <c r="AP42" i="24"/>
  <c r="AP160" i="24" s="1"/>
  <c r="AQ32" i="29"/>
  <c r="AP42" i="29"/>
  <c r="AP158" i="29" s="1"/>
  <c r="AH136" i="32"/>
  <c r="AP12" i="36"/>
  <c r="AQ6" i="36"/>
  <c r="AP8" i="36"/>
  <c r="AP13" i="36"/>
  <c r="AP7" i="36"/>
  <c r="AP17" i="36"/>
  <c r="AP11" i="36"/>
  <c r="AM120" i="12"/>
  <c r="AM120" i="36"/>
  <c r="AR9" i="10"/>
  <c r="AQ13" i="10"/>
  <c r="AQ10" i="10"/>
  <c r="AQ33" i="10" s="1"/>
  <c r="AQ90" i="10" s="1"/>
  <c r="AQ111" i="10" s="1"/>
  <c r="AQ42" i="10"/>
  <c r="AQ149" i="10" s="1"/>
  <c r="AJ134" i="32"/>
  <c r="AJ28" i="32" s="1"/>
  <c r="AJ29" i="32" s="1"/>
  <c r="AP88" i="12"/>
  <c r="AO32" i="12"/>
  <c r="AO44" i="12"/>
  <c r="AO135" i="36"/>
  <c r="AO193" i="36" s="1"/>
  <c r="AO30" i="36"/>
  <c r="AO89" i="36" s="1"/>
  <c r="AO112" i="36" s="1"/>
  <c r="AP16" i="10"/>
  <c r="AP15" i="10"/>
  <c r="AP21" i="10"/>
  <c r="AP17" i="10"/>
  <c r="AP22" i="10"/>
  <c r="AP18" i="10"/>
  <c r="AP20" i="10"/>
  <c r="AP19" i="10"/>
  <c r="AP14" i="10"/>
  <c r="AM106" i="32"/>
  <c r="AN103" i="32"/>
  <c r="AM113" i="32"/>
  <c r="AL139" i="24" s="1"/>
  <c r="AM108" i="32"/>
  <c r="AL124" i="8" s="1"/>
  <c r="AM112" i="32"/>
  <c r="AM111" i="32"/>
  <c r="AL127" i="10" s="1"/>
  <c r="AL128" i="10" s="1"/>
  <c r="AM39" i="36" s="1"/>
  <c r="AM109" i="32"/>
  <c r="AL123" i="26" s="1"/>
  <c r="AM107" i="32"/>
  <c r="AL121" i="21" s="1"/>
  <c r="AL122" i="21" s="1"/>
  <c r="AM66" i="36" s="1"/>
  <c r="AM110" i="32"/>
  <c r="AM128" i="32"/>
  <c r="AM130" i="32" s="1"/>
  <c r="AN55" i="12" s="1"/>
  <c r="AM121" i="21"/>
  <c r="AM122" i="21" s="1"/>
  <c r="AN66" i="36" s="1"/>
  <c r="AM124" i="8"/>
  <c r="AM139" i="24"/>
  <c r="AO112" i="8"/>
  <c r="AS46" i="32"/>
  <c r="AT13" i="9"/>
  <c r="AT10" i="9"/>
  <c r="AT33" i="9" s="1"/>
  <c r="AT90" i="9" s="1"/>
  <c r="AT111" i="9" s="1"/>
  <c r="AU9" i="9"/>
  <c r="AR110" i="9"/>
  <c r="AQ113" i="9"/>
  <c r="AQ122" i="9"/>
  <c r="AT138" i="32"/>
  <c r="AT31" i="32" s="1"/>
  <c r="AT42" i="32"/>
  <c r="AT44" i="32" s="1"/>
  <c r="AV13" i="32"/>
  <c r="AV15" i="32"/>
  <c r="AV12" i="32"/>
  <c r="AW11" i="32" s="1"/>
  <c r="AV14" i="32"/>
  <c r="AS16" i="9"/>
  <c r="AS17" i="9"/>
  <c r="AS15" i="9"/>
  <c r="AS14" i="9"/>
  <c r="AS21" i="9"/>
  <c r="AS22" i="9"/>
  <c r="AS18" i="9"/>
  <c r="AS20" i="9"/>
  <c r="AS24" i="9"/>
  <c r="AS19" i="9"/>
  <c r="AU10" i="32"/>
  <c r="AU26" i="32" s="1"/>
  <c r="AU83" i="32" s="1"/>
  <c r="AU104" i="32" s="1"/>
  <c r="AV9" i="32"/>
  <c r="AT32" i="9"/>
  <c r="AS42" i="9"/>
  <c r="AS141" i="9" s="1"/>
  <c r="AU17" i="32"/>
  <c r="AR49" i="9"/>
  <c r="AR38" i="9"/>
  <c r="AR139" i="9"/>
  <c r="AS140" i="9" s="1"/>
  <c r="AR132" i="5"/>
  <c r="AR49" i="5"/>
  <c r="AS99" i="10"/>
  <c r="AT97" i="10" s="1"/>
  <c r="AS140" i="21"/>
  <c r="AT141" i="21" s="1"/>
  <c r="AS49" i="21"/>
  <c r="AS38" i="21"/>
  <c r="AS24" i="5"/>
  <c r="AP13" i="33"/>
  <c r="AQ119" i="21"/>
  <c r="AU32" i="21"/>
  <c r="AT42" i="21"/>
  <c r="AT142" i="21" s="1"/>
  <c r="AS110" i="21"/>
  <c r="AR114" i="21"/>
  <c r="AR119" i="21" s="1"/>
  <c r="AT19" i="5"/>
  <c r="AT17" i="5"/>
  <c r="AT21" i="5"/>
  <c r="AT16" i="5"/>
  <c r="AT14" i="5"/>
  <c r="AT22" i="5"/>
  <c r="AT20" i="5"/>
  <c r="AT18" i="5"/>
  <c r="AT15" i="5"/>
  <c r="AT14" i="21"/>
  <c r="AT19" i="21"/>
  <c r="AT15" i="21"/>
  <c r="AT16" i="21"/>
  <c r="AT18" i="21"/>
  <c r="AT17" i="21"/>
  <c r="AT20" i="21"/>
  <c r="AT21" i="21"/>
  <c r="AT24" i="21"/>
  <c r="AT22" i="21"/>
  <c r="AV9" i="21"/>
  <c r="AU10" i="21"/>
  <c r="AU33" i="21" s="1"/>
  <c r="AU90" i="21" s="1"/>
  <c r="AU111" i="21" s="1"/>
  <c r="AU13" i="21"/>
  <c r="AU10" i="5"/>
  <c r="AV9" i="5"/>
  <c r="AU13" i="5"/>
  <c r="AU42" i="5"/>
  <c r="AU134" i="5" s="1"/>
  <c r="AW99" i="29"/>
  <c r="AT99" i="21"/>
  <c r="AU97" i="21" s="1"/>
  <c r="AU101" i="21"/>
  <c r="AV89" i="21"/>
  <c r="AU98" i="21"/>
  <c r="AU102" i="21" s="1"/>
  <c r="AW32" i="10"/>
  <c r="AT128" i="21"/>
  <c r="AT130" i="21" s="1"/>
  <c r="AT103" i="21"/>
  <c r="AT92" i="21" s="1"/>
  <c r="AS103" i="10"/>
  <c r="AS92" i="10" s="1"/>
  <c r="AS134" i="10"/>
  <c r="AS137" i="10" s="1"/>
  <c r="M12" i="12"/>
  <c r="AD12" i="12"/>
  <c r="AR99" i="24"/>
  <c r="AS97" i="24" s="1"/>
  <c r="AT101" i="10"/>
  <c r="AU89" i="10"/>
  <c r="AT98" i="10"/>
  <c r="AT102" i="10" s="1"/>
  <c r="AU42" i="8"/>
  <c r="AU146" i="8" s="1"/>
  <c r="AV32" i="8"/>
  <c r="AT144" i="8"/>
  <c r="AU145" i="8" s="1"/>
  <c r="AT49" i="8"/>
  <c r="AT38" i="8"/>
  <c r="AU24" i="8"/>
  <c r="AU22" i="8"/>
  <c r="AU19" i="8"/>
  <c r="AU18" i="8"/>
  <c r="AU14" i="8"/>
  <c r="AU16" i="8"/>
  <c r="AU20" i="8"/>
  <c r="AU17" i="8"/>
  <c r="AU15" i="8"/>
  <c r="AU21" i="8"/>
  <c r="AV10" i="8"/>
  <c r="AV33" i="8" s="1"/>
  <c r="AV90" i="8" s="1"/>
  <c r="AV111" i="8" s="1"/>
  <c r="AW9" i="8"/>
  <c r="AV13" i="8"/>
  <c r="AU110" i="8"/>
  <c r="AV12" i="9"/>
  <c r="AW11" i="9" s="1"/>
  <c r="AW103" i="9"/>
  <c r="AW92" i="9" s="1"/>
  <c r="AW129" i="9"/>
  <c r="AW131" i="9" s="1"/>
  <c r="AM15" i="33"/>
  <c r="O15" i="33"/>
  <c r="AC74" i="36"/>
  <c r="N15" i="33"/>
  <c r="AO74" i="36"/>
  <c r="W15" i="33"/>
  <c r="AL74" i="36"/>
  <c r="AD15" i="33"/>
  <c r="V74" i="36"/>
  <c r="V15" i="33"/>
  <c r="AD74" i="36"/>
  <c r="AE15" i="33"/>
  <c r="U74" i="36"/>
  <c r="AJ74" i="36"/>
  <c r="S74" i="36"/>
  <c r="AM74" i="36"/>
  <c r="AI74" i="36"/>
  <c r="AO74" i="12"/>
  <c r="S15" i="33"/>
  <c r="AL15" i="33"/>
  <c r="Z15" i="33"/>
  <c r="W74" i="36"/>
  <c r="R15" i="33"/>
  <c r="AA74" i="36"/>
  <c r="Z74" i="36"/>
  <c r="AN15" i="33"/>
  <c r="AK74" i="36"/>
  <c r="T74" i="36"/>
  <c r="AM74" i="12"/>
  <c r="Y15" i="33"/>
  <c r="AG74" i="36"/>
  <c r="AA15" i="33"/>
  <c r="AI15" i="33"/>
  <c r="AB15" i="33"/>
  <c r="AA74" i="12"/>
  <c r="AK15" i="33"/>
  <c r="AJ15" i="33"/>
  <c r="AF15" i="33"/>
  <c r="T15" i="33"/>
  <c r="Y74" i="36"/>
  <c r="AD74" i="12"/>
  <c r="AF74" i="36"/>
  <c r="AH15" i="33"/>
  <c r="X74" i="36"/>
  <c r="Q15" i="33"/>
  <c r="Q74" i="36"/>
  <c r="AC15" i="33"/>
  <c r="W74" i="12"/>
  <c r="U15" i="33"/>
  <c r="AB74" i="36"/>
  <c r="R74" i="36"/>
  <c r="AO15" i="33"/>
  <c r="P15" i="33"/>
  <c r="X15" i="33"/>
  <c r="AN74" i="36"/>
  <c r="AH74" i="36"/>
  <c r="AE74" i="36"/>
  <c r="AP15" i="33"/>
  <c r="AG15" i="33"/>
  <c r="Z74" i="12"/>
  <c r="AJ74" i="12"/>
  <c r="AB74" i="12"/>
  <c r="AC74" i="12"/>
  <c r="AE74" i="12"/>
  <c r="X74" i="12"/>
  <c r="AF74" i="12"/>
  <c r="AH74" i="12"/>
  <c r="U74" i="12"/>
  <c r="AK74" i="12"/>
  <c r="S74" i="12"/>
  <c r="R74" i="12"/>
  <c r="AN74" i="12"/>
  <c r="Y74" i="12"/>
  <c r="V74" i="12"/>
  <c r="AG74" i="12"/>
  <c r="AI74" i="12"/>
  <c r="AL74" i="12"/>
  <c r="T74" i="12"/>
  <c r="AP74" i="12"/>
  <c r="AW99" i="9"/>
  <c r="AR142" i="26"/>
  <c r="AR38" i="26"/>
  <c r="AR49" i="26"/>
  <c r="AS24" i="26"/>
  <c r="AS14" i="26"/>
  <c r="AS16" i="26"/>
  <c r="AS22" i="26"/>
  <c r="AS18" i="26"/>
  <c r="AS19" i="26"/>
  <c r="AS17" i="26"/>
  <c r="AS20" i="26"/>
  <c r="AS21" i="26"/>
  <c r="AS15" i="26"/>
  <c r="AQ122" i="26"/>
  <c r="AR110" i="26"/>
  <c r="AQ113" i="26"/>
  <c r="AS42" i="26"/>
  <c r="AS144" i="26" s="1"/>
  <c r="AT32" i="26"/>
  <c r="AS89" i="26"/>
  <c r="AV12" i="26"/>
  <c r="AW11" i="26" s="1"/>
  <c r="AT13" i="26"/>
  <c r="AT10" i="26"/>
  <c r="AT33" i="26" s="1"/>
  <c r="AT90" i="26" s="1"/>
  <c r="AT111" i="26" s="1"/>
  <c r="AU9" i="26"/>
  <c r="AW103" i="29"/>
  <c r="AW92" i="29" s="1"/>
  <c r="AS101" i="24"/>
  <c r="AT89" i="24"/>
  <c r="AS98" i="24"/>
  <c r="AS102" i="24" s="1"/>
  <c r="AR147" i="24"/>
  <c r="AR150" i="24" s="1"/>
  <c r="AR103" i="24"/>
  <c r="AR92" i="24" s="1"/>
  <c r="AN126" i="29" l="1"/>
  <c r="AN127" i="29"/>
  <c r="AN128" i="29"/>
  <c r="AJ40" i="32"/>
  <c r="AJ47" i="32" s="1"/>
  <c r="AJ33" i="32"/>
  <c r="AM114" i="32"/>
  <c r="AQ134" i="36"/>
  <c r="AP192" i="36"/>
  <c r="AP24" i="29"/>
  <c r="AN138" i="24"/>
  <c r="AN120" i="24"/>
  <c r="AN122" i="24"/>
  <c r="AN121" i="24"/>
  <c r="AO116" i="36"/>
  <c r="AN129" i="24"/>
  <c r="AN130" i="24"/>
  <c r="AN123" i="24"/>
  <c r="AO116" i="12"/>
  <c r="AM119" i="10"/>
  <c r="AM125" i="10" s="1"/>
  <c r="AN113" i="12"/>
  <c r="AM122" i="10"/>
  <c r="AN113" i="36"/>
  <c r="AP159" i="24"/>
  <c r="AP24" i="10"/>
  <c r="AO113" i="36"/>
  <c r="AN122" i="10"/>
  <c r="AO113" i="12"/>
  <c r="AN119" i="10"/>
  <c r="AN125" i="10" s="1"/>
  <c r="AR17" i="12"/>
  <c r="AR11" i="12"/>
  <c r="AR12" i="12"/>
  <c r="AR7" i="12"/>
  <c r="AS6" i="12"/>
  <c r="AR13" i="12"/>
  <c r="AR8" i="12"/>
  <c r="AO48" i="33"/>
  <c r="AP113" i="8" s="1"/>
  <c r="AO47" i="33"/>
  <c r="AP112" i="9"/>
  <c r="AP112" i="26"/>
  <c r="AP112" i="8"/>
  <c r="AN119" i="12"/>
  <c r="AN119" i="36"/>
  <c r="AP135" i="36"/>
  <c r="AP193" i="36" s="1"/>
  <c r="AP30" i="36"/>
  <c r="AP89" i="36" s="1"/>
  <c r="AP112" i="36" s="1"/>
  <c r="AR32" i="29"/>
  <c r="AQ42" i="29"/>
  <c r="AQ158" i="29" s="1"/>
  <c r="AQ18" i="24"/>
  <c r="AQ21" i="24"/>
  <c r="AQ15" i="24"/>
  <c r="AQ16" i="24"/>
  <c r="AQ20" i="24"/>
  <c r="AQ17" i="24"/>
  <c r="AQ19" i="24"/>
  <c r="AQ22" i="24"/>
  <c r="AQ14" i="24"/>
  <c r="AI40" i="32"/>
  <c r="AI47" i="32" s="1"/>
  <c r="AI33" i="32"/>
  <c r="AN128" i="12"/>
  <c r="AN128" i="36"/>
  <c r="AG86" i="32"/>
  <c r="AG87" i="32"/>
  <c r="AP24" i="24"/>
  <c r="AQ92" i="12"/>
  <c r="AQ92" i="36"/>
  <c r="AQ20" i="10"/>
  <c r="AQ15" i="10"/>
  <c r="AQ14" i="10"/>
  <c r="AQ19" i="10"/>
  <c r="AQ16" i="10"/>
  <c r="AQ21" i="10"/>
  <c r="AQ17" i="10"/>
  <c r="AQ18" i="10"/>
  <c r="AQ22" i="10"/>
  <c r="AL130" i="29"/>
  <c r="AP110" i="29"/>
  <c r="AO118" i="29"/>
  <c r="AO114" i="29"/>
  <c r="AO138" i="29" s="1"/>
  <c r="AO112" i="29"/>
  <c r="AO113" i="29"/>
  <c r="AK133" i="32"/>
  <c r="AK142" i="32"/>
  <c r="AK27" i="32"/>
  <c r="AS9" i="24"/>
  <c r="AR13" i="24"/>
  <c r="AR10" i="24"/>
  <c r="AK135" i="29"/>
  <c r="AK132" i="29"/>
  <c r="AN118" i="36"/>
  <c r="AN118" i="12"/>
  <c r="AR42" i="10"/>
  <c r="AR149" i="10" s="1"/>
  <c r="AS9" i="10"/>
  <c r="AR13" i="10"/>
  <c r="AR10" i="10"/>
  <c r="AR33" i="10" s="1"/>
  <c r="AR90" i="10" s="1"/>
  <c r="AR111" i="10" s="1"/>
  <c r="AQ42" i="24"/>
  <c r="AQ160" i="24" s="1"/>
  <c r="AR32" i="24"/>
  <c r="AN137" i="29"/>
  <c r="AN122" i="29"/>
  <c r="AO124" i="36"/>
  <c r="AO124" i="12"/>
  <c r="AN120" i="29"/>
  <c r="AN121" i="29"/>
  <c r="AL124" i="32"/>
  <c r="AM51" i="12"/>
  <c r="AM57" i="12" s="1"/>
  <c r="AO91" i="12"/>
  <c r="AO91" i="36"/>
  <c r="AQ30" i="12"/>
  <c r="AQ89" i="12" s="1"/>
  <c r="AQ112" i="12" s="1"/>
  <c r="AQ135" i="12"/>
  <c r="AQ192" i="12" s="1"/>
  <c r="AN120" i="12"/>
  <c r="AN120" i="36"/>
  <c r="AQ12" i="36"/>
  <c r="AQ13" i="36"/>
  <c r="AQ8" i="36"/>
  <c r="AQ17" i="36"/>
  <c r="AR6" i="36"/>
  <c r="AQ7" i="36"/>
  <c r="AQ11" i="36"/>
  <c r="AO38" i="10"/>
  <c r="AO49" i="10"/>
  <c r="AO147" i="10"/>
  <c r="AP148" i="10" s="1"/>
  <c r="AP88" i="36"/>
  <c r="AO44" i="36"/>
  <c r="AO32" i="36"/>
  <c r="AO45" i="36"/>
  <c r="AO72" i="36"/>
  <c r="AO114" i="24"/>
  <c r="AO112" i="24"/>
  <c r="AO113" i="24"/>
  <c r="AO118" i="24"/>
  <c r="AO140" i="24"/>
  <c r="AP110" i="24"/>
  <c r="AN121" i="12"/>
  <c r="AN121" i="36"/>
  <c r="AP32" i="12"/>
  <c r="AQ88" i="12"/>
  <c r="AP44" i="12"/>
  <c r="AP18" i="36"/>
  <c r="AQ22" i="29"/>
  <c r="AQ14" i="29"/>
  <c r="AQ16" i="29"/>
  <c r="AQ18" i="29"/>
  <c r="AQ15" i="29"/>
  <c r="AQ21" i="29"/>
  <c r="AQ17" i="29"/>
  <c r="AQ20" i="29"/>
  <c r="AQ19" i="29"/>
  <c r="AR134" i="12"/>
  <c r="AQ191" i="12"/>
  <c r="AN126" i="36"/>
  <c r="AN126" i="12"/>
  <c r="AQ95" i="36"/>
  <c r="AQ95" i="12"/>
  <c r="AH84" i="32"/>
  <c r="AH36" i="32"/>
  <c r="AH37" i="32" s="1"/>
  <c r="AH51" i="32" s="1"/>
  <c r="AO103" i="32"/>
  <c r="AN110" i="32"/>
  <c r="AN109" i="32"/>
  <c r="AM123" i="26" s="1"/>
  <c r="AN128" i="32"/>
  <c r="AN130" i="32" s="1"/>
  <c r="AN107" i="32"/>
  <c r="AN111" i="32"/>
  <c r="AM127" i="10" s="1"/>
  <c r="AM128" i="10" s="1"/>
  <c r="AN39" i="36" s="1"/>
  <c r="AN112" i="32"/>
  <c r="AN108" i="32"/>
  <c r="AN106" i="32"/>
  <c r="AN113" i="32"/>
  <c r="AN139" i="24"/>
  <c r="AJ136" i="32"/>
  <c r="AR13" i="29"/>
  <c r="AR10" i="29"/>
  <c r="AS9" i="29"/>
  <c r="AN91" i="36"/>
  <c r="AN91" i="12"/>
  <c r="AN127" i="12"/>
  <c r="AN127" i="36"/>
  <c r="AP110" i="10"/>
  <c r="AO116" i="10"/>
  <c r="AO126" i="10"/>
  <c r="AO112" i="10"/>
  <c r="AO113" i="10"/>
  <c r="AI136" i="32"/>
  <c r="AP7" i="33"/>
  <c r="AP30" i="33"/>
  <c r="AP46" i="33" s="1"/>
  <c r="AP4" i="33"/>
  <c r="AQ3" i="33"/>
  <c r="AP14" i="33"/>
  <c r="AP10" i="33" s="1"/>
  <c r="E46" i="12"/>
  <c r="E46" i="36"/>
  <c r="E34" i="36"/>
  <c r="E34" i="12"/>
  <c r="AV17" i="32"/>
  <c r="AV138" i="32" s="1"/>
  <c r="AV31" i="32" s="1"/>
  <c r="AT46" i="32"/>
  <c r="AW14" i="32"/>
  <c r="AW15" i="32"/>
  <c r="AW13" i="32"/>
  <c r="AW12" i="32"/>
  <c r="AU10" i="9"/>
  <c r="AU33" i="9" s="1"/>
  <c r="AU90" i="9" s="1"/>
  <c r="AU111" i="9" s="1"/>
  <c r="AV9" i="9"/>
  <c r="AU13" i="9"/>
  <c r="AW9" i="32"/>
  <c r="AW10" i="32" s="1"/>
  <c r="AW26" i="32" s="1"/>
  <c r="AW83" i="32" s="1"/>
  <c r="AW104" i="32" s="1"/>
  <c r="AV10" i="32"/>
  <c r="AV26" i="32" s="1"/>
  <c r="AV83" i="32" s="1"/>
  <c r="AV104" i="32" s="1"/>
  <c r="AU138" i="32"/>
  <c r="AU31" i="32" s="1"/>
  <c r="AU42" i="32"/>
  <c r="AU44" i="32" s="1"/>
  <c r="AT19" i="9"/>
  <c r="AT21" i="9"/>
  <c r="AT24" i="9"/>
  <c r="AT20" i="9"/>
  <c r="AT17" i="9"/>
  <c r="AT22" i="9"/>
  <c r="AT18" i="9"/>
  <c r="AT15" i="9"/>
  <c r="AT14" i="9"/>
  <c r="AT16" i="9"/>
  <c r="AS38" i="9"/>
  <c r="AS139" i="9"/>
  <c r="AT140" i="9" s="1"/>
  <c r="AS49" i="9"/>
  <c r="AQ13" i="33"/>
  <c r="AU32" i="9"/>
  <c r="AT42" i="9"/>
  <c r="AT141" i="9" s="1"/>
  <c r="AR113" i="9"/>
  <c r="AR122" i="9"/>
  <c r="AS110" i="9"/>
  <c r="AU99" i="21"/>
  <c r="AV97" i="21" s="1"/>
  <c r="AV10" i="5"/>
  <c r="AW9" i="5"/>
  <c r="AV42" i="5"/>
  <c r="AV134" i="5" s="1"/>
  <c r="AV13" i="5"/>
  <c r="AT110" i="21"/>
  <c r="AS114" i="21"/>
  <c r="AS119" i="21" s="1"/>
  <c r="AT140" i="21"/>
  <c r="AU141" i="21" s="1"/>
  <c r="AT49" i="21"/>
  <c r="AT38" i="21"/>
  <c r="AV32" i="21"/>
  <c r="AU42" i="21"/>
  <c r="AU142" i="21" s="1"/>
  <c r="AS49" i="5"/>
  <c r="AS132" i="5"/>
  <c r="AS38" i="5" s="1"/>
  <c r="AU17" i="21"/>
  <c r="AU19" i="21"/>
  <c r="AU24" i="21"/>
  <c r="AU20" i="21"/>
  <c r="AU16" i="21"/>
  <c r="AU21" i="21"/>
  <c r="AU22" i="21"/>
  <c r="AU15" i="21"/>
  <c r="AU14" i="21"/>
  <c r="AU18" i="21"/>
  <c r="AV13" i="21"/>
  <c r="AV10" i="21"/>
  <c r="AV33" i="21" s="1"/>
  <c r="AV90" i="21" s="1"/>
  <c r="AV111" i="21" s="1"/>
  <c r="AW9" i="21"/>
  <c r="E12" i="12" s="1"/>
  <c r="D12" i="12" s="1"/>
  <c r="AR38" i="5"/>
  <c r="AS133" i="5"/>
  <c r="AU18" i="5"/>
  <c r="AU20" i="5"/>
  <c r="AU14" i="5"/>
  <c r="AU21" i="5"/>
  <c r="AU15" i="5"/>
  <c r="AU22" i="5"/>
  <c r="AU17" i="5"/>
  <c r="AU16" i="5"/>
  <c r="AU19" i="5"/>
  <c r="AT24" i="5"/>
  <c r="AU128" i="21"/>
  <c r="AU130" i="21" s="1"/>
  <c r="AU103" i="21"/>
  <c r="AU92" i="21" s="1"/>
  <c r="E13" i="12"/>
  <c r="D13" i="12" s="1"/>
  <c r="E13" i="36"/>
  <c r="AU101" i="10"/>
  <c r="AV89" i="10"/>
  <c r="AU98" i="10"/>
  <c r="AU102" i="10" s="1"/>
  <c r="AT99" i="10"/>
  <c r="AU97" i="10" s="1"/>
  <c r="AV101" i="21"/>
  <c r="AV98" i="21"/>
  <c r="AV102" i="21" s="1"/>
  <c r="AW89" i="21"/>
  <c r="AU116" i="8"/>
  <c r="AT103" i="10"/>
  <c r="AT92" i="10" s="1"/>
  <c r="AT134" i="10"/>
  <c r="AT137" i="10" s="1"/>
  <c r="AV24" i="8"/>
  <c r="AV17" i="8"/>
  <c r="AV14" i="8"/>
  <c r="AV15" i="8"/>
  <c r="AV18" i="8"/>
  <c r="AV21" i="8"/>
  <c r="AV20" i="8"/>
  <c r="AV16" i="8"/>
  <c r="AV19" i="8"/>
  <c r="AV22" i="8"/>
  <c r="AW10" i="8"/>
  <c r="AW33" i="8" s="1"/>
  <c r="AW90" i="8" s="1"/>
  <c r="AW111" i="8" s="1"/>
  <c r="AW13" i="8"/>
  <c r="AW32" i="8"/>
  <c r="AW42" i="8" s="1"/>
  <c r="AW146" i="8" s="1"/>
  <c r="AV42" i="8"/>
  <c r="AV146" i="8" s="1"/>
  <c r="AU49" i="8"/>
  <c r="AU144" i="8"/>
  <c r="AV145" i="8" s="1"/>
  <c r="AU38" i="8"/>
  <c r="AV110" i="8"/>
  <c r="T14" i="33"/>
  <c r="T10" i="33" s="1"/>
  <c r="U13" i="36"/>
  <c r="V13" i="12"/>
  <c r="V13" i="36"/>
  <c r="W13" i="12"/>
  <c r="X13" i="36"/>
  <c r="L74" i="12"/>
  <c r="N74" i="12"/>
  <c r="P74" i="36"/>
  <c r="O74" i="36"/>
  <c r="P74" i="12"/>
  <c r="Q74" i="12"/>
  <c r="AW12" i="9"/>
  <c r="AU13" i="26"/>
  <c r="AV9" i="26"/>
  <c r="AU10" i="26"/>
  <c r="AU33" i="26" s="1"/>
  <c r="AU90" i="26" s="1"/>
  <c r="AU111" i="26" s="1"/>
  <c r="AT42" i="26"/>
  <c r="AT144" i="26" s="1"/>
  <c r="AU32" i="26"/>
  <c r="AT24" i="26"/>
  <c r="AT19" i="26"/>
  <c r="AT16" i="26"/>
  <c r="AT20" i="26"/>
  <c r="AT22" i="26"/>
  <c r="AT17" i="26"/>
  <c r="AT21" i="26"/>
  <c r="AT14" i="26"/>
  <c r="AT18" i="26"/>
  <c r="AT15" i="26"/>
  <c r="AS38" i="26"/>
  <c r="AS142" i="26"/>
  <c r="AS49" i="26"/>
  <c r="AW12" i="26"/>
  <c r="AT89" i="26"/>
  <c r="AR122" i="26"/>
  <c r="AS110" i="26"/>
  <c r="AR113" i="26"/>
  <c r="R9" i="33"/>
  <c r="AG46" i="12"/>
  <c r="X9" i="33"/>
  <c r="AM46" i="12"/>
  <c r="O9" i="33"/>
  <c r="AB46" i="36"/>
  <c r="AD46" i="12"/>
  <c r="N46" i="36"/>
  <c r="Z46" i="36"/>
  <c r="AI9" i="33"/>
  <c r="AA46" i="12"/>
  <c r="AC9" i="33"/>
  <c r="X46" i="12"/>
  <c r="Q46" i="12"/>
  <c r="W46" i="36"/>
  <c r="AG9" i="33"/>
  <c r="AC46" i="36"/>
  <c r="AE46" i="36"/>
  <c r="AK46" i="36"/>
  <c r="AN46" i="12"/>
  <c r="Y46" i="36"/>
  <c r="U9" i="33"/>
  <c r="AJ9" i="33"/>
  <c r="Z46" i="12"/>
  <c r="X46" i="36"/>
  <c r="AK46" i="12"/>
  <c r="Y9" i="33"/>
  <c r="AI46" i="36"/>
  <c r="AM46" i="36"/>
  <c r="T9" i="33"/>
  <c r="W9" i="33"/>
  <c r="AH46" i="36"/>
  <c r="W46" i="12"/>
  <c r="AL46" i="36"/>
  <c r="AA46" i="36"/>
  <c r="R46" i="12"/>
  <c r="P46" i="36"/>
  <c r="O46" i="36"/>
  <c r="AG46" i="36"/>
  <c r="Q9" i="33"/>
  <c r="R46" i="36"/>
  <c r="AH46" i="12"/>
  <c r="U46" i="36"/>
  <c r="AJ46" i="12"/>
  <c r="AI46" i="12"/>
  <c r="AO46" i="12"/>
  <c r="AE46" i="12"/>
  <c r="AO46" i="36"/>
  <c r="AH9" i="33"/>
  <c r="AL46" i="12"/>
  <c r="AB9" i="33"/>
  <c r="Y46" i="12"/>
  <c r="T46" i="12"/>
  <c r="AF9" i="33"/>
  <c r="S46" i="12"/>
  <c r="AJ46" i="36"/>
  <c r="AA9" i="33"/>
  <c r="AD9" i="33"/>
  <c r="S46" i="36"/>
  <c r="AB46" i="12"/>
  <c r="S9" i="33"/>
  <c r="V46" i="12"/>
  <c r="AD46" i="36"/>
  <c r="AK9" i="33"/>
  <c r="P9" i="33"/>
  <c r="AP46" i="36"/>
  <c r="AE9" i="33"/>
  <c r="U46" i="12"/>
  <c r="AN9" i="33"/>
  <c r="V46" i="36"/>
  <c r="Q46" i="36"/>
  <c r="AF46" i="12"/>
  <c r="V9" i="33"/>
  <c r="AN46" i="36"/>
  <c r="Z9" i="33"/>
  <c r="AM9" i="33"/>
  <c r="AL9" i="33"/>
  <c r="T46" i="36"/>
  <c r="AC46" i="12"/>
  <c r="AF46" i="36"/>
  <c r="AP46" i="12"/>
  <c r="AU89" i="24"/>
  <c r="AT98" i="24"/>
  <c r="AT102" i="24" s="1"/>
  <c r="AT101" i="24"/>
  <c r="AS147" i="24"/>
  <c r="AS150" i="24" s="1"/>
  <c r="AS103" i="24"/>
  <c r="AS92" i="24" s="1"/>
  <c r="AS99" i="24"/>
  <c r="AT97" i="24" s="1"/>
  <c r="AO126" i="29" l="1"/>
  <c r="AO127" i="29"/>
  <c r="AO128" i="29"/>
  <c r="AQ44" i="12"/>
  <c r="AQ74" i="12"/>
  <c r="AQ32" i="12"/>
  <c r="AR88" i="12"/>
  <c r="AQ46" i="12"/>
  <c r="AR92" i="36"/>
  <c r="AR92" i="12"/>
  <c r="AL142" i="32"/>
  <c r="AL27" i="32"/>
  <c r="AL133" i="32"/>
  <c r="AO118" i="36"/>
  <c r="AO118" i="12"/>
  <c r="AQ15" i="33"/>
  <c r="AV42" i="32"/>
  <c r="AM130" i="29"/>
  <c r="AO127" i="36"/>
  <c r="AO127" i="12"/>
  <c r="AP49" i="24"/>
  <c r="AP158" i="24"/>
  <c r="AQ159" i="24" s="1"/>
  <c r="AP38" i="24"/>
  <c r="AQ24" i="24"/>
  <c r="AM123" i="9"/>
  <c r="AN114" i="32"/>
  <c r="AN124" i="32" s="1"/>
  <c r="AO107" i="32"/>
  <c r="AN121" i="21" s="1"/>
  <c r="AN122" i="21" s="1"/>
  <c r="AO66" i="36" s="1"/>
  <c r="AP103" i="32"/>
  <c r="AO128" i="32"/>
  <c r="AO130" i="32" s="1"/>
  <c r="AP55" i="12" s="1"/>
  <c r="AO110" i="32"/>
  <c r="AO108" i="32"/>
  <c r="AN124" i="8" s="1"/>
  <c r="AO109" i="32"/>
  <c r="AN123" i="26" s="1"/>
  <c r="AO106" i="32"/>
  <c r="AO113" i="32"/>
  <c r="AO111" i="32"/>
  <c r="AN127" i="10" s="1"/>
  <c r="AN128" i="10" s="1"/>
  <c r="AO39" i="36" s="1"/>
  <c r="AO112" i="32"/>
  <c r="AO126" i="36"/>
  <c r="AO126" i="12"/>
  <c r="AR20" i="10"/>
  <c r="AR15" i="10"/>
  <c r="AR22" i="10"/>
  <c r="AR21" i="10"/>
  <c r="AR19" i="10"/>
  <c r="AR14" i="10"/>
  <c r="AR16" i="10"/>
  <c r="AR18" i="10"/>
  <c r="AR17" i="10"/>
  <c r="AQ112" i="8"/>
  <c r="AS12" i="12"/>
  <c r="AS8" i="12"/>
  <c r="AS13" i="12"/>
  <c r="AS17" i="12"/>
  <c r="AT6" i="12"/>
  <c r="AS7" i="12"/>
  <c r="AS11" i="12"/>
  <c r="AO121" i="12"/>
  <c r="AO121" i="36"/>
  <c r="AP38" i="29"/>
  <c r="AP156" i="29"/>
  <c r="AQ157" i="29" s="1"/>
  <c r="AP49" i="29"/>
  <c r="AH52" i="32"/>
  <c r="AR191" i="12"/>
  <c r="AS134" i="12"/>
  <c r="AQ24" i="29"/>
  <c r="AP112" i="24"/>
  <c r="AP118" i="24"/>
  <c r="AP114" i="24"/>
  <c r="AP113" i="24"/>
  <c r="AP140" i="24"/>
  <c r="AQ110" i="24"/>
  <c r="AQ30" i="36"/>
  <c r="AQ89" i="36" s="1"/>
  <c r="AQ112" i="36" s="1"/>
  <c r="AQ135" i="36"/>
  <c r="AQ193" i="36" s="1"/>
  <c r="AS42" i="10"/>
  <c r="AS13" i="10"/>
  <c r="AT9" i="10"/>
  <c r="AS10" i="10"/>
  <c r="AS33" i="10" s="1"/>
  <c r="AS90" i="10" s="1"/>
  <c r="AS111" i="10" s="1"/>
  <c r="AR16" i="24"/>
  <c r="AR17" i="24"/>
  <c r="AR22" i="24"/>
  <c r="AR21" i="24"/>
  <c r="AR20" i="24"/>
  <c r="AR14" i="24"/>
  <c r="AR15" i="24"/>
  <c r="AR19" i="24"/>
  <c r="AR18" i="24"/>
  <c r="AO137" i="29"/>
  <c r="AO121" i="29"/>
  <c r="AO120" i="29"/>
  <c r="AO122" i="29"/>
  <c r="AP124" i="12"/>
  <c r="AP124" i="36"/>
  <c r="AS32" i="29"/>
  <c r="AR42" i="29"/>
  <c r="AR158" i="29" s="1"/>
  <c r="AQ112" i="21"/>
  <c r="AR135" i="12"/>
  <c r="AR192" i="12" s="1"/>
  <c r="AR30" i="12"/>
  <c r="AR89" i="12" s="1"/>
  <c r="AR112" i="12" s="1"/>
  <c r="AP38" i="10"/>
  <c r="AP147" i="10"/>
  <c r="AQ148" i="10" s="1"/>
  <c r="AP49" i="10"/>
  <c r="AR95" i="12"/>
  <c r="AR95" i="36"/>
  <c r="AS13" i="29"/>
  <c r="AT9" i="29"/>
  <c r="AS10" i="29"/>
  <c r="AH87" i="32"/>
  <c r="AH86" i="32"/>
  <c r="AR11" i="36"/>
  <c r="AR13" i="36"/>
  <c r="AR8" i="36"/>
  <c r="AR17" i="36"/>
  <c r="AS6" i="36"/>
  <c r="AR12" i="36"/>
  <c r="AR7" i="36"/>
  <c r="AT9" i="24"/>
  <c r="AS10" i="24"/>
  <c r="AS13" i="24"/>
  <c r="AP114" i="29"/>
  <c r="AQ110" i="29"/>
  <c r="AP118" i="29"/>
  <c r="AP112" i="29"/>
  <c r="AP113" i="29"/>
  <c r="AQ24" i="10"/>
  <c r="AR134" i="36"/>
  <c r="AQ192" i="36"/>
  <c r="AQ7" i="33"/>
  <c r="AQ30" i="33"/>
  <c r="AQ46" i="33" s="1"/>
  <c r="AQ4" i="33"/>
  <c r="AQ14" i="33"/>
  <c r="AQ10" i="33" s="1"/>
  <c r="AR3" i="33"/>
  <c r="AO118" i="10"/>
  <c r="AN6" i="33"/>
  <c r="AO138" i="24"/>
  <c r="AO122" i="24"/>
  <c r="AP116" i="12"/>
  <c r="AO123" i="24"/>
  <c r="AO120" i="24"/>
  <c r="AP116" i="36"/>
  <c r="AO121" i="24"/>
  <c r="AO130" i="24"/>
  <c r="AO129" i="24"/>
  <c r="AO128" i="36"/>
  <c r="AO128" i="12"/>
  <c r="AL135" i="29"/>
  <c r="AL132" i="29"/>
  <c r="AM124" i="32"/>
  <c r="AN51" i="12"/>
  <c r="AN57" i="12" s="1"/>
  <c r="AQ110" i="10"/>
  <c r="AP126" i="10"/>
  <c r="AP116" i="10"/>
  <c r="AP118" i="10" s="1"/>
  <c r="AP113" i="10"/>
  <c r="AR19" i="29"/>
  <c r="AR14" i="29"/>
  <c r="AR24" i="29" s="1"/>
  <c r="AR21" i="29"/>
  <c r="AR18" i="29"/>
  <c r="AR16" i="29"/>
  <c r="AR20" i="29"/>
  <c r="AR22" i="29"/>
  <c r="AR15" i="29"/>
  <c r="AR17" i="29"/>
  <c r="AP44" i="36"/>
  <c r="AP45" i="36"/>
  <c r="AP72" i="36"/>
  <c r="AP32" i="36"/>
  <c r="AQ88" i="36"/>
  <c r="AP74" i="36"/>
  <c r="AP112" i="10"/>
  <c r="AP112" i="21"/>
  <c r="AO119" i="12"/>
  <c r="AO119" i="36"/>
  <c r="AJ36" i="32"/>
  <c r="AJ84" i="32"/>
  <c r="AP47" i="33"/>
  <c r="AQ112" i="9" s="1"/>
  <c r="AP48" i="33"/>
  <c r="AQ113" i="8" s="1"/>
  <c r="AQ112" i="26"/>
  <c r="AS32" i="24"/>
  <c r="AR42" i="24"/>
  <c r="AR160" i="24" s="1"/>
  <c r="AK134" i="32"/>
  <c r="AK28" i="32" s="1"/>
  <c r="AK29" i="32" s="1"/>
  <c r="AI84" i="32"/>
  <c r="AI36" i="32"/>
  <c r="AI37" i="32" s="1"/>
  <c r="AO120" i="36"/>
  <c r="AO120" i="12"/>
  <c r="AT133" i="5"/>
  <c r="E12" i="36"/>
  <c r="AW17" i="32"/>
  <c r="AW138" i="32" s="1"/>
  <c r="AW31" i="32" s="1"/>
  <c r="AV44" i="32"/>
  <c r="AU46" i="32"/>
  <c r="AV32" i="9"/>
  <c r="AU42" i="9"/>
  <c r="AU141" i="9" s="1"/>
  <c r="D18" i="32"/>
  <c r="AS122" i="9"/>
  <c r="AS113" i="9"/>
  <c r="AT110" i="9"/>
  <c r="AT38" i="9"/>
  <c r="AT49" i="9"/>
  <c r="AT139" i="9"/>
  <c r="AU140" i="9" s="1"/>
  <c r="AU20" i="9"/>
  <c r="AU14" i="9"/>
  <c r="AU22" i="9"/>
  <c r="AU18" i="9"/>
  <c r="AU17" i="9"/>
  <c r="AU15" i="9"/>
  <c r="AU19" i="9"/>
  <c r="AU24" i="9"/>
  <c r="AU16" i="9"/>
  <c r="AU21" i="9"/>
  <c r="AW9" i="9"/>
  <c r="E11" i="12" s="1"/>
  <c r="D11" i="12" s="1"/>
  <c r="AV10" i="9"/>
  <c r="AV33" i="9" s="1"/>
  <c r="AV90" i="9" s="1"/>
  <c r="AV111" i="9" s="1"/>
  <c r="AV13" i="9"/>
  <c r="AU24" i="5"/>
  <c r="AW10" i="5"/>
  <c r="AW42" i="5"/>
  <c r="AW134" i="5" s="1"/>
  <c r="AW13" i="5"/>
  <c r="E17" i="12"/>
  <c r="D17" i="12" s="1"/>
  <c r="AT49" i="5"/>
  <c r="AT132" i="5"/>
  <c r="AU38" i="21"/>
  <c r="AU140" i="21"/>
  <c r="AV141" i="21" s="1"/>
  <c r="AU49" i="21"/>
  <c r="AU99" i="10"/>
  <c r="AV97" i="10" s="1"/>
  <c r="AW10" i="21"/>
  <c r="AW33" i="21" s="1"/>
  <c r="AW90" i="21" s="1"/>
  <c r="AW111" i="21" s="1"/>
  <c r="AW13" i="21"/>
  <c r="AU110" i="21"/>
  <c r="AT114" i="21"/>
  <c r="AV20" i="21"/>
  <c r="AV21" i="21"/>
  <c r="AV24" i="21"/>
  <c r="AV14" i="21"/>
  <c r="AV22" i="21"/>
  <c r="AV17" i="21"/>
  <c r="AV15" i="21"/>
  <c r="AV18" i="21"/>
  <c r="AV16" i="21"/>
  <c r="AV19" i="21"/>
  <c r="E17" i="36"/>
  <c r="AW32" i="21"/>
  <c r="AW42" i="21" s="1"/>
  <c r="AW142" i="21" s="1"/>
  <c r="AV42" i="21"/>
  <c r="AV142" i="21" s="1"/>
  <c r="AV17" i="5"/>
  <c r="AV22" i="5"/>
  <c r="AV19" i="5"/>
  <c r="AV14" i="5"/>
  <c r="AV21" i="5"/>
  <c r="AV20" i="5"/>
  <c r="AV15" i="5"/>
  <c r="AV16" i="5"/>
  <c r="AV18" i="5"/>
  <c r="AU134" i="10"/>
  <c r="AU137" i="10" s="1"/>
  <c r="AU103" i="10"/>
  <c r="AU92" i="10" s="1"/>
  <c r="AV99" i="21"/>
  <c r="AW97" i="21" s="1"/>
  <c r="AT99" i="24"/>
  <c r="E20" i="36"/>
  <c r="E20" i="12"/>
  <c r="D20" i="12" s="1"/>
  <c r="AV116" i="8"/>
  <c r="AW101" i="21"/>
  <c r="AW98" i="21"/>
  <c r="AW102" i="21" s="1"/>
  <c r="O18" i="12"/>
  <c r="Q18" i="12"/>
  <c r="E18" i="12"/>
  <c r="D18" i="12" s="1"/>
  <c r="E18" i="36"/>
  <c r="V18" i="12"/>
  <c r="U18" i="36"/>
  <c r="W18" i="12"/>
  <c r="X18" i="12"/>
  <c r="Y18" i="12"/>
  <c r="AA18" i="12"/>
  <c r="AC18" i="12"/>
  <c r="AF18" i="12"/>
  <c r="AF18" i="36"/>
  <c r="AH18" i="12"/>
  <c r="AJ18" i="36"/>
  <c r="AM18" i="12"/>
  <c r="AK18" i="12"/>
  <c r="AO18" i="12"/>
  <c r="AO18" i="36"/>
  <c r="AN18" i="12"/>
  <c r="AP18" i="12"/>
  <c r="AQ18" i="12"/>
  <c r="AQ18" i="36"/>
  <c r="AR18" i="12"/>
  <c r="AV128" i="21"/>
  <c r="AV130" i="21" s="1"/>
  <c r="AV103" i="21"/>
  <c r="AV92" i="21" s="1"/>
  <c r="E19" i="36"/>
  <c r="E19" i="12"/>
  <c r="D19" i="12" s="1"/>
  <c r="AW89" i="10"/>
  <c r="AV101" i="10"/>
  <c r="AV98" i="10"/>
  <c r="AV102" i="10" s="1"/>
  <c r="AW14" i="8"/>
  <c r="AW20" i="8"/>
  <c r="AW22" i="8"/>
  <c r="AW24" i="8"/>
  <c r="AW19" i="8"/>
  <c r="AW21" i="8"/>
  <c r="AW17" i="8"/>
  <c r="AW16" i="8"/>
  <c r="AW18" i="8"/>
  <c r="AW15" i="8"/>
  <c r="AV49" i="8"/>
  <c r="AV144" i="8"/>
  <c r="AW145" i="8" s="1"/>
  <c r="AV38" i="8"/>
  <c r="AW110" i="8"/>
  <c r="V95" i="36"/>
  <c r="V95" i="12"/>
  <c r="M15" i="33"/>
  <c r="AU89" i="26"/>
  <c r="AT38" i="26"/>
  <c r="AT142" i="26"/>
  <c r="AT49" i="26"/>
  <c r="AS122" i="26"/>
  <c r="AT110" i="26"/>
  <c r="AS113" i="26"/>
  <c r="AU42" i="26"/>
  <c r="AU144" i="26" s="1"/>
  <c r="AV32" i="26"/>
  <c r="AV13" i="26"/>
  <c r="AV10" i="26"/>
  <c r="AV33" i="26" s="1"/>
  <c r="AV90" i="26" s="1"/>
  <c r="AV111" i="26" s="1"/>
  <c r="AW9" i="26"/>
  <c r="AU24" i="26"/>
  <c r="AU18" i="26"/>
  <c r="AU19" i="26"/>
  <c r="AU15" i="26"/>
  <c r="AU17" i="26"/>
  <c r="AU20" i="26"/>
  <c r="AU21" i="26"/>
  <c r="AU14" i="26"/>
  <c r="AU22" i="26"/>
  <c r="AU16" i="26"/>
  <c r="S94" i="36"/>
  <c r="S94" i="12"/>
  <c r="AI94" i="36"/>
  <c r="AI94" i="12"/>
  <c r="AD94" i="12"/>
  <c r="AD94" i="36"/>
  <c r="T94" i="36"/>
  <c r="T94" i="12"/>
  <c r="AP94" i="12"/>
  <c r="AP94" i="36"/>
  <c r="AN94" i="36"/>
  <c r="AN94" i="12"/>
  <c r="AB94" i="36"/>
  <c r="AB94" i="12"/>
  <c r="R94" i="12"/>
  <c r="R94" i="36"/>
  <c r="AF94" i="12"/>
  <c r="AF94" i="36"/>
  <c r="AA94" i="36"/>
  <c r="AA94" i="12"/>
  <c r="Q94" i="12"/>
  <c r="Q94" i="36"/>
  <c r="U94" i="12"/>
  <c r="U94" i="36"/>
  <c r="AJ94" i="12"/>
  <c r="AJ94" i="36"/>
  <c r="Y94" i="12"/>
  <c r="Y94" i="36"/>
  <c r="AH94" i="36"/>
  <c r="AH94" i="12"/>
  <c r="V94" i="12"/>
  <c r="V94" i="36"/>
  <c r="AE94" i="12"/>
  <c r="AE94" i="36"/>
  <c r="AO94" i="12"/>
  <c r="AO94" i="36"/>
  <c r="AM94" i="36"/>
  <c r="AM94" i="12"/>
  <c r="Z94" i="12"/>
  <c r="Z94" i="36"/>
  <c r="L20" i="36"/>
  <c r="K20" i="12"/>
  <c r="K22" i="12" s="1"/>
  <c r="AC20" i="12"/>
  <c r="Y20" i="36"/>
  <c r="AA20" i="12"/>
  <c r="AC20" i="36"/>
  <c r="AK20" i="12"/>
  <c r="AH20" i="36"/>
  <c r="X20" i="12"/>
  <c r="AR20" i="12"/>
  <c r="U20" i="36"/>
  <c r="AD20" i="36"/>
  <c r="AE20" i="36"/>
  <c r="P20" i="12"/>
  <c r="T20" i="36"/>
  <c r="N20" i="12"/>
  <c r="AJ20" i="12"/>
  <c r="W20" i="36"/>
  <c r="AI20" i="12"/>
  <c r="Q20" i="36"/>
  <c r="AR20" i="36"/>
  <c r="AF20" i="36"/>
  <c r="AM20" i="12"/>
  <c r="AF20" i="12"/>
  <c r="S20" i="36"/>
  <c r="P20" i="36"/>
  <c r="R20" i="36"/>
  <c r="AP20" i="12"/>
  <c r="AP20" i="36"/>
  <c r="AB20" i="36"/>
  <c r="S20" i="12"/>
  <c r="AK20" i="36"/>
  <c r="Y20" i="12"/>
  <c r="AQ20" i="36"/>
  <c r="AO20" i="36"/>
  <c r="W20" i="12"/>
  <c r="V20" i="12"/>
  <c r="AA20" i="36"/>
  <c r="AQ20" i="12"/>
  <c r="V20" i="36"/>
  <c r="O20" i="36"/>
  <c r="O20" i="12"/>
  <c r="AJ20" i="36"/>
  <c r="AG20" i="12"/>
  <c r="Z20" i="12"/>
  <c r="N20" i="36"/>
  <c r="X20" i="36"/>
  <c r="AM20" i="36"/>
  <c r="AL20" i="12"/>
  <c r="R20" i="12"/>
  <c r="AN20" i="36"/>
  <c r="AO20" i="12"/>
  <c r="AH20" i="12"/>
  <c r="AE20" i="12"/>
  <c r="AI20" i="36"/>
  <c r="U20" i="12"/>
  <c r="AL20" i="36"/>
  <c r="Z20" i="36"/>
  <c r="Q20" i="12"/>
  <c r="AG20" i="36"/>
  <c r="T20" i="12"/>
  <c r="AB20" i="12"/>
  <c r="AD20" i="12"/>
  <c r="AN20" i="12"/>
  <c r="X94" i="36"/>
  <c r="X94" i="12"/>
  <c r="AG94" i="36"/>
  <c r="AG94" i="12"/>
  <c r="AC94" i="36"/>
  <c r="AC94" i="12"/>
  <c r="W94" i="36"/>
  <c r="W94" i="12"/>
  <c r="AK94" i="12"/>
  <c r="AK94" i="36"/>
  <c r="AL94" i="36"/>
  <c r="AL94" i="12"/>
  <c r="J9" i="33"/>
  <c r="N9" i="33"/>
  <c r="M9" i="33"/>
  <c r="AV89" i="24"/>
  <c r="AU101" i="24"/>
  <c r="AU98" i="24"/>
  <c r="AU102" i="24" s="1"/>
  <c r="AU97" i="24"/>
  <c r="AJ19" i="36"/>
  <c r="AR19" i="36"/>
  <c r="O19" i="36"/>
  <c r="AP19" i="12"/>
  <c r="AK19" i="36"/>
  <c r="AM19" i="36"/>
  <c r="P19" i="36"/>
  <c r="S19" i="36"/>
  <c r="AB19" i="36"/>
  <c r="AQ19" i="12"/>
  <c r="U19" i="12"/>
  <c r="O19" i="12"/>
  <c r="R19" i="12"/>
  <c r="T19" i="12"/>
  <c r="AN19" i="12"/>
  <c r="AH19" i="36"/>
  <c r="AN19" i="36"/>
  <c r="AD19" i="36"/>
  <c r="AC19" i="12"/>
  <c r="AD19" i="12"/>
  <c r="AH19" i="12"/>
  <c r="AA19" i="36"/>
  <c r="V19" i="12"/>
  <c r="AL19" i="36"/>
  <c r="AO19" i="36"/>
  <c r="Q19" i="36"/>
  <c r="N19" i="36"/>
  <c r="R19" i="36"/>
  <c r="W19" i="36"/>
  <c r="AA19" i="12"/>
  <c r="AE19" i="12"/>
  <c r="AB19" i="12"/>
  <c r="Q19" i="12"/>
  <c r="AP19" i="36"/>
  <c r="AI19" i="36"/>
  <c r="AG19" i="12"/>
  <c r="Y19" i="12"/>
  <c r="S19" i="12"/>
  <c r="AE19" i="36"/>
  <c r="M19" i="36"/>
  <c r="AO19" i="12"/>
  <c r="AI19" i="12"/>
  <c r="AL19" i="12"/>
  <c r="V19" i="36"/>
  <c r="U19" i="36"/>
  <c r="AQ19" i="36"/>
  <c r="X19" i="12"/>
  <c r="AJ19" i="12"/>
  <c r="T19" i="36"/>
  <c r="P19" i="12"/>
  <c r="AG19" i="36"/>
  <c r="N19" i="12"/>
  <c r="Y19" i="36"/>
  <c r="AK19" i="12"/>
  <c r="W19" i="12"/>
  <c r="X19" i="36"/>
  <c r="AC19" i="36"/>
  <c r="AM19" i="12"/>
  <c r="Z19" i="12"/>
  <c r="AR19" i="12"/>
  <c r="AF19" i="12"/>
  <c r="Z19" i="36"/>
  <c r="AF19" i="36"/>
  <c r="AT147" i="24"/>
  <c r="AT150" i="24" s="1"/>
  <c r="AT103" i="24"/>
  <c r="AT92" i="24" s="1"/>
  <c r="AP126" i="29" l="1"/>
  <c r="AP127" i="29"/>
  <c r="AP128" i="29"/>
  <c r="AK33" i="32"/>
  <c r="AK40" i="32"/>
  <c r="AK47" i="32" s="1"/>
  <c r="AS92" i="36"/>
  <c r="AS92" i="12"/>
  <c r="AP138" i="29"/>
  <c r="AO9" i="33"/>
  <c r="AP127" i="36"/>
  <c r="AP127" i="12"/>
  <c r="AT134" i="12"/>
  <c r="AS191" i="12"/>
  <c r="AP110" i="32"/>
  <c r="AP128" i="32"/>
  <c r="AP130" i="32" s="1"/>
  <c r="AP106" i="32"/>
  <c r="AP108" i="32"/>
  <c r="AO124" i="8" s="1"/>
  <c r="AP107" i="32"/>
  <c r="AO121" i="21" s="1"/>
  <c r="AO122" i="21" s="1"/>
  <c r="AP66" i="36" s="1"/>
  <c r="AP111" i="32"/>
  <c r="AO127" i="10" s="1"/>
  <c r="AO128" i="10" s="1"/>
  <c r="AP39" i="36" s="1"/>
  <c r="AQ103" i="32"/>
  <c r="AP113" i="32"/>
  <c r="AO139" i="24" s="1"/>
  <c r="AP109" i="32"/>
  <c r="AO123" i="26" s="1"/>
  <c r="AP112" i="32"/>
  <c r="AP124" i="8"/>
  <c r="AI51" i="32"/>
  <c r="AI52" i="32" s="1"/>
  <c r="AJ37" i="32"/>
  <c r="AJ51" i="32" s="1"/>
  <c r="AS16" i="24"/>
  <c r="AS18" i="24"/>
  <c r="AS20" i="24"/>
  <c r="AS19" i="24"/>
  <c r="AS21" i="24"/>
  <c r="AS17" i="24"/>
  <c r="AS14" i="24"/>
  <c r="AS15" i="24"/>
  <c r="AS22" i="24"/>
  <c r="AR110" i="24"/>
  <c r="AQ114" i="24"/>
  <c r="AQ113" i="24"/>
  <c r="AQ112" i="24"/>
  <c r="AQ140" i="24"/>
  <c r="AQ118" i="24"/>
  <c r="AR74" i="12"/>
  <c r="AR32" i="12"/>
  <c r="AS88" i="12"/>
  <c r="AR44" i="12"/>
  <c r="AR46" i="12"/>
  <c r="AR156" i="29"/>
  <c r="AR38" i="29"/>
  <c r="AR49" i="29"/>
  <c r="AM142" i="32"/>
  <c r="AM27" i="32"/>
  <c r="AM133" i="32"/>
  <c r="AP91" i="12"/>
  <c r="AP91" i="36"/>
  <c r="AI87" i="32"/>
  <c r="AI86" i="32"/>
  <c r="AP119" i="36"/>
  <c r="AP119" i="12"/>
  <c r="AO119" i="10"/>
  <c r="AO125" i="10" s="1"/>
  <c r="AO122" i="10"/>
  <c r="AP113" i="12"/>
  <c r="AP113" i="36"/>
  <c r="AS134" i="36"/>
  <c r="AR192" i="36"/>
  <c r="AN27" i="32"/>
  <c r="AN142" i="32"/>
  <c r="AN133" i="32"/>
  <c r="AL134" i="32"/>
  <c r="AL28" i="32" s="1"/>
  <c r="AL29" i="32" s="1"/>
  <c r="AL136" i="32"/>
  <c r="AK136" i="32"/>
  <c r="AO6" i="33"/>
  <c r="AR18" i="36"/>
  <c r="AQ49" i="10"/>
  <c r="AQ147" i="10"/>
  <c r="AR148" i="10" s="1"/>
  <c r="AQ38" i="10"/>
  <c r="AT10" i="24"/>
  <c r="AU9" i="24"/>
  <c r="AT13" i="24"/>
  <c r="AT32" i="29"/>
  <c r="AS42" i="29"/>
  <c r="AS158" i="29" s="1"/>
  <c r="AH54" i="32"/>
  <c r="AH53" i="32"/>
  <c r="AS30" i="12"/>
  <c r="AS89" i="12" s="1"/>
  <c r="AS112" i="12" s="1"/>
  <c r="AS135" i="12"/>
  <c r="AS192" i="12" s="1"/>
  <c r="AN123" i="9"/>
  <c r="AO114" i="32"/>
  <c r="AP118" i="12"/>
  <c r="AP118" i="36"/>
  <c r="AR7" i="33"/>
  <c r="AR14" i="33"/>
  <c r="AR10" i="33" s="1"/>
  <c r="AR4" i="33"/>
  <c r="AR30" i="33"/>
  <c r="AR46" i="33" s="1"/>
  <c r="AS3" i="33"/>
  <c r="AR135" i="36"/>
  <c r="AR193" i="36" s="1"/>
  <c r="AR30" i="36"/>
  <c r="AR89" i="36" s="1"/>
  <c r="AR112" i="36" s="1"/>
  <c r="AT10" i="10"/>
  <c r="AT33" i="10" s="1"/>
  <c r="AT90" i="10" s="1"/>
  <c r="AT111" i="10" s="1"/>
  <c r="AT13" i="10"/>
  <c r="AT42" i="10"/>
  <c r="AT149" i="10" s="1"/>
  <c r="AU9" i="10"/>
  <c r="AT12" i="12"/>
  <c r="AT17" i="12"/>
  <c r="AU6" i="12"/>
  <c r="AT8" i="12"/>
  <c r="AT7" i="12"/>
  <c r="AT11" i="12"/>
  <c r="AT13" i="12"/>
  <c r="AM135" i="29"/>
  <c r="AM132" i="29"/>
  <c r="AS20" i="36"/>
  <c r="AR88" i="36"/>
  <c r="AQ32" i="36"/>
  <c r="AQ44" i="36"/>
  <c r="AQ45" i="36"/>
  <c r="AQ74" i="36"/>
  <c r="AQ72" i="36"/>
  <c r="AQ46" i="36"/>
  <c r="AQ113" i="12"/>
  <c r="AQ113" i="36"/>
  <c r="AP119" i="10"/>
  <c r="AP125" i="10" s="1"/>
  <c r="AP122" i="10"/>
  <c r="AP121" i="36"/>
  <c r="AP121" i="12"/>
  <c r="AS95" i="12"/>
  <c r="AS95" i="36"/>
  <c r="AR24" i="24"/>
  <c r="AS16" i="10"/>
  <c r="AS15" i="10"/>
  <c r="AS17" i="10"/>
  <c r="AS19" i="10"/>
  <c r="AS22" i="10"/>
  <c r="AS21" i="10"/>
  <c r="AS18" i="10"/>
  <c r="AS20" i="10"/>
  <c r="AS14" i="10"/>
  <c r="AP138" i="24"/>
  <c r="AP123" i="24"/>
  <c r="AP121" i="24"/>
  <c r="AQ116" i="36"/>
  <c r="AP129" i="24"/>
  <c r="AP122" i="24"/>
  <c r="AP130" i="24"/>
  <c r="AQ116" i="12"/>
  <c r="AP120" i="24"/>
  <c r="AR24" i="10"/>
  <c r="AN130" i="29"/>
  <c r="AQ49" i="24"/>
  <c r="AQ158" i="24"/>
  <c r="AR159" i="24" s="1"/>
  <c r="AQ38" i="24"/>
  <c r="AP121" i="21"/>
  <c r="AP122" i="21" s="1"/>
  <c r="AQ66" i="36" s="1"/>
  <c r="AS20" i="12"/>
  <c r="AR15" i="33"/>
  <c r="AT32" i="24"/>
  <c r="AS42" i="24"/>
  <c r="AS160" i="24" s="1"/>
  <c r="AJ87" i="32"/>
  <c r="AJ86" i="32"/>
  <c r="AP137" i="29"/>
  <c r="AP120" i="29"/>
  <c r="AP121" i="29"/>
  <c r="AP122" i="29"/>
  <c r="AQ124" i="12"/>
  <c r="AQ124" i="36"/>
  <c r="AS11" i="36"/>
  <c r="AT6" i="36"/>
  <c r="AT14" i="36" s="1"/>
  <c r="AS7" i="36"/>
  <c r="AS12" i="36"/>
  <c r="AS8" i="36"/>
  <c r="AS17" i="36"/>
  <c r="AS13" i="36"/>
  <c r="AU9" i="29"/>
  <c r="AT13" i="29"/>
  <c r="AT10" i="29"/>
  <c r="AP128" i="12"/>
  <c r="AP128" i="36"/>
  <c r="AQ126" i="10"/>
  <c r="AR110" i="10"/>
  <c r="AQ116" i="10"/>
  <c r="AQ118" i="10" s="1"/>
  <c r="AQ112" i="10"/>
  <c r="AQ113" i="10"/>
  <c r="AP120" i="12"/>
  <c r="AP120" i="36"/>
  <c r="AQ47" i="33"/>
  <c r="AR112" i="8" s="1"/>
  <c r="AQ48" i="33"/>
  <c r="AR113" i="8" s="1"/>
  <c r="AQ114" i="29"/>
  <c r="AQ138" i="29" s="1"/>
  <c r="AR110" i="29"/>
  <c r="AQ118" i="29"/>
  <c r="AQ113" i="29"/>
  <c r="AQ112" i="29"/>
  <c r="AS20" i="29"/>
  <c r="AS19" i="29"/>
  <c r="AS16" i="29"/>
  <c r="AS14" i="29"/>
  <c r="AS21" i="29"/>
  <c r="AS18" i="29"/>
  <c r="AS22" i="29"/>
  <c r="AS15" i="29"/>
  <c r="AS17" i="29"/>
  <c r="AP126" i="12"/>
  <c r="AO130" i="29"/>
  <c r="AP126" i="36"/>
  <c r="AQ156" i="29"/>
  <c r="AR157" i="29" s="1"/>
  <c r="AQ38" i="29"/>
  <c r="AQ49" i="29"/>
  <c r="AP127" i="10"/>
  <c r="AP128" i="10" s="1"/>
  <c r="AQ39" i="36" s="1"/>
  <c r="D16" i="12"/>
  <c r="AW42" i="32"/>
  <c r="AW44" i="32" s="1"/>
  <c r="AW46" i="32" s="1"/>
  <c r="E11" i="36"/>
  <c r="AV99" i="10"/>
  <c r="AW97" i="10" s="1"/>
  <c r="AW32" i="9"/>
  <c r="AW42" i="9" s="1"/>
  <c r="AW141" i="9" s="1"/>
  <c r="AV42" i="9"/>
  <c r="AV141" i="9" s="1"/>
  <c r="AW10" i="9"/>
  <c r="AW33" i="9" s="1"/>
  <c r="AW90" i="9" s="1"/>
  <c r="AW111" i="9" s="1"/>
  <c r="AW13" i="9"/>
  <c r="AV14" i="9"/>
  <c r="AV21" i="9"/>
  <c r="AV20" i="9"/>
  <c r="AV19" i="9"/>
  <c r="AV18" i="9"/>
  <c r="AV22" i="9"/>
  <c r="AV16" i="9"/>
  <c r="AV24" i="9"/>
  <c r="AV15" i="9"/>
  <c r="AV17" i="9"/>
  <c r="AU110" i="9"/>
  <c r="AT122" i="9"/>
  <c r="AT113" i="9"/>
  <c r="AS15" i="33" s="1"/>
  <c r="AW99" i="21"/>
  <c r="AU49" i="9"/>
  <c r="AU38" i="9"/>
  <c r="AU139" i="9"/>
  <c r="AV140" i="9" s="1"/>
  <c r="AV46" i="32"/>
  <c r="AW19" i="21"/>
  <c r="AW24" i="21"/>
  <c r="D25" i="21" s="1"/>
  <c r="AW22" i="21"/>
  <c r="AW17" i="21"/>
  <c r="AW15" i="21"/>
  <c r="AW16" i="21"/>
  <c r="AW20" i="21"/>
  <c r="AW18" i="21"/>
  <c r="AW21" i="21"/>
  <c r="AW14" i="21"/>
  <c r="AV140" i="21"/>
  <c r="AW141" i="21" s="1"/>
  <c r="AV38" i="21"/>
  <c r="AV49" i="21"/>
  <c r="AW19" i="5"/>
  <c r="AW21" i="5"/>
  <c r="AW15" i="5"/>
  <c r="AW14" i="5"/>
  <c r="AW22" i="5"/>
  <c r="AW18" i="5"/>
  <c r="AW16" i="5"/>
  <c r="AW17" i="5"/>
  <c r="AW20" i="5"/>
  <c r="AU132" i="5"/>
  <c r="AU38" i="5" s="1"/>
  <c r="AU49" i="5"/>
  <c r="AT119" i="21"/>
  <c r="AS13" i="33"/>
  <c r="AT38" i="5"/>
  <c r="AU133" i="5"/>
  <c r="AV24" i="5"/>
  <c r="AV110" i="21"/>
  <c r="AU114" i="21"/>
  <c r="AU119" i="21" s="1"/>
  <c r="AU99" i="24"/>
  <c r="E73" i="36"/>
  <c r="E73" i="12"/>
  <c r="E67" i="12"/>
  <c r="E67" i="36"/>
  <c r="E61" i="36"/>
  <c r="E61" i="12"/>
  <c r="AV103" i="10"/>
  <c r="AV92" i="10" s="1"/>
  <c r="AV134" i="10"/>
  <c r="AV137" i="10" s="1"/>
  <c r="AW128" i="21"/>
  <c r="AW130" i="21" s="1"/>
  <c r="AW103" i="21"/>
  <c r="AW92" i="21" s="1"/>
  <c r="AW101" i="10"/>
  <c r="AW98" i="10"/>
  <c r="AW102" i="10" s="1"/>
  <c r="U66" i="12"/>
  <c r="AK66" i="12"/>
  <c r="S66" i="12"/>
  <c r="AJ72" i="12"/>
  <c r="Y66" i="12"/>
  <c r="W72" i="12"/>
  <c r="Z72" i="12"/>
  <c r="AG66" i="12"/>
  <c r="X72" i="12"/>
  <c r="P72" i="12"/>
  <c r="V72" i="12"/>
  <c r="AI66" i="12"/>
  <c r="X66" i="12"/>
  <c r="AE66" i="12"/>
  <c r="AL66" i="12"/>
  <c r="T66" i="12"/>
  <c r="V66" i="12"/>
  <c r="AD72" i="12"/>
  <c r="W66" i="12"/>
  <c r="AL72" i="12"/>
  <c r="AK72" i="12"/>
  <c r="AB66" i="12"/>
  <c r="R72" i="12"/>
  <c r="AJ66" i="12"/>
  <c r="AC72" i="12"/>
  <c r="AB72" i="12"/>
  <c r="AA66" i="12"/>
  <c r="S72" i="12"/>
  <c r="AM72" i="12"/>
  <c r="AC66" i="12"/>
  <c r="AH72" i="12"/>
  <c r="AM66" i="12"/>
  <c r="AN66" i="12"/>
  <c r="Q72" i="12"/>
  <c r="Y72" i="12"/>
  <c r="AE72" i="12"/>
  <c r="R66" i="12"/>
  <c r="P66" i="12"/>
  <c r="AI72" i="12"/>
  <c r="AA72" i="12"/>
  <c r="U72" i="12"/>
  <c r="AD66" i="12"/>
  <c r="AG72" i="12"/>
  <c r="AF72" i="12"/>
  <c r="Z66" i="12"/>
  <c r="Q66" i="12"/>
  <c r="AF66" i="12"/>
  <c r="AQ72" i="12"/>
  <c r="AH66" i="12"/>
  <c r="T72" i="12"/>
  <c r="AR72" i="12"/>
  <c r="AO66" i="12"/>
  <c r="AO72" i="12"/>
  <c r="AS72" i="12"/>
  <c r="AN72" i="12"/>
  <c r="AP72" i="12"/>
  <c r="AP66" i="12"/>
  <c r="AQ66" i="12"/>
  <c r="D25" i="8"/>
  <c r="D147" i="8" s="1"/>
  <c r="D50" i="8" s="1"/>
  <c r="D51" i="8" s="1"/>
  <c r="H5" i="46" s="1"/>
  <c r="AW49" i="8"/>
  <c r="AW144" i="8"/>
  <c r="AW38" i="8"/>
  <c r="E67" i="8" s="1"/>
  <c r="AW116" i="8"/>
  <c r="R11" i="36"/>
  <c r="R11" i="12"/>
  <c r="Q11" i="12"/>
  <c r="AV24" i="26"/>
  <c r="AV20" i="26"/>
  <c r="AV16" i="26"/>
  <c r="AV21" i="26"/>
  <c r="AV14" i="26"/>
  <c r="AV15" i="26"/>
  <c r="AV19" i="26"/>
  <c r="AV17" i="26"/>
  <c r="AV18" i="26"/>
  <c r="AV22" i="26"/>
  <c r="AV42" i="26"/>
  <c r="AV144" i="26" s="1"/>
  <c r="AW32" i="26"/>
  <c r="AU142" i="26"/>
  <c r="AU38" i="26"/>
  <c r="AU49" i="26"/>
  <c r="AT122" i="26"/>
  <c r="AU110" i="26"/>
  <c r="AT113" i="26"/>
  <c r="AW13" i="26"/>
  <c r="AW10" i="26"/>
  <c r="AW33" i="26" s="1"/>
  <c r="AW90" i="26" s="1"/>
  <c r="AW111" i="26" s="1"/>
  <c r="AF14" i="12"/>
  <c r="AF22" i="12" s="1"/>
  <c r="L14" i="36"/>
  <c r="AB14" i="36"/>
  <c r="AB22" i="36" s="1"/>
  <c r="AB140" i="36" s="1"/>
  <c r="AB144" i="36" s="1"/>
  <c r="W14" i="36"/>
  <c r="W22" i="36" s="1"/>
  <c r="AQ14" i="36"/>
  <c r="AQ22" i="36" s="1"/>
  <c r="AG14" i="36"/>
  <c r="AG22" i="36" s="1"/>
  <c r="S14" i="36"/>
  <c r="AO14" i="36"/>
  <c r="AO22" i="36" s="1"/>
  <c r="AO140" i="36" s="1"/>
  <c r="AO144" i="36" s="1"/>
  <c r="Z14" i="12"/>
  <c r="Z22" i="12" s="1"/>
  <c r="T14" i="36"/>
  <c r="T22" i="36" s="1"/>
  <c r="AE14" i="36"/>
  <c r="AF14" i="36"/>
  <c r="AF22" i="36" s="1"/>
  <c r="AF140" i="36" s="1"/>
  <c r="AF144" i="36" s="1"/>
  <c r="AN14" i="36"/>
  <c r="AN22" i="36" s="1"/>
  <c r="AN152" i="36" s="1"/>
  <c r="AP14" i="36"/>
  <c r="AP22" i="36" s="1"/>
  <c r="AM14" i="36"/>
  <c r="AM22" i="36" s="1"/>
  <c r="AM140" i="36" s="1"/>
  <c r="AM144" i="36" s="1"/>
  <c r="AA14" i="36"/>
  <c r="AA22" i="36" s="1"/>
  <c r="N14" i="36"/>
  <c r="N22" i="36" s="1"/>
  <c r="X14" i="12"/>
  <c r="AK14" i="12"/>
  <c r="AK22" i="12" s="1"/>
  <c r="V14" i="36"/>
  <c r="V22" i="36" s="1"/>
  <c r="V140" i="36" s="1"/>
  <c r="V144" i="36" s="1"/>
  <c r="AI14" i="36"/>
  <c r="AI22" i="36" s="1"/>
  <c r="X14" i="36"/>
  <c r="X22" i="36" s="1"/>
  <c r="AB14" i="12"/>
  <c r="Y14" i="12"/>
  <c r="Y22" i="12" s="1"/>
  <c r="P14" i="36"/>
  <c r="P22" i="36" s="1"/>
  <c r="U14" i="36"/>
  <c r="U22" i="36" s="1"/>
  <c r="U140" i="36" s="1"/>
  <c r="U144" i="36" s="1"/>
  <c r="O14" i="36"/>
  <c r="O22" i="36" s="1"/>
  <c r="S14" i="12"/>
  <c r="U14" i="12"/>
  <c r="AR14" i="36"/>
  <c r="AR22" i="36" s="1"/>
  <c r="Y14" i="36"/>
  <c r="Y22" i="36" s="1"/>
  <c r="AE14" i="12"/>
  <c r="O14" i="12"/>
  <c r="O22" i="12" s="1"/>
  <c r="Q14" i="12"/>
  <c r="AS14" i="36"/>
  <c r="Q14" i="36"/>
  <c r="Q22" i="36" s="1"/>
  <c r="AC14" i="36"/>
  <c r="AC22" i="36" s="1"/>
  <c r="V14" i="12"/>
  <c r="V22" i="12" s="1"/>
  <c r="AH14" i="12"/>
  <c r="AH22" i="12" s="1"/>
  <c r="AP14" i="12"/>
  <c r="AP22" i="12" s="1"/>
  <c r="R14" i="36"/>
  <c r="AA14" i="12"/>
  <c r="AA22" i="12" s="1"/>
  <c r="AD14" i="12"/>
  <c r="W14" i="12"/>
  <c r="W22" i="12" s="1"/>
  <c r="W151" i="12" s="1"/>
  <c r="AS14" i="12"/>
  <c r="AH14" i="36"/>
  <c r="AU14" i="12"/>
  <c r="AJ14" i="12"/>
  <c r="AQ14" i="12"/>
  <c r="AQ22" i="12" s="1"/>
  <c r="AQ151" i="12" s="1"/>
  <c r="P14" i="12"/>
  <c r="AI14" i="12"/>
  <c r="AL14" i="12"/>
  <c r="AD14" i="36"/>
  <c r="AD22" i="36" s="1"/>
  <c r="AN14" i="12"/>
  <c r="AN22" i="12" s="1"/>
  <c r="AK14" i="36"/>
  <c r="AK22" i="36" s="1"/>
  <c r="AK140" i="36" s="1"/>
  <c r="AK144" i="36" s="1"/>
  <c r="Z14" i="36"/>
  <c r="Z22" i="36" s="1"/>
  <c r="Z152" i="36" s="1"/>
  <c r="AR14" i="12"/>
  <c r="AR22" i="12" s="1"/>
  <c r="R14" i="12"/>
  <c r="R22" i="12" s="1"/>
  <c r="R151" i="12" s="1"/>
  <c r="AT14" i="12"/>
  <c r="E14" i="36"/>
  <c r="E22" i="36" s="1"/>
  <c r="AM14" i="12"/>
  <c r="AM22" i="12" s="1"/>
  <c r="AJ14" i="36"/>
  <c r="AJ22" i="36" s="1"/>
  <c r="AO14" i="12"/>
  <c r="AO22" i="12" s="1"/>
  <c r="T14" i="12"/>
  <c r="AC14" i="12"/>
  <c r="AC22" i="12" s="1"/>
  <c r="AG14" i="12"/>
  <c r="AG22" i="12" s="1"/>
  <c r="AL14" i="36"/>
  <c r="E14" i="12"/>
  <c r="AV89" i="26"/>
  <c r="O94" i="36"/>
  <c r="O94" i="12"/>
  <c r="P94" i="36"/>
  <c r="P94" i="12"/>
  <c r="L94" i="12"/>
  <c r="L94" i="36"/>
  <c r="K151" i="12"/>
  <c r="K140" i="12"/>
  <c r="AU147" i="24"/>
  <c r="AU150" i="24" s="1"/>
  <c r="AU103" i="24"/>
  <c r="AU92" i="24" s="1"/>
  <c r="AW89" i="24"/>
  <c r="AV101" i="24"/>
  <c r="AV98" i="24"/>
  <c r="AV102" i="24" s="1"/>
  <c r="AV97" i="24"/>
  <c r="Z145" i="36"/>
  <c r="AG145" i="36"/>
  <c r="R145" i="36"/>
  <c r="M145" i="36"/>
  <c r="W145" i="36"/>
  <c r="AL145" i="36"/>
  <c r="T145" i="36"/>
  <c r="AF145" i="36"/>
  <c r="AD145" i="36"/>
  <c r="U145" i="36"/>
  <c r="AI144" i="12"/>
  <c r="AO145" i="36"/>
  <c r="W198" i="36"/>
  <c r="AC141" i="12"/>
  <c r="AB143" i="12"/>
  <c r="AN145" i="36"/>
  <c r="P141" i="36"/>
  <c r="AI197" i="12"/>
  <c r="AQ143" i="12"/>
  <c r="Q145" i="36"/>
  <c r="AL144" i="12"/>
  <c r="AK143" i="12"/>
  <c r="V141" i="36"/>
  <c r="AN141" i="12"/>
  <c r="W141" i="36"/>
  <c r="AI198" i="36"/>
  <c r="AN143" i="12"/>
  <c r="AD141" i="36"/>
  <c r="AK144" i="12"/>
  <c r="AP197" i="12"/>
  <c r="Y197" i="12"/>
  <c r="AI141" i="12"/>
  <c r="Q141" i="36"/>
  <c r="AR198" i="36"/>
  <c r="AB197" i="12"/>
  <c r="U143" i="12"/>
  <c r="AM144" i="12"/>
  <c r="AD144" i="12"/>
  <c r="AF197" i="12"/>
  <c r="AM141" i="12"/>
  <c r="W197" i="12"/>
  <c r="AS198" i="36"/>
  <c r="X144" i="12"/>
  <c r="O144" i="12"/>
  <c r="AE141" i="12"/>
  <c r="AQ144" i="12"/>
  <c r="AS145" i="36"/>
  <c r="U198" i="36"/>
  <c r="Y143" i="12"/>
  <c r="S145" i="36"/>
  <c r="AB198" i="36"/>
  <c r="AJ198" i="36"/>
  <c r="V144" i="12"/>
  <c r="AF143" i="12"/>
  <c r="AB145" i="36"/>
  <c r="S197" i="12"/>
  <c r="T197" i="12"/>
  <c r="AG141" i="12"/>
  <c r="O197" i="12"/>
  <c r="AB141" i="12"/>
  <c r="AQ197" i="12"/>
  <c r="AL198" i="36"/>
  <c r="X141" i="12"/>
  <c r="AR141" i="12"/>
  <c r="AC141" i="36"/>
  <c r="AN144" i="12"/>
  <c r="AN197" i="12"/>
  <c r="X197" i="12"/>
  <c r="AM198" i="36"/>
  <c r="AH198" i="36"/>
  <c r="AL141" i="36"/>
  <c r="V141" i="12"/>
  <c r="AS141" i="12"/>
  <c r="AS141" i="36"/>
  <c r="Y145" i="36"/>
  <c r="AC145" i="36"/>
  <c r="AH145" i="36"/>
  <c r="O145" i="36"/>
  <c r="AC197" i="12"/>
  <c r="AD198" i="36"/>
  <c r="AG198" i="36"/>
  <c r="AG141" i="36"/>
  <c r="S141" i="36"/>
  <c r="S141" i="12"/>
  <c r="R141" i="12"/>
  <c r="Z197" i="12"/>
  <c r="AE144" i="12"/>
  <c r="AH141" i="12"/>
  <c r="AH197" i="12"/>
  <c r="O143" i="12"/>
  <c r="AG144" i="12"/>
  <c r="S198" i="36"/>
  <c r="AS144" i="12"/>
  <c r="AJ141" i="36"/>
  <c r="AO197" i="12"/>
  <c r="U141" i="36"/>
  <c r="AE197" i="12"/>
  <c r="AO198" i="36"/>
  <c r="P143" i="12"/>
  <c r="AE145" i="36"/>
  <c r="AK141" i="12"/>
  <c r="S144" i="12"/>
  <c r="AD197" i="12"/>
  <c r="AM143" i="12"/>
  <c r="AF198" i="36"/>
  <c r="AP141" i="36"/>
  <c r="AL143" i="12"/>
  <c r="Q144" i="12"/>
  <c r="Z141" i="12"/>
  <c r="AO141" i="12"/>
  <c r="Y144" i="12"/>
  <c r="AA141" i="36"/>
  <c r="W144" i="12"/>
  <c r="Y141" i="12"/>
  <c r="AT143" i="12"/>
  <c r="AA197" i="12"/>
  <c r="R143" i="12"/>
  <c r="U141" i="12"/>
  <c r="R197" i="12"/>
  <c r="AR197" i="12"/>
  <c r="X143" i="12"/>
  <c r="AR144" i="12"/>
  <c r="AP198" i="36"/>
  <c r="AI143" i="12"/>
  <c r="T141" i="12"/>
  <c r="AJ145" i="36"/>
  <c r="V198" i="36"/>
  <c r="AC144" i="12"/>
  <c r="Q197" i="12"/>
  <c r="Z144" i="12"/>
  <c r="AA143" i="12"/>
  <c r="AD141" i="12"/>
  <c r="Z143" i="12"/>
  <c r="AE143" i="12"/>
  <c r="P145" i="36"/>
  <c r="X141" i="36"/>
  <c r="T141" i="36"/>
  <c r="T144" i="12"/>
  <c r="V143" i="12"/>
  <c r="Q141" i="12"/>
  <c r="AR145" i="36"/>
  <c r="AL197" i="12"/>
  <c r="AK197" i="12"/>
  <c r="W141" i="12"/>
  <c r="AK198" i="36"/>
  <c r="AQ141" i="12"/>
  <c r="P197" i="12"/>
  <c r="AE141" i="36"/>
  <c r="AL141" i="12"/>
  <c r="AM197" i="12"/>
  <c r="P198" i="36"/>
  <c r="AE198" i="36"/>
  <c r="T198" i="36"/>
  <c r="X145" i="36"/>
  <c r="AS197" i="12"/>
  <c r="AK141" i="36"/>
  <c r="AA141" i="12"/>
  <c r="AN198" i="36"/>
  <c r="AP144" i="12"/>
  <c r="Y141" i="36"/>
  <c r="AI145" i="36"/>
  <c r="AT141" i="12"/>
  <c r="R198" i="36"/>
  <c r="AB144" i="12"/>
  <c r="Q143" i="12"/>
  <c r="AF144" i="12"/>
  <c r="O141" i="12"/>
  <c r="AG143" i="12"/>
  <c r="S143" i="12"/>
  <c r="P141" i="12"/>
  <c r="AP143" i="12"/>
  <c r="R141" i="36"/>
  <c r="U144" i="12"/>
  <c r="AJ143" i="12"/>
  <c r="AC143" i="12"/>
  <c r="AF141" i="36"/>
  <c r="V197" i="12"/>
  <c r="P144" i="12"/>
  <c r="AT197" i="12"/>
  <c r="T143" i="12"/>
  <c r="X198" i="36"/>
  <c r="AS143" i="12"/>
  <c r="AH141" i="36"/>
  <c r="AK145" i="36"/>
  <c r="AM145" i="36"/>
  <c r="AQ145" i="36"/>
  <c r="Q198" i="36"/>
  <c r="AI141" i="36"/>
  <c r="AP141" i="12"/>
  <c r="O141" i="36"/>
  <c r="AO141" i="36"/>
  <c r="AT144" i="12"/>
  <c r="Y198" i="36"/>
  <c r="O198" i="36"/>
  <c r="AP145" i="36"/>
  <c r="U197" i="12"/>
  <c r="AJ144" i="12"/>
  <c r="AA145" i="36"/>
  <c r="AM141" i="36"/>
  <c r="AJ197" i="12"/>
  <c r="AR143" i="12"/>
  <c r="AC198" i="36"/>
  <c r="Z141" i="36"/>
  <c r="AB141" i="36"/>
  <c r="AA144" i="12"/>
  <c r="AQ198" i="36"/>
  <c r="AH143" i="12"/>
  <c r="R144" i="12"/>
  <c r="AR141" i="36"/>
  <c r="AD143" i="12"/>
  <c r="V145" i="36"/>
  <c r="W143" i="12"/>
  <c r="AG197" i="12"/>
  <c r="AO143" i="12"/>
  <c r="AJ141" i="12"/>
  <c r="AO144" i="12"/>
  <c r="AH144" i="12"/>
  <c r="Z198" i="36"/>
  <c r="AN141" i="36"/>
  <c r="AQ141" i="36"/>
  <c r="AF141" i="12"/>
  <c r="AA198" i="36"/>
  <c r="AR112" i="26" l="1"/>
  <c r="AQ126" i="29"/>
  <c r="AQ127" i="29"/>
  <c r="AQ128" i="29"/>
  <c r="AQ127" i="36"/>
  <c r="AQ127" i="12"/>
  <c r="AS24" i="10"/>
  <c r="AR74" i="36"/>
  <c r="AR32" i="36"/>
  <c r="AR46" i="36"/>
  <c r="AR72" i="36"/>
  <c r="AS88" i="36"/>
  <c r="AR45" i="36"/>
  <c r="AR44" i="36"/>
  <c r="AU12" i="12"/>
  <c r="AU8" i="12"/>
  <c r="AU7" i="12"/>
  <c r="AU13" i="12"/>
  <c r="AU11" i="12"/>
  <c r="AV6" i="12"/>
  <c r="AU17" i="12"/>
  <c r="AT92" i="12"/>
  <c r="AT92" i="36"/>
  <c r="AL40" i="32"/>
  <c r="AL47" i="32" s="1"/>
  <c r="AL33" i="32"/>
  <c r="AQ55" i="12"/>
  <c r="AQ55" i="36"/>
  <c r="AQ126" i="12"/>
  <c r="AQ126" i="36"/>
  <c r="AR158" i="24"/>
  <c r="AS159" i="24" s="1"/>
  <c r="AR38" i="24"/>
  <c r="AR49" i="24"/>
  <c r="AS19" i="36"/>
  <c r="AS19" i="12"/>
  <c r="AN134" i="32"/>
  <c r="AN28" i="32" s="1"/>
  <c r="AN29" i="32" s="1"/>
  <c r="AS24" i="29"/>
  <c r="AQ137" i="29"/>
  <c r="AR124" i="12"/>
  <c r="AR124" i="36"/>
  <c r="AQ122" i="29"/>
  <c r="AQ121" i="29"/>
  <c r="AQ120" i="29"/>
  <c r="AS135" i="36"/>
  <c r="AS193" i="36" s="1"/>
  <c r="AS30" i="36"/>
  <c r="AS89" i="36" s="1"/>
  <c r="AS112" i="36" s="1"/>
  <c r="AQ120" i="36"/>
  <c r="AQ120" i="12"/>
  <c r="AM134" i="32"/>
  <c r="AM28" i="32" s="1"/>
  <c r="AS46" i="12"/>
  <c r="AS74" i="12"/>
  <c r="AT88" i="12"/>
  <c r="AS44" i="12"/>
  <c r="AS32" i="12"/>
  <c r="AR114" i="24"/>
  <c r="AR118" i="24"/>
  <c r="AR112" i="24"/>
  <c r="AR140" i="24"/>
  <c r="AS110" i="24"/>
  <c r="AR113" i="24"/>
  <c r="AO132" i="29"/>
  <c r="AO135" i="29"/>
  <c r="AS110" i="29"/>
  <c r="AR114" i="29"/>
  <c r="AR138" i="29" s="1"/>
  <c r="AR118" i="29"/>
  <c r="AR112" i="29"/>
  <c r="AR113" i="29"/>
  <c r="AT12" i="36"/>
  <c r="AT17" i="36"/>
  <c r="AT11" i="36"/>
  <c r="AT13" i="36"/>
  <c r="AU6" i="36"/>
  <c r="AT7" i="36"/>
  <c r="AT8" i="36"/>
  <c r="AT20" i="36"/>
  <c r="AU32" i="29"/>
  <c r="AT42" i="29"/>
  <c r="AT158" i="29" s="1"/>
  <c r="AM29" i="32"/>
  <c r="AQ109" i="32"/>
  <c r="AP123" i="26" s="1"/>
  <c r="AQ106" i="32"/>
  <c r="AQ108" i="32"/>
  <c r="AQ111" i="32"/>
  <c r="AR103" i="32"/>
  <c r="AQ107" i="32"/>
  <c r="AQ113" i="32"/>
  <c r="AP139" i="24" s="1"/>
  <c r="AQ110" i="32"/>
  <c r="AQ112" i="32"/>
  <c r="AQ128" i="32"/>
  <c r="AT191" i="12"/>
  <c r="AU134" i="12"/>
  <c r="AT19" i="29"/>
  <c r="AT15" i="29"/>
  <c r="AT22" i="29"/>
  <c r="AT16" i="29"/>
  <c r="AT17" i="29"/>
  <c r="AT18" i="29"/>
  <c r="AT20" i="29"/>
  <c r="AT21" i="29"/>
  <c r="AT14" i="29"/>
  <c r="AU42" i="10"/>
  <c r="AU149" i="10" s="1"/>
  <c r="AV9" i="10"/>
  <c r="AU10" i="10"/>
  <c r="AU33" i="10" s="1"/>
  <c r="AU90" i="10" s="1"/>
  <c r="AU111" i="10" s="1"/>
  <c r="AU13" i="10"/>
  <c r="AS7" i="33"/>
  <c r="AS4" i="33"/>
  <c r="AT3" i="33"/>
  <c r="AS30" i="33"/>
  <c r="AS46" i="33" s="1"/>
  <c r="AS14" i="33"/>
  <c r="AS10" i="33" s="1"/>
  <c r="AO124" i="32"/>
  <c r="AP51" i="12"/>
  <c r="AP57" i="12" s="1"/>
  <c r="AT15" i="24"/>
  <c r="AT20" i="24"/>
  <c r="AT14" i="24"/>
  <c r="AT17" i="24"/>
  <c r="AT21" i="24"/>
  <c r="AT18" i="24"/>
  <c r="AT22" i="24"/>
  <c r="AT16" i="24"/>
  <c r="AT19" i="24"/>
  <c r="AQ91" i="12"/>
  <c r="AQ91" i="36"/>
  <c r="AJ52" i="32"/>
  <c r="AR112" i="9"/>
  <c r="AR113" i="36"/>
  <c r="AR113" i="12"/>
  <c r="AQ119" i="10"/>
  <c r="AQ125" i="10" s="1"/>
  <c r="AQ122" i="10"/>
  <c r="AV9" i="29"/>
  <c r="AU13" i="29"/>
  <c r="AU10" i="29"/>
  <c r="AN132" i="29"/>
  <c r="AN135" i="29"/>
  <c r="AQ119" i="12"/>
  <c r="AQ119" i="36"/>
  <c r="AR47" i="33"/>
  <c r="AS112" i="10" s="1"/>
  <c r="AR48" i="33"/>
  <c r="AS113" i="8" s="1"/>
  <c r="AV9" i="24"/>
  <c r="AU10" i="24"/>
  <c r="AU13" i="24"/>
  <c r="AR112" i="21"/>
  <c r="AQ138" i="24"/>
  <c r="AQ122" i="24"/>
  <c r="AR116" i="12"/>
  <c r="AQ130" i="24"/>
  <c r="AQ123" i="24"/>
  <c r="AQ129" i="24"/>
  <c r="AQ121" i="24"/>
  <c r="AR116" i="36"/>
  <c r="AQ120" i="24"/>
  <c r="AS24" i="24"/>
  <c r="AT19" i="36" s="1"/>
  <c r="AI54" i="32"/>
  <c r="AI53" i="32"/>
  <c r="AP9" i="33"/>
  <c r="AS112" i="21"/>
  <c r="AR126" i="10"/>
  <c r="AR116" i="10"/>
  <c r="AR118" i="10" s="1"/>
  <c r="AS110" i="10"/>
  <c r="AR113" i="10"/>
  <c r="AR112" i="10"/>
  <c r="AU32" i="24"/>
  <c r="AT42" i="24"/>
  <c r="AT160" i="24" s="1"/>
  <c r="AS18" i="36"/>
  <c r="AS22" i="36" s="1"/>
  <c r="AR38" i="10"/>
  <c r="AR49" i="10"/>
  <c r="AR147" i="10"/>
  <c r="AS148" i="10" s="1"/>
  <c r="AS149" i="10" s="1"/>
  <c r="AQ121" i="36"/>
  <c r="AQ121" i="12"/>
  <c r="AT30" i="12"/>
  <c r="AT89" i="12" s="1"/>
  <c r="AT112" i="12" s="1"/>
  <c r="AT135" i="12"/>
  <c r="AT192" i="12" s="1"/>
  <c r="AT19" i="10"/>
  <c r="AT15" i="10"/>
  <c r="AT21" i="10"/>
  <c r="AT20" i="10"/>
  <c r="AT22" i="10"/>
  <c r="AT16" i="10"/>
  <c r="AT17" i="10"/>
  <c r="AT14" i="10"/>
  <c r="AT18" i="10"/>
  <c r="AS192" i="36"/>
  <c r="AT134" i="36"/>
  <c r="AQ9" i="33"/>
  <c r="AQ128" i="36"/>
  <c r="AQ128" i="12"/>
  <c r="AQ118" i="12"/>
  <c r="AQ118" i="36"/>
  <c r="AT95" i="36"/>
  <c r="AT95" i="12"/>
  <c r="AS157" i="29"/>
  <c r="AP114" i="32"/>
  <c r="AQ94" i="36"/>
  <c r="AQ94" i="12"/>
  <c r="AK84" i="32"/>
  <c r="AK36" i="32"/>
  <c r="AK37" i="32" s="1"/>
  <c r="AK51" i="32" s="1"/>
  <c r="AK52" i="32" s="1"/>
  <c r="D112" i="29"/>
  <c r="D113" i="29"/>
  <c r="R22" i="36"/>
  <c r="R152" i="36" s="1"/>
  <c r="AV99" i="24"/>
  <c r="AN140" i="12"/>
  <c r="AN151" i="12"/>
  <c r="O140" i="12"/>
  <c r="O151" i="12"/>
  <c r="AW18" i="9"/>
  <c r="AW19" i="9"/>
  <c r="AW17" i="9"/>
  <c r="AW14" i="9"/>
  <c r="AW24" i="9"/>
  <c r="AW16" i="9"/>
  <c r="AW20" i="9"/>
  <c r="AW22" i="9"/>
  <c r="AW21" i="9"/>
  <c r="AW15" i="9"/>
  <c r="D37" i="8"/>
  <c r="D40" i="8" s="1"/>
  <c r="D43" i="8" s="1"/>
  <c r="F4" i="38" s="1"/>
  <c r="F4" i="40" s="1"/>
  <c r="AW99" i="10"/>
  <c r="AV110" i="9"/>
  <c r="AU122" i="9"/>
  <c r="AU113" i="9"/>
  <c r="AT15" i="33" s="1"/>
  <c r="AV139" i="9"/>
  <c r="AW140" i="9" s="1"/>
  <c r="AV49" i="9"/>
  <c r="AV38" i="9"/>
  <c r="Q22" i="12"/>
  <c r="Q151" i="12" s="1"/>
  <c r="AV133" i="5"/>
  <c r="AW24" i="5"/>
  <c r="X12" i="12"/>
  <c r="X22" i="12" s="1"/>
  <c r="AW49" i="21"/>
  <c r="AW38" i="21"/>
  <c r="AW140" i="21"/>
  <c r="AV49" i="5"/>
  <c r="AV132" i="5"/>
  <c r="D148" i="8"/>
  <c r="D149" i="8" s="1"/>
  <c r="E147" i="8" s="1"/>
  <c r="E148" i="8" s="1"/>
  <c r="D143" i="21"/>
  <c r="D135" i="21"/>
  <c r="AW110" i="21"/>
  <c r="AV114" i="21"/>
  <c r="AR140" i="36"/>
  <c r="AR144" i="36" s="1"/>
  <c r="AR152" i="36"/>
  <c r="AQ140" i="36"/>
  <c r="AQ144" i="36" s="1"/>
  <c r="AQ152" i="36"/>
  <c r="AO140" i="12"/>
  <c r="AO151" i="12"/>
  <c r="AC136" i="29"/>
  <c r="AA136" i="29"/>
  <c r="AG136" i="29"/>
  <c r="L136" i="29"/>
  <c r="AF55" i="36"/>
  <c r="Q55" i="36"/>
  <c r="Z136" i="29"/>
  <c r="AI136" i="29"/>
  <c r="Q136" i="29"/>
  <c r="Y136" i="29"/>
  <c r="P136" i="29"/>
  <c r="AQ136" i="29"/>
  <c r="S136" i="29"/>
  <c r="AH136" i="29"/>
  <c r="AM136" i="29"/>
  <c r="M136" i="29"/>
  <c r="AP136" i="29"/>
  <c r="AL136" i="29"/>
  <c r="V136" i="29"/>
  <c r="U136" i="29"/>
  <c r="AD136" i="29"/>
  <c r="Z55" i="36"/>
  <c r="W55" i="36"/>
  <c r="R136" i="29"/>
  <c r="AE55" i="36"/>
  <c r="X136" i="29"/>
  <c r="AI55" i="36"/>
  <c r="AJ55" i="36"/>
  <c r="AO136" i="29"/>
  <c r="AP55" i="36"/>
  <c r="O136" i="29"/>
  <c r="AB55" i="36"/>
  <c r="X55" i="36"/>
  <c r="U55" i="36"/>
  <c r="AE136" i="29"/>
  <c r="T55" i="36"/>
  <c r="AR121" i="5"/>
  <c r="AR122" i="5" s="1"/>
  <c r="V51" i="36"/>
  <c r="V57" i="36" s="1"/>
  <c r="AL55" i="36"/>
  <c r="AK136" i="29"/>
  <c r="AF136" i="29"/>
  <c r="AO55" i="36"/>
  <c r="AM55" i="36"/>
  <c r="N136" i="29"/>
  <c r="W136" i="29"/>
  <c r="AN55" i="36"/>
  <c r="AB136" i="29"/>
  <c r="R55" i="36"/>
  <c r="Y55" i="36"/>
  <c r="AN136" i="29"/>
  <c r="T136" i="29"/>
  <c r="Y51" i="36"/>
  <c r="AJ136" i="29"/>
  <c r="AH55" i="36"/>
  <c r="N121" i="5"/>
  <c r="N122" i="5" s="1"/>
  <c r="AI51" i="36"/>
  <c r="AH121" i="5"/>
  <c r="AH122" i="5" s="1"/>
  <c r="P51" i="36"/>
  <c r="P57" i="36" s="1"/>
  <c r="Q51" i="36"/>
  <c r="Y121" i="5"/>
  <c r="Y122" i="5" s="1"/>
  <c r="AE121" i="5"/>
  <c r="AE122" i="5" s="1"/>
  <c r="AB121" i="5"/>
  <c r="AB122" i="5" s="1"/>
  <c r="AO51" i="36"/>
  <c r="W51" i="36"/>
  <c r="AL51" i="36"/>
  <c r="X121" i="5"/>
  <c r="X122" i="5" s="1"/>
  <c r="AJ121" i="5"/>
  <c r="AJ122" i="5" s="1"/>
  <c r="AQ51" i="36"/>
  <c r="AQ57" i="36" s="1"/>
  <c r="U121" i="5"/>
  <c r="U122" i="5" s="1"/>
  <c r="AN51" i="36"/>
  <c r="AB51" i="36"/>
  <c r="AC51" i="36"/>
  <c r="AC57" i="36" s="1"/>
  <c r="V121" i="5"/>
  <c r="V122" i="5" s="1"/>
  <c r="AG121" i="5"/>
  <c r="AG122" i="5" s="1"/>
  <c r="AF121" i="5"/>
  <c r="AF122" i="5" s="1"/>
  <c r="P121" i="5"/>
  <c r="P122" i="5" s="1"/>
  <c r="AP121" i="5"/>
  <c r="AP122" i="5" s="1"/>
  <c r="AA51" i="36"/>
  <c r="AA57" i="36" s="1"/>
  <c r="AK51" i="36"/>
  <c r="AK57" i="36" s="1"/>
  <c r="AI121" i="5"/>
  <c r="AI122" i="5" s="1"/>
  <c r="AH51" i="36"/>
  <c r="AK121" i="5"/>
  <c r="AK122" i="5" s="1"/>
  <c r="AE51" i="36"/>
  <c r="AC121" i="5"/>
  <c r="AC122" i="5" s="1"/>
  <c r="AJ51" i="36"/>
  <c r="W121" i="5"/>
  <c r="W122" i="5" s="1"/>
  <c r="S121" i="5"/>
  <c r="S122" i="5" s="1"/>
  <c r="AL121" i="5"/>
  <c r="AL122" i="5" s="1"/>
  <c r="AP51" i="36"/>
  <c r="X51" i="36"/>
  <c r="AN121" i="5"/>
  <c r="AN122" i="5" s="1"/>
  <c r="T121" i="5"/>
  <c r="T122" i="5" s="1"/>
  <c r="AA121" i="5"/>
  <c r="AA122" i="5" s="1"/>
  <c r="AO121" i="5"/>
  <c r="AO122" i="5" s="1"/>
  <c r="Z121" i="5"/>
  <c r="Z122" i="5" s="1"/>
  <c r="AM121" i="5"/>
  <c r="AM122" i="5" s="1"/>
  <c r="R121" i="5"/>
  <c r="R122" i="5" s="1"/>
  <c r="AF51" i="36"/>
  <c r="Z51" i="36"/>
  <c r="AQ121" i="5"/>
  <c r="AQ122" i="5" s="1"/>
  <c r="Q121" i="5"/>
  <c r="Q122" i="5" s="1"/>
  <c r="AD121" i="5"/>
  <c r="AD122" i="5" s="1"/>
  <c r="AG51" i="36"/>
  <c r="AG57" i="36" s="1"/>
  <c r="R51" i="36"/>
  <c r="T51" i="36"/>
  <c r="AD51" i="36"/>
  <c r="AD57" i="36" s="1"/>
  <c r="U51" i="36"/>
  <c r="S51" i="36"/>
  <c r="S57" i="36" s="1"/>
  <c r="AM51" i="36"/>
  <c r="AD51" i="12"/>
  <c r="AD57" i="12" s="1"/>
  <c r="AB123" i="9"/>
  <c r="AO51" i="12"/>
  <c r="AN140" i="36"/>
  <c r="AN144" i="36" s="1"/>
  <c r="M72" i="12"/>
  <c r="O72" i="12"/>
  <c r="AR13" i="33"/>
  <c r="AL45" i="12"/>
  <c r="E45" i="36"/>
  <c r="AB39" i="12"/>
  <c r="AL39" i="12"/>
  <c r="Z39" i="12"/>
  <c r="K45" i="12"/>
  <c r="AA39" i="12"/>
  <c r="E39" i="36"/>
  <c r="Q45" i="12"/>
  <c r="P45" i="12"/>
  <c r="AE45" i="12"/>
  <c r="S45" i="12"/>
  <c r="AF39" i="12"/>
  <c r="AK39" i="12"/>
  <c r="T39" i="12"/>
  <c r="M45" i="12"/>
  <c r="AN39" i="12"/>
  <c r="Y45" i="12"/>
  <c r="AN45" i="12"/>
  <c r="L45" i="12"/>
  <c r="N39" i="12"/>
  <c r="AM39" i="12"/>
  <c r="U39" i="12"/>
  <c r="AA45" i="12"/>
  <c r="O39" i="12"/>
  <c r="AB45" i="12"/>
  <c r="W45" i="12"/>
  <c r="AG39" i="12"/>
  <c r="X45" i="12"/>
  <c r="AE39" i="12"/>
  <c r="AJ39" i="12"/>
  <c r="N45" i="12"/>
  <c r="T45" i="12"/>
  <c r="P39" i="12"/>
  <c r="AD45" i="12"/>
  <c r="AG45" i="12"/>
  <c r="Z45" i="12"/>
  <c r="AC45" i="12"/>
  <c r="AH45" i="12"/>
  <c r="E45" i="12"/>
  <c r="AC39" i="12"/>
  <c r="Y39" i="12"/>
  <c r="AI39" i="12"/>
  <c r="AK45" i="12"/>
  <c r="E39" i="12"/>
  <c r="AH39" i="12"/>
  <c r="X39" i="12"/>
  <c r="S39" i="12"/>
  <c r="W39" i="12"/>
  <c r="R45" i="12"/>
  <c r="AP45" i="12"/>
  <c r="Q39" i="12"/>
  <c r="R39" i="12"/>
  <c r="AJ45" i="12"/>
  <c r="V39" i="12"/>
  <c r="U45" i="12"/>
  <c r="AF45" i="12"/>
  <c r="AP39" i="12"/>
  <c r="AM45" i="12"/>
  <c r="AI45" i="12"/>
  <c r="AD39" i="12"/>
  <c r="V45" i="12"/>
  <c r="AO45" i="12"/>
  <c r="AQ39" i="12"/>
  <c r="AO39" i="12"/>
  <c r="AR45" i="12"/>
  <c r="AQ45" i="12"/>
  <c r="AS45" i="12"/>
  <c r="AT45" i="12"/>
  <c r="AW134" i="10"/>
  <c r="AW137" i="10" s="1"/>
  <c r="AW103" i="10"/>
  <c r="AW92" i="10" s="1"/>
  <c r="V152" i="36"/>
  <c r="AK152" i="36"/>
  <c r="D94" i="8"/>
  <c r="E79" i="8"/>
  <c r="AM152" i="36"/>
  <c r="AQ140" i="12"/>
  <c r="E37" i="8"/>
  <c r="D53" i="8"/>
  <c r="D54" i="8" s="1"/>
  <c r="W140" i="12"/>
  <c r="O140" i="36"/>
  <c r="O144" i="36" s="1"/>
  <c r="O152" i="36"/>
  <c r="W152" i="36"/>
  <c r="W140" i="36"/>
  <c r="W144" i="36" s="1"/>
  <c r="AM151" i="12"/>
  <c r="AM140" i="12"/>
  <c r="AP151" i="12"/>
  <c r="AP140" i="12"/>
  <c r="T140" i="36"/>
  <c r="T144" i="36" s="1"/>
  <c r="T152" i="36"/>
  <c r="AD140" i="36"/>
  <c r="AD144" i="36" s="1"/>
  <c r="AD152" i="36"/>
  <c r="AH140" i="12"/>
  <c r="AH151" i="12"/>
  <c r="P140" i="36"/>
  <c r="P144" i="36" s="1"/>
  <c r="P152" i="36"/>
  <c r="N140" i="36"/>
  <c r="N144" i="36" s="1"/>
  <c r="N152" i="36"/>
  <c r="Z151" i="12"/>
  <c r="Z140" i="12"/>
  <c r="AF140" i="12"/>
  <c r="AF151" i="12"/>
  <c r="AG140" i="12"/>
  <c r="AG151" i="12"/>
  <c r="V140" i="12"/>
  <c r="V151" i="12"/>
  <c r="Y152" i="36"/>
  <c r="Y140" i="36"/>
  <c r="Y144" i="36" s="1"/>
  <c r="Y140" i="12"/>
  <c r="Y151" i="12"/>
  <c r="AA140" i="36"/>
  <c r="AA144" i="36" s="1"/>
  <c r="AA152" i="36"/>
  <c r="AC140" i="12"/>
  <c r="AC151" i="12"/>
  <c r="AC140" i="36"/>
  <c r="AC144" i="36" s="1"/>
  <c r="AC152" i="36"/>
  <c r="AJ140" i="36"/>
  <c r="AJ144" i="36" s="1"/>
  <c r="AJ152" i="36"/>
  <c r="AR140" i="12"/>
  <c r="AR151" i="12"/>
  <c r="Q140" i="36"/>
  <c r="Q144" i="36" s="1"/>
  <c r="Q152" i="36"/>
  <c r="X140" i="36"/>
  <c r="X144" i="36" s="1"/>
  <c r="X152" i="36"/>
  <c r="AP140" i="36"/>
  <c r="AP144" i="36" s="1"/>
  <c r="AP152" i="36"/>
  <c r="AG140" i="36"/>
  <c r="AG144" i="36" s="1"/>
  <c r="AG152" i="36"/>
  <c r="AK151" i="12"/>
  <c r="AK140" i="12"/>
  <c r="AA151" i="12"/>
  <c r="AA140" i="12"/>
  <c r="AI140" i="36"/>
  <c r="AI144" i="36" s="1"/>
  <c r="AI152" i="36"/>
  <c r="Z140" i="36"/>
  <c r="Z144" i="36" s="1"/>
  <c r="R140" i="12"/>
  <c r="AV38" i="26"/>
  <c r="AV49" i="26"/>
  <c r="AV142" i="26"/>
  <c r="E152" i="36"/>
  <c r="E140" i="36"/>
  <c r="E144" i="36" s="1"/>
  <c r="F170" i="36"/>
  <c r="F182" i="36" s="1"/>
  <c r="AB152" i="36"/>
  <c r="AW24" i="26"/>
  <c r="AW14" i="26"/>
  <c r="AW16" i="26"/>
  <c r="AW22" i="26"/>
  <c r="AW15" i="26"/>
  <c r="AW21" i="26"/>
  <c r="AW18" i="26"/>
  <c r="AW19" i="26"/>
  <c r="AW17" i="26"/>
  <c r="AW20" i="26"/>
  <c r="AW42" i="26"/>
  <c r="E198" i="36"/>
  <c r="E141" i="12"/>
  <c r="E197" i="12"/>
  <c r="E143" i="12"/>
  <c r="E141" i="36"/>
  <c r="E145" i="36"/>
  <c r="E194" i="12"/>
  <c r="E144" i="12"/>
  <c r="E195" i="36"/>
  <c r="E195" i="12"/>
  <c r="AF152" i="36"/>
  <c r="U152" i="36"/>
  <c r="AW89" i="26"/>
  <c r="E22" i="12"/>
  <c r="D14" i="12"/>
  <c r="D10" i="12" s="1"/>
  <c r="AU122" i="26"/>
  <c r="AV110" i="26"/>
  <c r="AU113" i="26"/>
  <c r="AO152" i="36"/>
  <c r="AV147" i="24"/>
  <c r="AV150" i="24" s="1"/>
  <c r="AV103" i="24"/>
  <c r="AW101" i="24"/>
  <c r="AW98" i="24"/>
  <c r="AW102" i="24" s="1"/>
  <c r="AW97" i="24"/>
  <c r="L145" i="36"/>
  <c r="N144" i="12"/>
  <c r="N145" i="36"/>
  <c r="R140" i="36" l="1"/>
  <c r="R144" i="36" s="1"/>
  <c r="AR126" i="29"/>
  <c r="AR127" i="29"/>
  <c r="AR128" i="29"/>
  <c r="AK54" i="32"/>
  <c r="AK53" i="32"/>
  <c r="AS140" i="36"/>
  <c r="AS144" i="36" s="1"/>
  <c r="AS152" i="36"/>
  <c r="AK87" i="32"/>
  <c r="AK86" i="32"/>
  <c r="AV13" i="29"/>
  <c r="AW9" i="29"/>
  <c r="AV10" i="29"/>
  <c r="AJ53" i="32"/>
  <c r="AJ54" i="32"/>
  <c r="AU18" i="36"/>
  <c r="AU12" i="36"/>
  <c r="AU17" i="36"/>
  <c r="AU8" i="36"/>
  <c r="AV6" i="36"/>
  <c r="AU11" i="36"/>
  <c r="AU7" i="36"/>
  <c r="AU13" i="36"/>
  <c r="AU14" i="36"/>
  <c r="AR138" i="24"/>
  <c r="AR123" i="24"/>
  <c r="AR121" i="24"/>
  <c r="AR129" i="24"/>
  <c r="AR120" i="24"/>
  <c r="AS116" i="36"/>
  <c r="AR122" i="24"/>
  <c r="AS116" i="12"/>
  <c r="AR130" i="24"/>
  <c r="AT18" i="36"/>
  <c r="AT22" i="36" s="1"/>
  <c r="AS49" i="10"/>
  <c r="AS147" i="10"/>
  <c r="AT148" i="10" s="1"/>
  <c r="AS38" i="10"/>
  <c r="AT18" i="12"/>
  <c r="AT24" i="10"/>
  <c r="AR94" i="36"/>
  <c r="AR94" i="12"/>
  <c r="AR119" i="12"/>
  <c r="AR119" i="36"/>
  <c r="AU19" i="24"/>
  <c r="AU22" i="24"/>
  <c r="AU14" i="24"/>
  <c r="AU24" i="24" s="1"/>
  <c r="AU15" i="24"/>
  <c r="AU21" i="24"/>
  <c r="AU16" i="24"/>
  <c r="AU17" i="24"/>
  <c r="AU20" i="24"/>
  <c r="AU18" i="24"/>
  <c r="AT24" i="24"/>
  <c r="AS48" i="33"/>
  <c r="AS47" i="33"/>
  <c r="AT112" i="21" s="1"/>
  <c r="AT24" i="29"/>
  <c r="AV32" i="29"/>
  <c r="AU42" i="29"/>
  <c r="AU158" i="29" s="1"/>
  <c r="AS114" i="29"/>
  <c r="AS138" i="29" s="1"/>
  <c r="AS118" i="29"/>
  <c r="AT110" i="29"/>
  <c r="AS112" i="29"/>
  <c r="AS113" i="29"/>
  <c r="AL84" i="32"/>
  <c r="AL36" i="32"/>
  <c r="AL37" i="32" s="1"/>
  <c r="AL51" i="32" s="1"/>
  <c r="AV32" i="24"/>
  <c r="AU42" i="24"/>
  <c r="AU160" i="24" s="1"/>
  <c r="AT7" i="33"/>
  <c r="AT4" i="33"/>
  <c r="AT30" i="33"/>
  <c r="AT46" i="33" s="1"/>
  <c r="AU3" i="33"/>
  <c r="AT14" i="33"/>
  <c r="AT10" i="33" s="1"/>
  <c r="AV134" i="12"/>
  <c r="AU191" i="12"/>
  <c r="AU197" i="12"/>
  <c r="AU141" i="12"/>
  <c r="AU144" i="12"/>
  <c r="AU143" i="12"/>
  <c r="AR106" i="32"/>
  <c r="AR113" i="32"/>
  <c r="AQ139" i="24" s="1"/>
  <c r="AR107" i="32"/>
  <c r="AQ121" i="21" s="1"/>
  <c r="AQ122" i="21" s="1"/>
  <c r="AR112" i="32"/>
  <c r="AR136" i="29" s="1"/>
  <c r="AR109" i="32"/>
  <c r="AQ123" i="26" s="1"/>
  <c r="AR128" i="32"/>
  <c r="AR130" i="32" s="1"/>
  <c r="AR110" i="32"/>
  <c r="AS121" i="5" s="1"/>
  <c r="AS122" i="5" s="1"/>
  <c r="AS103" i="32"/>
  <c r="AR111" i="32"/>
  <c r="AQ127" i="10" s="1"/>
  <c r="AQ128" i="10" s="1"/>
  <c r="AR108" i="32"/>
  <c r="AQ124" i="8" s="1"/>
  <c r="AR121" i="21"/>
  <c r="AR122" i="21" s="1"/>
  <c r="AS46" i="36"/>
  <c r="AS44" i="36"/>
  <c r="AS45" i="36"/>
  <c r="AS32" i="36"/>
  <c r="AS74" i="36"/>
  <c r="AS72" i="36"/>
  <c r="AT88" i="36"/>
  <c r="AP124" i="32"/>
  <c r="AQ51" i="12"/>
  <c r="AQ57" i="12" s="1"/>
  <c r="AR121" i="36"/>
  <c r="AR121" i="12"/>
  <c r="AV10" i="24"/>
  <c r="AV13" i="24"/>
  <c r="AW9" i="24"/>
  <c r="AS156" i="29"/>
  <c r="AT157" i="29" s="1"/>
  <c r="AS38" i="29"/>
  <c r="AS49" i="29"/>
  <c r="AT20" i="12"/>
  <c r="AS94" i="12"/>
  <c r="AS94" i="36"/>
  <c r="AS112" i="26"/>
  <c r="AU92" i="36"/>
  <c r="AU92" i="12"/>
  <c r="AT74" i="12"/>
  <c r="AT46" i="12"/>
  <c r="AT44" i="12"/>
  <c r="AT72" i="12"/>
  <c r="AT32" i="12"/>
  <c r="AU88" i="12"/>
  <c r="AU135" i="12"/>
  <c r="AU192" i="12" s="1"/>
  <c r="AU30" i="12"/>
  <c r="AU89" i="12" s="1"/>
  <c r="AU112" i="12" s="1"/>
  <c r="D44" i="8"/>
  <c r="AS116" i="10"/>
  <c r="AS118" i="10" s="1"/>
  <c r="AT110" i="10"/>
  <c r="AS126" i="10"/>
  <c r="AS113" i="10"/>
  <c r="AT113" i="8"/>
  <c r="AO142" i="32"/>
  <c r="AO27" i="32"/>
  <c r="AO133" i="32"/>
  <c r="AU21" i="10"/>
  <c r="AU14" i="10"/>
  <c r="AU22" i="10"/>
  <c r="AU15" i="10"/>
  <c r="AU16" i="10"/>
  <c r="AU18" i="10"/>
  <c r="AU19" i="10"/>
  <c r="AU20" i="10"/>
  <c r="AU17" i="10"/>
  <c r="AP123" i="9"/>
  <c r="AQ114" i="32"/>
  <c r="AS140" i="24"/>
  <c r="AT110" i="24"/>
  <c r="AS114" i="24"/>
  <c r="AS112" i="24"/>
  <c r="AS113" i="24"/>
  <c r="AS118" i="24"/>
  <c r="AR126" i="12"/>
  <c r="AR126" i="36"/>
  <c r="AN136" i="32"/>
  <c r="AP130" i="29"/>
  <c r="AS112" i="8"/>
  <c r="AT192" i="36"/>
  <c r="AU134" i="36"/>
  <c r="AT141" i="36"/>
  <c r="AT198" i="36"/>
  <c r="AT145" i="36"/>
  <c r="AR119" i="10"/>
  <c r="AR125" i="10" s="1"/>
  <c r="AS113" i="36"/>
  <c r="AR122" i="10"/>
  <c r="AS113" i="12"/>
  <c r="AS158" i="24"/>
  <c r="AT159" i="24" s="1"/>
  <c r="AS49" i="24"/>
  <c r="AS38" i="24"/>
  <c r="AT19" i="12"/>
  <c r="AR120" i="12"/>
  <c r="AR120" i="36"/>
  <c r="AR127" i="12"/>
  <c r="AR127" i="36"/>
  <c r="AN33" i="32"/>
  <c r="AN40" i="32"/>
  <c r="AN47" i="32" s="1"/>
  <c r="AQ6" i="33"/>
  <c r="AT13" i="33"/>
  <c r="AR118" i="36"/>
  <c r="AR118" i="12"/>
  <c r="AS112" i="9"/>
  <c r="AU17" i="29"/>
  <c r="AU18" i="29"/>
  <c r="AU19" i="29"/>
  <c r="AU20" i="29"/>
  <c r="AU16" i="29"/>
  <c r="AU21" i="29"/>
  <c r="AU14" i="29"/>
  <c r="AU15" i="29"/>
  <c r="AU22" i="29"/>
  <c r="AU95" i="12"/>
  <c r="AU95" i="36"/>
  <c r="AV42" i="10"/>
  <c r="AV149" i="10" s="1"/>
  <c r="AW9" i="10"/>
  <c r="AV10" i="10"/>
  <c r="AV33" i="10" s="1"/>
  <c r="AV90" i="10" s="1"/>
  <c r="AV111" i="10" s="1"/>
  <c r="AV13" i="10"/>
  <c r="AM40" i="32"/>
  <c r="AM47" i="32" s="1"/>
  <c r="AM33" i="32"/>
  <c r="AT135" i="36"/>
  <c r="AT193" i="36" s="1"/>
  <c r="AT30" i="36"/>
  <c r="AT89" i="36" s="1"/>
  <c r="AT112" i="36" s="1"/>
  <c r="AR137" i="29"/>
  <c r="AR120" i="29"/>
  <c r="AR121" i="29"/>
  <c r="AS124" i="12"/>
  <c r="AS124" i="36"/>
  <c r="AR122" i="29"/>
  <c r="AM136" i="32"/>
  <c r="AR128" i="36"/>
  <c r="AR128" i="12"/>
  <c r="AV12" i="12"/>
  <c r="AV14" i="12"/>
  <c r="AV13" i="12"/>
  <c r="AV19" i="12"/>
  <c r="AV17" i="12"/>
  <c r="AW6" i="12"/>
  <c r="AV11" i="12"/>
  <c r="AV7" i="12"/>
  <c r="AV8" i="12"/>
  <c r="AR9" i="33"/>
  <c r="W57" i="36"/>
  <c r="N38" i="36"/>
  <c r="N38" i="12"/>
  <c r="Q140" i="12"/>
  <c r="AP57" i="36"/>
  <c r="Q57" i="36"/>
  <c r="E152" i="8"/>
  <c r="E149" i="8"/>
  <c r="F147" i="8" s="1"/>
  <c r="E50" i="8"/>
  <c r="E51" i="8" s="1"/>
  <c r="I5" i="46" s="1"/>
  <c r="AW144" i="26"/>
  <c r="X57" i="36"/>
  <c r="U57" i="36"/>
  <c r="E66" i="12"/>
  <c r="E66" i="36"/>
  <c r="E72" i="12"/>
  <c r="E60" i="12"/>
  <c r="E60" i="36"/>
  <c r="E72" i="36"/>
  <c r="Z57" i="36"/>
  <c r="AF57" i="36"/>
  <c r="AH57" i="36"/>
  <c r="AJ57" i="36"/>
  <c r="T57" i="36"/>
  <c r="AE57" i="36"/>
  <c r="AB57" i="36"/>
  <c r="AO57" i="36"/>
  <c r="AM57" i="36"/>
  <c r="AW110" i="9"/>
  <c r="AV122" i="9"/>
  <c r="AV113" i="9"/>
  <c r="AU15" i="33" s="1"/>
  <c r="D91" i="8"/>
  <c r="AW139" i="9"/>
  <c r="D25" i="9"/>
  <c r="D142" i="9" s="1"/>
  <c r="D50" i="9" s="1"/>
  <c r="D51" i="9" s="1"/>
  <c r="AW38" i="9"/>
  <c r="AW49" i="9"/>
  <c r="X140" i="12"/>
  <c r="X151" i="12"/>
  <c r="D144" i="21"/>
  <c r="D145" i="21" s="1"/>
  <c r="E143" i="21" s="1"/>
  <c r="D37" i="21"/>
  <c r="D50" i="21"/>
  <c r="D51" i="21" s="1"/>
  <c r="D148" i="21"/>
  <c r="AL57" i="36"/>
  <c r="AN57" i="36"/>
  <c r="AV119" i="21"/>
  <c r="AU13" i="33"/>
  <c r="AI57" i="36"/>
  <c r="AV38" i="5"/>
  <c r="AW133" i="5"/>
  <c r="AW132" i="5"/>
  <c r="AW38" i="5" s="1"/>
  <c r="AW49" i="5"/>
  <c r="D25" i="5"/>
  <c r="D135" i="5" s="1"/>
  <c r="AW114" i="21"/>
  <c r="Y57" i="36"/>
  <c r="D136" i="21"/>
  <c r="E135" i="21" s="1"/>
  <c r="E136" i="21" s="1"/>
  <c r="F135" i="21" s="1"/>
  <c r="D138" i="21"/>
  <c r="D35" i="21"/>
  <c r="D36" i="21" s="1"/>
  <c r="M6" i="33"/>
  <c r="S6" i="33"/>
  <c r="M66" i="12"/>
  <c r="N66" i="12"/>
  <c r="O66" i="12"/>
  <c r="AC38" i="12"/>
  <c r="AB124" i="5"/>
  <c r="AC38" i="36"/>
  <c r="AH124" i="5"/>
  <c r="AI38" i="12"/>
  <c r="AI38" i="36"/>
  <c r="U124" i="5"/>
  <c r="V38" i="12"/>
  <c r="V38" i="36"/>
  <c r="AE124" i="5"/>
  <c r="AF38" i="12"/>
  <c r="AF38" i="36"/>
  <c r="Q124" i="5"/>
  <c r="R38" i="12"/>
  <c r="R38" i="36"/>
  <c r="AN38" i="12"/>
  <c r="AM124" i="5"/>
  <c r="AN38" i="36"/>
  <c r="AN124" i="5"/>
  <c r="AO38" i="12"/>
  <c r="AO38" i="36"/>
  <c r="Q38" i="12"/>
  <c r="P124" i="5"/>
  <c r="Q38" i="36"/>
  <c r="Y124" i="5"/>
  <c r="Z38" i="12"/>
  <c r="Z38" i="36"/>
  <c r="U38" i="12"/>
  <c r="T124" i="5"/>
  <c r="U38" i="36"/>
  <c r="J45" i="12"/>
  <c r="O45" i="12"/>
  <c r="K18" i="36"/>
  <c r="M18" i="12"/>
  <c r="P18" i="12"/>
  <c r="P22" i="12" s="1"/>
  <c r="S18" i="12"/>
  <c r="S22" i="12" s="1"/>
  <c r="S18" i="36"/>
  <c r="S22" i="36" s="1"/>
  <c r="T18" i="12"/>
  <c r="T22" i="12" s="1"/>
  <c r="U18" i="12"/>
  <c r="U22" i="12" s="1"/>
  <c r="AB18" i="12"/>
  <c r="AB22" i="12" s="1"/>
  <c r="AD18" i="12"/>
  <c r="AD22" i="12" s="1"/>
  <c r="AE18" i="36"/>
  <c r="AE22" i="36" s="1"/>
  <c r="AE18" i="12"/>
  <c r="AE22" i="12" s="1"/>
  <c r="AH18" i="36"/>
  <c r="AH22" i="36" s="1"/>
  <c r="AI18" i="12"/>
  <c r="AI22" i="12" s="1"/>
  <c r="AJ18" i="12"/>
  <c r="AJ22" i="12" s="1"/>
  <c r="AL18" i="12"/>
  <c r="AL22" i="12" s="1"/>
  <c r="AL18" i="36"/>
  <c r="AL22" i="36" s="1"/>
  <c r="AS18" i="12"/>
  <c r="AS22" i="12" s="1"/>
  <c r="AQ124" i="5"/>
  <c r="AR38" i="12"/>
  <c r="AR38" i="36"/>
  <c r="AL38" i="12"/>
  <c r="AK124" i="5"/>
  <c r="AL38" i="36"/>
  <c r="AF124" i="5"/>
  <c r="AG38" i="12"/>
  <c r="AG38" i="36"/>
  <c r="AJ124" i="5"/>
  <c r="AK38" i="12"/>
  <c r="AK38" i="36"/>
  <c r="N124" i="5"/>
  <c r="AR124" i="5"/>
  <c r="AS38" i="12"/>
  <c r="AS38" i="36"/>
  <c r="E47" i="36"/>
  <c r="E47" i="12"/>
  <c r="AH38" i="12"/>
  <c r="AG124" i="5"/>
  <c r="AH38" i="36"/>
  <c r="X124" i="5"/>
  <c r="Y38" i="12"/>
  <c r="Y38" i="36"/>
  <c r="AD38" i="12"/>
  <c r="AC124" i="5"/>
  <c r="AD38" i="36"/>
  <c r="AS124" i="5"/>
  <c r="Z124" i="5"/>
  <c r="AA38" i="12"/>
  <c r="AA38" i="36"/>
  <c r="AM38" i="12"/>
  <c r="AL124" i="5"/>
  <c r="AM38" i="36"/>
  <c r="AJ38" i="12"/>
  <c r="AI124" i="5"/>
  <c r="AJ38" i="36"/>
  <c r="W38" i="12"/>
  <c r="V124" i="5"/>
  <c r="W38" i="36"/>
  <c r="AD124" i="5"/>
  <c r="AE38" i="12"/>
  <c r="AE38" i="36"/>
  <c r="AP124" i="5"/>
  <c r="AQ38" i="12"/>
  <c r="AQ38" i="36"/>
  <c r="AO124" i="5"/>
  <c r="AP38" i="12"/>
  <c r="AP38" i="36"/>
  <c r="T38" i="12"/>
  <c r="S124" i="5"/>
  <c r="T38" i="36"/>
  <c r="P123" i="9"/>
  <c r="V123" i="9"/>
  <c r="Y123" i="9"/>
  <c r="AL123" i="9"/>
  <c r="AO123" i="9"/>
  <c r="R57" i="36"/>
  <c r="S38" i="12"/>
  <c r="R124" i="5"/>
  <c r="S38" i="36"/>
  <c r="AA124" i="5"/>
  <c r="AB38" i="12"/>
  <c r="AB38" i="36"/>
  <c r="W124" i="5"/>
  <c r="X38" i="12"/>
  <c r="X38" i="36"/>
  <c r="S98" i="8"/>
  <c r="S102" i="8" s="1"/>
  <c r="I101" i="8"/>
  <c r="Q98" i="8"/>
  <c r="Q102" i="8" s="1"/>
  <c r="R98" i="8"/>
  <c r="R102" i="8" s="1"/>
  <c r="Z101" i="8"/>
  <c r="AI101" i="8"/>
  <c r="M98" i="8"/>
  <c r="M102" i="8" s="1"/>
  <c r="AG98" i="8"/>
  <c r="AG102" i="8" s="1"/>
  <c r="O98" i="8"/>
  <c r="O102" i="8" s="1"/>
  <c r="AQ98" i="8"/>
  <c r="AQ102" i="8" s="1"/>
  <c r="AU98" i="8"/>
  <c r="AU102" i="8" s="1"/>
  <c r="V98" i="8"/>
  <c r="V102" i="8" s="1"/>
  <c r="N98" i="8"/>
  <c r="N102" i="8" s="1"/>
  <c r="T101" i="8"/>
  <c r="W98" i="8"/>
  <c r="W102" i="8" s="1"/>
  <c r="AE98" i="8"/>
  <c r="AE102" i="8" s="1"/>
  <c r="AM98" i="8"/>
  <c r="AM102" i="8" s="1"/>
  <c r="AC98" i="8"/>
  <c r="AC102" i="8" s="1"/>
  <c r="AN101" i="8"/>
  <c r="T98" i="8"/>
  <c r="T102" i="8" s="1"/>
  <c r="AQ101" i="8"/>
  <c r="AU101" i="8"/>
  <c r="E98" i="8"/>
  <c r="E102" i="8" s="1"/>
  <c r="X101" i="8"/>
  <c r="Q101" i="8"/>
  <c r="V101" i="8"/>
  <c r="Z98" i="8"/>
  <c r="Z102" i="8" s="1"/>
  <c r="AH101" i="8"/>
  <c r="AF98" i="8"/>
  <c r="AF102" i="8" s="1"/>
  <c r="M101" i="8"/>
  <c r="AD101" i="8"/>
  <c r="AR101" i="8"/>
  <c r="AV98" i="8"/>
  <c r="AV102" i="8" s="1"/>
  <c r="H101" i="8"/>
  <c r="AA98" i="8"/>
  <c r="AA102" i="8" s="1"/>
  <c r="Y101" i="8"/>
  <c r="Y98" i="8"/>
  <c r="Y102" i="8" s="1"/>
  <c r="O101" i="8"/>
  <c r="AL101" i="8"/>
  <c r="L98" i="8"/>
  <c r="L102" i="8" s="1"/>
  <c r="AJ98" i="8"/>
  <c r="AJ102" i="8" s="1"/>
  <c r="S101" i="8"/>
  <c r="AH98" i="8"/>
  <c r="AH102" i="8" s="1"/>
  <c r="AR98" i="8"/>
  <c r="AR102" i="8" s="1"/>
  <c r="AV101" i="8"/>
  <c r="J101" i="8"/>
  <c r="AD98" i="8"/>
  <c r="AD102" i="8" s="1"/>
  <c r="AG101" i="8"/>
  <c r="AB101" i="8"/>
  <c r="U98" i="8"/>
  <c r="U102" i="8" s="1"/>
  <c r="K101" i="8"/>
  <c r="W101" i="8"/>
  <c r="AM101" i="8"/>
  <c r="AC101" i="8"/>
  <c r="AO98" i="8"/>
  <c r="AO102" i="8" s="1"/>
  <c r="AS98" i="8"/>
  <c r="AS102" i="8" s="1"/>
  <c r="AW101" i="8"/>
  <c r="F101" i="8"/>
  <c r="AI98" i="8"/>
  <c r="AI102" i="8" s="1"/>
  <c r="D97" i="8"/>
  <c r="D99" i="8" s="1"/>
  <c r="E97" i="8" s="1"/>
  <c r="E101" i="8"/>
  <c r="AE101" i="8"/>
  <c r="P98" i="8"/>
  <c r="P102" i="8" s="1"/>
  <c r="AB98" i="8"/>
  <c r="AB102" i="8" s="1"/>
  <c r="G101" i="8"/>
  <c r="AK98" i="8"/>
  <c r="AK102" i="8" s="1"/>
  <c r="AO101" i="8"/>
  <c r="AS101" i="8"/>
  <c r="AW98" i="8"/>
  <c r="AW102" i="8" s="1"/>
  <c r="K98" i="8"/>
  <c r="K102" i="8" s="1"/>
  <c r="AL98" i="8"/>
  <c r="AL102" i="8" s="1"/>
  <c r="I98" i="8"/>
  <c r="I102" i="8" s="1"/>
  <c r="G98" i="8"/>
  <c r="G102" i="8" s="1"/>
  <c r="AK101" i="8"/>
  <c r="U101" i="8"/>
  <c r="AF101" i="8"/>
  <c r="R101" i="8"/>
  <c r="AN98" i="8"/>
  <c r="AN102" i="8" s="1"/>
  <c r="AP98" i="8"/>
  <c r="AP102" i="8" s="1"/>
  <c r="AT98" i="8"/>
  <c r="AT102" i="8" s="1"/>
  <c r="N101" i="8"/>
  <c r="F98" i="8"/>
  <c r="F102" i="8" s="1"/>
  <c r="L101" i="8"/>
  <c r="J98" i="8"/>
  <c r="J102" i="8" s="1"/>
  <c r="P101" i="8"/>
  <c r="AA101" i="8"/>
  <c r="AJ101" i="8"/>
  <c r="X98" i="8"/>
  <c r="X102" i="8" s="1"/>
  <c r="H98" i="8"/>
  <c r="H102" i="8" s="1"/>
  <c r="AP101" i="8"/>
  <c r="AT101" i="8"/>
  <c r="E53" i="8"/>
  <c r="F37" i="8"/>
  <c r="F50" i="8"/>
  <c r="F51" i="8" s="1"/>
  <c r="J5" i="46" s="1"/>
  <c r="F148" i="8"/>
  <c r="F149" i="8"/>
  <c r="G147" i="8" s="1"/>
  <c r="F152" i="8"/>
  <c r="D58" i="8"/>
  <c r="AW38" i="26"/>
  <c r="E67" i="26" s="1"/>
  <c r="AW142" i="26"/>
  <c r="AW49" i="26"/>
  <c r="M14" i="36"/>
  <c r="M22" i="36" s="1"/>
  <c r="M14" i="12"/>
  <c r="D25" i="26"/>
  <c r="N14" i="12"/>
  <c r="N22" i="12" s="1"/>
  <c r="E151" i="12"/>
  <c r="E140" i="12"/>
  <c r="AM201" i="36"/>
  <c r="AM205" i="36" s="1"/>
  <c r="AN201" i="36"/>
  <c r="AN205" i="36" s="1"/>
  <c r="W201" i="36"/>
  <c r="W205" i="36" s="1"/>
  <c r="AV204" i="36"/>
  <c r="AV201" i="36"/>
  <c r="AV205" i="36" s="1"/>
  <c r="F201" i="36"/>
  <c r="F205" i="36" s="1"/>
  <c r="AB201" i="36"/>
  <c r="AB205" i="36" s="1"/>
  <c r="AH201" i="36"/>
  <c r="AH205" i="36" s="1"/>
  <c r="AL204" i="36"/>
  <c r="G201" i="36"/>
  <c r="G205" i="36" s="1"/>
  <c r="Z201" i="36"/>
  <c r="Z205" i="36" s="1"/>
  <c r="AR204" i="36"/>
  <c r="AE201" i="36"/>
  <c r="AE205" i="36" s="1"/>
  <c r="AT201" i="36"/>
  <c r="AT205" i="36" s="1"/>
  <c r="AQ201" i="36"/>
  <c r="AQ205" i="36" s="1"/>
  <c r="AP204" i="36"/>
  <c r="H201" i="36"/>
  <c r="H205" i="36" s="1"/>
  <c r="O204" i="36"/>
  <c r="U204" i="36"/>
  <c r="AT204" i="36"/>
  <c r="AI201" i="36"/>
  <c r="AI205" i="36" s="1"/>
  <c r="AD201" i="36"/>
  <c r="AD205" i="36" s="1"/>
  <c r="AJ201" i="36"/>
  <c r="AJ205" i="36" s="1"/>
  <c r="Q201" i="36"/>
  <c r="Q205" i="36" s="1"/>
  <c r="AA201" i="36"/>
  <c r="AA205" i="36" s="1"/>
  <c r="X204" i="36"/>
  <c r="S204" i="36"/>
  <c r="L201" i="36"/>
  <c r="L205" i="36" s="1"/>
  <c r="M204" i="36"/>
  <c r="AS201" i="36"/>
  <c r="AS205" i="36" s="1"/>
  <c r="P201" i="36"/>
  <c r="P205" i="36" s="1"/>
  <c r="AW201" i="36"/>
  <c r="AW205" i="36" s="1"/>
  <c r="AK201" i="36"/>
  <c r="AK205" i="36" s="1"/>
  <c r="AC201" i="36"/>
  <c r="AC205" i="36" s="1"/>
  <c r="AH204" i="36"/>
  <c r="AU204" i="36"/>
  <c r="G204" i="36"/>
  <c r="AI204" i="36"/>
  <c r="N204" i="36"/>
  <c r="U201" i="36"/>
  <c r="U205" i="36" s="1"/>
  <c r="AC204" i="36"/>
  <c r="AQ204" i="36"/>
  <c r="J204" i="36"/>
  <c r="Y201" i="36"/>
  <c r="Y205" i="36" s="1"/>
  <c r="AP201" i="36"/>
  <c r="AP205" i="36" s="1"/>
  <c r="V201" i="36"/>
  <c r="V205" i="36" s="1"/>
  <c r="AS204" i="36"/>
  <c r="Z204" i="36"/>
  <c r="AW204" i="36"/>
  <c r="S201" i="36"/>
  <c r="S205" i="36" s="1"/>
  <c r="AN204" i="36"/>
  <c r="AG201" i="36"/>
  <c r="AG205" i="36" s="1"/>
  <c r="T204" i="36"/>
  <c r="N201" i="36"/>
  <c r="N205" i="36" s="1"/>
  <c r="V204" i="36"/>
  <c r="AK204" i="36"/>
  <c r="Y204" i="36"/>
  <c r="W204" i="36"/>
  <c r="Q204" i="36"/>
  <c r="X201" i="36"/>
  <c r="X205" i="36" s="1"/>
  <c r="M201" i="36"/>
  <c r="M205" i="36" s="1"/>
  <c r="AO201" i="36"/>
  <c r="AO205" i="36" s="1"/>
  <c r="AJ204" i="36"/>
  <c r="H204" i="36"/>
  <c r="J201" i="36"/>
  <c r="J205" i="36" s="1"/>
  <c r="AG204" i="36"/>
  <c r="O201" i="36"/>
  <c r="O205" i="36" s="1"/>
  <c r="K204" i="36"/>
  <c r="AX201" i="36"/>
  <c r="AX205" i="36" s="1"/>
  <c r="AD204" i="36"/>
  <c r="AB204" i="36"/>
  <c r="AO204" i="36"/>
  <c r="R201" i="36"/>
  <c r="R205" i="36" s="1"/>
  <c r="K201" i="36"/>
  <c r="K205" i="36" s="1"/>
  <c r="AF201" i="36"/>
  <c r="AF205" i="36" s="1"/>
  <c r="AR201" i="36"/>
  <c r="AR205" i="36" s="1"/>
  <c r="R204" i="36"/>
  <c r="AE204" i="36"/>
  <c r="AU201" i="36"/>
  <c r="AU205" i="36" s="1"/>
  <c r="P204" i="36"/>
  <c r="I201" i="36"/>
  <c r="I205" i="36" s="1"/>
  <c r="L204" i="36"/>
  <c r="AM204" i="36"/>
  <c r="F204" i="36"/>
  <c r="T201" i="36"/>
  <c r="T205" i="36" s="1"/>
  <c r="AA204" i="36"/>
  <c r="AL201" i="36"/>
  <c r="AL205" i="36" s="1"/>
  <c r="I204" i="36"/>
  <c r="AF204" i="36"/>
  <c r="AX204" i="36"/>
  <c r="AV122" i="26"/>
  <c r="AW110" i="26"/>
  <c r="AV113" i="26"/>
  <c r="K20" i="36"/>
  <c r="K22" i="36" s="1"/>
  <c r="L20" i="12"/>
  <c r="M20" i="12"/>
  <c r="AW103" i="24"/>
  <c r="AW147" i="24"/>
  <c r="AW150" i="24" s="1"/>
  <c r="L19" i="36"/>
  <c r="L22" i="36" s="1"/>
  <c r="L19" i="12"/>
  <c r="M19" i="12"/>
  <c r="W8" i="33" a="1"/>
  <c r="W8" i="33" s="1"/>
  <c r="T47" i="12"/>
  <c r="J8" i="33" a="1"/>
  <c r="J8" i="33" s="1"/>
  <c r="AI8" i="33" a="1"/>
  <c r="AI8" i="33" s="1"/>
  <c r="Z8" i="33" a="1"/>
  <c r="Z8" i="33" s="1"/>
  <c r="AL47" i="36"/>
  <c r="AK47" i="36"/>
  <c r="R47" i="12"/>
  <c r="P8" i="33" a="1"/>
  <c r="P8" i="33" s="1"/>
  <c r="AE47" i="36"/>
  <c r="AR8" i="33" a="1"/>
  <c r="AR8" i="33" s="1"/>
  <c r="S47" i="12"/>
  <c r="AI47" i="12"/>
  <c r="Y47" i="36"/>
  <c r="U47" i="36"/>
  <c r="AG47" i="12"/>
  <c r="V8" i="33" a="1"/>
  <c r="V8" i="33" s="1"/>
  <c r="O47" i="36"/>
  <c r="L47" i="36"/>
  <c r="AM8" i="33" a="1"/>
  <c r="AM8" i="33" s="1"/>
  <c r="AH8" i="33" a="1"/>
  <c r="AH8" i="33" s="1"/>
  <c r="AO8" i="33" a="1"/>
  <c r="AO8" i="33" s="1"/>
  <c r="T8" i="33" a="1"/>
  <c r="T8" i="33" s="1"/>
  <c r="AL8" i="33" a="1"/>
  <c r="AL8" i="33" s="1"/>
  <c r="AQ8" i="33" a="1"/>
  <c r="AQ8" i="33" s="1"/>
  <c r="AT47" i="12"/>
  <c r="Z47" i="12"/>
  <c r="X47" i="36"/>
  <c r="O8" i="33" a="1"/>
  <c r="O8" i="33" s="1"/>
  <c r="T47" i="36"/>
  <c r="AJ47" i="36"/>
  <c r="AF8" i="33" a="1"/>
  <c r="AF8" i="33" s="1"/>
  <c r="AP8" i="33" a="1"/>
  <c r="AP8" i="33" s="1"/>
  <c r="AN47" i="12"/>
  <c r="AK8" i="33" a="1"/>
  <c r="AK8" i="33" s="1"/>
  <c r="R8" i="33" a="1"/>
  <c r="R8" i="33" s="1"/>
  <c r="AD47" i="36"/>
  <c r="AA8" i="33" a="1"/>
  <c r="AA8" i="33" s="1"/>
  <c r="AN8" i="33" a="1"/>
  <c r="AN8" i="33" s="1"/>
  <c r="AC47" i="12"/>
  <c r="AP47" i="12"/>
  <c r="AJ47" i="12"/>
  <c r="AO47" i="12"/>
  <c r="O47" i="12"/>
  <c r="N47" i="12"/>
  <c r="AS47" i="12"/>
  <c r="Q47" i="12"/>
  <c r="S8" i="33" a="1"/>
  <c r="S8" i="33" s="1"/>
  <c r="AI47" i="36"/>
  <c r="AB8" i="33" a="1"/>
  <c r="AB8" i="33" s="1"/>
  <c r="AP47" i="36"/>
  <c r="Z47" i="36"/>
  <c r="AF47" i="12"/>
  <c r="AH47" i="12"/>
  <c r="AU47" i="12"/>
  <c r="Y47" i="12"/>
  <c r="N47" i="36"/>
  <c r="AB47" i="12"/>
  <c r="AH47" i="36"/>
  <c r="AD47" i="12"/>
  <c r="AQ47" i="12"/>
  <c r="AR47" i="36"/>
  <c r="AR47" i="12"/>
  <c r="AC8" i="33" a="1"/>
  <c r="AC8" i="33" s="1"/>
  <c r="AG8" i="33" a="1"/>
  <c r="AG8" i="33" s="1"/>
  <c r="U8" i="33" a="1"/>
  <c r="U8" i="33" s="1"/>
  <c r="AM47" i="36"/>
  <c r="AA47" i="36"/>
  <c r="V47" i="36"/>
  <c r="W47" i="36"/>
  <c r="Q8" i="33" a="1"/>
  <c r="Q8" i="33" s="1"/>
  <c r="AQ47" i="36"/>
  <c r="AS47" i="36"/>
  <c r="X8" i="33" a="1"/>
  <c r="X8" i="33" s="1"/>
  <c r="N8" i="33" a="1"/>
  <c r="N8" i="33" s="1"/>
  <c r="S47" i="36"/>
  <c r="W47" i="12"/>
  <c r="Y8" i="33" a="1"/>
  <c r="Y8" i="33" s="1"/>
  <c r="V47" i="12"/>
  <c r="AG47" i="36"/>
  <c r="AD8" i="33" a="1"/>
  <c r="AD8" i="33" s="1"/>
  <c r="AM47" i="12"/>
  <c r="AK47" i="12"/>
  <c r="AN47" i="36"/>
  <c r="AE47" i="12"/>
  <c r="AA47" i="12"/>
  <c r="AF47" i="36"/>
  <c r="AJ8" i="33" a="1"/>
  <c r="AJ8" i="33" s="1"/>
  <c r="AE8" i="33" a="1"/>
  <c r="AE8" i="33" s="1"/>
  <c r="Q47" i="36"/>
  <c r="AO47" i="36"/>
  <c r="U47" i="12"/>
  <c r="AC47" i="36"/>
  <c r="L8" i="33" a="1"/>
  <c r="L8" i="33" s="1"/>
  <c r="R47" i="36"/>
  <c r="M8" i="33" a="1"/>
  <c r="M8" i="33" s="1"/>
  <c r="AB47" i="36"/>
  <c r="X47" i="12"/>
  <c r="P47" i="12"/>
  <c r="AT47" i="36"/>
  <c r="AL47" i="12"/>
  <c r="P47" i="36"/>
  <c r="AW99" i="24"/>
  <c r="AV92" i="24"/>
  <c r="AT112" i="8" l="1"/>
  <c r="AT112" i="9"/>
  <c r="AS126" i="29"/>
  <c r="AS127" i="29"/>
  <c r="AS128" i="29"/>
  <c r="AN45" i="37"/>
  <c r="AT140" i="36"/>
  <c r="AT144" i="36" s="1"/>
  <c r="AT152" i="36"/>
  <c r="AT94" i="36"/>
  <c r="AT94" i="12"/>
  <c r="AS138" i="24"/>
  <c r="AS120" i="24"/>
  <c r="AS122" i="24"/>
  <c r="AS130" i="24"/>
  <c r="AS121" i="24"/>
  <c r="AS129" i="24"/>
  <c r="AS123" i="24"/>
  <c r="AT116" i="36"/>
  <c r="AT116" i="12"/>
  <c r="AT113" i="36"/>
  <c r="AS122" i="10"/>
  <c r="AT113" i="12"/>
  <c r="AS119" i="10"/>
  <c r="AS125" i="10" s="1"/>
  <c r="AU72" i="12"/>
  <c r="AU74" i="12"/>
  <c r="AU45" i="12"/>
  <c r="AU46" i="12"/>
  <c r="AU32" i="12"/>
  <c r="AV88" i="12"/>
  <c r="AU44" i="12"/>
  <c r="AV14" i="24"/>
  <c r="AV21" i="24"/>
  <c r="AV17" i="24"/>
  <c r="AV15" i="24"/>
  <c r="AV20" i="24"/>
  <c r="AV16" i="24"/>
  <c r="AV18" i="24"/>
  <c r="AV19" i="24"/>
  <c r="AV22" i="24"/>
  <c r="AW32" i="24"/>
  <c r="AW42" i="24" s="1"/>
  <c r="AW160" i="24" s="1"/>
  <c r="AV42" i="24"/>
  <c r="AV160" i="24" s="1"/>
  <c r="AV18" i="10"/>
  <c r="AV14" i="10"/>
  <c r="AV21" i="10"/>
  <c r="AV19" i="10"/>
  <c r="AV15" i="10"/>
  <c r="AV16" i="10"/>
  <c r="AV22" i="10"/>
  <c r="AV17" i="10"/>
  <c r="AV20" i="10"/>
  <c r="AU24" i="29"/>
  <c r="AO134" i="32"/>
  <c r="AO28" i="32" s="1"/>
  <c r="AO136" i="32"/>
  <c r="AR39" i="36"/>
  <c r="AR39" i="12"/>
  <c r="AQ123" i="9"/>
  <c r="AR114" i="32"/>
  <c r="AV95" i="36"/>
  <c r="AV95" i="12"/>
  <c r="AL52" i="32"/>
  <c r="AW32" i="29"/>
  <c r="AW42" i="29" s="1"/>
  <c r="AW158" i="29" s="1"/>
  <c r="AV42" i="29"/>
  <c r="AV158" i="29" s="1"/>
  <c r="AT147" i="10"/>
  <c r="AU148" i="10" s="1"/>
  <c r="AT38" i="10"/>
  <c r="AT49" i="10"/>
  <c r="AU18" i="12"/>
  <c r="AS120" i="12"/>
  <c r="AS120" i="36"/>
  <c r="AV30" i="12"/>
  <c r="AV89" i="12" s="1"/>
  <c r="AV112" i="12" s="1"/>
  <c r="AV135" i="12"/>
  <c r="AV192" i="12" s="1"/>
  <c r="AS127" i="36"/>
  <c r="AS127" i="12"/>
  <c r="AP132" i="29"/>
  <c r="AP135" i="29"/>
  <c r="AO29" i="32"/>
  <c r="AS128" i="32"/>
  <c r="AS130" i="32" s="1"/>
  <c r="AT55" i="12" s="1"/>
  <c r="AS106" i="32"/>
  <c r="AS112" i="32"/>
  <c r="AS107" i="32"/>
  <c r="AS109" i="32"/>
  <c r="AR123" i="26" s="1"/>
  <c r="AS110" i="32"/>
  <c r="AT103" i="32"/>
  <c r="AS111" i="32"/>
  <c r="AR127" i="10" s="1"/>
  <c r="AR128" i="10" s="1"/>
  <c r="AS113" i="32"/>
  <c r="AS139" i="24" s="1"/>
  <c r="AS108" i="32"/>
  <c r="AR124" i="8" s="1"/>
  <c r="AS136" i="29"/>
  <c r="AT121" i="5"/>
  <c r="AT122" i="5" s="1"/>
  <c r="AU7" i="33"/>
  <c r="AU4" i="33"/>
  <c r="AU14" i="33"/>
  <c r="AU10" i="33" s="1"/>
  <c r="AU30" i="33"/>
  <c r="AU46" i="33" s="1"/>
  <c r="AV3" i="33"/>
  <c r="AL87" i="32"/>
  <c r="AL86" i="32"/>
  <c r="AT156" i="29"/>
  <c r="AU157" i="29" s="1"/>
  <c r="AT49" i="29"/>
  <c r="AT38" i="29"/>
  <c r="AU20" i="12"/>
  <c r="AU158" i="24"/>
  <c r="AU38" i="24"/>
  <c r="AU49" i="24"/>
  <c r="AT22" i="12"/>
  <c r="AU30" i="36"/>
  <c r="AU89" i="36" s="1"/>
  <c r="AU112" i="36" s="1"/>
  <c r="AU135" i="36"/>
  <c r="AU193" i="36" s="1"/>
  <c r="AR6" i="33"/>
  <c r="AS126" i="12"/>
  <c r="AS126" i="36"/>
  <c r="AW10" i="10"/>
  <c r="AW33" i="10" s="1"/>
  <c r="AW90" i="10" s="1"/>
  <c r="AW111" i="10" s="1"/>
  <c r="AW42" i="10"/>
  <c r="AW149" i="10" s="1"/>
  <c r="AW13" i="10"/>
  <c r="AT47" i="33"/>
  <c r="AU112" i="9" s="1"/>
  <c r="AT48" i="33"/>
  <c r="AT112" i="26"/>
  <c r="AT49" i="24"/>
  <c r="AT158" i="24"/>
  <c r="AU159" i="24" s="1"/>
  <c r="AT38" i="24"/>
  <c r="AU19" i="12"/>
  <c r="AS118" i="36"/>
  <c r="AS118" i="12"/>
  <c r="AU19" i="36"/>
  <c r="AW14" i="12"/>
  <c r="AW12" i="12"/>
  <c r="AW13" i="12"/>
  <c r="AW8" i="12"/>
  <c r="AX6" i="12"/>
  <c r="AW17" i="12"/>
  <c r="AW11" i="12"/>
  <c r="AW7" i="12"/>
  <c r="AS91" i="36"/>
  <c r="AS91" i="12"/>
  <c r="AQ130" i="29"/>
  <c r="AU110" i="24"/>
  <c r="AT114" i="24"/>
  <c r="AS8" i="33" s="1" a="1"/>
  <c r="AS8" i="33" s="1"/>
  <c r="AT112" i="24"/>
  <c r="AT118" i="24"/>
  <c r="AT113" i="24"/>
  <c r="AT140" i="24"/>
  <c r="AS55" i="12"/>
  <c r="AS55" i="36"/>
  <c r="AP133" i="32"/>
  <c r="AP27" i="32"/>
  <c r="AP142" i="32"/>
  <c r="AT114" i="29"/>
  <c r="AT138" i="29" s="1"/>
  <c r="AU110" i="29"/>
  <c r="AT118" i="29"/>
  <c r="AT112" i="29"/>
  <c r="AT113" i="29"/>
  <c r="AS119" i="12"/>
  <c r="AS119" i="36"/>
  <c r="AV12" i="36"/>
  <c r="AV17" i="36"/>
  <c r="AV19" i="36"/>
  <c r="AV11" i="36"/>
  <c r="AV8" i="36"/>
  <c r="AV14" i="36"/>
  <c r="AV7" i="36"/>
  <c r="AW6" i="36"/>
  <c r="AV13" i="36"/>
  <c r="D53" i="21"/>
  <c r="G4" i="46"/>
  <c r="AN36" i="32"/>
  <c r="AN84" i="32"/>
  <c r="AQ124" i="32"/>
  <c r="AR51" i="12"/>
  <c r="AR51" i="36"/>
  <c r="AS66" i="36"/>
  <c r="AS66" i="12"/>
  <c r="AV92" i="12"/>
  <c r="AV92" i="36"/>
  <c r="AS137" i="29"/>
  <c r="AS122" i="29"/>
  <c r="AS120" i="29"/>
  <c r="AT124" i="12"/>
  <c r="AS121" i="29"/>
  <c r="AT124" i="36"/>
  <c r="AU113" i="8"/>
  <c r="AS121" i="36"/>
  <c r="AS121" i="12"/>
  <c r="AU20" i="36"/>
  <c r="AW13" i="29"/>
  <c r="AW10" i="29"/>
  <c r="AS128" i="12"/>
  <c r="AS128" i="36"/>
  <c r="AM84" i="32"/>
  <c r="AM36" i="32"/>
  <c r="AM37" i="32" s="1"/>
  <c r="AU192" i="36"/>
  <c r="AV134" i="36"/>
  <c r="AU141" i="36"/>
  <c r="AU198" i="36"/>
  <c r="AU145" i="36"/>
  <c r="AU24" i="10"/>
  <c r="AU110" i="10"/>
  <c r="AT126" i="10"/>
  <c r="AT116" i="10"/>
  <c r="AT118" i="10" s="1"/>
  <c r="AT112" i="10"/>
  <c r="AT113" i="10"/>
  <c r="AS6" i="33"/>
  <c r="AW13" i="24"/>
  <c r="AW10" i="24"/>
  <c r="AT74" i="36"/>
  <c r="AT32" i="36"/>
  <c r="AU88" i="36"/>
  <c r="AT45" i="36"/>
  <c r="AT44" i="36"/>
  <c r="AT46" i="36"/>
  <c r="AT72" i="36"/>
  <c r="AR139" i="24"/>
  <c r="AR66" i="12"/>
  <c r="AR66" i="36"/>
  <c r="AV191" i="12"/>
  <c r="AW134" i="12"/>
  <c r="AV143" i="12"/>
  <c r="AV141" i="12"/>
  <c r="AV144" i="12"/>
  <c r="AV197" i="12"/>
  <c r="AV20" i="29"/>
  <c r="AV21" i="29"/>
  <c r="AV18" i="29"/>
  <c r="AV14" i="29"/>
  <c r="AV22" i="29"/>
  <c r="AV15" i="29"/>
  <c r="AV16" i="29"/>
  <c r="AV17" i="29"/>
  <c r="AV19" i="29"/>
  <c r="D143" i="9"/>
  <c r="D144" i="9" s="1"/>
  <c r="E142" i="9" s="1"/>
  <c r="E74" i="12"/>
  <c r="E74" i="36"/>
  <c r="D37" i="9"/>
  <c r="M22" i="12"/>
  <c r="M140" i="12" s="1"/>
  <c r="AW122" i="9"/>
  <c r="AW113" i="9"/>
  <c r="AV15" i="33" s="1"/>
  <c r="F136" i="21"/>
  <c r="G135" i="21" s="1"/>
  <c r="G136" i="21" s="1"/>
  <c r="H135" i="21" s="1"/>
  <c r="AW119" i="21"/>
  <c r="AV13" i="33"/>
  <c r="D47" i="21"/>
  <c r="D54" i="21" s="1"/>
  <c r="D40" i="21"/>
  <c r="E145" i="21"/>
  <c r="F143" i="21" s="1"/>
  <c r="E37" i="21"/>
  <c r="E50" i="21"/>
  <c r="E51" i="21" s="1"/>
  <c r="E144" i="21"/>
  <c r="E148" i="21"/>
  <c r="F138" i="21"/>
  <c r="F35" i="21"/>
  <c r="F36" i="21" s="1"/>
  <c r="F47" i="21" s="1"/>
  <c r="D136" i="5"/>
  <c r="D137" i="5" s="1"/>
  <c r="E135" i="5" s="1"/>
  <c r="D37" i="5"/>
  <c r="D50" i="5"/>
  <c r="D51" i="5" s="1"/>
  <c r="D53" i="5" s="1"/>
  <c r="E138" i="21"/>
  <c r="E35" i="21"/>
  <c r="E36" i="21" s="1"/>
  <c r="AA128" i="5"/>
  <c r="AA35" i="5" s="1"/>
  <c r="AA34" i="5"/>
  <c r="AA125" i="5"/>
  <c r="O51" i="36"/>
  <c r="O57" i="36" s="1"/>
  <c r="P51" i="12"/>
  <c r="Y51" i="12"/>
  <c r="Y57" i="12" s="1"/>
  <c r="AK51" i="12"/>
  <c r="AK57" i="12" s="1"/>
  <c r="AS51" i="12"/>
  <c r="AS57" i="12" s="1"/>
  <c r="AF125" i="5"/>
  <c r="AF128" i="5"/>
  <c r="AF35" i="5" s="1"/>
  <c r="AF34" i="5"/>
  <c r="AL140" i="36"/>
  <c r="AL144" i="36" s="1"/>
  <c r="AL152" i="36"/>
  <c r="AB151" i="12"/>
  <c r="AB140" i="12"/>
  <c r="T125" i="5"/>
  <c r="T34" i="5"/>
  <c r="T128" i="5"/>
  <c r="T35" i="5" s="1"/>
  <c r="P128" i="5"/>
  <c r="P35" i="5" s="1"/>
  <c r="P34" i="5"/>
  <c r="P125" i="5"/>
  <c r="AS125" i="5"/>
  <c r="AS128" i="5"/>
  <c r="AS35" i="5" s="1"/>
  <c r="AS34" i="5"/>
  <c r="AC128" i="5"/>
  <c r="AC35" i="5" s="1"/>
  <c r="AC125" i="5"/>
  <c r="AC34" i="5"/>
  <c r="K55" i="12"/>
  <c r="K57" i="12" s="1"/>
  <c r="N55" i="36"/>
  <c r="N57" i="36" s="1"/>
  <c r="O55" i="12"/>
  <c r="O57" i="12" s="1"/>
  <c r="P55" i="12"/>
  <c r="R55" i="12"/>
  <c r="R57" i="12" s="1"/>
  <c r="AB55" i="12"/>
  <c r="AB57" i="12" s="1"/>
  <c r="AO55" i="12"/>
  <c r="AO57" i="12" s="1"/>
  <c r="AL140" i="12"/>
  <c r="AL151" i="12"/>
  <c r="U151" i="12"/>
  <c r="U140" i="12"/>
  <c r="R128" i="5"/>
  <c r="R35" i="5" s="1"/>
  <c r="R125" i="5"/>
  <c r="R34" i="5"/>
  <c r="S128" i="5"/>
  <c r="S35" i="5" s="1"/>
  <c r="S34" i="5"/>
  <c r="S125" i="5"/>
  <c r="AD125" i="5"/>
  <c r="AD128" i="5"/>
  <c r="AD35" i="5" s="1"/>
  <c r="AD34" i="5"/>
  <c r="AL34" i="5"/>
  <c r="AL128" i="5"/>
  <c r="AL35" i="5" s="1"/>
  <c r="AL125" i="5"/>
  <c r="AK34" i="5"/>
  <c r="AK125" i="5"/>
  <c r="AK128" i="5"/>
  <c r="AK35" i="5" s="1"/>
  <c r="AJ151" i="12"/>
  <c r="AJ140" i="12"/>
  <c r="Q125" i="5"/>
  <c r="Q34" i="5"/>
  <c r="Q128" i="5"/>
  <c r="Q35" i="5" s="1"/>
  <c r="AE128" i="5"/>
  <c r="AE35" i="5" s="1"/>
  <c r="AE125" i="5"/>
  <c r="AE34" i="5"/>
  <c r="AI151" i="12"/>
  <c r="AI140" i="12"/>
  <c r="T140" i="12"/>
  <c r="T151" i="12"/>
  <c r="V128" i="5"/>
  <c r="V35" i="5" s="1"/>
  <c r="V125" i="5"/>
  <c r="V34" i="5"/>
  <c r="X34" i="5"/>
  <c r="X128" i="5"/>
  <c r="X35" i="5" s="1"/>
  <c r="X125" i="5"/>
  <c r="AR128" i="5"/>
  <c r="AR35" i="5" s="1"/>
  <c r="AR125" i="5"/>
  <c r="AR34" i="5"/>
  <c r="AH140" i="36"/>
  <c r="AH144" i="36" s="1"/>
  <c r="AH152" i="36"/>
  <c r="S152" i="36"/>
  <c r="S140" i="36"/>
  <c r="S144" i="36" s="1"/>
  <c r="AN128" i="5"/>
  <c r="AN35" i="5" s="1"/>
  <c r="AN125" i="5"/>
  <c r="AN34" i="5"/>
  <c r="W128" i="5"/>
  <c r="W35" i="5" s="1"/>
  <c r="W34" i="5"/>
  <c r="W125" i="5"/>
  <c r="AJ34" i="5"/>
  <c r="AJ128" i="5"/>
  <c r="AJ35" i="5" s="1"/>
  <c r="AJ125" i="5"/>
  <c r="AE140" i="12"/>
  <c r="AE151" i="12"/>
  <c r="S140" i="12"/>
  <c r="S151" i="12"/>
  <c r="U34" i="5"/>
  <c r="U125" i="5"/>
  <c r="U128" i="5"/>
  <c r="U35" i="5" s="1"/>
  <c r="AH128" i="5"/>
  <c r="AH35" i="5" s="1"/>
  <c r="AH34" i="5"/>
  <c r="AH125" i="5"/>
  <c r="AO128" i="5"/>
  <c r="AO35" i="5" s="1"/>
  <c r="AO125" i="5"/>
  <c r="AO34" i="5"/>
  <c r="Z125" i="5"/>
  <c r="Z34" i="5"/>
  <c r="Z128" i="5"/>
  <c r="Z35" i="5" s="1"/>
  <c r="AG128" i="5"/>
  <c r="AG35" i="5" s="1"/>
  <c r="AG125" i="5"/>
  <c r="AG34" i="5"/>
  <c r="N128" i="5"/>
  <c r="N35" i="5" s="1"/>
  <c r="N125" i="5"/>
  <c r="N34" i="5"/>
  <c r="AQ125" i="5"/>
  <c r="AQ128" i="5"/>
  <c r="AQ35" i="5" s="1"/>
  <c r="AQ34" i="5"/>
  <c r="AE152" i="36"/>
  <c r="AE140" i="36"/>
  <c r="AE144" i="36" s="1"/>
  <c r="P140" i="12"/>
  <c r="P151" i="12"/>
  <c r="Y128" i="5"/>
  <c r="Y35" i="5" s="1"/>
  <c r="Y34" i="5"/>
  <c r="Y125" i="5"/>
  <c r="AM125" i="5"/>
  <c r="AM34" i="5"/>
  <c r="AM128" i="5"/>
  <c r="AM35" i="5" s="1"/>
  <c r="U91" i="36"/>
  <c r="U91" i="12"/>
  <c r="AP125" i="5"/>
  <c r="AP34" i="5"/>
  <c r="AP128" i="5"/>
  <c r="AP35" i="5" s="1"/>
  <c r="AI125" i="5"/>
  <c r="AI34" i="5"/>
  <c r="AI128" i="5"/>
  <c r="AI35" i="5" s="1"/>
  <c r="AS140" i="12"/>
  <c r="AS151" i="12"/>
  <c r="AD140" i="12"/>
  <c r="AD151" i="12"/>
  <c r="AB128" i="5"/>
  <c r="AB35" i="5" s="1"/>
  <c r="AB34" i="5"/>
  <c r="AB125" i="5"/>
  <c r="O91" i="36"/>
  <c r="O91" i="12"/>
  <c r="AJ103" i="8"/>
  <c r="AJ92" i="8" s="1"/>
  <c r="AJ131" i="8"/>
  <c r="AJ134" i="8" s="1"/>
  <c r="AL131" i="8"/>
  <c r="AL134" i="8" s="1"/>
  <c r="AL103" i="8"/>
  <c r="AL92" i="8" s="1"/>
  <c r="AD103" i="8"/>
  <c r="AD92" i="8" s="1"/>
  <c r="AD131" i="8"/>
  <c r="AD134" i="8" s="1"/>
  <c r="X131" i="8"/>
  <c r="X134" i="8" s="1"/>
  <c r="X103" i="8"/>
  <c r="X92" i="8" s="1"/>
  <c r="AA103" i="8"/>
  <c r="AA92" i="8" s="1"/>
  <c r="AA131" i="8"/>
  <c r="AA134" i="8" s="1"/>
  <c r="AE103" i="8"/>
  <c r="AE92" i="8" s="1"/>
  <c r="AE131" i="8"/>
  <c r="AE134" i="8" s="1"/>
  <c r="AC103" i="8"/>
  <c r="AC92" i="8" s="1"/>
  <c r="AC131" i="8"/>
  <c r="AC134" i="8" s="1"/>
  <c r="J103" i="8"/>
  <c r="J92" i="8" s="1"/>
  <c r="J131" i="8"/>
  <c r="J134" i="8" s="1"/>
  <c r="O103" i="8"/>
  <c r="O92" i="8" s="1"/>
  <c r="O131" i="8"/>
  <c r="O134" i="8" s="1"/>
  <c r="M103" i="8"/>
  <c r="M92" i="8" s="1"/>
  <c r="M131" i="8"/>
  <c r="M134" i="8" s="1"/>
  <c r="P103" i="8"/>
  <c r="P92" i="8" s="1"/>
  <c r="P131" i="8"/>
  <c r="P134" i="8" s="1"/>
  <c r="R131" i="8"/>
  <c r="R134" i="8" s="1"/>
  <c r="R103" i="8"/>
  <c r="R92" i="8" s="1"/>
  <c r="E131" i="8"/>
  <c r="E134" i="8" s="1"/>
  <c r="E103" i="8"/>
  <c r="AM131" i="8"/>
  <c r="AM134" i="8" s="1"/>
  <c r="AM103" i="8"/>
  <c r="AM92" i="8" s="1"/>
  <c r="AV103" i="8"/>
  <c r="AV92" i="8" s="1"/>
  <c r="AV131" i="8"/>
  <c r="AV134" i="8" s="1"/>
  <c r="AU103" i="8"/>
  <c r="AU92" i="8" s="1"/>
  <c r="AU131" i="8"/>
  <c r="AU134" i="8" s="1"/>
  <c r="T131" i="8"/>
  <c r="T134" i="8" s="1"/>
  <c r="T103" i="8"/>
  <c r="T92" i="8" s="1"/>
  <c r="AI103" i="8"/>
  <c r="AI92" i="8" s="1"/>
  <c r="AI131" i="8"/>
  <c r="AI134" i="8" s="1"/>
  <c r="AF103" i="8"/>
  <c r="AF92" i="8" s="1"/>
  <c r="AF131" i="8"/>
  <c r="AF134" i="8" s="1"/>
  <c r="AS131" i="8"/>
  <c r="AS134" i="8" s="1"/>
  <c r="AS103" i="8"/>
  <c r="AS92" i="8" s="1"/>
  <c r="W103" i="8"/>
  <c r="W92" i="8" s="1"/>
  <c r="W131" i="8"/>
  <c r="W134" i="8" s="1"/>
  <c r="Y103" i="8"/>
  <c r="Y92" i="8" s="1"/>
  <c r="Y131" i="8"/>
  <c r="Y134" i="8" s="1"/>
  <c r="E99" i="8"/>
  <c r="F97" i="8" s="1"/>
  <c r="F99" i="8" s="1"/>
  <c r="G97" i="8" s="1"/>
  <c r="G99" i="8" s="1"/>
  <c r="H97" i="8" s="1"/>
  <c r="H99" i="8" s="1"/>
  <c r="I97" i="8" s="1"/>
  <c r="I99" i="8" s="1"/>
  <c r="J97" i="8" s="1"/>
  <c r="J99" i="8" s="1"/>
  <c r="K97" i="8" s="1"/>
  <c r="K99" i="8" s="1"/>
  <c r="L97" i="8" s="1"/>
  <c r="L99" i="8" s="1"/>
  <c r="M97" i="8" s="1"/>
  <c r="M99" i="8" s="1"/>
  <c r="N97" i="8" s="1"/>
  <c r="N99" i="8" s="1"/>
  <c r="O97" i="8" s="1"/>
  <c r="O99" i="8" s="1"/>
  <c r="P97" i="8" s="1"/>
  <c r="P99" i="8" s="1"/>
  <c r="Q97" i="8" s="1"/>
  <c r="Q99" i="8" s="1"/>
  <c r="R97" i="8" s="1"/>
  <c r="R99" i="8" s="1"/>
  <c r="S97" i="8" s="1"/>
  <c r="S99" i="8" s="1"/>
  <c r="T97" i="8" s="1"/>
  <c r="T99" i="8" s="1"/>
  <c r="U97" i="8" s="1"/>
  <c r="U99" i="8" s="1"/>
  <c r="V97" i="8" s="1"/>
  <c r="V99" i="8" s="1"/>
  <c r="W97" i="8" s="1"/>
  <c r="W99" i="8" s="1"/>
  <c r="X97" i="8" s="1"/>
  <c r="X99" i="8" s="1"/>
  <c r="Y97" i="8" s="1"/>
  <c r="Y99" i="8" s="1"/>
  <c r="Z97" i="8" s="1"/>
  <c r="Z99" i="8" s="1"/>
  <c r="AA97" i="8" s="1"/>
  <c r="AA99" i="8" s="1"/>
  <c r="AB97" i="8" s="1"/>
  <c r="AB99" i="8" s="1"/>
  <c r="AC97" i="8" s="1"/>
  <c r="AC99" i="8" s="1"/>
  <c r="AD97" i="8" s="1"/>
  <c r="AD99" i="8" s="1"/>
  <c r="AE97" i="8" s="1"/>
  <c r="AE99" i="8" s="1"/>
  <c r="AF97" i="8" s="1"/>
  <c r="AF99" i="8" s="1"/>
  <c r="AG97" i="8" s="1"/>
  <c r="AG99" i="8" s="1"/>
  <c r="AH97" i="8" s="1"/>
  <c r="AH99" i="8" s="1"/>
  <c r="AI97" i="8" s="1"/>
  <c r="AI99" i="8" s="1"/>
  <c r="AJ97" i="8" s="1"/>
  <c r="AJ99" i="8" s="1"/>
  <c r="AK97" i="8" s="1"/>
  <c r="AK99" i="8" s="1"/>
  <c r="AL97" i="8" s="1"/>
  <c r="AL99" i="8" s="1"/>
  <c r="AM97" i="8" s="1"/>
  <c r="AM99" i="8" s="1"/>
  <c r="AN97" i="8" s="1"/>
  <c r="AN99" i="8" s="1"/>
  <c r="AO97" i="8" s="1"/>
  <c r="AO99" i="8" s="1"/>
  <c r="AP97" i="8" s="1"/>
  <c r="AP99" i="8" s="1"/>
  <c r="AQ97" i="8" s="1"/>
  <c r="AQ99" i="8" s="1"/>
  <c r="AR97" i="8" s="1"/>
  <c r="AR99" i="8" s="1"/>
  <c r="AS97" i="8" s="1"/>
  <c r="AS99" i="8" s="1"/>
  <c r="AT97" i="8" s="1"/>
  <c r="AT99" i="8" s="1"/>
  <c r="AU97" i="8" s="1"/>
  <c r="AU99" i="8" s="1"/>
  <c r="AV97" i="8" s="1"/>
  <c r="AV99" i="8" s="1"/>
  <c r="AW97" i="8" s="1"/>
  <c r="AW99" i="8" s="1"/>
  <c r="AQ131" i="8"/>
  <c r="AQ134" i="8" s="1"/>
  <c r="AQ103" i="8"/>
  <c r="AQ92" i="8" s="1"/>
  <c r="Z103" i="8"/>
  <c r="Z92" i="8" s="1"/>
  <c r="Z131" i="8"/>
  <c r="Z134" i="8" s="1"/>
  <c r="AT103" i="8"/>
  <c r="AT92" i="8" s="1"/>
  <c r="AT131" i="8"/>
  <c r="AT134" i="8" s="1"/>
  <c r="L103" i="8"/>
  <c r="L92" i="8" s="1"/>
  <c r="L131" i="8"/>
  <c r="L134" i="8" s="1"/>
  <c r="U103" i="8"/>
  <c r="U92" i="8" s="1"/>
  <c r="U131" i="8"/>
  <c r="U134" i="8" s="1"/>
  <c r="AO103" i="8"/>
  <c r="AO92" i="8" s="1"/>
  <c r="AO131" i="8"/>
  <c r="AO134" i="8" s="1"/>
  <c r="K131" i="8"/>
  <c r="K134" i="8" s="1"/>
  <c r="K103" i="8"/>
  <c r="K92" i="8" s="1"/>
  <c r="AH103" i="8"/>
  <c r="AH92" i="8" s="1"/>
  <c r="AH131" i="8"/>
  <c r="AH134" i="8" s="1"/>
  <c r="AP131" i="8"/>
  <c r="AP134" i="8" s="1"/>
  <c r="AP103" i="8"/>
  <c r="AP92" i="8" s="1"/>
  <c r="AK131" i="8"/>
  <c r="AK134" i="8" s="1"/>
  <c r="AK103" i="8"/>
  <c r="AK92" i="8" s="1"/>
  <c r="F103" i="8"/>
  <c r="F92" i="8" s="1"/>
  <c r="F131" i="8"/>
  <c r="F134" i="8" s="1"/>
  <c r="S103" i="8"/>
  <c r="S92" i="8" s="1"/>
  <c r="S131" i="8"/>
  <c r="S134" i="8" s="1"/>
  <c r="H103" i="8"/>
  <c r="H92" i="8" s="1"/>
  <c r="H131" i="8"/>
  <c r="H134" i="8" s="1"/>
  <c r="AN103" i="8"/>
  <c r="AN92" i="8" s="1"/>
  <c r="AN131" i="8"/>
  <c r="AN134" i="8" s="1"/>
  <c r="N103" i="8"/>
  <c r="N92" i="8" s="1"/>
  <c r="N131" i="8"/>
  <c r="N134" i="8" s="1"/>
  <c r="G131" i="8"/>
  <c r="G134" i="8" s="1"/>
  <c r="G103" i="8"/>
  <c r="G92" i="8" s="1"/>
  <c r="AW103" i="8"/>
  <c r="AW92" i="8" s="1"/>
  <c r="AW131" i="8"/>
  <c r="AW134" i="8" s="1"/>
  <c r="AB103" i="8"/>
  <c r="AB92" i="8" s="1"/>
  <c r="AB131" i="8"/>
  <c r="AB134" i="8" s="1"/>
  <c r="V103" i="8"/>
  <c r="V92" i="8" s="1"/>
  <c r="V131" i="8"/>
  <c r="V134" i="8" s="1"/>
  <c r="I103" i="8"/>
  <c r="I92" i="8" s="1"/>
  <c r="I131" i="8"/>
  <c r="I134" i="8" s="1"/>
  <c r="AG103" i="8"/>
  <c r="AG92" i="8" s="1"/>
  <c r="AG131" i="8"/>
  <c r="AG134" i="8" s="1"/>
  <c r="AR131" i="8"/>
  <c r="AR134" i="8" s="1"/>
  <c r="AR103" i="8"/>
  <c r="AR92" i="8" s="1"/>
  <c r="Q131" i="8"/>
  <c r="Q134" i="8" s="1"/>
  <c r="Q103" i="8"/>
  <c r="Q92" i="8" s="1"/>
  <c r="F53" i="8"/>
  <c r="D59" i="8"/>
  <c r="G37" i="8"/>
  <c r="G50" i="8"/>
  <c r="G51" i="8" s="1"/>
  <c r="K5" i="46" s="1"/>
  <c r="G148" i="8"/>
  <c r="G149" i="8"/>
  <c r="H147" i="8" s="1"/>
  <c r="G152" i="8"/>
  <c r="D53" i="9"/>
  <c r="E144" i="9"/>
  <c r="F142" i="9" s="1"/>
  <c r="E37" i="9"/>
  <c r="E143" i="9"/>
  <c r="E50" i="9"/>
  <c r="E51" i="9" s="1"/>
  <c r="E147" i="9"/>
  <c r="N140" i="12"/>
  <c r="N151" i="12"/>
  <c r="D145" i="26"/>
  <c r="M140" i="36"/>
  <c r="M144" i="36" s="1"/>
  <c r="M152" i="36"/>
  <c r="AW122" i="26"/>
  <c r="AF16" i="33"/>
  <c r="AF25" i="33" s="1"/>
  <c r="Y16" i="33"/>
  <c r="Y25" i="33" s="1"/>
  <c r="O75" i="12"/>
  <c r="AN16" i="33"/>
  <c r="AN25" i="33" s="1"/>
  <c r="M75" i="12"/>
  <c r="K16" i="33"/>
  <c r="K25" i="33" s="1"/>
  <c r="U75" i="12"/>
  <c r="Z75" i="12"/>
  <c r="Y75" i="36"/>
  <c r="W16" i="33"/>
  <c r="W25" i="33" s="1"/>
  <c r="AN75" i="36"/>
  <c r="W75" i="36"/>
  <c r="AT75" i="36"/>
  <c r="AM75" i="12"/>
  <c r="AQ75" i="36"/>
  <c r="X75" i="12"/>
  <c r="AJ75" i="12"/>
  <c r="O75" i="36"/>
  <c r="R16" i="33"/>
  <c r="R25" i="33" s="1"/>
  <c r="AQ16" i="33"/>
  <c r="AQ25" i="33" s="1"/>
  <c r="T75" i="12"/>
  <c r="P75" i="36"/>
  <c r="AL16" i="33"/>
  <c r="AL25" i="33" s="1"/>
  <c r="AR75" i="36"/>
  <c r="M16" i="33"/>
  <c r="M25" i="33" s="1"/>
  <c r="AH16" i="33"/>
  <c r="AH25" i="33" s="1"/>
  <c r="AE16" i="33"/>
  <c r="AE25" i="33" s="1"/>
  <c r="AU75" i="36"/>
  <c r="AB75" i="12"/>
  <c r="AP75" i="12"/>
  <c r="AR75" i="12"/>
  <c r="N75" i="36"/>
  <c r="AE75" i="36"/>
  <c r="AA16" i="33"/>
  <c r="AA25" i="33" s="1"/>
  <c r="C16" i="33"/>
  <c r="AG75" i="12"/>
  <c r="N16" i="33"/>
  <c r="N25" i="33" s="1"/>
  <c r="AR16" i="33"/>
  <c r="AR25" i="33" s="1"/>
  <c r="S16" i="33"/>
  <c r="S25" i="33" s="1"/>
  <c r="U75" i="36"/>
  <c r="S75" i="12"/>
  <c r="AO75" i="36"/>
  <c r="AM16" i="33"/>
  <c r="AM25" i="33" s="1"/>
  <c r="AH75" i="12"/>
  <c r="V16" i="33"/>
  <c r="V25" i="33" s="1"/>
  <c r="Q75" i="12"/>
  <c r="E75" i="12"/>
  <c r="O16" i="33"/>
  <c r="O25" i="33" s="1"/>
  <c r="S75" i="36"/>
  <c r="X16" i="33"/>
  <c r="X25" i="33" s="1"/>
  <c r="AF75" i="36"/>
  <c r="AD75" i="36"/>
  <c r="AK16" i="33"/>
  <c r="AK25" i="33" s="1"/>
  <c r="V75" i="12"/>
  <c r="U16" i="33"/>
  <c r="U25" i="33" s="1"/>
  <c r="Q16" i="33"/>
  <c r="Q25" i="33" s="1"/>
  <c r="AA75" i="12"/>
  <c r="Z75" i="36"/>
  <c r="AH75" i="36"/>
  <c r="AS75" i="12"/>
  <c r="T75" i="36"/>
  <c r="AK75" i="12"/>
  <c r="AG16" i="33"/>
  <c r="AG25" i="33" s="1"/>
  <c r="AC75" i="36"/>
  <c r="AD16" i="33"/>
  <c r="AD25" i="33" s="1"/>
  <c r="AP75" i="36"/>
  <c r="AO16" i="33"/>
  <c r="AO25" i="33" s="1"/>
  <c r="AG75" i="36"/>
  <c r="R75" i="36"/>
  <c r="AA75" i="36"/>
  <c r="Y75" i="12"/>
  <c r="AU75" i="12"/>
  <c r="AB16" i="33"/>
  <c r="AB25" i="33" s="1"/>
  <c r="AK75" i="36"/>
  <c r="T16" i="33"/>
  <c r="T25" i="33" s="1"/>
  <c r="R75" i="12"/>
  <c r="AC16" i="33"/>
  <c r="AC25" i="33" s="1"/>
  <c r="AV75" i="12"/>
  <c r="AI75" i="36"/>
  <c r="AM75" i="36"/>
  <c r="AF75" i="12"/>
  <c r="X75" i="36"/>
  <c r="AS16" i="33"/>
  <c r="AS25" i="33" s="1"/>
  <c r="E75" i="36"/>
  <c r="E81" i="36" s="1"/>
  <c r="AT16" i="33"/>
  <c r="AT25" i="33" s="1"/>
  <c r="AO75" i="12"/>
  <c r="AL75" i="36"/>
  <c r="Q75" i="36"/>
  <c r="P75" i="12"/>
  <c r="AD75" i="12"/>
  <c r="W75" i="12"/>
  <c r="AS75" i="36"/>
  <c r="P16" i="33"/>
  <c r="P25" i="33" s="1"/>
  <c r="AJ16" i="33"/>
  <c r="AJ25" i="33" s="1"/>
  <c r="Z16" i="33"/>
  <c r="Z25" i="33" s="1"/>
  <c r="AB75" i="36"/>
  <c r="AP16" i="33"/>
  <c r="AP25" i="33" s="1"/>
  <c r="AC75" i="12"/>
  <c r="AE75" i="12"/>
  <c r="AQ75" i="12"/>
  <c r="AL75" i="12"/>
  <c r="V75" i="36"/>
  <c r="AI16" i="33"/>
  <c r="AI25" i="33" s="1"/>
  <c r="AN75" i="12"/>
  <c r="AI75" i="12"/>
  <c r="AT75" i="12"/>
  <c r="AJ75" i="36"/>
  <c r="AW113" i="26"/>
  <c r="L16" i="33" s="1"/>
  <c r="L25" i="33" s="1"/>
  <c r="D94" i="26"/>
  <c r="E196" i="12" s="1"/>
  <c r="E79" i="26"/>
  <c r="K140" i="36"/>
  <c r="K144" i="36" s="1"/>
  <c r="K152" i="36"/>
  <c r="L22" i="12"/>
  <c r="O93" i="36"/>
  <c r="O93" i="12"/>
  <c r="M24" i="33"/>
  <c r="AI93" i="36"/>
  <c r="AI93" i="12"/>
  <c r="AM93" i="12"/>
  <c r="AK24" i="33"/>
  <c r="AM93" i="36"/>
  <c r="AR93" i="36"/>
  <c r="AR93" i="12"/>
  <c r="AO24" i="33"/>
  <c r="AQ93" i="36"/>
  <c r="AQ93" i="12"/>
  <c r="J47" i="36"/>
  <c r="M47" i="36"/>
  <c r="M47" i="12"/>
  <c r="AE93" i="36"/>
  <c r="AE93" i="12"/>
  <c r="AC24" i="33"/>
  <c r="T93" i="36"/>
  <c r="T93" i="12"/>
  <c r="R24" i="33"/>
  <c r="AO93" i="36"/>
  <c r="AO93" i="12"/>
  <c r="AM24" i="33"/>
  <c r="R93" i="36"/>
  <c r="R93" i="12"/>
  <c r="AJ93" i="36"/>
  <c r="AJ93" i="12"/>
  <c r="AH24" i="33"/>
  <c r="Y93" i="12"/>
  <c r="W24" i="33"/>
  <c r="Y93" i="36"/>
  <c r="AW92" i="24"/>
  <c r="AL93" i="36"/>
  <c r="AL93" i="12"/>
  <c r="AJ24" i="33"/>
  <c r="AS93" i="36"/>
  <c r="AQ24" i="33"/>
  <c r="AS93" i="12"/>
  <c r="AB93" i="36"/>
  <c r="AB93" i="12"/>
  <c r="Z24" i="33"/>
  <c r="AF93" i="12"/>
  <c r="AD24" i="33"/>
  <c r="AF93" i="36"/>
  <c r="W93" i="12"/>
  <c r="U24" i="33"/>
  <c r="W93" i="36"/>
  <c r="AP93" i="12"/>
  <c r="AP93" i="36"/>
  <c r="AN24" i="33"/>
  <c r="AU93" i="12"/>
  <c r="AU93" i="36"/>
  <c r="AH93" i="36"/>
  <c r="AH93" i="12"/>
  <c r="AF24" i="33"/>
  <c r="AN93" i="36"/>
  <c r="AN93" i="12"/>
  <c r="AL24" i="33"/>
  <c r="Q93" i="36"/>
  <c r="Q93" i="12"/>
  <c r="O24" i="33"/>
  <c r="P93" i="36"/>
  <c r="P93" i="12"/>
  <c r="N24" i="33"/>
  <c r="X93" i="36"/>
  <c r="X93" i="12"/>
  <c r="V24" i="33"/>
  <c r="AK93" i="12"/>
  <c r="AI24" i="33"/>
  <c r="AK93" i="36"/>
  <c r="AG93" i="12"/>
  <c r="AG93" i="36"/>
  <c r="AE24" i="33"/>
  <c r="Z93" i="36"/>
  <c r="Z93" i="12"/>
  <c r="X24" i="33"/>
  <c r="S93" i="36"/>
  <c r="S93" i="12"/>
  <c r="Q24" i="33"/>
  <c r="U93" i="36"/>
  <c r="U93" i="12"/>
  <c r="S24" i="33"/>
  <c r="AC93" i="36"/>
  <c r="AC93" i="12"/>
  <c r="AA24" i="33"/>
  <c r="L93" i="36"/>
  <c r="L93" i="12"/>
  <c r="J24" i="33"/>
  <c r="N93" i="36"/>
  <c r="N93" i="12"/>
  <c r="L24" i="33"/>
  <c r="AA93" i="36"/>
  <c r="AA93" i="12"/>
  <c r="Y24" i="33"/>
  <c r="AD93" i="12"/>
  <c r="AD93" i="36"/>
  <c r="AB24" i="33"/>
  <c r="V93" i="36"/>
  <c r="V93" i="12"/>
  <c r="T24" i="33"/>
  <c r="AR24" i="33"/>
  <c r="AT93" i="36"/>
  <c r="AT93" i="12"/>
  <c r="L140" i="36"/>
  <c r="L144" i="36" s="1"/>
  <c r="L152" i="36"/>
  <c r="AU22" i="36" l="1"/>
  <c r="AU112" i="21"/>
  <c r="AT126" i="29"/>
  <c r="AT127" i="29"/>
  <c r="AT128" i="29"/>
  <c r="AO47" i="37"/>
  <c r="AO45" i="37"/>
  <c r="AU140" i="36"/>
  <c r="AU144" i="36" s="1"/>
  <c r="AU152" i="36"/>
  <c r="E81" i="12"/>
  <c r="AT128" i="12"/>
  <c r="AT128" i="36"/>
  <c r="AQ27" i="32"/>
  <c r="AQ142" i="32"/>
  <c r="AS9" i="33"/>
  <c r="AX17" i="12"/>
  <c r="AX12" i="12"/>
  <c r="AX13" i="12"/>
  <c r="AX11" i="12"/>
  <c r="AX8" i="12"/>
  <c r="AX14" i="12"/>
  <c r="AX7" i="12"/>
  <c r="AR130" i="29"/>
  <c r="AV159" i="24"/>
  <c r="AU22" i="12"/>
  <c r="AV20" i="36"/>
  <c r="AU156" i="29"/>
  <c r="AV157" i="29" s="1"/>
  <c r="AU49" i="29"/>
  <c r="AU38" i="29"/>
  <c r="AV20" i="12"/>
  <c r="AV24" i="10"/>
  <c r="AT118" i="36"/>
  <c r="AT118" i="12"/>
  <c r="E53" i="21"/>
  <c r="H4" i="46"/>
  <c r="AU126" i="10"/>
  <c r="AV110" i="10"/>
  <c r="AU116" i="10"/>
  <c r="AU118" i="10" s="1"/>
  <c r="AU112" i="10"/>
  <c r="AM51" i="32"/>
  <c r="AM52" i="32" s="1"/>
  <c r="AM53" i="32" s="1"/>
  <c r="AM54" i="32" s="1"/>
  <c r="AN37" i="32"/>
  <c r="AN51" i="32" s="1"/>
  <c r="AN86" i="32"/>
  <c r="AN87" i="32"/>
  <c r="AP134" i="32"/>
  <c r="AP28" i="32" s="1"/>
  <c r="AP29" i="32" s="1"/>
  <c r="AP136" i="32"/>
  <c r="AU140" i="24"/>
  <c r="AU113" i="24"/>
  <c r="AV110" i="24"/>
  <c r="AU114" i="24"/>
  <c r="AU118" i="24"/>
  <c r="AU112" i="24"/>
  <c r="AT8" i="33" a="1"/>
  <c r="AT8" i="33" s="1"/>
  <c r="AV7" i="33"/>
  <c r="AV30" i="33"/>
  <c r="AV46" i="33" s="1"/>
  <c r="AV14" i="33"/>
  <c r="AV10" i="33" s="1"/>
  <c r="AV4" i="33"/>
  <c r="AV18" i="36"/>
  <c r="AU38" i="10"/>
  <c r="AU49" i="10"/>
  <c r="AU147" i="10"/>
  <c r="AV148" i="10" s="1"/>
  <c r="AV18" i="12"/>
  <c r="AV22" i="12" s="1"/>
  <c r="AM87" i="32"/>
  <c r="AM86" i="32"/>
  <c r="AQ132" i="29"/>
  <c r="AQ135" i="29"/>
  <c r="AU113" i="10"/>
  <c r="AT91" i="36"/>
  <c r="AT91" i="12"/>
  <c r="AU48" i="33"/>
  <c r="AV113" i="8" s="1"/>
  <c r="AU47" i="33"/>
  <c r="AV112" i="9" s="1"/>
  <c r="AR124" i="32"/>
  <c r="AS51" i="36"/>
  <c r="AS57" i="36" s="1"/>
  <c r="AW16" i="24"/>
  <c r="AW20" i="24"/>
  <c r="AW21" i="24"/>
  <c r="AW22" i="24"/>
  <c r="AW14" i="24"/>
  <c r="AW18" i="24"/>
  <c r="AW17" i="24"/>
  <c r="AW19" i="24"/>
  <c r="AW15" i="24"/>
  <c r="AW95" i="36"/>
  <c r="AW95" i="12"/>
  <c r="AT121" i="12"/>
  <c r="AT121" i="36"/>
  <c r="AV24" i="29"/>
  <c r="AU91" i="12"/>
  <c r="AU91" i="36"/>
  <c r="AT137" i="29"/>
  <c r="AU124" i="12"/>
  <c r="AU124" i="36"/>
  <c r="AT122" i="29"/>
  <c r="AT120" i="29"/>
  <c r="AT121" i="29"/>
  <c r="AW16" i="10"/>
  <c r="AW17" i="10"/>
  <c r="AW20" i="10"/>
  <c r="AW19" i="10"/>
  <c r="AW18" i="10"/>
  <c r="AW22" i="10"/>
  <c r="AW14" i="10"/>
  <c r="AW15" i="10"/>
  <c r="AW21" i="10"/>
  <c r="AR123" i="9"/>
  <c r="AS114" i="32"/>
  <c r="AT6" i="33"/>
  <c r="AW191" i="12"/>
  <c r="AW197" i="12"/>
  <c r="AW141" i="12"/>
  <c r="AX134" i="12"/>
  <c r="AW143" i="12"/>
  <c r="AW144" i="12"/>
  <c r="AT127" i="12"/>
  <c r="AT127" i="36"/>
  <c r="AU118" i="29"/>
  <c r="AV110" i="29"/>
  <c r="AU114" i="29"/>
  <c r="AU138" i="29" s="1"/>
  <c r="AU113" i="29"/>
  <c r="AU112" i="29"/>
  <c r="AW30" i="12"/>
  <c r="AW89" i="12" s="1"/>
  <c r="AW112" i="12" s="1"/>
  <c r="AW135" i="12"/>
  <c r="AW192" i="12" s="1"/>
  <c r="AT140" i="12"/>
  <c r="AT151" i="12"/>
  <c r="AW92" i="12"/>
  <c r="AW92" i="36"/>
  <c r="AV24" i="24"/>
  <c r="AT119" i="12"/>
  <c r="AT119" i="36"/>
  <c r="AU112" i="8"/>
  <c r="AW12" i="36"/>
  <c r="AW14" i="36"/>
  <c r="AW7" i="36"/>
  <c r="AX6" i="36"/>
  <c r="AW17" i="36"/>
  <c r="AW18" i="36"/>
  <c r="AW8" i="36"/>
  <c r="AW13" i="36"/>
  <c r="AW11" i="36"/>
  <c r="AW19" i="36"/>
  <c r="AT138" i="24"/>
  <c r="AT122" i="24"/>
  <c r="AU116" i="12"/>
  <c r="AT120" i="24"/>
  <c r="AT130" i="24"/>
  <c r="AT123" i="24"/>
  <c r="AT121" i="24"/>
  <c r="AT129" i="24"/>
  <c r="AU116" i="36"/>
  <c r="AT38" i="12"/>
  <c r="AT38" i="36"/>
  <c r="AT124" i="5"/>
  <c r="AS39" i="36"/>
  <c r="AS39" i="12"/>
  <c r="AO40" i="32"/>
  <c r="AO47" i="32" s="1"/>
  <c r="AO33" i="32"/>
  <c r="AU74" i="36"/>
  <c r="AU32" i="36"/>
  <c r="AU72" i="36"/>
  <c r="AU45" i="36"/>
  <c r="AU46" i="36"/>
  <c r="AV88" i="36"/>
  <c r="AU44" i="36"/>
  <c r="AU47" i="36"/>
  <c r="AU113" i="12"/>
  <c r="AT119" i="10"/>
  <c r="AT125" i="10" s="1"/>
  <c r="AU113" i="36"/>
  <c r="AT122" i="10"/>
  <c r="AV145" i="36"/>
  <c r="AV198" i="36"/>
  <c r="AV141" i="36"/>
  <c r="AV192" i="36"/>
  <c r="AW134" i="36"/>
  <c r="AW15" i="29"/>
  <c r="AW22" i="29"/>
  <c r="AW17" i="29"/>
  <c r="AW18" i="29"/>
  <c r="AW19" i="29"/>
  <c r="AW14" i="29"/>
  <c r="AW16" i="29"/>
  <c r="AW20" i="29"/>
  <c r="AW21" i="29"/>
  <c r="AT126" i="12"/>
  <c r="AS130" i="29"/>
  <c r="AT126" i="36"/>
  <c r="AV135" i="36"/>
  <c r="AV193" i="36" s="1"/>
  <c r="AV30" i="36"/>
  <c r="AV89" i="36" s="1"/>
  <c r="AV112" i="36" s="1"/>
  <c r="AU112" i="26"/>
  <c r="AT55" i="36"/>
  <c r="AT107" i="32"/>
  <c r="AS121" i="21" s="1"/>
  <c r="AS122" i="21" s="1"/>
  <c r="AT112" i="32"/>
  <c r="AT136" i="29" s="1"/>
  <c r="AT109" i="32"/>
  <c r="AS123" i="26" s="1"/>
  <c r="AT110" i="32"/>
  <c r="AT106" i="32"/>
  <c r="AU103" i="32"/>
  <c r="AT108" i="32"/>
  <c r="AS124" i="8" s="1"/>
  <c r="AT128" i="32"/>
  <c r="AT130" i="32" s="1"/>
  <c r="AT113" i="32"/>
  <c r="AT111" i="32"/>
  <c r="AS127" i="10" s="1"/>
  <c r="AS128" i="10" s="1"/>
  <c r="AT127" i="10"/>
  <c r="AT128" i="10" s="1"/>
  <c r="AL53" i="32"/>
  <c r="AL54" i="32"/>
  <c r="AV45" i="12"/>
  <c r="AV74" i="12"/>
  <c r="AW88" i="12"/>
  <c r="AV44" i="12"/>
  <c r="AV32" i="12"/>
  <c r="AV72" i="12"/>
  <c r="AV47" i="12"/>
  <c r="AV46" i="12"/>
  <c r="AT120" i="12"/>
  <c r="AT120" i="36"/>
  <c r="L151" i="12"/>
  <c r="AU16" i="33"/>
  <c r="AU25" i="33" s="1"/>
  <c r="M151" i="12"/>
  <c r="Q130" i="5"/>
  <c r="E40" i="21"/>
  <c r="E43" i="21" s="1"/>
  <c r="AH130" i="5"/>
  <c r="L140" i="12"/>
  <c r="AH36" i="5"/>
  <c r="AH47" i="5" s="1"/>
  <c r="R130" i="5"/>
  <c r="G138" i="21"/>
  <c r="R36" i="5"/>
  <c r="R47" i="5" s="1"/>
  <c r="X36" i="5"/>
  <c r="X47" i="5" s="1"/>
  <c r="G35" i="21"/>
  <c r="G36" i="21" s="1"/>
  <c r="G47" i="21" s="1"/>
  <c r="Q36" i="5"/>
  <c r="Q47" i="5" s="1"/>
  <c r="AE130" i="5"/>
  <c r="H35" i="21"/>
  <c r="H36" i="21" s="1"/>
  <c r="H47" i="21" s="1"/>
  <c r="H138" i="21"/>
  <c r="H136" i="21"/>
  <c r="I135" i="21" s="1"/>
  <c r="I136" i="21" s="1"/>
  <c r="J135" i="21" s="1"/>
  <c r="J136" i="21" s="1"/>
  <c r="X130" i="5"/>
  <c r="S130" i="5"/>
  <c r="S36" i="5"/>
  <c r="S47" i="5" s="1"/>
  <c r="AP130" i="5"/>
  <c r="AD36" i="5"/>
  <c r="AD47" i="5" s="1"/>
  <c r="P38" i="12"/>
  <c r="P38" i="36"/>
  <c r="AG36" i="5"/>
  <c r="AG47" i="5" s="1"/>
  <c r="AA36" i="5"/>
  <c r="AA47" i="5" s="1"/>
  <c r="AL36" i="5"/>
  <c r="AL47" i="5" s="1"/>
  <c r="Z130" i="5"/>
  <c r="AE36" i="5"/>
  <c r="AE47" i="5" s="1"/>
  <c r="AD130" i="5"/>
  <c r="AS36" i="5"/>
  <c r="AS47" i="5" s="1"/>
  <c r="F37" i="21"/>
  <c r="F40" i="21" s="1"/>
  <c r="F145" i="21"/>
  <c r="G143" i="21" s="1"/>
  <c r="F144" i="21"/>
  <c r="F50" i="21"/>
  <c r="F51" i="21" s="1"/>
  <c r="F148" i="21"/>
  <c r="AB36" i="5"/>
  <c r="AB47" i="5" s="1"/>
  <c r="AM36" i="5"/>
  <c r="AM47" i="5" s="1"/>
  <c r="E37" i="5"/>
  <c r="E136" i="5"/>
  <c r="E137" i="5"/>
  <c r="F135" i="5" s="1"/>
  <c r="E50" i="5"/>
  <c r="E51" i="5" s="1"/>
  <c r="E53" i="5" s="1"/>
  <c r="E54" i="5" s="1"/>
  <c r="E140" i="5"/>
  <c r="AI36" i="5"/>
  <c r="AI47" i="5" s="1"/>
  <c r="Y130" i="5"/>
  <c r="AG130" i="5"/>
  <c r="AO36" i="5"/>
  <c r="AO47" i="5" s="1"/>
  <c r="AL130" i="5"/>
  <c r="E47" i="21"/>
  <c r="E54" i="21" s="1"/>
  <c r="E66" i="21"/>
  <c r="D91" i="21"/>
  <c r="D43" i="21"/>
  <c r="AV16" i="33"/>
  <c r="AV25" i="33" s="1"/>
  <c r="N130" i="5"/>
  <c r="AN130" i="5"/>
  <c r="AR130" i="5"/>
  <c r="V130" i="5"/>
  <c r="N36" i="5"/>
  <c r="N47" i="5" s="1"/>
  <c r="AN36" i="5"/>
  <c r="AN47" i="5" s="1"/>
  <c r="AR36" i="5"/>
  <c r="AR47" i="5" s="1"/>
  <c r="V36" i="5"/>
  <c r="V47" i="5" s="1"/>
  <c r="AK36" i="5"/>
  <c r="AK47" i="5" s="1"/>
  <c r="L39" i="12"/>
  <c r="M39" i="12"/>
  <c r="P36" i="5"/>
  <c r="P47" i="5" s="1"/>
  <c r="Z36" i="5"/>
  <c r="Z47" i="5" s="1"/>
  <c r="U36" i="5"/>
  <c r="U47" i="5" s="1"/>
  <c r="AJ36" i="5"/>
  <c r="AJ47" i="5" s="1"/>
  <c r="W130" i="5"/>
  <c r="AC130" i="5"/>
  <c r="P130" i="5"/>
  <c r="AC36" i="5"/>
  <c r="AC47" i="5" s="1"/>
  <c r="P57" i="12"/>
  <c r="AB130" i="5"/>
  <c r="AP36" i="5"/>
  <c r="AP47" i="5" s="1"/>
  <c r="Y36" i="5"/>
  <c r="Y47" i="5" s="1"/>
  <c r="AQ36" i="5"/>
  <c r="AQ47" i="5" s="1"/>
  <c r="W36" i="5"/>
  <c r="W47" i="5" s="1"/>
  <c r="T130" i="5"/>
  <c r="AI130" i="5"/>
  <c r="AM130" i="5"/>
  <c r="AQ130" i="5"/>
  <c r="AO130" i="5"/>
  <c r="AK130" i="5"/>
  <c r="AS130" i="5"/>
  <c r="T36" i="5"/>
  <c r="T47" i="5" s="1"/>
  <c r="AF130" i="5"/>
  <c r="U130" i="5"/>
  <c r="AJ130" i="5"/>
  <c r="AF36" i="5"/>
  <c r="AF47" i="5" s="1"/>
  <c r="AA130" i="5"/>
  <c r="AQ73" i="12"/>
  <c r="AQ81" i="12" s="1"/>
  <c r="AQ73" i="36"/>
  <c r="AQ81" i="36" s="1"/>
  <c r="AT73" i="36"/>
  <c r="AT81" i="36" s="1"/>
  <c r="AT73" i="12"/>
  <c r="AT81" i="12" s="1"/>
  <c r="S73" i="36"/>
  <c r="S81" i="36" s="1"/>
  <c r="S73" i="12"/>
  <c r="S81" i="12" s="1"/>
  <c r="K73" i="12"/>
  <c r="K73" i="36"/>
  <c r="J137" i="8"/>
  <c r="J138" i="8" s="1"/>
  <c r="J73" i="12"/>
  <c r="J73" i="36"/>
  <c r="J77" i="36" s="1"/>
  <c r="I137" i="8"/>
  <c r="I138" i="8" s="1"/>
  <c r="T73" i="36"/>
  <c r="T81" i="36" s="1"/>
  <c r="T73" i="12"/>
  <c r="T81" i="12" s="1"/>
  <c r="AI73" i="12"/>
  <c r="AI81" i="12" s="1"/>
  <c r="AI73" i="36"/>
  <c r="AI81" i="36" s="1"/>
  <c r="M73" i="12"/>
  <c r="M81" i="12" s="1"/>
  <c r="M73" i="36"/>
  <c r="M81" i="36" s="1"/>
  <c r="AR73" i="36"/>
  <c r="AR73" i="12"/>
  <c r="AG73" i="12"/>
  <c r="AG81" i="12" s="1"/>
  <c r="AG73" i="36"/>
  <c r="AG81" i="36" s="1"/>
  <c r="AW73" i="12"/>
  <c r="Q73" i="12"/>
  <c r="Q81" i="12" s="1"/>
  <c r="Q73" i="36"/>
  <c r="Q81" i="36" s="1"/>
  <c r="Y73" i="12"/>
  <c r="Y81" i="12" s="1"/>
  <c r="Y73" i="36"/>
  <c r="Y81" i="36" s="1"/>
  <c r="H73" i="12"/>
  <c r="G137" i="8"/>
  <c r="G138" i="8" s="1"/>
  <c r="G139" i="8" s="1"/>
  <c r="G142" i="8" s="1"/>
  <c r="H73" i="36"/>
  <c r="AD73" i="12"/>
  <c r="AD81" i="12" s="1"/>
  <c r="AD73" i="36"/>
  <c r="AD81" i="36" s="1"/>
  <c r="AE73" i="12"/>
  <c r="AE81" i="12" s="1"/>
  <c r="AE73" i="36"/>
  <c r="AE81" i="36" s="1"/>
  <c r="W73" i="36"/>
  <c r="W81" i="36" s="1"/>
  <c r="W73" i="12"/>
  <c r="W81" i="12" s="1"/>
  <c r="O73" i="36"/>
  <c r="O81" i="36" s="1"/>
  <c r="O73" i="12"/>
  <c r="O81" i="12" s="1"/>
  <c r="G73" i="12"/>
  <c r="G73" i="36"/>
  <c r="F137" i="8"/>
  <c r="AU73" i="36"/>
  <c r="AU73" i="12"/>
  <c r="Z73" i="12"/>
  <c r="Z81" i="12" s="1"/>
  <c r="Z73" i="36"/>
  <c r="Z81" i="36" s="1"/>
  <c r="AJ73" i="36"/>
  <c r="AJ81" i="36" s="1"/>
  <c r="AJ73" i="12"/>
  <c r="AJ81" i="12" s="1"/>
  <c r="R73" i="36"/>
  <c r="R81" i="36" s="1"/>
  <c r="R73" i="12"/>
  <c r="R81" i="12" s="1"/>
  <c r="L73" i="12"/>
  <c r="L81" i="12" s="1"/>
  <c r="L73" i="36"/>
  <c r="L81" i="36" s="1"/>
  <c r="AN73" i="12"/>
  <c r="AN81" i="12" s="1"/>
  <c r="AN73" i="36"/>
  <c r="AN81" i="36" s="1"/>
  <c r="N73" i="12"/>
  <c r="N81" i="12" s="1"/>
  <c r="N73" i="36"/>
  <c r="N81" i="36" s="1"/>
  <c r="AF73" i="36"/>
  <c r="AF81" i="36" s="1"/>
  <c r="AF73" i="12"/>
  <c r="AF81" i="12" s="1"/>
  <c r="AC73" i="12"/>
  <c r="AC81" i="12" s="1"/>
  <c r="AC73" i="36"/>
  <c r="AC81" i="36" s="1"/>
  <c r="AO73" i="36"/>
  <c r="AO81" i="36" s="1"/>
  <c r="AO73" i="12"/>
  <c r="AO81" i="12" s="1"/>
  <c r="AP73" i="12"/>
  <c r="AP81" i="12" s="1"/>
  <c r="AP73" i="36"/>
  <c r="AP81" i="36" s="1"/>
  <c r="X73" i="36"/>
  <c r="X81" i="36" s="1"/>
  <c r="X73" i="12"/>
  <c r="X81" i="12" s="1"/>
  <c r="E92" i="8"/>
  <c r="AM73" i="12"/>
  <c r="AM81" i="12" s="1"/>
  <c r="AM73" i="36"/>
  <c r="AM81" i="36" s="1"/>
  <c r="AS73" i="12"/>
  <c r="AS81" i="12" s="1"/>
  <c r="AS73" i="36"/>
  <c r="AS81" i="36" s="1"/>
  <c r="AL73" i="36"/>
  <c r="AL81" i="36" s="1"/>
  <c r="AL73" i="12"/>
  <c r="AL81" i="12" s="1"/>
  <c r="AA73" i="12"/>
  <c r="AA81" i="12" s="1"/>
  <c r="AA73" i="36"/>
  <c r="AA81" i="36" s="1"/>
  <c r="U73" i="12"/>
  <c r="U81" i="12" s="1"/>
  <c r="U73" i="36"/>
  <c r="U81" i="36" s="1"/>
  <c r="E137" i="8"/>
  <c r="E138" i="8" s="1"/>
  <c r="E139" i="8" s="1"/>
  <c r="F73" i="12"/>
  <c r="F73" i="36"/>
  <c r="P73" i="12"/>
  <c r="P81" i="12" s="1"/>
  <c r="P73" i="36"/>
  <c r="P81" i="36" s="1"/>
  <c r="AB73" i="12"/>
  <c r="AB81" i="12" s="1"/>
  <c r="AB73" i="36"/>
  <c r="AB81" i="36" s="1"/>
  <c r="AK73" i="36"/>
  <c r="AK81" i="36" s="1"/>
  <c r="AK73" i="12"/>
  <c r="AK81" i="12" s="1"/>
  <c r="AH73" i="36"/>
  <c r="AH81" i="36" s="1"/>
  <c r="AH73" i="12"/>
  <c r="AH81" i="12" s="1"/>
  <c r="I73" i="12"/>
  <c r="I73" i="36"/>
  <c r="H137" i="8"/>
  <c r="V73" i="36"/>
  <c r="V81" i="36" s="1"/>
  <c r="V73" i="12"/>
  <c r="V81" i="12" s="1"/>
  <c r="AV73" i="12"/>
  <c r="AV73" i="36"/>
  <c r="G53" i="8"/>
  <c r="H37" i="8"/>
  <c r="H50" i="8"/>
  <c r="H51" i="8" s="1"/>
  <c r="L5" i="46" s="1"/>
  <c r="H148" i="8"/>
  <c r="H149" i="8"/>
  <c r="I147" i="8" s="1"/>
  <c r="H152" i="8"/>
  <c r="D60" i="8"/>
  <c r="D61" i="8"/>
  <c r="E53" i="9"/>
  <c r="E54" i="9" s="1"/>
  <c r="E40" i="9"/>
  <c r="E66" i="9"/>
  <c r="F50" i="9"/>
  <c r="F51" i="9" s="1"/>
  <c r="F144" i="9"/>
  <c r="G142" i="9" s="1"/>
  <c r="F143" i="9"/>
  <c r="F37" i="9"/>
  <c r="F40" i="9" s="1"/>
  <c r="F147" i="9"/>
  <c r="C25" i="33"/>
  <c r="C21" i="33" s="1"/>
  <c r="D97" i="26"/>
  <c r="E97" i="26"/>
  <c r="E98" i="26"/>
  <c r="E102" i="26" s="1"/>
  <c r="E101" i="26"/>
  <c r="F98" i="26"/>
  <c r="F102" i="26" s="1"/>
  <c r="F101" i="26"/>
  <c r="G101" i="26"/>
  <c r="G98" i="26"/>
  <c r="G102" i="26" s="1"/>
  <c r="H101" i="26"/>
  <c r="H98" i="26"/>
  <c r="H102" i="26" s="1"/>
  <c r="I101" i="26"/>
  <c r="I98" i="26"/>
  <c r="I102" i="26" s="1"/>
  <c r="J98" i="26"/>
  <c r="J102" i="26" s="1"/>
  <c r="J101" i="26"/>
  <c r="K101" i="26"/>
  <c r="K98" i="26"/>
  <c r="K102" i="26" s="1"/>
  <c r="L98" i="26"/>
  <c r="L102" i="26" s="1"/>
  <c r="L101" i="26"/>
  <c r="M98" i="26"/>
  <c r="M102" i="26" s="1"/>
  <c r="M101" i="26"/>
  <c r="N98" i="26"/>
  <c r="N102" i="26" s="1"/>
  <c r="N101" i="26"/>
  <c r="O101" i="26"/>
  <c r="O98" i="26"/>
  <c r="O102" i="26" s="1"/>
  <c r="P98" i="26"/>
  <c r="P102" i="26" s="1"/>
  <c r="P101" i="26"/>
  <c r="Q101" i="26"/>
  <c r="Q98" i="26"/>
  <c r="Q102" i="26" s="1"/>
  <c r="R101" i="26"/>
  <c r="R98" i="26"/>
  <c r="R102" i="26" s="1"/>
  <c r="S98" i="26"/>
  <c r="S102" i="26" s="1"/>
  <c r="S101" i="26"/>
  <c r="T101" i="26"/>
  <c r="T98" i="26"/>
  <c r="T102" i="26" s="1"/>
  <c r="U101" i="26"/>
  <c r="U98" i="26"/>
  <c r="U102" i="26" s="1"/>
  <c r="V98" i="26"/>
  <c r="V102" i="26" s="1"/>
  <c r="V101" i="26"/>
  <c r="W101" i="26"/>
  <c r="W98" i="26"/>
  <c r="W102" i="26" s="1"/>
  <c r="X98" i="26"/>
  <c r="X102" i="26" s="1"/>
  <c r="X101" i="26"/>
  <c r="Y101" i="26"/>
  <c r="Y98" i="26"/>
  <c r="Y102" i="26" s="1"/>
  <c r="Z98" i="26"/>
  <c r="Z102" i="26" s="1"/>
  <c r="Z101" i="26"/>
  <c r="AA98" i="26"/>
  <c r="AA102" i="26" s="1"/>
  <c r="AA101" i="26"/>
  <c r="AB98" i="26"/>
  <c r="AB102" i="26" s="1"/>
  <c r="AB101" i="26"/>
  <c r="AC98" i="26"/>
  <c r="AC102" i="26" s="1"/>
  <c r="AC101" i="26"/>
  <c r="AD101" i="26"/>
  <c r="AD98" i="26"/>
  <c r="AD102" i="26" s="1"/>
  <c r="AE101" i="26"/>
  <c r="AE98" i="26"/>
  <c r="AE102" i="26" s="1"/>
  <c r="AF101" i="26"/>
  <c r="AF98" i="26"/>
  <c r="AF102" i="26" s="1"/>
  <c r="AG101" i="26"/>
  <c r="AG98" i="26"/>
  <c r="AG102" i="26" s="1"/>
  <c r="AH98" i="26"/>
  <c r="AH102" i="26" s="1"/>
  <c r="AH101" i="26"/>
  <c r="AI98" i="26"/>
  <c r="AI102" i="26" s="1"/>
  <c r="AI101" i="26"/>
  <c r="AJ98" i="26"/>
  <c r="AJ102" i="26" s="1"/>
  <c r="AJ101" i="26"/>
  <c r="AK98" i="26"/>
  <c r="AK102" i="26" s="1"/>
  <c r="AK101" i="26"/>
  <c r="AL98" i="26"/>
  <c r="AL102" i="26" s="1"/>
  <c r="AL101" i="26"/>
  <c r="AM98" i="26"/>
  <c r="AM102" i="26" s="1"/>
  <c r="AM101" i="26"/>
  <c r="AN101" i="26"/>
  <c r="AN98" i="26"/>
  <c r="AN102" i="26" s="1"/>
  <c r="AO101" i="26"/>
  <c r="AO98" i="26"/>
  <c r="AO102" i="26" s="1"/>
  <c r="AP98" i="26"/>
  <c r="AP102" i="26" s="1"/>
  <c r="AP101" i="26"/>
  <c r="AQ98" i="26"/>
  <c r="AQ102" i="26" s="1"/>
  <c r="AQ101" i="26"/>
  <c r="AR98" i="26"/>
  <c r="AR102" i="26" s="1"/>
  <c r="AR101" i="26"/>
  <c r="AS101" i="26"/>
  <c r="AS98" i="26"/>
  <c r="AS102" i="26" s="1"/>
  <c r="AT98" i="26"/>
  <c r="AT102" i="26" s="1"/>
  <c r="AT101" i="26"/>
  <c r="AU101" i="26"/>
  <c r="AU98" i="26"/>
  <c r="AU102" i="26" s="1"/>
  <c r="AV101" i="26"/>
  <c r="AV98" i="26"/>
  <c r="AV102" i="26" s="1"/>
  <c r="AW101" i="26"/>
  <c r="AW98" i="26"/>
  <c r="AW102" i="26" s="1"/>
  <c r="D37" i="26"/>
  <c r="D146" i="26"/>
  <c r="D147" i="26" s="1"/>
  <c r="E145" i="26" s="1"/>
  <c r="D50" i="26"/>
  <c r="D51" i="26" s="1"/>
  <c r="AA103" i="36"/>
  <c r="Y19" i="33"/>
  <c r="Y20" i="33" s="1"/>
  <c r="Y21" i="33" s="1"/>
  <c r="AA103" i="12"/>
  <c r="AT103" i="36"/>
  <c r="AR19" i="33"/>
  <c r="AT103" i="12"/>
  <c r="AP103" i="36"/>
  <c r="AN19" i="33"/>
  <c r="AP103" i="12"/>
  <c r="Z19" i="33"/>
  <c r="Z20" i="33" s="1"/>
  <c r="Z21" i="33" s="1"/>
  <c r="AB103" i="12"/>
  <c r="AB103" i="36"/>
  <c r="T103" i="36"/>
  <c r="T103" i="12"/>
  <c r="R19" i="33"/>
  <c r="R20" i="33" s="1"/>
  <c r="O103" i="12"/>
  <c r="O103" i="36"/>
  <c r="M19" i="33"/>
  <c r="X19" i="33"/>
  <c r="X20" i="33" s="1"/>
  <c r="Z103" i="12"/>
  <c r="Z103" i="36"/>
  <c r="V103" i="36"/>
  <c r="V103" i="12"/>
  <c r="T19" i="33"/>
  <c r="T20" i="33" s="1"/>
  <c r="V19" i="33"/>
  <c r="X103" i="12"/>
  <c r="X103" i="36"/>
  <c r="N103" i="12"/>
  <c r="N103" i="36"/>
  <c r="L19" i="33"/>
  <c r="U103" i="36"/>
  <c r="U103" i="12"/>
  <c r="S19" i="33"/>
  <c r="Q103" i="12"/>
  <c r="Q103" i="36"/>
  <c r="O19" i="33"/>
  <c r="AH103" i="36"/>
  <c r="AF19" i="33"/>
  <c r="AH103" i="12"/>
  <c r="AK103" i="12"/>
  <c r="AI19" i="33"/>
  <c r="AK103" i="36"/>
  <c r="P103" i="36"/>
  <c r="P103" i="12"/>
  <c r="N19" i="33"/>
  <c r="AF103" i="12"/>
  <c r="AD19" i="33"/>
  <c r="AD20" i="33" s="1"/>
  <c r="AD22" i="33" s="1"/>
  <c r="AF103" i="36"/>
  <c r="AG103" i="36"/>
  <c r="AE19" i="33"/>
  <c r="AE20" i="33" s="1"/>
  <c r="AG103" i="12"/>
  <c r="Y103" i="12"/>
  <c r="Y103" i="36"/>
  <c r="W19" i="33"/>
  <c r="AC19" i="33"/>
  <c r="AC20" i="33" s="1"/>
  <c r="AE103" i="36"/>
  <c r="AE103" i="12"/>
  <c r="AM103" i="12"/>
  <c r="AM103" i="36"/>
  <c r="AK19" i="33"/>
  <c r="AD103" i="36"/>
  <c r="AD103" i="12"/>
  <c r="AB19" i="33"/>
  <c r="L103" i="36"/>
  <c r="L103" i="12"/>
  <c r="J19" i="33"/>
  <c r="J20" i="33" s="1"/>
  <c r="W103" i="36"/>
  <c r="W103" i="12"/>
  <c r="U19" i="33"/>
  <c r="AS103" i="36"/>
  <c r="AQ19" i="33"/>
  <c r="AQ20" i="33" s="1"/>
  <c r="AS103" i="12"/>
  <c r="AC103" i="12"/>
  <c r="AA19" i="33"/>
  <c r="AA20" i="33" s="1"/>
  <c r="AC103" i="36"/>
  <c r="S103" i="36"/>
  <c r="S103" i="12"/>
  <c r="Q19" i="33"/>
  <c r="Q20" i="33" s="1"/>
  <c r="AJ103" i="36"/>
  <c r="AJ103" i="12"/>
  <c r="AH19" i="33"/>
  <c r="AH20" i="33" s="1"/>
  <c r="AO103" i="36"/>
  <c r="AO103" i="12"/>
  <c r="AM19" i="33"/>
  <c r="AM20" i="33" s="1"/>
  <c r="AM21" i="33" s="1"/>
  <c r="AL19" i="33"/>
  <c r="AL20" i="33" s="1"/>
  <c r="AN103" i="36"/>
  <c r="AN103" i="12"/>
  <c r="AJ19" i="33"/>
  <c r="AJ20" i="33" s="1"/>
  <c r="AL103" i="36"/>
  <c r="AL103" i="12"/>
  <c r="AQ103" i="12"/>
  <c r="AQ103" i="36"/>
  <c r="AO19" i="33"/>
  <c r="AV22" i="36" l="1"/>
  <c r="AV112" i="26"/>
  <c r="AU126" i="29"/>
  <c r="AU127" i="29"/>
  <c r="AU128" i="29"/>
  <c r="AP47" i="37"/>
  <c r="I6" i="46"/>
  <c r="F3" i="46"/>
  <c r="AP45" i="37"/>
  <c r="AV152" i="36"/>
  <c r="AV140" i="36"/>
  <c r="AV144" i="36" s="1"/>
  <c r="AU120" i="12"/>
  <c r="AU120" i="36"/>
  <c r="AV158" i="24"/>
  <c r="AW159" i="24" s="1"/>
  <c r="AV49" i="24"/>
  <c r="AV38" i="24"/>
  <c r="AW19" i="12"/>
  <c r="AS124" i="32"/>
  <c r="AT51" i="36"/>
  <c r="AT51" i="12"/>
  <c r="AT57" i="12" s="1"/>
  <c r="AV47" i="33"/>
  <c r="AW112" i="21" s="1"/>
  <c r="AV48" i="33"/>
  <c r="AW113" i="8" s="1"/>
  <c r="AS123" i="9"/>
  <c r="AT114" i="32"/>
  <c r="AW24" i="29"/>
  <c r="AX11" i="36"/>
  <c r="AX14" i="36"/>
  <c r="AX17" i="36"/>
  <c r="AX8" i="36"/>
  <c r="AX12" i="36"/>
  <c r="AX13" i="36"/>
  <c r="AX20" i="36"/>
  <c r="AX7" i="36"/>
  <c r="AX92" i="36"/>
  <c r="AX92" i="12"/>
  <c r="AU140" i="12"/>
  <c r="AU151" i="12"/>
  <c r="AO84" i="32"/>
  <c r="AO36" i="32"/>
  <c r="AO37" i="32" s="1"/>
  <c r="AO51" i="32" s="1"/>
  <c r="AO52" i="32" s="1"/>
  <c r="AW135" i="36"/>
  <c r="AW193" i="36" s="1"/>
  <c r="AW30" i="36"/>
  <c r="AW89" i="36" s="1"/>
  <c r="AW112" i="36" s="1"/>
  <c r="AV112" i="10"/>
  <c r="AV112" i="21"/>
  <c r="AV112" i="8"/>
  <c r="AV113" i="36"/>
  <c r="AU122" i="10"/>
  <c r="AV113" i="12"/>
  <c r="AU119" i="10"/>
  <c r="AU125" i="10" s="1"/>
  <c r="AW18" i="12"/>
  <c r="AV49" i="10"/>
  <c r="AV38" i="10"/>
  <c r="AV147" i="10"/>
  <c r="AW148" i="10" s="1"/>
  <c r="AU39" i="36"/>
  <c r="AU39" i="12"/>
  <c r="AU119" i="12"/>
  <c r="AU119" i="36"/>
  <c r="AX191" i="12"/>
  <c r="AX143" i="12"/>
  <c r="AX197" i="12"/>
  <c r="AX141" i="12"/>
  <c r="AX144" i="12"/>
  <c r="AU127" i="36"/>
  <c r="AU127" i="12"/>
  <c r="AV49" i="29"/>
  <c r="AV38" i="29"/>
  <c r="AV156" i="29"/>
  <c r="AW157" i="29" s="1"/>
  <c r="AW20" i="12"/>
  <c r="AR142" i="32"/>
  <c r="AR27" i="32"/>
  <c r="AR133" i="32"/>
  <c r="AV93" i="12"/>
  <c r="AV93" i="36"/>
  <c r="AP40" i="32"/>
  <c r="AP47" i="32" s="1"/>
  <c r="AP33" i="32"/>
  <c r="AV116" i="10"/>
  <c r="AV126" i="10"/>
  <c r="AW110" i="10"/>
  <c r="AV113" i="10"/>
  <c r="AR132" i="29"/>
  <c r="AR135" i="29"/>
  <c r="AW47" i="12"/>
  <c r="AW72" i="12"/>
  <c r="AX88" i="12"/>
  <c r="AW45" i="12"/>
  <c r="AW44" i="12"/>
  <c r="AW32" i="12"/>
  <c r="AW75" i="12"/>
  <c r="AW46" i="12"/>
  <c r="AW74" i="12"/>
  <c r="AT39" i="36"/>
  <c r="AT39" i="12"/>
  <c r="AS132" i="29"/>
  <c r="AS135" i="29"/>
  <c r="AV72" i="36"/>
  <c r="AV47" i="36"/>
  <c r="AV46" i="36"/>
  <c r="AV45" i="36"/>
  <c r="AV44" i="36"/>
  <c r="AV32" i="36"/>
  <c r="AV74" i="36"/>
  <c r="AW88" i="36"/>
  <c r="AV75" i="36"/>
  <c r="AU121" i="36"/>
  <c r="AU121" i="12"/>
  <c r="AW110" i="29"/>
  <c r="AV114" i="29"/>
  <c r="AV138" i="29" s="1"/>
  <c r="AV118" i="29"/>
  <c r="AV112" i="29"/>
  <c r="AV113" i="29"/>
  <c r="AW24" i="10"/>
  <c r="AU126" i="12"/>
  <c r="AU126" i="36"/>
  <c r="AW24" i="24"/>
  <c r="AX19" i="36" s="1"/>
  <c r="D25" i="29"/>
  <c r="D159" i="29" s="1"/>
  <c r="AT66" i="12"/>
  <c r="AT66" i="36"/>
  <c r="AU137" i="29"/>
  <c r="AU120" i="29"/>
  <c r="AV124" i="36"/>
  <c r="AU121" i="29"/>
  <c r="AU122" i="29"/>
  <c r="AV124" i="12"/>
  <c r="AU128" i="36"/>
  <c r="AU128" i="12"/>
  <c r="AV140" i="12"/>
  <c r="AV151" i="12"/>
  <c r="AU138" i="24"/>
  <c r="AU129" i="24"/>
  <c r="AV116" i="36"/>
  <c r="AU122" i="24"/>
  <c r="AV116" i="12"/>
  <c r="AU120" i="24"/>
  <c r="AU123" i="24"/>
  <c r="AU121" i="24"/>
  <c r="AU130" i="24"/>
  <c r="AU81" i="12"/>
  <c r="D44" i="21"/>
  <c r="D58" i="21" s="1"/>
  <c r="D59" i="21" s="1"/>
  <c r="AU55" i="12"/>
  <c r="AU55" i="36"/>
  <c r="AU81" i="36" s="1"/>
  <c r="AT57" i="36"/>
  <c r="AT34" i="5"/>
  <c r="AT128" i="5"/>
  <c r="AT125" i="5"/>
  <c r="AU118" i="36"/>
  <c r="AU118" i="12"/>
  <c r="AW20" i="36"/>
  <c r="AW22" i="36" s="1"/>
  <c r="AU94" i="36"/>
  <c r="AU94" i="12"/>
  <c r="AS24" i="33"/>
  <c r="AU106" i="32"/>
  <c r="AU108" i="32"/>
  <c r="AT124" i="8" s="1"/>
  <c r="AV103" i="32"/>
  <c r="AU112" i="32"/>
  <c r="AU136" i="29" s="1"/>
  <c r="AU109" i="32"/>
  <c r="AT123" i="26" s="1"/>
  <c r="AU113" i="32"/>
  <c r="AT139" i="24" s="1"/>
  <c r="AU128" i="32"/>
  <c r="AU107" i="32"/>
  <c r="AT121" i="21" s="1"/>
  <c r="AT122" i="21" s="1"/>
  <c r="AU111" i="32"/>
  <c r="AU110" i="32"/>
  <c r="AU121" i="5" s="1"/>
  <c r="AU122" i="5" s="1"/>
  <c r="AU127" i="10"/>
  <c r="AU128" i="10" s="1"/>
  <c r="AU124" i="8"/>
  <c r="F53" i="21"/>
  <c r="F54" i="21" s="1"/>
  <c r="I4" i="46"/>
  <c r="AX134" i="36"/>
  <c r="AW141" i="36"/>
  <c r="AW192" i="36"/>
  <c r="AW145" i="36"/>
  <c r="AW198" i="36"/>
  <c r="AT9" i="33"/>
  <c r="AT24" i="33" s="1"/>
  <c r="AV91" i="12"/>
  <c r="AV91" i="36"/>
  <c r="AW112" i="8"/>
  <c r="AX95" i="36"/>
  <c r="AX95" i="12"/>
  <c r="AW110" i="24"/>
  <c r="AV112" i="24"/>
  <c r="AV114" i="24"/>
  <c r="AU8" i="33" s="1" a="1"/>
  <c r="AU8" i="33" s="1"/>
  <c r="AV118" i="24"/>
  <c r="AV113" i="24"/>
  <c r="AV140" i="24"/>
  <c r="AN52" i="32"/>
  <c r="AX30" i="12"/>
  <c r="AX89" i="12" s="1"/>
  <c r="AX112" i="12" s="1"/>
  <c r="AX135" i="12"/>
  <c r="AX192" i="12" s="1"/>
  <c r="AU9" i="33"/>
  <c r="I35" i="21"/>
  <c r="I36" i="21" s="1"/>
  <c r="I47" i="21" s="1"/>
  <c r="E91" i="21"/>
  <c r="E93" i="21" s="1"/>
  <c r="I138" i="21"/>
  <c r="AX38" i="12"/>
  <c r="F140" i="5"/>
  <c r="F137" i="5"/>
  <c r="G135" i="5" s="1"/>
  <c r="F50" i="5"/>
  <c r="F51" i="5" s="1"/>
  <c r="F53" i="5" s="1"/>
  <c r="F54" i="5" s="1"/>
  <c r="F136" i="5"/>
  <c r="F37" i="5"/>
  <c r="F40" i="5" s="1"/>
  <c r="G37" i="21"/>
  <c r="G40" i="21" s="1"/>
  <c r="G145" i="21"/>
  <c r="H143" i="21" s="1"/>
  <c r="G144" i="21"/>
  <c r="G50" i="21"/>
  <c r="G51" i="21" s="1"/>
  <c r="G148" i="21"/>
  <c r="F91" i="21"/>
  <c r="F43" i="21"/>
  <c r="D61" i="21"/>
  <c r="D60" i="21"/>
  <c r="E66" i="5"/>
  <c r="E40" i="5"/>
  <c r="J35" i="21"/>
  <c r="J36" i="21" s="1"/>
  <c r="J47" i="21" s="1"/>
  <c r="J138" i="21"/>
  <c r="E44" i="21"/>
  <c r="E58" i="21" s="1"/>
  <c r="J81" i="36"/>
  <c r="I81" i="36"/>
  <c r="I136" i="36" s="1"/>
  <c r="I137" i="36" s="1"/>
  <c r="I138" i="36" s="1"/>
  <c r="I150" i="36" s="1"/>
  <c r="I77" i="36"/>
  <c r="I82" i="36" s="1"/>
  <c r="E35" i="8"/>
  <c r="E36" i="8" s="1"/>
  <c r="E66" i="8" s="1"/>
  <c r="I77" i="12"/>
  <c r="I82" i="12" s="1"/>
  <c r="I81" i="12"/>
  <c r="J139" i="8"/>
  <c r="J142" i="8" s="1"/>
  <c r="K81" i="36"/>
  <c r="F138" i="8"/>
  <c r="F139" i="8" s="1"/>
  <c r="F35" i="8" s="1"/>
  <c r="F36" i="8" s="1"/>
  <c r="K81" i="12"/>
  <c r="G35" i="8"/>
  <c r="G36" i="8" s="1"/>
  <c r="G40" i="8" s="1"/>
  <c r="F81" i="36"/>
  <c r="G81" i="36"/>
  <c r="H81" i="36"/>
  <c r="H136" i="36" s="1"/>
  <c r="H137" i="36" s="1"/>
  <c r="H138" i="36" s="1"/>
  <c r="H150" i="36" s="1"/>
  <c r="H77" i="36"/>
  <c r="H82" i="36" s="1"/>
  <c r="I139" i="8"/>
  <c r="I142" i="8" s="1"/>
  <c r="F81" i="12"/>
  <c r="G81" i="12"/>
  <c r="H81" i="12"/>
  <c r="H77" i="12"/>
  <c r="H82" i="12" s="1"/>
  <c r="J81" i="12"/>
  <c r="J77" i="12"/>
  <c r="H138" i="8"/>
  <c r="H139" i="8" s="1"/>
  <c r="H35" i="8" s="1"/>
  <c r="H36" i="8" s="1"/>
  <c r="H47" i="8" s="1"/>
  <c r="H53" i="8"/>
  <c r="E140" i="8"/>
  <c r="E142" i="8"/>
  <c r="C22" i="33"/>
  <c r="E115" i="26" s="1"/>
  <c r="I148" i="8"/>
  <c r="I149" i="8"/>
  <c r="J147" i="8" s="1"/>
  <c r="I50" i="8"/>
  <c r="I51" i="8" s="1"/>
  <c r="M5" i="46" s="1"/>
  <c r="I37" i="8"/>
  <c r="I152" i="8"/>
  <c r="F53" i="9"/>
  <c r="F54" i="9" s="1"/>
  <c r="F43" i="9"/>
  <c r="H9" i="38" s="1"/>
  <c r="H9" i="40" s="1"/>
  <c r="F91" i="9"/>
  <c r="G50" i="9"/>
  <c r="G51" i="9" s="1"/>
  <c r="G37" i="9"/>
  <c r="G40" i="9" s="1"/>
  <c r="G144" i="9"/>
  <c r="H142" i="9" s="1"/>
  <c r="G143" i="9"/>
  <c r="G147" i="9"/>
  <c r="E43" i="9"/>
  <c r="G9" i="38" s="1"/>
  <c r="G9" i="40" s="1"/>
  <c r="E91" i="9"/>
  <c r="AW103" i="26"/>
  <c r="AW92" i="26" s="1"/>
  <c r="AW129" i="26"/>
  <c r="AW132" i="26" s="1"/>
  <c r="U103" i="26"/>
  <c r="U129" i="26"/>
  <c r="U132" i="26" s="1"/>
  <c r="E147" i="26"/>
  <c r="E146" i="26"/>
  <c r="E50" i="26"/>
  <c r="E51" i="26" s="1"/>
  <c r="E37" i="26"/>
  <c r="AR103" i="26"/>
  <c r="AR129" i="26"/>
  <c r="AR132" i="26" s="1"/>
  <c r="AJ103" i="26"/>
  <c r="AJ129" i="26"/>
  <c r="AJ132" i="26" s="1"/>
  <c r="AB129" i="26"/>
  <c r="AB132" i="26" s="1"/>
  <c r="AB103" i="26"/>
  <c r="X103" i="26"/>
  <c r="X129" i="26"/>
  <c r="X132" i="26" s="1"/>
  <c r="P103" i="26"/>
  <c r="P129" i="26"/>
  <c r="P132" i="26" s="1"/>
  <c r="L129" i="26"/>
  <c r="L132" i="26" s="1"/>
  <c r="L103" i="26"/>
  <c r="E99" i="26"/>
  <c r="F97" i="26" s="1"/>
  <c r="F99" i="26" s="1"/>
  <c r="G97" i="26" s="1"/>
  <c r="G99" i="26" s="1"/>
  <c r="H97" i="26" s="1"/>
  <c r="H99" i="26" s="1"/>
  <c r="I97" i="26" s="1"/>
  <c r="I99" i="26" s="1"/>
  <c r="J97" i="26" s="1"/>
  <c r="J99" i="26" s="1"/>
  <c r="K97" i="26" s="1"/>
  <c r="K99" i="26" s="1"/>
  <c r="L97" i="26" s="1"/>
  <c r="L99" i="26" s="1"/>
  <c r="M97" i="26" s="1"/>
  <c r="M99" i="26" s="1"/>
  <c r="N97" i="26" s="1"/>
  <c r="N99" i="26" s="1"/>
  <c r="O97" i="26" s="1"/>
  <c r="O99" i="26" s="1"/>
  <c r="P97" i="26" s="1"/>
  <c r="P99" i="26" s="1"/>
  <c r="Q97" i="26" s="1"/>
  <c r="Q99" i="26" s="1"/>
  <c r="R97" i="26" s="1"/>
  <c r="R99" i="26" s="1"/>
  <c r="S97" i="26" s="1"/>
  <c r="S99" i="26" s="1"/>
  <c r="T97" i="26" s="1"/>
  <c r="T99" i="26" s="1"/>
  <c r="U97" i="26" s="1"/>
  <c r="U99" i="26" s="1"/>
  <c r="V97" i="26" s="1"/>
  <c r="V99" i="26" s="1"/>
  <c r="W97" i="26" s="1"/>
  <c r="W99" i="26" s="1"/>
  <c r="X97" i="26" s="1"/>
  <c r="X99" i="26" s="1"/>
  <c r="Y97" i="26" s="1"/>
  <c r="Y99" i="26" s="1"/>
  <c r="Z97" i="26" s="1"/>
  <c r="Z99" i="26" s="1"/>
  <c r="AA97" i="26" s="1"/>
  <c r="AA99" i="26" s="1"/>
  <c r="AB97" i="26" s="1"/>
  <c r="AB99" i="26" s="1"/>
  <c r="AC97" i="26" s="1"/>
  <c r="AC99" i="26" s="1"/>
  <c r="AD97" i="26" s="1"/>
  <c r="AD99" i="26" s="1"/>
  <c r="AE97" i="26" s="1"/>
  <c r="AE99" i="26" s="1"/>
  <c r="AF97" i="26" s="1"/>
  <c r="AF99" i="26" s="1"/>
  <c r="AG97" i="26" s="1"/>
  <c r="AG99" i="26" s="1"/>
  <c r="AH97" i="26" s="1"/>
  <c r="AH99" i="26" s="1"/>
  <c r="AI97" i="26" s="1"/>
  <c r="AI99" i="26" s="1"/>
  <c r="AJ97" i="26" s="1"/>
  <c r="AJ99" i="26" s="1"/>
  <c r="AK97" i="26" s="1"/>
  <c r="AK99" i="26" s="1"/>
  <c r="AL97" i="26" s="1"/>
  <c r="AL99" i="26" s="1"/>
  <c r="AM97" i="26" s="1"/>
  <c r="AM99" i="26" s="1"/>
  <c r="AN97" i="26" s="1"/>
  <c r="AN99" i="26" s="1"/>
  <c r="AO97" i="26" s="1"/>
  <c r="AO99" i="26" s="1"/>
  <c r="AP97" i="26" s="1"/>
  <c r="AP99" i="26" s="1"/>
  <c r="AQ97" i="26" s="1"/>
  <c r="AQ99" i="26" s="1"/>
  <c r="AR97" i="26" s="1"/>
  <c r="AR99" i="26" s="1"/>
  <c r="AS97" i="26" s="1"/>
  <c r="AS99" i="26" s="1"/>
  <c r="AT97" i="26" s="1"/>
  <c r="AT99" i="26" s="1"/>
  <c r="AU97" i="26" s="1"/>
  <c r="AU99" i="26" s="1"/>
  <c r="AV97" i="26" s="1"/>
  <c r="AV99" i="26" s="1"/>
  <c r="AW97" i="26" s="1"/>
  <c r="AW99" i="26" s="1"/>
  <c r="Q103" i="26"/>
  <c r="Q129" i="26"/>
  <c r="Q132" i="26" s="1"/>
  <c r="AV129" i="26"/>
  <c r="AV132" i="26" s="1"/>
  <c r="AV103" i="26"/>
  <c r="AN103" i="26"/>
  <c r="AN129" i="26"/>
  <c r="AN132" i="26" s="1"/>
  <c r="AF103" i="26"/>
  <c r="AF129" i="26"/>
  <c r="AF132" i="26" s="1"/>
  <c r="T103" i="26"/>
  <c r="T129" i="26"/>
  <c r="T132" i="26" s="1"/>
  <c r="H103" i="26"/>
  <c r="H129" i="26"/>
  <c r="H132" i="26" s="1"/>
  <c r="H135" i="26" s="1"/>
  <c r="D99" i="26"/>
  <c r="F199" i="12"/>
  <c r="F200" i="36"/>
  <c r="F202" i="36" s="1"/>
  <c r="G200" i="36" s="1"/>
  <c r="G202" i="36" s="1"/>
  <c r="H200" i="36" s="1"/>
  <c r="H202" i="36" s="1"/>
  <c r="I200" i="36" s="1"/>
  <c r="I202" i="36" s="1"/>
  <c r="J200" i="36" s="1"/>
  <c r="J202" i="36" s="1"/>
  <c r="K200" i="36" s="1"/>
  <c r="K202" i="36" s="1"/>
  <c r="L200" i="36" s="1"/>
  <c r="L202" i="36" s="1"/>
  <c r="M200" i="36" s="1"/>
  <c r="M202" i="36" s="1"/>
  <c r="N200" i="36" s="1"/>
  <c r="N202" i="36" s="1"/>
  <c r="O200" i="36" s="1"/>
  <c r="O202" i="36" s="1"/>
  <c r="P200" i="36" s="1"/>
  <c r="P202" i="36" s="1"/>
  <c r="Q200" i="36" s="1"/>
  <c r="Q202" i="36" s="1"/>
  <c r="R200" i="36" s="1"/>
  <c r="R202" i="36" s="1"/>
  <c r="S200" i="36" s="1"/>
  <c r="S202" i="36" s="1"/>
  <c r="T200" i="36" s="1"/>
  <c r="T202" i="36" s="1"/>
  <c r="U200" i="36" s="1"/>
  <c r="U202" i="36" s="1"/>
  <c r="V200" i="36" s="1"/>
  <c r="V202" i="36" s="1"/>
  <c r="W200" i="36" s="1"/>
  <c r="W202" i="36" s="1"/>
  <c r="X200" i="36" s="1"/>
  <c r="X202" i="36" s="1"/>
  <c r="Y200" i="36" s="1"/>
  <c r="Y202" i="36" s="1"/>
  <c r="Z200" i="36" s="1"/>
  <c r="Z202" i="36" s="1"/>
  <c r="AA200" i="36" s="1"/>
  <c r="AA202" i="36" s="1"/>
  <c r="AB200" i="36" s="1"/>
  <c r="AB202" i="36" s="1"/>
  <c r="AC200" i="36" s="1"/>
  <c r="AC202" i="36" s="1"/>
  <c r="AD200" i="36" s="1"/>
  <c r="AD202" i="36" s="1"/>
  <c r="AE200" i="36" s="1"/>
  <c r="AE202" i="36" s="1"/>
  <c r="AF200" i="36" s="1"/>
  <c r="AF202" i="36" s="1"/>
  <c r="AG200" i="36" s="1"/>
  <c r="AG202" i="36" s="1"/>
  <c r="AH200" i="36" s="1"/>
  <c r="AH202" i="36" s="1"/>
  <c r="AI200" i="36" s="1"/>
  <c r="AI202" i="36" s="1"/>
  <c r="AJ200" i="36" s="1"/>
  <c r="AJ202" i="36" s="1"/>
  <c r="AK200" i="36" s="1"/>
  <c r="AK202" i="36" s="1"/>
  <c r="AL200" i="36" s="1"/>
  <c r="AL202" i="36" s="1"/>
  <c r="AM200" i="36" s="1"/>
  <c r="AM202" i="36" s="1"/>
  <c r="AN200" i="36" s="1"/>
  <c r="AN202" i="36" s="1"/>
  <c r="AO200" i="36" s="1"/>
  <c r="AO202" i="36" s="1"/>
  <c r="AP200" i="36" s="1"/>
  <c r="AP202" i="36" s="1"/>
  <c r="AQ200" i="36" s="1"/>
  <c r="AQ202" i="36" s="1"/>
  <c r="AR200" i="36" s="1"/>
  <c r="AR202" i="36" s="1"/>
  <c r="AS200" i="36" s="1"/>
  <c r="AS202" i="36" s="1"/>
  <c r="AT200" i="36" s="1"/>
  <c r="AT202" i="36" s="1"/>
  <c r="AU200" i="36" s="1"/>
  <c r="AU202" i="36" s="1"/>
  <c r="AV200" i="36" s="1"/>
  <c r="AV202" i="36" s="1"/>
  <c r="AW200" i="36" s="1"/>
  <c r="AW202" i="36" s="1"/>
  <c r="AX200" i="36" s="1"/>
  <c r="AX202" i="36" s="1"/>
  <c r="AQ103" i="26"/>
  <c r="AQ129" i="26"/>
  <c r="AQ132" i="26" s="1"/>
  <c r="AM103" i="26"/>
  <c r="AM129" i="26"/>
  <c r="AM132" i="26" s="1"/>
  <c r="AI103" i="26"/>
  <c r="AI129" i="26"/>
  <c r="AI132" i="26" s="1"/>
  <c r="AA103" i="26"/>
  <c r="AA129" i="26"/>
  <c r="AA132" i="26" s="1"/>
  <c r="S129" i="26"/>
  <c r="S132" i="26" s="1"/>
  <c r="S103" i="26"/>
  <c r="Y103" i="26"/>
  <c r="Y129" i="26"/>
  <c r="Y132" i="26" s="1"/>
  <c r="AU129" i="26"/>
  <c r="AU132" i="26" s="1"/>
  <c r="AU103" i="26"/>
  <c r="AE129" i="26"/>
  <c r="AE132" i="26" s="1"/>
  <c r="AE103" i="26"/>
  <c r="W129" i="26"/>
  <c r="W132" i="26" s="1"/>
  <c r="W103" i="26"/>
  <c r="O103" i="26"/>
  <c r="O129" i="26"/>
  <c r="O132" i="26" s="1"/>
  <c r="K103" i="26"/>
  <c r="K129" i="26"/>
  <c r="K132" i="26" s="1"/>
  <c r="G103" i="26"/>
  <c r="G129" i="26"/>
  <c r="G132" i="26" s="1"/>
  <c r="G135" i="26" s="1"/>
  <c r="AO103" i="26"/>
  <c r="AO129" i="26"/>
  <c r="AO132" i="26" s="1"/>
  <c r="AT129" i="26"/>
  <c r="AT132" i="26" s="1"/>
  <c r="AT103" i="26"/>
  <c r="AP129" i="26"/>
  <c r="AP132" i="26" s="1"/>
  <c r="AP103" i="26"/>
  <c r="AL103" i="26"/>
  <c r="AL129" i="26"/>
  <c r="AL132" i="26" s="1"/>
  <c r="AH103" i="26"/>
  <c r="AH129" i="26"/>
  <c r="AH132" i="26" s="1"/>
  <c r="Z129" i="26"/>
  <c r="Z132" i="26" s="1"/>
  <c r="Z103" i="26"/>
  <c r="V103" i="26"/>
  <c r="V129" i="26"/>
  <c r="V132" i="26" s="1"/>
  <c r="N129" i="26"/>
  <c r="N132" i="26" s="1"/>
  <c r="N103" i="26"/>
  <c r="J103" i="26"/>
  <c r="J129" i="26"/>
  <c r="J132" i="26" s="1"/>
  <c r="F129" i="26"/>
  <c r="F132" i="26" s="1"/>
  <c r="F135" i="26" s="1"/>
  <c r="F103" i="26"/>
  <c r="E100" i="36"/>
  <c r="E100" i="12"/>
  <c r="D115" i="9"/>
  <c r="D53" i="26"/>
  <c r="AS129" i="26"/>
  <c r="AS132" i="26" s="1"/>
  <c r="AS103" i="26"/>
  <c r="AG103" i="26"/>
  <c r="AG129" i="26"/>
  <c r="AG132" i="26" s="1"/>
  <c r="I129" i="26"/>
  <c r="I132" i="26" s="1"/>
  <c r="I135" i="26" s="1"/>
  <c r="I103" i="26"/>
  <c r="AD103" i="26"/>
  <c r="AD129" i="26"/>
  <c r="AD132" i="26" s="1"/>
  <c r="R129" i="26"/>
  <c r="R132" i="26" s="1"/>
  <c r="R103" i="26"/>
  <c r="AK129" i="26"/>
  <c r="AK132" i="26" s="1"/>
  <c r="AK103" i="26"/>
  <c r="AC103" i="26"/>
  <c r="AC129" i="26"/>
  <c r="AC132" i="26" s="1"/>
  <c r="M129" i="26"/>
  <c r="M132" i="26" s="1"/>
  <c r="M103" i="26"/>
  <c r="E129" i="26"/>
  <c r="E132" i="26" s="1"/>
  <c r="E103" i="26"/>
  <c r="Q21" i="33"/>
  <c r="S100" i="36" s="1"/>
  <c r="AE22" i="33"/>
  <c r="AG101" i="36" s="1"/>
  <c r="AE21" i="33"/>
  <c r="AG100" i="12" s="1"/>
  <c r="Q22" i="33"/>
  <c r="N20" i="33"/>
  <c r="N22" i="33" s="1"/>
  <c r="P101" i="12" s="1"/>
  <c r="AQ21" i="33"/>
  <c r="AS100" i="36" s="1"/>
  <c r="AD21" i="33"/>
  <c r="AD26" i="33" s="1"/>
  <c r="O20" i="33"/>
  <c r="O22" i="33" s="1"/>
  <c r="Q101" i="12" s="1"/>
  <c r="U20" i="33"/>
  <c r="U22" i="33" s="1"/>
  <c r="AB20" i="33"/>
  <c r="AB21" i="33" s="1"/>
  <c r="W20" i="33"/>
  <c r="W22" i="33" s="1"/>
  <c r="AI20" i="33"/>
  <c r="AI22" i="33" s="1"/>
  <c r="X21" i="33"/>
  <c r="Y115" i="9" s="1"/>
  <c r="AH22" i="33"/>
  <c r="AJ101" i="12" s="1"/>
  <c r="V20" i="33"/>
  <c r="V22" i="33" s="1"/>
  <c r="X101" i="12" s="1"/>
  <c r="AO100" i="36"/>
  <c r="AO100" i="12"/>
  <c r="AN115" i="9"/>
  <c r="AE99" i="36"/>
  <c r="AE99" i="12"/>
  <c r="AD117" i="8"/>
  <c r="AD123" i="8" s="1"/>
  <c r="AD125" i="8" s="1"/>
  <c r="AC21" i="33"/>
  <c r="AC22" i="33"/>
  <c r="T99" i="12"/>
  <c r="S117" i="8"/>
  <c r="S123" i="8" s="1"/>
  <c r="S125" i="8" s="1"/>
  <c r="T99" i="36"/>
  <c r="AC99" i="36"/>
  <c r="AB117" i="8"/>
  <c r="AB123" i="8" s="1"/>
  <c r="AB125" i="8" s="1"/>
  <c r="AC99" i="12"/>
  <c r="L99" i="36"/>
  <c r="L99" i="12"/>
  <c r="K117" i="8"/>
  <c r="O5" i="49" s="1"/>
  <c r="J21" i="33"/>
  <c r="J22" i="33"/>
  <c r="AB100" i="36"/>
  <c r="AA115" i="9"/>
  <c r="AB100" i="12"/>
  <c r="AL99" i="12"/>
  <c r="AK117" i="8"/>
  <c r="AK123" i="8" s="1"/>
  <c r="AK125" i="8" s="1"/>
  <c r="AL99" i="36"/>
  <c r="R117" i="8"/>
  <c r="R123" i="8" s="1"/>
  <c r="R125" i="8" s="1"/>
  <c r="S99" i="12"/>
  <c r="S99" i="36"/>
  <c r="AH98" i="36"/>
  <c r="AH98" i="12"/>
  <c r="AG115" i="21"/>
  <c r="AG116" i="21" s="1"/>
  <c r="U98" i="36"/>
  <c r="T115" i="21"/>
  <c r="T116" i="21" s="1"/>
  <c r="U98" i="12"/>
  <c r="R21" i="33"/>
  <c r="AT98" i="36"/>
  <c r="AS115" i="21"/>
  <c r="AS116" i="21" s="1"/>
  <c r="AT98" i="12"/>
  <c r="AA100" i="36"/>
  <c r="AA100" i="12"/>
  <c r="Z115" i="9"/>
  <c r="AA99" i="36"/>
  <c r="Z117" i="8"/>
  <c r="Z123" i="8" s="1"/>
  <c r="Z125" i="8" s="1"/>
  <c r="AA99" i="12"/>
  <c r="AJ99" i="36"/>
  <c r="AI117" i="8"/>
  <c r="AI123" i="8" s="1"/>
  <c r="AI125" i="8" s="1"/>
  <c r="AJ99" i="12"/>
  <c r="AM98" i="36"/>
  <c r="AL115" i="21"/>
  <c r="AL116" i="21" s="1"/>
  <c r="AM98" i="12"/>
  <c r="AL98" i="36"/>
  <c r="AK115" i="21"/>
  <c r="AK116" i="21" s="1"/>
  <c r="AL98" i="12"/>
  <c r="AA21" i="33"/>
  <c r="AG98" i="36"/>
  <c r="AF115" i="21"/>
  <c r="AF116" i="21" s="1"/>
  <c r="AG98" i="12"/>
  <c r="P98" i="12"/>
  <c r="P98" i="36"/>
  <c r="O115" i="21"/>
  <c r="R4" i="49" s="1"/>
  <c r="AZ67" i="37" s="1"/>
  <c r="S20" i="33"/>
  <c r="S21" i="33" s="1"/>
  <c r="L20" i="33"/>
  <c r="R22" i="33"/>
  <c r="Z22" i="33"/>
  <c r="Z26" i="33" s="1"/>
  <c r="AR20" i="33"/>
  <c r="AR21" i="33" s="1"/>
  <c r="Y98" i="36"/>
  <c r="Y98" i="12"/>
  <c r="X115" i="21"/>
  <c r="X116" i="21" s="1"/>
  <c r="AF98" i="36"/>
  <c r="AF98" i="12"/>
  <c r="AE115" i="21"/>
  <c r="AE116" i="21" s="1"/>
  <c r="AJ115" i="21"/>
  <c r="AJ116" i="21" s="1"/>
  <c r="AK98" i="36"/>
  <c r="AK98" i="12"/>
  <c r="N115" i="21"/>
  <c r="Q4" i="49" s="1"/>
  <c r="AY67" i="37" s="1"/>
  <c r="O98" i="36"/>
  <c r="O98" i="12"/>
  <c r="Z115" i="21"/>
  <c r="Z116" i="21" s="1"/>
  <c r="AA98" i="12"/>
  <c r="AA98" i="36"/>
  <c r="AN99" i="12"/>
  <c r="AM117" i="8"/>
  <c r="AM123" i="8" s="1"/>
  <c r="AM125" i="8" s="1"/>
  <c r="AN99" i="36"/>
  <c r="AN117" i="8"/>
  <c r="AN123" i="8" s="1"/>
  <c r="AN125" i="8" s="1"/>
  <c r="AO99" i="12"/>
  <c r="AO99" i="36"/>
  <c r="AN98" i="36"/>
  <c r="AM115" i="21"/>
  <c r="AM116" i="21" s="1"/>
  <c r="AN98" i="12"/>
  <c r="AJ98" i="12"/>
  <c r="AI115" i="21"/>
  <c r="AI116" i="21" s="1"/>
  <c r="AJ98" i="36"/>
  <c r="AS99" i="36"/>
  <c r="AS99" i="12"/>
  <c r="AR117" i="8"/>
  <c r="AR123" i="8" s="1"/>
  <c r="AR125" i="8" s="1"/>
  <c r="AK99" i="12"/>
  <c r="V98" i="36"/>
  <c r="U115" i="21"/>
  <c r="U116" i="21" s="1"/>
  <c r="V98" i="12"/>
  <c r="S98" i="36"/>
  <c r="R115" i="21"/>
  <c r="R116" i="21" s="1"/>
  <c r="S98" i="12"/>
  <c r="W98" i="36"/>
  <c r="W98" i="12"/>
  <c r="V115" i="21"/>
  <c r="V116" i="21" s="1"/>
  <c r="AK20" i="33"/>
  <c r="AK22" i="33" s="1"/>
  <c r="V99" i="12"/>
  <c r="U117" i="8"/>
  <c r="U123" i="8" s="1"/>
  <c r="U125" i="8" s="1"/>
  <c r="V99" i="36"/>
  <c r="T22" i="33"/>
  <c r="Z99" i="36"/>
  <c r="Y117" i="8"/>
  <c r="Y123" i="8" s="1"/>
  <c r="Y125" i="8" s="1"/>
  <c r="Z99" i="12"/>
  <c r="T98" i="36"/>
  <c r="S115" i="21"/>
  <c r="S116" i="21" s="1"/>
  <c r="T98" i="12"/>
  <c r="AB99" i="12"/>
  <c r="AA117" i="8"/>
  <c r="AA123" i="8" s="1"/>
  <c r="AA125" i="8" s="1"/>
  <c r="AB99" i="36"/>
  <c r="AP98" i="36"/>
  <c r="AP98" i="12"/>
  <c r="AO115" i="21"/>
  <c r="AO116" i="21" s="1"/>
  <c r="AJ22" i="33"/>
  <c r="AC98" i="12"/>
  <c r="AC98" i="36"/>
  <c r="AB115" i="21"/>
  <c r="AB116" i="21" s="1"/>
  <c r="AG99" i="12"/>
  <c r="AF117" i="8"/>
  <c r="AF123" i="8" s="1"/>
  <c r="AF125" i="8" s="1"/>
  <c r="AG99" i="36"/>
  <c r="AF101" i="36"/>
  <c r="AF101" i="12"/>
  <c r="AF20" i="33"/>
  <c r="AF21" i="33" s="1"/>
  <c r="N98" i="36"/>
  <c r="N98" i="12"/>
  <c r="M115" i="21"/>
  <c r="P4" i="49" s="1"/>
  <c r="AX67" i="37" s="1"/>
  <c r="X98" i="36"/>
  <c r="X98" i="12"/>
  <c r="W115" i="21"/>
  <c r="W116" i="21" s="1"/>
  <c r="T21" i="33"/>
  <c r="AQ98" i="12"/>
  <c r="AQ98" i="36"/>
  <c r="AP115" i="21"/>
  <c r="AP116" i="21" s="1"/>
  <c r="AO20" i="33"/>
  <c r="AO21" i="33" s="1"/>
  <c r="AA22" i="33"/>
  <c r="AQ22" i="33"/>
  <c r="AD98" i="36"/>
  <c r="AD98" i="12"/>
  <c r="AC115" i="21"/>
  <c r="AC116" i="21" s="1"/>
  <c r="AD115" i="21"/>
  <c r="AD116" i="21" s="1"/>
  <c r="AE98" i="36"/>
  <c r="AE98" i="12"/>
  <c r="AE115" i="9"/>
  <c r="AF100" i="12"/>
  <c r="AB98" i="36"/>
  <c r="AA115" i="21"/>
  <c r="AA116" i="21" s="1"/>
  <c r="AB98" i="12"/>
  <c r="AN20" i="33"/>
  <c r="Y22" i="33"/>
  <c r="Y26" i="33" s="1"/>
  <c r="AJ21" i="33"/>
  <c r="AL22" i="33"/>
  <c r="AO98" i="12"/>
  <c r="AN115" i="21"/>
  <c r="AN116" i="21" s="1"/>
  <c r="AO98" i="36"/>
  <c r="AL21" i="33"/>
  <c r="AM22" i="33"/>
  <c r="AM26" i="33" s="1"/>
  <c r="AH21" i="33"/>
  <c r="AS98" i="12"/>
  <c r="AS98" i="36"/>
  <c r="AR115" i="21"/>
  <c r="AR116" i="21" s="1"/>
  <c r="L98" i="12"/>
  <c r="L98" i="36"/>
  <c r="K115" i="21"/>
  <c r="N4" i="49" s="1"/>
  <c r="AE117" i="8"/>
  <c r="AE123" i="8" s="1"/>
  <c r="AE125" i="8" s="1"/>
  <c r="AF99" i="12"/>
  <c r="AF99" i="36"/>
  <c r="Q98" i="12"/>
  <c r="Q98" i="36"/>
  <c r="P115" i="21"/>
  <c r="S4" i="49" s="1"/>
  <c r="BA67" i="37" s="1"/>
  <c r="X22" i="33"/>
  <c r="Z98" i="12"/>
  <c r="Z98" i="36"/>
  <c r="Y115" i="21"/>
  <c r="Y116" i="21" s="1"/>
  <c r="M20" i="33"/>
  <c r="AW112" i="26" l="1"/>
  <c r="AV126" i="29"/>
  <c r="AV127" i="29"/>
  <c r="AV128" i="29"/>
  <c r="AV67" i="37"/>
  <c r="AV68" i="37"/>
  <c r="AQ47" i="37"/>
  <c r="J6" i="46"/>
  <c r="G3" i="46"/>
  <c r="J6" i="49"/>
  <c r="AR69" i="37" s="1"/>
  <c r="G3" i="49"/>
  <c r="AN66" i="37"/>
  <c r="AQ45" i="37"/>
  <c r="AT19" i="33"/>
  <c r="AV103" i="12"/>
  <c r="AV103" i="36"/>
  <c r="AT20" i="33"/>
  <c r="AW140" i="36"/>
  <c r="AW144" i="36" s="1"/>
  <c r="AW152" i="36"/>
  <c r="AV118" i="36"/>
  <c r="AV118" i="12"/>
  <c r="AV126" i="12"/>
  <c r="AV126" i="36"/>
  <c r="AT130" i="29"/>
  <c r="AP84" i="32"/>
  <c r="AP36" i="32"/>
  <c r="AP37" i="32" s="1"/>
  <c r="AP51" i="32" s="1"/>
  <c r="AP52" i="32" s="1"/>
  <c r="AP53" i="32" s="1"/>
  <c r="AP54" i="32" s="1"/>
  <c r="AX30" i="36"/>
  <c r="AX89" i="36" s="1"/>
  <c r="AX112" i="36" s="1"/>
  <c r="AX135" i="36"/>
  <c r="AX193" i="36" s="1"/>
  <c r="AX145" i="36"/>
  <c r="AX192" i="36"/>
  <c r="AX198" i="36"/>
  <c r="AX141" i="36"/>
  <c r="AW156" i="29"/>
  <c r="AW38" i="29"/>
  <c r="AW49" i="29"/>
  <c r="AX20" i="12"/>
  <c r="AV138" i="24"/>
  <c r="AV121" i="24"/>
  <c r="AV123" i="24"/>
  <c r="AW116" i="36"/>
  <c r="AV122" i="24"/>
  <c r="AV120" i="24"/>
  <c r="AV129" i="24"/>
  <c r="AW116" i="12"/>
  <c r="AV130" i="24"/>
  <c r="AX53" i="12"/>
  <c r="AH53" i="12"/>
  <c r="AE53" i="36"/>
  <c r="AU53" i="36"/>
  <c r="O53" i="36"/>
  <c r="AV120" i="36"/>
  <c r="AV120" i="12"/>
  <c r="AX18" i="36"/>
  <c r="AX22" i="36" s="1"/>
  <c r="E23" i="36" s="1"/>
  <c r="AW49" i="10"/>
  <c r="AW38" i="10"/>
  <c r="AW147" i="10"/>
  <c r="AX18" i="12"/>
  <c r="D25" i="10"/>
  <c r="D150" i="10" s="1"/>
  <c r="AU51" i="36"/>
  <c r="AU57" i="36" s="1"/>
  <c r="AT124" i="32"/>
  <c r="AU51" i="12"/>
  <c r="AU57" i="12" s="1"/>
  <c r="AW93" i="36"/>
  <c r="AW93" i="12"/>
  <c r="AV109" i="32"/>
  <c r="AU123" i="26" s="1"/>
  <c r="AV113" i="32"/>
  <c r="AV108" i="32"/>
  <c r="AV128" i="32"/>
  <c r="AV130" i="32" s="1"/>
  <c r="AV107" i="32"/>
  <c r="AU121" i="21" s="1"/>
  <c r="AU122" i="21" s="1"/>
  <c r="AV110" i="32"/>
  <c r="AV121" i="5" s="1"/>
  <c r="AV122" i="5" s="1"/>
  <c r="AV106" i="32"/>
  <c r="AV111" i="32"/>
  <c r="AW103" i="32"/>
  <c r="P53" i="12" s="1"/>
  <c r="AV112" i="32"/>
  <c r="AV136" i="29" s="1"/>
  <c r="AW22" i="12"/>
  <c r="G53" i="21"/>
  <c r="G54" i="21" s="1"/>
  <c r="J4" i="46"/>
  <c r="AW94" i="36"/>
  <c r="AW94" i="12"/>
  <c r="AV94" i="36"/>
  <c r="AV94" i="12"/>
  <c r="AU38" i="12"/>
  <c r="AU124" i="5"/>
  <c r="AU38" i="36"/>
  <c r="AW47" i="36"/>
  <c r="AW45" i="36"/>
  <c r="AX88" i="36"/>
  <c r="AW44" i="36"/>
  <c r="AW32" i="36"/>
  <c r="AW46" i="36"/>
  <c r="AW75" i="36"/>
  <c r="AW74" i="36"/>
  <c r="AW72" i="36"/>
  <c r="AW73" i="36"/>
  <c r="AR134" i="32"/>
  <c r="AR28" i="32" s="1"/>
  <c r="AS27" i="32"/>
  <c r="AS133" i="32"/>
  <c r="AS142" i="32"/>
  <c r="AW114" i="24"/>
  <c r="K8" i="33" s="1" a="1"/>
  <c r="K8" i="33" s="1"/>
  <c r="AW113" i="24"/>
  <c r="AW140" i="24"/>
  <c r="AW118" i="24"/>
  <c r="AW112" i="24"/>
  <c r="AV8" i="33" a="1"/>
  <c r="AV8" i="33" s="1"/>
  <c r="AD53" i="12"/>
  <c r="AW55" i="36"/>
  <c r="AQ53" i="12"/>
  <c r="AM53" i="12"/>
  <c r="U53" i="12"/>
  <c r="S53" i="12"/>
  <c r="AT123" i="9"/>
  <c r="AU114" i="32"/>
  <c r="AT35" i="5"/>
  <c r="AT130" i="5"/>
  <c r="AV128" i="36"/>
  <c r="AV128" i="12"/>
  <c r="D37" i="29"/>
  <c r="D160" i="29"/>
  <c r="D161" i="29" s="1"/>
  <c r="E159" i="29" s="1"/>
  <c r="D50" i="29"/>
  <c r="D51" i="29" s="1"/>
  <c r="AV137" i="29"/>
  <c r="AV121" i="29"/>
  <c r="AV122" i="29"/>
  <c r="AW124" i="12"/>
  <c r="AW124" i="36"/>
  <c r="AV120" i="29"/>
  <c r="AW126" i="10"/>
  <c r="AW116" i="10"/>
  <c r="AW112" i="10"/>
  <c r="AW113" i="10"/>
  <c r="AV6" i="33"/>
  <c r="AR29" i="32"/>
  <c r="AO54" i="32"/>
  <c r="AO53" i="32"/>
  <c r="AV39" i="36"/>
  <c r="AV39" i="12"/>
  <c r="AS53" i="12"/>
  <c r="X53" i="12"/>
  <c r="AU66" i="12"/>
  <c r="AU66" i="36"/>
  <c r="AU103" i="12"/>
  <c r="AU103" i="36"/>
  <c r="AS19" i="33"/>
  <c r="AT36" i="5"/>
  <c r="AT47" i="5" s="1"/>
  <c r="AV119" i="12"/>
  <c r="AV119" i="36"/>
  <c r="AV127" i="36"/>
  <c r="AV127" i="12"/>
  <c r="AW49" i="24"/>
  <c r="AW38" i="24"/>
  <c r="AW158" i="24"/>
  <c r="AX19" i="12"/>
  <c r="AO86" i="32"/>
  <c r="AO87" i="32"/>
  <c r="AW112" i="9"/>
  <c r="D25" i="24"/>
  <c r="D161" i="24" s="1"/>
  <c r="AN53" i="32"/>
  <c r="AN54" i="32"/>
  <c r="U53" i="36"/>
  <c r="AR53" i="36"/>
  <c r="AW55" i="12"/>
  <c r="G53" i="12"/>
  <c r="AR53" i="12"/>
  <c r="L53" i="12"/>
  <c r="Z53" i="36"/>
  <c r="AL53" i="36"/>
  <c r="I53" i="36"/>
  <c r="AU130" i="32"/>
  <c r="AV121" i="12"/>
  <c r="AV121" i="36"/>
  <c r="AW114" i="29"/>
  <c r="AW118" i="29"/>
  <c r="AW113" i="29"/>
  <c r="AW112" i="29"/>
  <c r="AX47" i="12"/>
  <c r="AX75" i="12"/>
  <c r="AX74" i="12"/>
  <c r="AX32" i="12"/>
  <c r="AX46" i="12"/>
  <c r="AX44" i="12"/>
  <c r="AX45" i="12"/>
  <c r="AX72" i="12"/>
  <c r="AX73" i="12"/>
  <c r="AV118" i="10"/>
  <c r="AU6" i="33"/>
  <c r="AW121" i="5"/>
  <c r="AW122" i="5" s="1"/>
  <c r="AV124" i="8"/>
  <c r="Z100" i="36"/>
  <c r="P116" i="21"/>
  <c r="M116" i="21"/>
  <c r="N116" i="21"/>
  <c r="O116" i="21"/>
  <c r="K123" i="8"/>
  <c r="K125" i="8" s="1"/>
  <c r="K116" i="21"/>
  <c r="K125" i="21" s="1"/>
  <c r="Q99" i="12"/>
  <c r="E94" i="21"/>
  <c r="E53" i="26"/>
  <c r="O117" i="8"/>
  <c r="S5" i="49" s="1"/>
  <c r="BA68" i="37" s="1"/>
  <c r="S22" i="33"/>
  <c r="Q99" i="36"/>
  <c r="Z100" i="12"/>
  <c r="S100" i="12"/>
  <c r="AD99" i="36"/>
  <c r="V117" i="8"/>
  <c r="V123" i="8" s="1"/>
  <c r="V125" i="8" s="1"/>
  <c r="F205" i="12"/>
  <c r="F206" i="36"/>
  <c r="E116" i="26"/>
  <c r="E118" i="26" s="1"/>
  <c r="E114" i="26"/>
  <c r="W99" i="36"/>
  <c r="W99" i="12"/>
  <c r="U21" i="33"/>
  <c r="W100" i="36" s="1"/>
  <c r="X26" i="33"/>
  <c r="P117" i="8"/>
  <c r="T5" i="49" s="1"/>
  <c r="Y99" i="12"/>
  <c r="AJ117" i="8"/>
  <c r="AJ123" i="8" s="1"/>
  <c r="AJ125" i="8" s="1"/>
  <c r="AK99" i="36"/>
  <c r="AG101" i="12"/>
  <c r="E59" i="21"/>
  <c r="E43" i="5"/>
  <c r="E91" i="5"/>
  <c r="H37" i="21"/>
  <c r="H40" i="21" s="1"/>
  <c r="H145" i="21"/>
  <c r="I143" i="21" s="1"/>
  <c r="H144" i="21"/>
  <c r="H50" i="21"/>
  <c r="H51" i="21" s="1"/>
  <c r="H148" i="21"/>
  <c r="AC26" i="33"/>
  <c r="AC33" i="33" s="1"/>
  <c r="G91" i="21"/>
  <c r="G43" i="21"/>
  <c r="F43" i="5"/>
  <c r="F91" i="5"/>
  <c r="F44" i="21"/>
  <c r="F58" i="21" s="1"/>
  <c r="F59" i="21" s="1"/>
  <c r="F93" i="21"/>
  <c r="F94" i="21"/>
  <c r="G136" i="5"/>
  <c r="G37" i="5"/>
  <c r="G40" i="5" s="1"/>
  <c r="G50" i="5"/>
  <c r="G51" i="5" s="1"/>
  <c r="G53" i="5" s="1"/>
  <c r="G54" i="5" s="1"/>
  <c r="G137" i="5"/>
  <c r="H135" i="5" s="1"/>
  <c r="G140" i="5"/>
  <c r="Y99" i="36"/>
  <c r="E47" i="8"/>
  <c r="E54" i="8" s="1"/>
  <c r="AQ26" i="33"/>
  <c r="AQ27" i="33" s="1"/>
  <c r="AF115" i="9"/>
  <c r="AF114" i="9" s="1"/>
  <c r="AS100" i="12"/>
  <c r="AG100" i="36"/>
  <c r="H54" i="8"/>
  <c r="AR115" i="9"/>
  <c r="AR116" i="9" s="1"/>
  <c r="AR118" i="9" s="1"/>
  <c r="W21" i="33"/>
  <c r="Y100" i="36" s="1"/>
  <c r="X117" i="8"/>
  <c r="X123" i="8" s="1"/>
  <c r="X125" i="8" s="1"/>
  <c r="E101" i="36"/>
  <c r="D115" i="26"/>
  <c r="AE26" i="33"/>
  <c r="G140" i="8"/>
  <c r="E40" i="8"/>
  <c r="E91" i="8" s="1"/>
  <c r="I83" i="36"/>
  <c r="E101" i="12"/>
  <c r="C26" i="33"/>
  <c r="C27" i="33" s="1"/>
  <c r="F142" i="8"/>
  <c r="F140" i="8"/>
  <c r="I35" i="8"/>
  <c r="I36" i="8" s="1"/>
  <c r="I47" i="8" s="1"/>
  <c r="H83" i="36"/>
  <c r="J140" i="8"/>
  <c r="H140" i="8"/>
  <c r="I140" i="8"/>
  <c r="J35" i="8"/>
  <c r="J36" i="8" s="1"/>
  <c r="J47" i="8" s="1"/>
  <c r="F47" i="8"/>
  <c r="F54" i="8" s="1"/>
  <c r="F40" i="8"/>
  <c r="G47" i="8"/>
  <c r="G54" i="8" s="1"/>
  <c r="H142" i="8"/>
  <c r="H40" i="8"/>
  <c r="I53" i="8"/>
  <c r="J149" i="8"/>
  <c r="K147" i="8" s="1"/>
  <c r="J50" i="8"/>
  <c r="J51" i="8" s="1"/>
  <c r="N5" i="46" s="1"/>
  <c r="J37" i="8"/>
  <c r="J148" i="8"/>
  <c r="J152" i="8"/>
  <c r="G91" i="8"/>
  <c r="G43" i="8"/>
  <c r="I4" i="38" s="1"/>
  <c r="I4" i="40" s="1"/>
  <c r="AE115" i="26"/>
  <c r="AE114" i="26" s="1"/>
  <c r="AI21" i="33"/>
  <c r="AK100" i="36" s="1"/>
  <c r="Q101" i="36"/>
  <c r="G53" i="9"/>
  <c r="G54" i="9" s="1"/>
  <c r="H50" i="9"/>
  <c r="H51" i="9" s="1"/>
  <c r="H144" i="9"/>
  <c r="I142" i="9" s="1"/>
  <c r="H143" i="9"/>
  <c r="H37" i="9"/>
  <c r="H40" i="9" s="1"/>
  <c r="H147" i="9"/>
  <c r="G43" i="9"/>
  <c r="I9" i="38" s="1"/>
  <c r="I9" i="40" s="1"/>
  <c r="G91" i="9"/>
  <c r="AJ101" i="36"/>
  <c r="F93" i="9"/>
  <c r="F94" i="9"/>
  <c r="J26" i="33"/>
  <c r="J34" i="33" s="1"/>
  <c r="E93" i="9"/>
  <c r="E94" i="9"/>
  <c r="R115" i="9"/>
  <c r="AC92" i="26"/>
  <c r="AE206" i="36"/>
  <c r="AE205" i="12"/>
  <c r="I92" i="26"/>
  <c r="K206" i="36"/>
  <c r="K205" i="12"/>
  <c r="D116" i="9"/>
  <c r="D118" i="9" s="1"/>
  <c r="F9" i="43" s="1"/>
  <c r="F9" i="45" s="1"/>
  <c r="F9" i="48" s="1"/>
  <c r="D114" i="9"/>
  <c r="N92" i="26"/>
  <c r="P205" i="12"/>
  <c r="P206" i="36"/>
  <c r="AO92" i="26"/>
  <c r="AQ205" i="12"/>
  <c r="AQ206" i="36"/>
  <c r="O92" i="26"/>
  <c r="Q206" i="36"/>
  <c r="Q205" i="12"/>
  <c r="AI92" i="26"/>
  <c r="AK206" i="36"/>
  <c r="AK205" i="12"/>
  <c r="Q92" i="26"/>
  <c r="S206" i="36"/>
  <c r="S205" i="12"/>
  <c r="AB92" i="26"/>
  <c r="AD206" i="36"/>
  <c r="AD205" i="12"/>
  <c r="AK92" i="26"/>
  <c r="AM206" i="36"/>
  <c r="AM205" i="12"/>
  <c r="R92" i="26"/>
  <c r="T206" i="36"/>
  <c r="T205" i="12"/>
  <c r="I136" i="26"/>
  <c r="AL92" i="26"/>
  <c r="AN205" i="12"/>
  <c r="AN206" i="36"/>
  <c r="W92" i="26"/>
  <c r="Y205" i="12"/>
  <c r="Y206" i="36"/>
  <c r="AF92" i="26"/>
  <c r="AH206" i="36"/>
  <c r="AH205" i="12"/>
  <c r="J92" i="26"/>
  <c r="L206" i="36"/>
  <c r="L205" i="12"/>
  <c r="AP92" i="26"/>
  <c r="AR205" i="12"/>
  <c r="AR206" i="36"/>
  <c r="Y92" i="26"/>
  <c r="AA205" i="12"/>
  <c r="AA206" i="36"/>
  <c r="AM92" i="26"/>
  <c r="AO205" i="12"/>
  <c r="AO206" i="36"/>
  <c r="L92" i="26"/>
  <c r="N205" i="12"/>
  <c r="N206" i="36"/>
  <c r="T92" i="26"/>
  <c r="V206" i="36"/>
  <c r="V205" i="12"/>
  <c r="AA26" i="33"/>
  <c r="AC104" i="36" s="1"/>
  <c r="E92" i="26"/>
  <c r="G205" i="12"/>
  <c r="G206" i="36"/>
  <c r="AG92" i="26"/>
  <c r="AI205" i="12"/>
  <c r="AI206" i="36"/>
  <c r="V92" i="26"/>
  <c r="X206" i="36"/>
  <c r="X205" i="12"/>
  <c r="G136" i="26"/>
  <c r="AE92" i="26"/>
  <c r="AG206" i="36"/>
  <c r="AG205" i="12"/>
  <c r="S92" i="26"/>
  <c r="U206" i="36"/>
  <c r="U205" i="12"/>
  <c r="AN92" i="26"/>
  <c r="AP206" i="36"/>
  <c r="AP205" i="12"/>
  <c r="AJ92" i="26"/>
  <c r="AL206" i="36"/>
  <c r="AL205" i="12"/>
  <c r="S101" i="12"/>
  <c r="AD92" i="26"/>
  <c r="AF206" i="36"/>
  <c r="AF205" i="12"/>
  <c r="AS92" i="26"/>
  <c r="AU206" i="36"/>
  <c r="AU205" i="12"/>
  <c r="F92" i="26"/>
  <c r="H206" i="36"/>
  <c r="H205" i="12"/>
  <c r="Z92" i="26"/>
  <c r="AB205" i="12"/>
  <c r="AB206" i="36"/>
  <c r="AT92" i="26"/>
  <c r="AV205" i="12"/>
  <c r="AV206" i="36"/>
  <c r="G92" i="26"/>
  <c r="I205" i="12"/>
  <c r="I206" i="36"/>
  <c r="AQ92" i="26"/>
  <c r="AS205" i="12"/>
  <c r="AS206" i="36"/>
  <c r="H136" i="26"/>
  <c r="AV92" i="26"/>
  <c r="AX205" i="12"/>
  <c r="AX206" i="36"/>
  <c r="U92" i="26"/>
  <c r="W205" i="12"/>
  <c r="W206" i="36"/>
  <c r="Q26" i="33"/>
  <c r="Q34" i="33" s="1"/>
  <c r="S101" i="36"/>
  <c r="M92" i="26"/>
  <c r="O206" i="36"/>
  <c r="O205" i="12"/>
  <c r="F136" i="26"/>
  <c r="AU92" i="26"/>
  <c r="AW206" i="36"/>
  <c r="AW205" i="12"/>
  <c r="H92" i="26"/>
  <c r="J205" i="12"/>
  <c r="J206" i="36"/>
  <c r="P92" i="26"/>
  <c r="R206" i="36"/>
  <c r="R205" i="12"/>
  <c r="AR92" i="26"/>
  <c r="AT206" i="36"/>
  <c r="AT205" i="12"/>
  <c r="AH92" i="26"/>
  <c r="AJ206" i="36"/>
  <c r="AJ205" i="12"/>
  <c r="X92" i="26"/>
  <c r="Z205" i="12"/>
  <c r="Z206" i="36"/>
  <c r="V115" i="26"/>
  <c r="V116" i="26" s="1"/>
  <c r="V118" i="26" s="1"/>
  <c r="K92" i="26"/>
  <c r="M205" i="12"/>
  <c r="M206" i="36"/>
  <c r="AA92" i="26"/>
  <c r="AC206" i="36"/>
  <c r="AC205" i="12"/>
  <c r="W101" i="12"/>
  <c r="W101" i="36"/>
  <c r="U115" i="26"/>
  <c r="U114" i="26" s="1"/>
  <c r="X101" i="36"/>
  <c r="W117" i="8"/>
  <c r="W123" i="8" s="1"/>
  <c r="W125" i="8" s="1"/>
  <c r="X99" i="12"/>
  <c r="P101" i="36"/>
  <c r="P99" i="36"/>
  <c r="X99" i="36"/>
  <c r="AD99" i="12"/>
  <c r="P99" i="12"/>
  <c r="AC117" i="8"/>
  <c r="AC123" i="8" s="1"/>
  <c r="AC125" i="8" s="1"/>
  <c r="AF100" i="36"/>
  <c r="Y101" i="12"/>
  <c r="Y101" i="36"/>
  <c r="W115" i="26"/>
  <c r="W114" i="26" s="1"/>
  <c r="S26" i="33"/>
  <c r="S34" i="33" s="1"/>
  <c r="T26" i="33"/>
  <c r="V104" i="36" s="1"/>
  <c r="N21" i="33"/>
  <c r="AB22" i="33"/>
  <c r="AD115" i="26" s="1"/>
  <c r="V21" i="33"/>
  <c r="X100" i="36" s="1"/>
  <c r="AI115" i="26"/>
  <c r="AI116" i="26" s="1"/>
  <c r="AI118" i="26" s="1"/>
  <c r="AK101" i="12"/>
  <c r="AK101" i="36"/>
  <c r="AC115" i="9"/>
  <c r="AC116" i="9" s="1"/>
  <c r="AC118" i="9" s="1"/>
  <c r="AD100" i="36"/>
  <c r="AD100" i="12"/>
  <c r="AF22" i="33"/>
  <c r="AH26" i="33"/>
  <c r="AH36" i="33" s="1"/>
  <c r="O21" i="33"/>
  <c r="AQ100" i="36"/>
  <c r="AQ100" i="12"/>
  <c r="AP115" i="9"/>
  <c r="AA104" i="36"/>
  <c r="AA104" i="12"/>
  <c r="Y34" i="33"/>
  <c r="Y33" i="33"/>
  <c r="Y27" i="33"/>
  <c r="Y36" i="33"/>
  <c r="Y35" i="33"/>
  <c r="Y32" i="33"/>
  <c r="AP99" i="36"/>
  <c r="AP99" i="12"/>
  <c r="AO117" i="8"/>
  <c r="AO123" i="8" s="1"/>
  <c r="AO125" i="8" s="1"/>
  <c r="AF118" i="8"/>
  <c r="AF120" i="8" s="1"/>
  <c r="AR114" i="9"/>
  <c r="AM118" i="8"/>
  <c r="AM120" i="8" s="1"/>
  <c r="AB101" i="36"/>
  <c r="Z115" i="26"/>
  <c r="AB101" i="12"/>
  <c r="AG104" i="12"/>
  <c r="AG104" i="36"/>
  <c r="AE35" i="33"/>
  <c r="AE27" i="33"/>
  <c r="AE33" i="33"/>
  <c r="AE36" i="33"/>
  <c r="AE32" i="33"/>
  <c r="AE34" i="33"/>
  <c r="AL60" i="12"/>
  <c r="AL60" i="36"/>
  <c r="AK125" i="21"/>
  <c r="Z114" i="9"/>
  <c r="Z116" i="9"/>
  <c r="Z118" i="9" s="1"/>
  <c r="L100" i="36"/>
  <c r="L100" i="12"/>
  <c r="K115" i="9"/>
  <c r="AE118" i="8"/>
  <c r="AE120" i="8" s="1"/>
  <c r="AO104" i="12"/>
  <c r="AO104" i="36"/>
  <c r="AM27" i="33"/>
  <c r="AM36" i="33"/>
  <c r="AM34" i="33"/>
  <c r="AM35" i="33"/>
  <c r="AM33" i="33"/>
  <c r="AM32" i="33"/>
  <c r="AB104" i="12"/>
  <c r="AB104" i="36"/>
  <c r="Z36" i="33"/>
  <c r="Z33" i="33"/>
  <c r="Z34" i="33"/>
  <c r="Z35" i="33"/>
  <c r="Z32" i="33"/>
  <c r="Z27" i="33"/>
  <c r="AR118" i="8"/>
  <c r="AR120" i="8" s="1"/>
  <c r="AN60" i="12"/>
  <c r="AN60" i="36"/>
  <c r="AM125" i="21"/>
  <c r="AK60" i="36"/>
  <c r="AK60" i="12"/>
  <c r="AJ125" i="21"/>
  <c r="T101" i="36"/>
  <c r="T101" i="12"/>
  <c r="R115" i="26"/>
  <c r="AH60" i="12"/>
  <c r="AH60" i="36"/>
  <c r="AG125" i="21"/>
  <c r="AK118" i="8"/>
  <c r="AK120" i="8" s="1"/>
  <c r="K118" i="8"/>
  <c r="K120" i="8" s="1"/>
  <c r="M4" i="43" s="1"/>
  <c r="Z104" i="12"/>
  <c r="Z104" i="36"/>
  <c r="X32" i="33"/>
  <c r="X33" i="33"/>
  <c r="X35" i="33"/>
  <c r="X36" i="33"/>
  <c r="X34" i="33"/>
  <c r="X27" i="33"/>
  <c r="AO60" i="36"/>
  <c r="AO60" i="12"/>
  <c r="AN125" i="21"/>
  <c r="AH100" i="36"/>
  <c r="AH100" i="12"/>
  <c r="AG115" i="9"/>
  <c r="AQ99" i="12"/>
  <c r="AP117" i="8"/>
  <c r="AP123" i="8" s="1"/>
  <c r="AP125" i="8" s="1"/>
  <c r="AQ99" i="36"/>
  <c r="AH99" i="36"/>
  <c r="AH99" i="12"/>
  <c r="AG117" i="8"/>
  <c r="AG123" i="8" s="1"/>
  <c r="AG125" i="8" s="1"/>
  <c r="AK115" i="26"/>
  <c r="AM101" i="36"/>
  <c r="AM101" i="12"/>
  <c r="V101" i="12"/>
  <c r="T115" i="26"/>
  <c r="V101" i="36"/>
  <c r="AL117" i="8"/>
  <c r="AL123" i="8" s="1"/>
  <c r="AL125" i="8" s="1"/>
  <c r="AM99" i="36"/>
  <c r="AM99" i="12"/>
  <c r="AF104" i="36"/>
  <c r="AF104" i="12"/>
  <c r="AD36" i="33"/>
  <c r="AD33" i="33"/>
  <c r="AD35" i="33"/>
  <c r="AD34" i="33"/>
  <c r="AD32" i="33"/>
  <c r="AD27" i="33"/>
  <c r="N99" i="36"/>
  <c r="N99" i="12"/>
  <c r="M117" i="8"/>
  <c r="Q5" i="49" s="1"/>
  <c r="AY68" i="37" s="1"/>
  <c r="L22" i="33"/>
  <c r="AG60" i="12"/>
  <c r="AG60" i="36"/>
  <c r="AF125" i="21"/>
  <c r="U60" i="36"/>
  <c r="T125" i="21"/>
  <c r="U60" i="12"/>
  <c r="AB118" i="8"/>
  <c r="AB120" i="8" s="1"/>
  <c r="AE101" i="12"/>
  <c r="AE101" i="36"/>
  <c r="AN114" i="9"/>
  <c r="AN116" i="9"/>
  <c r="AN118" i="9" s="1"/>
  <c r="U101" i="12"/>
  <c r="S115" i="26"/>
  <c r="U101" i="36"/>
  <c r="N117" i="8"/>
  <c r="R5" i="49" s="1"/>
  <c r="AZ68" i="37" s="1"/>
  <c r="O99" i="36"/>
  <c r="O99" i="12"/>
  <c r="M21" i="33"/>
  <c r="Z60" i="36"/>
  <c r="Z60" i="12"/>
  <c r="Y125" i="21"/>
  <c r="AS104" i="36"/>
  <c r="AQ32" i="33"/>
  <c r="AB60" i="36"/>
  <c r="AA125" i="21"/>
  <c r="AB60" i="12"/>
  <c r="AQ60" i="36"/>
  <c r="AQ60" i="12"/>
  <c r="AP125" i="21"/>
  <c r="AC60" i="36"/>
  <c r="AC60" i="12"/>
  <c r="AB125" i="21"/>
  <c r="R26" i="33"/>
  <c r="S60" i="12"/>
  <c r="S60" i="36"/>
  <c r="R125" i="21"/>
  <c r="AO22" i="33"/>
  <c r="AO26" i="33" s="1"/>
  <c r="AE125" i="21"/>
  <c r="AF60" i="12"/>
  <c r="AF60" i="36"/>
  <c r="U99" i="12"/>
  <c r="U99" i="36"/>
  <c r="T117" i="8"/>
  <c r="T123" i="8" s="1"/>
  <c r="T125" i="8" s="1"/>
  <c r="AI118" i="8"/>
  <c r="AI120" i="8" s="1"/>
  <c r="AD115" i="9"/>
  <c r="AE100" i="36"/>
  <c r="AE100" i="12"/>
  <c r="P115" i="26"/>
  <c r="AE114" i="9"/>
  <c r="AE116" i="9"/>
  <c r="AE118" i="9" s="1"/>
  <c r="Y114" i="9"/>
  <c r="Y116" i="9"/>
  <c r="Y118" i="9" s="1"/>
  <c r="AN101" i="36"/>
  <c r="AN101" i="12"/>
  <c r="AL115" i="26"/>
  <c r="AS101" i="36"/>
  <c r="AS101" i="12"/>
  <c r="AO125" i="21"/>
  <c r="AP60" i="36"/>
  <c r="AP60" i="12"/>
  <c r="U118" i="8"/>
  <c r="U120" i="8" s="1"/>
  <c r="O60" i="36"/>
  <c r="N125" i="21"/>
  <c r="O60" i="12"/>
  <c r="AK21" i="33"/>
  <c r="AK26" i="33" s="1"/>
  <c r="AM60" i="36"/>
  <c r="AL125" i="21"/>
  <c r="AM60" i="12"/>
  <c r="R118" i="8"/>
  <c r="R120" i="8" s="1"/>
  <c r="AN21" i="33"/>
  <c r="AD118" i="8"/>
  <c r="AD120" i="8" s="1"/>
  <c r="P125" i="21"/>
  <c r="Q60" i="36"/>
  <c r="Q60" i="12"/>
  <c r="M22" i="33"/>
  <c r="N115" i="26" s="1"/>
  <c r="S6" i="49" s="1"/>
  <c r="AA118" i="8"/>
  <c r="AA120" i="8" s="1"/>
  <c r="AK115" i="9"/>
  <c r="AL100" i="36"/>
  <c r="AL100" i="12"/>
  <c r="AE60" i="36"/>
  <c r="AE60" i="12"/>
  <c r="AD125" i="21"/>
  <c r="AC101" i="12"/>
  <c r="AA115" i="26"/>
  <c r="AC101" i="36"/>
  <c r="V100" i="36"/>
  <c r="U115" i="9"/>
  <c r="V100" i="12"/>
  <c r="T60" i="12"/>
  <c r="T60" i="36"/>
  <c r="S125" i="21"/>
  <c r="Y118" i="8"/>
  <c r="Y120" i="8" s="1"/>
  <c r="AI125" i="21"/>
  <c r="AJ60" i="36"/>
  <c r="AJ60" i="12"/>
  <c r="AA60" i="36"/>
  <c r="AA60" i="12"/>
  <c r="Z125" i="21"/>
  <c r="U100" i="36"/>
  <c r="U100" i="12"/>
  <c r="T115" i="9"/>
  <c r="P60" i="36"/>
  <c r="P60" i="12"/>
  <c r="O125" i="21"/>
  <c r="AC100" i="36"/>
  <c r="AC100" i="12"/>
  <c r="AB115" i="9"/>
  <c r="AT60" i="36"/>
  <c r="AT60" i="12"/>
  <c r="AS125" i="21"/>
  <c r="S118" i="8"/>
  <c r="S120" i="8" s="1"/>
  <c r="AS60" i="12"/>
  <c r="AS60" i="36"/>
  <c r="AR125" i="21"/>
  <c r="AJ100" i="36"/>
  <c r="AI115" i="9"/>
  <c r="AJ100" i="12"/>
  <c r="Z101" i="12"/>
  <c r="Z101" i="36"/>
  <c r="X115" i="26"/>
  <c r="AO101" i="12"/>
  <c r="AO101" i="36"/>
  <c r="AM115" i="26"/>
  <c r="AA101" i="36"/>
  <c r="Y115" i="26"/>
  <c r="AA101" i="12"/>
  <c r="AC125" i="21"/>
  <c r="AD60" i="12"/>
  <c r="AD60" i="36"/>
  <c r="AV99" i="12"/>
  <c r="AU117" i="8"/>
  <c r="AU123" i="8" s="1"/>
  <c r="AU125" i="8" s="1"/>
  <c r="AV99" i="36"/>
  <c r="AT21" i="33"/>
  <c r="X60" i="36"/>
  <c r="W125" i="21"/>
  <c r="X60" i="12"/>
  <c r="N60" i="12"/>
  <c r="N60" i="36"/>
  <c r="M125" i="21"/>
  <c r="AJ115" i="26"/>
  <c r="AL101" i="36"/>
  <c r="AL101" i="12"/>
  <c r="W60" i="36"/>
  <c r="W60" i="12"/>
  <c r="V125" i="21"/>
  <c r="V60" i="36"/>
  <c r="U125" i="21"/>
  <c r="V60" i="12"/>
  <c r="AN118" i="8"/>
  <c r="AN120" i="8" s="1"/>
  <c r="Y60" i="36"/>
  <c r="X125" i="21"/>
  <c r="Y60" i="12"/>
  <c r="Z118" i="8"/>
  <c r="Z120" i="8" s="1"/>
  <c r="AN22" i="33"/>
  <c r="K115" i="26"/>
  <c r="P6" i="49" s="1"/>
  <c r="AM115" i="9"/>
  <c r="AN100" i="36"/>
  <c r="AN100" i="12"/>
  <c r="AT100" i="36"/>
  <c r="AS115" i="9"/>
  <c r="AT100" i="12"/>
  <c r="P118" i="8"/>
  <c r="P120" i="8" s="1"/>
  <c r="AL26" i="33"/>
  <c r="AT99" i="36"/>
  <c r="AT99" i="12"/>
  <c r="AS117" i="8"/>
  <c r="AS123" i="8" s="1"/>
  <c r="AS125" i="8" s="1"/>
  <c r="AR22" i="33"/>
  <c r="AS115" i="26" s="1"/>
  <c r="AS116" i="26" s="1"/>
  <c r="AS118" i="26" s="1"/>
  <c r="AJ26" i="33"/>
  <c r="T100" i="12"/>
  <c r="T100" i="36"/>
  <c r="S115" i="9"/>
  <c r="AA114" i="9"/>
  <c r="AA116" i="9"/>
  <c r="AA118" i="9" s="1"/>
  <c r="L101" i="36"/>
  <c r="L101" i="12"/>
  <c r="J115" i="26"/>
  <c r="L21" i="33"/>
  <c r="AT22" i="33"/>
  <c r="AU115" i="26" s="1"/>
  <c r="L60" i="36" l="1"/>
  <c r="L60" i="12"/>
  <c r="AO69" i="37"/>
  <c r="G3" i="47"/>
  <c r="E68" i="37" s="1"/>
  <c r="E69" i="37" s="1"/>
  <c r="W68" i="37" s="1"/>
  <c r="AW126" i="29"/>
  <c r="AW127" i="29"/>
  <c r="AW128" i="29"/>
  <c r="AR47" i="37"/>
  <c r="O6" i="49"/>
  <c r="L3" i="49"/>
  <c r="M3" i="49"/>
  <c r="T3" i="49"/>
  <c r="I6" i="49"/>
  <c r="AQ69" i="37" s="1"/>
  <c r="F3" i="49"/>
  <c r="G3" i="43"/>
  <c r="AU66" i="37"/>
  <c r="AR45" i="37"/>
  <c r="AX91" i="36"/>
  <c r="AX91" i="12"/>
  <c r="AW81" i="36"/>
  <c r="AX75" i="36"/>
  <c r="AX72" i="36"/>
  <c r="AX73" i="36"/>
  <c r="AX44" i="36"/>
  <c r="AX32" i="36"/>
  <c r="AX45" i="36"/>
  <c r="AX74" i="36"/>
  <c r="AX46" i="36"/>
  <c r="AX47" i="36"/>
  <c r="AX38" i="36"/>
  <c r="AU123" i="9"/>
  <c r="AV114" i="32"/>
  <c r="AP86" i="32"/>
  <c r="AP87" i="32"/>
  <c r="Q53" i="36"/>
  <c r="M4" i="45"/>
  <c r="AV55" i="36"/>
  <c r="AV81" i="36" s="1"/>
  <c r="AV55" i="12"/>
  <c r="AV81" i="12" s="1"/>
  <c r="AW128" i="36"/>
  <c r="AW128" i="12"/>
  <c r="M93" i="36"/>
  <c r="M93" i="12"/>
  <c r="K24" i="33"/>
  <c r="AV38" i="36"/>
  <c r="AV124" i="5"/>
  <c r="AV38" i="12"/>
  <c r="AS53" i="36"/>
  <c r="AT132" i="29"/>
  <c r="AT135" i="29"/>
  <c r="X53" i="36"/>
  <c r="AW127" i="12"/>
  <c r="AW127" i="36"/>
  <c r="AV66" i="12"/>
  <c r="AV66" i="36"/>
  <c r="AT142" i="32"/>
  <c r="AT27" i="32"/>
  <c r="AT133" i="32"/>
  <c r="I53" i="12"/>
  <c r="AS20" i="33"/>
  <c r="AU98" i="12"/>
  <c r="AT115" i="21"/>
  <c r="AT116" i="21" s="1"/>
  <c r="AU98" i="36"/>
  <c r="V53" i="12"/>
  <c r="AW118" i="36"/>
  <c r="AW118" i="12"/>
  <c r="AU130" i="29"/>
  <c r="AW124" i="5"/>
  <c r="AW38" i="12"/>
  <c r="AW38" i="36"/>
  <c r="AW137" i="29"/>
  <c r="AX124" i="36"/>
  <c r="AW121" i="29"/>
  <c r="AW120" i="29"/>
  <c r="AW122" i="29"/>
  <c r="AX124" i="12"/>
  <c r="AX152" i="36"/>
  <c r="AX140" i="36"/>
  <c r="AX144" i="36" s="1"/>
  <c r="P6" i="33"/>
  <c r="AG6" i="33"/>
  <c r="AP6" i="33"/>
  <c r="AW118" i="10"/>
  <c r="E8" i="46"/>
  <c r="AM48" i="37" s="1"/>
  <c r="D53" i="29"/>
  <c r="AU124" i="32"/>
  <c r="AV51" i="12"/>
  <c r="AV51" i="36"/>
  <c r="AX93" i="36"/>
  <c r="AX93" i="12"/>
  <c r="AS134" i="32"/>
  <c r="AS28" i="32" s="1"/>
  <c r="AS29" i="32" s="1"/>
  <c r="AU125" i="5"/>
  <c r="AU34" i="5"/>
  <c r="AU128" i="5"/>
  <c r="AU35" i="5" s="1"/>
  <c r="AW140" i="12"/>
  <c r="AW151" i="12"/>
  <c r="D37" i="10"/>
  <c r="D151" i="10"/>
  <c r="D152" i="10" s="1"/>
  <c r="E150" i="10" s="1"/>
  <c r="D50" i="10"/>
  <c r="D51" i="10" s="1"/>
  <c r="D53" i="10" s="1"/>
  <c r="AO53" i="12"/>
  <c r="AW120" i="36"/>
  <c r="AW120" i="12"/>
  <c r="R4" i="43"/>
  <c r="R4" i="45" s="1"/>
  <c r="R4" i="48" s="1"/>
  <c r="AW138" i="29"/>
  <c r="AV9" i="33"/>
  <c r="AV24" i="33" s="1"/>
  <c r="D162" i="24"/>
  <c r="D163" i="24" s="1"/>
  <c r="E161" i="24" s="1"/>
  <c r="D37" i="24"/>
  <c r="D50" i="24"/>
  <c r="D51" i="24" s="1"/>
  <c r="E161" i="29"/>
  <c r="F159" i="29" s="1"/>
  <c r="E37" i="29"/>
  <c r="E50" i="29"/>
  <c r="E51" i="29" s="1"/>
  <c r="E160" i="29"/>
  <c r="AU139" i="24"/>
  <c r="AV139" i="24"/>
  <c r="AX22" i="12"/>
  <c r="E23" i="12" s="1"/>
  <c r="AK53" i="12"/>
  <c r="AI53" i="12"/>
  <c r="H53" i="21"/>
  <c r="H54" i="21" s="1"/>
  <c r="K4" i="46"/>
  <c r="AW91" i="36"/>
  <c r="AW91" i="12"/>
  <c r="AU24" i="33"/>
  <c r="AV130" i="29"/>
  <c r="AW126" i="36"/>
  <c r="AW126" i="12"/>
  <c r="AW138" i="24"/>
  <c r="AW129" i="24"/>
  <c r="AX116" i="12"/>
  <c r="AX116" i="36"/>
  <c r="AW122" i="24"/>
  <c r="AW121" i="24"/>
  <c r="AW120" i="24"/>
  <c r="AW130" i="24"/>
  <c r="AW123" i="24"/>
  <c r="AR136" i="32"/>
  <c r="D121" i="5"/>
  <c r="D122" i="5" s="1"/>
  <c r="D124" i="5" s="1"/>
  <c r="AW112" i="32"/>
  <c r="AW136" i="29" s="1"/>
  <c r="AW108" i="32"/>
  <c r="AW124" i="8" s="1"/>
  <c r="AW111" i="32"/>
  <c r="AW106" i="32"/>
  <c r="AW107" i="32"/>
  <c r="AV121" i="21" s="1"/>
  <c r="AV122" i="21" s="1"/>
  <c r="AW109" i="32"/>
  <c r="AV123" i="26" s="1"/>
  <c r="AW113" i="32"/>
  <c r="AW139" i="24" s="1"/>
  <c r="AW110" i="32"/>
  <c r="O121" i="5" s="1"/>
  <c r="O122" i="5" s="1"/>
  <c r="AW128" i="32"/>
  <c r="N53" i="36"/>
  <c r="E53" i="12"/>
  <c r="E57" i="12" s="1"/>
  <c r="K53" i="12"/>
  <c r="AW123" i="26"/>
  <c r="AO53" i="36"/>
  <c r="AT53" i="12"/>
  <c r="G53" i="36"/>
  <c r="F53" i="36"/>
  <c r="AF53" i="12"/>
  <c r="T53" i="36"/>
  <c r="M53" i="12"/>
  <c r="AM53" i="36"/>
  <c r="AJ53" i="36"/>
  <c r="AD53" i="36"/>
  <c r="AA53" i="36"/>
  <c r="AH53" i="36"/>
  <c r="O53" i="12"/>
  <c r="Y53" i="36"/>
  <c r="T53" i="12"/>
  <c r="S53" i="36"/>
  <c r="AG53" i="12"/>
  <c r="J53" i="36"/>
  <c r="AB53" i="36"/>
  <c r="R53" i="36"/>
  <c r="W53" i="36"/>
  <c r="R53" i="12"/>
  <c r="E53" i="36"/>
  <c r="E57" i="36" s="1"/>
  <c r="AI53" i="36"/>
  <c r="P53" i="36"/>
  <c r="Z53" i="12"/>
  <c r="K53" i="36"/>
  <c r="AW53" i="12"/>
  <c r="V53" i="36"/>
  <c r="AF53" i="36"/>
  <c r="W53" i="12"/>
  <c r="L53" i="36"/>
  <c r="M53" i="36"/>
  <c r="H53" i="12"/>
  <c r="AX53" i="36"/>
  <c r="AU53" i="12"/>
  <c r="AV53" i="36"/>
  <c r="H53" i="36"/>
  <c r="AW53" i="36"/>
  <c r="AK53" i="36"/>
  <c r="AG53" i="36"/>
  <c r="N53" i="12"/>
  <c r="AC53" i="36"/>
  <c r="AC53" i="12"/>
  <c r="AN53" i="12"/>
  <c r="AP53" i="36"/>
  <c r="AN53" i="36"/>
  <c r="AV53" i="12"/>
  <c r="AE53" i="12"/>
  <c r="AQ53" i="36"/>
  <c r="J53" i="12"/>
  <c r="AW123" i="9"/>
  <c r="AB53" i="12"/>
  <c r="AJ53" i="12"/>
  <c r="F53" i="12"/>
  <c r="AL53" i="12"/>
  <c r="AA53" i="12"/>
  <c r="Y53" i="12"/>
  <c r="AW121" i="21"/>
  <c r="AW122" i="21" s="1"/>
  <c r="Q53" i="12"/>
  <c r="AW121" i="36"/>
  <c r="AW121" i="12"/>
  <c r="AP53" i="12"/>
  <c r="AW81" i="12"/>
  <c r="AV98" i="36"/>
  <c r="AV98" i="12"/>
  <c r="AU115" i="21"/>
  <c r="AU116" i="21" s="1"/>
  <c r="AV122" i="10"/>
  <c r="AV119" i="10"/>
  <c r="AV125" i="10" s="1"/>
  <c r="AW113" i="12"/>
  <c r="AW113" i="36"/>
  <c r="AR40" i="32"/>
  <c r="AR47" i="32" s="1"/>
  <c r="AR33" i="32"/>
  <c r="AW119" i="36"/>
  <c r="AW119" i="12"/>
  <c r="AT53" i="36"/>
  <c r="N123" i="8"/>
  <c r="N125" i="8" s="1"/>
  <c r="R116" i="9"/>
  <c r="R118" i="9" s="1"/>
  <c r="T9" i="43" s="1"/>
  <c r="T9" i="45" s="1"/>
  <c r="T9" i="48" s="1"/>
  <c r="M123" i="8"/>
  <c r="M125" i="8" s="1"/>
  <c r="O123" i="8"/>
  <c r="O125" i="8" s="1"/>
  <c r="N116" i="26"/>
  <c r="N118" i="26" s="1"/>
  <c r="P123" i="8"/>
  <c r="P125" i="8" s="1"/>
  <c r="O118" i="8"/>
  <c r="O120" i="8" s="1"/>
  <c r="Q4" i="43" s="1"/>
  <c r="Q4" i="45" s="1"/>
  <c r="Q4" i="48" s="1"/>
  <c r="U26" i="33"/>
  <c r="V115" i="9"/>
  <c r="W100" i="12"/>
  <c r="AI26" i="33"/>
  <c r="AI27" i="33" s="1"/>
  <c r="V118" i="8"/>
  <c r="V120" i="8" s="1"/>
  <c r="E3" i="45"/>
  <c r="E104" i="12"/>
  <c r="E104" i="36"/>
  <c r="AC36" i="33"/>
  <c r="AC34" i="33"/>
  <c r="X118" i="8"/>
  <c r="X120" i="8" s="1"/>
  <c r="AF116" i="9"/>
  <c r="AF118" i="9" s="1"/>
  <c r="AJ118" i="8"/>
  <c r="AJ120" i="8" s="1"/>
  <c r="J35" i="33"/>
  <c r="AI33" i="33"/>
  <c r="AS104" i="12"/>
  <c r="AQ35" i="33"/>
  <c r="AQ34" i="33"/>
  <c r="AQ33" i="33"/>
  <c r="AQ36" i="33"/>
  <c r="AC115" i="26"/>
  <c r="AC116" i="26" s="1"/>
  <c r="AC118" i="26" s="1"/>
  <c r="AJ115" i="9"/>
  <c r="AJ114" i="9" s="1"/>
  <c r="AJ120" i="9" s="1"/>
  <c r="G63" i="12"/>
  <c r="G63" i="36"/>
  <c r="AK100" i="12"/>
  <c r="AD116" i="26"/>
  <c r="AD118" i="26" s="1"/>
  <c r="AD114" i="26"/>
  <c r="AD120" i="26" s="1"/>
  <c r="J33" i="33"/>
  <c r="AA33" i="33"/>
  <c r="E121" i="26"/>
  <c r="E120" i="26"/>
  <c r="J36" i="33"/>
  <c r="L104" i="36"/>
  <c r="AE116" i="26"/>
  <c r="AE118" i="26" s="1"/>
  <c r="C40" i="33"/>
  <c r="C39" i="33"/>
  <c r="C42" i="33"/>
  <c r="C43" i="33"/>
  <c r="C41" i="33"/>
  <c r="C35" i="33"/>
  <c r="C34" i="33"/>
  <c r="C36" i="33"/>
  <c r="C33" i="33"/>
  <c r="C32" i="33"/>
  <c r="D121" i="10" s="1"/>
  <c r="D123" i="10" s="1"/>
  <c r="J32" i="33"/>
  <c r="J27" i="33"/>
  <c r="L104" i="12"/>
  <c r="F195" i="36"/>
  <c r="F194" i="12"/>
  <c r="O115" i="26"/>
  <c r="T6" i="49" s="1"/>
  <c r="BB69" i="37" s="1"/>
  <c r="AC35" i="33"/>
  <c r="AC32" i="33"/>
  <c r="AC27" i="33"/>
  <c r="AE104" i="36"/>
  <c r="AE104" i="12"/>
  <c r="W118" i="8"/>
  <c r="W120" i="8" s="1"/>
  <c r="X115" i="9"/>
  <c r="X114" i="9" s="1"/>
  <c r="W26" i="33"/>
  <c r="W35" i="33" s="1"/>
  <c r="Y100" i="12"/>
  <c r="R114" i="9"/>
  <c r="R120" i="9" s="1"/>
  <c r="E43" i="8"/>
  <c r="G4" i="38" s="1"/>
  <c r="G4" i="40" s="1"/>
  <c r="G44" i="21"/>
  <c r="G58" i="21" s="1"/>
  <c r="G59" i="21" s="1"/>
  <c r="AA36" i="33"/>
  <c r="AA34" i="33"/>
  <c r="Q36" i="33"/>
  <c r="AA35" i="33"/>
  <c r="AA27" i="33"/>
  <c r="AC105" i="12" s="1"/>
  <c r="AA32" i="33"/>
  <c r="AC104" i="12"/>
  <c r="F60" i="21"/>
  <c r="F61" i="21"/>
  <c r="H50" i="5"/>
  <c r="H51" i="5" s="1"/>
  <c r="H53" i="5" s="1"/>
  <c r="H54" i="5" s="1"/>
  <c r="H137" i="5"/>
  <c r="I135" i="5" s="1"/>
  <c r="H140" i="5"/>
  <c r="H136" i="5"/>
  <c r="H37" i="5"/>
  <c r="H40" i="5" s="1"/>
  <c r="G91" i="5"/>
  <c r="G43" i="5"/>
  <c r="I148" i="21"/>
  <c r="I37" i="21"/>
  <c r="I40" i="21" s="1"/>
  <c r="I145" i="21"/>
  <c r="J143" i="21" s="1"/>
  <c r="I144" i="21"/>
  <c r="I50" i="21"/>
  <c r="I51" i="21" s="1"/>
  <c r="AS114" i="26"/>
  <c r="AS121" i="26" s="1"/>
  <c r="G93" i="21"/>
  <c r="G94" i="21"/>
  <c r="H43" i="21"/>
  <c r="H91" i="21"/>
  <c r="E94" i="5"/>
  <c r="E93" i="5"/>
  <c r="F93" i="5"/>
  <c r="F94" i="5"/>
  <c r="E61" i="21"/>
  <c r="E60" i="21"/>
  <c r="AU114" i="26"/>
  <c r="AU120" i="26" s="1"/>
  <c r="AU116" i="26"/>
  <c r="AU118" i="26" s="1"/>
  <c r="AF26" i="33"/>
  <c r="AF33" i="33" s="1"/>
  <c r="AG115" i="26"/>
  <c r="F62" i="12"/>
  <c r="F62" i="36"/>
  <c r="D116" i="26"/>
  <c r="D118" i="26" s="1"/>
  <c r="D114" i="26"/>
  <c r="N114" i="26"/>
  <c r="N120" i="26" s="1"/>
  <c r="AP115" i="26"/>
  <c r="AP114" i="26" s="1"/>
  <c r="J40" i="8"/>
  <c r="J43" i="8" s="1"/>
  <c r="I54" i="8"/>
  <c r="E71" i="8" s="1"/>
  <c r="I40" i="8"/>
  <c r="Q33" i="33"/>
  <c r="Q27" i="33"/>
  <c r="S105" i="12" s="1"/>
  <c r="U116" i="26"/>
  <c r="U118" i="26" s="1"/>
  <c r="Q32" i="33"/>
  <c r="T32" i="33"/>
  <c r="Q35" i="33"/>
  <c r="V104" i="12"/>
  <c r="S104" i="12"/>
  <c r="AC118" i="8"/>
  <c r="AC120" i="8" s="1"/>
  <c r="F91" i="8"/>
  <c r="F43" i="8"/>
  <c r="H4" i="38" s="1"/>
  <c r="H4" i="40" s="1"/>
  <c r="S104" i="36"/>
  <c r="X100" i="12"/>
  <c r="H43" i="8"/>
  <c r="J4" i="38" s="1"/>
  <c r="J4" i="40" s="1"/>
  <c r="H91" i="8"/>
  <c r="J53" i="8"/>
  <c r="J54" i="8" s="1"/>
  <c r="AN120" i="9"/>
  <c r="AN121" i="9"/>
  <c r="Z120" i="9"/>
  <c r="Z121" i="9"/>
  <c r="AF120" i="9"/>
  <c r="AF121" i="9"/>
  <c r="S32" i="33"/>
  <c r="K149" i="8"/>
  <c r="L147" i="8" s="1"/>
  <c r="K37" i="8"/>
  <c r="K148" i="8"/>
  <c r="K50" i="8"/>
  <c r="K51" i="8" s="1"/>
  <c r="O5" i="46" s="1"/>
  <c r="AE121" i="9"/>
  <c r="AE120" i="9"/>
  <c r="W116" i="26"/>
  <c r="W118" i="26" s="1"/>
  <c r="AI114" i="26"/>
  <c r="AI121" i="26" s="1"/>
  <c r="AR121" i="9"/>
  <c r="AR120" i="9"/>
  <c r="G93" i="8"/>
  <c r="G94" i="8"/>
  <c r="E93" i="8"/>
  <c r="E94" i="8"/>
  <c r="AA121" i="9"/>
  <c r="AA120" i="9"/>
  <c r="Y120" i="9"/>
  <c r="Y121" i="9"/>
  <c r="H53" i="9"/>
  <c r="H54" i="9" s="1"/>
  <c r="H91" i="9"/>
  <c r="H43" i="9"/>
  <c r="J9" i="38" s="1"/>
  <c r="J9" i="40" s="1"/>
  <c r="T27" i="33"/>
  <c r="T40" i="33" s="1"/>
  <c r="W115" i="9"/>
  <c r="AN26" i="33"/>
  <c r="T35" i="33"/>
  <c r="I144" i="9"/>
  <c r="J142" i="9" s="1"/>
  <c r="I50" i="9"/>
  <c r="I51" i="9" s="1"/>
  <c r="I143" i="9"/>
  <c r="I37" i="9"/>
  <c r="I40" i="9" s="1"/>
  <c r="I147" i="9"/>
  <c r="T33" i="33"/>
  <c r="G93" i="9"/>
  <c r="G94" i="9"/>
  <c r="S27" i="33"/>
  <c r="S39" i="33" s="1"/>
  <c r="M194" i="12"/>
  <c r="M195" i="36"/>
  <c r="J195" i="36"/>
  <c r="J194" i="12"/>
  <c r="O195" i="36"/>
  <c r="O194" i="12"/>
  <c r="AB194" i="12"/>
  <c r="AB195" i="36"/>
  <c r="AO194" i="12"/>
  <c r="AO195" i="36"/>
  <c r="AH194" i="12"/>
  <c r="AH195" i="36"/>
  <c r="AK195" i="36"/>
  <c r="AK194" i="12"/>
  <c r="AF194" i="12"/>
  <c r="AF195" i="36"/>
  <c r="AL195" i="36"/>
  <c r="AL194" i="12"/>
  <c r="V194" i="12"/>
  <c r="V195" i="36"/>
  <c r="P195" i="36"/>
  <c r="P194" i="12"/>
  <c r="V114" i="26"/>
  <c r="V121" i="26" s="1"/>
  <c r="T34" i="33"/>
  <c r="S36" i="33"/>
  <c r="W34" i="33"/>
  <c r="AH34" i="33"/>
  <c r="AT194" i="12"/>
  <c r="AT195" i="36"/>
  <c r="AX195" i="36"/>
  <c r="AX194" i="12"/>
  <c r="I194" i="12"/>
  <c r="I195" i="36"/>
  <c r="AG194" i="12"/>
  <c r="AG195" i="36"/>
  <c r="AI194" i="12"/>
  <c r="AI195" i="36"/>
  <c r="AD195" i="36"/>
  <c r="AD194" i="12"/>
  <c r="D121" i="9"/>
  <c r="D120" i="9"/>
  <c r="E105" i="36"/>
  <c r="E105" i="12"/>
  <c r="AM194" i="12"/>
  <c r="AM195" i="36"/>
  <c r="T36" i="33"/>
  <c r="S35" i="33"/>
  <c r="W32" i="33"/>
  <c r="AJ104" i="36"/>
  <c r="AW194" i="12"/>
  <c r="AW195" i="36"/>
  <c r="H194" i="12"/>
  <c r="H195" i="36"/>
  <c r="AA195" i="36"/>
  <c r="AA194" i="12"/>
  <c r="L195" i="36"/>
  <c r="L194" i="12"/>
  <c r="Y195" i="36"/>
  <c r="Y194" i="12"/>
  <c r="Q194" i="12"/>
  <c r="Q195" i="36"/>
  <c r="U104" i="36"/>
  <c r="Z194" i="12"/>
  <c r="Z195" i="36"/>
  <c r="AP195" i="36"/>
  <c r="AP194" i="12"/>
  <c r="AE194" i="12"/>
  <c r="AE195" i="36"/>
  <c r="U104" i="12"/>
  <c r="W27" i="33"/>
  <c r="W40" i="33" s="1"/>
  <c r="AC195" i="36"/>
  <c r="AC194" i="12"/>
  <c r="R194" i="12"/>
  <c r="R195" i="36"/>
  <c r="AV194" i="12"/>
  <c r="AV195" i="36"/>
  <c r="G194" i="12"/>
  <c r="G195" i="36"/>
  <c r="N194" i="12"/>
  <c r="N195" i="36"/>
  <c r="S195" i="36"/>
  <c r="S194" i="12"/>
  <c r="S33" i="33"/>
  <c r="AU195" i="36"/>
  <c r="AU194" i="12"/>
  <c r="AR195" i="36"/>
  <c r="AR194" i="12"/>
  <c r="AN195" i="36"/>
  <c r="AN194" i="12"/>
  <c r="T194" i="12"/>
  <c r="T195" i="36"/>
  <c r="AQ195" i="36"/>
  <c r="AQ194" i="12"/>
  <c r="K195" i="36"/>
  <c r="K194" i="12"/>
  <c r="AJ195" i="36"/>
  <c r="AJ194" i="12"/>
  <c r="W194" i="12"/>
  <c r="W195" i="36"/>
  <c r="AS195" i="36"/>
  <c r="AS194" i="12"/>
  <c r="U195" i="36"/>
  <c r="U194" i="12"/>
  <c r="X194" i="12"/>
  <c r="X195" i="36"/>
  <c r="AF115" i="26"/>
  <c r="AF116" i="26" s="1"/>
  <c r="AF118" i="26" s="1"/>
  <c r="AC114" i="9"/>
  <c r="AH33" i="33"/>
  <c r="AH101" i="12"/>
  <c r="AH27" i="33"/>
  <c r="AH43" i="33" s="1"/>
  <c r="AI122" i="8" s="1"/>
  <c r="AH101" i="36"/>
  <c r="AH35" i="33"/>
  <c r="AJ104" i="12"/>
  <c r="AH32" i="33"/>
  <c r="V26" i="33"/>
  <c r="AD101" i="12"/>
  <c r="AD101" i="36"/>
  <c r="AB115" i="26"/>
  <c r="N26" i="33"/>
  <c r="P100" i="12"/>
  <c r="O115" i="9"/>
  <c r="Q3" i="49" s="1"/>
  <c r="P100" i="36"/>
  <c r="AB26" i="33"/>
  <c r="AF32" i="33"/>
  <c r="M26" i="33"/>
  <c r="M34" i="33" s="1"/>
  <c r="O26" i="33"/>
  <c r="P115" i="9"/>
  <c r="R3" i="49" s="1"/>
  <c r="Q100" i="36"/>
  <c r="Q100" i="12"/>
  <c r="AN104" i="36"/>
  <c r="AN104" i="12"/>
  <c r="AL35" i="33"/>
  <c r="AL32" i="33"/>
  <c r="AL33" i="33"/>
  <c r="AL27" i="33"/>
  <c r="AL34" i="33"/>
  <c r="AL36" i="33"/>
  <c r="K114" i="26"/>
  <c r="K116" i="26"/>
  <c r="K118" i="26" s="1"/>
  <c r="AU121" i="26"/>
  <c r="AV100" i="36"/>
  <c r="AU115" i="9"/>
  <c r="AV100" i="12"/>
  <c r="X114" i="26"/>
  <c r="X127" i="24" s="1"/>
  <c r="X116" i="26"/>
  <c r="X118" i="26" s="1"/>
  <c r="AS34" i="21"/>
  <c r="AS133" i="21"/>
  <c r="AL34" i="21"/>
  <c r="AL133" i="21"/>
  <c r="N118" i="8"/>
  <c r="N120" i="8" s="1"/>
  <c r="P4" i="43" s="1"/>
  <c r="P4" i="45" s="1"/>
  <c r="P4" i="48" s="1"/>
  <c r="AM104" i="12"/>
  <c r="AM104" i="36"/>
  <c r="AK33" i="33"/>
  <c r="AK36" i="33"/>
  <c r="AK34" i="33"/>
  <c r="AK35" i="33"/>
  <c r="AK32" i="33"/>
  <c r="AK27" i="33"/>
  <c r="AF105" i="12"/>
  <c r="AF105" i="36"/>
  <c r="AD43" i="33"/>
  <c r="AE122" i="8" s="1"/>
  <c r="AD39" i="33"/>
  <c r="AE121" i="10" s="1"/>
  <c r="AE123" i="10" s="1"/>
  <c r="AD40" i="33"/>
  <c r="AD41" i="33"/>
  <c r="AE136" i="24" s="1"/>
  <c r="AD42" i="33"/>
  <c r="K114" i="9"/>
  <c r="K116" i="9"/>
  <c r="K118" i="9" s="1"/>
  <c r="M9" i="43" s="1"/>
  <c r="M9" i="45" s="1"/>
  <c r="M9" i="48" s="1"/>
  <c r="AT26" i="33"/>
  <c r="AF34" i="21"/>
  <c r="AF133" i="21"/>
  <c r="T114" i="26"/>
  <c r="T116" i="26"/>
  <c r="T118" i="26" s="1"/>
  <c r="AE105" i="12"/>
  <c r="AE105" i="36"/>
  <c r="AC40" i="33"/>
  <c r="AC39" i="33"/>
  <c r="AC41" i="33"/>
  <c r="AD136" i="24" s="1"/>
  <c r="AC42" i="33"/>
  <c r="AC43" i="33"/>
  <c r="AD122" i="8" s="1"/>
  <c r="Z116" i="26"/>
  <c r="Z118" i="26" s="1"/>
  <c r="Z114" i="26"/>
  <c r="AO118" i="8"/>
  <c r="AO120" i="8" s="1"/>
  <c r="AA105" i="36"/>
  <c r="AA105" i="12"/>
  <c r="Y43" i="33"/>
  <c r="Z122" i="8" s="1"/>
  <c r="Y39" i="33"/>
  <c r="Z121" i="10" s="1"/>
  <c r="Z123" i="10" s="1"/>
  <c r="Y40" i="33"/>
  <c r="Y42" i="33"/>
  <c r="Y41" i="33"/>
  <c r="Z136" i="24" s="1"/>
  <c r="AL104" i="36"/>
  <c r="AL104" i="12"/>
  <c r="AJ36" i="33"/>
  <c r="AJ27" i="33"/>
  <c r="AJ33" i="33"/>
  <c r="AJ34" i="33"/>
  <c r="AJ35" i="33"/>
  <c r="AJ32" i="33"/>
  <c r="AV101" i="12"/>
  <c r="AV101" i="36"/>
  <c r="J116" i="26"/>
  <c r="J118" i="26" s="1"/>
  <c r="J114" i="26"/>
  <c r="AR115" i="26"/>
  <c r="AT101" i="36"/>
  <c r="AT101" i="12"/>
  <c r="W120" i="26"/>
  <c r="W121" i="26"/>
  <c r="AU118" i="8"/>
  <c r="AU120" i="8" s="1"/>
  <c r="U116" i="9"/>
  <c r="U118" i="9" s="1"/>
  <c r="U114" i="9"/>
  <c r="O101" i="36"/>
  <c r="O101" i="12"/>
  <c r="M115" i="26"/>
  <c r="R6" i="49" s="1"/>
  <c r="AL115" i="9"/>
  <c r="AM100" i="36"/>
  <c r="AM100" i="12"/>
  <c r="AD116" i="9"/>
  <c r="AD118" i="9" s="1"/>
  <c r="AD114" i="9"/>
  <c r="AB34" i="21"/>
  <c r="AB133" i="21"/>
  <c r="AP34" i="21"/>
  <c r="AP133" i="21"/>
  <c r="S116" i="26"/>
  <c r="S118" i="26" s="1"/>
  <c r="S114" i="26"/>
  <c r="AK114" i="26"/>
  <c r="AK116" i="26"/>
  <c r="AK118" i="26" s="1"/>
  <c r="Z105" i="36"/>
  <c r="Z105" i="12"/>
  <c r="X39" i="33"/>
  <c r="Y121" i="10" s="1"/>
  <c r="Y123" i="10" s="1"/>
  <c r="X43" i="33"/>
  <c r="Y122" i="8" s="1"/>
  <c r="X41" i="33"/>
  <c r="Y136" i="24" s="1"/>
  <c r="X42" i="33"/>
  <c r="X40" i="33"/>
  <c r="AG34" i="21"/>
  <c r="AG133" i="21"/>
  <c r="AJ34" i="21"/>
  <c r="AJ133" i="21"/>
  <c r="AO105" i="12"/>
  <c r="AO105" i="36"/>
  <c r="AM41" i="33"/>
  <c r="AN136" i="24" s="1"/>
  <c r="AM43" i="33"/>
  <c r="AN122" i="8" s="1"/>
  <c r="AM40" i="33"/>
  <c r="AM39" i="33"/>
  <c r="AN121" i="10" s="1"/>
  <c r="AN123" i="10" s="1"/>
  <c r="AM42" i="33"/>
  <c r="AR26" i="33"/>
  <c r="M34" i="21"/>
  <c r="M133" i="21"/>
  <c r="AI34" i="21"/>
  <c r="AI133" i="21"/>
  <c r="AB114" i="9"/>
  <c r="AB116" i="9"/>
  <c r="AB118" i="9" s="1"/>
  <c r="AS105" i="36"/>
  <c r="AS105" i="12"/>
  <c r="AQ39" i="33"/>
  <c r="AR121" i="10" s="1"/>
  <c r="AR123" i="10" s="1"/>
  <c r="AQ40" i="33"/>
  <c r="AQ41" i="33"/>
  <c r="AR136" i="24" s="1"/>
  <c r="AQ42" i="33"/>
  <c r="AQ43" i="33"/>
  <c r="AG118" i="8"/>
  <c r="AG120" i="8" s="1"/>
  <c r="N100" i="36"/>
  <c r="N100" i="12"/>
  <c r="M115" i="9"/>
  <c r="O3" i="49" s="1"/>
  <c r="O3" i="47" s="1"/>
  <c r="M68" i="37" s="1"/>
  <c r="M69" i="37" s="1"/>
  <c r="AE68" i="37" s="1"/>
  <c r="L26" i="33"/>
  <c r="AS118" i="8"/>
  <c r="AS120" i="8" s="1"/>
  <c r="AP101" i="36"/>
  <c r="AP101" i="12"/>
  <c r="AN115" i="26"/>
  <c r="Y114" i="26"/>
  <c r="Y116" i="26"/>
  <c r="Y118" i="26" s="1"/>
  <c r="AM116" i="9"/>
  <c r="AM118" i="9" s="1"/>
  <c r="AM114" i="9"/>
  <c r="AR34" i="21"/>
  <c r="AR133" i="21"/>
  <c r="Z34" i="21"/>
  <c r="Z133" i="21"/>
  <c r="AK114" i="9"/>
  <c r="AK116" i="9"/>
  <c r="AK118" i="9" s="1"/>
  <c r="Q41" i="33"/>
  <c r="R136" i="24" s="1"/>
  <c r="Q43" i="33"/>
  <c r="AE34" i="21"/>
  <c r="AE133" i="21"/>
  <c r="R34" i="21"/>
  <c r="R133" i="21"/>
  <c r="AA34" i="21"/>
  <c r="AA133" i="21"/>
  <c r="N101" i="12"/>
  <c r="N101" i="36"/>
  <c r="AG114" i="9"/>
  <c r="AG116" i="9"/>
  <c r="AG118" i="9" s="1"/>
  <c r="AN34" i="21"/>
  <c r="AN133" i="21"/>
  <c r="AG105" i="36"/>
  <c r="AG105" i="12"/>
  <c r="AE41" i="33"/>
  <c r="AF136" i="24" s="1"/>
  <c r="AE42" i="33"/>
  <c r="AE43" i="33"/>
  <c r="AF122" i="8" s="1"/>
  <c r="AE40" i="33"/>
  <c r="AE39" i="33"/>
  <c r="AF121" i="10" s="1"/>
  <c r="AF123" i="10" s="1"/>
  <c r="AP104" i="36"/>
  <c r="AP104" i="12"/>
  <c r="AN35" i="33"/>
  <c r="AN27" i="33"/>
  <c r="AN33" i="33"/>
  <c r="AN32" i="33"/>
  <c r="AN36" i="33"/>
  <c r="AN34" i="33"/>
  <c r="S114" i="9"/>
  <c r="S116" i="9"/>
  <c r="S118" i="9" s="1"/>
  <c r="U34" i="21"/>
  <c r="U133" i="21"/>
  <c r="W34" i="21"/>
  <c r="W133" i="21"/>
  <c r="AM116" i="26"/>
  <c r="AM118" i="26" s="1"/>
  <c r="AM114" i="26"/>
  <c r="AI116" i="9"/>
  <c r="AI118" i="9" s="1"/>
  <c r="AI114" i="9"/>
  <c r="AA114" i="26"/>
  <c r="AA116" i="26"/>
  <c r="AA118" i="26" s="1"/>
  <c r="P34" i="21"/>
  <c r="P133" i="21"/>
  <c r="AO34" i="21"/>
  <c r="AO133" i="21"/>
  <c r="AQ101" i="36"/>
  <c r="AO115" i="26"/>
  <c r="AQ101" i="12"/>
  <c r="V116" i="9"/>
  <c r="V118" i="9" s="1"/>
  <c r="V114" i="9"/>
  <c r="O100" i="36"/>
  <c r="N115" i="9"/>
  <c r="P3" i="49" s="1"/>
  <c r="P3" i="47" s="1"/>
  <c r="N68" i="37" s="1"/>
  <c r="N69" i="37" s="1"/>
  <c r="AF68" i="37" s="1"/>
  <c r="O100" i="12"/>
  <c r="M118" i="8"/>
  <c r="M120" i="8" s="1"/>
  <c r="AM34" i="21"/>
  <c r="AM133" i="21"/>
  <c r="AB105" i="36"/>
  <c r="AB105" i="12"/>
  <c r="Z43" i="33"/>
  <c r="AA122" i="8" s="1"/>
  <c r="Z41" i="33"/>
  <c r="AA136" i="24" s="1"/>
  <c r="Z40" i="33"/>
  <c r="Z39" i="33"/>
  <c r="AA121" i="10" s="1"/>
  <c r="AA123" i="10" s="1"/>
  <c r="Z42" i="33"/>
  <c r="AE121" i="26"/>
  <c r="AE120" i="26"/>
  <c r="AK34" i="21"/>
  <c r="AK133" i="21"/>
  <c r="AA39" i="33"/>
  <c r="AA40" i="33"/>
  <c r="S43" i="33"/>
  <c r="S41" i="33"/>
  <c r="T136" i="24" s="1"/>
  <c r="AP114" i="9"/>
  <c r="AP116" i="9"/>
  <c r="AP118" i="9" s="1"/>
  <c r="W104" i="36"/>
  <c r="W104" i="12"/>
  <c r="U34" i="33"/>
  <c r="U32" i="33"/>
  <c r="U27" i="33"/>
  <c r="U33" i="33"/>
  <c r="U35" i="33"/>
  <c r="U36" i="33"/>
  <c r="T114" i="9"/>
  <c r="T116" i="9"/>
  <c r="T118" i="9" s="1"/>
  <c r="AS114" i="9"/>
  <c r="AS116" i="9"/>
  <c r="AS118" i="9" s="1"/>
  <c r="X34" i="21"/>
  <c r="X133" i="21"/>
  <c r="AJ114" i="26"/>
  <c r="AJ127" i="24" s="1"/>
  <c r="AJ116" i="26"/>
  <c r="AJ118" i="26" s="1"/>
  <c r="AC34" i="21"/>
  <c r="AC133" i="21"/>
  <c r="O133" i="21"/>
  <c r="O34" i="21"/>
  <c r="S133" i="21"/>
  <c r="S34" i="21"/>
  <c r="AP100" i="36"/>
  <c r="AP100" i="12"/>
  <c r="AO115" i="9"/>
  <c r="U120" i="26"/>
  <c r="U121" i="26"/>
  <c r="V127" i="24"/>
  <c r="N34" i="21"/>
  <c r="N133" i="21"/>
  <c r="AL116" i="26"/>
  <c r="AL118" i="26" s="1"/>
  <c r="AL114" i="26"/>
  <c r="P116" i="26"/>
  <c r="P118" i="26" s="1"/>
  <c r="P114" i="26"/>
  <c r="P127" i="24" s="1"/>
  <c r="Y34" i="21"/>
  <c r="Y133" i="21"/>
  <c r="T133" i="21"/>
  <c r="T34" i="21"/>
  <c r="V133" i="21"/>
  <c r="V34" i="21"/>
  <c r="AQ104" i="36"/>
  <c r="AQ104" i="12"/>
  <c r="AO36" i="33"/>
  <c r="AO34" i="33"/>
  <c r="AO32" i="33"/>
  <c r="AO27" i="33"/>
  <c r="AO33" i="33"/>
  <c r="AO35" i="33"/>
  <c r="AD34" i="21"/>
  <c r="AD133" i="21"/>
  <c r="T118" i="8"/>
  <c r="T120" i="8" s="1"/>
  <c r="T104" i="36"/>
  <c r="T104" i="12"/>
  <c r="R35" i="33"/>
  <c r="R33" i="33"/>
  <c r="R36" i="33"/>
  <c r="R32" i="33"/>
  <c r="R34" i="33"/>
  <c r="R27" i="33"/>
  <c r="AL118" i="8"/>
  <c r="AL120" i="8" s="1"/>
  <c r="AP118" i="8"/>
  <c r="AP120" i="8" s="1"/>
  <c r="L105" i="12"/>
  <c r="L105" i="36"/>
  <c r="J40" i="33"/>
  <c r="J41" i="33"/>
  <c r="K136" i="24" s="1"/>
  <c r="J42" i="33"/>
  <c r="K134" i="29" s="1"/>
  <c r="K139" i="29" s="1"/>
  <c r="L6" i="44" s="1"/>
  <c r="L6" i="45" s="1"/>
  <c r="L6" i="48" s="1"/>
  <c r="J39" i="33"/>
  <c r="J43" i="33"/>
  <c r="R114" i="26"/>
  <c r="R127" i="24" s="1"/>
  <c r="R116" i="26"/>
  <c r="R118" i="26" s="1"/>
  <c r="K133" i="21"/>
  <c r="K34" i="21"/>
  <c r="AV57" i="36" l="1"/>
  <c r="AN69" i="37"/>
  <c r="F3" i="47"/>
  <c r="D68" i="37" s="1"/>
  <c r="D69" i="37" s="1"/>
  <c r="V68" i="37" s="1"/>
  <c r="AT69" i="37"/>
  <c r="L3" i="47"/>
  <c r="J68" i="37" s="1"/>
  <c r="J69" i="37" s="1"/>
  <c r="AB68" i="37" s="1"/>
  <c r="AZ66" i="37"/>
  <c r="R3" i="47"/>
  <c r="P68" i="37" s="1"/>
  <c r="P69" i="37" s="1"/>
  <c r="AH68" i="37" s="1"/>
  <c r="BB66" i="37"/>
  <c r="T3" i="47"/>
  <c r="R68" i="37" s="1"/>
  <c r="AY66" i="37"/>
  <c r="Q3" i="47"/>
  <c r="O68" i="37" s="1"/>
  <c r="O69" i="37" s="1"/>
  <c r="AG68" i="37" s="1"/>
  <c r="AU69" i="37"/>
  <c r="M3" i="47"/>
  <c r="K68" i="37" s="1"/>
  <c r="K69" i="37" s="1"/>
  <c r="AC68" i="37" s="1"/>
  <c r="M4" i="48"/>
  <c r="AC47" i="37"/>
  <c r="AS47" i="37"/>
  <c r="L3" i="43"/>
  <c r="F3" i="43"/>
  <c r="T3" i="43"/>
  <c r="AZ69" i="37"/>
  <c r="AX66" i="37"/>
  <c r="AX69" i="37"/>
  <c r="AW66" i="37"/>
  <c r="AW69" i="37"/>
  <c r="AS33" i="32"/>
  <c r="AS40" i="32"/>
  <c r="AS47" i="32" s="1"/>
  <c r="AX103" i="12"/>
  <c r="AV32" i="33"/>
  <c r="AV34" i="33"/>
  <c r="AV33" i="33"/>
  <c r="AV41" i="33"/>
  <c r="AX103" i="36"/>
  <c r="AV35" i="33"/>
  <c r="AV40" i="33"/>
  <c r="AV42" i="33"/>
  <c r="AV39" i="33"/>
  <c r="AV43" i="33"/>
  <c r="AV36" i="33"/>
  <c r="AV19" i="33"/>
  <c r="AC105" i="36"/>
  <c r="AF35" i="33"/>
  <c r="AR84" i="32"/>
  <c r="AR36" i="32"/>
  <c r="AV60" i="12"/>
  <c r="AU125" i="21"/>
  <c r="AV60" i="36"/>
  <c r="AX66" i="12"/>
  <c r="AV123" i="9"/>
  <c r="AW114" i="32"/>
  <c r="AX118" i="36"/>
  <c r="AX118" i="12"/>
  <c r="E139" i="12"/>
  <c r="E152" i="12" s="1"/>
  <c r="E153" i="12" s="1"/>
  <c r="E155" i="12" s="1"/>
  <c r="E139" i="36"/>
  <c r="E153" i="36" s="1"/>
  <c r="E154" i="36" s="1"/>
  <c r="E156" i="36" s="1"/>
  <c r="AS136" i="32"/>
  <c r="AX128" i="36"/>
  <c r="AX128" i="12"/>
  <c r="AU135" i="29"/>
  <c r="AU132" i="29"/>
  <c r="AX119" i="12"/>
  <c r="AX119" i="36"/>
  <c r="AV135" i="29"/>
  <c r="AV132" i="29"/>
  <c r="F8" i="46"/>
  <c r="AN48" i="37" s="1"/>
  <c r="E53" i="29"/>
  <c r="AX113" i="36"/>
  <c r="AX113" i="12"/>
  <c r="AW119" i="10"/>
  <c r="AW125" i="10" s="1"/>
  <c r="AW128" i="10" s="1"/>
  <c r="AW122" i="10"/>
  <c r="K121" i="10"/>
  <c r="K123" i="10" s="1"/>
  <c r="AA43" i="33"/>
  <c r="AB122" i="8" s="1"/>
  <c r="Q39" i="33"/>
  <c r="AD121" i="10"/>
  <c r="AD123" i="10" s="1"/>
  <c r="AF27" i="33"/>
  <c r="AH105" i="12" s="1"/>
  <c r="AX120" i="36"/>
  <c r="AX120" i="12"/>
  <c r="AW103" i="12"/>
  <c r="AW103" i="36"/>
  <c r="AU19" i="33"/>
  <c r="AR91" i="36"/>
  <c r="AR91" i="12"/>
  <c r="AP24" i="33"/>
  <c r="AX127" i="36"/>
  <c r="AX127" i="12"/>
  <c r="AW51" i="12"/>
  <c r="AW57" i="12" s="1"/>
  <c r="AV124" i="32"/>
  <c r="AW51" i="36"/>
  <c r="AW57" i="36" s="1"/>
  <c r="AV127" i="10"/>
  <c r="AV128" i="10" s="1"/>
  <c r="AW127" i="10"/>
  <c r="AV128" i="5"/>
  <c r="AV35" i="5" s="1"/>
  <c r="AV34" i="5"/>
  <c r="AV125" i="5"/>
  <c r="L8" i="44"/>
  <c r="AA41" i="33"/>
  <c r="Q42" i="33"/>
  <c r="M3" i="43"/>
  <c r="E44" i="8"/>
  <c r="E58" i="8" s="1"/>
  <c r="E59" i="8" s="1"/>
  <c r="E60" i="8" s="1"/>
  <c r="E3" i="48"/>
  <c r="U45" i="37"/>
  <c r="AW130" i="32"/>
  <c r="AQ130" i="32"/>
  <c r="AX140" i="12"/>
  <c r="F169" i="12" s="1"/>
  <c r="F181" i="12" s="1"/>
  <c r="AX151" i="12"/>
  <c r="F37" i="29"/>
  <c r="F40" i="29" s="1"/>
  <c r="F160" i="29"/>
  <c r="F50" i="29"/>
  <c r="F51" i="29" s="1"/>
  <c r="F161" i="29"/>
  <c r="G159" i="29" s="1"/>
  <c r="F164" i="29"/>
  <c r="AI91" i="12"/>
  <c r="AI91" i="36"/>
  <c r="AG24" i="33"/>
  <c r="K19" i="33"/>
  <c r="M103" i="36"/>
  <c r="M103" i="12"/>
  <c r="AX126" i="12"/>
  <c r="AX126" i="36"/>
  <c r="AS22" i="33"/>
  <c r="AU99" i="12"/>
  <c r="AU99" i="36"/>
  <c r="AT117" i="8"/>
  <c r="AH104" i="12"/>
  <c r="AA42" i="33"/>
  <c r="Q40" i="33"/>
  <c r="O124" i="5"/>
  <c r="O38" i="36"/>
  <c r="O38" i="12"/>
  <c r="D34" i="5"/>
  <c r="D36" i="5" s="1"/>
  <c r="D125" i="5"/>
  <c r="D140" i="5"/>
  <c r="D128" i="5"/>
  <c r="D35" i="5" s="1"/>
  <c r="D130" i="5"/>
  <c r="E7" i="46"/>
  <c r="AM46" i="37" s="1"/>
  <c r="D53" i="24"/>
  <c r="AU130" i="5"/>
  <c r="R91" i="12"/>
  <c r="R91" i="36"/>
  <c r="P24" i="33"/>
  <c r="AT134" i="32"/>
  <c r="AT28" i="32" s="1"/>
  <c r="AT29" i="32" s="1"/>
  <c r="AX66" i="36"/>
  <c r="AV57" i="12"/>
  <c r="AS21" i="33"/>
  <c r="AS26" i="33" s="1"/>
  <c r="S105" i="36"/>
  <c r="AH104" i="36"/>
  <c r="I53" i="21"/>
  <c r="I54" i="21" s="1"/>
  <c r="E71" i="21" s="1"/>
  <c r="L4" i="46"/>
  <c r="AX121" i="12"/>
  <c r="AX121" i="36"/>
  <c r="E50" i="24"/>
  <c r="E51" i="24" s="1"/>
  <c r="E37" i="24"/>
  <c r="E163" i="24"/>
  <c r="F161" i="24" s="1"/>
  <c r="E162" i="24"/>
  <c r="AU36" i="5"/>
  <c r="AU47" i="5" s="1"/>
  <c r="AU133" i="32"/>
  <c r="AU27" i="32"/>
  <c r="AU142" i="32"/>
  <c r="N121" i="26"/>
  <c r="X116" i="9"/>
  <c r="X118" i="9" s="1"/>
  <c r="AF36" i="33"/>
  <c r="AW66" i="36"/>
  <c r="AW66" i="12"/>
  <c r="AX94" i="36"/>
  <c r="AX94" i="12"/>
  <c r="E152" i="10"/>
  <c r="F150" i="10" s="1"/>
  <c r="E151" i="10"/>
  <c r="E37" i="10"/>
  <c r="E50" i="10"/>
  <c r="E51" i="10" s="1"/>
  <c r="E53" i="10" s="1"/>
  <c r="E54" i="10" s="1"/>
  <c r="E155" i="10"/>
  <c r="AW34" i="5"/>
  <c r="AW125" i="5"/>
  <c r="AW128" i="5"/>
  <c r="AU60" i="36"/>
  <c r="AT125" i="21"/>
  <c r="AU60" i="12"/>
  <c r="AI35" i="33"/>
  <c r="AI36" i="33"/>
  <c r="AI32" i="33"/>
  <c r="E33" i="12"/>
  <c r="E33" i="36"/>
  <c r="AI43" i="33"/>
  <c r="AI39" i="33"/>
  <c r="AJ121" i="10" s="1"/>
  <c r="AJ123" i="10" s="1"/>
  <c r="AJ131" i="10" s="1"/>
  <c r="AI41" i="33"/>
  <c r="AK105" i="12"/>
  <c r="AI42" i="33"/>
  <c r="AK105" i="36"/>
  <c r="AI40" i="33"/>
  <c r="AF34" i="33"/>
  <c r="AK104" i="36"/>
  <c r="AK104" i="12"/>
  <c r="AI34" i="33"/>
  <c r="AJ136" i="24" s="1"/>
  <c r="AD121" i="26"/>
  <c r="AD124" i="26" s="1"/>
  <c r="D134" i="29"/>
  <c r="D139" i="29" s="1"/>
  <c r="U105" i="36"/>
  <c r="V120" i="26"/>
  <c r="V124" i="26" s="1"/>
  <c r="S40" i="33"/>
  <c r="U105" i="12"/>
  <c r="S42" i="33"/>
  <c r="AR122" i="8"/>
  <c r="AC114" i="26"/>
  <c r="AJ122" i="8"/>
  <c r="V128" i="24"/>
  <c r="K122" i="8"/>
  <c r="AB136" i="24"/>
  <c r="AJ121" i="9"/>
  <c r="AJ124" i="9" s="1"/>
  <c r="Y104" i="12"/>
  <c r="W33" i="33"/>
  <c r="D122" i="8"/>
  <c r="E134" i="29"/>
  <c r="E139" i="29" s="1"/>
  <c r="Y104" i="36"/>
  <c r="W36" i="33"/>
  <c r="D136" i="24"/>
  <c r="AJ116" i="9"/>
  <c r="AJ118" i="9" s="1"/>
  <c r="AK62" i="36" s="1"/>
  <c r="E124" i="26"/>
  <c r="G3" i="44" s="1"/>
  <c r="D131" i="10"/>
  <c r="F33" i="12"/>
  <c r="F33" i="36"/>
  <c r="H6" i="45"/>
  <c r="H6" i="48" s="1"/>
  <c r="E63" i="12"/>
  <c r="E63" i="36"/>
  <c r="W128" i="24"/>
  <c r="O114" i="26"/>
  <c r="O128" i="24" s="1"/>
  <c r="O116" i="26"/>
  <c r="O118" i="26" s="1"/>
  <c r="I127" i="24"/>
  <c r="I128" i="24"/>
  <c r="K63" i="36"/>
  <c r="K63" i="12"/>
  <c r="AF134" i="29"/>
  <c r="AF139" i="29" s="1"/>
  <c r="AI120" i="26"/>
  <c r="AI124" i="26" s="1"/>
  <c r="AI126" i="26" s="1"/>
  <c r="AS120" i="26"/>
  <c r="AS124" i="26" s="1"/>
  <c r="R122" i="8"/>
  <c r="Y105" i="36"/>
  <c r="Z134" i="29"/>
  <c r="Z139" i="29" s="1"/>
  <c r="Z142" i="29" s="1"/>
  <c r="P128" i="24"/>
  <c r="P132" i="24" s="1"/>
  <c r="T121" i="10"/>
  <c r="T123" i="10" s="1"/>
  <c r="T131" i="10" s="1"/>
  <c r="AA134" i="29"/>
  <c r="AA139" i="29" s="1"/>
  <c r="AB121" i="10"/>
  <c r="AB123" i="10" s="1"/>
  <c r="AB131" i="10" s="1"/>
  <c r="R128" i="24"/>
  <c r="R132" i="24" s="1"/>
  <c r="T43" i="33"/>
  <c r="U122" i="8" s="1"/>
  <c r="W127" i="24"/>
  <c r="V105" i="36"/>
  <c r="R121" i="9"/>
  <c r="R124" i="9" s="1"/>
  <c r="AP116" i="26"/>
  <c r="AP118" i="26" s="1"/>
  <c r="T41" i="33"/>
  <c r="U136" i="24" s="1"/>
  <c r="T39" i="33"/>
  <c r="U121" i="10" s="1"/>
  <c r="U123" i="10" s="1"/>
  <c r="U131" i="10" s="1"/>
  <c r="V105" i="12"/>
  <c r="F44" i="8"/>
  <c r="G44" i="8" s="1"/>
  <c r="T42" i="33"/>
  <c r="U134" i="29" s="1"/>
  <c r="U139" i="29" s="1"/>
  <c r="G60" i="21"/>
  <c r="G61" i="21" s="1"/>
  <c r="R121" i="10"/>
  <c r="R123" i="10" s="1"/>
  <c r="R131" i="10" s="1"/>
  <c r="H44" i="21"/>
  <c r="H58" i="21" s="1"/>
  <c r="H59" i="21" s="1"/>
  <c r="AI128" i="24"/>
  <c r="AI127" i="24"/>
  <c r="AF114" i="26"/>
  <c r="J91" i="8"/>
  <c r="J93" i="8" s="1"/>
  <c r="H43" i="5"/>
  <c r="H91" i="5"/>
  <c r="J37" i="21"/>
  <c r="J40" i="21" s="1"/>
  <c r="J145" i="21"/>
  <c r="K143" i="21" s="1"/>
  <c r="J50" i="21"/>
  <c r="J51" i="21" s="1"/>
  <c r="J144" i="21"/>
  <c r="J148" i="21"/>
  <c r="H94" i="21"/>
  <c r="H93" i="21"/>
  <c r="I43" i="21"/>
  <c r="L4" i="38" s="1"/>
  <c r="L4" i="40" s="1"/>
  <c r="I91" i="21"/>
  <c r="I37" i="5"/>
  <c r="I40" i="5" s="1"/>
  <c r="I140" i="5"/>
  <c r="I50" i="5"/>
  <c r="I51" i="5" s="1"/>
  <c r="I53" i="5" s="1"/>
  <c r="I54" i="5" s="1"/>
  <c r="E71" i="5" s="1"/>
  <c r="I137" i="5"/>
  <c r="J135" i="5" s="1"/>
  <c r="I136" i="5"/>
  <c r="E127" i="24"/>
  <c r="E128" i="24"/>
  <c r="G94" i="5"/>
  <c r="G93" i="5"/>
  <c r="AT32" i="33"/>
  <c r="AT35" i="33"/>
  <c r="AT36" i="33"/>
  <c r="AT34" i="33"/>
  <c r="AT33" i="33"/>
  <c r="AG114" i="26"/>
  <c r="AG127" i="24" s="1"/>
  <c r="AG116" i="26"/>
  <c r="AG118" i="26" s="1"/>
  <c r="X128" i="24"/>
  <c r="X132" i="24" s="1"/>
  <c r="AB134" i="29"/>
  <c r="AB139" i="29" s="1"/>
  <c r="J127" i="24"/>
  <c r="J128" i="24"/>
  <c r="AJ128" i="24"/>
  <c r="AJ132" i="24" s="1"/>
  <c r="D120" i="26"/>
  <c r="D121" i="26"/>
  <c r="D127" i="24"/>
  <c r="D128" i="24"/>
  <c r="AE134" i="29"/>
  <c r="AE139" i="29" s="1"/>
  <c r="F63" i="12"/>
  <c r="F63" i="36"/>
  <c r="N124" i="26"/>
  <c r="AR124" i="9"/>
  <c r="AR126" i="9" s="1"/>
  <c r="T122" i="8"/>
  <c r="I43" i="8"/>
  <c r="K4" i="38" s="1"/>
  <c r="K4" i="40" s="1"/>
  <c r="I91" i="8"/>
  <c r="Z124" i="9"/>
  <c r="Z126" i="9" s="1"/>
  <c r="H93" i="8"/>
  <c r="H94" i="8"/>
  <c r="AA124" i="9"/>
  <c r="AA126" i="9" s="1"/>
  <c r="AE124" i="9"/>
  <c r="F93" i="8"/>
  <c r="F94" i="8"/>
  <c r="K53" i="8"/>
  <c r="AP120" i="9"/>
  <c r="AP121" i="9"/>
  <c r="U124" i="26"/>
  <c r="AI121" i="9"/>
  <c r="AI120" i="9"/>
  <c r="AM121" i="9"/>
  <c r="AM120" i="9"/>
  <c r="U121" i="9"/>
  <c r="U120" i="9"/>
  <c r="V121" i="9"/>
  <c r="V120" i="9"/>
  <c r="AS121" i="9"/>
  <c r="AS120" i="9"/>
  <c r="K121" i="9"/>
  <c r="K120" i="9"/>
  <c r="D124" i="9"/>
  <c r="AF124" i="9"/>
  <c r="Y124" i="9"/>
  <c r="AG120" i="9"/>
  <c r="AG121" i="9"/>
  <c r="AK121" i="9"/>
  <c r="AK120" i="9"/>
  <c r="AB121" i="9"/>
  <c r="AB120" i="9"/>
  <c r="L50" i="8"/>
  <c r="L51" i="8" s="1"/>
  <c r="P5" i="46" s="1"/>
  <c r="L148" i="8"/>
  <c r="L37" i="8"/>
  <c r="L149" i="8"/>
  <c r="M147" i="8" s="1"/>
  <c r="AN124" i="9"/>
  <c r="AN126" i="9" s="1"/>
  <c r="T121" i="9"/>
  <c r="T120" i="9"/>
  <c r="AD121" i="9"/>
  <c r="AD120" i="9"/>
  <c r="E61" i="8"/>
  <c r="AC121" i="9"/>
  <c r="AC120" i="9"/>
  <c r="S121" i="9"/>
  <c r="S120" i="9"/>
  <c r="X120" i="9"/>
  <c r="X121" i="9"/>
  <c r="W124" i="26"/>
  <c r="W126" i="26" s="1"/>
  <c r="I53" i="9"/>
  <c r="I54" i="9" s="1"/>
  <c r="E71" i="9" s="1"/>
  <c r="W116" i="9"/>
  <c r="W118" i="9" s="1"/>
  <c r="W114" i="9"/>
  <c r="AH39" i="33"/>
  <c r="AI121" i="10" s="1"/>
  <c r="AI123" i="10" s="1"/>
  <c r="AE124" i="26"/>
  <c r="AE126" i="26" s="1"/>
  <c r="AH42" i="33"/>
  <c r="AI134" i="29" s="1"/>
  <c r="AI139" i="29" s="1"/>
  <c r="M32" i="33"/>
  <c r="I91" i="9"/>
  <c r="I43" i="9"/>
  <c r="K9" i="38" s="1"/>
  <c r="K9" i="40" s="1"/>
  <c r="AH40" i="33"/>
  <c r="AJ105" i="36"/>
  <c r="H94" i="9"/>
  <c r="H93" i="9"/>
  <c r="AJ105" i="12"/>
  <c r="J143" i="9"/>
  <c r="J144" i="9"/>
  <c r="K142" i="9" s="1"/>
  <c r="J37" i="9"/>
  <c r="J40" i="9" s="1"/>
  <c r="J50" i="9"/>
  <c r="J51" i="9" s="1"/>
  <c r="J147" i="9"/>
  <c r="AU124" i="26"/>
  <c r="AU126" i="26" s="1"/>
  <c r="L40" i="12"/>
  <c r="L40" i="36"/>
  <c r="Y105" i="12"/>
  <c r="E62" i="12"/>
  <c r="E62" i="36"/>
  <c r="W42" i="33"/>
  <c r="Y134" i="29" s="1"/>
  <c r="Y139" i="29" s="1"/>
  <c r="W41" i="33"/>
  <c r="X136" i="24" s="1"/>
  <c r="O104" i="36"/>
  <c r="W39" i="33"/>
  <c r="X121" i="10" s="1"/>
  <c r="X123" i="10" s="1"/>
  <c r="Z33" i="12" s="1"/>
  <c r="AF43" i="33"/>
  <c r="AG122" i="8" s="1"/>
  <c r="AH41" i="33"/>
  <c r="AI136" i="24" s="1"/>
  <c r="W43" i="33"/>
  <c r="AF62" i="36"/>
  <c r="M36" i="33"/>
  <c r="M27" i="33"/>
  <c r="O105" i="36" s="1"/>
  <c r="O104" i="12"/>
  <c r="M33" i="33"/>
  <c r="M35" i="33"/>
  <c r="X104" i="12"/>
  <c r="V35" i="33"/>
  <c r="V33" i="33"/>
  <c r="X104" i="36"/>
  <c r="V32" i="33"/>
  <c r="V27" i="33"/>
  <c r="V36" i="33"/>
  <c r="V34" i="33"/>
  <c r="Q63" i="36"/>
  <c r="AG62" i="36"/>
  <c r="O116" i="9"/>
  <c r="O118" i="9" s="1"/>
  <c r="O114" i="9"/>
  <c r="P104" i="36"/>
  <c r="P104" i="12"/>
  <c r="N27" i="33"/>
  <c r="N36" i="33"/>
  <c r="N34" i="33"/>
  <c r="N32" i="33"/>
  <c r="N35" i="33"/>
  <c r="N33" i="33"/>
  <c r="AB32" i="33"/>
  <c r="AB35" i="33"/>
  <c r="AB34" i="33"/>
  <c r="AB36" i="33"/>
  <c r="AB33" i="33"/>
  <c r="AD104" i="36"/>
  <c r="AD104" i="12"/>
  <c r="AB27" i="33"/>
  <c r="AF63" i="12"/>
  <c r="AB116" i="26"/>
  <c r="AB118" i="26" s="1"/>
  <c r="AB114" i="26"/>
  <c r="AB127" i="24" s="1"/>
  <c r="V132" i="24"/>
  <c r="P116" i="9"/>
  <c r="P118" i="9" s="1"/>
  <c r="P114" i="9"/>
  <c r="O34" i="33"/>
  <c r="O32" i="33"/>
  <c r="O36" i="33"/>
  <c r="O33" i="33"/>
  <c r="O27" i="33"/>
  <c r="Q104" i="36"/>
  <c r="O35" i="33"/>
  <c r="Q104" i="12"/>
  <c r="AJ34" i="36"/>
  <c r="AJ34" i="12"/>
  <c r="M34" i="12"/>
  <c r="M34" i="36"/>
  <c r="AE61" i="36"/>
  <c r="AE61" i="12"/>
  <c r="AD128" i="8"/>
  <c r="AF61" i="36"/>
  <c r="AF61" i="12"/>
  <c r="AE128" i="8"/>
  <c r="AJ63" i="12"/>
  <c r="AK61" i="36"/>
  <c r="AK61" i="12"/>
  <c r="AJ128" i="8"/>
  <c r="AJ61" i="12"/>
  <c r="AJ61" i="36"/>
  <c r="AI128" i="8"/>
  <c r="AS61" i="12"/>
  <c r="AS61" i="36"/>
  <c r="AR128" i="8"/>
  <c r="AC61" i="36"/>
  <c r="AC61" i="12"/>
  <c r="AB128" i="8"/>
  <c r="AB61" i="12"/>
  <c r="AB61" i="36"/>
  <c r="AA128" i="8"/>
  <c r="S61" i="36"/>
  <c r="S61" i="12"/>
  <c r="R128" i="8"/>
  <c r="AO61" i="36"/>
  <c r="AO61" i="12"/>
  <c r="AN128" i="8"/>
  <c r="V61" i="36"/>
  <c r="V61" i="12"/>
  <c r="U128" i="8"/>
  <c r="AG63" i="36"/>
  <c r="AG63" i="12"/>
  <c r="AF131" i="10"/>
  <c r="AG33" i="12"/>
  <c r="AG33" i="36"/>
  <c r="Z61" i="12"/>
  <c r="Z61" i="36"/>
  <c r="Y128" i="8"/>
  <c r="L61" i="36"/>
  <c r="L61" i="12"/>
  <c r="K128" i="8"/>
  <c r="U34" i="36"/>
  <c r="U34" i="12"/>
  <c r="AC34" i="36"/>
  <c r="AC34" i="12"/>
  <c r="AU34" i="36"/>
  <c r="AU34" i="12"/>
  <c r="L33" i="36"/>
  <c r="K131" i="10"/>
  <c r="L33" i="12"/>
  <c r="AF63" i="36"/>
  <c r="AG61" i="12"/>
  <c r="AG61" i="36"/>
  <c r="AF128" i="8"/>
  <c r="AH34" i="12"/>
  <c r="AH34" i="36"/>
  <c r="AR131" i="10"/>
  <c r="AA62" i="12"/>
  <c r="AA62" i="36"/>
  <c r="AG62" i="12"/>
  <c r="L34" i="36"/>
  <c r="K142" i="29"/>
  <c r="L34" i="12"/>
  <c r="AO62" i="36"/>
  <c r="W63" i="36"/>
  <c r="W63" i="12"/>
  <c r="AA61" i="12"/>
  <c r="AA61" i="36"/>
  <c r="Z128" i="8"/>
  <c r="AD131" i="10"/>
  <c r="AO34" i="36"/>
  <c r="AO34" i="12"/>
  <c r="T105" i="36"/>
  <c r="T105" i="12"/>
  <c r="R39" i="33"/>
  <c r="S121" i="10" s="1"/>
  <c r="S123" i="10" s="1"/>
  <c r="R43" i="33"/>
  <c r="S122" i="8" s="1"/>
  <c r="R40" i="33"/>
  <c r="R42" i="33"/>
  <c r="S134" i="29" s="1"/>
  <c r="S139" i="29" s="1"/>
  <c r="R41" i="33"/>
  <c r="S136" i="24" s="1"/>
  <c r="AP120" i="26"/>
  <c r="AP121" i="26"/>
  <c r="AQ105" i="12"/>
  <c r="AQ105" i="36"/>
  <c r="AO41" i="33"/>
  <c r="AP136" i="24" s="1"/>
  <c r="AO42" i="33"/>
  <c r="AO40" i="33"/>
  <c r="AO43" i="33"/>
  <c r="AP122" i="8" s="1"/>
  <c r="AO39" i="33"/>
  <c r="AP121" i="10" s="1"/>
  <c r="AP123" i="10" s="1"/>
  <c r="V134" i="21"/>
  <c r="S63" i="36"/>
  <c r="S63" i="12"/>
  <c r="T134" i="21"/>
  <c r="AO114" i="9"/>
  <c r="AO116" i="9"/>
  <c r="AO118" i="9" s="1"/>
  <c r="AP105" i="12"/>
  <c r="AP105" i="36"/>
  <c r="AN39" i="33"/>
  <c r="AO121" i="10" s="1"/>
  <c r="AO123" i="10" s="1"/>
  <c r="AN41" i="33"/>
  <c r="AO136" i="24" s="1"/>
  <c r="AN43" i="33"/>
  <c r="AO122" i="8" s="1"/>
  <c r="AN42" i="33"/>
  <c r="AO134" i="29" s="1"/>
  <c r="AO139" i="29" s="1"/>
  <c r="AN40" i="33"/>
  <c r="AN134" i="21"/>
  <c r="R134" i="21"/>
  <c r="Z134" i="21"/>
  <c r="AG134" i="21"/>
  <c r="S121" i="26"/>
  <c r="S120" i="26"/>
  <c r="T127" i="24"/>
  <c r="T128" i="24"/>
  <c r="AF134" i="21"/>
  <c r="AL134" i="21"/>
  <c r="AS134" i="21"/>
  <c r="K134" i="21"/>
  <c r="N134" i="21"/>
  <c r="O134" i="21"/>
  <c r="AJ120" i="26"/>
  <c r="AJ121" i="26"/>
  <c r="AK127" i="24"/>
  <c r="AK128" i="24"/>
  <c r="W105" i="12"/>
  <c r="W105" i="36"/>
  <c r="U42" i="33"/>
  <c r="V134" i="29" s="1"/>
  <c r="V139" i="29" s="1"/>
  <c r="U39" i="33"/>
  <c r="V121" i="10" s="1"/>
  <c r="V123" i="10" s="1"/>
  <c r="U43" i="33"/>
  <c r="V122" i="8" s="1"/>
  <c r="U41" i="33"/>
  <c r="V136" i="24" s="1"/>
  <c r="U40" i="33"/>
  <c r="AE34" i="36"/>
  <c r="AE34" i="12"/>
  <c r="Z62" i="12"/>
  <c r="Z62" i="36"/>
  <c r="AT104" i="36"/>
  <c r="AT104" i="12"/>
  <c r="AR32" i="33"/>
  <c r="AR33" i="33"/>
  <c r="AR36" i="33"/>
  <c r="AR27" i="33"/>
  <c r="AR34" i="33"/>
  <c r="AR35" i="33"/>
  <c r="J121" i="26"/>
  <c r="J120" i="26"/>
  <c r="K128" i="24"/>
  <c r="AM105" i="36"/>
  <c r="AM105" i="12"/>
  <c r="AK39" i="33"/>
  <c r="AL121" i="10" s="1"/>
  <c r="AL123" i="10" s="1"/>
  <c r="AK42" i="33"/>
  <c r="AK43" i="33"/>
  <c r="AL122" i="8" s="1"/>
  <c r="AK40" i="33"/>
  <c r="AK41" i="33"/>
  <c r="AL136" i="24" s="1"/>
  <c r="K120" i="26"/>
  <c r="K121" i="26"/>
  <c r="P121" i="26"/>
  <c r="P120" i="26"/>
  <c r="AF142" i="29"/>
  <c r="AG34" i="36"/>
  <c r="AG34" i="12"/>
  <c r="U134" i="21"/>
  <c r="AB62" i="36"/>
  <c r="AB62" i="12"/>
  <c r="AI34" i="36"/>
  <c r="AI34" i="12"/>
  <c r="S62" i="36"/>
  <c r="S62" i="12"/>
  <c r="Y121" i="26"/>
  <c r="Y120" i="26"/>
  <c r="Z127" i="24"/>
  <c r="Z128" i="24"/>
  <c r="AH67" i="36"/>
  <c r="AH67" i="12"/>
  <c r="AF34" i="36"/>
  <c r="AF34" i="12"/>
  <c r="AI134" i="21"/>
  <c r="AP134" i="21"/>
  <c r="AC121" i="26"/>
  <c r="AC120" i="26"/>
  <c r="AD127" i="24"/>
  <c r="AD128" i="24"/>
  <c r="AA34" i="12"/>
  <c r="AA34" i="36"/>
  <c r="Y131" i="10"/>
  <c r="Z33" i="36"/>
  <c r="AB34" i="12"/>
  <c r="AB34" i="36"/>
  <c r="AA142" i="29"/>
  <c r="AC33" i="36"/>
  <c r="AB33" i="36"/>
  <c r="AA131" i="10"/>
  <c r="AB33" i="12"/>
  <c r="Y134" i="21"/>
  <c r="AA120" i="26"/>
  <c r="AA121" i="26"/>
  <c r="AM121" i="26"/>
  <c r="AM120" i="26"/>
  <c r="AA134" i="21"/>
  <c r="AE134" i="21"/>
  <c r="AK34" i="36"/>
  <c r="AK34" i="12"/>
  <c r="M114" i="26"/>
  <c r="M116" i="26"/>
  <c r="M118" i="26" s="1"/>
  <c r="X120" i="26"/>
  <c r="X121" i="26"/>
  <c r="Y127" i="24"/>
  <c r="Y128" i="24"/>
  <c r="AS34" i="12"/>
  <c r="AS34" i="36"/>
  <c r="S134" i="21"/>
  <c r="X134" i="21"/>
  <c r="Y34" i="36"/>
  <c r="Y34" i="12"/>
  <c r="AK134" i="21"/>
  <c r="V34" i="12"/>
  <c r="V34" i="36"/>
  <c r="P63" i="36"/>
  <c r="P63" i="12"/>
  <c r="Z120" i="26"/>
  <c r="Z121" i="26"/>
  <c r="AA127" i="24"/>
  <c r="AA128" i="24"/>
  <c r="AL121" i="26"/>
  <c r="AL120" i="26"/>
  <c r="AM127" i="24"/>
  <c r="AC134" i="21"/>
  <c r="AN131" i="10"/>
  <c r="AK63" i="36"/>
  <c r="AK63" i="12"/>
  <c r="X63" i="12"/>
  <c r="X63" i="36"/>
  <c r="N104" i="12"/>
  <c r="N104" i="36"/>
  <c r="L27" i="33"/>
  <c r="L35" i="33"/>
  <c r="L33" i="33"/>
  <c r="L36" i="33"/>
  <c r="L34" i="33"/>
  <c r="L32" i="33"/>
  <c r="M134" i="21"/>
  <c r="AJ134" i="21"/>
  <c r="AK121" i="26"/>
  <c r="AK120" i="26"/>
  <c r="AL127" i="24"/>
  <c r="AL128" i="24"/>
  <c r="AB134" i="21"/>
  <c r="AV61" i="36"/>
  <c r="AV61" i="12"/>
  <c r="AL105" i="12"/>
  <c r="AL105" i="36"/>
  <c r="AJ43" i="33"/>
  <c r="AK122" i="8" s="1"/>
  <c r="AJ41" i="33"/>
  <c r="AK136" i="24" s="1"/>
  <c r="AJ42" i="33"/>
  <c r="AK134" i="29" s="1"/>
  <c r="AK139" i="29" s="1"/>
  <c r="AJ39" i="33"/>
  <c r="AK121" i="10" s="1"/>
  <c r="AK123" i="10" s="1"/>
  <c r="AJ40" i="33"/>
  <c r="T120" i="26"/>
  <c r="T121" i="26"/>
  <c r="U127" i="24"/>
  <c r="U128" i="24"/>
  <c r="AN105" i="36"/>
  <c r="AN105" i="12"/>
  <c r="AL39" i="33"/>
  <c r="AM121" i="10" s="1"/>
  <c r="AM123" i="10" s="1"/>
  <c r="AO33" i="12" s="1"/>
  <c r="AL42" i="33"/>
  <c r="AL43" i="33"/>
  <c r="AM122" i="8" s="1"/>
  <c r="AL41" i="33"/>
  <c r="AM136" i="24" s="1"/>
  <c r="AL40" i="33"/>
  <c r="Z131" i="10"/>
  <c r="AA33" i="12"/>
  <c r="AA33" i="36"/>
  <c r="R121" i="26"/>
  <c r="R120" i="26"/>
  <c r="S127" i="24"/>
  <c r="S128" i="24"/>
  <c r="U67" i="12"/>
  <c r="U67" i="36"/>
  <c r="AM134" i="21"/>
  <c r="Z34" i="36"/>
  <c r="Z34" i="12"/>
  <c r="AO116" i="26"/>
  <c r="AO118" i="26" s="1"/>
  <c r="AO114" i="26"/>
  <c r="AR134" i="21"/>
  <c r="M114" i="9"/>
  <c r="M116" i="9"/>
  <c r="M118" i="9" s="1"/>
  <c r="AL116" i="9"/>
  <c r="AL118" i="9" s="1"/>
  <c r="AL114" i="9"/>
  <c r="AV67" i="36"/>
  <c r="AV67" i="12"/>
  <c r="AU128" i="8"/>
  <c r="AF33" i="36"/>
  <c r="AF33" i="12"/>
  <c r="AE131" i="10"/>
  <c r="AV104" i="12"/>
  <c r="AV104" i="36"/>
  <c r="AT27" i="33"/>
  <c r="AD134" i="21"/>
  <c r="T128" i="8"/>
  <c r="S34" i="36"/>
  <c r="S34" i="12"/>
  <c r="N114" i="9"/>
  <c r="N116" i="9"/>
  <c r="N118" i="9" s="1"/>
  <c r="AO134" i="21"/>
  <c r="P134" i="21"/>
  <c r="W134" i="21"/>
  <c r="AD62" i="36"/>
  <c r="AD62" i="12"/>
  <c r="AN116" i="26"/>
  <c r="AN118" i="26" s="1"/>
  <c r="AN114" i="26"/>
  <c r="AN127" i="24" s="1"/>
  <c r="Y63" i="12"/>
  <c r="Y63" i="36"/>
  <c r="AR116" i="26"/>
  <c r="AR118" i="26" s="1"/>
  <c r="AR114" i="26"/>
  <c r="AR127" i="24" s="1"/>
  <c r="AU114" i="9"/>
  <c r="AU116" i="9"/>
  <c r="AU118" i="9" s="1"/>
  <c r="R3" i="43" l="1"/>
  <c r="R9" i="43"/>
  <c r="R9" i="45" s="1"/>
  <c r="R9" i="48" s="1"/>
  <c r="Q3" i="43"/>
  <c r="Q9" i="43"/>
  <c r="Q9" i="45" s="1"/>
  <c r="Q9" i="48" s="1"/>
  <c r="O3" i="43"/>
  <c r="O9" i="43"/>
  <c r="O9" i="45" s="1"/>
  <c r="O9" i="48" s="1"/>
  <c r="P3" i="43"/>
  <c r="P9" i="43"/>
  <c r="P9" i="45" s="1"/>
  <c r="P9" i="48" s="1"/>
  <c r="AC33" i="12"/>
  <c r="L27" i="37"/>
  <c r="R69" i="37"/>
  <c r="AJ68" i="37" s="1"/>
  <c r="F6" i="44"/>
  <c r="F6" i="45" s="1"/>
  <c r="F6" i="48" s="1"/>
  <c r="G8" i="44"/>
  <c r="E8" i="44"/>
  <c r="C48" i="37" s="1"/>
  <c r="E6" i="44"/>
  <c r="E6" i="45" s="1"/>
  <c r="E6" i="48" s="1"/>
  <c r="AT47" i="37"/>
  <c r="E48" i="37"/>
  <c r="G3" i="45"/>
  <c r="AW136" i="24"/>
  <c r="X50" i="37"/>
  <c r="AM49" i="37"/>
  <c r="AM50" i="37"/>
  <c r="D45" i="37"/>
  <c r="AU104" i="36"/>
  <c r="AS34" i="33"/>
  <c r="AS36" i="33"/>
  <c r="AS27" i="33"/>
  <c r="AS33" i="33"/>
  <c r="AS32" i="33"/>
  <c r="AS35" i="33"/>
  <c r="AU104" i="12"/>
  <c r="AH47" i="37"/>
  <c r="AP203" i="12"/>
  <c r="L200" i="12"/>
  <c r="L204" i="12" s="1"/>
  <c r="AJ200" i="12"/>
  <c r="AJ204" i="12" s="1"/>
  <c r="S200" i="12"/>
  <c r="S204" i="12" s="1"/>
  <c r="AQ203" i="12"/>
  <c r="W200" i="12"/>
  <c r="W204" i="12" s="1"/>
  <c r="Q203" i="12"/>
  <c r="AC200" i="12"/>
  <c r="AC204" i="12" s="1"/>
  <c r="X200" i="12"/>
  <c r="X204" i="12" s="1"/>
  <c r="AB200" i="12"/>
  <c r="AB204" i="12" s="1"/>
  <c r="U200" i="12"/>
  <c r="U204" i="12" s="1"/>
  <c r="AF203" i="12"/>
  <c r="G203" i="12"/>
  <c r="F203" i="12"/>
  <c r="AJ203" i="12"/>
  <c r="J203" i="12"/>
  <c r="F200" i="12"/>
  <c r="Z200" i="12"/>
  <c r="Z204" i="12" s="1"/>
  <c r="AA203" i="12"/>
  <c r="AA200" i="12"/>
  <c r="AA204" i="12" s="1"/>
  <c r="M203" i="12"/>
  <c r="AI203" i="12"/>
  <c r="AT203" i="12"/>
  <c r="AH200" i="12"/>
  <c r="AH204" i="12" s="1"/>
  <c r="K200" i="12"/>
  <c r="K204" i="12" s="1"/>
  <c r="AW200" i="12"/>
  <c r="AW204" i="12" s="1"/>
  <c r="AW203" i="12"/>
  <c r="I203" i="12"/>
  <c r="AT200" i="12"/>
  <c r="AT204" i="12" s="1"/>
  <c r="AN200" i="12"/>
  <c r="AN204" i="12" s="1"/>
  <c r="AR203" i="12"/>
  <c r="AK203" i="12"/>
  <c r="O200" i="12"/>
  <c r="O204" i="12" s="1"/>
  <c r="AX200" i="12"/>
  <c r="AX204" i="12" s="1"/>
  <c r="AP200" i="12"/>
  <c r="AP204" i="12" s="1"/>
  <c r="AL203" i="12"/>
  <c r="N200" i="12"/>
  <c r="N204" i="12" s="1"/>
  <c r="M200" i="12"/>
  <c r="M204" i="12" s="1"/>
  <c r="P200" i="12"/>
  <c r="P204" i="12" s="1"/>
  <c r="J200" i="12"/>
  <c r="J204" i="12" s="1"/>
  <c r="P203" i="12"/>
  <c r="K203" i="12"/>
  <c r="O203" i="12"/>
  <c r="AF200" i="12"/>
  <c r="AF204" i="12" s="1"/>
  <c r="V203" i="12"/>
  <c r="AS200" i="12"/>
  <c r="AS204" i="12" s="1"/>
  <c r="H203" i="12"/>
  <c r="T203" i="12"/>
  <c r="AM203" i="12"/>
  <c r="AV200" i="12"/>
  <c r="AV204" i="12" s="1"/>
  <c r="V200" i="12"/>
  <c r="V204" i="12" s="1"/>
  <c r="Z203" i="12"/>
  <c r="AS203" i="12"/>
  <c r="AD200" i="12"/>
  <c r="AD204" i="12" s="1"/>
  <c r="W203" i="12"/>
  <c r="AO200" i="12"/>
  <c r="AO204" i="12" s="1"/>
  <c r="AV203" i="12"/>
  <c r="L203" i="12"/>
  <c r="I200" i="12"/>
  <c r="I204" i="12" s="1"/>
  <c r="AE203" i="12"/>
  <c r="AG200" i="12"/>
  <c r="AG204" i="12" s="1"/>
  <c r="AU203" i="12"/>
  <c r="AM200" i="12"/>
  <c r="AM204" i="12" s="1"/>
  <c r="AG203" i="12"/>
  <c r="AH203" i="12"/>
  <c r="H200" i="12"/>
  <c r="H204" i="12" s="1"/>
  <c r="AR200" i="12"/>
  <c r="AR204" i="12" s="1"/>
  <c r="T200" i="12"/>
  <c r="T204" i="12" s="1"/>
  <c r="R203" i="12"/>
  <c r="Y203" i="12"/>
  <c r="AU200" i="12"/>
  <c r="AU204" i="12" s="1"/>
  <c r="Y200" i="12"/>
  <c r="Y204" i="12" s="1"/>
  <c r="AO203" i="12"/>
  <c r="N203" i="12"/>
  <c r="AL200" i="12"/>
  <c r="AL204" i="12" s="1"/>
  <c r="AQ200" i="12"/>
  <c r="AQ204" i="12" s="1"/>
  <c r="AC203" i="12"/>
  <c r="U203" i="12"/>
  <c r="AK200" i="12"/>
  <c r="AK204" i="12" s="1"/>
  <c r="S203" i="12"/>
  <c r="AI200" i="12"/>
  <c r="AI204" i="12" s="1"/>
  <c r="Q200" i="12"/>
  <c r="Q204" i="12" s="1"/>
  <c r="G200" i="12"/>
  <c r="G204" i="12" s="1"/>
  <c r="R200" i="12"/>
  <c r="R204" i="12" s="1"/>
  <c r="AE200" i="12"/>
  <c r="AE204" i="12" s="1"/>
  <c r="AB203" i="12"/>
  <c r="AD203" i="12"/>
  <c r="AN203" i="12"/>
  <c r="X203" i="12"/>
  <c r="AX203" i="12"/>
  <c r="AT33" i="32"/>
  <c r="AT40" i="32"/>
  <c r="AT47" i="32" s="1"/>
  <c r="AG47" i="37"/>
  <c r="G8" i="46"/>
  <c r="AO48" i="37" s="1"/>
  <c r="F53" i="29"/>
  <c r="F54" i="29" s="1"/>
  <c r="L8" i="45"/>
  <c r="L8" i="48" s="1"/>
  <c r="AV27" i="32"/>
  <c r="AV133" i="32"/>
  <c r="AV142" i="32"/>
  <c r="AV34" i="36"/>
  <c r="AV34" i="12"/>
  <c r="AW122" i="8"/>
  <c r="F7" i="46"/>
  <c r="AN46" i="37" s="1"/>
  <c r="E53" i="24"/>
  <c r="O128" i="5"/>
  <c r="O35" i="5" s="1"/>
  <c r="O125" i="5"/>
  <c r="O34" i="5"/>
  <c r="O130" i="5"/>
  <c r="AG19" i="33"/>
  <c r="AI103" i="12"/>
  <c r="AI103" i="36"/>
  <c r="F91" i="29"/>
  <c r="F43" i="29"/>
  <c r="AV130" i="5"/>
  <c r="AU20" i="33"/>
  <c r="AW98" i="12"/>
  <c r="AV115" i="21"/>
  <c r="AV116" i="21" s="1"/>
  <c r="AW98" i="36"/>
  <c r="AW124" i="32"/>
  <c r="AX51" i="36"/>
  <c r="AX51" i="12"/>
  <c r="AR87" i="32"/>
  <c r="AR86" i="32"/>
  <c r="AW121" i="10"/>
  <c r="AW123" i="10" s="1"/>
  <c r="AW131" i="10" s="1"/>
  <c r="AT123" i="8"/>
  <c r="AT125" i="8" s="1"/>
  <c r="AT118" i="8"/>
  <c r="AT120" i="8" s="1"/>
  <c r="K20" i="33"/>
  <c r="M98" i="36"/>
  <c r="L115" i="21"/>
  <c r="M98" i="12"/>
  <c r="AF42" i="33"/>
  <c r="X48" i="37"/>
  <c r="AF39" i="33"/>
  <c r="AG121" i="10" s="1"/>
  <c r="AG123" i="10" s="1"/>
  <c r="AG131" i="10" s="1"/>
  <c r="E66" i="10"/>
  <c r="E40" i="10"/>
  <c r="F139" i="36"/>
  <c r="F153" i="36" s="1"/>
  <c r="F154" i="36" s="1"/>
  <c r="F156" i="36" s="1"/>
  <c r="F139" i="12"/>
  <c r="F152" i="12" s="1"/>
  <c r="F153" i="12" s="1"/>
  <c r="F155" i="12" s="1"/>
  <c r="AT136" i="32"/>
  <c r="AV36" i="5"/>
  <c r="AV47" i="5" s="1"/>
  <c r="AF41" i="33"/>
  <c r="AK33" i="36"/>
  <c r="F8" i="44"/>
  <c r="AT34" i="21"/>
  <c r="AT133" i="21"/>
  <c r="AT134" i="21" s="1"/>
  <c r="AU134" i="32"/>
  <c r="AU28" i="32" s="1"/>
  <c r="AU29" i="32" s="1"/>
  <c r="AU101" i="12"/>
  <c r="AU101" i="36"/>
  <c r="AT115" i="26"/>
  <c r="AB45" i="37"/>
  <c r="AW34" i="12"/>
  <c r="AW34" i="36"/>
  <c r="F50" i="10"/>
  <c r="F51" i="10" s="1"/>
  <c r="F53" i="10" s="1"/>
  <c r="F54" i="10" s="1"/>
  <c r="F37" i="10"/>
  <c r="F40" i="10" s="1"/>
  <c r="F151" i="10"/>
  <c r="F155" i="10"/>
  <c r="F152" i="10"/>
  <c r="G150" i="10" s="1"/>
  <c r="P19" i="33"/>
  <c r="R103" i="12"/>
  <c r="R103" i="36"/>
  <c r="AQ133" i="32"/>
  <c r="AR55" i="36"/>
  <c r="AR55" i="12"/>
  <c r="AR103" i="36"/>
  <c r="AR103" i="12"/>
  <c r="AP19" i="33"/>
  <c r="AS84" i="32"/>
  <c r="AS36" i="32"/>
  <c r="AH105" i="36"/>
  <c r="J53" i="21"/>
  <c r="J54" i="21" s="1"/>
  <c r="M4" i="46"/>
  <c r="AF40" i="33"/>
  <c r="AW35" i="5"/>
  <c r="AW36" i="5" s="1"/>
  <c r="AW47" i="5" s="1"/>
  <c r="AW130" i="5"/>
  <c r="AU100" i="12"/>
  <c r="AU100" i="36"/>
  <c r="AT115" i="9"/>
  <c r="K22" i="33"/>
  <c r="AX55" i="36"/>
  <c r="AX55" i="12"/>
  <c r="AW39" i="12"/>
  <c r="AW39" i="36"/>
  <c r="F163" i="24"/>
  <c r="G161" i="24" s="1"/>
  <c r="F50" i="24"/>
  <c r="F51" i="24" s="1"/>
  <c r="F166" i="24"/>
  <c r="F162" i="24"/>
  <c r="F37" i="24"/>
  <c r="F40" i="24" s="1"/>
  <c r="D47" i="5"/>
  <c r="D54" i="5" s="1"/>
  <c r="D40" i="5"/>
  <c r="AW130" i="29"/>
  <c r="G160" i="29"/>
  <c r="G164" i="29"/>
  <c r="G37" i="29"/>
  <c r="G40" i="29" s="1"/>
  <c r="G50" i="29"/>
  <c r="G51" i="29" s="1"/>
  <c r="G161" i="29"/>
  <c r="H159" i="29" s="1"/>
  <c r="AX39" i="12"/>
  <c r="AX39" i="36"/>
  <c r="AU34" i="21"/>
  <c r="AU133" i="21"/>
  <c r="AU134" i="21" s="1"/>
  <c r="AV20" i="33"/>
  <c r="AX98" i="36"/>
  <c r="AW115" i="21"/>
  <c r="AW116" i="21" s="1"/>
  <c r="AX98" i="12"/>
  <c r="AA68" i="12"/>
  <c r="F40" i="36"/>
  <c r="U33" i="36"/>
  <c r="X69" i="36"/>
  <c r="AC40" i="36"/>
  <c r="E40" i="12"/>
  <c r="E40" i="36"/>
  <c r="AG136" i="24"/>
  <c r="AC40" i="12"/>
  <c r="Y126" i="9"/>
  <c r="AB142" i="29"/>
  <c r="AB151" i="29" s="1"/>
  <c r="AB152" i="29" s="1"/>
  <c r="R126" i="9"/>
  <c r="R134" i="9" s="1"/>
  <c r="D142" i="29"/>
  <c r="D34" i="29" s="1"/>
  <c r="D126" i="9"/>
  <c r="D34" i="9" s="1"/>
  <c r="N126" i="26"/>
  <c r="AG40" i="12"/>
  <c r="AB40" i="36"/>
  <c r="F40" i="12"/>
  <c r="G40" i="12"/>
  <c r="G40" i="36"/>
  <c r="E142" i="29"/>
  <c r="E151" i="29" s="1"/>
  <c r="E152" i="29" s="1"/>
  <c r="O127" i="24"/>
  <c r="O132" i="24" s="1"/>
  <c r="AB40" i="12"/>
  <c r="W132" i="24"/>
  <c r="W134" i="24" s="1"/>
  <c r="F58" i="8"/>
  <c r="F59" i="8" s="1"/>
  <c r="V33" i="12"/>
  <c r="X122" i="8"/>
  <c r="V33" i="36"/>
  <c r="AG40" i="36"/>
  <c r="AI132" i="24"/>
  <c r="AI137" i="24" s="1"/>
  <c r="AI141" i="24" s="1"/>
  <c r="AM134" i="29"/>
  <c r="AM139" i="29" s="1"/>
  <c r="AM142" i="29" s="1"/>
  <c r="AA40" i="12"/>
  <c r="AA40" i="36"/>
  <c r="I132" i="24"/>
  <c r="I137" i="24" s="1"/>
  <c r="I141" i="24" s="1"/>
  <c r="K5" i="44" s="1"/>
  <c r="I47" i="37" s="1"/>
  <c r="E126" i="26"/>
  <c r="G69" i="12"/>
  <c r="G77" i="12" s="1"/>
  <c r="G69" i="36"/>
  <c r="G77" i="36" s="1"/>
  <c r="AF127" i="24"/>
  <c r="AE128" i="24"/>
  <c r="AE127" i="24"/>
  <c r="AM128" i="24"/>
  <c r="AM132" i="24" s="1"/>
  <c r="W69" i="36"/>
  <c r="AK33" i="12"/>
  <c r="K127" i="24"/>
  <c r="K132" i="24" s="1"/>
  <c r="O120" i="26"/>
  <c r="O121" i="26"/>
  <c r="D140" i="10"/>
  <c r="D34" i="10"/>
  <c r="D155" i="10"/>
  <c r="AF121" i="26"/>
  <c r="AG128" i="24"/>
  <c r="AG132" i="24" s="1"/>
  <c r="AF128" i="24"/>
  <c r="AB68" i="36"/>
  <c r="AF120" i="26"/>
  <c r="AS33" i="12"/>
  <c r="AS33" i="36"/>
  <c r="AP134" i="29"/>
  <c r="AP139" i="29" s="1"/>
  <c r="AQ40" i="36" s="1"/>
  <c r="AN128" i="24"/>
  <c r="AN132" i="24" s="1"/>
  <c r="T134" i="29"/>
  <c r="T139" i="29" s="1"/>
  <c r="T142" i="29" s="1"/>
  <c r="T34" i="29" s="1"/>
  <c r="AA68" i="36"/>
  <c r="AE142" i="29"/>
  <c r="J94" i="8"/>
  <c r="I44" i="21"/>
  <c r="I58" i="21" s="1"/>
  <c r="I59" i="21" s="1"/>
  <c r="U142" i="29"/>
  <c r="U151" i="29" s="1"/>
  <c r="U152" i="29" s="1"/>
  <c r="AS68" i="12"/>
  <c r="V126" i="26"/>
  <c r="V135" i="26" s="1"/>
  <c r="AS68" i="36"/>
  <c r="D124" i="26"/>
  <c r="AJ33" i="36"/>
  <c r="M41" i="33"/>
  <c r="N136" i="24" s="1"/>
  <c r="AJ33" i="12"/>
  <c r="J136" i="5"/>
  <c r="J50" i="5"/>
  <c r="J51" i="5" s="1"/>
  <c r="J53" i="5" s="1"/>
  <c r="J54" i="5" s="1"/>
  <c r="J137" i="5"/>
  <c r="K135" i="5" s="1"/>
  <c r="J140" i="5"/>
  <c r="J37" i="5"/>
  <c r="J40" i="5" s="1"/>
  <c r="H60" i="21"/>
  <c r="H61" i="21"/>
  <c r="I43" i="5"/>
  <c r="I91" i="5"/>
  <c r="K50" i="21"/>
  <c r="K51" i="21" s="1"/>
  <c r="K148" i="21"/>
  <c r="K37" i="21"/>
  <c r="K145" i="21"/>
  <c r="L143" i="21" s="1"/>
  <c r="K144" i="21"/>
  <c r="I93" i="21"/>
  <c r="I94" i="21"/>
  <c r="J91" i="21"/>
  <c r="J43" i="21"/>
  <c r="X69" i="12"/>
  <c r="AB68" i="12"/>
  <c r="E132" i="24"/>
  <c r="H93" i="5"/>
  <c r="H94" i="5"/>
  <c r="Y142" i="29"/>
  <c r="Y151" i="29" s="1"/>
  <c r="Y152" i="29" s="1"/>
  <c r="J132" i="24"/>
  <c r="AR128" i="24"/>
  <c r="AM124" i="26"/>
  <c r="AI131" i="10"/>
  <c r="AI140" i="10" s="1"/>
  <c r="AJ134" i="29"/>
  <c r="AJ139" i="29" s="1"/>
  <c r="AL40" i="36" s="1"/>
  <c r="AT40" i="33"/>
  <c r="AT39" i="33"/>
  <c r="AU121" i="10" s="1"/>
  <c r="AU123" i="10" s="1"/>
  <c r="AT43" i="33"/>
  <c r="AU122" i="8" s="1"/>
  <c r="AT41" i="33"/>
  <c r="AU136" i="24" s="1"/>
  <c r="AT42" i="33"/>
  <c r="AU134" i="29" s="1"/>
  <c r="AU139" i="29" s="1"/>
  <c r="AN134" i="29"/>
  <c r="AN139" i="29" s="1"/>
  <c r="AP40" i="12" s="1"/>
  <c r="AB128" i="24"/>
  <c r="AB132" i="24" s="1"/>
  <c r="R134" i="29"/>
  <c r="R139" i="29" s="1"/>
  <c r="S33" i="36"/>
  <c r="U126" i="26"/>
  <c r="U135" i="26" s="1"/>
  <c r="U33" i="12"/>
  <c r="D132" i="24"/>
  <c r="AR134" i="29"/>
  <c r="AR139" i="29" s="1"/>
  <c r="AO33" i="36"/>
  <c r="AL134" i="29"/>
  <c r="AL139" i="29" s="1"/>
  <c r="AM40" i="36" s="1"/>
  <c r="F68" i="12"/>
  <c r="F68" i="36"/>
  <c r="AG120" i="26"/>
  <c r="AG121" i="26"/>
  <c r="M43" i="33"/>
  <c r="N122" i="8" s="1"/>
  <c r="X124" i="9"/>
  <c r="X126" i="9" s="1"/>
  <c r="AJ124" i="26"/>
  <c r="Y124" i="26"/>
  <c r="W69" i="12"/>
  <c r="I93" i="8"/>
  <c r="I94" i="8"/>
  <c r="AS124" i="9"/>
  <c r="AI124" i="9"/>
  <c r="AJ68" i="36" s="1"/>
  <c r="AC124" i="9"/>
  <c r="AC126" i="9" s="1"/>
  <c r="AC34" i="9" s="1"/>
  <c r="T124" i="9"/>
  <c r="T126" i="9" s="1"/>
  <c r="AK124" i="9"/>
  <c r="AL68" i="36" s="1"/>
  <c r="AC124" i="26"/>
  <c r="AE69" i="36" s="1"/>
  <c r="AH33" i="36"/>
  <c r="AD124" i="9"/>
  <c r="AF68" i="12" s="1"/>
  <c r="AB124" i="9"/>
  <c r="AC68" i="12" s="1"/>
  <c r="K124" i="9"/>
  <c r="R124" i="26"/>
  <c r="AK124" i="26"/>
  <c r="AG124" i="9"/>
  <c r="AH68" i="12" s="1"/>
  <c r="L53" i="8"/>
  <c r="N121" i="9"/>
  <c r="N120" i="9"/>
  <c r="AK67" i="36"/>
  <c r="AK67" i="12"/>
  <c r="AO67" i="12"/>
  <c r="AO67" i="36"/>
  <c r="S67" i="36"/>
  <c r="S67" i="12"/>
  <c r="P120" i="9"/>
  <c r="P121" i="9"/>
  <c r="AU67" i="36"/>
  <c r="AU67" i="12"/>
  <c r="H44" i="8"/>
  <c r="G58" i="8"/>
  <c r="M50" i="8"/>
  <c r="M51" i="8" s="1"/>
  <c r="Q5" i="46" s="1"/>
  <c r="M37" i="8"/>
  <c r="M149" i="8"/>
  <c r="N147" i="8" s="1"/>
  <c r="M148" i="8"/>
  <c r="AU121" i="9"/>
  <c r="AU120" i="9"/>
  <c r="AH33" i="12"/>
  <c r="O121" i="9"/>
  <c r="O120" i="9"/>
  <c r="S124" i="9"/>
  <c r="U68" i="12" s="1"/>
  <c r="Z67" i="36"/>
  <c r="Z67" i="12"/>
  <c r="V67" i="36"/>
  <c r="V67" i="12"/>
  <c r="AL121" i="9"/>
  <c r="AL120" i="9"/>
  <c r="AA67" i="36"/>
  <c r="AA67" i="12"/>
  <c r="AB67" i="12"/>
  <c r="AB67" i="36"/>
  <c r="AG67" i="36"/>
  <c r="AG67" i="12"/>
  <c r="W121" i="9"/>
  <c r="W120" i="9"/>
  <c r="AC67" i="12"/>
  <c r="AC67" i="36"/>
  <c r="AS67" i="12"/>
  <c r="AS67" i="36"/>
  <c r="V124" i="9"/>
  <c r="V126" i="9" s="1"/>
  <c r="U124" i="9"/>
  <c r="U126" i="9" s="1"/>
  <c r="AP124" i="9"/>
  <c r="AP128" i="8"/>
  <c r="AP137" i="8" s="1"/>
  <c r="AE67" i="36"/>
  <c r="AE67" i="12"/>
  <c r="AJ67" i="12"/>
  <c r="AJ67" i="36"/>
  <c r="AG68" i="36"/>
  <c r="AG68" i="12"/>
  <c r="M121" i="9"/>
  <c r="M120" i="9"/>
  <c r="X124" i="26"/>
  <c r="P124" i="26"/>
  <c r="AO120" i="9"/>
  <c r="AO121" i="9"/>
  <c r="AP124" i="26"/>
  <c r="L67" i="12"/>
  <c r="L67" i="36"/>
  <c r="E68" i="36"/>
  <c r="E68" i="12"/>
  <c r="AF67" i="36"/>
  <c r="AF67" i="12"/>
  <c r="AM124" i="9"/>
  <c r="AO68" i="36" s="1"/>
  <c r="AJ40" i="12"/>
  <c r="AJ40" i="36"/>
  <c r="AI142" i="29"/>
  <c r="AI34" i="29" s="1"/>
  <c r="J53" i="9"/>
  <c r="J54" i="9" s="1"/>
  <c r="AL124" i="26"/>
  <c r="J124" i="26"/>
  <c r="L3" i="44" s="1"/>
  <c r="AO62" i="12"/>
  <c r="AE126" i="9"/>
  <c r="AE34" i="9" s="1"/>
  <c r="AK69" i="12"/>
  <c r="AK69" i="36"/>
  <c r="AS62" i="12"/>
  <c r="AF62" i="12"/>
  <c r="AS62" i="36"/>
  <c r="Z124" i="26"/>
  <c r="Z126" i="26" s="1"/>
  <c r="AF69" i="36"/>
  <c r="AF69" i="12"/>
  <c r="I94" i="9"/>
  <c r="I93" i="9"/>
  <c r="T124" i="26"/>
  <c r="AA124" i="26"/>
  <c r="K124" i="26"/>
  <c r="S124" i="26"/>
  <c r="S126" i="26" s="1"/>
  <c r="AF126" i="9"/>
  <c r="AF34" i="9" s="1"/>
  <c r="AJ69" i="12"/>
  <c r="AJ69" i="36"/>
  <c r="J43" i="9"/>
  <c r="L9" i="38" s="1"/>
  <c r="L9" i="40" s="1"/>
  <c r="J91" i="9"/>
  <c r="K144" i="9"/>
  <c r="L142" i="9" s="1"/>
  <c r="K50" i="9"/>
  <c r="K51" i="9" s="1"/>
  <c r="K143" i="9"/>
  <c r="K37" i="9"/>
  <c r="W40" i="36"/>
  <c r="W40" i="12"/>
  <c r="AJ63" i="36"/>
  <c r="M39" i="33"/>
  <c r="N121" i="10" s="1"/>
  <c r="N123" i="10" s="1"/>
  <c r="N131" i="10" s="1"/>
  <c r="AD126" i="26"/>
  <c r="AD135" i="26" s="1"/>
  <c r="M40" i="33"/>
  <c r="X131" i="10"/>
  <c r="M42" i="33"/>
  <c r="O105" i="12"/>
  <c r="AN63" i="36"/>
  <c r="Q63" i="12"/>
  <c r="AS126" i="26"/>
  <c r="AS135" i="26" s="1"/>
  <c r="X105" i="12"/>
  <c r="V40" i="33"/>
  <c r="V42" i="33"/>
  <c r="W134" i="29" s="1"/>
  <c r="W139" i="29" s="1"/>
  <c r="V43" i="33"/>
  <c r="W122" i="8" s="1"/>
  <c r="V41" i="33"/>
  <c r="W136" i="24" s="1"/>
  <c r="V39" i="33"/>
  <c r="W121" i="10" s="1"/>
  <c r="W123" i="10" s="1"/>
  <c r="Y33" i="36" s="1"/>
  <c r="X105" i="36"/>
  <c r="AJ126" i="9"/>
  <c r="AJ34" i="9" s="1"/>
  <c r="AO63" i="12"/>
  <c r="AK62" i="12"/>
  <c r="R137" i="24"/>
  <c r="R141" i="24" s="1"/>
  <c r="R134" i="24"/>
  <c r="AJ137" i="24"/>
  <c r="AJ141" i="24" s="1"/>
  <c r="AJ134" i="24"/>
  <c r="V134" i="24"/>
  <c r="V137" i="24"/>
  <c r="V141" i="24" s="1"/>
  <c r="AD105" i="12"/>
  <c r="AD105" i="36"/>
  <c r="AB43" i="33"/>
  <c r="AC122" i="8" s="1"/>
  <c r="AB42" i="33"/>
  <c r="AC134" i="29" s="1"/>
  <c r="AC139" i="29" s="1"/>
  <c r="AB39" i="33"/>
  <c r="AC121" i="10" s="1"/>
  <c r="AC123" i="10" s="1"/>
  <c r="AB40" i="33"/>
  <c r="AB41" i="33"/>
  <c r="AC136" i="24" s="1"/>
  <c r="AB121" i="26"/>
  <c r="AB120" i="26"/>
  <c r="AC127" i="24"/>
  <c r="AC128" i="24"/>
  <c r="N42" i="33"/>
  <c r="N40" i="33"/>
  <c r="N43" i="33"/>
  <c r="O122" i="8" s="1"/>
  <c r="P105" i="36"/>
  <c r="P105" i="12"/>
  <c r="N39" i="33"/>
  <c r="O121" i="10" s="1"/>
  <c r="O123" i="10" s="1"/>
  <c r="N41" i="33"/>
  <c r="O136" i="24" s="1"/>
  <c r="P134" i="24"/>
  <c r="P137" i="24"/>
  <c r="X134" i="24"/>
  <c r="X137" i="24"/>
  <c r="X141" i="24" s="1"/>
  <c r="V63" i="12"/>
  <c r="AS63" i="12"/>
  <c r="O41" i="33"/>
  <c r="P136" i="24" s="1"/>
  <c r="O39" i="33"/>
  <c r="P121" i="10" s="1"/>
  <c r="P123" i="10" s="1"/>
  <c r="O42" i="33"/>
  <c r="O43" i="33"/>
  <c r="P122" i="8" s="1"/>
  <c r="O40" i="33"/>
  <c r="Q105" i="12"/>
  <c r="Q105" i="36"/>
  <c r="Z132" i="24"/>
  <c r="Z63" i="36"/>
  <c r="AH62" i="12"/>
  <c r="AC63" i="36"/>
  <c r="AQ62" i="12"/>
  <c r="AM63" i="36"/>
  <c r="AR34" i="12"/>
  <c r="AR34" i="36"/>
  <c r="U62" i="36"/>
  <c r="U62" i="12"/>
  <c r="AL62" i="36"/>
  <c r="AL62" i="12"/>
  <c r="AC63" i="12"/>
  <c r="AH63" i="36"/>
  <c r="AH63" i="12"/>
  <c r="AN33" i="12"/>
  <c r="AN33" i="36"/>
  <c r="AM131" i="10"/>
  <c r="AQ62" i="36"/>
  <c r="AL61" i="12"/>
  <c r="AL61" i="36"/>
  <c r="AK128" i="8"/>
  <c r="T137" i="8"/>
  <c r="T34" i="8"/>
  <c r="Y62" i="12"/>
  <c r="AS63" i="36"/>
  <c r="V63" i="36"/>
  <c r="T63" i="36"/>
  <c r="T63" i="12"/>
  <c r="T61" i="12"/>
  <c r="T61" i="36"/>
  <c r="S128" i="8"/>
  <c r="AN61" i="12"/>
  <c r="AN61" i="36"/>
  <c r="AM128" i="8"/>
  <c r="AL33" i="12"/>
  <c r="AL33" i="36"/>
  <c r="AK131" i="10"/>
  <c r="AP61" i="36"/>
  <c r="AP61" i="12"/>
  <c r="AO128" i="8"/>
  <c r="AA63" i="12"/>
  <c r="AA63" i="36"/>
  <c r="AN34" i="36"/>
  <c r="AN34" i="12"/>
  <c r="AM61" i="36"/>
  <c r="AM61" i="12"/>
  <c r="AL128" i="8"/>
  <c r="R34" i="36"/>
  <c r="R34" i="12"/>
  <c r="AL63" i="12"/>
  <c r="AL63" i="36"/>
  <c r="O61" i="36"/>
  <c r="O61" i="12"/>
  <c r="M120" i="26"/>
  <c r="M121" i="26"/>
  <c r="N127" i="24"/>
  <c r="N128" i="24"/>
  <c r="AA34" i="29"/>
  <c r="AA151" i="29"/>
  <c r="AA152" i="29" s="1"/>
  <c r="Y140" i="10"/>
  <c r="Y34" i="10"/>
  <c r="AK142" i="29"/>
  <c r="AL34" i="36"/>
  <c r="AL34" i="12"/>
  <c r="AE63" i="36"/>
  <c r="AE63" i="12"/>
  <c r="AP34" i="36"/>
  <c r="AO142" i="29"/>
  <c r="AP34" i="12"/>
  <c r="T34" i="12"/>
  <c r="T34" i="36"/>
  <c r="S142" i="29"/>
  <c r="AQ34" i="12"/>
  <c r="AQ34" i="36"/>
  <c r="AN34" i="9"/>
  <c r="AN134" i="9"/>
  <c r="AG34" i="10"/>
  <c r="AG140" i="10"/>
  <c r="Y137" i="8"/>
  <c r="Y34" i="8"/>
  <c r="T62" i="36"/>
  <c r="T62" i="12"/>
  <c r="AI34" i="26"/>
  <c r="AI135" i="26"/>
  <c r="AQ61" i="36"/>
  <c r="AB63" i="12"/>
  <c r="AB63" i="36"/>
  <c r="AM34" i="36"/>
  <c r="AM34" i="12"/>
  <c r="AT105" i="36"/>
  <c r="AT105" i="12"/>
  <c r="AR39" i="33"/>
  <c r="AS121" i="10" s="1"/>
  <c r="AS123" i="10" s="1"/>
  <c r="AR43" i="33"/>
  <c r="AS122" i="8" s="1"/>
  <c r="AR42" i="33"/>
  <c r="AR41" i="33"/>
  <c r="AS136" i="24" s="1"/>
  <c r="AR40" i="33"/>
  <c r="R34" i="10"/>
  <c r="R140" i="10"/>
  <c r="AK132" i="24"/>
  <c r="T132" i="24"/>
  <c r="AD140" i="10"/>
  <c r="AD34" i="10"/>
  <c r="T34" i="10"/>
  <c r="T140" i="10"/>
  <c r="AE34" i="26"/>
  <c r="AE135" i="26"/>
  <c r="AA34" i="8"/>
  <c r="AA137" i="8"/>
  <c r="L62" i="12"/>
  <c r="L62" i="36"/>
  <c r="AE140" i="10"/>
  <c r="AE34" i="10"/>
  <c r="AO121" i="26"/>
  <c r="AO120" i="26"/>
  <c r="AP127" i="24"/>
  <c r="AP128" i="24"/>
  <c r="N128" i="8"/>
  <c r="AA132" i="24"/>
  <c r="N135" i="26"/>
  <c r="N34" i="26"/>
  <c r="Y132" i="24"/>
  <c r="AH61" i="12"/>
  <c r="AH61" i="36"/>
  <c r="Z34" i="29"/>
  <c r="Z151" i="29"/>
  <c r="Z152" i="29" s="1"/>
  <c r="AD132" i="24"/>
  <c r="AJ62" i="12"/>
  <c r="AJ62" i="36"/>
  <c r="AF151" i="29"/>
  <c r="AF152" i="29" s="1"/>
  <c r="AF34" i="29"/>
  <c r="T33" i="36"/>
  <c r="S131" i="10"/>
  <c r="T33" i="12"/>
  <c r="Z137" i="8"/>
  <c r="Z34" i="8"/>
  <c r="AR34" i="8"/>
  <c r="AR137" i="8"/>
  <c r="U140" i="10"/>
  <c r="U34" i="10"/>
  <c r="Y34" i="29"/>
  <c r="Z34" i="10"/>
  <c r="Z140" i="10"/>
  <c r="AR120" i="26"/>
  <c r="AR121" i="26"/>
  <c r="AS127" i="24"/>
  <c r="AS128" i="24"/>
  <c r="S132" i="24"/>
  <c r="AN34" i="10"/>
  <c r="AN140" i="10"/>
  <c r="AN62" i="12"/>
  <c r="AN62" i="36"/>
  <c r="Y34" i="9"/>
  <c r="Y134" i="9"/>
  <c r="K135" i="21"/>
  <c r="K136" i="21" s="1"/>
  <c r="Z34" i="9"/>
  <c r="Z134" i="9"/>
  <c r="R34" i="8"/>
  <c r="R137" i="8"/>
  <c r="AJ34" i="8"/>
  <c r="AJ137" i="8"/>
  <c r="AC62" i="36"/>
  <c r="AC62" i="12"/>
  <c r="AN121" i="26"/>
  <c r="AN120" i="26"/>
  <c r="AO127" i="24"/>
  <c r="AO128" i="24"/>
  <c r="AA34" i="10"/>
  <c r="AA140" i="10"/>
  <c r="AU34" i="26"/>
  <c r="AU135" i="26"/>
  <c r="AE34" i="29"/>
  <c r="AE151" i="29"/>
  <c r="AE152" i="29" s="1"/>
  <c r="AR132" i="24"/>
  <c r="W33" i="36"/>
  <c r="W33" i="12"/>
  <c r="V131" i="10"/>
  <c r="AQ33" i="12"/>
  <c r="AQ33" i="36"/>
  <c r="AP131" i="10"/>
  <c r="K151" i="29"/>
  <c r="K152" i="29" s="1"/>
  <c r="K34" i="29"/>
  <c r="AB137" i="8"/>
  <c r="AB34" i="8"/>
  <c r="V142" i="29"/>
  <c r="W34" i="36"/>
  <c r="W34" i="12"/>
  <c r="U132" i="24"/>
  <c r="AU127" i="24"/>
  <c r="AU128" i="24"/>
  <c r="AM33" i="36"/>
  <c r="AL131" i="10"/>
  <c r="AM33" i="12"/>
  <c r="U63" i="36"/>
  <c r="U63" i="12"/>
  <c r="M127" i="24"/>
  <c r="M128" i="24"/>
  <c r="AF34" i="8"/>
  <c r="AF137" i="8"/>
  <c r="K140" i="10"/>
  <c r="K34" i="10"/>
  <c r="AF34" i="10"/>
  <c r="AF140" i="10"/>
  <c r="AI137" i="8"/>
  <c r="AI34" i="8"/>
  <c r="V62" i="36"/>
  <c r="V62" i="12"/>
  <c r="AR34" i="9"/>
  <c r="AR134" i="9"/>
  <c r="AU137" i="8"/>
  <c r="AU34" i="8"/>
  <c r="W61" i="36"/>
  <c r="W61" i="12"/>
  <c r="V128" i="8"/>
  <c r="AD126" i="9"/>
  <c r="AE62" i="12"/>
  <c r="AE62" i="36"/>
  <c r="W62" i="12"/>
  <c r="W62" i="36"/>
  <c r="AB140" i="10"/>
  <c r="AB34" i="10"/>
  <c r="R34" i="9"/>
  <c r="AA134" i="9"/>
  <c r="AA34" i="9"/>
  <c r="AR34" i="10"/>
  <c r="AR140" i="10"/>
  <c r="AN34" i="8"/>
  <c r="AN137" i="8"/>
  <c r="AE137" i="8"/>
  <c r="AE34" i="8"/>
  <c r="AD34" i="8"/>
  <c r="AD137" i="8"/>
  <c r="AT62" i="36"/>
  <c r="AT62" i="12"/>
  <c r="U61" i="36"/>
  <c r="U61" i="12"/>
  <c r="AJ34" i="10"/>
  <c r="AJ140" i="10"/>
  <c r="W34" i="26"/>
  <c r="W135" i="26"/>
  <c r="AV105" i="12"/>
  <c r="AV105" i="36"/>
  <c r="AO131" i="10"/>
  <c r="AP33" i="36"/>
  <c r="AP33" i="12"/>
  <c r="AL132" i="24"/>
  <c r="N105" i="36"/>
  <c r="N105" i="12"/>
  <c r="L43" i="33"/>
  <c r="M122" i="8" s="1"/>
  <c r="L40" i="33"/>
  <c r="L39" i="33"/>
  <c r="M121" i="10" s="1"/>
  <c r="M123" i="10" s="1"/>
  <c r="L42" i="33"/>
  <c r="M134" i="29" s="1"/>
  <c r="M139" i="29" s="1"/>
  <c r="L41" i="33"/>
  <c r="M136" i="24" s="1"/>
  <c r="AG128" i="8"/>
  <c r="O34" i="36"/>
  <c r="O34" i="12"/>
  <c r="K137" i="8"/>
  <c r="K152" i="8"/>
  <c r="K34" i="8"/>
  <c r="U137" i="8"/>
  <c r="U34" i="8"/>
  <c r="AB34" i="29" l="1"/>
  <c r="AX33" i="12"/>
  <c r="E8" i="45"/>
  <c r="AX33" i="36"/>
  <c r="T8" i="44"/>
  <c r="G6" i="38"/>
  <c r="G6" i="40" s="1"/>
  <c r="G8" i="45"/>
  <c r="E50" i="37"/>
  <c r="Q7" i="43"/>
  <c r="S7" i="43"/>
  <c r="S7" i="44"/>
  <c r="Q46" i="37" s="1"/>
  <c r="AU47" i="37"/>
  <c r="L3" i="45"/>
  <c r="L3" i="48" s="1"/>
  <c r="J48" i="37"/>
  <c r="S69" i="36"/>
  <c r="T3" i="44"/>
  <c r="F3" i="44"/>
  <c r="F3" i="45" s="1"/>
  <c r="F3" i="48" s="1"/>
  <c r="J7" i="44"/>
  <c r="H46" i="37" s="1"/>
  <c r="N6" i="44"/>
  <c r="G3" i="48"/>
  <c r="W48" i="37"/>
  <c r="E8" i="48"/>
  <c r="U48" i="37"/>
  <c r="X67" i="37"/>
  <c r="AN49" i="37"/>
  <c r="AN50" i="37"/>
  <c r="G48" i="37"/>
  <c r="H48" i="37"/>
  <c r="AT116" i="9"/>
  <c r="AT118" i="9" s="1"/>
  <c r="AT114" i="9"/>
  <c r="AR57" i="12"/>
  <c r="AR81" i="12"/>
  <c r="AT116" i="26"/>
  <c r="AT118" i="26" s="1"/>
  <c r="AT114" i="26"/>
  <c r="F8" i="45"/>
  <c r="F8" i="48" s="1"/>
  <c r="E91" i="10"/>
  <c r="E43" i="10"/>
  <c r="AW99" i="36"/>
  <c r="AV117" i="8"/>
  <c r="AW99" i="12"/>
  <c r="AU21" i="33"/>
  <c r="AU22" i="33"/>
  <c r="AV134" i="32"/>
  <c r="AV28" i="32" s="1"/>
  <c r="AV29" i="32" s="1"/>
  <c r="M3" i="44"/>
  <c r="F91" i="24"/>
  <c r="F43" i="24"/>
  <c r="AJ45" i="37"/>
  <c r="AX60" i="12"/>
  <c r="AX60" i="36"/>
  <c r="AW125" i="21"/>
  <c r="H8" i="46"/>
  <c r="G53" i="29"/>
  <c r="G54" i="29" s="1"/>
  <c r="T8" i="45"/>
  <c r="T8" i="48" s="1"/>
  <c r="AQ134" i="32"/>
  <c r="AQ28" i="32" s="1"/>
  <c r="AQ136" i="32"/>
  <c r="AG20" i="33"/>
  <c r="AH115" i="21"/>
  <c r="AH116" i="21" s="1"/>
  <c r="AI98" i="36"/>
  <c r="AI98" i="12"/>
  <c r="F43" i="10"/>
  <c r="F91" i="10"/>
  <c r="D164" i="29"/>
  <c r="G43" i="29"/>
  <c r="G91" i="29"/>
  <c r="AU136" i="32"/>
  <c r="K21" i="33"/>
  <c r="M99" i="12"/>
  <c r="L117" i="8"/>
  <c r="M99" i="36"/>
  <c r="AW142" i="32"/>
  <c r="AW133" i="32"/>
  <c r="AW27" i="32"/>
  <c r="F94" i="29"/>
  <c r="F93" i="29"/>
  <c r="AT36" i="32"/>
  <c r="AT84" i="32"/>
  <c r="AX99" i="12"/>
  <c r="AW117" i="8"/>
  <c r="AX99" i="36"/>
  <c r="AV21" i="33"/>
  <c r="AV22" i="33"/>
  <c r="G7" i="46"/>
  <c r="AO46" i="37" s="1"/>
  <c r="F53" i="24"/>
  <c r="F54" i="24" s="1"/>
  <c r="AS87" i="32"/>
  <c r="AS86" i="32"/>
  <c r="AU40" i="32"/>
  <c r="AU47" i="32" s="1"/>
  <c r="AU33" i="32"/>
  <c r="AU61" i="12"/>
  <c r="AU61" i="36"/>
  <c r="AU105" i="12"/>
  <c r="AS40" i="33"/>
  <c r="AS41" i="33"/>
  <c r="AT136" i="24" s="1"/>
  <c r="AS39" i="33"/>
  <c r="AT121" i="10" s="1"/>
  <c r="AT123" i="10" s="1"/>
  <c r="AT131" i="10" s="1"/>
  <c r="AS42" i="33"/>
  <c r="AS43" i="33"/>
  <c r="AT122" i="8" s="1"/>
  <c r="AU105" i="36"/>
  <c r="H37" i="29"/>
  <c r="H40" i="29" s="1"/>
  <c r="H161" i="29"/>
  <c r="I159" i="29" s="1"/>
  <c r="H160" i="29"/>
  <c r="H50" i="29"/>
  <c r="H51" i="29" s="1"/>
  <c r="H164" i="29"/>
  <c r="AR57" i="36"/>
  <c r="AR81" i="36"/>
  <c r="O4" i="49"/>
  <c r="L116" i="21"/>
  <c r="G37" i="24"/>
  <c r="G40" i="24" s="1"/>
  <c r="G162" i="24"/>
  <c r="G50" i="24"/>
  <c r="G51" i="24" s="1"/>
  <c r="G166" i="24"/>
  <c r="G163" i="24"/>
  <c r="H161" i="24" s="1"/>
  <c r="AX57" i="12"/>
  <c r="AX81" i="12"/>
  <c r="AP20" i="33"/>
  <c r="AR98" i="12"/>
  <c r="AR98" i="36"/>
  <c r="AQ115" i="21"/>
  <c r="AQ116" i="21" s="1"/>
  <c r="P20" i="33"/>
  <c r="R98" i="36"/>
  <c r="R98" i="12"/>
  <c r="Q115" i="21"/>
  <c r="AG134" i="29"/>
  <c r="AG139" i="29" s="1"/>
  <c r="AT128" i="8"/>
  <c r="F204" i="12"/>
  <c r="F201" i="12"/>
  <c r="G199" i="12" s="1"/>
  <c r="G201" i="12" s="1"/>
  <c r="H199" i="12" s="1"/>
  <c r="H201" i="12" s="1"/>
  <c r="I199" i="12" s="1"/>
  <c r="I201" i="12" s="1"/>
  <c r="J199" i="12" s="1"/>
  <c r="J201" i="12" s="1"/>
  <c r="K199" i="12" s="1"/>
  <c r="K201" i="12" s="1"/>
  <c r="L199" i="12" s="1"/>
  <c r="L201" i="12" s="1"/>
  <c r="M199" i="12" s="1"/>
  <c r="M201" i="12" s="1"/>
  <c r="N199" i="12" s="1"/>
  <c r="N201" i="12" s="1"/>
  <c r="O199" i="12" s="1"/>
  <c r="O201" i="12" s="1"/>
  <c r="P199" i="12" s="1"/>
  <c r="P201" i="12" s="1"/>
  <c r="Q199" i="12" s="1"/>
  <c r="Q201" i="12" s="1"/>
  <c r="R199" i="12" s="1"/>
  <c r="R201" i="12" s="1"/>
  <c r="S199" i="12" s="1"/>
  <c r="S201" i="12" s="1"/>
  <c r="T199" i="12" s="1"/>
  <c r="T201" i="12" s="1"/>
  <c r="U199" i="12" s="1"/>
  <c r="U201" i="12" s="1"/>
  <c r="V199" i="12" s="1"/>
  <c r="V201" i="12" s="1"/>
  <c r="W199" i="12" s="1"/>
  <c r="W201" i="12" s="1"/>
  <c r="X199" i="12" s="1"/>
  <c r="X201" i="12" s="1"/>
  <c r="Y199" i="12" s="1"/>
  <c r="Y201" i="12" s="1"/>
  <c r="Z199" i="12" s="1"/>
  <c r="Z201" i="12" s="1"/>
  <c r="AA199" i="12" s="1"/>
  <c r="AA201" i="12" s="1"/>
  <c r="AB199" i="12" s="1"/>
  <c r="AB201" i="12" s="1"/>
  <c r="AC199" i="12" s="1"/>
  <c r="AC201" i="12" s="1"/>
  <c r="AD199" i="12" s="1"/>
  <c r="AD201" i="12" s="1"/>
  <c r="AE199" i="12" s="1"/>
  <c r="AE201" i="12" s="1"/>
  <c r="AF199" i="12" s="1"/>
  <c r="AF201" i="12" s="1"/>
  <c r="AG199" i="12" s="1"/>
  <c r="AG201" i="12" s="1"/>
  <c r="AH199" i="12" s="1"/>
  <c r="AH201" i="12" s="1"/>
  <c r="AI199" i="12" s="1"/>
  <c r="AI201" i="12" s="1"/>
  <c r="AJ199" i="12" s="1"/>
  <c r="AJ201" i="12" s="1"/>
  <c r="AK199" i="12" s="1"/>
  <c r="AK201" i="12" s="1"/>
  <c r="AL199" i="12" s="1"/>
  <c r="AL201" i="12" s="1"/>
  <c r="AM199" i="12" s="1"/>
  <c r="AM201" i="12" s="1"/>
  <c r="AN199" i="12" s="1"/>
  <c r="AN201" i="12" s="1"/>
  <c r="AO199" i="12" s="1"/>
  <c r="AO201" i="12" s="1"/>
  <c r="AP199" i="12" s="1"/>
  <c r="AP201" i="12" s="1"/>
  <c r="AQ199" i="12" s="1"/>
  <c r="AQ201" i="12" s="1"/>
  <c r="AR199" i="12" s="1"/>
  <c r="AR201" i="12" s="1"/>
  <c r="AS199" i="12" s="1"/>
  <c r="AS201" i="12" s="1"/>
  <c r="AT199" i="12" s="1"/>
  <c r="AT201" i="12" s="1"/>
  <c r="AU199" i="12" s="1"/>
  <c r="AU201" i="12" s="1"/>
  <c r="AV199" i="12" s="1"/>
  <c r="AV201" i="12" s="1"/>
  <c r="AW199" i="12" s="1"/>
  <c r="AW201" i="12" s="1"/>
  <c r="AX199" i="12" s="1"/>
  <c r="AX201" i="12" s="1"/>
  <c r="K53" i="21"/>
  <c r="N4" i="46"/>
  <c r="V45" i="37"/>
  <c r="AW132" i="29"/>
  <c r="AW135" i="29"/>
  <c r="AX57" i="36"/>
  <c r="AX81" i="36"/>
  <c r="G50" i="10"/>
  <c r="G51" i="10" s="1"/>
  <c r="G53" i="10" s="1"/>
  <c r="G54" i="10" s="1"/>
  <c r="G152" i="10"/>
  <c r="H150" i="10" s="1"/>
  <c r="G151" i="10"/>
  <c r="G37" i="10"/>
  <c r="G40" i="10" s="1"/>
  <c r="G155" i="10"/>
  <c r="AW34" i="10"/>
  <c r="AW140" i="10"/>
  <c r="AW141" i="10" s="1"/>
  <c r="AW35" i="10" s="1"/>
  <c r="AW60" i="36"/>
  <c r="AW60" i="12"/>
  <c r="AV125" i="21"/>
  <c r="O36" i="5"/>
  <c r="O47" i="5" s="1"/>
  <c r="D43" i="5"/>
  <c r="D44" i="5" s="1"/>
  <c r="D91" i="5"/>
  <c r="Z48" i="37"/>
  <c r="K26" i="33"/>
  <c r="M101" i="36"/>
  <c r="M101" i="12"/>
  <c r="L115" i="26"/>
  <c r="AG21" i="33"/>
  <c r="W137" i="24"/>
  <c r="K126" i="9"/>
  <c r="AL142" i="29"/>
  <c r="AL151" i="29" s="1"/>
  <c r="AL152" i="29" s="1"/>
  <c r="D151" i="29"/>
  <c r="D152" i="29" s="1"/>
  <c r="D154" i="29" s="1"/>
  <c r="AE134" i="9"/>
  <c r="AT68" i="36"/>
  <c r="AK41" i="36"/>
  <c r="J41" i="12"/>
  <c r="J80" i="12" s="1"/>
  <c r="J41" i="36"/>
  <c r="AA69" i="12"/>
  <c r="AA77" i="12" s="1"/>
  <c r="AT68" i="12"/>
  <c r="AL40" i="12"/>
  <c r="AF124" i="26"/>
  <c r="D134" i="9"/>
  <c r="E164" i="29"/>
  <c r="AP40" i="36"/>
  <c r="S68" i="36"/>
  <c r="S77" i="36" s="1"/>
  <c r="T40" i="36"/>
  <c r="F69" i="12"/>
  <c r="F77" i="12" s="1"/>
  <c r="T40" i="12"/>
  <c r="V40" i="36"/>
  <c r="V34" i="26"/>
  <c r="AN40" i="12"/>
  <c r="V40" i="12"/>
  <c r="E34" i="29"/>
  <c r="AN40" i="36"/>
  <c r="O134" i="24"/>
  <c r="O137" i="24"/>
  <c r="O141" i="24" s="1"/>
  <c r="G59" i="8"/>
  <c r="G60" i="8" s="1"/>
  <c r="AI134" i="24"/>
  <c r="AS126" i="9"/>
  <c r="AS134" i="9" s="1"/>
  <c r="F69" i="36"/>
  <c r="F77" i="36" s="1"/>
  <c r="AF132" i="24"/>
  <c r="AD34" i="26"/>
  <c r="AF134" i="9"/>
  <c r="AI151" i="29"/>
  <c r="AI152" i="29" s="1"/>
  <c r="AI35" i="29" s="1"/>
  <c r="AI36" i="29" s="1"/>
  <c r="J44" i="21"/>
  <c r="J58" i="21" s="1"/>
  <c r="J59" i="21" s="1"/>
  <c r="J61" i="21" s="1"/>
  <c r="AP34" i="8"/>
  <c r="AK68" i="36"/>
  <c r="AK77" i="36" s="1"/>
  <c r="I134" i="24"/>
  <c r="O124" i="26"/>
  <c r="AE132" i="24"/>
  <c r="S126" i="9"/>
  <c r="S34" i="9" s="1"/>
  <c r="R144" i="24"/>
  <c r="R153" i="24" s="1"/>
  <c r="R154" i="24" s="1"/>
  <c r="AM69" i="12"/>
  <c r="AA69" i="36"/>
  <c r="AA77" i="36" s="1"/>
  <c r="E34" i="26"/>
  <c r="E150" i="26"/>
  <c r="E135" i="26"/>
  <c r="E136" i="26" s="1"/>
  <c r="J126" i="26"/>
  <c r="K69" i="36"/>
  <c r="K77" i="36" s="1"/>
  <c r="K69" i="12"/>
  <c r="K77" i="12" s="1"/>
  <c r="T69" i="12"/>
  <c r="AL69" i="12"/>
  <c r="AK41" i="12"/>
  <c r="O134" i="29"/>
  <c r="O139" i="29" s="1"/>
  <c r="P40" i="12" s="1"/>
  <c r="Z69" i="36"/>
  <c r="S69" i="12"/>
  <c r="AM69" i="36"/>
  <c r="E154" i="29"/>
  <c r="E35" i="29"/>
  <c r="Y69" i="12"/>
  <c r="E69" i="36"/>
  <c r="E77" i="36" s="1"/>
  <c r="E69" i="12"/>
  <c r="E77" i="12" s="1"/>
  <c r="Y126" i="26"/>
  <c r="Y69" i="36"/>
  <c r="P126" i="26"/>
  <c r="P34" i="26" s="1"/>
  <c r="D126" i="26"/>
  <c r="D34" i="26" s="1"/>
  <c r="D141" i="10"/>
  <c r="AJ126" i="26"/>
  <c r="AJ135" i="26" s="1"/>
  <c r="AP142" i="29"/>
  <c r="AQ40" i="12"/>
  <c r="AK68" i="12"/>
  <c r="AK77" i="12" s="1"/>
  <c r="AI34" i="10"/>
  <c r="U34" i="29"/>
  <c r="T151" i="29"/>
  <c r="T152" i="29" s="1"/>
  <c r="T154" i="29" s="1"/>
  <c r="Y33" i="12"/>
  <c r="AE68" i="12"/>
  <c r="R126" i="26"/>
  <c r="R135" i="26" s="1"/>
  <c r="U40" i="36"/>
  <c r="AC134" i="9"/>
  <c r="U40" i="12"/>
  <c r="Z68" i="12"/>
  <c r="AP126" i="26"/>
  <c r="AP34" i="26" s="1"/>
  <c r="T69" i="36"/>
  <c r="AL69" i="36"/>
  <c r="Z68" i="36"/>
  <c r="I60" i="21"/>
  <c r="I61" i="21" s="1"/>
  <c r="AM40" i="12"/>
  <c r="AC126" i="26"/>
  <c r="AC135" i="26" s="1"/>
  <c r="AE68" i="36"/>
  <c r="AE77" i="36" s="1"/>
  <c r="AE69" i="12"/>
  <c r="AH68" i="36"/>
  <c r="O33" i="12"/>
  <c r="O33" i="36"/>
  <c r="AS34" i="26"/>
  <c r="AB126" i="9"/>
  <c r="AB34" i="9" s="1"/>
  <c r="AM126" i="9"/>
  <c r="AM34" i="9" s="1"/>
  <c r="AF77" i="12"/>
  <c r="AK126" i="9"/>
  <c r="AK134" i="9" s="1"/>
  <c r="AI126" i="9"/>
  <c r="AI34" i="9" s="1"/>
  <c r="AD68" i="12"/>
  <c r="AJ68" i="12"/>
  <c r="AJ77" i="12" s="1"/>
  <c r="AL68" i="12"/>
  <c r="AV33" i="12"/>
  <c r="AV33" i="36"/>
  <c r="U34" i="26"/>
  <c r="K37" i="5"/>
  <c r="K40" i="5" s="1"/>
  <c r="K50" i="5"/>
  <c r="K51" i="5" s="1"/>
  <c r="K137" i="5"/>
  <c r="L135" i="5" s="1"/>
  <c r="K140" i="5"/>
  <c r="K136" i="5"/>
  <c r="E137" i="24"/>
  <c r="E141" i="24" s="1"/>
  <c r="E134" i="24"/>
  <c r="I93" i="5"/>
  <c r="I94" i="5"/>
  <c r="AU142" i="29"/>
  <c r="AU151" i="29" s="1"/>
  <c r="AU152" i="29" s="1"/>
  <c r="L144" i="21"/>
  <c r="L50" i="21"/>
  <c r="L51" i="21" s="1"/>
  <c r="L37" i="21"/>
  <c r="L145" i="21"/>
  <c r="M143" i="21" s="1"/>
  <c r="J94" i="21"/>
  <c r="J93" i="21"/>
  <c r="J43" i="5"/>
  <c r="J91" i="5"/>
  <c r="D137" i="24"/>
  <c r="D141" i="24" s="1"/>
  <c r="F5" i="44" s="1"/>
  <c r="D134" i="24"/>
  <c r="F5" i="43" s="1"/>
  <c r="AO40" i="36"/>
  <c r="AO40" i="12"/>
  <c r="AN142" i="29"/>
  <c r="N134" i="29"/>
  <c r="N139" i="29" s="1"/>
  <c r="O8" i="44" s="1"/>
  <c r="AG124" i="26"/>
  <c r="AH69" i="36" s="1"/>
  <c r="X134" i="29"/>
  <c r="X139" i="29" s="1"/>
  <c r="AU33" i="36"/>
  <c r="AU33" i="12"/>
  <c r="AU131" i="10"/>
  <c r="S68" i="12"/>
  <c r="S77" i="12" s="1"/>
  <c r="AD68" i="36"/>
  <c r="L68" i="12"/>
  <c r="AK40" i="12"/>
  <c r="AK40" i="36"/>
  <c r="AJ142" i="29"/>
  <c r="AE33" i="36"/>
  <c r="AE33" i="12"/>
  <c r="AO68" i="12"/>
  <c r="R142" i="29"/>
  <c r="U68" i="36"/>
  <c r="AF68" i="36"/>
  <c r="AF77" i="36" s="1"/>
  <c r="AS134" i="29"/>
  <c r="AS139" i="29" s="1"/>
  <c r="AT40" i="12" s="1"/>
  <c r="AT134" i="29"/>
  <c r="AT139" i="29" s="1"/>
  <c r="AV40" i="12" s="1"/>
  <c r="P134" i="29"/>
  <c r="P139" i="29" s="1"/>
  <c r="AR142" i="29"/>
  <c r="AS40" i="12"/>
  <c r="AS40" i="36"/>
  <c r="J137" i="24"/>
  <c r="J141" i="24" s="1"/>
  <c r="L5" i="44" s="1"/>
  <c r="J134" i="24"/>
  <c r="L5" i="43" s="1"/>
  <c r="AD134" i="29"/>
  <c r="AD139" i="29" s="1"/>
  <c r="L68" i="36"/>
  <c r="AN124" i="26"/>
  <c r="AO69" i="36" s="1"/>
  <c r="AC68" i="36"/>
  <c r="AO124" i="9"/>
  <c r="AP68" i="36" s="1"/>
  <c r="M124" i="26"/>
  <c r="W124" i="9"/>
  <c r="X68" i="12" s="1"/>
  <c r="N124" i="9"/>
  <c r="AB124" i="26"/>
  <c r="AD69" i="12" s="1"/>
  <c r="AJ144" i="24"/>
  <c r="AJ34" i="24" s="1"/>
  <c r="O124" i="9"/>
  <c r="AU124" i="9"/>
  <c r="AU126" i="9" s="1"/>
  <c r="M124" i="9"/>
  <c r="O3" i="44" s="1"/>
  <c r="M45" i="37" s="1"/>
  <c r="AQ61" i="12"/>
  <c r="Z69" i="12"/>
  <c r="M53" i="8"/>
  <c r="AS128" i="8"/>
  <c r="AQ67" i="12"/>
  <c r="AQ67" i="36"/>
  <c r="AN67" i="12"/>
  <c r="AN67" i="36"/>
  <c r="O128" i="8"/>
  <c r="I44" i="8"/>
  <c r="H58" i="8"/>
  <c r="H59" i="8" s="1"/>
  <c r="P124" i="9"/>
  <c r="AP67" i="36"/>
  <c r="AP67" i="12"/>
  <c r="AO124" i="26"/>
  <c r="AQ69" i="12" s="1"/>
  <c r="T67" i="12"/>
  <c r="T67" i="36"/>
  <c r="AM67" i="36"/>
  <c r="AM67" i="12"/>
  <c r="N37" i="8"/>
  <c r="N149" i="8"/>
  <c r="O147" i="8" s="1"/>
  <c r="N50" i="8"/>
  <c r="N51" i="8" s="1"/>
  <c r="R5" i="46" s="1"/>
  <c r="N148" i="8"/>
  <c r="AL67" i="12"/>
  <c r="AL67" i="36"/>
  <c r="F60" i="8"/>
  <c r="F61" i="8"/>
  <c r="O67" i="12"/>
  <c r="O67" i="36"/>
  <c r="X61" i="12"/>
  <c r="V68" i="36"/>
  <c r="V68" i="12"/>
  <c r="W67" i="36"/>
  <c r="W67" i="12"/>
  <c r="AL124" i="9"/>
  <c r="AN68" i="36" s="1"/>
  <c r="T68" i="36"/>
  <c r="T68" i="12"/>
  <c r="W68" i="12"/>
  <c r="W68" i="36"/>
  <c r="Y67" i="12"/>
  <c r="Y67" i="36"/>
  <c r="W141" i="24"/>
  <c r="Y41" i="36" s="1"/>
  <c r="X128" i="8"/>
  <c r="Y61" i="36"/>
  <c r="Y61" i="12"/>
  <c r="K53" i="9"/>
  <c r="J93" i="9"/>
  <c r="J94" i="9"/>
  <c r="L50" i="9"/>
  <c r="L51" i="9" s="1"/>
  <c r="L144" i="9"/>
  <c r="M142" i="9" s="1"/>
  <c r="L143" i="9"/>
  <c r="L37" i="9"/>
  <c r="V69" i="36"/>
  <c r="V69" i="12"/>
  <c r="AK35" i="12"/>
  <c r="AK79" i="12" s="1"/>
  <c r="AR124" i="26"/>
  <c r="AR126" i="26" s="1"/>
  <c r="T126" i="26"/>
  <c r="T34" i="26" s="1"/>
  <c r="L69" i="12"/>
  <c r="L69" i="36"/>
  <c r="X140" i="10"/>
  <c r="X141" i="10" s="1"/>
  <c r="AN69" i="12"/>
  <c r="AN69" i="36"/>
  <c r="X34" i="10"/>
  <c r="U69" i="12"/>
  <c r="U77" i="12" s="1"/>
  <c r="U69" i="36"/>
  <c r="AB69" i="36"/>
  <c r="AB77" i="36" s="1"/>
  <c r="AB69" i="12"/>
  <c r="AB77" i="12" s="1"/>
  <c r="AP126" i="9"/>
  <c r="AP134" i="9" s="1"/>
  <c r="X40" i="36"/>
  <c r="X40" i="12"/>
  <c r="AD40" i="36"/>
  <c r="AD40" i="12"/>
  <c r="D135" i="9"/>
  <c r="D35" i="9" s="1"/>
  <c r="K126" i="26"/>
  <c r="K34" i="26" s="1"/>
  <c r="Y62" i="36"/>
  <c r="AH62" i="36"/>
  <c r="AM126" i="26"/>
  <c r="AM34" i="26" s="1"/>
  <c r="AJ77" i="36"/>
  <c r="N40" i="36"/>
  <c r="N40" i="12"/>
  <c r="AO63" i="36"/>
  <c r="AL126" i="26"/>
  <c r="AL34" i="26" s="1"/>
  <c r="AN63" i="12"/>
  <c r="AJ134" i="9"/>
  <c r="AJ135" i="9" s="1"/>
  <c r="AJ35" i="9" s="1"/>
  <c r="AJ36" i="9" s="1"/>
  <c r="AK35" i="36"/>
  <c r="P141" i="24"/>
  <c r="L63" i="36"/>
  <c r="L63" i="12"/>
  <c r="AA126" i="26"/>
  <c r="AA34" i="26" s="1"/>
  <c r="AG126" i="9"/>
  <c r="AG34" i="9" s="1"/>
  <c r="AM62" i="36"/>
  <c r="AD63" i="36"/>
  <c r="AK126" i="26"/>
  <c r="AK135" i="26" s="1"/>
  <c r="X34" i="12"/>
  <c r="W142" i="29"/>
  <c r="X34" i="36"/>
  <c r="W131" i="10"/>
  <c r="X33" i="12"/>
  <c r="X33" i="36"/>
  <c r="P34" i="36"/>
  <c r="P34" i="12"/>
  <c r="V144" i="24"/>
  <c r="V153" i="24" s="1"/>
  <c r="V154" i="24" s="1"/>
  <c r="O131" i="10"/>
  <c r="P33" i="36"/>
  <c r="P33" i="12"/>
  <c r="AV63" i="36"/>
  <c r="AN134" i="24"/>
  <c r="AN137" i="24"/>
  <c r="AN141" i="24" s="1"/>
  <c r="AM134" i="24"/>
  <c r="AM137" i="24"/>
  <c r="AM141" i="24" s="1"/>
  <c r="AD33" i="12"/>
  <c r="AD33" i="36"/>
  <c r="AC131" i="10"/>
  <c r="AG137" i="24"/>
  <c r="AG141" i="24" s="1"/>
  <c r="AG134" i="24"/>
  <c r="AP132" i="24"/>
  <c r="AM63" i="12"/>
  <c r="AD34" i="36"/>
  <c r="AC142" i="29"/>
  <c r="AD34" i="12"/>
  <c r="K134" i="24"/>
  <c r="M5" i="43" s="1"/>
  <c r="K137" i="24"/>
  <c r="K141" i="24" s="1"/>
  <c r="M5" i="44" s="1"/>
  <c r="K47" i="37" s="1"/>
  <c r="U137" i="24"/>
  <c r="U141" i="24" s="1"/>
  <c r="W41" i="12" s="1"/>
  <c r="U134" i="24"/>
  <c r="AV62" i="12"/>
  <c r="T137" i="24"/>
  <c r="T141" i="24" s="1"/>
  <c r="T134" i="24"/>
  <c r="AD61" i="36"/>
  <c r="AD61" i="12"/>
  <c r="AC128" i="8"/>
  <c r="AR137" i="24"/>
  <c r="AR141" i="24" s="1"/>
  <c r="AR134" i="24"/>
  <c r="AK137" i="24"/>
  <c r="AK141" i="24" s="1"/>
  <c r="AK134" i="24"/>
  <c r="X126" i="26"/>
  <c r="X135" i="26" s="1"/>
  <c r="AB137" i="24"/>
  <c r="AB141" i="24" s="1"/>
  <c r="AB134" i="24"/>
  <c r="AC132" i="24"/>
  <c r="P61" i="36"/>
  <c r="P61" i="12"/>
  <c r="AL134" i="24"/>
  <c r="AL137" i="24"/>
  <c r="AL141" i="24" s="1"/>
  <c r="S137" i="24"/>
  <c r="S141" i="24" s="1"/>
  <c r="T7" i="44" s="1"/>
  <c r="R46" i="37" s="1"/>
  <c r="S134" i="24"/>
  <c r="T7" i="43" s="1"/>
  <c r="AD134" i="24"/>
  <c r="AD137" i="24"/>
  <c r="AD141" i="24" s="1"/>
  <c r="AA134" i="24"/>
  <c r="AA137" i="24"/>
  <c r="AA141" i="24" s="1"/>
  <c r="Z137" i="24"/>
  <c r="Z141" i="24" s="1"/>
  <c r="Z134" i="24"/>
  <c r="AO132" i="24"/>
  <c r="Y137" i="24"/>
  <c r="Y141" i="24" s="1"/>
  <c r="Y134" i="24"/>
  <c r="Q61" i="12"/>
  <c r="Q61" i="36"/>
  <c r="P128" i="8"/>
  <c r="AP63" i="36"/>
  <c r="Z63" i="12"/>
  <c r="P131" i="10"/>
  <c r="Q33" i="36"/>
  <c r="Q33" i="12"/>
  <c r="M132" i="24"/>
  <c r="Q34" i="12"/>
  <c r="Q34" i="36"/>
  <c r="AP62" i="36"/>
  <c r="AS132" i="24"/>
  <c r="O62" i="12"/>
  <c r="O62" i="36"/>
  <c r="N62" i="36"/>
  <c r="N62" i="12"/>
  <c r="AQ63" i="36"/>
  <c r="AQ63" i="12"/>
  <c r="N33" i="12"/>
  <c r="M131" i="10"/>
  <c r="N33" i="36"/>
  <c r="N34" i="12"/>
  <c r="M142" i="29"/>
  <c r="N34" i="36"/>
  <c r="N61" i="36"/>
  <c r="N61" i="12"/>
  <c r="M128" i="8"/>
  <c r="AV63" i="12"/>
  <c r="R135" i="9"/>
  <c r="R35" i="9" s="1"/>
  <c r="R36" i="9" s="1"/>
  <c r="X144" i="24"/>
  <c r="AU138" i="8"/>
  <c r="V34" i="10"/>
  <c r="V140" i="10"/>
  <c r="AN141" i="10"/>
  <c r="AR138" i="8"/>
  <c r="U136" i="26"/>
  <c r="AA138" i="8"/>
  <c r="AN135" i="9"/>
  <c r="AN35" i="9" s="1"/>
  <c r="AN36" i="9" s="1"/>
  <c r="AK137" i="8"/>
  <c r="AK34" i="8"/>
  <c r="K138" i="8"/>
  <c r="AE138" i="8"/>
  <c r="AN138" i="8"/>
  <c r="Y35" i="36"/>
  <c r="Y35" i="12"/>
  <c r="V34" i="8"/>
  <c r="V137" i="8"/>
  <c r="AF141" i="10"/>
  <c r="K141" i="10"/>
  <c r="AV62" i="36"/>
  <c r="Z141" i="10"/>
  <c r="AT61" i="12"/>
  <c r="AT61" i="36"/>
  <c r="T141" i="10"/>
  <c r="AG141" i="10"/>
  <c r="X35" i="12"/>
  <c r="X35" i="36"/>
  <c r="T34" i="9"/>
  <c r="T134" i="9"/>
  <c r="U138" i="8"/>
  <c r="AS136" i="26"/>
  <c r="AO140" i="10"/>
  <c r="AO34" i="10"/>
  <c r="W136" i="26"/>
  <c r="AB141" i="10"/>
  <c r="AD34" i="9"/>
  <c r="AD134" i="9"/>
  <c r="AC135" i="9"/>
  <c r="AC35" i="9" s="1"/>
  <c r="AC36" i="9" s="1"/>
  <c r="AF138" i="8"/>
  <c r="AL140" i="10"/>
  <c r="AL34" i="10"/>
  <c r="V136" i="26"/>
  <c r="AA141" i="10"/>
  <c r="AD141" i="10"/>
  <c r="AI136" i="26"/>
  <c r="Y141" i="10"/>
  <c r="AL34" i="8"/>
  <c r="AL137" i="8"/>
  <c r="AM34" i="8"/>
  <c r="AM137" i="8"/>
  <c r="T138" i="8"/>
  <c r="AG34" i="8"/>
  <c r="AG137" i="8"/>
  <c r="AT34" i="36"/>
  <c r="AT34" i="12"/>
  <c r="O63" i="36"/>
  <c r="O63" i="12"/>
  <c r="V134" i="9"/>
  <c r="V34" i="9"/>
  <c r="AE135" i="9"/>
  <c r="AE35" i="9" s="1"/>
  <c r="S135" i="26"/>
  <c r="S34" i="26"/>
  <c r="AP34" i="10"/>
  <c r="AP140" i="10"/>
  <c r="AJ138" i="8"/>
  <c r="Z135" i="9"/>
  <c r="Z35" i="9" s="1"/>
  <c r="K35" i="21"/>
  <c r="K36" i="21" s="1"/>
  <c r="U154" i="29"/>
  <c r="U35" i="29"/>
  <c r="U36" i="29" s="1"/>
  <c r="AF154" i="29"/>
  <c r="AF35" i="29"/>
  <c r="AF36" i="29" s="1"/>
  <c r="AE141" i="10"/>
  <c r="AB154" i="29"/>
  <c r="AB35" i="29"/>
  <c r="AB36" i="29" s="1"/>
  <c r="AO137" i="8"/>
  <c r="AO34" i="8"/>
  <c r="X134" i="9"/>
  <c r="X34" i="9"/>
  <c r="AT33" i="36"/>
  <c r="AS131" i="10"/>
  <c r="AT33" i="12"/>
  <c r="N63" i="12"/>
  <c r="N63" i="36"/>
  <c r="N140" i="10"/>
  <c r="N34" i="10"/>
  <c r="AE35" i="29"/>
  <c r="AE36" i="29" s="1"/>
  <c r="AE154" i="29"/>
  <c r="AM62" i="12"/>
  <c r="AT63" i="36"/>
  <c r="U141" i="10"/>
  <c r="Z138" i="8"/>
  <c r="N136" i="26"/>
  <c r="AI144" i="24"/>
  <c r="AL34" i="29"/>
  <c r="S34" i="29"/>
  <c r="S151" i="29"/>
  <c r="S152" i="29" s="1"/>
  <c r="AO34" i="29"/>
  <c r="AO151" i="29"/>
  <c r="AO152" i="29" s="1"/>
  <c r="AA35" i="29"/>
  <c r="AA36" i="29" s="1"/>
  <c r="AA154" i="29"/>
  <c r="Y34" i="26"/>
  <c r="Y135" i="26"/>
  <c r="K138" i="21"/>
  <c r="AJ141" i="10"/>
  <c r="AD138" i="8"/>
  <c r="AR141" i="10"/>
  <c r="AR135" i="9"/>
  <c r="AR35" i="9" s="1"/>
  <c r="AR36" i="9" s="1"/>
  <c r="AI138" i="8"/>
  <c r="V151" i="29"/>
  <c r="V152" i="29" s="1"/>
  <c r="V34" i="29"/>
  <c r="AB138" i="8"/>
  <c r="K154" i="29"/>
  <c r="K35" i="29"/>
  <c r="K36" i="29" s="1"/>
  <c r="AI141" i="10"/>
  <c r="Y135" i="9"/>
  <c r="Y35" i="9" s="1"/>
  <c r="Y36" i="9" s="1"/>
  <c r="Y35" i="29"/>
  <c r="Y36" i="29" s="1"/>
  <c r="Y154" i="29"/>
  <c r="AI134" i="9"/>
  <c r="AE136" i="26"/>
  <c r="AP34" i="29"/>
  <c r="AP151" i="29"/>
  <c r="AP152" i="29" s="1"/>
  <c r="AK151" i="29"/>
  <c r="AK152" i="29" s="1"/>
  <c r="AK34" i="29"/>
  <c r="AM151" i="29"/>
  <c r="AM152" i="29" s="1"/>
  <c r="AM34" i="29"/>
  <c r="S34" i="8"/>
  <c r="S137" i="8"/>
  <c r="S34" i="10"/>
  <c r="S140" i="10"/>
  <c r="K147" i="9"/>
  <c r="K34" i="9"/>
  <c r="K134" i="9"/>
  <c r="R141" i="10"/>
  <c r="Z34" i="26"/>
  <c r="Z135" i="26"/>
  <c r="AP138" i="8"/>
  <c r="AM140" i="10"/>
  <c r="AM34" i="10"/>
  <c r="Z154" i="29"/>
  <c r="Z35" i="29"/>
  <c r="Z36" i="29" s="1"/>
  <c r="AF135" i="9"/>
  <c r="AF35" i="9" s="1"/>
  <c r="AA135" i="9"/>
  <c r="AA35" i="9" s="1"/>
  <c r="U34" i="9"/>
  <c r="U134" i="9"/>
  <c r="AU132" i="24"/>
  <c r="AD136" i="26"/>
  <c r="AU136" i="26"/>
  <c r="R138" i="8"/>
  <c r="N137" i="8"/>
  <c r="N34" i="8"/>
  <c r="N152" i="8"/>
  <c r="J135" i="26"/>
  <c r="J34" i="26"/>
  <c r="S134" i="9"/>
  <c r="Y138" i="8"/>
  <c r="AC34" i="26"/>
  <c r="N132" i="24"/>
  <c r="AK34" i="10"/>
  <c r="AK140" i="10"/>
  <c r="AK34" i="9"/>
  <c r="AW36" i="10" l="1"/>
  <c r="AW47" i="10" s="1"/>
  <c r="O142" i="29"/>
  <c r="G5" i="43"/>
  <c r="H5" i="43"/>
  <c r="G5" i="44"/>
  <c r="E49" i="37" s="1"/>
  <c r="H5" i="44"/>
  <c r="F49" i="37" s="1"/>
  <c r="R5" i="43"/>
  <c r="S7" i="45"/>
  <c r="S7" i="48" s="1"/>
  <c r="H8" i="38"/>
  <c r="H8" i="40" s="1"/>
  <c r="H6" i="38"/>
  <c r="H6" i="40" s="1"/>
  <c r="G8" i="48"/>
  <c r="W67" i="37" s="1"/>
  <c r="W50" i="37"/>
  <c r="L5" i="45"/>
  <c r="L5" i="48" s="1"/>
  <c r="D48" i="37"/>
  <c r="F5" i="45"/>
  <c r="F5" i="48" s="1"/>
  <c r="M5" i="45"/>
  <c r="M5" i="48" s="1"/>
  <c r="Q7" i="44"/>
  <c r="O46" i="37" s="1"/>
  <c r="R5" i="44"/>
  <c r="P47" i="37" s="1"/>
  <c r="N6" i="43"/>
  <c r="N6" i="45" s="1"/>
  <c r="N6" i="48" s="1"/>
  <c r="K5" i="43"/>
  <c r="K5" i="45" s="1"/>
  <c r="K5" i="48" s="1"/>
  <c r="G7" i="38"/>
  <c r="G7" i="40" s="1"/>
  <c r="AW67" i="37"/>
  <c r="AW68" i="37"/>
  <c r="AV47" i="37"/>
  <c r="AB48" i="37"/>
  <c r="L7" i="44"/>
  <c r="J46" i="37" s="1"/>
  <c r="P6" i="44"/>
  <c r="L7" i="43"/>
  <c r="P6" i="43"/>
  <c r="K7" i="43"/>
  <c r="O6" i="43"/>
  <c r="K7" i="44"/>
  <c r="I46" i="37" s="1"/>
  <c r="O6" i="44"/>
  <c r="E7" i="43"/>
  <c r="I6" i="43"/>
  <c r="E7" i="44"/>
  <c r="I6" i="44"/>
  <c r="F7" i="43"/>
  <c r="J6" i="43"/>
  <c r="F7" i="44"/>
  <c r="J6" i="44"/>
  <c r="P7" i="44"/>
  <c r="N46" i="37" s="1"/>
  <c r="P7" i="43"/>
  <c r="T6" i="43"/>
  <c r="R45" i="37"/>
  <c r="T3" i="45"/>
  <c r="T3" i="48" s="1"/>
  <c r="V48" i="37"/>
  <c r="J49" i="37"/>
  <c r="J50" i="37"/>
  <c r="I49" i="37"/>
  <c r="I50" i="37"/>
  <c r="C49" i="37"/>
  <c r="D49" i="37"/>
  <c r="AO49" i="37"/>
  <c r="AO50" i="37"/>
  <c r="M48" i="37"/>
  <c r="K45" i="37"/>
  <c r="P3" i="44"/>
  <c r="I8" i="46"/>
  <c r="H53" i="29"/>
  <c r="H54" i="29" s="1"/>
  <c r="G94" i="29"/>
  <c r="G93" i="29"/>
  <c r="D58" i="5"/>
  <c r="E44" i="5"/>
  <c r="F93" i="24"/>
  <c r="F94" i="24"/>
  <c r="Y48" i="37"/>
  <c r="Q6" i="49"/>
  <c r="AY69" i="37" s="1"/>
  <c r="L116" i="26"/>
  <c r="L118" i="26" s="1"/>
  <c r="L114" i="26"/>
  <c r="R99" i="36"/>
  <c r="R99" i="12"/>
  <c r="Q117" i="8"/>
  <c r="P22" i="33"/>
  <c r="P21" i="33"/>
  <c r="H37" i="24"/>
  <c r="H40" i="24" s="1"/>
  <c r="H163" i="24"/>
  <c r="I161" i="24" s="1"/>
  <c r="H162" i="24"/>
  <c r="H50" i="24"/>
  <c r="H51" i="24" s="1"/>
  <c r="H166" i="24"/>
  <c r="I37" i="29"/>
  <c r="I40" i="29" s="1"/>
  <c r="I50" i="29"/>
  <c r="I51" i="29" s="1"/>
  <c r="I160" i="29"/>
  <c r="I164" i="29"/>
  <c r="I161" i="29"/>
  <c r="J159" i="29" s="1"/>
  <c r="AT121" i="9"/>
  <c r="AT120" i="9"/>
  <c r="AT124" i="9" s="1"/>
  <c r="Q8" i="44"/>
  <c r="AV123" i="8"/>
  <c r="AV125" i="8" s="1"/>
  <c r="AV118" i="8"/>
  <c r="AV120" i="8" s="1"/>
  <c r="AT34" i="8"/>
  <c r="AT137" i="8"/>
  <c r="AT138" i="8" s="1"/>
  <c r="O4" i="43"/>
  <c r="O4" i="45" s="1"/>
  <c r="M60" i="12"/>
  <c r="M60" i="36"/>
  <c r="L125" i="21"/>
  <c r="H91" i="29"/>
  <c r="H43" i="29"/>
  <c r="I8" i="38" s="1"/>
  <c r="I8" i="40" s="1"/>
  <c r="AW115" i="26"/>
  <c r="AX101" i="12"/>
  <c r="AX101" i="36"/>
  <c r="AW34" i="21"/>
  <c r="AW133" i="21"/>
  <c r="AW134" i="21" s="1"/>
  <c r="M3" i="45"/>
  <c r="AU62" i="36"/>
  <c r="AU62" i="12"/>
  <c r="AH115" i="9"/>
  <c r="AI100" i="36"/>
  <c r="AI100" i="12"/>
  <c r="AW134" i="32"/>
  <c r="AW28" i="32" s="1"/>
  <c r="AW29" i="32" s="1"/>
  <c r="AW136" i="32"/>
  <c r="R3" i="44"/>
  <c r="Q3" i="44"/>
  <c r="O45" i="37" s="1"/>
  <c r="AX34" i="12"/>
  <c r="AX34" i="36"/>
  <c r="AG142" i="29"/>
  <c r="AH40" i="12"/>
  <c r="AH40" i="36"/>
  <c r="AQ125" i="21"/>
  <c r="AR60" i="12"/>
  <c r="AR60" i="36"/>
  <c r="H7" i="46"/>
  <c r="AP46" i="37" s="1"/>
  <c r="G53" i="24"/>
  <c r="G54" i="24" s="1"/>
  <c r="AX100" i="36"/>
  <c r="AW115" i="9"/>
  <c r="AX100" i="12"/>
  <c r="AV26" i="33"/>
  <c r="AT87" i="32"/>
  <c r="AT86" i="32"/>
  <c r="P5" i="49"/>
  <c r="AX68" i="37" s="1"/>
  <c r="L118" i="8"/>
  <c r="L120" i="8" s="1"/>
  <c r="N4" i="43" s="1"/>
  <c r="N4" i="45" s="1"/>
  <c r="L123" i="8"/>
  <c r="L125" i="8" s="1"/>
  <c r="AI60" i="36"/>
  <c r="AH125" i="21"/>
  <c r="AI60" i="12"/>
  <c r="AV136" i="32"/>
  <c r="E94" i="10"/>
  <c r="E93" i="10"/>
  <c r="M104" i="12"/>
  <c r="M104" i="36"/>
  <c r="K34" i="33"/>
  <c r="K35" i="33"/>
  <c r="K36" i="33"/>
  <c r="K32" i="33"/>
  <c r="K33" i="33"/>
  <c r="K27" i="33"/>
  <c r="G91" i="10"/>
  <c r="G43" i="10"/>
  <c r="AU36" i="32"/>
  <c r="AU84" i="32"/>
  <c r="F94" i="10"/>
  <c r="F93" i="10"/>
  <c r="AG22" i="33"/>
  <c r="AG26" i="33" s="1"/>
  <c r="AI99" i="36"/>
  <c r="AI99" i="12"/>
  <c r="AH117" i="8"/>
  <c r="AV40" i="32"/>
  <c r="AV47" i="32" s="1"/>
  <c r="AV33" i="32"/>
  <c r="P69" i="12"/>
  <c r="T6" i="44"/>
  <c r="P26" i="33"/>
  <c r="G91" i="24"/>
  <c r="G43" i="24"/>
  <c r="AW123" i="8"/>
  <c r="AW125" i="8" s="1"/>
  <c r="AW118" i="8"/>
  <c r="AW120" i="8" s="1"/>
  <c r="M100" i="12"/>
  <c r="L115" i="9"/>
  <c r="M100" i="36"/>
  <c r="AW101" i="12"/>
  <c r="AW101" i="36"/>
  <c r="AV115" i="26"/>
  <c r="AT120" i="26"/>
  <c r="AT121" i="26"/>
  <c r="AT127" i="24"/>
  <c r="AT128" i="24"/>
  <c r="L53" i="21"/>
  <c r="O4" i="46"/>
  <c r="P8" i="44"/>
  <c r="J35" i="12"/>
  <c r="J7" i="43"/>
  <c r="J7" i="45" s="1"/>
  <c r="Z46" i="37" s="1"/>
  <c r="AV133" i="21"/>
  <c r="AV134" i="21" s="1"/>
  <c r="AV34" i="21"/>
  <c r="H151" i="10"/>
  <c r="H155" i="10"/>
  <c r="H37" i="10"/>
  <c r="H40" i="10" s="1"/>
  <c r="H50" i="10"/>
  <c r="H51" i="10" s="1"/>
  <c r="H53" i="10" s="1"/>
  <c r="H54" i="10" s="1"/>
  <c r="H152" i="10"/>
  <c r="I150" i="10" s="1"/>
  <c r="T4" i="49"/>
  <c r="Q116" i="21"/>
  <c r="AR99" i="12"/>
  <c r="AQ117" i="8"/>
  <c r="AR99" i="36"/>
  <c r="AP21" i="33"/>
  <c r="AP22" i="33"/>
  <c r="AT140" i="10"/>
  <c r="AT141" i="10" s="1"/>
  <c r="AT35" i="10" s="1"/>
  <c r="AT34" i="10"/>
  <c r="AV115" i="9"/>
  <c r="AW100" i="12"/>
  <c r="AW100" i="36"/>
  <c r="AU26" i="33"/>
  <c r="AU63" i="36"/>
  <c r="AU63" i="12"/>
  <c r="AQ29" i="32"/>
  <c r="X41" i="36"/>
  <c r="AC69" i="36"/>
  <c r="P40" i="36"/>
  <c r="Q40" i="12"/>
  <c r="I144" i="24"/>
  <c r="I153" i="24" s="1"/>
  <c r="I154" i="24" s="1"/>
  <c r="I156" i="24" s="1"/>
  <c r="J35" i="36"/>
  <c r="J79" i="36" s="1"/>
  <c r="Q40" i="36"/>
  <c r="X68" i="36"/>
  <c r="D35" i="29"/>
  <c r="D36" i="29" s="1"/>
  <c r="D47" i="29" s="1"/>
  <c r="D54" i="29" s="1"/>
  <c r="AF126" i="26"/>
  <c r="AG69" i="12"/>
  <c r="AG77" i="12" s="1"/>
  <c r="AG69" i="36"/>
  <c r="AG77" i="36" s="1"/>
  <c r="J80" i="36"/>
  <c r="X41" i="12"/>
  <c r="X49" i="12" s="1"/>
  <c r="P69" i="36"/>
  <c r="AS69" i="12"/>
  <c r="AS77" i="12" s="1"/>
  <c r="AC69" i="12"/>
  <c r="AC77" i="12" s="1"/>
  <c r="J60" i="21"/>
  <c r="E36" i="29"/>
  <c r="E40" i="29" s="1"/>
  <c r="T7" i="45"/>
  <c r="T7" i="48" s="1"/>
  <c r="D135" i="26"/>
  <c r="D136" i="26" s="1"/>
  <c r="P135" i="26"/>
  <c r="P136" i="26" s="1"/>
  <c r="Q35" i="12"/>
  <c r="Q35" i="36"/>
  <c r="S40" i="36"/>
  <c r="N142" i="29"/>
  <c r="N151" i="29" s="1"/>
  <c r="N152" i="29" s="1"/>
  <c r="N154" i="29" s="1"/>
  <c r="O8" i="45"/>
  <c r="O8" i="48" s="1"/>
  <c r="O126" i="26"/>
  <c r="O34" i="26" s="1"/>
  <c r="P142" i="29"/>
  <c r="P151" i="29" s="1"/>
  <c r="P152" i="29" s="1"/>
  <c r="O144" i="24"/>
  <c r="O34" i="24" s="1"/>
  <c r="T77" i="36"/>
  <c r="AV40" i="36"/>
  <c r="N69" i="12"/>
  <c r="N68" i="36"/>
  <c r="O3" i="45"/>
  <c r="AE48" i="37" s="1"/>
  <c r="AJ34" i="26"/>
  <c r="O69" i="36"/>
  <c r="P144" i="24"/>
  <c r="P34" i="24" s="1"/>
  <c r="Q7" i="45"/>
  <c r="I7" i="45"/>
  <c r="Y46" i="37" s="1"/>
  <c r="AF40" i="36"/>
  <c r="AF40" i="12"/>
  <c r="G61" i="8"/>
  <c r="Z40" i="12"/>
  <c r="Z40" i="36"/>
  <c r="AS34" i="9"/>
  <c r="R34" i="24"/>
  <c r="AI154" i="29"/>
  <c r="W144" i="24"/>
  <c r="W34" i="24" s="1"/>
  <c r="T35" i="29"/>
  <c r="T36" i="29" s="1"/>
  <c r="O40" i="36"/>
  <c r="T77" i="12"/>
  <c r="AF134" i="24"/>
  <c r="AH35" i="36" s="1"/>
  <c r="AH79" i="36" s="1"/>
  <c r="AF137" i="24"/>
  <c r="AF141" i="24" s="1"/>
  <c r="AS142" i="29"/>
  <c r="AK49" i="36"/>
  <c r="AK82" i="36" s="1"/>
  <c r="Z77" i="12"/>
  <c r="Q69" i="36"/>
  <c r="Q69" i="12"/>
  <c r="T135" i="26"/>
  <c r="T136" i="26" s="1"/>
  <c r="AJ153" i="24"/>
  <c r="AJ154" i="24" s="1"/>
  <c r="AJ35" i="24" s="1"/>
  <c r="AJ36" i="24" s="1"/>
  <c r="AL77" i="12"/>
  <c r="Y41" i="12"/>
  <c r="AK80" i="36"/>
  <c r="Z77" i="36"/>
  <c r="I166" i="24"/>
  <c r="AV69" i="36"/>
  <c r="AE77" i="12"/>
  <c r="AE137" i="24"/>
  <c r="AE141" i="24" s="1"/>
  <c r="AF41" i="12" s="1"/>
  <c r="AE134" i="24"/>
  <c r="AF35" i="12" s="1"/>
  <c r="I34" i="24"/>
  <c r="J136" i="12" s="1"/>
  <c r="AU34" i="29"/>
  <c r="AT40" i="36"/>
  <c r="O69" i="12"/>
  <c r="U77" i="36"/>
  <c r="AQ68" i="12"/>
  <c r="AQ77" i="12" s="1"/>
  <c r="AP135" i="26"/>
  <c r="AP136" i="26" s="1"/>
  <c r="AQ68" i="36"/>
  <c r="AO77" i="36"/>
  <c r="AH69" i="12"/>
  <c r="AH77" i="12" s="1"/>
  <c r="W77" i="12"/>
  <c r="E47" i="29"/>
  <c r="E54" i="29" s="1"/>
  <c r="E66" i="29"/>
  <c r="AH77" i="36"/>
  <c r="J79" i="12"/>
  <c r="J49" i="12"/>
  <c r="J82" i="12" s="1"/>
  <c r="L35" i="12"/>
  <c r="AO69" i="12"/>
  <c r="AO77" i="12" s="1"/>
  <c r="AL77" i="36"/>
  <c r="D142" i="10"/>
  <c r="D35" i="10" s="1"/>
  <c r="D36" i="10" s="1"/>
  <c r="AS69" i="36"/>
  <c r="AS77" i="36" s="1"/>
  <c r="AP69" i="36"/>
  <c r="AM134" i="9"/>
  <c r="AM135" i="9" s="1"/>
  <c r="AM35" i="9" s="1"/>
  <c r="AM36" i="9" s="1"/>
  <c r="R34" i="26"/>
  <c r="AB134" i="9"/>
  <c r="AB135" i="9" s="1"/>
  <c r="AB35" i="9" s="1"/>
  <c r="AB36" i="9" s="1"/>
  <c r="AK80" i="12"/>
  <c r="AK34" i="26"/>
  <c r="AA35" i="12"/>
  <c r="AC35" i="36"/>
  <c r="AC79" i="36" s="1"/>
  <c r="W77" i="36"/>
  <c r="AC41" i="36"/>
  <c r="AC80" i="36" s="1"/>
  <c r="AN68" i="12"/>
  <c r="AN77" i="12" s="1"/>
  <c r="G35" i="36"/>
  <c r="G35" i="12"/>
  <c r="G41" i="12"/>
  <c r="G80" i="12" s="1"/>
  <c r="G41" i="36"/>
  <c r="G80" i="36" s="1"/>
  <c r="V77" i="12"/>
  <c r="AA135" i="26"/>
  <c r="AA136" i="26" s="1"/>
  <c r="AP34" i="9"/>
  <c r="AK49" i="12"/>
  <c r="AK82" i="12" s="1"/>
  <c r="AG134" i="9"/>
  <c r="AG135" i="9" s="1"/>
  <c r="AG35" i="9" s="1"/>
  <c r="AG36" i="9" s="1"/>
  <c r="L77" i="36"/>
  <c r="M126" i="26"/>
  <c r="M34" i="26" s="1"/>
  <c r="AK79" i="36"/>
  <c r="K135" i="26"/>
  <c r="K136" i="26" s="1"/>
  <c r="AM135" i="26"/>
  <c r="AM136" i="26" s="1"/>
  <c r="AA35" i="36"/>
  <c r="AA79" i="36" s="1"/>
  <c r="AC77" i="36"/>
  <c r="P68" i="36"/>
  <c r="AO126" i="26"/>
  <c r="AD69" i="36"/>
  <c r="E144" i="24"/>
  <c r="E153" i="24" s="1"/>
  <c r="E154" i="24" s="1"/>
  <c r="N69" i="36"/>
  <c r="L77" i="12"/>
  <c r="AP69" i="12"/>
  <c r="AL135" i="26"/>
  <c r="AL136" i="26" s="1"/>
  <c r="AQ69" i="36"/>
  <c r="N126" i="9"/>
  <c r="N34" i="9" s="1"/>
  <c r="W80" i="12"/>
  <c r="O40" i="12"/>
  <c r="AP68" i="12"/>
  <c r="J93" i="5"/>
  <c r="J94" i="5"/>
  <c r="E35" i="36"/>
  <c r="E35" i="12"/>
  <c r="E41" i="36"/>
  <c r="E80" i="36" s="1"/>
  <c r="E41" i="12"/>
  <c r="E80" i="12" s="1"/>
  <c r="K35" i="12"/>
  <c r="K35" i="36"/>
  <c r="L140" i="5"/>
  <c r="L37" i="5"/>
  <c r="L40" i="5" s="1"/>
  <c r="L50" i="5"/>
  <c r="L51" i="5" s="1"/>
  <c r="L53" i="5" s="1"/>
  <c r="L54" i="5" s="1"/>
  <c r="L137" i="5"/>
  <c r="M135" i="5" s="1"/>
  <c r="L136" i="5"/>
  <c r="K41" i="12"/>
  <c r="K80" i="12" s="1"/>
  <c r="K41" i="36"/>
  <c r="K80" i="36" s="1"/>
  <c r="M37" i="21"/>
  <c r="M50" i="21"/>
  <c r="M51" i="21" s="1"/>
  <c r="M145" i="21"/>
  <c r="N143" i="21" s="1"/>
  <c r="M144" i="21"/>
  <c r="M148" i="21"/>
  <c r="K53" i="5"/>
  <c r="K54" i="5" s="1"/>
  <c r="K43" i="5"/>
  <c r="K91" i="5"/>
  <c r="W35" i="36"/>
  <c r="W79" i="36" s="1"/>
  <c r="W35" i="12"/>
  <c r="W41" i="36"/>
  <c r="W80" i="36" s="1"/>
  <c r="P68" i="12"/>
  <c r="AU154" i="29"/>
  <c r="AU35" i="29"/>
  <c r="AJ151" i="29"/>
  <c r="AJ152" i="29" s="1"/>
  <c r="AJ34" i="29"/>
  <c r="AU140" i="10"/>
  <c r="AU141" i="10" s="1"/>
  <c r="AU35" i="10" s="1"/>
  <c r="AU34" i="10"/>
  <c r="AG126" i="26"/>
  <c r="S35" i="12"/>
  <c r="S35" i="36"/>
  <c r="Y68" i="12"/>
  <c r="Y77" i="12" s="1"/>
  <c r="Y68" i="36"/>
  <c r="Y77" i="36" s="1"/>
  <c r="R151" i="29"/>
  <c r="R152" i="29" s="1"/>
  <c r="R34" i="29"/>
  <c r="X142" i="29"/>
  <c r="Y40" i="36"/>
  <c r="Y49" i="36" s="1"/>
  <c r="Y40" i="12"/>
  <c r="Y49" i="12" s="1"/>
  <c r="S41" i="36"/>
  <c r="S41" i="12"/>
  <c r="AV68" i="12"/>
  <c r="AN34" i="29"/>
  <c r="AN151" i="29"/>
  <c r="AN152" i="29" s="1"/>
  <c r="AD142" i="29"/>
  <c r="AE40" i="12"/>
  <c r="AE40" i="36"/>
  <c r="AU40" i="12"/>
  <c r="AU40" i="36"/>
  <c r="AT142" i="29"/>
  <c r="V77" i="36"/>
  <c r="O68" i="36"/>
  <c r="O77" i="36" s="1"/>
  <c r="AR34" i="29"/>
  <c r="AR151" i="29"/>
  <c r="AR152" i="29" s="1"/>
  <c r="O68" i="12"/>
  <c r="J144" i="24"/>
  <c r="F35" i="12"/>
  <c r="F35" i="36"/>
  <c r="AN77" i="36"/>
  <c r="F41" i="36"/>
  <c r="F80" i="36" s="1"/>
  <c r="F41" i="12"/>
  <c r="F80" i="12" s="1"/>
  <c r="D144" i="24"/>
  <c r="AV68" i="36"/>
  <c r="AC41" i="12"/>
  <c r="AC80" i="12" s="1"/>
  <c r="M126" i="9"/>
  <c r="M147" i="9" s="1"/>
  <c r="V34" i="24"/>
  <c r="AG144" i="24"/>
  <c r="AG153" i="24" s="1"/>
  <c r="AG154" i="24" s="1"/>
  <c r="W128" i="8"/>
  <c r="W137" i="8" s="1"/>
  <c r="W138" i="8" s="1"/>
  <c r="N68" i="12"/>
  <c r="X61" i="36"/>
  <c r="X34" i="26"/>
  <c r="N53" i="8"/>
  <c r="H61" i="8"/>
  <c r="H60" i="8"/>
  <c r="X67" i="36"/>
  <c r="X67" i="12"/>
  <c r="J44" i="8"/>
  <c r="J58" i="8" s="1"/>
  <c r="I58" i="8"/>
  <c r="I59" i="8" s="1"/>
  <c r="AM68" i="36"/>
  <c r="AM77" i="36" s="1"/>
  <c r="AM68" i="12"/>
  <c r="AM77" i="12" s="1"/>
  <c r="P67" i="36"/>
  <c r="P67" i="12"/>
  <c r="AT67" i="12"/>
  <c r="AT67" i="36"/>
  <c r="O37" i="8"/>
  <c r="O149" i="8"/>
  <c r="P147" i="8" s="1"/>
  <c r="P152" i="8" s="1"/>
  <c r="O148" i="8"/>
  <c r="O50" i="8"/>
  <c r="O51" i="8" s="1"/>
  <c r="S5" i="46" s="1"/>
  <c r="X34" i="8"/>
  <c r="X137" i="8"/>
  <c r="X138" i="8" s="1"/>
  <c r="Q67" i="36"/>
  <c r="Q67" i="12"/>
  <c r="N67" i="36"/>
  <c r="N67" i="12"/>
  <c r="AD67" i="36"/>
  <c r="AD67" i="12"/>
  <c r="Q68" i="36"/>
  <c r="Q68" i="12"/>
  <c r="L53" i="9"/>
  <c r="AL126" i="9"/>
  <c r="AL34" i="9" s="1"/>
  <c r="D137" i="9"/>
  <c r="K144" i="24"/>
  <c r="AC35" i="12"/>
  <c r="AC79" i="12" s="1"/>
  <c r="Q41" i="36"/>
  <c r="Q41" i="12"/>
  <c r="X62" i="12"/>
  <c r="X79" i="12" s="1"/>
  <c r="W126" i="9"/>
  <c r="X62" i="36"/>
  <c r="M50" i="9"/>
  <c r="M51" i="9" s="1"/>
  <c r="M143" i="9"/>
  <c r="M144" i="9"/>
  <c r="N142" i="9" s="1"/>
  <c r="M37" i="9"/>
  <c r="AT69" i="12"/>
  <c r="AT69" i="36"/>
  <c r="L79" i="12"/>
  <c r="P153" i="24"/>
  <c r="P154" i="24" s="1"/>
  <c r="P35" i="24" s="1"/>
  <c r="Z144" i="24"/>
  <c r="Z34" i="24" s="1"/>
  <c r="D36" i="9"/>
  <c r="AN126" i="26"/>
  <c r="AN135" i="26" s="1"/>
  <c r="AB144" i="24"/>
  <c r="AB34" i="24" s="1"/>
  <c r="AP63" i="12"/>
  <c r="AA41" i="36"/>
  <c r="AA80" i="36" s="1"/>
  <c r="AD63" i="12"/>
  <c r="AA41" i="12"/>
  <c r="AA80" i="12" s="1"/>
  <c r="AB126" i="26"/>
  <c r="AB135" i="26" s="1"/>
  <c r="AB136" i="26" s="1"/>
  <c r="AT63" i="12"/>
  <c r="AJ137" i="9"/>
  <c r="AP77" i="36"/>
  <c r="W140" i="10"/>
  <c r="W141" i="10" s="1"/>
  <c r="W35" i="10" s="1"/>
  <c r="W34" i="10"/>
  <c r="W34" i="29"/>
  <c r="W151" i="29"/>
  <c r="W152" i="29" s="1"/>
  <c r="AP62" i="12"/>
  <c r="AO137" i="24"/>
  <c r="AO141" i="24" s="1"/>
  <c r="AO134" i="24"/>
  <c r="AP35" i="36" s="1"/>
  <c r="P62" i="12"/>
  <c r="P62" i="36"/>
  <c r="O126" i="9"/>
  <c r="AO126" i="9"/>
  <c r="AO134" i="9" s="1"/>
  <c r="M137" i="24"/>
  <c r="M141" i="24" s="1"/>
  <c r="M134" i="24"/>
  <c r="AC137" i="8"/>
  <c r="AC138" i="8" s="1"/>
  <c r="AC34" i="8"/>
  <c r="AU134" i="24"/>
  <c r="AU137" i="24"/>
  <c r="AU141" i="24" s="1"/>
  <c r="R137" i="9"/>
  <c r="AS137" i="24"/>
  <c r="AS141" i="24" s="1"/>
  <c r="AS134" i="24"/>
  <c r="AT35" i="36" s="1"/>
  <c r="AT79" i="36" s="1"/>
  <c r="AP137" i="24"/>
  <c r="AP141" i="24" s="1"/>
  <c r="AP134" i="24"/>
  <c r="O34" i="10"/>
  <c r="O140" i="10"/>
  <c r="O141" i="10" s="1"/>
  <c r="O35" i="10" s="1"/>
  <c r="N134" i="24"/>
  <c r="Q5" i="43" s="1"/>
  <c r="N137" i="24"/>
  <c r="N141" i="24" s="1"/>
  <c r="Q5" i="44" s="1"/>
  <c r="O47" i="37" s="1"/>
  <c r="O34" i="29"/>
  <c r="O151" i="29"/>
  <c r="O152" i="29" s="1"/>
  <c r="O152" i="8"/>
  <c r="O34" i="8"/>
  <c r="O137" i="8"/>
  <c r="O138" i="8" s="1"/>
  <c r="AC137" i="24"/>
  <c r="AC141" i="24" s="1"/>
  <c r="AE41" i="36" s="1"/>
  <c r="AC134" i="24"/>
  <c r="AE35" i="12" s="1"/>
  <c r="AC34" i="29"/>
  <c r="AC151" i="29"/>
  <c r="AC152" i="29" s="1"/>
  <c r="AC140" i="10"/>
  <c r="AC141" i="10" s="1"/>
  <c r="AC35" i="10" s="1"/>
  <c r="AC34" i="10"/>
  <c r="AA137" i="9"/>
  <c r="AF137" i="9"/>
  <c r="Q62" i="12"/>
  <c r="Q62" i="36"/>
  <c r="P126" i="9"/>
  <c r="P140" i="10"/>
  <c r="P141" i="10" s="1"/>
  <c r="P35" i="10" s="1"/>
  <c r="P34" i="10"/>
  <c r="Y137" i="9"/>
  <c r="AC137" i="9"/>
  <c r="P137" i="8"/>
  <c r="P138" i="8" s="1"/>
  <c r="P34" i="8"/>
  <c r="AB47" i="29"/>
  <c r="Y47" i="29"/>
  <c r="K47" i="29"/>
  <c r="T47" i="29"/>
  <c r="Z47" i="29"/>
  <c r="AJ47" i="9"/>
  <c r="AI47" i="29"/>
  <c r="AK141" i="10"/>
  <c r="AE35" i="10"/>
  <c r="AE36" i="10" s="1"/>
  <c r="Z137" i="9"/>
  <c r="AS35" i="12"/>
  <c r="AS35" i="36"/>
  <c r="M135" i="26"/>
  <c r="Y144" i="24"/>
  <c r="Z41" i="12"/>
  <c r="Z41" i="36"/>
  <c r="AO141" i="10"/>
  <c r="X35" i="10"/>
  <c r="X36" i="10" s="1"/>
  <c r="V138" i="8"/>
  <c r="M151" i="29"/>
  <c r="M152" i="29" s="1"/>
  <c r="M34" i="29"/>
  <c r="Z136" i="26"/>
  <c r="AO35" i="29"/>
  <c r="AO36" i="29" s="1"/>
  <c r="AO154" i="29"/>
  <c r="AC47" i="9"/>
  <c r="AM138" i="8"/>
  <c r="R47" i="9"/>
  <c r="X49" i="36"/>
  <c r="AG35" i="10"/>
  <c r="AG36" i="10" s="1"/>
  <c r="AM35" i="36"/>
  <c r="AM35" i="12"/>
  <c r="AM141" i="10"/>
  <c r="S135" i="9"/>
  <c r="S35" i="9" s="1"/>
  <c r="S36" i="9" s="1"/>
  <c r="V35" i="24"/>
  <c r="V156" i="24"/>
  <c r="Y47" i="9"/>
  <c r="AR34" i="26"/>
  <c r="AR135" i="26"/>
  <c r="AC136" i="26"/>
  <c r="AM35" i="29"/>
  <c r="AM36" i="29" s="1"/>
  <c r="AM154" i="29"/>
  <c r="AA47" i="29"/>
  <c r="AI135" i="9"/>
  <c r="AI35" i="9" s="1"/>
  <c r="AR35" i="10"/>
  <c r="AR36" i="10" s="1"/>
  <c r="Y136" i="26"/>
  <c r="AA144" i="24"/>
  <c r="AB41" i="36"/>
  <c r="AB80" i="36" s="1"/>
  <c r="AB41" i="12"/>
  <c r="AB80" i="12" s="1"/>
  <c r="V154" i="29"/>
  <c r="V35" i="29"/>
  <c r="V36" i="29" s="1"/>
  <c r="AL35" i="12"/>
  <c r="AL35" i="36"/>
  <c r="N141" i="10"/>
  <c r="R136" i="26"/>
  <c r="AP141" i="10"/>
  <c r="AF47" i="29"/>
  <c r="T144" i="24"/>
  <c r="U41" i="12"/>
  <c r="U80" i="12" s="1"/>
  <c r="U41" i="36"/>
  <c r="U80" i="36" s="1"/>
  <c r="AN144" i="24"/>
  <c r="AO41" i="12"/>
  <c r="AO41" i="36"/>
  <c r="AO80" i="36" s="1"/>
  <c r="AL144" i="24"/>
  <c r="AM41" i="36"/>
  <c r="AM41" i="12"/>
  <c r="X34" i="24"/>
  <c r="X153" i="24"/>
  <c r="X154" i="24" s="1"/>
  <c r="M137" i="8"/>
  <c r="M152" i="8"/>
  <c r="M34" i="8"/>
  <c r="AL154" i="29"/>
  <c r="AL35" i="29"/>
  <c r="AL36" i="29" s="1"/>
  <c r="N138" i="8"/>
  <c r="AB35" i="12"/>
  <c r="AB35" i="36"/>
  <c r="U47" i="29"/>
  <c r="V35" i="36"/>
  <c r="V35" i="12"/>
  <c r="AR137" i="9"/>
  <c r="AK144" i="24"/>
  <c r="AL41" i="36"/>
  <c r="AL80" i="36" s="1"/>
  <c r="AL41" i="12"/>
  <c r="AL80" i="12" s="1"/>
  <c r="AG138" i="8"/>
  <c r="U35" i="36"/>
  <c r="U35" i="12"/>
  <c r="AO35" i="36"/>
  <c r="AO35" i="12"/>
  <c r="K35" i="10"/>
  <c r="K36" i="10" s="1"/>
  <c r="Y79" i="12"/>
  <c r="L35" i="36"/>
  <c r="AN35" i="36"/>
  <c r="AN35" i="12"/>
  <c r="AR47" i="9"/>
  <c r="AP154" i="29"/>
  <c r="AP35" i="29"/>
  <c r="AP36" i="29" s="1"/>
  <c r="AK136" i="26"/>
  <c r="X136" i="26"/>
  <c r="S144" i="24"/>
  <c r="T41" i="36"/>
  <c r="T80" i="36" s="1"/>
  <c r="T41" i="12"/>
  <c r="T80" i="12" s="1"/>
  <c r="R35" i="10"/>
  <c r="R36" i="10" s="1"/>
  <c r="S141" i="10"/>
  <c r="AJ136" i="26"/>
  <c r="AK154" i="29"/>
  <c r="AK35" i="29"/>
  <c r="AK36" i="29" s="1"/>
  <c r="AI35" i="10"/>
  <c r="AI36" i="10" s="1"/>
  <c r="U144" i="24"/>
  <c r="V41" i="12"/>
  <c r="V80" i="12" s="1"/>
  <c r="V41" i="36"/>
  <c r="V80" i="36" s="1"/>
  <c r="S154" i="29"/>
  <c r="S35" i="29"/>
  <c r="S36" i="29" s="1"/>
  <c r="U35" i="10"/>
  <c r="U36" i="10" s="1"/>
  <c r="X135" i="9"/>
  <c r="X35" i="9" s="1"/>
  <c r="X36" i="9" s="1"/>
  <c r="AS34" i="29"/>
  <c r="AS151" i="29"/>
  <c r="AS152" i="29" s="1"/>
  <c r="AL141" i="10"/>
  <c r="AD135" i="9"/>
  <c r="AD35" i="9" s="1"/>
  <c r="AD36" i="9" s="1"/>
  <c r="Z35" i="10"/>
  <c r="Z36" i="10" s="1"/>
  <c r="Y79" i="36"/>
  <c r="AN137" i="9"/>
  <c r="L41" i="36"/>
  <c r="L80" i="36" s="1"/>
  <c r="L41" i="12"/>
  <c r="AM144" i="24"/>
  <c r="AN41" i="36"/>
  <c r="AN80" i="36" s="1"/>
  <c r="AN41" i="12"/>
  <c r="AN35" i="10"/>
  <c r="AN36" i="10" s="1"/>
  <c r="AA36" i="9"/>
  <c r="AI34" i="24"/>
  <c r="AI153" i="24"/>
  <c r="AI154" i="24" s="1"/>
  <c r="AO138" i="8"/>
  <c r="U135" i="9"/>
  <c r="U35" i="9" s="1"/>
  <c r="T35" i="36"/>
  <c r="T35" i="12"/>
  <c r="S138" i="8"/>
  <c r="AE47" i="29"/>
  <c r="R35" i="24"/>
  <c r="R36" i="24" s="1"/>
  <c r="R156" i="24"/>
  <c r="AS34" i="10"/>
  <c r="AS140" i="10"/>
  <c r="S136" i="26"/>
  <c r="AF35" i="10"/>
  <c r="AF36" i="10" s="1"/>
  <c r="V141" i="10"/>
  <c r="M140" i="10"/>
  <c r="M34" i="10"/>
  <c r="AK135" i="9"/>
  <c r="AK35" i="9" s="1"/>
  <c r="J136" i="26"/>
  <c r="Y35" i="10"/>
  <c r="Y36" i="10" s="1"/>
  <c r="AD35" i="10"/>
  <c r="AD36" i="10" s="1"/>
  <c r="AA35" i="10"/>
  <c r="AA36" i="10" s="1"/>
  <c r="K139" i="8"/>
  <c r="K140" i="8" s="1"/>
  <c r="AK138" i="8"/>
  <c r="T35" i="10"/>
  <c r="T36" i="10" s="1"/>
  <c r="K135" i="9"/>
  <c r="K35" i="9" s="1"/>
  <c r="K36" i="9" s="1"/>
  <c r="AD144" i="24"/>
  <c r="AJ35" i="10"/>
  <c r="AJ36" i="10" s="1"/>
  <c r="AP135" i="9"/>
  <c r="AP35" i="9" s="1"/>
  <c r="Z36" i="9"/>
  <c r="AE36" i="9"/>
  <c r="K47" i="21"/>
  <c r="K54" i="21" s="1"/>
  <c r="K40" i="21"/>
  <c r="AR144" i="24"/>
  <c r="AS41" i="12"/>
  <c r="AS41" i="36"/>
  <c r="AE137" i="9"/>
  <c r="V135" i="9"/>
  <c r="V35" i="9" s="1"/>
  <c r="AL138" i="8"/>
  <c r="Z35" i="12"/>
  <c r="Z35" i="36"/>
  <c r="AB35" i="10"/>
  <c r="AB36" i="10" s="1"/>
  <c r="AT35" i="12"/>
  <c r="T135" i="9"/>
  <c r="T35" i="9" s="1"/>
  <c r="T36" i="9" s="1"/>
  <c r="AA79" i="12"/>
  <c r="AN47" i="9"/>
  <c r="AS34" i="8"/>
  <c r="AS137" i="8"/>
  <c r="AU34" i="9"/>
  <c r="AU134" i="9"/>
  <c r="AF36" i="9"/>
  <c r="AS135" i="9"/>
  <c r="AS35" i="9" s="1"/>
  <c r="AO34" i="26"/>
  <c r="AO135" i="26"/>
  <c r="J49" i="36" l="1"/>
  <c r="J82" i="36" s="1"/>
  <c r="S80" i="36"/>
  <c r="AT36" i="10"/>
  <c r="N34" i="29"/>
  <c r="N4" i="48"/>
  <c r="AD47" i="37"/>
  <c r="N50" i="37"/>
  <c r="L7" i="45"/>
  <c r="AB46" i="37" s="1"/>
  <c r="AI46" i="37"/>
  <c r="P7" i="45"/>
  <c r="P7" i="48" s="1"/>
  <c r="O6" i="45"/>
  <c r="O6" i="48" s="1"/>
  <c r="P6" i="45"/>
  <c r="P6" i="48" s="1"/>
  <c r="G5" i="45"/>
  <c r="G5" i="48" s="1"/>
  <c r="W66" i="37" s="1"/>
  <c r="Q5" i="45"/>
  <c r="Q5" i="48" s="1"/>
  <c r="H5" i="45"/>
  <c r="F7" i="45"/>
  <c r="V46" i="37" s="1"/>
  <c r="E7" i="45"/>
  <c r="U46" i="37" s="1"/>
  <c r="K7" i="45"/>
  <c r="AA46" i="37" s="1"/>
  <c r="Q7" i="48"/>
  <c r="AG46" i="37"/>
  <c r="D50" i="37"/>
  <c r="D46" i="37"/>
  <c r="C50" i="37"/>
  <c r="C46" i="37"/>
  <c r="R5" i="45"/>
  <c r="R5" i="48" s="1"/>
  <c r="H7" i="38"/>
  <c r="H7" i="40" s="1"/>
  <c r="I5" i="38"/>
  <c r="I5" i="40" s="1"/>
  <c r="G49" i="37"/>
  <c r="G50" i="37"/>
  <c r="H49" i="37"/>
  <c r="H50" i="37"/>
  <c r="O4" i="48"/>
  <c r="AE47" i="37"/>
  <c r="AW47" i="37"/>
  <c r="BB67" i="37"/>
  <c r="BB68" i="37"/>
  <c r="O7" i="44"/>
  <c r="M46" i="37" s="1"/>
  <c r="S6" i="44"/>
  <c r="O7" i="43"/>
  <c r="S6" i="43"/>
  <c r="N7" i="43"/>
  <c r="R6" i="43"/>
  <c r="N7" i="44"/>
  <c r="L46" i="37" s="1"/>
  <c r="AT132" i="24"/>
  <c r="AT124" i="26"/>
  <c r="J6" i="45"/>
  <c r="J6" i="48" s="1"/>
  <c r="Z66" i="37" s="1"/>
  <c r="I6" i="45"/>
  <c r="I6" i="48" s="1"/>
  <c r="AA50" i="37"/>
  <c r="I7" i="48"/>
  <c r="V50" i="37"/>
  <c r="U50" i="37"/>
  <c r="E7" i="48"/>
  <c r="AB50" i="37"/>
  <c r="L7" i="48"/>
  <c r="J7" i="48"/>
  <c r="M50" i="37"/>
  <c r="AP49" i="37"/>
  <c r="AP50" i="37"/>
  <c r="R48" i="37"/>
  <c r="R50" i="37"/>
  <c r="N45" i="37"/>
  <c r="N48" i="37"/>
  <c r="P45" i="37"/>
  <c r="R3" i="45"/>
  <c r="R3" i="48" s="1"/>
  <c r="T6" i="45"/>
  <c r="Q8" i="45"/>
  <c r="Q8" i="48" s="1"/>
  <c r="AW40" i="32"/>
  <c r="AW47" i="32" s="1"/>
  <c r="AW33" i="32"/>
  <c r="AI104" i="36"/>
  <c r="AI104" i="12"/>
  <c r="AG33" i="33"/>
  <c r="AG32" i="33"/>
  <c r="AG35" i="33"/>
  <c r="AG36" i="33"/>
  <c r="AG27" i="33"/>
  <c r="AG34" i="33"/>
  <c r="AQ133" i="21"/>
  <c r="AQ134" i="21" s="1"/>
  <c r="AQ34" i="21"/>
  <c r="U49" i="37"/>
  <c r="AU32" i="33"/>
  <c r="AU34" i="33"/>
  <c r="AW104" i="12"/>
  <c r="AU35" i="33"/>
  <c r="AU33" i="33"/>
  <c r="AW104" i="36"/>
  <c r="AU27" i="33"/>
  <c r="AU36" i="33"/>
  <c r="G93" i="24"/>
  <c r="G94" i="24"/>
  <c r="AH123" i="8"/>
  <c r="AH125" i="8" s="1"/>
  <c r="AH118" i="8"/>
  <c r="AH120" i="8" s="1"/>
  <c r="AH34" i="21"/>
  <c r="AH133" i="21"/>
  <c r="AH134" i="21" s="1"/>
  <c r="I91" i="29"/>
  <c r="I43" i="29"/>
  <c r="J8" i="38" s="1"/>
  <c r="J8" i="40" s="1"/>
  <c r="Q123" i="8"/>
  <c r="Q125" i="8" s="1"/>
  <c r="Q118" i="8"/>
  <c r="Q120" i="8" s="1"/>
  <c r="S4" i="43" s="1"/>
  <c r="S4" i="45" s="1"/>
  <c r="AQ123" i="8"/>
  <c r="AQ125" i="8" s="1"/>
  <c r="AQ118" i="8"/>
  <c r="AQ120" i="8" s="1"/>
  <c r="R104" i="36"/>
  <c r="R104" i="12"/>
  <c r="P33" i="33"/>
  <c r="P36" i="33"/>
  <c r="P32" i="33"/>
  <c r="P35" i="33"/>
  <c r="P27" i="33"/>
  <c r="P34" i="33"/>
  <c r="AH114" i="9"/>
  <c r="AH116" i="9"/>
  <c r="AH118" i="9" s="1"/>
  <c r="M105" i="12"/>
  <c r="K40" i="33"/>
  <c r="K39" i="33"/>
  <c r="L121" i="10" s="1"/>
  <c r="L123" i="10" s="1"/>
  <c r="K43" i="33"/>
  <c r="L122" i="8" s="1"/>
  <c r="K42" i="33"/>
  <c r="K41" i="33"/>
  <c r="L136" i="24" s="1"/>
  <c r="M105" i="36"/>
  <c r="Q3" i="45"/>
  <c r="AW114" i="26"/>
  <c r="AW116" i="26"/>
  <c r="AW118" i="26" s="1"/>
  <c r="AT126" i="9"/>
  <c r="AU68" i="36"/>
  <c r="AU68" i="12"/>
  <c r="I7" i="46"/>
  <c r="AQ46" i="37" s="1"/>
  <c r="H53" i="24"/>
  <c r="H54" i="24" s="1"/>
  <c r="M53" i="21"/>
  <c r="P4" i="46"/>
  <c r="AV116" i="9"/>
  <c r="AV118" i="9" s="1"/>
  <c r="AV114" i="9"/>
  <c r="T4" i="43"/>
  <c r="T4" i="45" s="1"/>
  <c r="R60" i="36"/>
  <c r="R60" i="12"/>
  <c r="Q125" i="21"/>
  <c r="N3" i="49"/>
  <c r="N3" i="47" s="1"/>
  <c r="L68" i="37" s="1"/>
  <c r="L69" i="37" s="1"/>
  <c r="AD68" i="37" s="1"/>
  <c r="L114" i="9"/>
  <c r="L116" i="9"/>
  <c r="L118" i="9" s="1"/>
  <c r="N9" i="43" s="1"/>
  <c r="N9" i="45" s="1"/>
  <c r="N9" i="48" s="1"/>
  <c r="AI101" i="36"/>
  <c r="AI101" i="12"/>
  <c r="AH115" i="26"/>
  <c r="AW116" i="9"/>
  <c r="AW118" i="9" s="1"/>
  <c r="AW114" i="9"/>
  <c r="L127" i="24"/>
  <c r="L120" i="26"/>
  <c r="L121" i="26"/>
  <c r="L128" i="24"/>
  <c r="E58" i="5"/>
  <c r="E59" i="5" s="1"/>
  <c r="F44" i="5"/>
  <c r="AJ48" i="37"/>
  <c r="P5" i="44"/>
  <c r="N47" i="37" s="1"/>
  <c r="L128" i="8"/>
  <c r="M67" i="12"/>
  <c r="M67" i="36"/>
  <c r="AG151" i="29"/>
  <c r="AG152" i="29" s="1"/>
  <c r="AG34" i="29"/>
  <c r="AH45" i="37"/>
  <c r="M3" i="48"/>
  <c r="AC45" i="37"/>
  <c r="H93" i="29"/>
  <c r="H94" i="29"/>
  <c r="AW61" i="12"/>
  <c r="AW61" i="36"/>
  <c r="J37" i="29"/>
  <c r="J40" i="29" s="1"/>
  <c r="J161" i="29"/>
  <c r="K159" i="29" s="1"/>
  <c r="J50" i="29"/>
  <c r="J51" i="29" s="1"/>
  <c r="J160" i="29"/>
  <c r="J164" i="29"/>
  <c r="I37" i="24"/>
  <c r="I163" i="24"/>
  <c r="J161" i="24" s="1"/>
  <c r="I162" i="24"/>
  <c r="I50" i="24"/>
  <c r="I51" i="24" s="1"/>
  <c r="M63" i="36"/>
  <c r="M63" i="12"/>
  <c r="D59" i="5"/>
  <c r="AV27" i="33"/>
  <c r="AX104" i="12"/>
  <c r="AX104" i="36"/>
  <c r="AA49" i="37"/>
  <c r="AQ40" i="32"/>
  <c r="AQ47" i="32" s="1"/>
  <c r="AQ33" i="32"/>
  <c r="I152" i="10"/>
  <c r="J150" i="10" s="1"/>
  <c r="I155" i="10"/>
  <c r="I151" i="10"/>
  <c r="I50" i="10"/>
  <c r="I51" i="10" s="1"/>
  <c r="I53" i="10" s="1"/>
  <c r="I54" i="10" s="1"/>
  <c r="E71" i="10" s="1"/>
  <c r="I37" i="10"/>
  <c r="I40" i="10" s="1"/>
  <c r="AX61" i="12"/>
  <c r="AX61" i="36"/>
  <c r="P5" i="43"/>
  <c r="M61" i="36"/>
  <c r="M61" i="12"/>
  <c r="L34" i="21"/>
  <c r="L133" i="21"/>
  <c r="L148" i="21"/>
  <c r="AW67" i="36"/>
  <c r="AW67" i="12"/>
  <c r="AV128" i="8"/>
  <c r="H43" i="24"/>
  <c r="H91" i="24"/>
  <c r="G93" i="10"/>
  <c r="G94" i="10"/>
  <c r="Y49" i="37"/>
  <c r="AR101" i="36"/>
  <c r="AR101" i="12"/>
  <c r="AQ115" i="26"/>
  <c r="AV69" i="12"/>
  <c r="AV77" i="12" s="1"/>
  <c r="AT126" i="26"/>
  <c r="AW128" i="8"/>
  <c r="AX67" i="36"/>
  <c r="AX67" i="12"/>
  <c r="AV36" i="32"/>
  <c r="AV84" i="32"/>
  <c r="AU87" i="32"/>
  <c r="AU86" i="32"/>
  <c r="L134" i="29"/>
  <c r="L139" i="29" s="1"/>
  <c r="Q115" i="9"/>
  <c r="R100" i="36"/>
  <c r="R100" i="12"/>
  <c r="V49" i="37"/>
  <c r="O3" i="48"/>
  <c r="AE45" i="37"/>
  <c r="AB49" i="37"/>
  <c r="AR100" i="36"/>
  <c r="AR100" i="12"/>
  <c r="AQ115" i="9"/>
  <c r="AP26" i="33"/>
  <c r="H91" i="10"/>
  <c r="H43" i="10"/>
  <c r="P8" i="45"/>
  <c r="P8" i="48" s="1"/>
  <c r="AV116" i="26"/>
  <c r="AV118" i="26" s="1"/>
  <c r="AV114" i="26"/>
  <c r="J8" i="46"/>
  <c r="I53" i="29"/>
  <c r="I54" i="29" s="1"/>
  <c r="E71" i="29" s="1"/>
  <c r="Q115" i="26"/>
  <c r="R101" i="36"/>
  <c r="R101" i="12"/>
  <c r="P3" i="45"/>
  <c r="O135" i="26"/>
  <c r="O136" i="26" s="1"/>
  <c r="X80" i="12"/>
  <c r="Q49" i="36"/>
  <c r="AF80" i="12"/>
  <c r="AF41" i="36"/>
  <c r="AF80" i="36" s="1"/>
  <c r="AO80" i="12"/>
  <c r="AS80" i="12"/>
  <c r="AP36" i="9"/>
  <c r="AF35" i="36"/>
  <c r="J83" i="36"/>
  <c r="P34" i="29"/>
  <c r="D40" i="29"/>
  <c r="D43" i="29" s="1"/>
  <c r="E6" i="38" s="1"/>
  <c r="E6" i="40" s="1"/>
  <c r="W153" i="24"/>
  <c r="W154" i="24" s="1"/>
  <c r="W35" i="24" s="1"/>
  <c r="W36" i="24" s="1"/>
  <c r="X80" i="36"/>
  <c r="J136" i="36"/>
  <c r="J137" i="36" s="1"/>
  <c r="J138" i="36" s="1"/>
  <c r="J150" i="36" s="1"/>
  <c r="AP35" i="12"/>
  <c r="AQ41" i="12"/>
  <c r="AQ80" i="12" s="1"/>
  <c r="AF135" i="26"/>
  <c r="AF136" i="26" s="1"/>
  <c r="AF34" i="26"/>
  <c r="N147" i="9"/>
  <c r="V36" i="24"/>
  <c r="V47" i="24" s="1"/>
  <c r="Q79" i="12"/>
  <c r="AQ41" i="36"/>
  <c r="AQ80" i="36" s="1"/>
  <c r="O153" i="24"/>
  <c r="O154" i="24" s="1"/>
  <c r="N134" i="9"/>
  <c r="N77" i="12"/>
  <c r="AK83" i="36"/>
  <c r="AC136" i="36"/>
  <c r="Z80" i="12"/>
  <c r="AH35" i="12"/>
  <c r="AH79" i="12" s="1"/>
  <c r="AJ156" i="24"/>
  <c r="Z80" i="36"/>
  <c r="AQ77" i="36"/>
  <c r="AV77" i="36"/>
  <c r="N35" i="29"/>
  <c r="N36" i="29" s="1"/>
  <c r="N47" i="29" s="1"/>
  <c r="N77" i="36"/>
  <c r="I35" i="24"/>
  <c r="I36" i="24" s="1"/>
  <c r="I47" i="24" s="1"/>
  <c r="AN80" i="12"/>
  <c r="AU36" i="29"/>
  <c r="AU47" i="29" s="1"/>
  <c r="X79" i="36"/>
  <c r="AH41" i="12"/>
  <c r="AH49" i="12" s="1"/>
  <c r="AH82" i="12" s="1"/>
  <c r="AH41" i="36"/>
  <c r="AF144" i="24"/>
  <c r="AS80" i="36"/>
  <c r="Y80" i="36"/>
  <c r="Y136" i="36" s="1"/>
  <c r="Y137" i="36" s="1"/>
  <c r="Y138" i="36" s="1"/>
  <c r="O77" i="12"/>
  <c r="AK136" i="36"/>
  <c r="AK137" i="36" s="1"/>
  <c r="AK138" i="36" s="1"/>
  <c r="AK150" i="36" s="1"/>
  <c r="AE80" i="36"/>
  <c r="AC49" i="36"/>
  <c r="AC82" i="36" s="1"/>
  <c r="AC83" i="36" s="1"/>
  <c r="Z153" i="24"/>
  <c r="Z154" i="24" s="1"/>
  <c r="Z35" i="24" s="1"/>
  <c r="Z36" i="24" s="1"/>
  <c r="AD77" i="36"/>
  <c r="AE144" i="24"/>
  <c r="AG35" i="12"/>
  <c r="AG35" i="36"/>
  <c r="AG41" i="12"/>
  <c r="AG80" i="12" s="1"/>
  <c r="AG41" i="36"/>
  <c r="AG80" i="36" s="1"/>
  <c r="AT79" i="12"/>
  <c r="AE41" i="12"/>
  <c r="AE80" i="12" s="1"/>
  <c r="D40" i="10"/>
  <c r="D47" i="10"/>
  <c r="D54" i="10" s="1"/>
  <c r="E43" i="29"/>
  <c r="E91" i="29"/>
  <c r="D143" i="10"/>
  <c r="E142" i="10" s="1"/>
  <c r="E145" i="10" s="1"/>
  <c r="N35" i="12"/>
  <c r="N79" i="12" s="1"/>
  <c r="D145" i="10"/>
  <c r="P156" i="24"/>
  <c r="AG34" i="24"/>
  <c r="AJ35" i="36"/>
  <c r="AJ35" i="12"/>
  <c r="AE35" i="36"/>
  <c r="AE49" i="36" s="1"/>
  <c r="AE82" i="36" s="1"/>
  <c r="W34" i="8"/>
  <c r="W49" i="36"/>
  <c r="W82" i="36" s="1"/>
  <c r="W83" i="36" s="1"/>
  <c r="AJ41" i="12"/>
  <c r="AJ80" i="12" s="1"/>
  <c r="AJ41" i="36"/>
  <c r="AJ80" i="36" s="1"/>
  <c r="G49" i="12"/>
  <c r="G82" i="12" s="1"/>
  <c r="G79" i="12"/>
  <c r="W136" i="36"/>
  <c r="W137" i="36" s="1"/>
  <c r="W138" i="36" s="1"/>
  <c r="W150" i="36" s="1"/>
  <c r="G49" i="36"/>
  <c r="G82" i="36" s="1"/>
  <c r="G79" i="36"/>
  <c r="G136" i="36" s="1"/>
  <c r="G137" i="36" s="1"/>
  <c r="G138" i="36" s="1"/>
  <c r="Y80" i="12"/>
  <c r="P77" i="12"/>
  <c r="M34" i="9"/>
  <c r="M134" i="9"/>
  <c r="M135" i="9" s="1"/>
  <c r="M35" i="9" s="1"/>
  <c r="AK136" i="12"/>
  <c r="AM80" i="12"/>
  <c r="E166" i="24"/>
  <c r="E34" i="24"/>
  <c r="G136" i="12" s="1"/>
  <c r="P77" i="36"/>
  <c r="AT77" i="36"/>
  <c r="Y82" i="36"/>
  <c r="K79" i="12"/>
  <c r="K49" i="12"/>
  <c r="K82" i="12" s="1"/>
  <c r="AB34" i="26"/>
  <c r="F79" i="12"/>
  <c r="F49" i="12"/>
  <c r="F82" i="12" s="1"/>
  <c r="K94" i="5"/>
  <c r="K93" i="5"/>
  <c r="M137" i="5"/>
  <c r="N135" i="5" s="1"/>
  <c r="M50" i="5"/>
  <c r="M51" i="5" s="1"/>
  <c r="M53" i="5" s="1"/>
  <c r="M54" i="5" s="1"/>
  <c r="M136" i="5"/>
  <c r="M37" i="5"/>
  <c r="M40" i="5" s="1"/>
  <c r="M140" i="5"/>
  <c r="E35" i="24"/>
  <c r="E156" i="24"/>
  <c r="N35" i="36"/>
  <c r="N79" i="36" s="1"/>
  <c r="W49" i="12"/>
  <c r="W82" i="12" s="1"/>
  <c r="W79" i="12"/>
  <c r="N37" i="21"/>
  <c r="N145" i="21"/>
  <c r="O143" i="21" s="1"/>
  <c r="N144" i="21"/>
  <c r="N50" i="21"/>
  <c r="N51" i="21" s="1"/>
  <c r="N148" i="21"/>
  <c r="L43" i="5"/>
  <c r="L91" i="5"/>
  <c r="E49" i="12"/>
  <c r="E82" i="12" s="1"/>
  <c r="E79" i="12"/>
  <c r="Y82" i="12"/>
  <c r="AU36" i="10"/>
  <c r="AU47" i="10" s="1"/>
  <c r="E49" i="36"/>
  <c r="E82" i="36" s="1"/>
  <c r="E79" i="36"/>
  <c r="E136" i="36" s="1"/>
  <c r="E137" i="36" s="1"/>
  <c r="E138" i="36" s="1"/>
  <c r="W36" i="10"/>
  <c r="W47" i="10" s="1"/>
  <c r="X77" i="12"/>
  <c r="X82" i="12" s="1"/>
  <c r="AF79" i="12"/>
  <c r="AF49" i="12"/>
  <c r="AF82" i="12" s="1"/>
  <c r="K79" i="36"/>
  <c r="K136" i="36" s="1"/>
  <c r="K137" i="36" s="1"/>
  <c r="K138" i="36" s="1"/>
  <c r="K150" i="36" s="1"/>
  <c r="K49" i="36"/>
  <c r="K82" i="36" s="1"/>
  <c r="AC36" i="10"/>
  <c r="AC47" i="10" s="1"/>
  <c r="D137" i="26"/>
  <c r="D35" i="26" s="1"/>
  <c r="X151" i="29"/>
  <c r="X152" i="29" s="1"/>
  <c r="X34" i="29"/>
  <c r="F79" i="36"/>
  <c r="F136" i="36" s="1"/>
  <c r="F137" i="36" s="1"/>
  <c r="F138" i="36" s="1"/>
  <c r="F49" i="36"/>
  <c r="F82" i="36" s="1"/>
  <c r="J153" i="24"/>
  <c r="J154" i="24" s="1"/>
  <c r="J34" i="24"/>
  <c r="K136" i="12" s="1"/>
  <c r="J166" i="24"/>
  <c r="S79" i="36"/>
  <c r="S136" i="36" s="1"/>
  <c r="S137" i="36" s="1"/>
  <c r="S138" i="36" s="1"/>
  <c r="S150" i="36" s="1"/>
  <c r="S49" i="36"/>
  <c r="S82" i="36" s="1"/>
  <c r="AQ35" i="12"/>
  <c r="AQ79" i="12" s="1"/>
  <c r="R154" i="29"/>
  <c r="R35" i="29"/>
  <c r="R36" i="29" s="1"/>
  <c r="R47" i="29" s="1"/>
  <c r="P41" i="12"/>
  <c r="P80" i="12" s="1"/>
  <c r="P41" i="36"/>
  <c r="P80" i="36" s="1"/>
  <c r="AB153" i="24"/>
  <c r="AB154" i="24" s="1"/>
  <c r="AB156" i="24" s="1"/>
  <c r="P35" i="12"/>
  <c r="P35" i="36"/>
  <c r="P79" i="36" s="1"/>
  <c r="D153" i="24"/>
  <c r="D154" i="24" s="1"/>
  <c r="D166" i="24"/>
  <c r="D34" i="24"/>
  <c r="P36" i="24"/>
  <c r="P47" i="24" s="1"/>
  <c r="AD151" i="29"/>
  <c r="AD152" i="29" s="1"/>
  <c r="AD34" i="29"/>
  <c r="AR154" i="29"/>
  <c r="AR35" i="29"/>
  <c r="AR36" i="29" s="1"/>
  <c r="AR47" i="29" s="1"/>
  <c r="AT151" i="29"/>
  <c r="AT152" i="29" s="1"/>
  <c r="AT34" i="29"/>
  <c r="AN35" i="29"/>
  <c r="AN36" i="29" s="1"/>
  <c r="AN47" i="29" s="1"/>
  <c r="AN154" i="29"/>
  <c r="AJ154" i="29"/>
  <c r="AJ35" i="29"/>
  <c r="AJ36" i="29" s="1"/>
  <c r="AJ47" i="29" s="1"/>
  <c r="AT41" i="36"/>
  <c r="AT80" i="36" s="1"/>
  <c r="AT136" i="36" s="1"/>
  <c r="AT137" i="36" s="1"/>
  <c r="AT138" i="36" s="1"/>
  <c r="AD77" i="12"/>
  <c r="AG34" i="26"/>
  <c r="AG135" i="26"/>
  <c r="AG136" i="26" s="1"/>
  <c r="AM80" i="36"/>
  <c r="AC49" i="12"/>
  <c r="AC82" i="12" s="1"/>
  <c r="AN34" i="26"/>
  <c r="Q80" i="12"/>
  <c r="X77" i="36"/>
  <c r="X82" i="36" s="1"/>
  <c r="Q77" i="36"/>
  <c r="Q80" i="36"/>
  <c r="J59" i="8"/>
  <c r="J61" i="8" s="1"/>
  <c r="AL134" i="9"/>
  <c r="AL135" i="9" s="1"/>
  <c r="AL35" i="9" s="1"/>
  <c r="AL36" i="9" s="1"/>
  <c r="AO34" i="9"/>
  <c r="Q49" i="12"/>
  <c r="AT77" i="12"/>
  <c r="M144" i="24"/>
  <c r="M34" i="24" s="1"/>
  <c r="O53" i="8"/>
  <c r="AA49" i="36"/>
  <c r="AA82" i="36" s="1"/>
  <c r="AA83" i="36" s="1"/>
  <c r="P149" i="8"/>
  <c r="Q147" i="8" s="1"/>
  <c r="P37" i="8"/>
  <c r="P148" i="8"/>
  <c r="P50" i="8"/>
  <c r="P51" i="8" s="1"/>
  <c r="T5" i="46" s="1"/>
  <c r="I60" i="8"/>
  <c r="I61" i="8"/>
  <c r="AA136" i="36"/>
  <c r="AA137" i="36" s="1"/>
  <c r="AA138" i="36" s="1"/>
  <c r="M53" i="9"/>
  <c r="N41" i="12"/>
  <c r="N80" i="12" s="1"/>
  <c r="AS144" i="24"/>
  <c r="AS34" i="24" s="1"/>
  <c r="W34" i="9"/>
  <c r="W134" i="9"/>
  <c r="K34" i="24"/>
  <c r="K153" i="24"/>
  <c r="K154" i="24" s="1"/>
  <c r="N143" i="9"/>
  <c r="N144" i="9"/>
  <c r="O142" i="9" s="1"/>
  <c r="O147" i="9" s="1"/>
  <c r="N50" i="9"/>
  <c r="N51" i="9" s="1"/>
  <c r="N37" i="9"/>
  <c r="O36" i="10"/>
  <c r="N41" i="36"/>
  <c r="N80" i="36" s="1"/>
  <c r="AT41" i="12"/>
  <c r="AT80" i="12" s="1"/>
  <c r="AI137" i="9"/>
  <c r="AP77" i="12"/>
  <c r="D40" i="9"/>
  <c r="D47" i="9"/>
  <c r="D54" i="9" s="1"/>
  <c r="AP144" i="24"/>
  <c r="AP34" i="24" s="1"/>
  <c r="AQ35" i="36"/>
  <c r="AQ79" i="36" s="1"/>
  <c r="AO144" i="24"/>
  <c r="AO153" i="24" s="1"/>
  <c r="AO154" i="24" s="1"/>
  <c r="AA49" i="12"/>
  <c r="AA82" i="12" s="1"/>
  <c r="Q77" i="12"/>
  <c r="W154" i="29"/>
  <c r="W35" i="29"/>
  <c r="W36" i="29" s="1"/>
  <c r="W47" i="29" s="1"/>
  <c r="Q79" i="36"/>
  <c r="AC35" i="29"/>
  <c r="AC36" i="29" s="1"/>
  <c r="AC154" i="29"/>
  <c r="AP41" i="36"/>
  <c r="AP80" i="36" s="1"/>
  <c r="AP41" i="12"/>
  <c r="AP80" i="12" s="1"/>
  <c r="AD35" i="12"/>
  <c r="AD35" i="36"/>
  <c r="AG137" i="9"/>
  <c r="AC144" i="24"/>
  <c r="AD41" i="36"/>
  <c r="AD80" i="36" s="1"/>
  <c r="AD41" i="12"/>
  <c r="AD80" i="12" s="1"/>
  <c r="O134" i="9"/>
  <c r="O34" i="9"/>
  <c r="AS137" i="9"/>
  <c r="T137" i="9"/>
  <c r="AP137" i="9"/>
  <c r="K137" i="9"/>
  <c r="O35" i="29"/>
  <c r="O36" i="29" s="1"/>
  <c r="O154" i="29"/>
  <c r="AB137" i="9"/>
  <c r="P36" i="10"/>
  <c r="P47" i="10" s="1"/>
  <c r="P35" i="29"/>
  <c r="P154" i="29"/>
  <c r="P134" i="9"/>
  <c r="P34" i="9"/>
  <c r="V137" i="9"/>
  <c r="AL47" i="29"/>
  <c r="V47" i="29"/>
  <c r="S47" i="29"/>
  <c r="AK47" i="29"/>
  <c r="X47" i="9"/>
  <c r="T47" i="9"/>
  <c r="AP47" i="9"/>
  <c r="AD47" i="9"/>
  <c r="AG47" i="9"/>
  <c r="R47" i="24"/>
  <c r="AN47" i="10"/>
  <c r="AX79" i="12"/>
  <c r="AX49" i="12"/>
  <c r="AO49" i="36"/>
  <c r="AO82" i="36" s="1"/>
  <c r="AO79" i="36"/>
  <c r="AO136" i="36" s="1"/>
  <c r="AP79" i="12"/>
  <c r="AR136" i="26"/>
  <c r="AM35" i="10"/>
  <c r="AM36" i="10" s="1"/>
  <c r="X47" i="10"/>
  <c r="AO136" i="26"/>
  <c r="Z79" i="12"/>
  <c r="Z49" i="12"/>
  <c r="Z82" i="12" s="1"/>
  <c r="K43" i="21"/>
  <c r="K91" i="21"/>
  <c r="AP47" i="29"/>
  <c r="T47" i="10"/>
  <c r="AA47" i="10"/>
  <c r="AK137" i="9"/>
  <c r="M141" i="10"/>
  <c r="AC137" i="36"/>
  <c r="AC138" i="36" s="1"/>
  <c r="O35" i="12"/>
  <c r="O35" i="36"/>
  <c r="K47" i="9"/>
  <c r="K54" i="9" s="1"/>
  <c r="K40" i="9"/>
  <c r="Z47" i="10"/>
  <c r="AD137" i="9"/>
  <c r="X137" i="9"/>
  <c r="S34" i="24"/>
  <c r="S153" i="24"/>
  <c r="S154" i="24" s="1"/>
  <c r="AN136" i="26"/>
  <c r="AN34" i="24"/>
  <c r="AN153" i="24"/>
  <c r="AN154" i="24" s="1"/>
  <c r="AL79" i="36"/>
  <c r="AL136" i="36" s="1"/>
  <c r="AL49" i="36"/>
  <c r="AL82" i="36" s="1"/>
  <c r="AU144" i="24"/>
  <c r="AV41" i="12"/>
  <c r="AV41" i="36"/>
  <c r="AV80" i="36" s="1"/>
  <c r="AE79" i="12"/>
  <c r="AS36" i="9"/>
  <c r="U34" i="24"/>
  <c r="W136" i="12" s="1"/>
  <c r="U153" i="24"/>
  <c r="U154" i="24" s="1"/>
  <c r="L49" i="36"/>
  <c r="L82" i="36" s="1"/>
  <c r="L79" i="36"/>
  <c r="L136" i="36" s="1"/>
  <c r="AB79" i="36"/>
  <c r="AB136" i="36" s="1"/>
  <c r="AB49" i="36"/>
  <c r="AB82" i="36" s="1"/>
  <c r="AM47" i="9"/>
  <c r="N135" i="9"/>
  <c r="N35" i="9" s="1"/>
  <c r="N36" i="9" s="1"/>
  <c r="AP35" i="10"/>
  <c r="AP36" i="10" s="1"/>
  <c r="AL79" i="12"/>
  <c r="AL49" i="12"/>
  <c r="AL82" i="12" s="1"/>
  <c r="AV35" i="12"/>
  <c r="AV35" i="36"/>
  <c r="AO35" i="10"/>
  <c r="AO36" i="10" s="1"/>
  <c r="AS79" i="36"/>
  <c r="AS49" i="36"/>
  <c r="AS82" i="36" s="1"/>
  <c r="O35" i="24"/>
  <c r="O36" i="24" s="1"/>
  <c r="O156" i="24"/>
  <c r="AD47" i="10"/>
  <c r="AA47" i="9"/>
  <c r="AM34" i="24"/>
  <c r="AM153" i="24"/>
  <c r="AM154" i="24" s="1"/>
  <c r="U47" i="10"/>
  <c r="S35" i="10"/>
  <c r="S36" i="10" s="1"/>
  <c r="U79" i="12"/>
  <c r="U49" i="12"/>
  <c r="U82" i="12" s="1"/>
  <c r="AB49" i="12"/>
  <c r="AB82" i="12" s="1"/>
  <c r="AB79" i="12"/>
  <c r="X156" i="24"/>
  <c r="X35" i="24"/>
  <c r="X36" i="24" s="1"/>
  <c r="AO47" i="29"/>
  <c r="Y34" i="24"/>
  <c r="AA136" i="12" s="1"/>
  <c r="Y153" i="24"/>
  <c r="Y154" i="24" s="1"/>
  <c r="AS79" i="12"/>
  <c r="AS49" i="12"/>
  <c r="AS82" i="12" s="1"/>
  <c r="AK35" i="10"/>
  <c r="AK36" i="10" s="1"/>
  <c r="AJ47" i="10"/>
  <c r="K35" i="8"/>
  <c r="K36" i="8" s="1"/>
  <c r="U137" i="9"/>
  <c r="AL35" i="10"/>
  <c r="AL36" i="10" s="1"/>
  <c r="AS35" i="29"/>
  <c r="AS36" i="29" s="1"/>
  <c r="AS154" i="29"/>
  <c r="AM47" i="29"/>
  <c r="U49" i="36"/>
  <c r="U82" i="36" s="1"/>
  <c r="U79" i="36"/>
  <c r="U136" i="36" s="1"/>
  <c r="AG35" i="24"/>
  <c r="AG36" i="24" s="1"/>
  <c r="AG156" i="24"/>
  <c r="AL34" i="24"/>
  <c r="AL153" i="24"/>
  <c r="AL154" i="24" s="1"/>
  <c r="AJ47" i="24"/>
  <c r="AB47" i="9"/>
  <c r="N35" i="10"/>
  <c r="N36" i="10" s="1"/>
  <c r="AM137" i="9"/>
  <c r="K142" i="8"/>
  <c r="Z79" i="36"/>
  <c r="Z49" i="36"/>
  <c r="Z82" i="36" s="1"/>
  <c r="AS138" i="8"/>
  <c r="AB47" i="10"/>
  <c r="N144" i="24"/>
  <c r="O41" i="36"/>
  <c r="O80" i="36" s="1"/>
  <c r="O41" i="12"/>
  <c r="O80" i="12" s="1"/>
  <c r="AE47" i="9"/>
  <c r="S47" i="9"/>
  <c r="Y47" i="10"/>
  <c r="V35" i="10"/>
  <c r="V36" i="10" s="1"/>
  <c r="AS141" i="10"/>
  <c r="T49" i="12"/>
  <c r="T82" i="12" s="1"/>
  <c r="T79" i="12"/>
  <c r="AI156" i="24"/>
  <c r="AI35" i="24"/>
  <c r="AI36" i="24" s="1"/>
  <c r="AI47" i="10"/>
  <c r="R47" i="10"/>
  <c r="K47" i="10"/>
  <c r="S137" i="9"/>
  <c r="AM49" i="12"/>
  <c r="AM82" i="12" s="1"/>
  <c r="AM79" i="12"/>
  <c r="AT47" i="10"/>
  <c r="M154" i="29"/>
  <c r="M35" i="29"/>
  <c r="M36" i="29" s="1"/>
  <c r="V36" i="9"/>
  <c r="AF47" i="10"/>
  <c r="T79" i="36"/>
  <c r="T136" i="36" s="1"/>
  <c r="T49" i="36"/>
  <c r="T82" i="36" s="1"/>
  <c r="L80" i="12"/>
  <c r="L49" i="12"/>
  <c r="L82" i="12" s="1"/>
  <c r="AN49" i="12"/>
  <c r="AN82" i="12" s="1"/>
  <c r="AN79" i="12"/>
  <c r="V79" i="12"/>
  <c r="V49" i="12"/>
  <c r="V82" i="12" s="1"/>
  <c r="AA153" i="24"/>
  <c r="AA154" i="24" s="1"/>
  <c r="AA34" i="24"/>
  <c r="AC136" i="12" s="1"/>
  <c r="AM49" i="36"/>
  <c r="AM82" i="36" s="1"/>
  <c r="AM79" i="36"/>
  <c r="AG47" i="10"/>
  <c r="AE47" i="10"/>
  <c r="AF47" i="9"/>
  <c r="Z47" i="9"/>
  <c r="AR34" i="24"/>
  <c r="AR153" i="24"/>
  <c r="AR154" i="24" s="1"/>
  <c r="AU135" i="9"/>
  <c r="AU35" i="9" s="1"/>
  <c r="AD34" i="24"/>
  <c r="AD153" i="24"/>
  <c r="AD154" i="24" s="1"/>
  <c r="AK36" i="9"/>
  <c r="U36" i="9"/>
  <c r="AO135" i="9"/>
  <c r="AO35" i="9" s="1"/>
  <c r="AN49" i="36"/>
  <c r="AN82" i="36" s="1"/>
  <c r="AN79" i="36"/>
  <c r="AN136" i="36" s="1"/>
  <c r="AO49" i="12"/>
  <c r="AO82" i="12" s="1"/>
  <c r="AO79" i="12"/>
  <c r="AP79" i="36"/>
  <c r="AK34" i="24"/>
  <c r="AK153" i="24"/>
  <c r="AK154" i="24" s="1"/>
  <c r="V79" i="36"/>
  <c r="V136" i="36" s="1"/>
  <c r="V49" i="36"/>
  <c r="V82" i="36" s="1"/>
  <c r="M138" i="8"/>
  <c r="T34" i="24"/>
  <c r="T153" i="24"/>
  <c r="T154" i="24" s="1"/>
  <c r="AI36" i="9"/>
  <c r="AR47" i="10"/>
  <c r="M136" i="26"/>
  <c r="Z50" i="37" l="1"/>
  <c r="S4" i="48"/>
  <c r="AI47" i="37"/>
  <c r="AF46" i="37"/>
  <c r="Q82" i="36"/>
  <c r="Q83" i="36" s="1"/>
  <c r="F7" i="48"/>
  <c r="O7" i="45"/>
  <c r="AE46" i="37" s="1"/>
  <c r="H5" i="48"/>
  <c r="X66" i="37" s="1"/>
  <c r="X49" i="37"/>
  <c r="Y50" i="37"/>
  <c r="N7" i="45"/>
  <c r="AD46" i="37" s="1"/>
  <c r="K7" i="48"/>
  <c r="F8" i="38"/>
  <c r="F8" i="40" s="1"/>
  <c r="F6" i="38"/>
  <c r="F6" i="40" s="1"/>
  <c r="G8" i="38"/>
  <c r="G8" i="40" s="1"/>
  <c r="M6" i="44"/>
  <c r="M6" i="45" s="1"/>
  <c r="M6" i="48" s="1"/>
  <c r="N8" i="44"/>
  <c r="I7" i="38"/>
  <c r="I7" i="40" s="1"/>
  <c r="J5" i="38"/>
  <c r="J5" i="40" s="1"/>
  <c r="N49" i="37"/>
  <c r="T4" i="48"/>
  <c r="AJ47" i="37"/>
  <c r="AX47" i="37"/>
  <c r="Z49" i="37"/>
  <c r="S6" i="45"/>
  <c r="L124" i="26"/>
  <c r="L132" i="24"/>
  <c r="AU69" i="36"/>
  <c r="AU77" i="36" s="1"/>
  <c r="AU69" i="12"/>
  <c r="AU77" i="12" s="1"/>
  <c r="AT134" i="24"/>
  <c r="AT137" i="24"/>
  <c r="AT141" i="24" s="1"/>
  <c r="AF48" i="37"/>
  <c r="AE50" i="37"/>
  <c r="O7" i="48"/>
  <c r="N7" i="48"/>
  <c r="AJ50" i="37"/>
  <c r="T6" i="48"/>
  <c r="AJ67" i="37" s="1"/>
  <c r="AB66" i="37"/>
  <c r="AB67" i="37"/>
  <c r="V66" i="37"/>
  <c r="V67" i="37"/>
  <c r="Y66" i="37"/>
  <c r="Y67" i="37"/>
  <c r="AA66" i="37"/>
  <c r="AA67" i="37"/>
  <c r="AQ49" i="37"/>
  <c r="AQ50" i="37"/>
  <c r="U66" i="37"/>
  <c r="U67" i="37"/>
  <c r="Z67" i="37"/>
  <c r="AV66" i="37"/>
  <c r="AV69" i="37"/>
  <c r="E61" i="5"/>
  <c r="E60" i="5"/>
  <c r="AJ46" i="37"/>
  <c r="E44" i="29"/>
  <c r="E58" i="29" s="1"/>
  <c r="E8" i="38"/>
  <c r="E8" i="40" s="1"/>
  <c r="P3" i="48"/>
  <c r="AF45" i="37"/>
  <c r="AQ116" i="9"/>
  <c r="AQ118" i="9" s="1"/>
  <c r="AQ114" i="9"/>
  <c r="AX63" i="36"/>
  <c r="AX63" i="12"/>
  <c r="AI62" i="36"/>
  <c r="AI62" i="12"/>
  <c r="W156" i="24"/>
  <c r="AV80" i="12"/>
  <c r="D91" i="29"/>
  <c r="AQ114" i="26"/>
  <c r="AQ116" i="26"/>
  <c r="AQ118" i="26" s="1"/>
  <c r="K164" i="29"/>
  <c r="K50" i="29"/>
  <c r="K51" i="29" s="1"/>
  <c r="K37" i="29"/>
  <c r="K40" i="29" s="1"/>
  <c r="K161" i="29"/>
  <c r="L159" i="29" s="1"/>
  <c r="K160" i="29"/>
  <c r="AW120" i="26"/>
  <c r="AW121" i="26"/>
  <c r="AW127" i="24"/>
  <c r="AW128" i="24"/>
  <c r="AH120" i="9"/>
  <c r="AH121" i="9"/>
  <c r="N53" i="21"/>
  <c r="Q4" i="46"/>
  <c r="L134" i="21"/>
  <c r="K8" i="46"/>
  <c r="J53" i="29"/>
  <c r="J54" i="29" s="1"/>
  <c r="AV127" i="24"/>
  <c r="AV120" i="26"/>
  <c r="AV121" i="26"/>
  <c r="AV128" i="24"/>
  <c r="AV132" i="24" s="1"/>
  <c r="AV86" i="32"/>
  <c r="AV87" i="32"/>
  <c r="H93" i="24"/>
  <c r="H94" i="24"/>
  <c r="J7" i="46"/>
  <c r="AR46" i="37" s="1"/>
  <c r="I53" i="24"/>
  <c r="J43" i="29"/>
  <c r="K8" i="38" s="1"/>
  <c r="K8" i="40" s="1"/>
  <c r="J91" i="29"/>
  <c r="N3" i="43"/>
  <c r="M62" i="36"/>
  <c r="M62" i="12"/>
  <c r="AV120" i="9"/>
  <c r="AV121" i="9"/>
  <c r="Q3" i="48"/>
  <c r="AG45" i="37"/>
  <c r="AR61" i="36"/>
  <c r="AR61" i="12"/>
  <c r="AI61" i="36"/>
  <c r="AI61" i="12"/>
  <c r="AH128" i="8"/>
  <c r="AI67" i="12"/>
  <c r="AI67" i="36"/>
  <c r="AQ128" i="8"/>
  <c r="AR67" i="12"/>
  <c r="AR67" i="36"/>
  <c r="AF67" i="37"/>
  <c r="AF50" i="37"/>
  <c r="AV34" i="8"/>
  <c r="AV137" i="8"/>
  <c r="AV138" i="8" s="1"/>
  <c r="P5" i="45"/>
  <c r="AQ84" i="32"/>
  <c r="AQ36" i="32"/>
  <c r="AX105" i="12"/>
  <c r="AX105" i="36"/>
  <c r="J162" i="24"/>
  <c r="J37" i="24"/>
  <c r="J163" i="24"/>
  <c r="K161" i="24" s="1"/>
  <c r="J50" i="24"/>
  <c r="J51" i="24" s="1"/>
  <c r="AG154" i="29"/>
  <c r="AG35" i="29"/>
  <c r="AG36" i="29" s="1"/>
  <c r="AG47" i="29" s="1"/>
  <c r="L137" i="24"/>
  <c r="L141" i="24" s="1"/>
  <c r="L134" i="24"/>
  <c r="O5" i="43" s="1"/>
  <c r="R61" i="12"/>
  <c r="R61" i="36"/>
  <c r="Q114" i="26"/>
  <c r="Q116" i="26"/>
  <c r="Q118" i="26" s="1"/>
  <c r="AW63" i="36"/>
  <c r="AW63" i="12"/>
  <c r="J151" i="10"/>
  <c r="J152" i="10"/>
  <c r="K150" i="10" s="1"/>
  <c r="J37" i="10"/>
  <c r="J40" i="10" s="1"/>
  <c r="J155" i="10"/>
  <c r="J50" i="10"/>
  <c r="J51" i="10" s="1"/>
  <c r="J53" i="10" s="1"/>
  <c r="J54" i="10" s="1"/>
  <c r="M69" i="36"/>
  <c r="Q6" i="44"/>
  <c r="O49" i="37" s="1"/>
  <c r="L126" i="26"/>
  <c r="M69" i="12"/>
  <c r="L121" i="9"/>
  <c r="L120" i="9"/>
  <c r="L124" i="9" s="1"/>
  <c r="AW62" i="36"/>
  <c r="AW62" i="12"/>
  <c r="P43" i="33"/>
  <c r="Q122" i="8" s="1"/>
  <c r="P40" i="33"/>
  <c r="P41" i="33"/>
  <c r="Q136" i="24" s="1"/>
  <c r="P42" i="33"/>
  <c r="Q134" i="29" s="1"/>
  <c r="Q139" i="29" s="1"/>
  <c r="R105" i="36"/>
  <c r="R105" i="12"/>
  <c r="P39" i="33"/>
  <c r="Q121" i="10" s="1"/>
  <c r="Q123" i="10" s="1"/>
  <c r="AW120" i="9"/>
  <c r="AW121" i="9"/>
  <c r="Q133" i="21"/>
  <c r="Q134" i="21" s="1"/>
  <c r="Q34" i="21"/>
  <c r="Q128" i="8"/>
  <c r="R67" i="36"/>
  <c r="R67" i="12"/>
  <c r="AI105" i="12"/>
  <c r="AI105" i="36"/>
  <c r="AG39" i="33"/>
  <c r="AH121" i="10" s="1"/>
  <c r="AH123" i="10" s="1"/>
  <c r="AG43" i="33"/>
  <c r="AH122" i="8" s="1"/>
  <c r="AG42" i="33"/>
  <c r="AG41" i="33"/>
  <c r="AH136" i="24" s="1"/>
  <c r="AG40" i="33"/>
  <c r="H93" i="10"/>
  <c r="H94" i="10"/>
  <c r="S3" i="49"/>
  <c r="S3" i="47" s="1"/>
  <c r="Q68" i="37" s="1"/>
  <c r="Q69" i="37" s="1"/>
  <c r="AI68" i="37" s="1"/>
  <c r="Q116" i="9"/>
  <c r="Q118" i="9" s="1"/>
  <c r="S9" i="43" s="1"/>
  <c r="S9" i="45" s="1"/>
  <c r="S9" i="48" s="1"/>
  <c r="Q114" i="9"/>
  <c r="AW34" i="8"/>
  <c r="AW137" i="8"/>
  <c r="AW138" i="8" s="1"/>
  <c r="D61" i="5"/>
  <c r="D60" i="5"/>
  <c r="AX62" i="12"/>
  <c r="AX62" i="36"/>
  <c r="AW36" i="32"/>
  <c r="AW84" i="32"/>
  <c r="I54" i="24"/>
  <c r="E71" i="24" s="1"/>
  <c r="AR104" i="36"/>
  <c r="AR104" i="12"/>
  <c r="AP27" i="33"/>
  <c r="AP32" i="33"/>
  <c r="AP36" i="33"/>
  <c r="AP34" i="33"/>
  <c r="AP35" i="33"/>
  <c r="AP33" i="33"/>
  <c r="M8" i="44"/>
  <c r="K48" i="37" s="1"/>
  <c r="M40" i="12"/>
  <c r="M40" i="36"/>
  <c r="L142" i="29"/>
  <c r="AT34" i="26"/>
  <c r="AT135" i="26"/>
  <c r="AT136" i="26" s="1"/>
  <c r="I43" i="10"/>
  <c r="I91" i="10"/>
  <c r="L137" i="8"/>
  <c r="L34" i="8"/>
  <c r="L152" i="8"/>
  <c r="F58" i="5"/>
  <c r="F59" i="5" s="1"/>
  <c r="F60" i="5" s="1"/>
  <c r="F61" i="5" s="1"/>
  <c r="E72" i="5" s="1"/>
  <c r="G44" i="5"/>
  <c r="AH116" i="26"/>
  <c r="AH118" i="26" s="1"/>
  <c r="AH114" i="26"/>
  <c r="AT134" i="9"/>
  <c r="AT34" i="9"/>
  <c r="M33" i="12"/>
  <c r="M33" i="36"/>
  <c r="L131" i="10"/>
  <c r="I94" i="29"/>
  <c r="I93" i="29"/>
  <c r="AW105" i="36"/>
  <c r="AU43" i="33"/>
  <c r="AV122" i="8" s="1"/>
  <c r="AU41" i="33"/>
  <c r="AV136" i="24" s="1"/>
  <c r="AW105" i="12"/>
  <c r="AU39" i="33"/>
  <c r="AV121" i="10" s="1"/>
  <c r="AV123" i="10" s="1"/>
  <c r="AU40" i="33"/>
  <c r="AU42" i="33"/>
  <c r="AW134" i="29" s="1"/>
  <c r="AW139" i="29" s="1"/>
  <c r="AH134" i="29"/>
  <c r="AH139" i="29" s="1"/>
  <c r="K44" i="21"/>
  <c r="K58" i="21" s="1"/>
  <c r="X136" i="12"/>
  <c r="AF49" i="36"/>
  <c r="AF82" i="36" s="1"/>
  <c r="X136" i="36"/>
  <c r="X137" i="36" s="1"/>
  <c r="X138" i="36" s="1"/>
  <c r="X150" i="36" s="1"/>
  <c r="P36" i="29"/>
  <c r="AF79" i="36"/>
  <c r="AF136" i="36" s="1"/>
  <c r="AF137" i="36" s="1"/>
  <c r="AF138" i="36" s="1"/>
  <c r="AF150" i="36" s="1"/>
  <c r="AT49" i="36"/>
  <c r="AT82" i="36" s="1"/>
  <c r="AT83" i="36" s="1"/>
  <c r="AQ136" i="36"/>
  <c r="AQ137" i="36" s="1"/>
  <c r="AQ138" i="36" s="1"/>
  <c r="X83" i="36"/>
  <c r="AE79" i="36"/>
  <c r="AE136" i="36" s="1"/>
  <c r="AE137" i="36" s="1"/>
  <c r="AE138" i="36" s="1"/>
  <c r="I40" i="24"/>
  <c r="I91" i="24" s="1"/>
  <c r="Z136" i="36"/>
  <c r="Z137" i="36" s="1"/>
  <c r="Z138" i="36" s="1"/>
  <c r="AE49" i="12"/>
  <c r="AE82" i="12" s="1"/>
  <c r="AS136" i="36"/>
  <c r="AS137" i="36" s="1"/>
  <c r="AS138" i="36" s="1"/>
  <c r="F44" i="29"/>
  <c r="F58" i="29" s="1"/>
  <c r="G44" i="29"/>
  <c r="G58" i="29" s="1"/>
  <c r="H44" i="29"/>
  <c r="H58" i="29" s="1"/>
  <c r="I44" i="29"/>
  <c r="I58" i="29" s="1"/>
  <c r="AH80" i="12"/>
  <c r="AB35" i="24"/>
  <c r="AB36" i="24" s="1"/>
  <c r="AF153" i="24"/>
  <c r="AF154" i="24" s="1"/>
  <c r="AF34" i="24"/>
  <c r="AH136" i="12" s="1"/>
  <c r="AH49" i="36"/>
  <c r="AH82" i="36" s="1"/>
  <c r="AH80" i="36"/>
  <c r="AH136" i="36" s="1"/>
  <c r="AH137" i="36" s="1"/>
  <c r="AH138" i="36" s="1"/>
  <c r="AH150" i="36" s="1"/>
  <c r="Y83" i="36"/>
  <c r="Z156" i="24"/>
  <c r="AQ49" i="12"/>
  <c r="AQ82" i="12" s="1"/>
  <c r="Y136" i="12"/>
  <c r="E143" i="10"/>
  <c r="F142" i="10" s="1"/>
  <c r="F145" i="10" s="1"/>
  <c r="AT49" i="12"/>
  <c r="AT82" i="12" s="1"/>
  <c r="AG79" i="36"/>
  <c r="AG136" i="36" s="1"/>
  <c r="AG137" i="36" s="1"/>
  <c r="AG138" i="36" s="1"/>
  <c r="AG150" i="36" s="1"/>
  <c r="AG49" i="36"/>
  <c r="AG82" i="36" s="1"/>
  <c r="AG79" i="12"/>
  <c r="AG49" i="12"/>
  <c r="AG82" i="12" s="1"/>
  <c r="M153" i="24"/>
  <c r="M154" i="24" s="1"/>
  <c r="M156" i="24" s="1"/>
  <c r="AE153" i="24"/>
  <c r="AE154" i="24" s="1"/>
  <c r="AE34" i="24"/>
  <c r="AG136" i="12" s="1"/>
  <c r="E93" i="29"/>
  <c r="E94" i="29"/>
  <c r="D43" i="10"/>
  <c r="D44" i="10" s="1"/>
  <c r="D91" i="10"/>
  <c r="AO36" i="9"/>
  <c r="AO47" i="9" s="1"/>
  <c r="AS153" i="24"/>
  <c r="AS154" i="24" s="1"/>
  <c r="AS35" i="24" s="1"/>
  <c r="AS36" i="24" s="1"/>
  <c r="N136" i="36"/>
  <c r="N137" i="36" s="1"/>
  <c r="N138" i="36" s="1"/>
  <c r="N150" i="36" s="1"/>
  <c r="L136" i="12"/>
  <c r="G83" i="36"/>
  <c r="G150" i="36"/>
  <c r="AJ49" i="12"/>
  <c r="AJ82" i="12" s="1"/>
  <c r="AJ79" i="12"/>
  <c r="AJ49" i="36"/>
  <c r="AJ82" i="36" s="1"/>
  <c r="AJ79" i="36"/>
  <c r="AJ136" i="36" s="1"/>
  <c r="AJ137" i="36" s="1"/>
  <c r="AJ138" i="36" s="1"/>
  <c r="AJ150" i="36" s="1"/>
  <c r="K83" i="36"/>
  <c r="E83" i="36"/>
  <c r="N49" i="36"/>
  <c r="N82" i="36" s="1"/>
  <c r="N83" i="36" s="1"/>
  <c r="AP49" i="36"/>
  <c r="AP82" i="36" s="1"/>
  <c r="AP83" i="36" s="1"/>
  <c r="AM136" i="36"/>
  <c r="AM137" i="36" s="1"/>
  <c r="AM138" i="36" s="1"/>
  <c r="AP136" i="36"/>
  <c r="AP137" i="36" s="1"/>
  <c r="AP138" i="36" s="1"/>
  <c r="AQ49" i="36"/>
  <c r="AQ82" i="36" s="1"/>
  <c r="AQ83" i="36" s="1"/>
  <c r="E36" i="24"/>
  <c r="E47" i="24" s="1"/>
  <c r="E54" i="24" s="1"/>
  <c r="N49" i="12"/>
  <c r="N82" i="12" s="1"/>
  <c r="P49" i="36"/>
  <c r="P82" i="36" s="1"/>
  <c r="P83" i="36" s="1"/>
  <c r="P79" i="12"/>
  <c r="P49" i="12"/>
  <c r="P82" i="12" s="1"/>
  <c r="F83" i="36"/>
  <c r="O148" i="21"/>
  <c r="O37" i="21"/>
  <c r="O145" i="21"/>
  <c r="P143" i="21" s="1"/>
  <c r="O144" i="21"/>
  <c r="O50" i="21"/>
  <c r="O51" i="21" s="1"/>
  <c r="N50" i="5"/>
  <c r="N51" i="5" s="1"/>
  <c r="N140" i="5"/>
  <c r="N137" i="5"/>
  <c r="O135" i="5" s="1"/>
  <c r="N136" i="5"/>
  <c r="N37" i="5"/>
  <c r="N40" i="5" s="1"/>
  <c r="Q136" i="36"/>
  <c r="Q137" i="36" s="1"/>
  <c r="Q138" i="36" s="1"/>
  <c r="Q150" i="36" s="1"/>
  <c r="F136" i="12"/>
  <c r="E136" i="12"/>
  <c r="E150" i="36"/>
  <c r="E157" i="36" s="1"/>
  <c r="E142" i="36"/>
  <c r="L93" i="5"/>
  <c r="L94" i="5"/>
  <c r="M43" i="5"/>
  <c r="M91" i="5"/>
  <c r="AD154" i="29"/>
  <c r="AD35" i="29"/>
  <c r="AD36" i="29" s="1"/>
  <c r="AD47" i="29" s="1"/>
  <c r="S83" i="36"/>
  <c r="F150" i="36"/>
  <c r="F157" i="36" s="1"/>
  <c r="F169" i="36"/>
  <c r="F142" i="36"/>
  <c r="Q82" i="12"/>
  <c r="D156" i="24"/>
  <c r="D35" i="24"/>
  <c r="N136" i="12"/>
  <c r="X35" i="29"/>
  <c r="X36" i="29" s="1"/>
  <c r="X47" i="29" s="1"/>
  <c r="X154" i="29"/>
  <c r="D36" i="26"/>
  <c r="AM136" i="12"/>
  <c r="AT35" i="29"/>
  <c r="AT36" i="29" s="1"/>
  <c r="AT47" i="29" s="1"/>
  <c r="AT154" i="29"/>
  <c r="J35" i="24"/>
  <c r="J36" i="24" s="1"/>
  <c r="J156" i="24"/>
  <c r="D138" i="26"/>
  <c r="E137" i="26" s="1"/>
  <c r="E138" i="26" s="1"/>
  <c r="F137" i="26" s="1"/>
  <c r="D140" i="26"/>
  <c r="P136" i="36"/>
  <c r="P137" i="36" s="1"/>
  <c r="P138" i="36" s="1"/>
  <c r="P150" i="36" s="1"/>
  <c r="J60" i="8"/>
  <c r="AO34" i="24"/>
  <c r="AP136" i="12" s="1"/>
  <c r="P53" i="8"/>
  <c r="Q149" i="8"/>
  <c r="R147" i="8" s="1"/>
  <c r="Q148" i="8"/>
  <c r="Q50" i="8"/>
  <c r="Q51" i="8" s="1"/>
  <c r="Q37" i="8"/>
  <c r="Q152" i="8"/>
  <c r="AP49" i="12"/>
  <c r="AP82" i="12" s="1"/>
  <c r="N53" i="9"/>
  <c r="W135" i="9"/>
  <c r="W35" i="9" s="1"/>
  <c r="W36" i="9" s="1"/>
  <c r="AP153" i="24"/>
  <c r="AP154" i="24" s="1"/>
  <c r="AP35" i="24" s="1"/>
  <c r="AP36" i="24" s="1"/>
  <c r="O47" i="10"/>
  <c r="K156" i="24"/>
  <c r="K35" i="24"/>
  <c r="K36" i="24" s="1"/>
  <c r="O143" i="9"/>
  <c r="O50" i="9"/>
  <c r="O51" i="9" s="1"/>
  <c r="O144" i="9"/>
  <c r="P142" i="9" s="1"/>
  <c r="O37" i="9"/>
  <c r="D43" i="9"/>
  <c r="F9" i="38" s="1"/>
  <c r="F9" i="40" s="1"/>
  <c r="D91" i="9"/>
  <c r="AU137" i="9"/>
  <c r="O47" i="29"/>
  <c r="O135" i="9"/>
  <c r="O35" i="9" s="1"/>
  <c r="O36" i="9" s="1"/>
  <c r="AD79" i="36"/>
  <c r="AD136" i="36" s="1"/>
  <c r="AD137" i="36" s="1"/>
  <c r="AD138" i="36" s="1"/>
  <c r="AD150" i="36" s="1"/>
  <c r="AD49" i="36"/>
  <c r="AD82" i="36" s="1"/>
  <c r="N137" i="9"/>
  <c r="AD49" i="12"/>
  <c r="AD82" i="12" s="1"/>
  <c r="AD79" i="12"/>
  <c r="AC47" i="29"/>
  <c r="AC153" i="24"/>
  <c r="AC154" i="24" s="1"/>
  <c r="AC34" i="24"/>
  <c r="AD136" i="12" s="1"/>
  <c r="AS83" i="36"/>
  <c r="P47" i="29"/>
  <c r="P135" i="9"/>
  <c r="P35" i="9" s="1"/>
  <c r="P36" i="9" s="1"/>
  <c r="Q136" i="12"/>
  <c r="T83" i="36"/>
  <c r="AO83" i="36"/>
  <c r="AM83" i="36"/>
  <c r="L83" i="36"/>
  <c r="AI47" i="24"/>
  <c r="W47" i="24"/>
  <c r="M47" i="29"/>
  <c r="AL47" i="9"/>
  <c r="AA150" i="36"/>
  <c r="AT150" i="36"/>
  <c r="X47" i="24"/>
  <c r="AG47" i="24"/>
  <c r="O47" i="24"/>
  <c r="AI47" i="9"/>
  <c r="V83" i="36"/>
  <c r="V47" i="9"/>
  <c r="V47" i="10"/>
  <c r="AK47" i="10"/>
  <c r="S47" i="10"/>
  <c r="AM35" i="24"/>
  <c r="AM36" i="24" s="1"/>
  <c r="AM156" i="24"/>
  <c r="AP47" i="10"/>
  <c r="AL83" i="36"/>
  <c r="AB47" i="24"/>
  <c r="AE83" i="36"/>
  <c r="T35" i="24"/>
  <c r="T36" i="24" s="1"/>
  <c r="T156" i="24"/>
  <c r="AN137" i="36"/>
  <c r="AN138" i="36" s="1"/>
  <c r="AO35" i="24"/>
  <c r="AO156" i="24"/>
  <c r="AN136" i="12"/>
  <c r="AV49" i="36"/>
  <c r="AV82" i="36" s="1"/>
  <c r="AV79" i="36"/>
  <c r="AV136" i="36" s="1"/>
  <c r="AK35" i="24"/>
  <c r="AK36" i="24" s="1"/>
  <c r="AK156" i="24"/>
  <c r="AD35" i="24"/>
  <c r="AD36" i="24" s="1"/>
  <c r="AD156" i="24"/>
  <c r="T137" i="36"/>
  <c r="T138" i="36" s="1"/>
  <c r="AL35" i="24"/>
  <c r="AL36" i="24" s="1"/>
  <c r="AL156" i="24"/>
  <c r="U83" i="36"/>
  <c r="AV79" i="12"/>
  <c r="AV49" i="12"/>
  <c r="AV82" i="12" s="1"/>
  <c r="K94" i="21"/>
  <c r="K93" i="21"/>
  <c r="AL137" i="9"/>
  <c r="AK47" i="9"/>
  <c r="Z47" i="24"/>
  <c r="U137" i="36"/>
  <c r="U138" i="36" s="1"/>
  <c r="AL137" i="36"/>
  <c r="AL138" i="36" s="1"/>
  <c r="AC150" i="36"/>
  <c r="U136" i="12"/>
  <c r="AL136" i="12"/>
  <c r="AO137" i="9"/>
  <c r="U47" i="9"/>
  <c r="N34" i="24"/>
  <c r="P136" i="12" s="1"/>
  <c r="N153" i="24"/>
  <c r="N154" i="24" s="1"/>
  <c r="K40" i="8"/>
  <c r="K47" i="8"/>
  <c r="K54" i="8" s="1"/>
  <c r="Y35" i="24"/>
  <c r="Y36" i="24" s="1"/>
  <c r="Y156" i="24"/>
  <c r="U35" i="24"/>
  <c r="U36" i="24" s="1"/>
  <c r="U156" i="24"/>
  <c r="AS47" i="9"/>
  <c r="K43" i="9"/>
  <c r="M9" i="38" s="1"/>
  <c r="M9" i="40" s="1"/>
  <c r="K91" i="9"/>
  <c r="Y150" i="36"/>
  <c r="AN83" i="36"/>
  <c r="AB136" i="12"/>
  <c r="M137" i="9"/>
  <c r="AS47" i="29"/>
  <c r="N47" i="10"/>
  <c r="Z136" i="12"/>
  <c r="N47" i="9"/>
  <c r="N40" i="9"/>
  <c r="AO47" i="10"/>
  <c r="V136" i="12"/>
  <c r="AN156" i="24"/>
  <c r="AN35" i="24"/>
  <c r="AN36" i="24" s="1"/>
  <c r="S35" i="24"/>
  <c r="S36" i="24" s="1"/>
  <c r="S156" i="24"/>
  <c r="AU36" i="9"/>
  <c r="V137" i="36"/>
  <c r="V138" i="36" s="1"/>
  <c r="AA156" i="24"/>
  <c r="AA35" i="24"/>
  <c r="AA36" i="24" s="1"/>
  <c r="M36" i="9"/>
  <c r="AO136" i="12"/>
  <c r="T136" i="12"/>
  <c r="O79" i="36"/>
  <c r="O136" i="36" s="1"/>
  <c r="O49" i="36"/>
  <c r="O82" i="36" s="1"/>
  <c r="AT136" i="12"/>
  <c r="AR35" i="24"/>
  <c r="AR36" i="24" s="1"/>
  <c r="AR156" i="24"/>
  <c r="AS35" i="10"/>
  <c r="AS36" i="10" s="1"/>
  <c r="Z83" i="36"/>
  <c r="AL47" i="10"/>
  <c r="AB83" i="36"/>
  <c r="L137" i="36"/>
  <c r="L138" i="36" s="1"/>
  <c r="AU34" i="24"/>
  <c r="AU153" i="24"/>
  <c r="AU154" i="24" s="1"/>
  <c r="O79" i="12"/>
  <c r="O49" i="12"/>
  <c r="O82" i="12" s="1"/>
  <c r="M35" i="10"/>
  <c r="M36" i="10" s="1"/>
  <c r="AS136" i="12"/>
  <c r="AB137" i="36"/>
  <c r="AB138" i="36" s="1"/>
  <c r="AM47" i="10"/>
  <c r="AO137" i="36"/>
  <c r="AO138" i="36" s="1"/>
  <c r="AF83" i="36" l="1"/>
  <c r="J44" i="29"/>
  <c r="J58" i="29" s="1"/>
  <c r="N5" i="44"/>
  <c r="O5" i="44"/>
  <c r="S8" i="44"/>
  <c r="R6" i="44"/>
  <c r="R6" i="45" s="1"/>
  <c r="R6" i="48" s="1"/>
  <c r="N8" i="45"/>
  <c r="L50" i="37"/>
  <c r="Q6" i="43"/>
  <c r="Q6" i="45" s="1"/>
  <c r="Q6" i="48" s="1"/>
  <c r="N5" i="43"/>
  <c r="L47" i="37"/>
  <c r="L49" i="37"/>
  <c r="S6" i="48"/>
  <c r="P5" i="48"/>
  <c r="AF66" i="37" s="1"/>
  <c r="AF49" i="37"/>
  <c r="AY47" i="37"/>
  <c r="AW124" i="9"/>
  <c r="AV124" i="9"/>
  <c r="AH124" i="9"/>
  <c r="AW124" i="26"/>
  <c r="AT144" i="24"/>
  <c r="AU41" i="36"/>
  <c r="AU80" i="36" s="1"/>
  <c r="AU41" i="12"/>
  <c r="AU80" i="12" s="1"/>
  <c r="AU35" i="36"/>
  <c r="AU35" i="12"/>
  <c r="AE67" i="37"/>
  <c r="AR49" i="37"/>
  <c r="AR50" i="37"/>
  <c r="O48" i="37"/>
  <c r="O50" i="37"/>
  <c r="BA66" i="37"/>
  <c r="BA69" i="37"/>
  <c r="S40" i="12"/>
  <c r="S80" i="12" s="1"/>
  <c r="R8" i="44"/>
  <c r="P48" i="37" s="1"/>
  <c r="R40" i="36"/>
  <c r="Q142" i="29"/>
  <c r="R40" i="12"/>
  <c r="AF136" i="12"/>
  <c r="AT135" i="9"/>
  <c r="AT35" i="9" s="1"/>
  <c r="AT36" i="9" s="1"/>
  <c r="AT47" i="9" s="1"/>
  <c r="I94" i="10"/>
  <c r="I93" i="10"/>
  <c r="AW126" i="9"/>
  <c r="AX68" i="36"/>
  <c r="AX68" i="12"/>
  <c r="L135" i="26"/>
  <c r="L136" i="26" s="1"/>
  <c r="L34" i="26"/>
  <c r="M7" i="44"/>
  <c r="M41" i="12"/>
  <c r="L144" i="24"/>
  <c r="M41" i="36"/>
  <c r="AV134" i="29"/>
  <c r="AV139" i="29" s="1"/>
  <c r="AV126" i="9"/>
  <c r="AW68" i="36"/>
  <c r="AW68" i="12"/>
  <c r="AH126" i="9"/>
  <c r="AI68" i="12"/>
  <c r="AI68" i="36"/>
  <c r="L8" i="46"/>
  <c r="K53" i="29"/>
  <c r="K54" i="29" s="1"/>
  <c r="AQ37" i="32"/>
  <c r="E63" i="32"/>
  <c r="E62" i="32"/>
  <c r="AI40" i="12"/>
  <c r="AI40" i="36"/>
  <c r="AH142" i="29"/>
  <c r="AI63" i="36"/>
  <c r="AI63" i="12"/>
  <c r="R63" i="12"/>
  <c r="R63" i="36"/>
  <c r="AQ86" i="32"/>
  <c r="AQ87" i="32"/>
  <c r="E74" i="32"/>
  <c r="AQ137" i="8"/>
  <c r="AQ138" i="8" s="1"/>
  <c r="AQ34" i="8"/>
  <c r="AW132" i="24"/>
  <c r="AH120" i="26"/>
  <c r="AH121" i="26"/>
  <c r="AH127" i="24"/>
  <c r="AH128" i="24"/>
  <c r="O53" i="21"/>
  <c r="R4" i="46"/>
  <c r="AW142" i="29"/>
  <c r="AX40" i="12"/>
  <c r="AX40" i="36"/>
  <c r="G58" i="5"/>
  <c r="G59" i="5" s="1"/>
  <c r="G60" i="5" s="1"/>
  <c r="G61" i="5" s="1"/>
  <c r="H44" i="5"/>
  <c r="AW86" i="32"/>
  <c r="AW87" i="32"/>
  <c r="Q121" i="26"/>
  <c r="Q120" i="26"/>
  <c r="Q124" i="26" s="1"/>
  <c r="Q127" i="24"/>
  <c r="Q128" i="24"/>
  <c r="K7" i="46"/>
  <c r="AS46" i="37" s="1"/>
  <c r="J53" i="24"/>
  <c r="AF47" i="37"/>
  <c r="L135" i="21"/>
  <c r="L35" i="21" s="1"/>
  <c r="L36" i="21" s="1"/>
  <c r="AR63" i="12"/>
  <c r="AR63" i="36"/>
  <c r="L34" i="10"/>
  <c r="L140" i="10"/>
  <c r="L141" i="10" s="1"/>
  <c r="L35" i="10" s="1"/>
  <c r="L151" i="29"/>
  <c r="L152" i="29" s="1"/>
  <c r="L34" i="29"/>
  <c r="Q120" i="9"/>
  <c r="Q121" i="9"/>
  <c r="Q34" i="8"/>
  <c r="Q137" i="8"/>
  <c r="Q138" i="8" s="1"/>
  <c r="S33" i="12"/>
  <c r="Q131" i="10"/>
  <c r="R33" i="36"/>
  <c r="R33" i="12"/>
  <c r="K163" i="24"/>
  <c r="L161" i="24" s="1"/>
  <c r="K37" i="24"/>
  <c r="K162" i="24"/>
  <c r="K50" i="24"/>
  <c r="K51" i="24" s="1"/>
  <c r="K166" i="24"/>
  <c r="J94" i="29"/>
  <c r="J93" i="29"/>
  <c r="AV134" i="24"/>
  <c r="AV137" i="24"/>
  <c r="AV141" i="24" s="1"/>
  <c r="AW126" i="26"/>
  <c r="AX69" i="12"/>
  <c r="AQ120" i="26"/>
  <c r="AQ121" i="26"/>
  <c r="AQ127" i="24"/>
  <c r="AQ128" i="24"/>
  <c r="M35" i="24"/>
  <c r="M36" i="24" s="1"/>
  <c r="AV131" i="10"/>
  <c r="AW33" i="36"/>
  <c r="AW33" i="12"/>
  <c r="AR105" i="12"/>
  <c r="AP41" i="33"/>
  <c r="AQ136" i="24" s="1"/>
  <c r="AP43" i="33"/>
  <c r="AQ122" i="8" s="1"/>
  <c r="AP39" i="33"/>
  <c r="AQ121" i="10" s="1"/>
  <c r="AQ123" i="10" s="1"/>
  <c r="AP42" i="33"/>
  <c r="AQ134" i="29" s="1"/>
  <c r="AQ139" i="29" s="1"/>
  <c r="AP40" i="33"/>
  <c r="AR105" i="36"/>
  <c r="S3" i="43"/>
  <c r="R62" i="36"/>
  <c r="R62" i="12"/>
  <c r="N3" i="44"/>
  <c r="L126" i="9"/>
  <c r="M68" i="36"/>
  <c r="M77" i="36" s="1"/>
  <c r="M68" i="12"/>
  <c r="J91" i="10"/>
  <c r="J43" i="10"/>
  <c r="AQ121" i="9"/>
  <c r="AQ120" i="9"/>
  <c r="K37" i="10"/>
  <c r="K40" i="10" s="1"/>
  <c r="K155" i="10"/>
  <c r="K151" i="10"/>
  <c r="K50" i="10"/>
  <c r="K51" i="10" s="1"/>
  <c r="K53" i="10" s="1"/>
  <c r="K54" i="10" s="1"/>
  <c r="K152" i="10"/>
  <c r="L150" i="10" s="1"/>
  <c r="AV124" i="26"/>
  <c r="L37" i="29"/>
  <c r="L161" i="29"/>
  <c r="M159" i="29" s="1"/>
  <c r="L164" i="29"/>
  <c r="L160" i="29"/>
  <c r="L50" i="29"/>
  <c r="L51" i="29" s="1"/>
  <c r="AR62" i="12"/>
  <c r="AR62" i="36"/>
  <c r="L138" i="8"/>
  <c r="M8" i="45"/>
  <c r="AH131" i="10"/>
  <c r="AI33" i="12"/>
  <c r="AI33" i="36"/>
  <c r="M77" i="12"/>
  <c r="M7" i="43"/>
  <c r="M35" i="36"/>
  <c r="M79" i="36" s="1"/>
  <c r="M35" i="12"/>
  <c r="AH137" i="8"/>
  <c r="AH138" i="8" s="1"/>
  <c r="AH34" i="8"/>
  <c r="K43" i="29"/>
  <c r="K91" i="29"/>
  <c r="I43" i="24"/>
  <c r="H59" i="29"/>
  <c r="H60" i="29" s="1"/>
  <c r="H61" i="29" s="1"/>
  <c r="I59" i="29"/>
  <c r="I61" i="29" s="1"/>
  <c r="J59" i="29"/>
  <c r="J60" i="29" s="1"/>
  <c r="F59" i="29"/>
  <c r="E59" i="29"/>
  <c r="G59" i="29"/>
  <c r="AE136" i="12"/>
  <c r="AS156" i="24"/>
  <c r="AH83" i="36"/>
  <c r="AF156" i="24"/>
  <c r="AF35" i="24"/>
  <c r="AF36" i="24" s="1"/>
  <c r="AF47" i="24" s="1"/>
  <c r="AQ136" i="12"/>
  <c r="F143" i="10"/>
  <c r="G142" i="10" s="1"/>
  <c r="G145" i="10" s="1"/>
  <c r="AE35" i="24"/>
  <c r="AE36" i="24" s="1"/>
  <c r="AE47" i="24" s="1"/>
  <c r="AE156" i="24"/>
  <c r="AG83" i="36"/>
  <c r="D58" i="10"/>
  <c r="D59" i="10" s="1"/>
  <c r="E44" i="10"/>
  <c r="I93" i="24"/>
  <c r="I94" i="24"/>
  <c r="AO36" i="24"/>
  <c r="AO47" i="24" s="1"/>
  <c r="AJ83" i="36"/>
  <c r="AJ136" i="12"/>
  <c r="E40" i="24"/>
  <c r="E91" i="24" s="1"/>
  <c r="E66" i="24"/>
  <c r="W137" i="9"/>
  <c r="N54" i="9"/>
  <c r="O50" i="5"/>
  <c r="O51" i="5" s="1"/>
  <c r="O53" i="5" s="1"/>
  <c r="O54" i="5" s="1"/>
  <c r="O137" i="5"/>
  <c r="P135" i="5" s="1"/>
  <c r="O37" i="5"/>
  <c r="O40" i="5" s="1"/>
  <c r="O136" i="5"/>
  <c r="O140" i="5"/>
  <c r="N53" i="5"/>
  <c r="N54" i="5" s="1"/>
  <c r="D36" i="24"/>
  <c r="E138" i="12" s="1"/>
  <c r="E149" i="12" s="1"/>
  <c r="E156" i="12" s="1"/>
  <c r="E137" i="12"/>
  <c r="P37" i="21"/>
  <c r="P145" i="21"/>
  <c r="Q143" i="21" s="1"/>
  <c r="P144" i="21"/>
  <c r="P50" i="21"/>
  <c r="P51" i="21" s="1"/>
  <c r="P148" i="21"/>
  <c r="M93" i="5"/>
  <c r="M94" i="5"/>
  <c r="E146" i="36"/>
  <c r="E147" i="36" s="1"/>
  <c r="E161" i="36" s="1"/>
  <c r="E162" i="36" s="1"/>
  <c r="E194" i="36"/>
  <c r="N43" i="5"/>
  <c r="N91" i="5"/>
  <c r="F138" i="26"/>
  <c r="G137" i="26" s="1"/>
  <c r="F140" i="26"/>
  <c r="F35" i="26"/>
  <c r="E140" i="26"/>
  <c r="E35" i="26"/>
  <c r="F137" i="12" s="1"/>
  <c r="D40" i="26"/>
  <c r="D47" i="26"/>
  <c r="D54" i="26" s="1"/>
  <c r="F146" i="36"/>
  <c r="F194" i="36"/>
  <c r="J47" i="24"/>
  <c r="J54" i="24" s="1"/>
  <c r="J40" i="24"/>
  <c r="Q53" i="8"/>
  <c r="R50" i="8"/>
  <c r="R51" i="8" s="1"/>
  <c r="R149" i="8"/>
  <c r="S147" i="8" s="1"/>
  <c r="R148" i="8"/>
  <c r="R37" i="8"/>
  <c r="R152" i="8"/>
  <c r="O53" i="9"/>
  <c r="AP156" i="24"/>
  <c r="K40" i="24"/>
  <c r="K47" i="24"/>
  <c r="W47" i="9"/>
  <c r="P50" i="9"/>
  <c r="P51" i="9" s="1"/>
  <c r="P143" i="9"/>
  <c r="P144" i="9"/>
  <c r="Q142" i="9" s="1"/>
  <c r="P37" i="9"/>
  <c r="P40" i="9" s="1"/>
  <c r="P147" i="9"/>
  <c r="O137" i="9"/>
  <c r="P137" i="9"/>
  <c r="D44" i="9"/>
  <c r="AC156" i="24"/>
  <c r="AC35" i="24"/>
  <c r="AC36" i="24" s="1"/>
  <c r="AC47" i="24" s="1"/>
  <c r="O40" i="9"/>
  <c r="O47" i="9"/>
  <c r="AD83" i="36"/>
  <c r="P47" i="9"/>
  <c r="AV83" i="36"/>
  <c r="O83" i="36"/>
  <c r="AP47" i="24"/>
  <c r="S47" i="24"/>
  <c r="AL150" i="36"/>
  <c r="T150" i="36"/>
  <c r="T47" i="24"/>
  <c r="AO150" i="36"/>
  <c r="M47" i="24"/>
  <c r="AM150" i="36"/>
  <c r="AS150" i="36"/>
  <c r="AP150" i="36"/>
  <c r="AN150" i="36"/>
  <c r="Z150" i="36"/>
  <c r="AU35" i="24"/>
  <c r="AU36" i="24" s="1"/>
  <c r="AU156" i="24"/>
  <c r="U47" i="24"/>
  <c r="Y47" i="24"/>
  <c r="AE150" i="36"/>
  <c r="AS47" i="24"/>
  <c r="AB150" i="36"/>
  <c r="M47" i="10"/>
  <c r="AV136" i="12"/>
  <c r="AS47" i="10"/>
  <c r="O137" i="36"/>
  <c r="O138" i="36" s="1"/>
  <c r="K93" i="9"/>
  <c r="K94" i="9"/>
  <c r="AL47" i="24"/>
  <c r="AM47" i="24"/>
  <c r="AA47" i="24"/>
  <c r="U150" i="36"/>
  <c r="AK47" i="24"/>
  <c r="AN47" i="24"/>
  <c r="M47" i="9"/>
  <c r="M54" i="9" s="1"/>
  <c r="M40" i="9"/>
  <c r="N91" i="9"/>
  <c r="N43" i="9"/>
  <c r="P9" i="38" s="1"/>
  <c r="P9" i="40" s="1"/>
  <c r="K59" i="21"/>
  <c r="N35" i="24"/>
  <c r="N36" i="24" s="1"/>
  <c r="N156" i="24"/>
  <c r="AD47" i="24"/>
  <c r="AQ150" i="36"/>
  <c r="V150" i="36"/>
  <c r="AR47" i="24"/>
  <c r="L150" i="36"/>
  <c r="AU47" i="9"/>
  <c r="K91" i="8"/>
  <c r="K43" i="8"/>
  <c r="M4" i="38" s="1"/>
  <c r="M4" i="40" s="1"/>
  <c r="O136" i="12"/>
  <c r="AV137" i="36"/>
  <c r="AV138" i="36" s="1"/>
  <c r="E77" i="32" l="1"/>
  <c r="N5" i="45"/>
  <c r="AD49" i="37" s="1"/>
  <c r="M47" i="37"/>
  <c r="M49" i="37"/>
  <c r="O5" i="45"/>
  <c r="N8" i="48"/>
  <c r="AD67" i="37" s="1"/>
  <c r="AD50" i="37"/>
  <c r="S8" i="45"/>
  <c r="Q50" i="37"/>
  <c r="K49" i="37"/>
  <c r="K46" i="37"/>
  <c r="J7" i="38"/>
  <c r="J7" i="40" s="1"/>
  <c r="K5" i="38"/>
  <c r="K5" i="40" s="1"/>
  <c r="N5" i="48"/>
  <c r="AD66" i="37" s="1"/>
  <c r="AZ47" i="37"/>
  <c r="M7" i="45"/>
  <c r="M49" i="12"/>
  <c r="M82" i="12" s="1"/>
  <c r="M79" i="12"/>
  <c r="AQ132" i="24"/>
  <c r="AQ124" i="26"/>
  <c r="Q132" i="24"/>
  <c r="AH132" i="24"/>
  <c r="AU79" i="12"/>
  <c r="AU49" i="12"/>
  <c r="AU82" i="12" s="1"/>
  <c r="AU79" i="36"/>
  <c r="AU136" i="36" s="1"/>
  <c r="AU137" i="36" s="1"/>
  <c r="AU138" i="36" s="1"/>
  <c r="AU150" i="36" s="1"/>
  <c r="AU49" i="36"/>
  <c r="AU82" i="36" s="1"/>
  <c r="AU83" i="36" s="1"/>
  <c r="AT34" i="24"/>
  <c r="AU136" i="12" s="1"/>
  <c r="AT153" i="24"/>
  <c r="AT154" i="24" s="1"/>
  <c r="M8" i="48"/>
  <c r="AC48" i="37"/>
  <c r="K50" i="37"/>
  <c r="AG50" i="37"/>
  <c r="AG49" i="37"/>
  <c r="L45" i="37"/>
  <c r="L48" i="37"/>
  <c r="AR40" i="12"/>
  <c r="AQ142" i="29"/>
  <c r="AR40" i="36"/>
  <c r="AH140" i="10"/>
  <c r="AH141" i="10" s="1"/>
  <c r="AH35" i="10" s="1"/>
  <c r="AH34" i="10"/>
  <c r="AQ126" i="26"/>
  <c r="AR69" i="12"/>
  <c r="AR69" i="36"/>
  <c r="M164" i="29"/>
  <c r="M161" i="29"/>
  <c r="N159" i="29" s="1"/>
  <c r="M37" i="29"/>
  <c r="M40" i="29" s="1"/>
  <c r="M160" i="29"/>
  <c r="M50" i="29"/>
  <c r="M51" i="29" s="1"/>
  <c r="AW135" i="26"/>
  <c r="AW136" i="26" s="1"/>
  <c r="AW34" i="26"/>
  <c r="AH34" i="29"/>
  <c r="AH151" i="29"/>
  <c r="AH152" i="29" s="1"/>
  <c r="AC66" i="37"/>
  <c r="AC49" i="37"/>
  <c r="L139" i="8"/>
  <c r="L35" i="8" s="1"/>
  <c r="L36" i="8" s="1"/>
  <c r="AX69" i="36"/>
  <c r="AX77" i="36" s="1"/>
  <c r="AW69" i="36"/>
  <c r="AW77" i="36" s="1"/>
  <c r="AV126" i="26"/>
  <c r="AW69" i="12"/>
  <c r="AW77" i="12" s="1"/>
  <c r="AW35" i="12"/>
  <c r="AW35" i="36"/>
  <c r="L37" i="24"/>
  <c r="L163" i="24"/>
  <c r="M161" i="24" s="1"/>
  <c r="L50" i="24"/>
  <c r="L51" i="24" s="1"/>
  <c r="L162" i="24"/>
  <c r="L166" i="24"/>
  <c r="Q124" i="9"/>
  <c r="L136" i="21"/>
  <c r="M135" i="21" s="1"/>
  <c r="M136" i="21" s="1"/>
  <c r="N135" i="21" s="1"/>
  <c r="L138" i="21"/>
  <c r="AH124" i="26"/>
  <c r="AV34" i="9"/>
  <c r="AV134" i="9"/>
  <c r="AX77" i="12"/>
  <c r="AX82" i="12" s="1"/>
  <c r="L152" i="10"/>
  <c r="M150" i="10" s="1"/>
  <c r="L50" i="10"/>
  <c r="L51" i="10" s="1"/>
  <c r="L53" i="10" s="1"/>
  <c r="L37" i="10"/>
  <c r="L151" i="10"/>
  <c r="L155" i="10"/>
  <c r="AQ124" i="9"/>
  <c r="L47" i="21"/>
  <c r="L54" i="21" s="1"/>
  <c r="L40" i="21"/>
  <c r="Q134" i="24"/>
  <c r="Q137" i="24"/>
  <c r="Q141" i="24" s="1"/>
  <c r="AW40" i="36"/>
  <c r="AV142" i="29"/>
  <c r="AW40" i="12"/>
  <c r="AW49" i="12" s="1"/>
  <c r="AQ131" i="10"/>
  <c r="AR33" i="12"/>
  <c r="AR33" i="36"/>
  <c r="AV144" i="24"/>
  <c r="AW41" i="12"/>
  <c r="AW41" i="36"/>
  <c r="H58" i="5"/>
  <c r="H59" i="5" s="1"/>
  <c r="I44" i="5"/>
  <c r="K94" i="29"/>
  <c r="K93" i="29"/>
  <c r="AQ134" i="24"/>
  <c r="AQ137" i="24"/>
  <c r="AQ141" i="24" s="1"/>
  <c r="L35" i="29"/>
  <c r="L36" i="29" s="1"/>
  <c r="L154" i="29"/>
  <c r="N3" i="45"/>
  <c r="AD48" i="37" s="1"/>
  <c r="Q126" i="26"/>
  <c r="R69" i="12"/>
  <c r="R69" i="36"/>
  <c r="AG48" i="37"/>
  <c r="M80" i="36"/>
  <c r="M136" i="36" s="1"/>
  <c r="M137" i="36" s="1"/>
  <c r="M138" i="36" s="1"/>
  <c r="M150" i="36" s="1"/>
  <c r="AW34" i="9"/>
  <c r="AW134" i="9"/>
  <c r="Q151" i="29"/>
  <c r="Q152" i="29" s="1"/>
  <c r="Q34" i="29"/>
  <c r="L34" i="9"/>
  <c r="L147" i="9"/>
  <c r="L134" i="9"/>
  <c r="AV34" i="10"/>
  <c r="AV140" i="10"/>
  <c r="AV141" i="10" s="1"/>
  <c r="AV35" i="10" s="1"/>
  <c r="AH137" i="24"/>
  <c r="AH141" i="24" s="1"/>
  <c r="AH134" i="24"/>
  <c r="P53" i="21"/>
  <c r="S4" i="46"/>
  <c r="L8" i="38"/>
  <c r="L8" i="40" s="1"/>
  <c r="K44" i="29"/>
  <c r="K58" i="29" s="1"/>
  <c r="M8" i="46"/>
  <c r="L53" i="29"/>
  <c r="M49" i="36"/>
  <c r="M82" i="36" s="1"/>
  <c r="Q34" i="10"/>
  <c r="Q140" i="10"/>
  <c r="Q141" i="10" s="1"/>
  <c r="Q35" i="10" s="1"/>
  <c r="Q36" i="10" s="1"/>
  <c r="Q47" i="10" s="1"/>
  <c r="L36" i="10"/>
  <c r="AW151" i="29"/>
  <c r="AW152" i="29" s="1"/>
  <c r="AW34" i="29"/>
  <c r="AW137" i="24"/>
  <c r="AW141" i="24" s="1"/>
  <c r="AW134" i="24"/>
  <c r="L34" i="24"/>
  <c r="L153" i="24"/>
  <c r="L154" i="24" s="1"/>
  <c r="M80" i="12"/>
  <c r="R8" i="45"/>
  <c r="J93" i="10"/>
  <c r="J94" i="10"/>
  <c r="S49" i="12"/>
  <c r="S82" i="12" s="1"/>
  <c r="S79" i="12"/>
  <c r="AC67" i="37"/>
  <c r="AC50" i="37"/>
  <c r="K91" i="10"/>
  <c r="K43" i="10"/>
  <c r="AW79" i="12"/>
  <c r="L7" i="46"/>
  <c r="AT46" i="37" s="1"/>
  <c r="K53" i="24"/>
  <c r="K54" i="24" s="1"/>
  <c r="E76" i="32"/>
  <c r="AQ51" i="32"/>
  <c r="AR37" i="32"/>
  <c r="AH34" i="9"/>
  <c r="AH134" i="9"/>
  <c r="AT137" i="9"/>
  <c r="I60" i="29"/>
  <c r="J61" i="29"/>
  <c r="E60" i="29"/>
  <c r="E61" i="29"/>
  <c r="F60" i="29"/>
  <c r="F61" i="29" s="1"/>
  <c r="G60" i="29"/>
  <c r="G61" i="29"/>
  <c r="E72" i="29" s="1"/>
  <c r="G143" i="10"/>
  <c r="H142" i="10" s="1"/>
  <c r="H145" i="10" s="1"/>
  <c r="E58" i="10"/>
  <c r="F44" i="10"/>
  <c r="D60" i="10"/>
  <c r="D61" i="10"/>
  <c r="E43" i="24"/>
  <c r="H5" i="38" s="1"/>
  <c r="H5" i="40" s="1"/>
  <c r="D47" i="24"/>
  <c r="D54" i="24" s="1"/>
  <c r="D40" i="24"/>
  <c r="E142" i="12" s="1"/>
  <c r="O54" i="9"/>
  <c r="F147" i="36"/>
  <c r="F161" i="36" s="1"/>
  <c r="E163" i="36"/>
  <c r="E164" i="36"/>
  <c r="E93" i="24"/>
  <c r="E94" i="24"/>
  <c r="O91" i="5"/>
  <c r="O43" i="5"/>
  <c r="P137" i="5"/>
  <c r="Q135" i="5" s="1"/>
  <c r="P37" i="5"/>
  <c r="P40" i="5" s="1"/>
  <c r="P136" i="5"/>
  <c r="P50" i="5"/>
  <c r="P51" i="5" s="1"/>
  <c r="P53" i="5" s="1"/>
  <c r="P54" i="5" s="1"/>
  <c r="P140" i="5"/>
  <c r="N93" i="5"/>
  <c r="N94" i="5"/>
  <c r="Q50" i="21"/>
  <c r="Q51" i="21" s="1"/>
  <c r="Q144" i="21"/>
  <c r="Q148" i="21"/>
  <c r="Q37" i="21"/>
  <c r="Q145" i="21"/>
  <c r="R143" i="21" s="1"/>
  <c r="E197" i="36"/>
  <c r="E196" i="36"/>
  <c r="D91" i="26"/>
  <c r="D43" i="26"/>
  <c r="E36" i="26"/>
  <c r="F138" i="12" s="1"/>
  <c r="F149" i="12" s="1"/>
  <c r="F156" i="12" s="1"/>
  <c r="G137" i="12"/>
  <c r="F36" i="26"/>
  <c r="G35" i="26"/>
  <c r="H137" i="12" s="1"/>
  <c r="G140" i="26"/>
  <c r="G138" i="26"/>
  <c r="H137" i="26" s="1"/>
  <c r="H138" i="26" s="1"/>
  <c r="I137" i="26" s="1"/>
  <c r="J43" i="24"/>
  <c r="J91" i="24"/>
  <c r="F197" i="36"/>
  <c r="F196" i="36"/>
  <c r="R53" i="8"/>
  <c r="S149" i="8"/>
  <c r="T147" i="8" s="1"/>
  <c r="S37" i="8"/>
  <c r="S148" i="8"/>
  <c r="S50" i="8"/>
  <c r="S51" i="8" s="1"/>
  <c r="S152" i="8"/>
  <c r="P53" i="9"/>
  <c r="P54" i="9" s="1"/>
  <c r="Q143" i="9"/>
  <c r="Q144" i="9"/>
  <c r="R142" i="9" s="1"/>
  <c r="Q50" i="9"/>
  <c r="Q51" i="9" s="1"/>
  <c r="Q37" i="9"/>
  <c r="K43" i="24"/>
  <c r="K91" i="24"/>
  <c r="E44" i="9"/>
  <c r="D58" i="9"/>
  <c r="D59" i="9" s="1"/>
  <c r="O43" i="9"/>
  <c r="Q9" i="38" s="1"/>
  <c r="Q9" i="40" s="1"/>
  <c r="O91" i="9"/>
  <c r="P43" i="9"/>
  <c r="R9" i="38" s="1"/>
  <c r="R9" i="40" s="1"/>
  <c r="P91" i="9"/>
  <c r="N47" i="24"/>
  <c r="O150" i="36"/>
  <c r="K61" i="21"/>
  <c r="K60" i="21"/>
  <c r="AV150" i="36"/>
  <c r="K44" i="8"/>
  <c r="N94" i="9"/>
  <c r="N93" i="9"/>
  <c r="K93" i="8"/>
  <c r="K94" i="8"/>
  <c r="AU47" i="24"/>
  <c r="M43" i="9"/>
  <c r="O9" i="38" s="1"/>
  <c r="O9" i="40" s="1"/>
  <c r="M91" i="9"/>
  <c r="AW80" i="12" l="1"/>
  <c r="S5" i="44"/>
  <c r="T5" i="44"/>
  <c r="S5" i="43"/>
  <c r="T5" i="43"/>
  <c r="O5" i="48"/>
  <c r="AE66" i="37" s="1"/>
  <c r="AE49" i="37"/>
  <c r="S8" i="48"/>
  <c r="AI67" i="37" s="1"/>
  <c r="AI50" i="37"/>
  <c r="M7" i="48"/>
  <c r="AC46" i="37"/>
  <c r="L7" i="38"/>
  <c r="L7" i="40" s="1"/>
  <c r="M5" i="38"/>
  <c r="M5" i="40" s="1"/>
  <c r="K7" i="38"/>
  <c r="K7" i="40" s="1"/>
  <c r="L5" i="38"/>
  <c r="L5" i="40" s="1"/>
  <c r="F7" i="38"/>
  <c r="F7" i="40" s="1"/>
  <c r="Q47" i="37"/>
  <c r="Q49" i="37"/>
  <c r="BA47" i="37"/>
  <c r="F3" i="38"/>
  <c r="F3" i="40" s="1"/>
  <c r="M136" i="12"/>
  <c r="AW49" i="36"/>
  <c r="AW82" i="36" s="1"/>
  <c r="AH36" i="10"/>
  <c r="AH47" i="10" s="1"/>
  <c r="AT35" i="24"/>
  <c r="AT36" i="24" s="1"/>
  <c r="AT47" i="24" s="1"/>
  <c r="AT156" i="24"/>
  <c r="R8" i="48"/>
  <c r="AH48" i="37"/>
  <c r="AG67" i="37"/>
  <c r="AG66" i="37"/>
  <c r="AV36" i="10"/>
  <c r="AV47" i="10" s="1"/>
  <c r="N35" i="21"/>
  <c r="N36" i="21" s="1"/>
  <c r="N138" i="21"/>
  <c r="L47" i="29"/>
  <c r="L40" i="29"/>
  <c r="Q53" i="21"/>
  <c r="T4" i="46"/>
  <c r="AQ52" i="32"/>
  <c r="L47" i="10"/>
  <c r="L54" i="10" s="1"/>
  <c r="L40" i="10"/>
  <c r="R7" i="43"/>
  <c r="R35" i="12"/>
  <c r="R35" i="36"/>
  <c r="AV135" i="26"/>
  <c r="AV136" i="26" s="1"/>
  <c r="AV34" i="26"/>
  <c r="N8" i="46"/>
  <c r="M53" i="29"/>
  <c r="M54" i="29" s="1"/>
  <c r="K59" i="29"/>
  <c r="AQ140" i="10"/>
  <c r="AQ141" i="10" s="1"/>
  <c r="AQ35" i="10" s="1"/>
  <c r="AQ34" i="10"/>
  <c r="L43" i="21"/>
  <c r="L91" i="21"/>
  <c r="AH126" i="26"/>
  <c r="AI69" i="12"/>
  <c r="AI77" i="12" s="1"/>
  <c r="AI69" i="36"/>
  <c r="AI77" i="36" s="1"/>
  <c r="L156" i="24"/>
  <c r="L35" i="24"/>
  <c r="L36" i="24" s="1"/>
  <c r="L135" i="9"/>
  <c r="L35" i="9" s="1"/>
  <c r="L36" i="9" s="1"/>
  <c r="L137" i="9"/>
  <c r="I58" i="5"/>
  <c r="I59" i="5" s="1"/>
  <c r="J44" i="5"/>
  <c r="M7" i="46"/>
  <c r="AU46" i="37" s="1"/>
  <c r="L53" i="24"/>
  <c r="AH35" i="29"/>
  <c r="AH36" i="29" s="1"/>
  <c r="AH47" i="29" s="1"/>
  <c r="AH154" i="29"/>
  <c r="M91" i="29"/>
  <c r="M43" i="29"/>
  <c r="M83" i="36"/>
  <c r="H60" i="5"/>
  <c r="H61" i="5"/>
  <c r="M155" i="10"/>
  <c r="M152" i="10"/>
  <c r="N150" i="10" s="1"/>
  <c r="M50" i="10"/>
  <c r="M51" i="10" s="1"/>
  <c r="M53" i="10" s="1"/>
  <c r="M54" i="10" s="1"/>
  <c r="M151" i="10"/>
  <c r="M37" i="10"/>
  <c r="M40" i="10" s="1"/>
  <c r="M37" i="24"/>
  <c r="M40" i="24" s="1"/>
  <c r="M163" i="24"/>
  <c r="N161" i="24" s="1"/>
  <c r="M162" i="24"/>
  <c r="M50" i="24"/>
  <c r="M51" i="24" s="1"/>
  <c r="M166" i="24"/>
  <c r="L47" i="8"/>
  <c r="L54" i="8" s="1"/>
  <c r="L40" i="8"/>
  <c r="N161" i="29"/>
  <c r="O159" i="29" s="1"/>
  <c r="N37" i="29"/>
  <c r="N40" i="29" s="1"/>
  <c r="N160" i="29"/>
  <c r="N50" i="29"/>
  <c r="N51" i="29" s="1"/>
  <c r="N164" i="29"/>
  <c r="AQ34" i="29"/>
  <c r="AQ151" i="29"/>
  <c r="AQ152" i="29" s="1"/>
  <c r="AW82" i="12"/>
  <c r="AX35" i="12"/>
  <c r="AX35" i="36"/>
  <c r="AQ144" i="24"/>
  <c r="AR41" i="36"/>
  <c r="AR49" i="36" s="1"/>
  <c r="AR41" i="12"/>
  <c r="AW80" i="36"/>
  <c r="N136" i="21"/>
  <c r="O135" i="21" s="1"/>
  <c r="O136" i="21" s="1"/>
  <c r="P135" i="21" s="1"/>
  <c r="L140" i="8"/>
  <c r="M139" i="8" s="1"/>
  <c r="L142" i="8"/>
  <c r="AH135" i="9"/>
  <c r="AH35" i="9" s="1"/>
  <c r="AH36" i="9" s="1"/>
  <c r="AH47" i="9" s="1"/>
  <c r="AX41" i="12"/>
  <c r="AX80" i="12" s="1"/>
  <c r="AX41" i="36"/>
  <c r="AX80" i="36" s="1"/>
  <c r="AW144" i="24"/>
  <c r="L54" i="29"/>
  <c r="AR35" i="12"/>
  <c r="AR35" i="36"/>
  <c r="AV34" i="29"/>
  <c r="AV151" i="29"/>
  <c r="AV152" i="29" s="1"/>
  <c r="AI35" i="12"/>
  <c r="AI35" i="36"/>
  <c r="Q35" i="29"/>
  <c r="Q36" i="29" s="1"/>
  <c r="Q47" i="29" s="1"/>
  <c r="Q154" i="29"/>
  <c r="Q34" i="26"/>
  <c r="Q135" i="26"/>
  <c r="Q136" i="26" s="1"/>
  <c r="AV34" i="24"/>
  <c r="AV153" i="24"/>
  <c r="AV154" i="24" s="1"/>
  <c r="AQ126" i="9"/>
  <c r="AR68" i="36"/>
  <c r="AR77" i="36" s="1"/>
  <c r="AR68" i="12"/>
  <c r="AR77" i="12" s="1"/>
  <c r="M138" i="21"/>
  <c r="M35" i="21"/>
  <c r="M36" i="21" s="1"/>
  <c r="AW79" i="36"/>
  <c r="AR51" i="32"/>
  <c r="AR52" i="32" s="1"/>
  <c r="AS37" i="32"/>
  <c r="K94" i="10"/>
  <c r="K93" i="10"/>
  <c r="AW35" i="29"/>
  <c r="AW36" i="29" s="1"/>
  <c r="AW47" i="29" s="1"/>
  <c r="AW154" i="29"/>
  <c r="AI41" i="12"/>
  <c r="AI80" i="12" s="1"/>
  <c r="AH144" i="24"/>
  <c r="AI41" i="36"/>
  <c r="AW135" i="9"/>
  <c r="AW35" i="9" s="1"/>
  <c r="AW36" i="9" s="1"/>
  <c r="AW47" i="9" s="1"/>
  <c r="N3" i="48"/>
  <c r="AD45" i="37"/>
  <c r="AR79" i="36"/>
  <c r="R7" i="44"/>
  <c r="P46" i="37" s="1"/>
  <c r="Q144" i="24"/>
  <c r="R41" i="12"/>
  <c r="R41" i="36"/>
  <c r="AV135" i="9"/>
  <c r="AV35" i="9" s="1"/>
  <c r="AV36" i="9" s="1"/>
  <c r="AV47" i="9" s="1"/>
  <c r="AV137" i="9"/>
  <c r="S3" i="44"/>
  <c r="Q48" i="37" s="1"/>
  <c r="Q126" i="9"/>
  <c r="R68" i="12"/>
  <c r="R68" i="36"/>
  <c r="AQ34" i="26"/>
  <c r="AQ135" i="26"/>
  <c r="AQ136" i="26" s="1"/>
  <c r="H143" i="10"/>
  <c r="I142" i="10" s="1"/>
  <c r="I143" i="10" s="1"/>
  <c r="J142" i="10" s="1"/>
  <c r="F168" i="12"/>
  <c r="F58" i="10"/>
  <c r="F59" i="10" s="1"/>
  <c r="F60" i="10" s="1"/>
  <c r="F61" i="10" s="1"/>
  <c r="G44" i="10"/>
  <c r="E59" i="10"/>
  <c r="D91" i="24"/>
  <c r="D43" i="24"/>
  <c r="G5" i="38" s="1"/>
  <c r="G5" i="40" s="1"/>
  <c r="I138" i="26"/>
  <c r="J137" i="26" s="1"/>
  <c r="J138" i="26" s="1"/>
  <c r="K137" i="26" s="1"/>
  <c r="O94" i="5"/>
  <c r="O93" i="5"/>
  <c r="R37" i="21"/>
  <c r="R145" i="21"/>
  <c r="S143" i="21" s="1"/>
  <c r="R144" i="21"/>
  <c r="R50" i="21"/>
  <c r="R51" i="21" s="1"/>
  <c r="R53" i="21" s="1"/>
  <c r="R148" i="21"/>
  <c r="P43" i="5"/>
  <c r="P91" i="5"/>
  <c r="Q37" i="5"/>
  <c r="Q40" i="5" s="1"/>
  <c r="Q140" i="5"/>
  <c r="Q137" i="5"/>
  <c r="R135" i="5" s="1"/>
  <c r="Q136" i="5"/>
  <c r="Q50" i="5"/>
  <c r="Q51" i="5" s="1"/>
  <c r="Q53" i="5" s="1"/>
  <c r="Q54" i="5" s="1"/>
  <c r="F162" i="36"/>
  <c r="H140" i="26"/>
  <c r="H35" i="26"/>
  <c r="I137" i="12" s="1"/>
  <c r="F47" i="26"/>
  <c r="G36" i="26"/>
  <c r="H138" i="12" s="1"/>
  <c r="H149" i="12" s="1"/>
  <c r="G138" i="12"/>
  <c r="G149" i="12" s="1"/>
  <c r="E40" i="26"/>
  <c r="E47" i="26"/>
  <c r="E54" i="26" s="1"/>
  <c r="E66" i="26"/>
  <c r="I140" i="26"/>
  <c r="I35" i="26"/>
  <c r="J93" i="24"/>
  <c r="J94" i="24"/>
  <c r="D44" i="26"/>
  <c r="S53" i="8"/>
  <c r="T148" i="8"/>
  <c r="T37" i="8"/>
  <c r="T149" i="8"/>
  <c r="U147" i="8" s="1"/>
  <c r="T50" i="8"/>
  <c r="T51" i="8" s="1"/>
  <c r="T152" i="8"/>
  <c r="Q53" i="9"/>
  <c r="R50" i="9"/>
  <c r="R51" i="9" s="1"/>
  <c r="R37" i="9"/>
  <c r="R40" i="9" s="1"/>
  <c r="R144" i="9"/>
  <c r="S142" i="9" s="1"/>
  <c r="R143" i="9"/>
  <c r="R147" i="9"/>
  <c r="K93" i="24"/>
  <c r="K94" i="24"/>
  <c r="D60" i="9"/>
  <c r="D61" i="9"/>
  <c r="E58" i="9"/>
  <c r="E59" i="9" s="1"/>
  <c r="F44" i="9"/>
  <c r="O93" i="9"/>
  <c r="O94" i="9"/>
  <c r="P93" i="9"/>
  <c r="P94" i="9"/>
  <c r="K58" i="8"/>
  <c r="M94" i="9"/>
  <c r="M93" i="9"/>
  <c r="AI80" i="36" l="1"/>
  <c r="AW136" i="36"/>
  <c r="AW137" i="36" s="1"/>
  <c r="AW138" i="36" s="1"/>
  <c r="AW150" i="36" s="1"/>
  <c r="AW137" i="9"/>
  <c r="AR49" i="12"/>
  <c r="S5" i="45"/>
  <c r="T5" i="45"/>
  <c r="T5" i="48" s="1"/>
  <c r="AJ66" i="37" s="1"/>
  <c r="F24" i="37" s="1"/>
  <c r="R47" i="37"/>
  <c r="R49" i="37"/>
  <c r="I6" i="38"/>
  <c r="I6" i="40" s="1"/>
  <c r="F5" i="38"/>
  <c r="F5" i="40" s="1"/>
  <c r="D16" i="37" s="1"/>
  <c r="S5" i="48"/>
  <c r="AI66" i="37" s="1"/>
  <c r="AI49" i="37"/>
  <c r="BB47" i="37"/>
  <c r="AW136" i="12"/>
  <c r="P49" i="37"/>
  <c r="P50" i="37"/>
  <c r="AR53" i="32"/>
  <c r="AR54" i="32"/>
  <c r="P138" i="21"/>
  <c r="P35" i="21"/>
  <c r="P36" i="21" s="1"/>
  <c r="R77" i="36"/>
  <c r="R80" i="36"/>
  <c r="Q34" i="24"/>
  <c r="S136" i="12" s="1"/>
  <c r="Q153" i="24"/>
  <c r="Q154" i="24" s="1"/>
  <c r="P136" i="21"/>
  <c r="Q135" i="21" s="1"/>
  <c r="AR80" i="12"/>
  <c r="AQ154" i="29"/>
  <c r="AQ35" i="29"/>
  <c r="AQ36" i="29" s="1"/>
  <c r="AQ47" i="29" s="1"/>
  <c r="M93" i="29"/>
  <c r="M94" i="29"/>
  <c r="L44" i="21"/>
  <c r="L91" i="10"/>
  <c r="L43" i="10"/>
  <c r="R77" i="12"/>
  <c r="R80" i="12"/>
  <c r="AH34" i="24"/>
  <c r="AH153" i="24"/>
  <c r="AH154" i="24" s="1"/>
  <c r="AT37" i="32"/>
  <c r="AS51" i="32"/>
  <c r="AS52" i="32" s="1"/>
  <c r="M40" i="21"/>
  <c r="M47" i="21"/>
  <c r="M54" i="21" s="1"/>
  <c r="AR80" i="36"/>
  <c r="AR136" i="36" s="1"/>
  <c r="AR137" i="36" s="1"/>
  <c r="AR138" i="36" s="1"/>
  <c r="AR150" i="36" s="1"/>
  <c r="L40" i="9"/>
  <c r="L47" i="9"/>
  <c r="L54" i="9" s="1"/>
  <c r="Q34" i="9"/>
  <c r="Q134" i="9"/>
  <c r="Q147" i="9"/>
  <c r="AR82" i="36"/>
  <c r="AR82" i="12"/>
  <c r="AQ153" i="24"/>
  <c r="AQ154" i="24" s="1"/>
  <c r="AQ34" i="24"/>
  <c r="N7" i="46"/>
  <c r="AV46" i="37" s="1"/>
  <c r="M53" i="24"/>
  <c r="M54" i="24" s="1"/>
  <c r="N50" i="10"/>
  <c r="N51" i="10" s="1"/>
  <c r="N53" i="10" s="1"/>
  <c r="N54" i="10" s="1"/>
  <c r="N37" i="10"/>
  <c r="N40" i="10" s="1"/>
  <c r="N151" i="10"/>
  <c r="N152" i="10"/>
  <c r="O150" i="10" s="1"/>
  <c r="N155" i="10"/>
  <c r="L47" i="24"/>
  <c r="L54" i="24" s="1"/>
  <c r="L40" i="24"/>
  <c r="AQ36" i="10"/>
  <c r="AQ47" i="10" s="1"/>
  <c r="R49" i="36"/>
  <c r="R79" i="36"/>
  <c r="L91" i="29"/>
  <c r="L43" i="29"/>
  <c r="N8" i="38" s="1"/>
  <c r="N8" i="40" s="1"/>
  <c r="O8" i="46"/>
  <c r="N53" i="29"/>
  <c r="N54" i="29" s="1"/>
  <c r="K61" i="29"/>
  <c r="K60" i="29"/>
  <c r="R79" i="12"/>
  <c r="R49" i="12"/>
  <c r="AQ53" i="32"/>
  <c r="AQ54" i="32"/>
  <c r="AI49" i="36"/>
  <c r="AI82" i="36" s="1"/>
  <c r="AI79" i="36"/>
  <c r="AI136" i="36" s="1"/>
  <c r="AI137" i="36" s="1"/>
  <c r="AI138" i="36" s="1"/>
  <c r="AI150" i="36" s="1"/>
  <c r="AW34" i="24"/>
  <c r="AX136" i="12" s="1"/>
  <c r="AW153" i="24"/>
  <c r="AW154" i="24" s="1"/>
  <c r="N37" i="24"/>
  <c r="N40" i="24" s="1"/>
  <c r="N163" i="24"/>
  <c r="O161" i="24" s="1"/>
  <c r="N50" i="24"/>
  <c r="N51" i="24" s="1"/>
  <c r="N162" i="24"/>
  <c r="N166" i="24"/>
  <c r="R7" i="45"/>
  <c r="AH46" i="37" s="1"/>
  <c r="Q136" i="21"/>
  <c r="R135" i="21" s="1"/>
  <c r="AQ34" i="9"/>
  <c r="AQ134" i="9"/>
  <c r="AI49" i="12"/>
  <c r="AI82" i="12" s="1"/>
  <c r="AI79" i="12"/>
  <c r="M140" i="8"/>
  <c r="N139" i="8" s="1"/>
  <c r="M35" i="8"/>
  <c r="M36" i="8" s="1"/>
  <c r="M142" i="8"/>
  <c r="N43" i="29"/>
  <c r="O8" i="38" s="1"/>
  <c r="O8" i="40" s="1"/>
  <c r="N91" i="29"/>
  <c r="M43" i="24"/>
  <c r="M91" i="24"/>
  <c r="AR79" i="12"/>
  <c r="Q45" i="37"/>
  <c r="S3" i="45"/>
  <c r="AI48" i="37" s="1"/>
  <c r="AX49" i="36"/>
  <c r="AX82" i="36" s="1"/>
  <c r="AX79" i="36"/>
  <c r="AX136" i="36" s="1"/>
  <c r="AX137" i="36" s="1"/>
  <c r="AX138" i="36" s="1"/>
  <c r="AX150" i="36" s="1"/>
  <c r="E145" i="12"/>
  <c r="F171" i="12" s="1"/>
  <c r="E7" i="38"/>
  <c r="E7" i="40" s="1"/>
  <c r="O37" i="29"/>
  <c r="O40" i="29" s="1"/>
  <c r="O161" i="29"/>
  <c r="P159" i="29" s="1"/>
  <c r="O160" i="29"/>
  <c r="O164" i="29"/>
  <c r="O50" i="29"/>
  <c r="O51" i="29" s="1"/>
  <c r="J58" i="5"/>
  <c r="K44" i="5"/>
  <c r="AH34" i="26"/>
  <c r="AH135" i="26"/>
  <c r="AH136" i="26" s="1"/>
  <c r="N40" i="21"/>
  <c r="N47" i="21"/>
  <c r="N54" i="21" s="1"/>
  <c r="AV156" i="24"/>
  <c r="AV35" i="24"/>
  <c r="AV36" i="24" s="1"/>
  <c r="AV47" i="24" s="1"/>
  <c r="O138" i="21"/>
  <c r="O35" i="21"/>
  <c r="O36" i="21" s="1"/>
  <c r="AV35" i="29"/>
  <c r="AV36" i="29" s="1"/>
  <c r="AV47" i="29" s="1"/>
  <c r="AV154" i="29"/>
  <c r="AH137" i="9"/>
  <c r="L43" i="8"/>
  <c r="N4" i="38" s="1"/>
  <c r="N4" i="40" s="1"/>
  <c r="L91" i="8"/>
  <c r="M43" i="10"/>
  <c r="M91" i="10"/>
  <c r="I61" i="5"/>
  <c r="I60" i="5"/>
  <c r="L94" i="21"/>
  <c r="L93" i="21"/>
  <c r="AW83" i="36"/>
  <c r="I145" i="10"/>
  <c r="E44" i="24"/>
  <c r="E58" i="24" s="1"/>
  <c r="E59" i="24" s="1"/>
  <c r="K44" i="24"/>
  <c r="K58" i="24" s="1"/>
  <c r="J35" i="26"/>
  <c r="J36" i="26" s="1"/>
  <c r="J44" i="24"/>
  <c r="J58" i="24" s="1"/>
  <c r="I44" i="24"/>
  <c r="I58" i="24" s="1"/>
  <c r="G44" i="24"/>
  <c r="G58" i="24" s="1"/>
  <c r="H44" i="24"/>
  <c r="H58" i="24" s="1"/>
  <c r="F44" i="24"/>
  <c r="F58" i="24" s="1"/>
  <c r="J145" i="10"/>
  <c r="E60" i="10"/>
  <c r="E61" i="10"/>
  <c r="E146" i="12"/>
  <c r="E160" i="12" s="1"/>
  <c r="E161" i="12" s="1"/>
  <c r="E163" i="12" s="1"/>
  <c r="G58" i="10"/>
  <c r="G59" i="10" s="1"/>
  <c r="H44" i="10"/>
  <c r="J143" i="10"/>
  <c r="K142" i="10" s="1"/>
  <c r="K143" i="10" s="1"/>
  <c r="L142" i="10" s="1"/>
  <c r="L145" i="10" s="1"/>
  <c r="J140" i="26"/>
  <c r="E193" i="12"/>
  <c r="R37" i="5"/>
  <c r="R40" i="5" s="1"/>
  <c r="R136" i="5"/>
  <c r="R137" i="5"/>
  <c r="S135" i="5" s="1"/>
  <c r="R140" i="5"/>
  <c r="R50" i="5"/>
  <c r="R51" i="5" s="1"/>
  <c r="R53" i="5" s="1"/>
  <c r="R54" i="5" s="1"/>
  <c r="S37" i="21"/>
  <c r="S145" i="21"/>
  <c r="T143" i="21" s="1"/>
  <c r="S144" i="21"/>
  <c r="S50" i="21"/>
  <c r="S51" i="21" s="1"/>
  <c r="S53" i="21" s="1"/>
  <c r="S148" i="21"/>
  <c r="Q43" i="5"/>
  <c r="Q91" i="5"/>
  <c r="P94" i="5"/>
  <c r="P93" i="5"/>
  <c r="K140" i="26"/>
  <c r="K35" i="26"/>
  <c r="E91" i="26"/>
  <c r="F193" i="12" s="1"/>
  <c r="E43" i="26"/>
  <c r="F163" i="36"/>
  <c r="F164" i="36"/>
  <c r="G47" i="26"/>
  <c r="D144" i="26"/>
  <c r="E143" i="26" s="1"/>
  <c r="F143" i="26" s="1"/>
  <c r="D58" i="26"/>
  <c r="I36" i="26"/>
  <c r="K138" i="26"/>
  <c r="L137" i="26" s="1"/>
  <c r="H36" i="26"/>
  <c r="I138" i="12" s="1"/>
  <c r="I149" i="12" s="1"/>
  <c r="J137" i="12"/>
  <c r="T53" i="8"/>
  <c r="U149" i="8"/>
  <c r="V147" i="8" s="1"/>
  <c r="U50" i="8"/>
  <c r="U51" i="8" s="1"/>
  <c r="U148" i="8"/>
  <c r="U37" i="8"/>
  <c r="U152" i="8"/>
  <c r="R53" i="9"/>
  <c r="R54" i="9" s="1"/>
  <c r="R91" i="9"/>
  <c r="R43" i="9"/>
  <c r="T9" i="38" s="1"/>
  <c r="T9" i="40" s="1"/>
  <c r="S143" i="9"/>
  <c r="S144" i="9"/>
  <c r="T142" i="9" s="1"/>
  <c r="S50" i="9"/>
  <c r="S51" i="9" s="1"/>
  <c r="S37" i="9"/>
  <c r="S40" i="9" s="1"/>
  <c r="S147" i="9"/>
  <c r="E60" i="9"/>
  <c r="E61" i="9"/>
  <c r="E72" i="9" s="1"/>
  <c r="G44" i="9"/>
  <c r="F58" i="9"/>
  <c r="F59" i="9" s="1"/>
  <c r="K59" i="8"/>
  <c r="R136" i="36" l="1"/>
  <c r="R137" i="36" s="1"/>
  <c r="R138" i="36" s="1"/>
  <c r="R150" i="36" s="1"/>
  <c r="R82" i="36"/>
  <c r="F59" i="24"/>
  <c r="AI136" i="12"/>
  <c r="AR83" i="36"/>
  <c r="R82" i="12"/>
  <c r="F172" i="12"/>
  <c r="AJ49" i="37"/>
  <c r="D17" i="37"/>
  <c r="C16" i="37"/>
  <c r="C17" i="37"/>
  <c r="C21" i="37" s="1"/>
  <c r="D21" i="37" s="1"/>
  <c r="N7" i="38"/>
  <c r="N7" i="40" s="1"/>
  <c r="J6" i="38"/>
  <c r="J6" i="40" s="1"/>
  <c r="G3" i="38"/>
  <c r="G3" i="40" s="1"/>
  <c r="AH50" i="37"/>
  <c r="R7" i="48"/>
  <c r="S3" i="48"/>
  <c r="AI45" i="37"/>
  <c r="R138" i="21"/>
  <c r="R35" i="21"/>
  <c r="R36" i="21" s="1"/>
  <c r="L43" i="24"/>
  <c r="L91" i="24"/>
  <c r="R136" i="12"/>
  <c r="AU37" i="32"/>
  <c r="AT51" i="32"/>
  <c r="L58" i="21"/>
  <c r="L59" i="21" s="1"/>
  <c r="Q35" i="24"/>
  <c r="Q36" i="24" s="1"/>
  <c r="Q47" i="24" s="1"/>
  <c r="Q156" i="24"/>
  <c r="AH49" i="37"/>
  <c r="AH35" i="24"/>
  <c r="AH36" i="24" s="1"/>
  <c r="AH47" i="24" s="1"/>
  <c r="AH156" i="24"/>
  <c r="N43" i="21"/>
  <c r="N91" i="21"/>
  <c r="P160" i="29"/>
  <c r="P37" i="29"/>
  <c r="P40" i="29" s="1"/>
  <c r="P161" i="29"/>
  <c r="Q159" i="29" s="1"/>
  <c r="P164" i="29"/>
  <c r="P50" i="29"/>
  <c r="P51" i="29" s="1"/>
  <c r="N142" i="8"/>
  <c r="N35" i="8"/>
  <c r="N36" i="8" s="1"/>
  <c r="N140" i="8"/>
  <c r="O139" i="8" s="1"/>
  <c r="O140" i="8" s="1"/>
  <c r="P139" i="8" s="1"/>
  <c r="AI83" i="36"/>
  <c r="AQ156" i="24"/>
  <c r="AQ35" i="24"/>
  <c r="AQ36" i="24" s="1"/>
  <c r="AQ47" i="24" s="1"/>
  <c r="L91" i="9"/>
  <c r="L43" i="9"/>
  <c r="N9" i="38" s="1"/>
  <c r="N9" i="40" s="1"/>
  <c r="M40" i="8"/>
  <c r="M47" i="8"/>
  <c r="M54" i="8" s="1"/>
  <c r="R136" i="21"/>
  <c r="S135" i="21" s="1"/>
  <c r="O91" i="29"/>
  <c r="O43" i="29"/>
  <c r="M93" i="24"/>
  <c r="M94" i="24"/>
  <c r="L44" i="29"/>
  <c r="L58" i="29" s="1"/>
  <c r="M8" i="38"/>
  <c r="M8" i="40" s="1"/>
  <c r="M44" i="29"/>
  <c r="M58" i="29" s="1"/>
  <c r="N44" i="29"/>
  <c r="N58" i="29" s="1"/>
  <c r="O152" i="10"/>
  <c r="P150" i="10" s="1"/>
  <c r="O151" i="10"/>
  <c r="O50" i="10"/>
  <c r="O51" i="10" s="1"/>
  <c r="O53" i="10" s="1"/>
  <c r="O54" i="10" s="1"/>
  <c r="O155" i="10"/>
  <c r="O37" i="10"/>
  <c r="O40" i="10" s="1"/>
  <c r="M93" i="10"/>
  <c r="M94" i="10"/>
  <c r="O40" i="21"/>
  <c r="O47" i="21"/>
  <c r="O54" i="21" s="1"/>
  <c r="O7" i="46"/>
  <c r="AW46" i="37" s="1"/>
  <c r="N53" i="24"/>
  <c r="N54" i="24" s="1"/>
  <c r="L93" i="29"/>
  <c r="L94" i="29"/>
  <c r="P40" i="21"/>
  <c r="P47" i="21"/>
  <c r="P54" i="21" s="1"/>
  <c r="K58" i="5"/>
  <c r="K59" i="5" s="1"/>
  <c r="L44" i="5"/>
  <c r="N94" i="29"/>
  <c r="N93" i="29"/>
  <c r="AQ135" i="9"/>
  <c r="AQ35" i="9" s="1"/>
  <c r="AQ36" i="9" s="1"/>
  <c r="AQ47" i="9" s="1"/>
  <c r="AQ137" i="9"/>
  <c r="O163" i="24"/>
  <c r="P161" i="24" s="1"/>
  <c r="O162" i="24"/>
  <c r="O50" i="24"/>
  <c r="O51" i="24" s="1"/>
  <c r="O166" i="24"/>
  <c r="O37" i="24"/>
  <c r="O40" i="24" s="1"/>
  <c r="N43" i="10"/>
  <c r="N91" i="10"/>
  <c r="J59" i="5"/>
  <c r="AR136" i="12"/>
  <c r="N91" i="24"/>
  <c r="N43" i="24"/>
  <c r="O7" i="38" s="1"/>
  <c r="O7" i="40" s="1"/>
  <c r="R83" i="36"/>
  <c r="M43" i="21"/>
  <c r="M91" i="21"/>
  <c r="L94" i="8"/>
  <c r="L93" i="8"/>
  <c r="P5" i="38"/>
  <c r="P5" i="40" s="1"/>
  <c r="L44" i="8"/>
  <c r="L58" i="8" s="1"/>
  <c r="L59" i="8" s="1"/>
  <c r="P8" i="46"/>
  <c r="O53" i="29"/>
  <c r="O54" i="29" s="1"/>
  <c r="AX83" i="36"/>
  <c r="AW156" i="24"/>
  <c r="AW35" i="24"/>
  <c r="AW36" i="24" s="1"/>
  <c r="AW47" i="24" s="1"/>
  <c r="Q135" i="9"/>
  <c r="Q35" i="9" s="1"/>
  <c r="Q36" i="9" s="1"/>
  <c r="AS54" i="32"/>
  <c r="AS53" i="32"/>
  <c r="L94" i="10"/>
  <c r="L93" i="10"/>
  <c r="Q138" i="21"/>
  <c r="Q35" i="21"/>
  <c r="Q36" i="21" s="1"/>
  <c r="K137" i="12"/>
  <c r="L137" i="12"/>
  <c r="H59" i="24"/>
  <c r="H60" i="24" s="1"/>
  <c r="H61" i="24" s="1"/>
  <c r="J59" i="24"/>
  <c r="J60" i="24" s="1"/>
  <c r="K59" i="24"/>
  <c r="K61" i="24" s="1"/>
  <c r="I59" i="24"/>
  <c r="I61" i="24" s="1"/>
  <c r="G59" i="24"/>
  <c r="G60" i="24" s="1"/>
  <c r="G61" i="24" s="1"/>
  <c r="E162" i="12"/>
  <c r="L143" i="10"/>
  <c r="M142" i="10" s="1"/>
  <c r="M145" i="10" s="1"/>
  <c r="F145" i="12"/>
  <c r="K145" i="10"/>
  <c r="G60" i="10"/>
  <c r="G61" i="10"/>
  <c r="H58" i="10"/>
  <c r="H59" i="10" s="1"/>
  <c r="I44" i="10"/>
  <c r="G143" i="26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T144" i="26" s="1"/>
  <c r="U143" i="26" s="1"/>
  <c r="V143" i="26" s="1"/>
  <c r="W143" i="26" s="1"/>
  <c r="X143" i="26" s="1"/>
  <c r="Y143" i="26" s="1"/>
  <c r="Z143" i="26" s="1"/>
  <c r="AA143" i="26" s="1"/>
  <c r="AB143" i="26" s="1"/>
  <c r="AC143" i="26" s="1"/>
  <c r="AD143" i="26" s="1"/>
  <c r="AE143" i="26" s="1"/>
  <c r="AF143" i="26" s="1"/>
  <c r="AG143" i="26" s="1"/>
  <c r="F145" i="26"/>
  <c r="Q93" i="5"/>
  <c r="Q94" i="5"/>
  <c r="S37" i="5"/>
  <c r="S40" i="5" s="1"/>
  <c r="S50" i="5"/>
  <c r="S51" i="5" s="1"/>
  <c r="S53" i="5" s="1"/>
  <c r="S54" i="5" s="1"/>
  <c r="S137" i="5"/>
  <c r="T135" i="5" s="1"/>
  <c r="S136" i="5"/>
  <c r="S140" i="5"/>
  <c r="R91" i="5"/>
  <c r="R43" i="5"/>
  <c r="T148" i="21"/>
  <c r="T37" i="21"/>
  <c r="T145" i="21"/>
  <c r="U143" i="21" s="1"/>
  <c r="T144" i="21"/>
  <c r="T50" i="21"/>
  <c r="T51" i="21" s="1"/>
  <c r="D59" i="26"/>
  <c r="K36" i="26"/>
  <c r="L138" i="12" s="1"/>
  <c r="L149" i="12" s="1"/>
  <c r="L140" i="26"/>
  <c r="L35" i="26"/>
  <c r="M137" i="12" s="1"/>
  <c r="E93" i="26"/>
  <c r="E94" i="26"/>
  <c r="F60" i="24"/>
  <c r="F61" i="24" s="1"/>
  <c r="E60" i="24"/>
  <c r="E61" i="24"/>
  <c r="K138" i="12"/>
  <c r="K149" i="12" s="1"/>
  <c r="I47" i="26"/>
  <c r="H47" i="26"/>
  <c r="J138" i="12"/>
  <c r="J149" i="12" s="1"/>
  <c r="J47" i="26"/>
  <c r="E44" i="26"/>
  <c r="F146" i="12" s="1"/>
  <c r="F160" i="12" s="1"/>
  <c r="F161" i="12" s="1"/>
  <c r="L138" i="26"/>
  <c r="M137" i="26" s="1"/>
  <c r="M138" i="26" s="1"/>
  <c r="N137" i="26" s="1"/>
  <c r="U53" i="8"/>
  <c r="V148" i="8"/>
  <c r="V37" i="8"/>
  <c r="V50" i="8"/>
  <c r="V51" i="8" s="1"/>
  <c r="V149" i="8"/>
  <c r="W147" i="8" s="1"/>
  <c r="V152" i="8"/>
  <c r="S53" i="9"/>
  <c r="S54" i="9" s="1"/>
  <c r="S91" i="9"/>
  <c r="S43" i="9"/>
  <c r="R93" i="9"/>
  <c r="R94" i="9"/>
  <c r="T50" i="9"/>
  <c r="T51" i="9" s="1"/>
  <c r="T143" i="9"/>
  <c r="T144" i="9"/>
  <c r="U142" i="9" s="1"/>
  <c r="T37" i="9"/>
  <c r="T40" i="9" s="1"/>
  <c r="T147" i="9"/>
  <c r="F60" i="9"/>
  <c r="F61" i="9"/>
  <c r="G58" i="9"/>
  <c r="H44" i="9"/>
  <c r="R40" i="21"/>
  <c r="R47" i="21"/>
  <c r="R54" i="21" s="1"/>
  <c r="L60" i="8"/>
  <c r="L61" i="8"/>
  <c r="E72" i="8" s="1"/>
  <c r="K61" i="8"/>
  <c r="K60" i="8"/>
  <c r="Q137" i="9" l="1"/>
  <c r="E17" i="37"/>
  <c r="E21" i="37" s="1"/>
  <c r="E16" i="37"/>
  <c r="N5" i="38"/>
  <c r="N5" i="40" s="1"/>
  <c r="O5" i="38"/>
  <c r="O5" i="40" s="1"/>
  <c r="AH66" i="37"/>
  <c r="AH67" i="37"/>
  <c r="K61" i="5"/>
  <c r="K60" i="5"/>
  <c r="P43" i="29"/>
  <c r="P91" i="29"/>
  <c r="M7" i="38"/>
  <c r="M7" i="40" s="1"/>
  <c r="M44" i="24"/>
  <c r="M58" i="24" s="1"/>
  <c r="N44" i="24"/>
  <c r="N58" i="24" s="1"/>
  <c r="L44" i="24"/>
  <c r="L58" i="24" s="1"/>
  <c r="O43" i="24"/>
  <c r="O91" i="24"/>
  <c r="O142" i="8"/>
  <c r="O35" i="8"/>
  <c r="O36" i="8" s="1"/>
  <c r="Q140" i="8"/>
  <c r="R139" i="8" s="1"/>
  <c r="L58" i="5"/>
  <c r="M44" i="5"/>
  <c r="O43" i="10"/>
  <c r="O91" i="10"/>
  <c r="M59" i="29"/>
  <c r="L59" i="29"/>
  <c r="P140" i="8"/>
  <c r="Q139" i="8" s="1"/>
  <c r="N94" i="21"/>
  <c r="N93" i="21"/>
  <c r="M44" i="21"/>
  <c r="M43" i="8"/>
  <c r="O4" i="38" s="1"/>
  <c r="O4" i="40" s="1"/>
  <c r="M91" i="8"/>
  <c r="N40" i="8"/>
  <c r="N47" i="8"/>
  <c r="N54" i="8" s="1"/>
  <c r="L60" i="21"/>
  <c r="L61" i="21" s="1"/>
  <c r="E72" i="21" s="1"/>
  <c r="AT52" i="32"/>
  <c r="P7" i="46"/>
  <c r="AX46" i="37" s="1"/>
  <c r="O53" i="24"/>
  <c r="O54" i="24" s="1"/>
  <c r="Q47" i="9"/>
  <c r="Q54" i="9" s="1"/>
  <c r="Q40" i="9"/>
  <c r="Q47" i="21"/>
  <c r="Q54" i="21" s="1"/>
  <c r="Q40" i="21"/>
  <c r="P166" i="24"/>
  <c r="P163" i="24"/>
  <c r="Q161" i="24" s="1"/>
  <c r="P162" i="24"/>
  <c r="P50" i="24"/>
  <c r="P51" i="24" s="1"/>
  <c r="P37" i="24"/>
  <c r="P40" i="24" s="1"/>
  <c r="C19" i="37"/>
  <c r="D19" i="37" s="1"/>
  <c r="C20" i="37"/>
  <c r="D20" i="37" s="1"/>
  <c r="P8" i="38"/>
  <c r="P8" i="40" s="1"/>
  <c r="O44" i="29"/>
  <c r="O58" i="29" s="1"/>
  <c r="O59" i="29" s="1"/>
  <c r="O60" i="29" s="1"/>
  <c r="L93" i="9"/>
  <c r="L94" i="9"/>
  <c r="Q8" i="46"/>
  <c r="P53" i="29"/>
  <c r="P54" i="29" s="1"/>
  <c r="AU51" i="32"/>
  <c r="AU52" i="32" s="1"/>
  <c r="AV37" i="32"/>
  <c r="N93" i="24"/>
  <c r="N94" i="24"/>
  <c r="J61" i="5"/>
  <c r="J60" i="5"/>
  <c r="P151" i="10"/>
  <c r="P37" i="10"/>
  <c r="P40" i="10" s="1"/>
  <c r="P50" i="10"/>
  <c r="P51" i="10" s="1"/>
  <c r="P53" i="10" s="1"/>
  <c r="P54" i="10" s="1"/>
  <c r="P155" i="10"/>
  <c r="P152" i="10"/>
  <c r="Q150" i="10" s="1"/>
  <c r="O93" i="29"/>
  <c r="O94" i="29"/>
  <c r="P35" i="8"/>
  <c r="P36" i="8" s="1"/>
  <c r="P142" i="8"/>
  <c r="M94" i="21"/>
  <c r="M93" i="21"/>
  <c r="N93" i="10"/>
  <c r="N94" i="10"/>
  <c r="P91" i="21"/>
  <c r="P43" i="21"/>
  <c r="O91" i="21"/>
  <c r="O43" i="21"/>
  <c r="N59" i="29"/>
  <c r="S136" i="21"/>
  <c r="T135" i="21" s="1"/>
  <c r="S138" i="21"/>
  <c r="S35" i="21"/>
  <c r="S36" i="21" s="1"/>
  <c r="S47" i="21" s="1"/>
  <c r="S54" i="21" s="1"/>
  <c r="Q50" i="29"/>
  <c r="Q51" i="29" s="1"/>
  <c r="Q164" i="29"/>
  <c r="Q37" i="29"/>
  <c r="Q40" i="29" s="1"/>
  <c r="Q161" i="29"/>
  <c r="R159" i="29" s="1"/>
  <c r="Q160" i="29"/>
  <c r="L93" i="24"/>
  <c r="L94" i="24"/>
  <c r="J61" i="24"/>
  <c r="E72" i="24" s="1"/>
  <c r="K60" i="24"/>
  <c r="AG144" i="26"/>
  <c r="AH143" i="26" s="1"/>
  <c r="I60" i="24"/>
  <c r="M143" i="10"/>
  <c r="N142" i="10" s="1"/>
  <c r="N145" i="10" s="1"/>
  <c r="F195" i="12"/>
  <c r="F163" i="12"/>
  <c r="F162" i="12"/>
  <c r="I58" i="10"/>
  <c r="J44" i="10"/>
  <c r="H60" i="10"/>
  <c r="H61" i="10"/>
  <c r="F196" i="12"/>
  <c r="S43" i="5"/>
  <c r="S91" i="5"/>
  <c r="T53" i="21"/>
  <c r="R93" i="5"/>
  <c r="R94" i="5"/>
  <c r="U37" i="21"/>
  <c r="U145" i="21"/>
  <c r="V143" i="21" s="1"/>
  <c r="U50" i="21"/>
  <c r="U51" i="21" s="1"/>
  <c r="U53" i="21" s="1"/>
  <c r="U144" i="21"/>
  <c r="U148" i="21"/>
  <c r="F150" i="26"/>
  <c r="F147" i="26"/>
  <c r="G145" i="26" s="1"/>
  <c r="F146" i="26"/>
  <c r="F50" i="26"/>
  <c r="F51" i="26" s="1"/>
  <c r="F37" i="26"/>
  <c r="T136" i="5"/>
  <c r="T37" i="5"/>
  <c r="T40" i="5" s="1"/>
  <c r="T137" i="5"/>
  <c r="U135" i="5" s="1"/>
  <c r="T140" i="5"/>
  <c r="T50" i="5"/>
  <c r="T51" i="5" s="1"/>
  <c r="T53" i="5" s="1"/>
  <c r="T54" i="5" s="1"/>
  <c r="N140" i="26"/>
  <c r="N35" i="26"/>
  <c r="E58" i="26"/>
  <c r="E59" i="26" s="1"/>
  <c r="AH144" i="26"/>
  <c r="D61" i="26"/>
  <c r="D60" i="26"/>
  <c r="L36" i="26"/>
  <c r="M138" i="12" s="1"/>
  <c r="M149" i="12" s="1"/>
  <c r="K47" i="26"/>
  <c r="M140" i="26"/>
  <c r="M35" i="26"/>
  <c r="N137" i="12" s="1"/>
  <c r="N138" i="26"/>
  <c r="O137" i="26" s="1"/>
  <c r="V53" i="8"/>
  <c r="W149" i="8"/>
  <c r="X147" i="8" s="1"/>
  <c r="W148" i="8"/>
  <c r="W37" i="8"/>
  <c r="W50" i="8"/>
  <c r="W51" i="8" s="1"/>
  <c r="W152" i="8"/>
  <c r="T53" i="9"/>
  <c r="T54" i="9" s="1"/>
  <c r="T91" i="9"/>
  <c r="T43" i="9"/>
  <c r="S93" i="9"/>
  <c r="S94" i="9"/>
  <c r="U50" i="9"/>
  <c r="U51" i="9" s="1"/>
  <c r="U144" i="9"/>
  <c r="V142" i="9" s="1"/>
  <c r="U143" i="9"/>
  <c r="U37" i="9"/>
  <c r="U40" i="9" s="1"/>
  <c r="U147" i="9"/>
  <c r="H58" i="9"/>
  <c r="H59" i="9" s="1"/>
  <c r="I44" i="9"/>
  <c r="G59" i="9"/>
  <c r="R43" i="21"/>
  <c r="R91" i="21"/>
  <c r="S40" i="21" l="1"/>
  <c r="O61" i="29"/>
  <c r="E20" i="37"/>
  <c r="E19" i="37"/>
  <c r="K6" i="46"/>
  <c r="AS49" i="37" s="1"/>
  <c r="H3" i="46"/>
  <c r="AP48" i="37" s="1"/>
  <c r="N59" i="24"/>
  <c r="AU53" i="32"/>
  <c r="AU54" i="32"/>
  <c r="O93" i="21"/>
  <c r="O94" i="21"/>
  <c r="P47" i="8"/>
  <c r="P54" i="8" s="1"/>
  <c r="P40" i="8"/>
  <c r="L59" i="5"/>
  <c r="R142" i="8"/>
  <c r="R35" i="8"/>
  <c r="R36" i="8" s="1"/>
  <c r="Q7" i="46"/>
  <c r="AY46" i="37" s="1"/>
  <c r="P53" i="24"/>
  <c r="P54" i="24" s="1"/>
  <c r="N61" i="24"/>
  <c r="N60" i="24"/>
  <c r="R8" i="46"/>
  <c r="Q53" i="29"/>
  <c r="Q54" i="29" s="1"/>
  <c r="P94" i="21"/>
  <c r="P93" i="21"/>
  <c r="Q37" i="24"/>
  <c r="Q40" i="24" s="1"/>
  <c r="Q163" i="24"/>
  <c r="R161" i="24" s="1"/>
  <c r="Q162" i="24"/>
  <c r="Q50" i="24"/>
  <c r="Q51" i="24" s="1"/>
  <c r="Q166" i="24"/>
  <c r="Q142" i="8"/>
  <c r="Q35" i="8"/>
  <c r="Q36" i="8" s="1"/>
  <c r="R140" i="8"/>
  <c r="S139" i="8" s="1"/>
  <c r="O40" i="8"/>
  <c r="O47" i="8"/>
  <c r="O54" i="8" s="1"/>
  <c r="P93" i="29"/>
  <c r="P94" i="29"/>
  <c r="AT54" i="32"/>
  <c r="AT53" i="32"/>
  <c r="L60" i="29"/>
  <c r="L61" i="29"/>
  <c r="Q8" i="38"/>
  <c r="Q8" i="40" s="1"/>
  <c r="P44" i="29"/>
  <c r="P58" i="29" s="1"/>
  <c r="P59" i="29" s="1"/>
  <c r="Q50" i="10"/>
  <c r="Q51" i="10" s="1"/>
  <c r="Q53" i="10" s="1"/>
  <c r="Q54" i="10" s="1"/>
  <c r="Q151" i="10"/>
  <c r="Q37" i="10"/>
  <c r="Q40" i="10" s="1"/>
  <c r="Q152" i="10"/>
  <c r="R150" i="10" s="1"/>
  <c r="Q155" i="10"/>
  <c r="Q43" i="21"/>
  <c r="Q91" i="21"/>
  <c r="N91" i="8"/>
  <c r="N43" i="8"/>
  <c r="P4" i="38" s="1"/>
  <c r="P4" i="40" s="1"/>
  <c r="M60" i="29"/>
  <c r="M61" i="29"/>
  <c r="O94" i="24"/>
  <c r="O93" i="24"/>
  <c r="T35" i="21"/>
  <c r="T36" i="21" s="1"/>
  <c r="T136" i="21"/>
  <c r="U135" i="21" s="1"/>
  <c r="T138" i="21"/>
  <c r="AW37" i="32"/>
  <c r="AW51" i="32" s="1"/>
  <c r="AV51" i="32"/>
  <c r="AW52" i="32" s="1"/>
  <c r="M93" i="8"/>
  <c r="M94" i="8"/>
  <c r="O93" i="10"/>
  <c r="O94" i="10"/>
  <c r="O44" i="24"/>
  <c r="O58" i="24" s="1"/>
  <c r="O59" i="24" s="1"/>
  <c r="P7" i="38"/>
  <c r="P7" i="40" s="1"/>
  <c r="Q43" i="29"/>
  <c r="Q91" i="29"/>
  <c r="N60" i="29"/>
  <c r="N61" i="29"/>
  <c r="Q43" i="9"/>
  <c r="S9" i="38" s="1"/>
  <c r="S9" i="40" s="1"/>
  <c r="Q91" i="9"/>
  <c r="M44" i="8"/>
  <c r="Q5" i="38"/>
  <c r="Q5" i="40" s="1"/>
  <c r="L59" i="24"/>
  <c r="M59" i="24"/>
  <c r="R37" i="29"/>
  <c r="R40" i="29" s="1"/>
  <c r="R161" i="29"/>
  <c r="S159" i="29" s="1"/>
  <c r="R50" i="29"/>
  <c r="R51" i="29" s="1"/>
  <c r="R160" i="29"/>
  <c r="R164" i="29"/>
  <c r="P91" i="10"/>
  <c r="P43" i="10"/>
  <c r="P91" i="24"/>
  <c r="P43" i="24"/>
  <c r="M58" i="21"/>
  <c r="M59" i="21" s="1"/>
  <c r="N44" i="21"/>
  <c r="M58" i="5"/>
  <c r="M59" i="5" s="1"/>
  <c r="N44" i="5"/>
  <c r="F53" i="26"/>
  <c r="F54" i="26" s="1"/>
  <c r="AI143" i="26"/>
  <c r="AI144" i="26" s="1"/>
  <c r="AJ143" i="26" s="1"/>
  <c r="AK143" i="26" s="1"/>
  <c r="AL143" i="26" s="1"/>
  <c r="AM143" i="26" s="1"/>
  <c r="AN143" i="26" s="1"/>
  <c r="AO143" i="26" s="1"/>
  <c r="AP143" i="26" s="1"/>
  <c r="AQ143" i="26" s="1"/>
  <c r="AR143" i="26" s="1"/>
  <c r="AS143" i="26" s="1"/>
  <c r="AT143" i="26" s="1"/>
  <c r="AU143" i="26" s="1"/>
  <c r="AV143" i="26" s="1"/>
  <c r="AW143" i="26" s="1"/>
  <c r="N143" i="10"/>
  <c r="O142" i="10" s="1"/>
  <c r="O145" i="10" s="1"/>
  <c r="G139" i="36"/>
  <c r="G139" i="12"/>
  <c r="G152" i="12" s="1"/>
  <c r="G153" i="12" s="1"/>
  <c r="J58" i="10"/>
  <c r="J59" i="10" s="1"/>
  <c r="K44" i="10"/>
  <c r="I59" i="10"/>
  <c r="T91" i="5"/>
  <c r="T43" i="5"/>
  <c r="F40" i="26"/>
  <c r="G142" i="12" s="1"/>
  <c r="V37" i="21"/>
  <c r="V145" i="21"/>
  <c r="W143" i="21" s="1"/>
  <c r="V50" i="21"/>
  <c r="V51" i="21" s="1"/>
  <c r="V53" i="21" s="1"/>
  <c r="V144" i="21"/>
  <c r="V148" i="21"/>
  <c r="S93" i="5"/>
  <c r="S94" i="5"/>
  <c r="G146" i="26"/>
  <c r="G50" i="26"/>
  <c r="G51" i="26" s="1"/>
  <c r="G147" i="26"/>
  <c r="H145" i="26" s="1"/>
  <c r="G37" i="26"/>
  <c r="G150" i="26"/>
  <c r="U50" i="5"/>
  <c r="U51" i="5" s="1"/>
  <c r="U140" i="5"/>
  <c r="U37" i="5"/>
  <c r="U40" i="5" s="1"/>
  <c r="U137" i="5"/>
  <c r="V135" i="5" s="1"/>
  <c r="U136" i="5"/>
  <c r="O140" i="26"/>
  <c r="O35" i="26"/>
  <c r="P137" i="12" s="1"/>
  <c r="M36" i="26"/>
  <c r="N138" i="12" s="1"/>
  <c r="N149" i="12" s="1"/>
  <c r="O137" i="12"/>
  <c r="L47" i="26"/>
  <c r="O138" i="26"/>
  <c r="P137" i="26" s="1"/>
  <c r="N36" i="26"/>
  <c r="E61" i="26"/>
  <c r="E60" i="26"/>
  <c r="W53" i="8"/>
  <c r="X148" i="8"/>
  <c r="X37" i="8"/>
  <c r="X50" i="8"/>
  <c r="X51" i="8" s="1"/>
  <c r="X149" i="8"/>
  <c r="Y147" i="8" s="1"/>
  <c r="X152" i="8"/>
  <c r="U53" i="9"/>
  <c r="U54" i="9" s="1"/>
  <c r="T94" i="9"/>
  <c r="T93" i="9"/>
  <c r="U43" i="9"/>
  <c r="U91" i="9"/>
  <c r="V144" i="9"/>
  <c r="W142" i="9" s="1"/>
  <c r="V50" i="9"/>
  <c r="V51" i="9" s="1"/>
  <c r="V143" i="9"/>
  <c r="V37" i="9"/>
  <c r="V40" i="9" s="1"/>
  <c r="V147" i="9"/>
  <c r="H60" i="9"/>
  <c r="H61" i="9"/>
  <c r="G61" i="9"/>
  <c r="G60" i="9"/>
  <c r="I58" i="9"/>
  <c r="I59" i="9" s="1"/>
  <c r="J44" i="9"/>
  <c r="P60" i="29"/>
  <c r="P61" i="29"/>
  <c r="S43" i="21"/>
  <c r="S91" i="21"/>
  <c r="T47" i="21"/>
  <c r="T54" i="21" s="1"/>
  <c r="T40" i="21"/>
  <c r="R93" i="21"/>
  <c r="R94" i="21"/>
  <c r="R40" i="8"/>
  <c r="R47" i="8"/>
  <c r="R54" i="8" s="1"/>
  <c r="AS50" i="37" l="1"/>
  <c r="R5" i="38"/>
  <c r="R5" i="40" s="1"/>
  <c r="H139" i="36"/>
  <c r="H139" i="12"/>
  <c r="L6" i="46"/>
  <c r="AT49" i="37" s="1"/>
  <c r="I3" i="46"/>
  <c r="AQ48" i="37" s="1"/>
  <c r="M61" i="5"/>
  <c r="M60" i="5"/>
  <c r="Q94" i="29"/>
  <c r="Q93" i="29"/>
  <c r="Q43" i="10"/>
  <c r="Q91" i="10"/>
  <c r="N58" i="21"/>
  <c r="N59" i="21" s="1"/>
  <c r="O44" i="21"/>
  <c r="N44" i="8"/>
  <c r="M58" i="8"/>
  <c r="M60" i="21"/>
  <c r="M61" i="21"/>
  <c r="Q94" i="9"/>
  <c r="Q93" i="9"/>
  <c r="P91" i="8"/>
  <c r="P43" i="8"/>
  <c r="R4" i="38" s="1"/>
  <c r="R4" i="40" s="1"/>
  <c r="R8" i="38"/>
  <c r="R8" i="40" s="1"/>
  <c r="Q44" i="29"/>
  <c r="Q58" i="29" s="1"/>
  <c r="L60" i="5"/>
  <c r="L61" i="5"/>
  <c r="P44" i="24"/>
  <c r="P58" i="24" s="1"/>
  <c r="P59" i="24" s="1"/>
  <c r="Q7" i="38"/>
  <c r="Q7" i="40" s="1"/>
  <c r="S8" i="46"/>
  <c r="R53" i="29"/>
  <c r="R54" i="29" s="1"/>
  <c r="N94" i="8"/>
  <c r="N93" i="8"/>
  <c r="R166" i="24"/>
  <c r="R50" i="24"/>
  <c r="R51" i="24" s="1"/>
  <c r="R37" i="24"/>
  <c r="R40" i="24" s="1"/>
  <c r="R163" i="24"/>
  <c r="S161" i="24" s="1"/>
  <c r="R162" i="24"/>
  <c r="P94" i="24"/>
  <c r="P93" i="24"/>
  <c r="S164" i="29"/>
  <c r="S50" i="29"/>
  <c r="S51" i="29" s="1"/>
  <c r="S37" i="29"/>
  <c r="S40" i="29" s="1"/>
  <c r="S161" i="29"/>
  <c r="T159" i="29" s="1"/>
  <c r="S160" i="29"/>
  <c r="U136" i="21"/>
  <c r="V135" i="21" s="1"/>
  <c r="U138" i="21"/>
  <c r="U35" i="21"/>
  <c r="U36" i="21" s="1"/>
  <c r="Q94" i="21"/>
  <c r="Q93" i="21"/>
  <c r="O91" i="8"/>
  <c r="O43" i="8"/>
  <c r="Q4" i="38" s="1"/>
  <c r="Q4" i="40" s="1"/>
  <c r="Q91" i="24"/>
  <c r="Q43" i="24"/>
  <c r="R43" i="29"/>
  <c r="R91" i="29"/>
  <c r="AV52" i="32"/>
  <c r="S142" i="8"/>
  <c r="S35" i="8"/>
  <c r="S36" i="8" s="1"/>
  <c r="S40" i="8" s="1"/>
  <c r="S140" i="8"/>
  <c r="T139" i="8" s="1"/>
  <c r="AW54" i="32"/>
  <c r="AW53" i="32"/>
  <c r="O61" i="24"/>
  <c r="O60" i="24"/>
  <c r="P93" i="10"/>
  <c r="P94" i="10"/>
  <c r="M61" i="24"/>
  <c r="M60" i="24"/>
  <c r="Q47" i="8"/>
  <c r="Q54" i="8" s="1"/>
  <c r="Q40" i="8"/>
  <c r="R7" i="46"/>
  <c r="AZ46" i="37" s="1"/>
  <c r="Q53" i="24"/>
  <c r="Q54" i="24" s="1"/>
  <c r="N58" i="5"/>
  <c r="O44" i="5"/>
  <c r="L61" i="24"/>
  <c r="L60" i="24"/>
  <c r="R50" i="10"/>
  <c r="R51" i="10" s="1"/>
  <c r="R53" i="10" s="1"/>
  <c r="R54" i="10" s="1"/>
  <c r="R152" i="10"/>
  <c r="S150" i="10" s="1"/>
  <c r="R151" i="10"/>
  <c r="R37" i="10"/>
  <c r="R40" i="10" s="1"/>
  <c r="R155" i="10"/>
  <c r="G155" i="12"/>
  <c r="G156" i="12" s="1"/>
  <c r="G53" i="26"/>
  <c r="G54" i="26" s="1"/>
  <c r="O143" i="10"/>
  <c r="P142" i="10" s="1"/>
  <c r="J60" i="10"/>
  <c r="J61" i="10"/>
  <c r="E72" i="10" s="1"/>
  <c r="I61" i="10"/>
  <c r="I60" i="10"/>
  <c r="L44" i="10"/>
  <c r="K58" i="10"/>
  <c r="G153" i="36"/>
  <c r="G154" i="36" s="1"/>
  <c r="G156" i="36" s="1"/>
  <c r="G157" i="36" s="1"/>
  <c r="G142" i="36"/>
  <c r="V37" i="5"/>
  <c r="V40" i="5" s="1"/>
  <c r="V140" i="5"/>
  <c r="V50" i="5"/>
  <c r="V51" i="5" s="1"/>
  <c r="V53" i="5" s="1"/>
  <c r="V54" i="5" s="1"/>
  <c r="V136" i="5"/>
  <c r="V137" i="5"/>
  <c r="W135" i="5" s="1"/>
  <c r="W37" i="21"/>
  <c r="W145" i="21"/>
  <c r="X143" i="21" s="1"/>
  <c r="W50" i="21"/>
  <c r="W51" i="21" s="1"/>
  <c r="W53" i="21" s="1"/>
  <c r="W144" i="21"/>
  <c r="W148" i="21"/>
  <c r="U91" i="5"/>
  <c r="U43" i="5"/>
  <c r="F91" i="26"/>
  <c r="G193" i="12" s="1"/>
  <c r="F43" i="26"/>
  <c r="H3" i="38" s="1"/>
  <c r="H3" i="40" s="1"/>
  <c r="U53" i="5"/>
  <c r="U54" i="5" s="1"/>
  <c r="H153" i="36"/>
  <c r="H142" i="36"/>
  <c r="H152" i="12"/>
  <c r="H153" i="12" s="1"/>
  <c r="G40" i="26"/>
  <c r="H142" i="12" s="1"/>
  <c r="H50" i="26"/>
  <c r="H51" i="26" s="1"/>
  <c r="H146" i="26"/>
  <c r="H150" i="26"/>
  <c r="H147" i="26"/>
  <c r="I145" i="26" s="1"/>
  <c r="H37" i="26"/>
  <c r="I139" i="36" s="1"/>
  <c r="T94" i="5"/>
  <c r="T93" i="5"/>
  <c r="N47" i="26"/>
  <c r="O36" i="26"/>
  <c r="P138" i="12" s="1"/>
  <c r="P149" i="12" s="1"/>
  <c r="M47" i="26"/>
  <c r="O138" i="12"/>
  <c r="O149" i="12" s="1"/>
  <c r="P140" i="26"/>
  <c r="P35" i="26"/>
  <c r="Q137" i="12" s="1"/>
  <c r="P138" i="26"/>
  <c r="Q137" i="26" s="1"/>
  <c r="X53" i="8"/>
  <c r="Y50" i="8"/>
  <c r="Y51" i="8" s="1"/>
  <c r="Y148" i="8"/>
  <c r="Y37" i="8"/>
  <c r="Y149" i="8"/>
  <c r="Z147" i="8" s="1"/>
  <c r="Y152" i="8"/>
  <c r="V53" i="9"/>
  <c r="V54" i="9" s="1"/>
  <c r="U94" i="9"/>
  <c r="U93" i="9"/>
  <c r="V91" i="9"/>
  <c r="V43" i="9"/>
  <c r="W144" i="9"/>
  <c r="X142" i="9" s="1"/>
  <c r="W143" i="9"/>
  <c r="W37" i="9"/>
  <c r="W40" i="9" s="1"/>
  <c r="W50" i="9"/>
  <c r="W51" i="9" s="1"/>
  <c r="W147" i="9"/>
  <c r="J58" i="9"/>
  <c r="K44" i="9"/>
  <c r="I60" i="9"/>
  <c r="I61" i="9" s="1"/>
  <c r="S47" i="8"/>
  <c r="S54" i="8" s="1"/>
  <c r="U40" i="21"/>
  <c r="U47" i="21"/>
  <c r="U54" i="21" s="1"/>
  <c r="T43" i="21"/>
  <c r="T91" i="21"/>
  <c r="R91" i="8"/>
  <c r="R43" i="8"/>
  <c r="T4" i="38" s="1"/>
  <c r="T4" i="40" s="1"/>
  <c r="S94" i="21"/>
  <c r="S93" i="21"/>
  <c r="F17" i="37" l="1"/>
  <c r="F21" i="37" s="1"/>
  <c r="F16" i="37"/>
  <c r="S5" i="38"/>
  <c r="S5" i="40" s="1"/>
  <c r="AT50" i="37"/>
  <c r="M6" i="46"/>
  <c r="AU49" i="37" s="1"/>
  <c r="J3" i="46"/>
  <c r="AR48" i="37" s="1"/>
  <c r="AV53" i="32"/>
  <c r="AV54" i="32"/>
  <c r="P61" i="24"/>
  <c r="P60" i="24"/>
  <c r="G145" i="12"/>
  <c r="K6" i="38"/>
  <c r="K6" i="40" s="1"/>
  <c r="S151" i="10"/>
  <c r="S50" i="10"/>
  <c r="S51" i="10" s="1"/>
  <c r="S53" i="10" s="1"/>
  <c r="S54" i="10" s="1"/>
  <c r="S155" i="10"/>
  <c r="S152" i="10"/>
  <c r="T150" i="10" s="1"/>
  <c r="S37" i="10"/>
  <c r="S40" i="10" s="1"/>
  <c r="Q91" i="8"/>
  <c r="Q43" i="8"/>
  <c r="S4" i="38" s="1"/>
  <c r="S4" i="40" s="1"/>
  <c r="R93" i="29"/>
  <c r="R94" i="29"/>
  <c r="R44" i="29"/>
  <c r="R58" i="29" s="1"/>
  <c r="R59" i="29" s="1"/>
  <c r="S8" i="38"/>
  <c r="S8" i="40" s="1"/>
  <c r="T8" i="46"/>
  <c r="S53" i="29"/>
  <c r="S54" i="29" s="1"/>
  <c r="T140" i="8"/>
  <c r="U139" i="8" s="1"/>
  <c r="T142" i="8"/>
  <c r="T35" i="8"/>
  <c r="T36" i="8" s="1"/>
  <c r="T40" i="8" s="1"/>
  <c r="Q44" i="24"/>
  <c r="Q58" i="24" s="1"/>
  <c r="Q59" i="24" s="1"/>
  <c r="R7" i="38"/>
  <c r="R7" i="40" s="1"/>
  <c r="V136" i="21"/>
  <c r="W135" i="21" s="1"/>
  <c r="V35" i="21"/>
  <c r="V36" i="21" s="1"/>
  <c r="V138" i="21"/>
  <c r="Q59" i="29"/>
  <c r="M59" i="8"/>
  <c r="M60" i="8" s="1"/>
  <c r="M61" i="8" s="1"/>
  <c r="N59" i="8"/>
  <c r="N60" i="8" s="1"/>
  <c r="N61" i="8" s="1"/>
  <c r="Q93" i="10"/>
  <c r="Q94" i="10"/>
  <c r="Q93" i="24"/>
  <c r="Q94" i="24"/>
  <c r="O44" i="8"/>
  <c r="N58" i="8"/>
  <c r="R91" i="10"/>
  <c r="R43" i="10"/>
  <c r="O58" i="5"/>
  <c r="P44" i="5"/>
  <c r="T164" i="29"/>
  <c r="T37" i="29"/>
  <c r="T40" i="29" s="1"/>
  <c r="T161" i="29"/>
  <c r="U159" i="29" s="1"/>
  <c r="T50" i="29"/>
  <c r="T51" i="29" s="1"/>
  <c r="T53" i="29" s="1"/>
  <c r="T54" i="29" s="1"/>
  <c r="T160" i="29"/>
  <c r="S37" i="24"/>
  <c r="S40" i="24" s="1"/>
  <c r="S162" i="24"/>
  <c r="S163" i="24"/>
  <c r="T161" i="24" s="1"/>
  <c r="S50" i="24"/>
  <c r="S51" i="24" s="1"/>
  <c r="S166" i="24"/>
  <c r="O58" i="21"/>
  <c r="P44" i="21"/>
  <c r="S7" i="46"/>
  <c r="BA46" i="37" s="1"/>
  <c r="R53" i="24"/>
  <c r="R54" i="24" s="1"/>
  <c r="N59" i="5"/>
  <c r="O59" i="5"/>
  <c r="O93" i="8"/>
  <c r="O94" i="8"/>
  <c r="S43" i="29"/>
  <c r="S91" i="29"/>
  <c r="R91" i="24"/>
  <c r="R43" i="24"/>
  <c r="T5" i="38" s="1"/>
  <c r="T5" i="40" s="1"/>
  <c r="P93" i="8"/>
  <c r="P94" i="8"/>
  <c r="N61" i="21"/>
  <c r="N60" i="21"/>
  <c r="H155" i="12"/>
  <c r="H156" i="12" s="1"/>
  <c r="I139" i="12"/>
  <c r="I152" i="12" s="1"/>
  <c r="I153" i="12" s="1"/>
  <c r="H53" i="26"/>
  <c r="H54" i="26" s="1"/>
  <c r="P143" i="10"/>
  <c r="Q142" i="10" s="1"/>
  <c r="Q145" i="10" s="1"/>
  <c r="P145" i="10"/>
  <c r="H154" i="36"/>
  <c r="H156" i="36" s="1"/>
  <c r="H157" i="36" s="1"/>
  <c r="M44" i="10"/>
  <c r="L58" i="10"/>
  <c r="G194" i="36"/>
  <c r="G146" i="36"/>
  <c r="G147" i="36" s="1"/>
  <c r="G161" i="36" s="1"/>
  <c r="G162" i="36" s="1"/>
  <c r="K59" i="10"/>
  <c r="H146" i="36"/>
  <c r="H194" i="36"/>
  <c r="X37" i="21"/>
  <c r="X145" i="21"/>
  <c r="Y143" i="21" s="1"/>
  <c r="X50" i="21"/>
  <c r="X51" i="21" s="1"/>
  <c r="X53" i="21" s="1"/>
  <c r="X144" i="21"/>
  <c r="X148" i="21"/>
  <c r="W140" i="5"/>
  <c r="W37" i="5"/>
  <c r="W40" i="5" s="1"/>
  <c r="W137" i="5"/>
  <c r="X135" i="5" s="1"/>
  <c r="W136" i="5"/>
  <c r="W50" i="5"/>
  <c r="W51" i="5" s="1"/>
  <c r="W53" i="5" s="1"/>
  <c r="W54" i="5" s="1"/>
  <c r="G91" i="26"/>
  <c r="G43" i="26"/>
  <c r="H145" i="12" s="1"/>
  <c r="U94" i="5"/>
  <c r="U93" i="5"/>
  <c r="H40" i="26"/>
  <c r="I142" i="12" s="1"/>
  <c r="I142" i="36"/>
  <c r="I153" i="36"/>
  <c r="F44" i="26"/>
  <c r="G146" i="12" s="1"/>
  <c r="G160" i="12" s="1"/>
  <c r="G161" i="12" s="1"/>
  <c r="I150" i="26"/>
  <c r="I146" i="26"/>
  <c r="I37" i="26"/>
  <c r="J139" i="36" s="1"/>
  <c r="I147" i="26"/>
  <c r="J145" i="26" s="1"/>
  <c r="I50" i="26"/>
  <c r="I51" i="26" s="1"/>
  <c r="F93" i="26"/>
  <c r="G195" i="12" s="1"/>
  <c r="F94" i="26"/>
  <c r="H193" i="12"/>
  <c r="V91" i="5"/>
  <c r="V43" i="5"/>
  <c r="Q138" i="26"/>
  <c r="R137" i="26" s="1"/>
  <c r="Q35" i="26"/>
  <c r="R137" i="12" s="1"/>
  <c r="Q140" i="26"/>
  <c r="P36" i="26"/>
  <c r="Q138" i="12" s="1"/>
  <c r="Q149" i="12" s="1"/>
  <c r="O47" i="26"/>
  <c r="Z37" i="8"/>
  <c r="Z149" i="8"/>
  <c r="AA147" i="8" s="1"/>
  <c r="Z148" i="8"/>
  <c r="Z50" i="8"/>
  <c r="Z51" i="8" s="1"/>
  <c r="Z152" i="8"/>
  <c r="Y53" i="8"/>
  <c r="W53" i="9"/>
  <c r="W54" i="9" s="1"/>
  <c r="V93" i="9"/>
  <c r="V94" i="9"/>
  <c r="W91" i="9"/>
  <c r="W43" i="9"/>
  <c r="X50" i="9"/>
  <c r="X51" i="9" s="1"/>
  <c r="X143" i="9"/>
  <c r="X144" i="9"/>
  <c r="Y142" i="9" s="1"/>
  <c r="X37" i="9"/>
  <c r="X40" i="9" s="1"/>
  <c r="X147" i="9"/>
  <c r="L44" i="9"/>
  <c r="K58" i="9"/>
  <c r="K59" i="9" s="1"/>
  <c r="J59" i="9"/>
  <c r="R93" i="8"/>
  <c r="R94" i="8"/>
  <c r="V47" i="21"/>
  <c r="V54" i="21" s="1"/>
  <c r="V40" i="21"/>
  <c r="S43" i="8"/>
  <c r="S91" i="8"/>
  <c r="U91" i="21"/>
  <c r="U43" i="21"/>
  <c r="T94" i="21"/>
  <c r="T93" i="21"/>
  <c r="AU50" i="37" l="1"/>
  <c r="N6" i="46"/>
  <c r="AV49" i="37" s="1"/>
  <c r="K3" i="46"/>
  <c r="L6" i="38"/>
  <c r="L6" i="40" s="1"/>
  <c r="I3" i="38"/>
  <c r="I3" i="40" s="1"/>
  <c r="F20" i="37"/>
  <c r="F19" i="37"/>
  <c r="AV50" i="37"/>
  <c r="S94" i="29"/>
  <c r="S93" i="29"/>
  <c r="P58" i="21"/>
  <c r="P59" i="21" s="1"/>
  <c r="Q44" i="21"/>
  <c r="Q60" i="24"/>
  <c r="Q61" i="24"/>
  <c r="S44" i="29"/>
  <c r="S58" i="29" s="1"/>
  <c r="S59" i="29" s="1"/>
  <c r="T8" i="38"/>
  <c r="T8" i="40" s="1"/>
  <c r="T91" i="29"/>
  <c r="T43" i="29"/>
  <c r="T44" i="29" s="1"/>
  <c r="T58" i="29" s="1"/>
  <c r="Q61" i="29"/>
  <c r="Q60" i="29"/>
  <c r="T7" i="46"/>
  <c r="BB46" i="37" s="1"/>
  <c r="S53" i="24"/>
  <c r="S54" i="24" s="1"/>
  <c r="U35" i="8"/>
  <c r="U36" i="8" s="1"/>
  <c r="U140" i="8"/>
  <c r="V139" i="8" s="1"/>
  <c r="U142" i="8"/>
  <c r="Q93" i="8"/>
  <c r="Q94" i="8"/>
  <c r="O60" i="5"/>
  <c r="O61" i="5"/>
  <c r="T50" i="24"/>
  <c r="T51" i="24" s="1"/>
  <c r="T53" i="24" s="1"/>
  <c r="T54" i="24" s="1"/>
  <c r="T166" i="24"/>
  <c r="T37" i="24"/>
  <c r="T40" i="24" s="1"/>
  <c r="T163" i="24"/>
  <c r="U161" i="24" s="1"/>
  <c r="T162" i="24"/>
  <c r="P58" i="5"/>
  <c r="Q44" i="5"/>
  <c r="S91" i="10"/>
  <c r="S43" i="10"/>
  <c r="O59" i="21"/>
  <c r="N60" i="5"/>
  <c r="N61" i="5"/>
  <c r="T155" i="10"/>
  <c r="T151" i="10"/>
  <c r="T152" i="10"/>
  <c r="U150" i="10" s="1"/>
  <c r="T50" i="10"/>
  <c r="T51" i="10" s="1"/>
  <c r="T53" i="10" s="1"/>
  <c r="T54" i="10" s="1"/>
  <c r="T37" i="10"/>
  <c r="T40" i="10" s="1"/>
  <c r="U164" i="29"/>
  <c r="U50" i="29"/>
  <c r="U51" i="29" s="1"/>
  <c r="U53" i="29" s="1"/>
  <c r="U54" i="29" s="1"/>
  <c r="U161" i="29"/>
  <c r="V159" i="29" s="1"/>
  <c r="U160" i="29"/>
  <c r="U37" i="29"/>
  <c r="U40" i="29" s="1"/>
  <c r="P44" i="8"/>
  <c r="O58" i="8"/>
  <c r="O59" i="8" s="1"/>
  <c r="R61" i="29"/>
  <c r="R60" i="29"/>
  <c r="T47" i="8"/>
  <c r="T54" i="8" s="1"/>
  <c r="R44" i="24"/>
  <c r="R58" i="24" s="1"/>
  <c r="R59" i="24" s="1"/>
  <c r="S7" i="38"/>
  <c r="S7" i="40" s="1"/>
  <c r="S43" i="24"/>
  <c r="S91" i="24"/>
  <c r="W136" i="21"/>
  <c r="X135" i="21" s="1"/>
  <c r="W138" i="21"/>
  <c r="W35" i="21"/>
  <c r="W36" i="21" s="1"/>
  <c r="W47" i="21" s="1"/>
  <c r="W54" i="21" s="1"/>
  <c r="R93" i="24"/>
  <c r="R94" i="24"/>
  <c r="R93" i="10"/>
  <c r="R94" i="10"/>
  <c r="I155" i="12"/>
  <c r="I156" i="12" s="1"/>
  <c r="I53" i="26"/>
  <c r="I54" i="26" s="1"/>
  <c r="E71" i="26" s="1"/>
  <c r="I154" i="36"/>
  <c r="I156" i="36" s="1"/>
  <c r="I157" i="36" s="1"/>
  <c r="Q143" i="10"/>
  <c r="R142" i="10" s="1"/>
  <c r="R145" i="10" s="1"/>
  <c r="K61" i="10"/>
  <c r="K60" i="10"/>
  <c r="G163" i="36"/>
  <c r="G164" i="36"/>
  <c r="F175" i="36" s="1"/>
  <c r="J139" i="12"/>
  <c r="J152" i="12" s="1"/>
  <c r="J153" i="12" s="1"/>
  <c r="G197" i="36"/>
  <c r="G196" i="36"/>
  <c r="G162" i="12"/>
  <c r="G163" i="12"/>
  <c r="G196" i="12"/>
  <c r="N44" i="10"/>
  <c r="M58" i="10"/>
  <c r="H147" i="36"/>
  <c r="H161" i="36" s="1"/>
  <c r="H162" i="36" s="1"/>
  <c r="H163" i="36" s="1"/>
  <c r="L59" i="10"/>
  <c r="I40" i="26"/>
  <c r="J142" i="12" s="1"/>
  <c r="J153" i="36"/>
  <c r="J142" i="36"/>
  <c r="G93" i="26"/>
  <c r="G94" i="26"/>
  <c r="H196" i="12" s="1"/>
  <c r="V93" i="5"/>
  <c r="V94" i="5"/>
  <c r="G44" i="26"/>
  <c r="H146" i="12" s="1"/>
  <c r="H160" i="12" s="1"/>
  <c r="F58" i="26"/>
  <c r="X136" i="5"/>
  <c r="X50" i="5"/>
  <c r="X51" i="5" s="1"/>
  <c r="X53" i="5" s="1"/>
  <c r="X54" i="5" s="1"/>
  <c r="X140" i="5"/>
  <c r="X37" i="5"/>
  <c r="X40" i="5" s="1"/>
  <c r="X137" i="5"/>
  <c r="Y135" i="5" s="1"/>
  <c r="Y37" i="21"/>
  <c r="Y145" i="21"/>
  <c r="Z143" i="21" s="1"/>
  <c r="Y50" i="21"/>
  <c r="Y51" i="21" s="1"/>
  <c r="Y53" i="21" s="1"/>
  <c r="Y144" i="21"/>
  <c r="Y148" i="21"/>
  <c r="W43" i="5"/>
  <c r="W91" i="5"/>
  <c r="I146" i="36"/>
  <c r="I194" i="36"/>
  <c r="H197" i="36"/>
  <c r="H196" i="36"/>
  <c r="J147" i="26"/>
  <c r="K145" i="26" s="1"/>
  <c r="J37" i="26"/>
  <c r="K139" i="36" s="1"/>
  <c r="J50" i="26"/>
  <c r="J51" i="26" s="1"/>
  <c r="J146" i="26"/>
  <c r="J150" i="26"/>
  <c r="H43" i="26"/>
  <c r="H91" i="26"/>
  <c r="I193" i="12" s="1"/>
  <c r="R140" i="26"/>
  <c r="R35" i="26"/>
  <c r="S137" i="12" s="1"/>
  <c r="R138" i="26"/>
  <c r="S137" i="26" s="1"/>
  <c r="P47" i="26"/>
  <c r="Q36" i="26"/>
  <c r="R138" i="12" s="1"/>
  <c r="R149" i="12" s="1"/>
  <c r="Z53" i="8"/>
  <c r="AA37" i="8"/>
  <c r="AA148" i="8"/>
  <c r="AA149" i="8"/>
  <c r="AB147" i="8" s="1"/>
  <c r="AA50" i="8"/>
  <c r="AA51" i="8" s="1"/>
  <c r="AA152" i="8"/>
  <c r="X53" i="9"/>
  <c r="X54" i="9" s="1"/>
  <c r="W93" i="9"/>
  <c r="W94" i="9"/>
  <c r="X43" i="9"/>
  <c r="X91" i="9"/>
  <c r="Y50" i="9"/>
  <c r="Y51" i="9" s="1"/>
  <c r="Y37" i="9"/>
  <c r="Y40" i="9" s="1"/>
  <c r="Y144" i="9"/>
  <c r="Z142" i="9" s="1"/>
  <c r="Y143" i="9"/>
  <c r="Y147" i="9"/>
  <c r="M44" i="9"/>
  <c r="L58" i="9"/>
  <c r="L59" i="9" s="1"/>
  <c r="K60" i="9"/>
  <c r="K61" i="9" s="1"/>
  <c r="J60" i="9"/>
  <c r="J61" i="9" s="1"/>
  <c r="U94" i="21"/>
  <c r="U93" i="21"/>
  <c r="V43" i="21"/>
  <c r="V91" i="21"/>
  <c r="U47" i="8"/>
  <c r="U54" i="8" s="1"/>
  <c r="U40" i="8"/>
  <c r="S93" i="8"/>
  <c r="S94" i="8"/>
  <c r="T91" i="8"/>
  <c r="T43" i="8"/>
  <c r="W40" i="21"/>
  <c r="G17" i="37" l="1"/>
  <c r="G21" i="37" s="1"/>
  <c r="G16" i="37"/>
  <c r="M6" i="38"/>
  <c r="M6" i="40" s="1"/>
  <c r="J3" i="38"/>
  <c r="J3" i="40" s="1"/>
  <c r="O6" i="46"/>
  <c r="AW49" i="37" s="1"/>
  <c r="L3" i="46"/>
  <c r="AS45" i="37"/>
  <c r="AS48" i="37"/>
  <c r="S61" i="29"/>
  <c r="S60" i="29"/>
  <c r="U43" i="29"/>
  <c r="U44" i="29" s="1"/>
  <c r="U58" i="29" s="1"/>
  <c r="U91" i="29"/>
  <c r="T59" i="29"/>
  <c r="S44" i="24"/>
  <c r="S58" i="24" s="1"/>
  <c r="S59" i="24" s="1"/>
  <c r="T7" i="38"/>
  <c r="T7" i="40" s="1"/>
  <c r="Q44" i="8"/>
  <c r="P58" i="8"/>
  <c r="P59" i="8" s="1"/>
  <c r="U155" i="10"/>
  <c r="U50" i="10"/>
  <c r="U51" i="10" s="1"/>
  <c r="U53" i="10" s="1"/>
  <c r="U54" i="10" s="1"/>
  <c r="U37" i="10"/>
  <c r="U40" i="10" s="1"/>
  <c r="U151" i="10"/>
  <c r="U152" i="10"/>
  <c r="V150" i="10" s="1"/>
  <c r="S93" i="10"/>
  <c r="S94" i="10"/>
  <c r="R61" i="24"/>
  <c r="R60" i="24"/>
  <c r="P59" i="5"/>
  <c r="V160" i="29"/>
  <c r="V50" i="29"/>
  <c r="V51" i="29" s="1"/>
  <c r="V53" i="29" s="1"/>
  <c r="V54" i="29" s="1"/>
  <c r="V164" i="29"/>
  <c r="V37" i="29"/>
  <c r="V40" i="29" s="1"/>
  <c r="V161" i="29"/>
  <c r="W159" i="29" s="1"/>
  <c r="U162" i="24"/>
  <c r="U50" i="24"/>
  <c r="U51" i="24" s="1"/>
  <c r="U53" i="24" s="1"/>
  <c r="U54" i="24" s="1"/>
  <c r="U166" i="24"/>
  <c r="U37" i="24"/>
  <c r="U40" i="24" s="1"/>
  <c r="U163" i="24"/>
  <c r="V161" i="24" s="1"/>
  <c r="Q58" i="21"/>
  <c r="Q59" i="21" s="1"/>
  <c r="R44" i="21"/>
  <c r="Q58" i="5"/>
  <c r="Q59" i="5" s="1"/>
  <c r="R44" i="5"/>
  <c r="P61" i="21"/>
  <c r="P60" i="21"/>
  <c r="T43" i="24"/>
  <c r="T44" i="24" s="1"/>
  <c r="T58" i="24" s="1"/>
  <c r="T91" i="24"/>
  <c r="X136" i="21"/>
  <c r="Y135" i="21" s="1"/>
  <c r="X138" i="21"/>
  <c r="X35" i="21"/>
  <c r="X36" i="21" s="1"/>
  <c r="X47" i="21" s="1"/>
  <c r="X54" i="21" s="1"/>
  <c r="T91" i="10"/>
  <c r="T43" i="10"/>
  <c r="O60" i="21"/>
  <c r="O61" i="21" s="1"/>
  <c r="S94" i="24"/>
  <c r="S93" i="24"/>
  <c r="O61" i="8"/>
  <c r="O60" i="8"/>
  <c r="V35" i="8"/>
  <c r="V36" i="8" s="1"/>
  <c r="V142" i="8"/>
  <c r="V140" i="8"/>
  <c r="W139" i="8" s="1"/>
  <c r="T94" i="29"/>
  <c r="T93" i="29"/>
  <c r="I147" i="36"/>
  <c r="I161" i="36" s="1"/>
  <c r="I162" i="36" s="1"/>
  <c r="I163" i="36" s="1"/>
  <c r="H164" i="36"/>
  <c r="J155" i="12"/>
  <c r="J156" i="12" s="1"/>
  <c r="F173" i="12" s="1"/>
  <c r="J53" i="26"/>
  <c r="J54" i="26" s="1"/>
  <c r="J154" i="36"/>
  <c r="J156" i="36" s="1"/>
  <c r="J157" i="36" s="1"/>
  <c r="F174" i="36" s="1"/>
  <c r="R143" i="10"/>
  <c r="S142" i="10" s="1"/>
  <c r="S145" i="10" s="1"/>
  <c r="N58" i="10"/>
  <c r="O44" i="10"/>
  <c r="K139" i="12"/>
  <c r="K152" i="12" s="1"/>
  <c r="K153" i="12" s="1"/>
  <c r="M59" i="10"/>
  <c r="L60" i="10"/>
  <c r="L61" i="10"/>
  <c r="Z144" i="21"/>
  <c r="Z148" i="21"/>
  <c r="Z37" i="21"/>
  <c r="Z145" i="21"/>
  <c r="AA143" i="21" s="1"/>
  <c r="Z50" i="21"/>
  <c r="Z51" i="21" s="1"/>
  <c r="Z53" i="21" s="1"/>
  <c r="F59" i="26"/>
  <c r="I197" i="36"/>
  <c r="I196" i="36"/>
  <c r="G58" i="26"/>
  <c r="H44" i="26"/>
  <c r="I146" i="12" s="1"/>
  <c r="I160" i="12" s="1"/>
  <c r="I161" i="12" s="1"/>
  <c r="Y137" i="5"/>
  <c r="Z135" i="5" s="1"/>
  <c r="Y37" i="5"/>
  <c r="Y40" i="5" s="1"/>
  <c r="Y50" i="5"/>
  <c r="Y51" i="5" s="1"/>
  <c r="Y53" i="5" s="1"/>
  <c r="Y54" i="5" s="1"/>
  <c r="Y140" i="5"/>
  <c r="Y136" i="5"/>
  <c r="W94" i="5"/>
  <c r="W93" i="5"/>
  <c r="X43" i="5"/>
  <c r="X91" i="5"/>
  <c r="J40" i="26"/>
  <c r="K146" i="26"/>
  <c r="K50" i="26"/>
  <c r="K51" i="26" s="1"/>
  <c r="K150" i="26"/>
  <c r="K147" i="26"/>
  <c r="L145" i="26" s="1"/>
  <c r="K37" i="26"/>
  <c r="I91" i="26"/>
  <c r="J193" i="12" s="1"/>
  <c r="I43" i="26"/>
  <c r="K3" i="38" s="1"/>
  <c r="K3" i="40" s="1"/>
  <c r="K142" i="12"/>
  <c r="H94" i="26"/>
  <c r="I196" i="12" s="1"/>
  <c r="H93" i="26"/>
  <c r="I195" i="12" s="1"/>
  <c r="H161" i="12"/>
  <c r="H162" i="12" s="1"/>
  <c r="H163" i="12" s="1"/>
  <c r="J146" i="36"/>
  <c r="J194" i="36"/>
  <c r="K153" i="36"/>
  <c r="K142" i="36"/>
  <c r="Q47" i="26"/>
  <c r="S140" i="26"/>
  <c r="S35" i="26"/>
  <c r="T137" i="12" s="1"/>
  <c r="S138" i="26"/>
  <c r="T137" i="26" s="1"/>
  <c r="R36" i="26"/>
  <c r="S138" i="12" s="1"/>
  <c r="S149" i="12" s="1"/>
  <c r="AA53" i="8"/>
  <c r="AB149" i="8"/>
  <c r="AC147" i="8" s="1"/>
  <c r="AB148" i="8"/>
  <c r="AB37" i="8"/>
  <c r="AB50" i="8"/>
  <c r="AB51" i="8" s="1"/>
  <c r="AB152" i="8"/>
  <c r="Y53" i="9"/>
  <c r="Y54" i="9" s="1"/>
  <c r="X93" i="9"/>
  <c r="X94" i="9"/>
  <c r="E81" i="9"/>
  <c r="Z144" i="9"/>
  <c r="AA142" i="9" s="1"/>
  <c r="Z143" i="9"/>
  <c r="Z37" i="9"/>
  <c r="Z40" i="9" s="1"/>
  <c r="Z50" i="9"/>
  <c r="Z51" i="9" s="1"/>
  <c r="Z147" i="9"/>
  <c r="Y91" i="9"/>
  <c r="Y43" i="9"/>
  <c r="L60" i="9"/>
  <c r="L61" i="9"/>
  <c r="M58" i="9"/>
  <c r="M59" i="9" s="1"/>
  <c r="N44" i="9"/>
  <c r="T61" i="29"/>
  <c r="T60" i="29"/>
  <c r="U59" i="29"/>
  <c r="V40" i="8"/>
  <c r="V47" i="8"/>
  <c r="V54" i="8" s="1"/>
  <c r="T94" i="8"/>
  <c r="T93" i="8"/>
  <c r="U43" i="8"/>
  <c r="U91" i="8"/>
  <c r="V94" i="21"/>
  <c r="V93" i="21"/>
  <c r="W91" i="21"/>
  <c r="W43" i="21"/>
  <c r="X40" i="21" l="1"/>
  <c r="T59" i="24"/>
  <c r="J147" i="36"/>
  <c r="J161" i="36" s="1"/>
  <c r="J162" i="36" s="1"/>
  <c r="H17" i="37"/>
  <c r="H21" i="37" s="1"/>
  <c r="H16" i="37"/>
  <c r="I17" i="37"/>
  <c r="I16" i="37"/>
  <c r="AW50" i="37"/>
  <c r="L139" i="12"/>
  <c r="L152" i="12" s="1"/>
  <c r="L153" i="12" s="1"/>
  <c r="L139" i="36"/>
  <c r="L142" i="36" s="1"/>
  <c r="P6" i="46"/>
  <c r="AX49" i="37" s="1"/>
  <c r="M3" i="46"/>
  <c r="G19" i="37"/>
  <c r="G20" i="37"/>
  <c r="AT45" i="37"/>
  <c r="AT48" i="37"/>
  <c r="Q61" i="5"/>
  <c r="Q60" i="5"/>
  <c r="Q58" i="8"/>
  <c r="Q59" i="8" s="1"/>
  <c r="R44" i="8"/>
  <c r="R58" i="5"/>
  <c r="S44" i="5"/>
  <c r="V151" i="10"/>
  <c r="V37" i="10"/>
  <c r="V40" i="10" s="1"/>
  <c r="V50" i="10"/>
  <c r="V51" i="10" s="1"/>
  <c r="V53" i="10" s="1"/>
  <c r="V54" i="10" s="1"/>
  <c r="V152" i="10"/>
  <c r="W150" i="10" s="1"/>
  <c r="V155" i="10"/>
  <c r="S60" i="24"/>
  <c r="S61" i="24"/>
  <c r="R58" i="21"/>
  <c r="S44" i="21"/>
  <c r="W37" i="29"/>
  <c r="W40" i="29" s="1"/>
  <c r="W161" i="29"/>
  <c r="X159" i="29" s="1"/>
  <c r="W50" i="29"/>
  <c r="W51" i="29" s="1"/>
  <c r="W53" i="29" s="1"/>
  <c r="W54" i="29" s="1"/>
  <c r="W160" i="29"/>
  <c r="W164" i="29"/>
  <c r="J145" i="12"/>
  <c r="N6" i="38"/>
  <c r="N6" i="40" s="1"/>
  <c r="Y35" i="21"/>
  <c r="Y36" i="21" s="1"/>
  <c r="Y40" i="21" s="1"/>
  <c r="Y136" i="21"/>
  <c r="Z135" i="21" s="1"/>
  <c r="Y138" i="21"/>
  <c r="Q60" i="21"/>
  <c r="Q61" i="21"/>
  <c r="V43" i="29"/>
  <c r="V44" i="29" s="1"/>
  <c r="V58" i="29" s="1"/>
  <c r="V59" i="29" s="1"/>
  <c r="V91" i="29"/>
  <c r="U91" i="10"/>
  <c r="U43" i="10"/>
  <c r="U94" i="29"/>
  <c r="U93" i="29"/>
  <c r="T94" i="10"/>
  <c r="T93" i="10"/>
  <c r="T93" i="24"/>
  <c r="T94" i="24"/>
  <c r="V50" i="24"/>
  <c r="V51" i="24" s="1"/>
  <c r="V53" i="24" s="1"/>
  <c r="V54" i="24" s="1"/>
  <c r="V166" i="24"/>
  <c r="V37" i="24"/>
  <c r="V40" i="24" s="1"/>
  <c r="V163" i="24"/>
  <c r="W161" i="24" s="1"/>
  <c r="V162" i="24"/>
  <c r="P61" i="5"/>
  <c r="P60" i="5"/>
  <c r="W140" i="8"/>
  <c r="X139" i="8" s="1"/>
  <c r="W35" i="8"/>
  <c r="W36" i="8" s="1"/>
  <c r="W142" i="8"/>
  <c r="T60" i="24"/>
  <c r="T61" i="24"/>
  <c r="U43" i="24"/>
  <c r="U44" i="24" s="1"/>
  <c r="U58" i="24" s="1"/>
  <c r="U59" i="24" s="1"/>
  <c r="U91" i="24"/>
  <c r="P60" i="8"/>
  <c r="P61" i="8"/>
  <c r="I164" i="36"/>
  <c r="K155" i="12"/>
  <c r="K156" i="12" s="1"/>
  <c r="K154" i="36"/>
  <c r="K156" i="36" s="1"/>
  <c r="K157" i="36" s="1"/>
  <c r="K53" i="26"/>
  <c r="K54" i="26" s="1"/>
  <c r="S143" i="10"/>
  <c r="T142" i="10" s="1"/>
  <c r="T143" i="10" s="1"/>
  <c r="U142" i="10" s="1"/>
  <c r="U145" i="10" s="1"/>
  <c r="P44" i="10"/>
  <c r="O58" i="10"/>
  <c r="O59" i="10" s="1"/>
  <c r="M60" i="10"/>
  <c r="M61" i="10"/>
  <c r="N59" i="10"/>
  <c r="J196" i="36"/>
  <c r="J197" i="36"/>
  <c r="J163" i="36"/>
  <c r="J164" i="36"/>
  <c r="I44" i="26"/>
  <c r="J146" i="12" s="1"/>
  <c r="J160" i="12" s="1"/>
  <c r="H58" i="26"/>
  <c r="H59" i="26" s="1"/>
  <c r="AA148" i="21"/>
  <c r="AA37" i="21"/>
  <c r="AA145" i="21"/>
  <c r="AB143" i="21" s="1"/>
  <c r="AA50" i="21"/>
  <c r="AA51" i="21" s="1"/>
  <c r="AA53" i="21" s="1"/>
  <c r="AA144" i="21"/>
  <c r="I93" i="26"/>
  <c r="J195" i="12" s="1"/>
  <c r="I94" i="26"/>
  <c r="J196" i="12" s="1"/>
  <c r="J43" i="26"/>
  <c r="J91" i="26"/>
  <c r="K193" i="12" s="1"/>
  <c r="K40" i="26"/>
  <c r="L142" i="12" s="1"/>
  <c r="Y91" i="5"/>
  <c r="Y43" i="5"/>
  <c r="K194" i="36"/>
  <c r="K146" i="36"/>
  <c r="K147" i="36" s="1"/>
  <c r="K161" i="36" s="1"/>
  <c r="K162" i="36" s="1"/>
  <c r="L50" i="26"/>
  <c r="L51" i="26" s="1"/>
  <c r="L147" i="26"/>
  <c r="M145" i="26" s="1"/>
  <c r="L37" i="26"/>
  <c r="M139" i="36" s="1"/>
  <c r="L150" i="26"/>
  <c r="L146" i="26"/>
  <c r="X94" i="5"/>
  <c r="X93" i="5"/>
  <c r="Z140" i="5"/>
  <c r="Z37" i="5"/>
  <c r="Z40" i="5" s="1"/>
  <c r="Z137" i="5"/>
  <c r="AA135" i="5" s="1"/>
  <c r="Z136" i="5"/>
  <c r="Z50" i="5"/>
  <c r="Z51" i="5" s="1"/>
  <c r="Z53" i="5" s="1"/>
  <c r="Z54" i="5" s="1"/>
  <c r="G59" i="26"/>
  <c r="F61" i="26"/>
  <c r="F60" i="26"/>
  <c r="R47" i="26"/>
  <c r="T35" i="26"/>
  <c r="U137" i="12" s="1"/>
  <c r="T138" i="26"/>
  <c r="U137" i="26" s="1"/>
  <c r="T140" i="26"/>
  <c r="S36" i="26"/>
  <c r="T138" i="12" s="1"/>
  <c r="T149" i="12" s="1"/>
  <c r="AB53" i="8"/>
  <c r="AC50" i="8"/>
  <c r="AC51" i="8" s="1"/>
  <c r="AC149" i="8"/>
  <c r="AD147" i="8" s="1"/>
  <c r="AC37" i="8"/>
  <c r="AC148" i="8"/>
  <c r="AC152" i="8"/>
  <c r="Z53" i="9"/>
  <c r="Z54" i="9" s="1"/>
  <c r="Z43" i="9"/>
  <c r="Z91" i="9"/>
  <c r="AA37" i="9"/>
  <c r="AA40" i="9" s="1"/>
  <c r="AA143" i="9"/>
  <c r="AA144" i="9"/>
  <c r="AB142" i="9" s="1"/>
  <c r="AA50" i="9"/>
  <c r="AA51" i="9" s="1"/>
  <c r="AA147" i="9"/>
  <c r="Y94" i="9"/>
  <c r="Y93" i="9"/>
  <c r="N58" i="9"/>
  <c r="N59" i="9" s="1"/>
  <c r="O44" i="9"/>
  <c r="M61" i="9"/>
  <c r="M60" i="9"/>
  <c r="U61" i="29"/>
  <c r="U60" i="29"/>
  <c r="W40" i="8"/>
  <c r="W47" i="8"/>
  <c r="W54" i="8" s="1"/>
  <c r="U94" i="8"/>
  <c r="U93" i="8"/>
  <c r="V91" i="8"/>
  <c r="V43" i="8"/>
  <c r="Y47" i="21"/>
  <c r="Y54" i="21" s="1"/>
  <c r="X91" i="21"/>
  <c r="X43" i="21"/>
  <c r="W94" i="21"/>
  <c r="W93" i="21"/>
  <c r="L153" i="36" l="1"/>
  <c r="AX50" i="37"/>
  <c r="Q6" i="46"/>
  <c r="AY49" i="37" s="1"/>
  <c r="N3" i="46"/>
  <c r="O6" i="38"/>
  <c r="O6" i="40" s="1"/>
  <c r="L3" i="38"/>
  <c r="L3" i="40" s="1"/>
  <c r="H20" i="37"/>
  <c r="I20" i="37" s="1"/>
  <c r="H19" i="37"/>
  <c r="I19" i="37" s="1"/>
  <c r="AU45" i="37"/>
  <c r="AU48" i="37"/>
  <c r="I21" i="37"/>
  <c r="AY50" i="37"/>
  <c r="X140" i="8"/>
  <c r="Y139" i="8" s="1"/>
  <c r="X142" i="8"/>
  <c r="X35" i="8"/>
  <c r="X36" i="8" s="1"/>
  <c r="X40" i="8" s="1"/>
  <c r="V93" i="29"/>
  <c r="V94" i="29"/>
  <c r="R59" i="21"/>
  <c r="U94" i="24"/>
  <c r="U93" i="24"/>
  <c r="S58" i="5"/>
  <c r="T44" i="5"/>
  <c r="U61" i="24"/>
  <c r="U60" i="24"/>
  <c r="R59" i="5"/>
  <c r="S59" i="5"/>
  <c r="W162" i="24"/>
  <c r="W166" i="24"/>
  <c r="W163" i="24"/>
  <c r="X161" i="24" s="1"/>
  <c r="W37" i="24"/>
  <c r="W40" i="24" s="1"/>
  <c r="W50" i="24"/>
  <c r="W51" i="24" s="1"/>
  <c r="W53" i="24" s="1"/>
  <c r="W54" i="24" s="1"/>
  <c r="W37" i="10"/>
  <c r="W40" i="10" s="1"/>
  <c r="W155" i="10"/>
  <c r="W50" i="10"/>
  <c r="W51" i="10" s="1"/>
  <c r="W53" i="10" s="1"/>
  <c r="W54" i="10" s="1"/>
  <c r="W151" i="10"/>
  <c r="W152" i="10"/>
  <c r="X150" i="10" s="1"/>
  <c r="S44" i="8"/>
  <c r="R58" i="8"/>
  <c r="V91" i="24"/>
  <c r="V43" i="24"/>
  <c r="V44" i="24" s="1"/>
  <c r="V58" i="24" s="1"/>
  <c r="V59" i="24" s="1"/>
  <c r="Z138" i="21"/>
  <c r="Z35" i="21"/>
  <c r="Z36" i="21" s="1"/>
  <c r="Z47" i="21" s="1"/>
  <c r="Z54" i="21" s="1"/>
  <c r="Z136" i="21"/>
  <c r="AA135" i="21" s="1"/>
  <c r="X164" i="29"/>
  <c r="X37" i="29"/>
  <c r="X40" i="29" s="1"/>
  <c r="X161" i="29"/>
  <c r="Y159" i="29" s="1"/>
  <c r="X160" i="29"/>
  <c r="X50" i="29"/>
  <c r="X51" i="29" s="1"/>
  <c r="X53" i="29" s="1"/>
  <c r="X54" i="29" s="1"/>
  <c r="Q60" i="8"/>
  <c r="Q61" i="8"/>
  <c r="W91" i="29"/>
  <c r="W43" i="29"/>
  <c r="W44" i="29" s="1"/>
  <c r="W58" i="29" s="1"/>
  <c r="W59" i="29" s="1"/>
  <c r="W60" i="29" s="1"/>
  <c r="V91" i="10"/>
  <c r="V43" i="10"/>
  <c r="U94" i="10"/>
  <c r="U93" i="10"/>
  <c r="S58" i="21"/>
  <c r="S59" i="21" s="1"/>
  <c r="T44" i="21"/>
  <c r="L155" i="12"/>
  <c r="L156" i="12" s="1"/>
  <c r="L154" i="36"/>
  <c r="L156" i="36" s="1"/>
  <c r="L157" i="36" s="1"/>
  <c r="L53" i="26"/>
  <c r="L54" i="26" s="1"/>
  <c r="T145" i="10"/>
  <c r="U143" i="10"/>
  <c r="V142" i="10" s="1"/>
  <c r="V145" i="10" s="1"/>
  <c r="M139" i="12"/>
  <c r="M152" i="12" s="1"/>
  <c r="M153" i="12" s="1"/>
  <c r="N60" i="10"/>
  <c r="N61" i="10"/>
  <c r="K145" i="12"/>
  <c r="O60" i="10"/>
  <c r="O61" i="10"/>
  <c r="Q44" i="10"/>
  <c r="P58" i="10"/>
  <c r="K196" i="36"/>
  <c r="K197" i="36"/>
  <c r="G61" i="26"/>
  <c r="G60" i="26"/>
  <c r="L146" i="36"/>
  <c r="L147" i="36" s="1"/>
  <c r="L161" i="36" s="1"/>
  <c r="L162" i="36" s="1"/>
  <c r="L194" i="36"/>
  <c r="J94" i="26"/>
  <c r="K196" i="12" s="1"/>
  <c r="J93" i="26"/>
  <c r="H60" i="26"/>
  <c r="H61" i="26"/>
  <c r="L40" i="26"/>
  <c r="M142" i="12" s="1"/>
  <c r="J44" i="26"/>
  <c r="K146" i="12" s="1"/>
  <c r="K160" i="12" s="1"/>
  <c r="K161" i="12" s="1"/>
  <c r="I58" i="26"/>
  <c r="AA37" i="5"/>
  <c r="AA40" i="5" s="1"/>
  <c r="AA50" i="5"/>
  <c r="AA51" i="5" s="1"/>
  <c r="AA53" i="5" s="1"/>
  <c r="AA54" i="5" s="1"/>
  <c r="AA140" i="5"/>
  <c r="AA136" i="5"/>
  <c r="AA137" i="5"/>
  <c r="AB135" i="5" s="1"/>
  <c r="M37" i="26"/>
  <c r="N139" i="12" s="1"/>
  <c r="N152" i="12" s="1"/>
  <c r="M50" i="26"/>
  <c r="M51" i="26" s="1"/>
  <c r="M150" i="26"/>
  <c r="M146" i="26"/>
  <c r="M147" i="26"/>
  <c r="N145" i="26" s="1"/>
  <c r="Y93" i="5"/>
  <c r="Y94" i="5"/>
  <c r="J161" i="12"/>
  <c r="Z91" i="5"/>
  <c r="Z43" i="5"/>
  <c r="K43" i="26"/>
  <c r="K91" i="26"/>
  <c r="L193" i="12" s="1"/>
  <c r="K164" i="36"/>
  <c r="K163" i="36"/>
  <c r="AB144" i="21"/>
  <c r="AB50" i="21"/>
  <c r="AB51" i="21" s="1"/>
  <c r="AB53" i="21" s="1"/>
  <c r="AB148" i="21"/>
  <c r="AB145" i="21"/>
  <c r="AC143" i="21" s="1"/>
  <c r="AB37" i="21"/>
  <c r="M142" i="36"/>
  <c r="M153" i="36"/>
  <c r="M154" i="36" s="1"/>
  <c r="M156" i="36" s="1"/>
  <c r="M157" i="36" s="1"/>
  <c r="T36" i="26"/>
  <c r="U138" i="12" s="1"/>
  <c r="U149" i="12" s="1"/>
  <c r="S47" i="26"/>
  <c r="U35" i="26"/>
  <c r="V137" i="12" s="1"/>
  <c r="U140" i="26"/>
  <c r="U138" i="26"/>
  <c r="V137" i="26" s="1"/>
  <c r="AC53" i="8"/>
  <c r="AD50" i="8"/>
  <c r="AD51" i="8" s="1"/>
  <c r="AD149" i="8"/>
  <c r="AE147" i="8" s="1"/>
  <c r="AD148" i="8"/>
  <c r="AD37" i="8"/>
  <c r="AD152" i="8"/>
  <c r="AA53" i="9"/>
  <c r="AA54" i="9" s="1"/>
  <c r="AB37" i="9"/>
  <c r="AB40" i="9" s="1"/>
  <c r="AB144" i="9"/>
  <c r="AC142" i="9" s="1"/>
  <c r="AB143" i="9"/>
  <c r="AB50" i="9"/>
  <c r="AB51" i="9" s="1"/>
  <c r="AB147" i="9"/>
  <c r="AA43" i="9"/>
  <c r="AA91" i="9"/>
  <c r="Z93" i="9"/>
  <c r="Z94" i="9"/>
  <c r="P44" i="9"/>
  <c r="O58" i="9"/>
  <c r="N61" i="9"/>
  <c r="N60" i="9"/>
  <c r="V60" i="29"/>
  <c r="V61" i="29"/>
  <c r="X94" i="21"/>
  <c r="X93" i="21"/>
  <c r="E81" i="21"/>
  <c r="V94" i="8"/>
  <c r="V93" i="8"/>
  <c r="Y43" i="21"/>
  <c r="Y91" i="21"/>
  <c r="W91" i="8"/>
  <c r="W43" i="8"/>
  <c r="Z40" i="21" l="1"/>
  <c r="X47" i="8"/>
  <c r="X54" i="8" s="1"/>
  <c r="W61" i="29"/>
  <c r="J17" i="37"/>
  <c r="J21" i="37" s="1"/>
  <c r="J16" i="37"/>
  <c r="P6" i="38"/>
  <c r="P6" i="40" s="1"/>
  <c r="M3" i="38"/>
  <c r="M3" i="40" s="1"/>
  <c r="R6" i="46"/>
  <c r="AZ49" i="37" s="1"/>
  <c r="O3" i="46"/>
  <c r="AV45" i="37"/>
  <c r="AV48" i="37"/>
  <c r="V61" i="24"/>
  <c r="V60" i="24"/>
  <c r="W43" i="10"/>
  <c r="W91" i="10"/>
  <c r="V94" i="24"/>
  <c r="V93" i="24"/>
  <c r="T58" i="21"/>
  <c r="T59" i="21" s="1"/>
  <c r="U44" i="21"/>
  <c r="Y37" i="29"/>
  <c r="Y40" i="29" s="1"/>
  <c r="Y164" i="29"/>
  <c r="Y160" i="29"/>
  <c r="Y161" i="29"/>
  <c r="Z159" i="29" s="1"/>
  <c r="Y50" i="29"/>
  <c r="Y51" i="29" s="1"/>
  <c r="Y53" i="29" s="1"/>
  <c r="Y54" i="29" s="1"/>
  <c r="R59" i="8"/>
  <c r="W43" i="24"/>
  <c r="W44" i="24" s="1"/>
  <c r="W58" i="24" s="1"/>
  <c r="W59" i="24" s="1"/>
  <c r="W60" i="24" s="1"/>
  <c r="W91" i="24"/>
  <c r="R61" i="21"/>
  <c r="R60" i="21"/>
  <c r="S60" i="21"/>
  <c r="S61" i="21"/>
  <c r="V94" i="10"/>
  <c r="V93" i="10"/>
  <c r="X43" i="29"/>
  <c r="X44" i="29" s="1"/>
  <c r="X58" i="29" s="1"/>
  <c r="X59" i="29" s="1"/>
  <c r="X91" i="29"/>
  <c r="S58" i="8"/>
  <c r="T44" i="8"/>
  <c r="X162" i="24"/>
  <c r="X50" i="24"/>
  <c r="X51" i="24" s="1"/>
  <c r="X53" i="24" s="1"/>
  <c r="X54" i="24" s="1"/>
  <c r="X166" i="24"/>
  <c r="X163" i="24"/>
  <c r="Y161" i="24" s="1"/>
  <c r="X37" i="24"/>
  <c r="X40" i="24" s="1"/>
  <c r="X50" i="10"/>
  <c r="X51" i="10" s="1"/>
  <c r="X53" i="10" s="1"/>
  <c r="X54" i="10" s="1"/>
  <c r="X152" i="10"/>
  <c r="Y150" i="10" s="1"/>
  <c r="X151" i="10"/>
  <c r="X37" i="10"/>
  <c r="X40" i="10" s="1"/>
  <c r="X155" i="10"/>
  <c r="T58" i="5"/>
  <c r="U44" i="5"/>
  <c r="W93" i="29"/>
  <c r="W94" i="29"/>
  <c r="AA136" i="21"/>
  <c r="AB135" i="21" s="1"/>
  <c r="AA138" i="21"/>
  <c r="AA35" i="21"/>
  <c r="AA36" i="21" s="1"/>
  <c r="AA47" i="21" s="1"/>
  <c r="AA54" i="21" s="1"/>
  <c r="S60" i="5"/>
  <c r="S61" i="5"/>
  <c r="R61" i="5"/>
  <c r="R60" i="5"/>
  <c r="Y35" i="8"/>
  <c r="Y36" i="8" s="1"/>
  <c r="Y40" i="8" s="1"/>
  <c r="Y140" i="8"/>
  <c r="Z139" i="8" s="1"/>
  <c r="Y142" i="8"/>
  <c r="N139" i="36"/>
  <c r="N153" i="36" s="1"/>
  <c r="N154" i="36" s="1"/>
  <c r="N156" i="36" s="1"/>
  <c r="N157" i="36" s="1"/>
  <c r="M155" i="12"/>
  <c r="M156" i="12" s="1"/>
  <c r="N153" i="12"/>
  <c r="M53" i="26"/>
  <c r="M54" i="26" s="1"/>
  <c r="V143" i="10"/>
  <c r="W142" i="10" s="1"/>
  <c r="L145" i="12"/>
  <c r="P59" i="10"/>
  <c r="K195" i="12"/>
  <c r="Q58" i="10"/>
  <c r="Q59" i="10" s="1"/>
  <c r="R44" i="10"/>
  <c r="AC148" i="21"/>
  <c r="AC37" i="21"/>
  <c r="AC145" i="21"/>
  <c r="AD143" i="21" s="1"/>
  <c r="AC144" i="21"/>
  <c r="AC50" i="21"/>
  <c r="AC51" i="21" s="1"/>
  <c r="K94" i="26"/>
  <c r="K93" i="26"/>
  <c r="N146" i="26"/>
  <c r="N150" i="26"/>
  <c r="N147" i="26"/>
  <c r="O145" i="26" s="1"/>
  <c r="N37" i="26"/>
  <c r="O139" i="12" s="1"/>
  <c r="O152" i="12" s="1"/>
  <c r="N50" i="26"/>
  <c r="N51" i="26" s="1"/>
  <c r="L91" i="26"/>
  <c r="M193" i="12" s="1"/>
  <c r="L43" i="26"/>
  <c r="N3" i="38" s="1"/>
  <c r="N3" i="40" s="1"/>
  <c r="L196" i="36"/>
  <c r="L197" i="36"/>
  <c r="AA91" i="5"/>
  <c r="AA43" i="5"/>
  <c r="L163" i="36"/>
  <c r="L164" i="36"/>
  <c r="M194" i="36"/>
  <c r="M146" i="36"/>
  <c r="M147" i="36" s="1"/>
  <c r="M161" i="36" s="1"/>
  <c r="I59" i="26"/>
  <c r="Z94" i="5"/>
  <c r="Z93" i="5"/>
  <c r="J58" i="26"/>
  <c r="J59" i="26" s="1"/>
  <c r="K44" i="26"/>
  <c r="L146" i="12" s="1"/>
  <c r="L160" i="12" s="1"/>
  <c r="L161" i="12" s="1"/>
  <c r="K163" i="12"/>
  <c r="K162" i="12"/>
  <c r="O139" i="36"/>
  <c r="M40" i="26"/>
  <c r="N142" i="12" s="1"/>
  <c r="J163" i="12"/>
  <c r="J162" i="12"/>
  <c r="AB37" i="5"/>
  <c r="AB40" i="5" s="1"/>
  <c r="AB50" i="5"/>
  <c r="AB51" i="5" s="1"/>
  <c r="AB53" i="5" s="1"/>
  <c r="AB54" i="5" s="1"/>
  <c r="AB140" i="5"/>
  <c r="AB137" i="5"/>
  <c r="AC135" i="5" s="1"/>
  <c r="AB136" i="5"/>
  <c r="U36" i="26"/>
  <c r="V138" i="12" s="1"/>
  <c r="V149" i="12" s="1"/>
  <c r="T47" i="26"/>
  <c r="V35" i="26"/>
  <c r="W137" i="12" s="1"/>
  <c r="V140" i="26"/>
  <c r="V138" i="26"/>
  <c r="W137" i="26" s="1"/>
  <c r="AD53" i="8"/>
  <c r="AE148" i="8"/>
  <c r="AE50" i="8"/>
  <c r="AE51" i="8" s="1"/>
  <c r="AE149" i="8"/>
  <c r="AF147" i="8" s="1"/>
  <c r="AE37" i="8"/>
  <c r="AE152" i="8"/>
  <c r="AB53" i="9"/>
  <c r="AB54" i="9" s="1"/>
  <c r="AC50" i="9"/>
  <c r="AC51" i="9" s="1"/>
  <c r="AC144" i="9"/>
  <c r="AD142" i="9" s="1"/>
  <c r="AC37" i="9"/>
  <c r="AC40" i="9" s="1"/>
  <c r="AC143" i="9"/>
  <c r="AC147" i="9"/>
  <c r="AB43" i="9"/>
  <c r="AB91" i="9"/>
  <c r="AA93" i="9"/>
  <c r="AA94" i="9"/>
  <c r="O59" i="9"/>
  <c r="Q44" i="9"/>
  <c r="P58" i="9"/>
  <c r="P59" i="9" s="1"/>
  <c r="X60" i="29"/>
  <c r="X61" i="29"/>
  <c r="W61" i="24"/>
  <c r="W94" i="8"/>
  <c r="W93" i="8"/>
  <c r="Z91" i="21"/>
  <c r="Z43" i="21"/>
  <c r="X91" i="8"/>
  <c r="X43" i="8"/>
  <c r="AA40" i="21"/>
  <c r="Y93" i="21"/>
  <c r="Y94" i="21"/>
  <c r="K17" i="37" l="1"/>
  <c r="K21" i="37" s="1"/>
  <c r="K16" i="37"/>
  <c r="L17" i="37"/>
  <c r="L16" i="37"/>
  <c r="AZ50" i="37"/>
  <c r="S6" i="46"/>
  <c r="BA49" i="37" s="1"/>
  <c r="P3" i="46"/>
  <c r="J20" i="37"/>
  <c r="J19" i="37"/>
  <c r="AW45" i="37"/>
  <c r="AW48" i="37"/>
  <c r="Z142" i="8"/>
  <c r="Z140" i="8"/>
  <c r="AA139" i="8" s="1"/>
  <c r="Z35" i="8"/>
  <c r="Z36" i="8" s="1"/>
  <c r="X43" i="10"/>
  <c r="X91" i="10"/>
  <c r="Z50" i="29"/>
  <c r="Z51" i="29" s="1"/>
  <c r="Z53" i="29" s="1"/>
  <c r="Z54" i="29" s="1"/>
  <c r="Z164" i="29"/>
  <c r="Z37" i="29"/>
  <c r="Z40" i="29" s="1"/>
  <c r="Z161" i="29"/>
  <c r="AA159" i="29" s="1"/>
  <c r="Z160" i="29"/>
  <c r="AB136" i="21"/>
  <c r="AC135" i="21" s="1"/>
  <c r="AB138" i="21"/>
  <c r="AB35" i="21"/>
  <c r="AB36" i="21" s="1"/>
  <c r="Y151" i="10"/>
  <c r="Y152" i="10"/>
  <c r="Z150" i="10" s="1"/>
  <c r="Y155" i="10"/>
  <c r="Y37" i="10"/>
  <c r="Y40" i="10" s="1"/>
  <c r="Y50" i="10"/>
  <c r="Y51" i="10" s="1"/>
  <c r="Y53" i="10" s="1"/>
  <c r="Y54" i="10" s="1"/>
  <c r="U44" i="8"/>
  <c r="T58" i="8"/>
  <c r="Y47" i="8"/>
  <c r="Y54" i="8" s="1"/>
  <c r="T59" i="8"/>
  <c r="W94" i="10"/>
  <c r="W93" i="10"/>
  <c r="M145" i="12"/>
  <c r="Q6" i="38"/>
  <c r="Q6" i="40" s="1"/>
  <c r="X93" i="29"/>
  <c r="X94" i="29"/>
  <c r="W94" i="24"/>
  <c r="W93" i="24"/>
  <c r="Y43" i="29"/>
  <c r="Y44" i="29" s="1"/>
  <c r="Y58" i="29" s="1"/>
  <c r="Y59" i="29" s="1"/>
  <c r="Y61" i="29" s="1"/>
  <c r="Y91" i="29"/>
  <c r="U58" i="5"/>
  <c r="V44" i="5"/>
  <c r="X91" i="24"/>
  <c r="X43" i="24"/>
  <c r="X44" i="24" s="1"/>
  <c r="X58" i="24" s="1"/>
  <c r="X59" i="24" s="1"/>
  <c r="U58" i="21"/>
  <c r="V44" i="21"/>
  <c r="T59" i="5"/>
  <c r="U59" i="5"/>
  <c r="Y37" i="24"/>
  <c r="Y40" i="24" s="1"/>
  <c r="Y163" i="24"/>
  <c r="Z161" i="24" s="1"/>
  <c r="Y50" i="24"/>
  <c r="Y51" i="24" s="1"/>
  <c r="Y53" i="24" s="1"/>
  <c r="Y54" i="24" s="1"/>
  <c r="Y162" i="24"/>
  <c r="Y166" i="24"/>
  <c r="S59" i="8"/>
  <c r="T60" i="21"/>
  <c r="T61" i="21"/>
  <c r="R61" i="8"/>
  <c r="R60" i="8"/>
  <c r="N142" i="36"/>
  <c r="N194" i="36" s="1"/>
  <c r="O153" i="12"/>
  <c r="N155" i="12"/>
  <c r="N156" i="12" s="1"/>
  <c r="N53" i="26"/>
  <c r="N54" i="26" s="1"/>
  <c r="W145" i="10"/>
  <c r="W143" i="10"/>
  <c r="X142" i="10" s="1"/>
  <c r="Q61" i="10"/>
  <c r="Q60" i="10"/>
  <c r="P61" i="10"/>
  <c r="P60" i="10"/>
  <c r="S44" i="10"/>
  <c r="R58" i="10"/>
  <c r="R59" i="10" s="1"/>
  <c r="L196" i="12"/>
  <c r="L195" i="12"/>
  <c r="J60" i="26"/>
  <c r="J61" i="26"/>
  <c r="AB91" i="5"/>
  <c r="AB43" i="5"/>
  <c r="N40" i="26"/>
  <c r="O142" i="12" s="1"/>
  <c r="AA94" i="5"/>
  <c r="AA93" i="5"/>
  <c r="O150" i="26"/>
  <c r="O50" i="26"/>
  <c r="O51" i="26" s="1"/>
  <c r="O37" i="26"/>
  <c r="P139" i="12" s="1"/>
  <c r="P152" i="12" s="1"/>
  <c r="O146" i="26"/>
  <c r="O147" i="26"/>
  <c r="P145" i="26" s="1"/>
  <c r="I60" i="26"/>
  <c r="I61" i="26"/>
  <c r="AC53" i="21"/>
  <c r="M162" i="36"/>
  <c r="AC136" i="5"/>
  <c r="AC140" i="5"/>
  <c r="AC50" i="5"/>
  <c r="AC51" i="5" s="1"/>
  <c r="AC53" i="5" s="1"/>
  <c r="AC54" i="5" s="1"/>
  <c r="AC37" i="5"/>
  <c r="AC40" i="5" s="1"/>
  <c r="AC137" i="5"/>
  <c r="AD135" i="5" s="1"/>
  <c r="K58" i="26"/>
  <c r="K59" i="26" s="1"/>
  <c r="L44" i="26"/>
  <c r="M146" i="12" s="1"/>
  <c r="M160" i="12" s="1"/>
  <c r="M161" i="12" s="1"/>
  <c r="M196" i="36"/>
  <c r="M197" i="36"/>
  <c r="AD37" i="21"/>
  <c r="AD145" i="21"/>
  <c r="AE143" i="21" s="1"/>
  <c r="AD50" i="21"/>
  <c r="AD51" i="21" s="1"/>
  <c r="AD144" i="21"/>
  <c r="AD148" i="21"/>
  <c r="M43" i="26"/>
  <c r="M91" i="26"/>
  <c r="N193" i="12" s="1"/>
  <c r="L93" i="26"/>
  <c r="M195" i="12" s="1"/>
  <c r="L94" i="26"/>
  <c r="M196" i="12" s="1"/>
  <c r="O153" i="36"/>
  <c r="O154" i="36" s="1"/>
  <c r="O156" i="36" s="1"/>
  <c r="O157" i="36" s="1"/>
  <c r="O142" i="36"/>
  <c r="L163" i="12"/>
  <c r="L162" i="12"/>
  <c r="W35" i="26"/>
  <c r="W140" i="26"/>
  <c r="W138" i="26"/>
  <c r="X137" i="26" s="1"/>
  <c r="U47" i="26"/>
  <c r="V36" i="26"/>
  <c r="W138" i="12" s="1"/>
  <c r="W149" i="12" s="1"/>
  <c r="X137" i="12"/>
  <c r="AE53" i="8"/>
  <c r="AF149" i="8"/>
  <c r="AG147" i="8" s="1"/>
  <c r="AF50" i="8"/>
  <c r="AF51" i="8" s="1"/>
  <c r="AF148" i="8"/>
  <c r="AF37" i="8"/>
  <c r="AF152" i="8"/>
  <c r="AC53" i="9"/>
  <c r="AC54" i="9" s="1"/>
  <c r="AC91" i="9"/>
  <c r="AC43" i="9"/>
  <c r="AD37" i="9"/>
  <c r="AD40" i="9" s="1"/>
  <c r="AD143" i="9"/>
  <c r="AD144" i="9"/>
  <c r="AE142" i="9" s="1"/>
  <c r="AD50" i="9"/>
  <c r="AD51" i="9" s="1"/>
  <c r="AD147" i="9"/>
  <c r="AB94" i="9"/>
  <c r="AB93" i="9"/>
  <c r="P60" i="9"/>
  <c r="P61" i="9"/>
  <c r="R44" i="9"/>
  <c r="Q58" i="9"/>
  <c r="Q59" i="9" s="1"/>
  <c r="O60" i="9"/>
  <c r="O61" i="9"/>
  <c r="Z47" i="8"/>
  <c r="Z54" i="8" s="1"/>
  <c r="Z40" i="8"/>
  <c r="AB47" i="21"/>
  <c r="AB54" i="21" s="1"/>
  <c r="AB40" i="21"/>
  <c r="Y43" i="8"/>
  <c r="Y91" i="8"/>
  <c r="AA91" i="21"/>
  <c r="AA43" i="21"/>
  <c r="X93" i="8"/>
  <c r="X94" i="8"/>
  <c r="Z93" i="21"/>
  <c r="Z94" i="21"/>
  <c r="Y60" i="29" l="1"/>
  <c r="N146" i="36"/>
  <c r="N147" i="36" s="1"/>
  <c r="N161" i="36" s="1"/>
  <c r="BA50" i="37"/>
  <c r="R6" i="38"/>
  <c r="R6" i="40" s="1"/>
  <c r="O3" i="38"/>
  <c r="O3" i="40" s="1"/>
  <c r="T6" i="46"/>
  <c r="BB49" i="37" s="1"/>
  <c r="Q3" i="46"/>
  <c r="K20" i="37"/>
  <c r="L20" i="37" s="1"/>
  <c r="K19" i="37"/>
  <c r="L19" i="37" s="1"/>
  <c r="AX45" i="37"/>
  <c r="AX48" i="37"/>
  <c r="L21" i="37"/>
  <c r="X93" i="24"/>
  <c r="X94" i="24"/>
  <c r="X94" i="10"/>
  <c r="X93" i="10"/>
  <c r="Z166" i="24"/>
  <c r="Z50" i="24"/>
  <c r="Z51" i="24" s="1"/>
  <c r="Z53" i="24" s="1"/>
  <c r="Z54" i="24" s="1"/>
  <c r="Z37" i="24"/>
  <c r="Z40" i="24" s="1"/>
  <c r="Z163" i="24"/>
  <c r="AA161" i="24" s="1"/>
  <c r="Z162" i="24"/>
  <c r="V58" i="5"/>
  <c r="W44" i="5"/>
  <c r="X61" i="24"/>
  <c r="X60" i="24"/>
  <c r="Y91" i="24"/>
  <c r="Y43" i="24"/>
  <c r="Y44" i="24" s="1"/>
  <c r="Y58" i="24" s="1"/>
  <c r="Y59" i="24" s="1"/>
  <c r="V59" i="5"/>
  <c r="V44" i="8"/>
  <c r="U58" i="8"/>
  <c r="U59" i="8" s="1"/>
  <c r="AC138" i="21"/>
  <c r="AC136" i="21"/>
  <c r="AD135" i="21" s="1"/>
  <c r="AC35" i="21"/>
  <c r="AC36" i="21" s="1"/>
  <c r="AC40" i="21" s="1"/>
  <c r="U61" i="5"/>
  <c r="U60" i="5"/>
  <c r="Y93" i="29"/>
  <c r="Y94" i="29"/>
  <c r="AA35" i="8"/>
  <c r="AA36" i="8" s="1"/>
  <c r="AA140" i="8"/>
  <c r="AB139" i="8" s="1"/>
  <c r="AA142" i="8"/>
  <c r="T61" i="5"/>
  <c r="T60" i="5"/>
  <c r="Y43" i="10"/>
  <c r="Y91" i="10"/>
  <c r="AA37" i="29"/>
  <c r="AA40" i="29" s="1"/>
  <c r="AA161" i="29"/>
  <c r="AB159" i="29" s="1"/>
  <c r="AA160" i="29"/>
  <c r="AA50" i="29"/>
  <c r="AA51" i="29" s="1"/>
  <c r="AA53" i="29" s="1"/>
  <c r="AA54" i="29" s="1"/>
  <c r="AA164" i="29"/>
  <c r="P139" i="36"/>
  <c r="P142" i="36" s="1"/>
  <c r="S60" i="8"/>
  <c r="S61" i="8"/>
  <c r="V58" i="21"/>
  <c r="V59" i="21" s="1"/>
  <c r="W44" i="21"/>
  <c r="Z91" i="29"/>
  <c r="Z43" i="29"/>
  <c r="Z44" i="29" s="1"/>
  <c r="Z58" i="29" s="1"/>
  <c r="Z59" i="29" s="1"/>
  <c r="U59" i="21"/>
  <c r="T61" i="8"/>
  <c r="T60" i="8"/>
  <c r="Z151" i="10"/>
  <c r="Z50" i="10"/>
  <c r="Z51" i="10" s="1"/>
  <c r="Z53" i="10" s="1"/>
  <c r="Z54" i="10" s="1"/>
  <c r="Z155" i="10"/>
  <c r="Z37" i="10"/>
  <c r="Z40" i="10" s="1"/>
  <c r="Z152" i="10"/>
  <c r="AA150" i="10" s="1"/>
  <c r="P153" i="12"/>
  <c r="O155" i="12"/>
  <c r="O156" i="12" s="1"/>
  <c r="O53" i="26"/>
  <c r="O54" i="26" s="1"/>
  <c r="X143" i="10"/>
  <c r="Y142" i="10" s="1"/>
  <c r="X145" i="10"/>
  <c r="R61" i="10"/>
  <c r="R60" i="10"/>
  <c r="N145" i="12"/>
  <c r="T44" i="10"/>
  <c r="S58" i="10"/>
  <c r="S59" i="10" s="1"/>
  <c r="AD53" i="21"/>
  <c r="K61" i="26"/>
  <c r="K60" i="26"/>
  <c r="AD50" i="5"/>
  <c r="AD51" i="5" s="1"/>
  <c r="AD53" i="5" s="1"/>
  <c r="AD54" i="5" s="1"/>
  <c r="AD37" i="5"/>
  <c r="AD40" i="5" s="1"/>
  <c r="AD136" i="5"/>
  <c r="AD140" i="5"/>
  <c r="AD137" i="5"/>
  <c r="AE135" i="5" s="1"/>
  <c r="P150" i="26"/>
  <c r="P146" i="26"/>
  <c r="P50" i="26"/>
  <c r="P51" i="26" s="1"/>
  <c r="P37" i="26"/>
  <c r="Q139" i="36" s="1"/>
  <c r="P147" i="26"/>
  <c r="Q145" i="26" s="1"/>
  <c r="AC43" i="5"/>
  <c r="AC91" i="5"/>
  <c r="M94" i="26"/>
  <c r="M93" i="26"/>
  <c r="N195" i="12" s="1"/>
  <c r="O40" i="26"/>
  <c r="P142" i="12" s="1"/>
  <c r="O146" i="36"/>
  <c r="O147" i="36" s="1"/>
  <c r="O161" i="36" s="1"/>
  <c r="O162" i="36" s="1"/>
  <c r="O194" i="36"/>
  <c r="L58" i="26"/>
  <c r="M44" i="26"/>
  <c r="N146" i="12" s="1"/>
  <c r="N160" i="12" s="1"/>
  <c r="N197" i="36"/>
  <c r="N196" i="36"/>
  <c r="M163" i="12"/>
  <c r="M162" i="12"/>
  <c r="N162" i="36"/>
  <c r="AB94" i="5"/>
  <c r="AB93" i="5"/>
  <c r="M164" i="36"/>
  <c r="M163" i="36"/>
  <c r="AE37" i="21"/>
  <c r="AE145" i="21"/>
  <c r="AF143" i="21" s="1"/>
  <c r="AE144" i="21"/>
  <c r="AE50" i="21"/>
  <c r="AE51" i="21" s="1"/>
  <c r="AE148" i="21"/>
  <c r="N43" i="26"/>
  <c r="P3" i="38" s="1"/>
  <c r="P3" i="40" s="1"/>
  <c r="N91" i="26"/>
  <c r="O193" i="12" s="1"/>
  <c r="V47" i="26"/>
  <c r="X140" i="26"/>
  <c r="X35" i="26"/>
  <c r="Y137" i="12" s="1"/>
  <c r="X138" i="26"/>
  <c r="Y137" i="26" s="1"/>
  <c r="W36" i="26"/>
  <c r="X138" i="12" s="1"/>
  <c r="X149" i="12" s="1"/>
  <c r="AF53" i="8"/>
  <c r="AG148" i="8"/>
  <c r="AG50" i="8"/>
  <c r="AG51" i="8" s="1"/>
  <c r="AG149" i="8"/>
  <c r="AH147" i="8" s="1"/>
  <c r="AG37" i="8"/>
  <c r="AG152" i="8"/>
  <c r="AD53" i="9"/>
  <c r="AD54" i="9" s="1"/>
  <c r="AE37" i="9"/>
  <c r="AE40" i="9" s="1"/>
  <c r="AE144" i="9"/>
  <c r="AF142" i="9" s="1"/>
  <c r="AE143" i="9"/>
  <c r="AE50" i="9"/>
  <c r="AE51" i="9" s="1"/>
  <c r="AE147" i="9"/>
  <c r="AD91" i="9"/>
  <c r="AD43" i="9"/>
  <c r="AC93" i="9"/>
  <c r="AC94" i="9"/>
  <c r="Q61" i="9"/>
  <c r="Q60" i="9"/>
  <c r="R58" i="9"/>
  <c r="R59" i="9" s="1"/>
  <c r="S44" i="9"/>
  <c r="Z60" i="29"/>
  <c r="Z61" i="29"/>
  <c r="AC47" i="21"/>
  <c r="AC54" i="21" s="1"/>
  <c r="Z43" i="8"/>
  <c r="Z91" i="8"/>
  <c r="AB91" i="21"/>
  <c r="AB43" i="21"/>
  <c r="AA40" i="8"/>
  <c r="AA47" i="8"/>
  <c r="AA54" i="8" s="1"/>
  <c r="AA93" i="21"/>
  <c r="AA94" i="21"/>
  <c r="Y93" i="8"/>
  <c r="Y94" i="8"/>
  <c r="P153" i="36" l="1"/>
  <c r="P154" i="36" s="1"/>
  <c r="P156" i="36" s="1"/>
  <c r="P157" i="36" s="1"/>
  <c r="M16" i="37"/>
  <c r="M17" i="37"/>
  <c r="M21" i="37" s="1"/>
  <c r="N17" i="37"/>
  <c r="N16" i="37"/>
  <c r="BB50" i="37"/>
  <c r="P53" i="26"/>
  <c r="P54" i="26" s="1"/>
  <c r="R3" i="46"/>
  <c r="AY45" i="37"/>
  <c r="AY48" i="37"/>
  <c r="V60" i="21"/>
  <c r="V61" i="21"/>
  <c r="W58" i="21"/>
  <c r="W59" i="21" s="1"/>
  <c r="X44" i="21"/>
  <c r="AD136" i="21"/>
  <c r="AE135" i="21" s="1"/>
  <c r="AD138" i="21"/>
  <c r="AD35" i="21"/>
  <c r="AD36" i="21" s="1"/>
  <c r="Y93" i="24"/>
  <c r="Y94" i="24"/>
  <c r="AB140" i="8"/>
  <c r="AC139" i="8" s="1"/>
  <c r="AC140" i="8" s="1"/>
  <c r="AD139" i="8" s="1"/>
  <c r="AB142" i="8"/>
  <c r="AB35" i="8"/>
  <c r="AB36" i="8" s="1"/>
  <c r="AB50" i="29"/>
  <c r="AB51" i="29" s="1"/>
  <c r="AB53" i="29" s="1"/>
  <c r="AB54" i="29" s="1"/>
  <c r="AB164" i="29"/>
  <c r="AB160" i="29"/>
  <c r="AB37" i="29"/>
  <c r="AB40" i="29" s="1"/>
  <c r="AB161" i="29"/>
  <c r="AC159" i="29" s="1"/>
  <c r="U61" i="8"/>
  <c r="U60" i="8"/>
  <c r="O145" i="12"/>
  <c r="S6" i="38"/>
  <c r="S6" i="40" s="1"/>
  <c r="AA91" i="29"/>
  <c r="AA43" i="29"/>
  <c r="AA44" i="29" s="1"/>
  <c r="AA58" i="29" s="1"/>
  <c r="AA59" i="29" s="1"/>
  <c r="V58" i="8"/>
  <c r="V59" i="8" s="1"/>
  <c r="W44" i="8"/>
  <c r="W58" i="5"/>
  <c r="W59" i="5" s="1"/>
  <c r="X44" i="5"/>
  <c r="Y93" i="10"/>
  <c r="Y94" i="10"/>
  <c r="AA50" i="10"/>
  <c r="AA51" i="10" s="1"/>
  <c r="AA53" i="10" s="1"/>
  <c r="AA54" i="10" s="1"/>
  <c r="AA37" i="10"/>
  <c r="AA40" i="10" s="1"/>
  <c r="AA151" i="10"/>
  <c r="AA152" i="10"/>
  <c r="AB150" i="10" s="1"/>
  <c r="AA155" i="10"/>
  <c r="U60" i="21"/>
  <c r="U61" i="21"/>
  <c r="Z91" i="10"/>
  <c r="Z43" i="10"/>
  <c r="V60" i="5"/>
  <c r="V61" i="5"/>
  <c r="AA50" i="24"/>
  <c r="AA51" i="24" s="1"/>
  <c r="AA53" i="24" s="1"/>
  <c r="AA54" i="24" s="1"/>
  <c r="AA162" i="24"/>
  <c r="AA166" i="24"/>
  <c r="AA37" i="24"/>
  <c r="AA40" i="24" s="1"/>
  <c r="AA163" i="24"/>
  <c r="AB161" i="24" s="1"/>
  <c r="Z93" i="29"/>
  <c r="Z94" i="29"/>
  <c r="Y61" i="24"/>
  <c r="Y60" i="24"/>
  <c r="Z43" i="24"/>
  <c r="Z44" i="24" s="1"/>
  <c r="Z58" i="24" s="1"/>
  <c r="Z59" i="24" s="1"/>
  <c r="Z91" i="24"/>
  <c r="Q139" i="12"/>
  <c r="Q152" i="12" s="1"/>
  <c r="Q153" i="12" s="1"/>
  <c r="P155" i="12"/>
  <c r="P156" i="12" s="1"/>
  <c r="Y145" i="10"/>
  <c r="Y143" i="10"/>
  <c r="Z142" i="10" s="1"/>
  <c r="S60" i="10"/>
  <c r="S61" i="10"/>
  <c r="U44" i="10"/>
  <c r="T58" i="10"/>
  <c r="N196" i="12"/>
  <c r="AE53" i="21"/>
  <c r="N161" i="12"/>
  <c r="P146" i="36"/>
  <c r="P147" i="36" s="1"/>
  <c r="P161" i="36" s="1"/>
  <c r="P162" i="36" s="1"/>
  <c r="P194" i="36"/>
  <c r="O163" i="36"/>
  <c r="O164" i="36"/>
  <c r="O197" i="36"/>
  <c r="O196" i="36"/>
  <c r="Q146" i="26"/>
  <c r="Q150" i="26"/>
  <c r="Q50" i="26"/>
  <c r="Q51" i="26" s="1"/>
  <c r="Q37" i="26"/>
  <c r="R139" i="12" s="1"/>
  <c r="R152" i="12" s="1"/>
  <c r="Q147" i="26"/>
  <c r="R145" i="26" s="1"/>
  <c r="AD91" i="5"/>
  <c r="AD43" i="5"/>
  <c r="AC93" i="5"/>
  <c r="AC94" i="5"/>
  <c r="P40" i="26"/>
  <c r="Q142" i="12" s="1"/>
  <c r="N164" i="36"/>
  <c r="N163" i="36"/>
  <c r="M58" i="26"/>
  <c r="M59" i="26" s="1"/>
  <c r="N44" i="26"/>
  <c r="O146" i="12" s="1"/>
  <c r="O160" i="12" s="1"/>
  <c r="O161" i="12" s="1"/>
  <c r="O43" i="26"/>
  <c r="O91" i="26"/>
  <c r="P193" i="12" s="1"/>
  <c r="N94" i="26"/>
  <c r="O196" i="12" s="1"/>
  <c r="N93" i="26"/>
  <c r="O195" i="12" s="1"/>
  <c r="AF145" i="21"/>
  <c r="AG143" i="21" s="1"/>
  <c r="AF50" i="21"/>
  <c r="AF51" i="21" s="1"/>
  <c r="AF53" i="21" s="1"/>
  <c r="AF148" i="21"/>
  <c r="AF144" i="21"/>
  <c r="AF37" i="21"/>
  <c r="L59" i="26"/>
  <c r="Q142" i="36"/>
  <c r="Q153" i="36"/>
  <c r="Q154" i="36" s="1"/>
  <c r="Q156" i="36" s="1"/>
  <c r="Q157" i="36" s="1"/>
  <c r="AE137" i="5"/>
  <c r="AF135" i="5" s="1"/>
  <c r="AE136" i="5"/>
  <c r="AE37" i="5"/>
  <c r="AE40" i="5" s="1"/>
  <c r="AE50" i="5"/>
  <c r="AE51" i="5" s="1"/>
  <c r="AE53" i="5" s="1"/>
  <c r="AE54" i="5" s="1"/>
  <c r="AE140" i="5"/>
  <c r="W47" i="26"/>
  <c r="Y138" i="26"/>
  <c r="Z137" i="26" s="1"/>
  <c r="Y35" i="26"/>
  <c r="Z137" i="12" s="1"/>
  <c r="Y140" i="26"/>
  <c r="X36" i="26"/>
  <c r="Y138" i="12" s="1"/>
  <c r="Y149" i="12" s="1"/>
  <c r="AG53" i="8"/>
  <c r="AH37" i="8"/>
  <c r="AH148" i="8"/>
  <c r="AH50" i="8"/>
  <c r="AH51" i="8" s="1"/>
  <c r="AH149" i="8"/>
  <c r="AI147" i="8" s="1"/>
  <c r="AH152" i="8"/>
  <c r="AE53" i="9"/>
  <c r="AE54" i="9" s="1"/>
  <c r="AD93" i="9"/>
  <c r="AD94" i="9"/>
  <c r="AF143" i="9"/>
  <c r="AF37" i="9"/>
  <c r="AF40" i="9" s="1"/>
  <c r="AF144" i="9"/>
  <c r="AG142" i="9" s="1"/>
  <c r="AF50" i="9"/>
  <c r="AF51" i="9" s="1"/>
  <c r="AF147" i="9"/>
  <c r="AE43" i="9"/>
  <c r="AE91" i="9"/>
  <c r="S58" i="9"/>
  <c r="S59" i="9" s="1"/>
  <c r="T44" i="9"/>
  <c r="R61" i="9"/>
  <c r="R60" i="9"/>
  <c r="AA91" i="8"/>
  <c r="AA43" i="8"/>
  <c r="AC43" i="21"/>
  <c r="AC91" i="21"/>
  <c r="AB40" i="8"/>
  <c r="AB47" i="8"/>
  <c r="AB54" i="8" s="1"/>
  <c r="AD47" i="21"/>
  <c r="AD54" i="21" s="1"/>
  <c r="AD40" i="21"/>
  <c r="AB93" i="21"/>
  <c r="AB94" i="21"/>
  <c r="Z94" i="8"/>
  <c r="Z93" i="8"/>
  <c r="AD142" i="8" l="1"/>
  <c r="AD35" i="8"/>
  <c r="AD140" i="8"/>
  <c r="AE139" i="8" s="1"/>
  <c r="T6" i="38"/>
  <c r="T6" i="40" s="1"/>
  <c r="Q3" i="38"/>
  <c r="Q3" i="40" s="1"/>
  <c r="Q53" i="26"/>
  <c r="Q54" i="26" s="1"/>
  <c r="S3" i="46"/>
  <c r="M20" i="37"/>
  <c r="N20" i="37" s="1"/>
  <c r="M19" i="37"/>
  <c r="N19" i="37" s="1"/>
  <c r="AZ45" i="37"/>
  <c r="AZ48" i="37"/>
  <c r="N21" i="37"/>
  <c r="Z93" i="24"/>
  <c r="Z94" i="24"/>
  <c r="AA94" i="29"/>
  <c r="AA93" i="29"/>
  <c r="R139" i="36"/>
  <c r="AE138" i="21"/>
  <c r="AE35" i="21"/>
  <c r="AE36" i="21" s="1"/>
  <c r="AE136" i="21"/>
  <c r="AF135" i="21" s="1"/>
  <c r="Z61" i="24"/>
  <c r="Z60" i="24"/>
  <c r="AB152" i="10"/>
  <c r="AC150" i="10" s="1"/>
  <c r="AB50" i="10"/>
  <c r="AB51" i="10" s="1"/>
  <c r="AB53" i="10" s="1"/>
  <c r="AB54" i="10" s="1"/>
  <c r="AB37" i="10"/>
  <c r="AB40" i="10" s="1"/>
  <c r="AB155" i="10"/>
  <c r="AB151" i="10"/>
  <c r="X58" i="5"/>
  <c r="Y44" i="5"/>
  <c r="X58" i="21"/>
  <c r="Y44" i="21"/>
  <c r="W60" i="5"/>
  <c r="W61" i="5"/>
  <c r="W61" i="21"/>
  <c r="W60" i="21"/>
  <c r="AA43" i="10"/>
  <c r="AA91" i="10"/>
  <c r="W58" i="8"/>
  <c r="W59" i="8" s="1"/>
  <c r="X44" i="8"/>
  <c r="AC142" i="8"/>
  <c r="AC35" i="8"/>
  <c r="AC36" i="8" s="1"/>
  <c r="AC40" i="8" s="1"/>
  <c r="AB162" i="24"/>
  <c r="AB166" i="24"/>
  <c r="AB37" i="24"/>
  <c r="AB40" i="24" s="1"/>
  <c r="AB163" i="24"/>
  <c r="AC161" i="24" s="1"/>
  <c r="AB50" i="24"/>
  <c r="AB51" i="24" s="1"/>
  <c r="AB53" i="24" s="1"/>
  <c r="AB54" i="24" s="1"/>
  <c r="Z93" i="10"/>
  <c r="Z94" i="10"/>
  <c r="V61" i="8"/>
  <c r="V60" i="8"/>
  <c r="AC161" i="29"/>
  <c r="AD159" i="29" s="1"/>
  <c r="AC160" i="29"/>
  <c r="AC50" i="29"/>
  <c r="AC51" i="29" s="1"/>
  <c r="AC53" i="29" s="1"/>
  <c r="AC54" i="29" s="1"/>
  <c r="AC164" i="29"/>
  <c r="AC37" i="29"/>
  <c r="AC40" i="29" s="1"/>
  <c r="AA43" i="24"/>
  <c r="AA44" i="24" s="1"/>
  <c r="AA58" i="24" s="1"/>
  <c r="AA59" i="24" s="1"/>
  <c r="AA91" i="24"/>
  <c r="AA61" i="29"/>
  <c r="AA60" i="29"/>
  <c r="AB91" i="29"/>
  <c r="AB43" i="29"/>
  <c r="AB44" i="29" s="1"/>
  <c r="AB58" i="29" s="1"/>
  <c r="AB59" i="29" s="1"/>
  <c r="AB61" i="29" s="1"/>
  <c r="R153" i="12"/>
  <c r="Q155" i="12"/>
  <c r="Q156" i="12" s="1"/>
  <c r="Z143" i="10"/>
  <c r="AA142" i="10" s="1"/>
  <c r="Z145" i="10"/>
  <c r="T59" i="10"/>
  <c r="V44" i="10"/>
  <c r="U58" i="10"/>
  <c r="U59" i="10" s="1"/>
  <c r="P164" i="36"/>
  <c r="P163" i="36"/>
  <c r="O162" i="12"/>
  <c r="O163" i="12"/>
  <c r="Q146" i="36"/>
  <c r="Q147" i="36" s="1"/>
  <c r="Q161" i="36" s="1"/>
  <c r="Q194" i="36"/>
  <c r="R142" i="36"/>
  <c r="R153" i="36"/>
  <c r="R154" i="36" s="1"/>
  <c r="R156" i="36" s="1"/>
  <c r="R157" i="36" s="1"/>
  <c r="P197" i="36"/>
  <c r="P196" i="36"/>
  <c r="M60" i="26"/>
  <c r="M61" i="26"/>
  <c r="AE91" i="5"/>
  <c r="AE43" i="5"/>
  <c r="L60" i="26"/>
  <c r="L61" i="26"/>
  <c r="E72" i="26" s="1"/>
  <c r="O94" i="26"/>
  <c r="O93" i="26"/>
  <c r="N163" i="12"/>
  <c r="N162" i="12"/>
  <c r="AF50" i="5"/>
  <c r="AF51" i="5" s="1"/>
  <c r="AF53" i="5" s="1"/>
  <c r="AF54" i="5" s="1"/>
  <c r="AF136" i="5"/>
  <c r="AF37" i="5"/>
  <c r="AF40" i="5" s="1"/>
  <c r="AF137" i="5"/>
  <c r="AG135" i="5" s="1"/>
  <c r="AF140" i="5"/>
  <c r="AD94" i="5"/>
  <c r="AD93" i="5"/>
  <c r="O44" i="26"/>
  <c r="P146" i="12" s="1"/>
  <c r="P160" i="12" s="1"/>
  <c r="P161" i="12" s="1"/>
  <c r="N58" i="26"/>
  <c r="N59" i="26" s="1"/>
  <c r="R146" i="26"/>
  <c r="R50" i="26"/>
  <c r="R51" i="26" s="1"/>
  <c r="R150" i="26"/>
  <c r="R147" i="26"/>
  <c r="S145" i="26" s="1"/>
  <c r="R37" i="26"/>
  <c r="S139" i="36" s="1"/>
  <c r="AG145" i="21"/>
  <c r="AH143" i="21" s="1"/>
  <c r="AG144" i="21"/>
  <c r="AG50" i="21"/>
  <c r="AG51" i="21" s="1"/>
  <c r="AG53" i="21" s="1"/>
  <c r="AG148" i="21"/>
  <c r="AG37" i="21"/>
  <c r="P91" i="26"/>
  <c r="Q193" i="12" s="1"/>
  <c r="P43" i="26"/>
  <c r="R3" i="38" s="1"/>
  <c r="R3" i="40" s="1"/>
  <c r="Q40" i="26"/>
  <c r="R142" i="12" s="1"/>
  <c r="Y36" i="26"/>
  <c r="Z140" i="26"/>
  <c r="Z35" i="26"/>
  <c r="AA137" i="12" s="1"/>
  <c r="Z138" i="26"/>
  <c r="AA137" i="26" s="1"/>
  <c r="X47" i="26"/>
  <c r="Z138" i="12"/>
  <c r="Z149" i="12" s="1"/>
  <c r="AH53" i="8"/>
  <c r="AI148" i="8"/>
  <c r="AI149" i="8"/>
  <c r="AJ147" i="8" s="1"/>
  <c r="AI50" i="8"/>
  <c r="AI51" i="8" s="1"/>
  <c r="AI37" i="8"/>
  <c r="AI152" i="8"/>
  <c r="AF53" i="9"/>
  <c r="AF54" i="9" s="1"/>
  <c r="AG37" i="9"/>
  <c r="AG40" i="9" s="1"/>
  <c r="AG143" i="9"/>
  <c r="AG144" i="9"/>
  <c r="AH142" i="9" s="1"/>
  <c r="AG50" i="9"/>
  <c r="AG51" i="9" s="1"/>
  <c r="AG147" i="9"/>
  <c r="AF43" i="9"/>
  <c r="AF91" i="9"/>
  <c r="AE93" i="9"/>
  <c r="AE94" i="9"/>
  <c r="T58" i="9"/>
  <c r="U44" i="9"/>
  <c r="S61" i="9"/>
  <c r="S60" i="9"/>
  <c r="AB60" i="29"/>
  <c r="AE40" i="21"/>
  <c r="AE47" i="21"/>
  <c r="AE54" i="21" s="1"/>
  <c r="AC47" i="8"/>
  <c r="AC54" i="8" s="1"/>
  <c r="AA93" i="8"/>
  <c r="AA94" i="8"/>
  <c r="AD43" i="21"/>
  <c r="AD91" i="21"/>
  <c r="AD36" i="8"/>
  <c r="AE140" i="8"/>
  <c r="AF139" i="8" s="1"/>
  <c r="AE142" i="8"/>
  <c r="AE35" i="8"/>
  <c r="AB91" i="8"/>
  <c r="AB43" i="8"/>
  <c r="AC94" i="21"/>
  <c r="AC93" i="21"/>
  <c r="P17" i="37" l="1"/>
  <c r="P16" i="37"/>
  <c r="O17" i="37"/>
  <c r="O21" i="37" s="1"/>
  <c r="O16" i="37"/>
  <c r="R53" i="26"/>
  <c r="R54" i="26" s="1"/>
  <c r="T3" i="46"/>
  <c r="BA45" i="37"/>
  <c r="BA48" i="37"/>
  <c r="AB94" i="29"/>
  <c r="AB93" i="29"/>
  <c r="Y44" i="8"/>
  <c r="X58" i="8"/>
  <c r="X59" i="8" s="1"/>
  <c r="AB91" i="10"/>
  <c r="AB43" i="10"/>
  <c r="AB91" i="24"/>
  <c r="AB43" i="24"/>
  <c r="AB44" i="24" s="1"/>
  <c r="AB58" i="24" s="1"/>
  <c r="AB59" i="24" s="1"/>
  <c r="AA94" i="10"/>
  <c r="AA93" i="10"/>
  <c r="Y58" i="21"/>
  <c r="Y59" i="21" s="1"/>
  <c r="Z44" i="21"/>
  <c r="AC152" i="10"/>
  <c r="AD150" i="10" s="1"/>
  <c r="AC37" i="10"/>
  <c r="AC40" i="10" s="1"/>
  <c r="AC50" i="10"/>
  <c r="AC51" i="10" s="1"/>
  <c r="AC53" i="10" s="1"/>
  <c r="AC54" i="10" s="1"/>
  <c r="AC151" i="10"/>
  <c r="AC155" i="10"/>
  <c r="AD160" i="29"/>
  <c r="AD50" i="29"/>
  <c r="AD51" i="29" s="1"/>
  <c r="AD53" i="29" s="1"/>
  <c r="AD54" i="29" s="1"/>
  <c r="AD164" i="29"/>
  <c r="AD37" i="29"/>
  <c r="AD40" i="29" s="1"/>
  <c r="AD161" i="29"/>
  <c r="AE159" i="29" s="1"/>
  <c r="X59" i="21"/>
  <c r="AC50" i="24"/>
  <c r="AC51" i="24" s="1"/>
  <c r="AC53" i="24" s="1"/>
  <c r="AC54" i="24" s="1"/>
  <c r="AC162" i="24"/>
  <c r="AC166" i="24"/>
  <c r="AC37" i="24"/>
  <c r="AC40" i="24" s="1"/>
  <c r="AC163" i="24"/>
  <c r="AD161" i="24" s="1"/>
  <c r="Y58" i="5"/>
  <c r="Y59" i="5" s="1"/>
  <c r="Z44" i="5"/>
  <c r="AA93" i="24"/>
  <c r="AA94" i="24"/>
  <c r="X59" i="5"/>
  <c r="AF136" i="21"/>
  <c r="AG135" i="21" s="1"/>
  <c r="AF138" i="21"/>
  <c r="AF35" i="21"/>
  <c r="AF36" i="21" s="1"/>
  <c r="W60" i="8"/>
  <c r="W61" i="8"/>
  <c r="AA61" i="24"/>
  <c r="AA60" i="24"/>
  <c r="AC91" i="29"/>
  <c r="AC43" i="29"/>
  <c r="AC44" i="29" s="1"/>
  <c r="AC58" i="29" s="1"/>
  <c r="AC59" i="29" s="1"/>
  <c r="S139" i="12"/>
  <c r="S152" i="12" s="1"/>
  <c r="S153" i="12" s="1"/>
  <c r="R155" i="12"/>
  <c r="R156" i="12" s="1"/>
  <c r="AA143" i="10"/>
  <c r="AB142" i="10" s="1"/>
  <c r="AA145" i="10"/>
  <c r="U60" i="10"/>
  <c r="U61" i="10"/>
  <c r="W44" i="10"/>
  <c r="V58" i="10"/>
  <c r="V59" i="10" s="1"/>
  <c r="T61" i="10"/>
  <c r="T60" i="10"/>
  <c r="P162" i="12"/>
  <c r="P163" i="12"/>
  <c r="F174" i="12" s="1"/>
  <c r="R194" i="36"/>
  <c r="R146" i="36"/>
  <c r="R147" i="36" s="1"/>
  <c r="R161" i="36" s="1"/>
  <c r="R162" i="36" s="1"/>
  <c r="S153" i="36"/>
  <c r="S154" i="36" s="1"/>
  <c r="S156" i="36" s="1"/>
  <c r="S157" i="36" s="1"/>
  <c r="S142" i="36"/>
  <c r="Q197" i="36"/>
  <c r="Q196" i="36"/>
  <c r="Q91" i="26"/>
  <c r="R193" i="12" s="1"/>
  <c r="Q43" i="26"/>
  <c r="S3" i="38" s="1"/>
  <c r="S3" i="40" s="1"/>
  <c r="N61" i="26"/>
  <c r="N60" i="26"/>
  <c r="AE93" i="5"/>
  <c r="AE94" i="5"/>
  <c r="Q162" i="36"/>
  <c r="AH37" i="21"/>
  <c r="AH145" i="21"/>
  <c r="AI143" i="21" s="1"/>
  <c r="AH144" i="21"/>
  <c r="AH50" i="21"/>
  <c r="AH51" i="21" s="1"/>
  <c r="AH53" i="21" s="1"/>
  <c r="AH148" i="21"/>
  <c r="P44" i="26"/>
  <c r="Q146" i="12" s="1"/>
  <c r="Q160" i="12" s="1"/>
  <c r="O58" i="26"/>
  <c r="O59" i="26" s="1"/>
  <c r="AG140" i="5"/>
  <c r="AG137" i="5"/>
  <c r="AH135" i="5" s="1"/>
  <c r="AG50" i="5"/>
  <c r="AG51" i="5" s="1"/>
  <c r="AG53" i="5" s="1"/>
  <c r="AG54" i="5" s="1"/>
  <c r="AG37" i="5"/>
  <c r="AG40" i="5" s="1"/>
  <c r="AG136" i="5"/>
  <c r="P94" i="26"/>
  <c r="P93" i="26"/>
  <c r="S147" i="26"/>
  <c r="T145" i="26" s="1"/>
  <c r="S37" i="26"/>
  <c r="T139" i="36" s="1"/>
  <c r="S150" i="26"/>
  <c r="S146" i="26"/>
  <c r="S50" i="26"/>
  <c r="S51" i="26" s="1"/>
  <c r="S53" i="26" s="1"/>
  <c r="S54" i="26" s="1"/>
  <c r="AF91" i="5"/>
  <c r="AF43" i="5"/>
  <c r="R40" i="26"/>
  <c r="S142" i="12" s="1"/>
  <c r="AA35" i="26"/>
  <c r="AB137" i="12" s="1"/>
  <c r="AA138" i="26"/>
  <c r="AB137" i="26" s="1"/>
  <c r="AA140" i="26"/>
  <c r="Z36" i="26"/>
  <c r="AA138" i="12" s="1"/>
  <c r="AA149" i="12" s="1"/>
  <c r="Y47" i="26"/>
  <c r="AI53" i="8"/>
  <c r="AJ50" i="8"/>
  <c r="AJ51" i="8" s="1"/>
  <c r="AJ37" i="8"/>
  <c r="AJ149" i="8"/>
  <c r="AK147" i="8" s="1"/>
  <c r="AJ148" i="8"/>
  <c r="AJ152" i="8"/>
  <c r="AG53" i="9"/>
  <c r="AG54" i="9" s="1"/>
  <c r="AH50" i="9"/>
  <c r="AH51" i="9" s="1"/>
  <c r="AH143" i="9"/>
  <c r="AH144" i="9"/>
  <c r="AI142" i="9" s="1"/>
  <c r="AH37" i="9"/>
  <c r="AH40" i="9" s="1"/>
  <c r="AH147" i="9"/>
  <c r="AG91" i="9"/>
  <c r="AG43" i="9"/>
  <c r="AF93" i="9"/>
  <c r="AF94" i="9"/>
  <c r="V44" i="9"/>
  <c r="U58" i="9"/>
  <c r="U59" i="9" s="1"/>
  <c r="T59" i="9"/>
  <c r="AD47" i="8"/>
  <c r="AD54" i="8" s="1"/>
  <c r="AD40" i="8"/>
  <c r="AB93" i="8"/>
  <c r="AB94" i="8"/>
  <c r="AF140" i="8"/>
  <c r="AG139" i="8" s="1"/>
  <c r="AF142" i="8"/>
  <c r="AF35" i="8"/>
  <c r="AF40" i="21"/>
  <c r="AF47" i="21"/>
  <c r="AF54" i="21" s="1"/>
  <c r="AC91" i="8"/>
  <c r="AC43" i="8"/>
  <c r="AD93" i="21"/>
  <c r="AD94" i="21"/>
  <c r="AE36" i="8"/>
  <c r="AE43" i="21"/>
  <c r="AE91" i="21"/>
  <c r="Q17" i="37" l="1"/>
  <c r="Q16" i="37"/>
  <c r="O20" i="37"/>
  <c r="P20" i="37" s="1"/>
  <c r="O19" i="37"/>
  <c r="P19" i="37" s="1"/>
  <c r="BB45" i="37"/>
  <c r="BB48" i="37"/>
  <c r="P21" i="37"/>
  <c r="Y61" i="21"/>
  <c r="Y60" i="21"/>
  <c r="Y61" i="5"/>
  <c r="Y60" i="5"/>
  <c r="AE37" i="29"/>
  <c r="AE40" i="29" s="1"/>
  <c r="AE164" i="29"/>
  <c r="AE161" i="29"/>
  <c r="AF159" i="29" s="1"/>
  <c r="AE50" i="29"/>
  <c r="AE51" i="29" s="1"/>
  <c r="AE53" i="29" s="1"/>
  <c r="AE54" i="29" s="1"/>
  <c r="AE160" i="29"/>
  <c r="AB93" i="24"/>
  <c r="AB94" i="24"/>
  <c r="AD37" i="24"/>
  <c r="AD40" i="24" s="1"/>
  <c r="AD162" i="24"/>
  <c r="AD50" i="24"/>
  <c r="AD51" i="24" s="1"/>
  <c r="AD53" i="24" s="1"/>
  <c r="AD54" i="24" s="1"/>
  <c r="AD166" i="24"/>
  <c r="AD163" i="24"/>
  <c r="AE161" i="24" s="1"/>
  <c r="AD91" i="29"/>
  <c r="AD43" i="29"/>
  <c r="AD44" i="29" s="1"/>
  <c r="AD58" i="29" s="1"/>
  <c r="AD59" i="29" s="1"/>
  <c r="AC43" i="10"/>
  <c r="AC91" i="10"/>
  <c r="AC60" i="29"/>
  <c r="AC61" i="29"/>
  <c r="AG136" i="21"/>
  <c r="AH135" i="21" s="1"/>
  <c r="AG35" i="21"/>
  <c r="AG36" i="21" s="1"/>
  <c r="AG138" i="21"/>
  <c r="AC43" i="24"/>
  <c r="AC44" i="24" s="1"/>
  <c r="AC58" i="24" s="1"/>
  <c r="AC59" i="24" s="1"/>
  <c r="AC91" i="24"/>
  <c r="AD152" i="10"/>
  <c r="AE150" i="10" s="1"/>
  <c r="AD155" i="10"/>
  <c r="AD37" i="10"/>
  <c r="AD40" i="10" s="1"/>
  <c r="AD151" i="10"/>
  <c r="AD50" i="10"/>
  <c r="AD51" i="10" s="1"/>
  <c r="AD53" i="10" s="1"/>
  <c r="AD54" i="10" s="1"/>
  <c r="AC94" i="29"/>
  <c r="AC93" i="29"/>
  <c r="AA44" i="21"/>
  <c r="Z58" i="21"/>
  <c r="Z59" i="21" s="1"/>
  <c r="AB93" i="10"/>
  <c r="AB94" i="10"/>
  <c r="X61" i="5"/>
  <c r="X60" i="5"/>
  <c r="X60" i="8"/>
  <c r="X61" i="8"/>
  <c r="Y58" i="8"/>
  <c r="Y59" i="8" s="1"/>
  <c r="Z44" i="8"/>
  <c r="Z58" i="5"/>
  <c r="AA44" i="5"/>
  <c r="X61" i="21"/>
  <c r="X60" i="21"/>
  <c r="AB60" i="24"/>
  <c r="AB61" i="24"/>
  <c r="T139" i="12"/>
  <c r="T152" i="12" s="1"/>
  <c r="T153" i="12" s="1"/>
  <c r="S155" i="12"/>
  <c r="S156" i="12" s="1"/>
  <c r="AB143" i="10"/>
  <c r="AC142" i="10" s="1"/>
  <c r="AB145" i="10"/>
  <c r="V60" i="10"/>
  <c r="V61" i="10"/>
  <c r="W58" i="10"/>
  <c r="W59" i="10" s="1"/>
  <c r="X44" i="10"/>
  <c r="S194" i="36"/>
  <c r="S146" i="36"/>
  <c r="S147" i="36" s="1"/>
  <c r="S161" i="36" s="1"/>
  <c r="R43" i="26"/>
  <c r="T3" i="38" s="1"/>
  <c r="T3" i="40" s="1"/>
  <c r="R91" i="26"/>
  <c r="S193" i="12" s="1"/>
  <c r="S40" i="26"/>
  <c r="T142" i="12" s="1"/>
  <c r="AH37" i="5"/>
  <c r="AH40" i="5" s="1"/>
  <c r="AH50" i="5"/>
  <c r="AH51" i="5" s="1"/>
  <c r="AH53" i="5" s="1"/>
  <c r="AH54" i="5" s="1"/>
  <c r="AH137" i="5"/>
  <c r="AI135" i="5" s="1"/>
  <c r="AH136" i="5"/>
  <c r="AH140" i="5"/>
  <c r="AI50" i="21"/>
  <c r="AI51" i="21" s="1"/>
  <c r="AI53" i="21" s="1"/>
  <c r="AI148" i="21"/>
  <c r="AI37" i="21"/>
  <c r="AI145" i="21"/>
  <c r="AJ143" i="21" s="1"/>
  <c r="AI144" i="21"/>
  <c r="T50" i="26"/>
  <c r="T51" i="26" s="1"/>
  <c r="T53" i="26" s="1"/>
  <c r="T54" i="26" s="1"/>
  <c r="T147" i="26"/>
  <c r="U145" i="26" s="1"/>
  <c r="T37" i="26"/>
  <c r="U139" i="36" s="1"/>
  <c r="T146" i="26"/>
  <c r="T150" i="26"/>
  <c r="T142" i="36"/>
  <c r="T153" i="36"/>
  <c r="T154" i="36" s="1"/>
  <c r="T156" i="36" s="1"/>
  <c r="T157" i="36" s="1"/>
  <c r="O60" i="26"/>
  <c r="O61" i="26" s="1"/>
  <c r="R163" i="36"/>
  <c r="R164" i="36"/>
  <c r="Q94" i="26"/>
  <c r="Q93" i="26"/>
  <c r="R197" i="36"/>
  <c r="R196" i="36"/>
  <c r="P58" i="26"/>
  <c r="Q44" i="26"/>
  <c r="R146" i="12" s="1"/>
  <c r="R160" i="12" s="1"/>
  <c r="R161" i="12" s="1"/>
  <c r="Q163" i="36"/>
  <c r="Q164" i="36"/>
  <c r="Q161" i="12"/>
  <c r="AF94" i="5"/>
  <c r="AF93" i="5"/>
  <c r="AG91" i="5"/>
  <c r="AG43" i="5"/>
  <c r="AB140" i="26"/>
  <c r="AB138" i="26"/>
  <c r="AC137" i="26" s="1"/>
  <c r="AB35" i="26"/>
  <c r="AC137" i="12" s="1"/>
  <c r="AA36" i="26"/>
  <c r="AB138" i="12" s="1"/>
  <c r="AB149" i="12" s="1"/>
  <c r="Z47" i="26"/>
  <c r="AJ53" i="8"/>
  <c r="AK149" i="8"/>
  <c r="AL147" i="8" s="1"/>
  <c r="AK50" i="8"/>
  <c r="AK51" i="8" s="1"/>
  <c r="AK148" i="8"/>
  <c r="AK37" i="8"/>
  <c r="AK152" i="8"/>
  <c r="AH53" i="9"/>
  <c r="AH54" i="9" s="1"/>
  <c r="AH91" i="9"/>
  <c r="AH43" i="9"/>
  <c r="AI143" i="9"/>
  <c r="AI144" i="9"/>
  <c r="AJ142" i="9" s="1"/>
  <c r="AI50" i="9"/>
  <c r="AI51" i="9" s="1"/>
  <c r="AI37" i="9"/>
  <c r="AI40" i="9" s="1"/>
  <c r="AI147" i="9"/>
  <c r="AG94" i="9"/>
  <c r="AG93" i="9"/>
  <c r="U61" i="9"/>
  <c r="U60" i="9"/>
  <c r="T60" i="9"/>
  <c r="T61" i="9"/>
  <c r="V58" i="9"/>
  <c r="W44" i="9"/>
  <c r="AE40" i="8"/>
  <c r="AE47" i="8"/>
  <c r="AE54" i="8" s="1"/>
  <c r="AE93" i="21"/>
  <c r="AE94" i="21"/>
  <c r="AG140" i="8"/>
  <c r="AH139" i="8" s="1"/>
  <c r="AG142" i="8"/>
  <c r="AG35" i="8"/>
  <c r="AC94" i="8"/>
  <c r="AC93" i="8"/>
  <c r="AG40" i="21"/>
  <c r="AG47" i="21"/>
  <c r="AG54" i="21" s="1"/>
  <c r="AF91" i="21"/>
  <c r="AF43" i="21"/>
  <c r="AF36" i="8"/>
  <c r="AD43" i="8"/>
  <c r="AD91" i="8"/>
  <c r="R17" i="37" l="1"/>
  <c r="R16" i="37"/>
  <c r="Q21" i="37"/>
  <c r="Q19" i="37"/>
  <c r="Q20" i="37"/>
  <c r="AH138" i="21"/>
  <c r="AH136" i="21"/>
  <c r="AI135" i="21" s="1"/>
  <c r="AH35" i="21"/>
  <c r="AH36" i="21" s="1"/>
  <c r="AH47" i="21" s="1"/>
  <c r="AH54" i="21" s="1"/>
  <c r="AF164" i="29"/>
  <c r="AF161" i="29"/>
  <c r="AG159" i="29" s="1"/>
  <c r="AF50" i="29"/>
  <c r="AF51" i="29" s="1"/>
  <c r="AF53" i="29" s="1"/>
  <c r="AF54" i="29" s="1"/>
  <c r="AF37" i="29"/>
  <c r="AF40" i="29" s="1"/>
  <c r="AF160" i="29"/>
  <c r="AA58" i="5"/>
  <c r="AB44" i="5"/>
  <c r="AD91" i="10"/>
  <c r="AD43" i="10"/>
  <c r="Z59" i="5"/>
  <c r="AA59" i="5"/>
  <c r="AE91" i="29"/>
  <c r="AE43" i="29"/>
  <c r="AE44" i="29" s="1"/>
  <c r="AE58" i="29" s="1"/>
  <c r="AE59" i="29" s="1"/>
  <c r="AA44" i="8"/>
  <c r="Z58" i="8"/>
  <c r="Z61" i="21"/>
  <c r="Z60" i="21"/>
  <c r="AE155" i="10"/>
  <c r="AE50" i="10"/>
  <c r="AE51" i="10" s="1"/>
  <c r="AE53" i="10" s="1"/>
  <c r="AE54" i="10" s="1"/>
  <c r="AE37" i="10"/>
  <c r="AE40" i="10" s="1"/>
  <c r="AE152" i="10"/>
  <c r="AF150" i="10" s="1"/>
  <c r="AE151" i="10"/>
  <c r="AC93" i="10"/>
  <c r="AC94" i="10"/>
  <c r="AD91" i="24"/>
  <c r="AD43" i="24"/>
  <c r="AD44" i="24" s="1"/>
  <c r="AD58" i="24" s="1"/>
  <c r="AD59" i="24" s="1"/>
  <c r="AD61" i="24" s="1"/>
  <c r="Y61" i="8"/>
  <c r="Y60" i="8"/>
  <c r="AA58" i="21"/>
  <c r="AA59" i="21" s="1"/>
  <c r="AB44" i="21"/>
  <c r="AC94" i="24"/>
  <c r="AC93" i="24"/>
  <c r="AC61" i="24"/>
  <c r="AC60" i="24"/>
  <c r="AD61" i="29"/>
  <c r="AD60" i="29"/>
  <c r="AD93" i="29"/>
  <c r="AD94" i="29"/>
  <c r="AE50" i="24"/>
  <c r="AE51" i="24" s="1"/>
  <c r="AE53" i="24" s="1"/>
  <c r="AE54" i="24" s="1"/>
  <c r="AE166" i="24"/>
  <c r="AE162" i="24"/>
  <c r="AE37" i="24"/>
  <c r="AE40" i="24" s="1"/>
  <c r="AE163" i="24"/>
  <c r="AF161" i="24" s="1"/>
  <c r="T155" i="12"/>
  <c r="T156" i="12" s="1"/>
  <c r="AC143" i="10"/>
  <c r="AD142" i="10" s="1"/>
  <c r="AC145" i="10"/>
  <c r="Y44" i="10"/>
  <c r="X58" i="10"/>
  <c r="X59" i="10" s="1"/>
  <c r="U139" i="12"/>
  <c r="U152" i="12" s="1"/>
  <c r="U153" i="12" s="1"/>
  <c r="W60" i="10"/>
  <c r="W61" i="10"/>
  <c r="R163" i="12"/>
  <c r="R162" i="12"/>
  <c r="T194" i="36"/>
  <c r="T146" i="36"/>
  <c r="T147" i="36" s="1"/>
  <c r="T161" i="36" s="1"/>
  <c r="T162" i="36" s="1"/>
  <c r="S43" i="26"/>
  <c r="S91" i="26"/>
  <c r="T193" i="12" s="1"/>
  <c r="Q58" i="26"/>
  <c r="Q59" i="26" s="1"/>
  <c r="Q60" i="26" s="1"/>
  <c r="Q61" i="26" s="1"/>
  <c r="R44" i="26"/>
  <c r="S146" i="12" s="1"/>
  <c r="S160" i="12" s="1"/>
  <c r="S161" i="12" s="1"/>
  <c r="P59" i="26"/>
  <c r="U153" i="36"/>
  <c r="U154" i="36" s="1"/>
  <c r="U156" i="36" s="1"/>
  <c r="U157" i="36" s="1"/>
  <c r="U142" i="36"/>
  <c r="T40" i="26"/>
  <c r="U142" i="12" s="1"/>
  <c r="U147" i="26"/>
  <c r="V145" i="26" s="1"/>
  <c r="U37" i="26"/>
  <c r="V139" i="36" s="1"/>
  <c r="U50" i="26"/>
  <c r="U51" i="26" s="1"/>
  <c r="U53" i="26" s="1"/>
  <c r="U54" i="26" s="1"/>
  <c r="U146" i="26"/>
  <c r="U150" i="26"/>
  <c r="R94" i="26"/>
  <c r="R93" i="26"/>
  <c r="AG93" i="5"/>
  <c r="AG94" i="5"/>
  <c r="AI50" i="5"/>
  <c r="AI51" i="5" s="1"/>
  <c r="AI137" i="5"/>
  <c r="AJ135" i="5" s="1"/>
  <c r="AI136" i="5"/>
  <c r="AI37" i="5"/>
  <c r="AI40" i="5" s="1"/>
  <c r="AI140" i="5"/>
  <c r="Q162" i="12"/>
  <c r="Q163" i="12"/>
  <c r="S162" i="36"/>
  <c r="AJ37" i="21"/>
  <c r="AJ145" i="21"/>
  <c r="AK143" i="21" s="1"/>
  <c r="AJ50" i="21"/>
  <c r="AJ51" i="21" s="1"/>
  <c r="AJ53" i="21" s="1"/>
  <c r="AJ144" i="21"/>
  <c r="AJ148" i="21"/>
  <c r="AH91" i="5"/>
  <c r="AH43" i="5"/>
  <c r="S197" i="36"/>
  <c r="S196" i="36"/>
  <c r="AA47" i="26"/>
  <c r="AB36" i="26"/>
  <c r="AC138" i="12" s="1"/>
  <c r="AC149" i="12" s="1"/>
  <c r="AC138" i="26"/>
  <c r="AD137" i="26" s="1"/>
  <c r="AC140" i="26"/>
  <c r="AC35" i="26"/>
  <c r="AD137" i="12" s="1"/>
  <c r="AK53" i="8"/>
  <c r="AL148" i="8"/>
  <c r="AL149" i="8"/>
  <c r="AM147" i="8" s="1"/>
  <c r="AL50" i="8"/>
  <c r="AL51" i="8" s="1"/>
  <c r="AL37" i="8"/>
  <c r="AL152" i="8"/>
  <c r="AI53" i="9"/>
  <c r="AI54" i="9" s="1"/>
  <c r="AI91" i="9"/>
  <c r="AI43" i="9"/>
  <c r="AJ144" i="9"/>
  <c r="AK142" i="9" s="1"/>
  <c r="AJ50" i="9"/>
  <c r="AJ51" i="9" s="1"/>
  <c r="AJ37" i="9"/>
  <c r="AJ40" i="9" s="1"/>
  <c r="AJ143" i="9"/>
  <c r="AJ147" i="9"/>
  <c r="AH94" i="9"/>
  <c r="AH93" i="9"/>
  <c r="V59" i="9"/>
  <c r="W58" i="9"/>
  <c r="W59" i="9" s="1"/>
  <c r="X44" i="9"/>
  <c r="AG43" i="21"/>
  <c r="AG91" i="21"/>
  <c r="AH140" i="8"/>
  <c r="AI139" i="8" s="1"/>
  <c r="AH35" i="8"/>
  <c r="AH142" i="8"/>
  <c r="AE43" i="8"/>
  <c r="AE91" i="8"/>
  <c r="AF93" i="21"/>
  <c r="AF94" i="21"/>
  <c r="AD94" i="8"/>
  <c r="AD93" i="8"/>
  <c r="AG36" i="8"/>
  <c r="AF40" i="8"/>
  <c r="AF47" i="8"/>
  <c r="AF54" i="8" s="1"/>
  <c r="AH40" i="21" l="1"/>
  <c r="AD60" i="24"/>
  <c r="R19" i="37"/>
  <c r="O24" i="37" s="1"/>
  <c r="R20" i="37"/>
  <c r="R21" i="37"/>
  <c r="AA60" i="21"/>
  <c r="AA61" i="21"/>
  <c r="AF37" i="10"/>
  <c r="AF40" i="10" s="1"/>
  <c r="AF155" i="10"/>
  <c r="AF151" i="10"/>
  <c r="AF152" i="10"/>
  <c r="AG150" i="10" s="1"/>
  <c r="AF50" i="10"/>
  <c r="AF51" i="10" s="1"/>
  <c r="AF53" i="10" s="1"/>
  <c r="AF54" i="10" s="1"/>
  <c r="AE61" i="29"/>
  <c r="AE60" i="29"/>
  <c r="AF91" i="29"/>
  <c r="AF43" i="29"/>
  <c r="AF44" i="29" s="1"/>
  <c r="AF58" i="29" s="1"/>
  <c r="AF59" i="29" s="1"/>
  <c r="AE43" i="24"/>
  <c r="AE44" i="24" s="1"/>
  <c r="AE58" i="24" s="1"/>
  <c r="AE59" i="24" s="1"/>
  <c r="AE91" i="24"/>
  <c r="AA61" i="5"/>
  <c r="AA60" i="5"/>
  <c r="AE91" i="10"/>
  <c r="AE43" i="10"/>
  <c r="Z61" i="5"/>
  <c r="Z60" i="5"/>
  <c r="AG50" i="29"/>
  <c r="AG51" i="29" s="1"/>
  <c r="AG53" i="29" s="1"/>
  <c r="AG54" i="29" s="1"/>
  <c r="AG164" i="29"/>
  <c r="AG37" i="29"/>
  <c r="AG40" i="29" s="1"/>
  <c r="AG161" i="29"/>
  <c r="AH159" i="29" s="1"/>
  <c r="AG160" i="29"/>
  <c r="AD93" i="24"/>
  <c r="AD94" i="24"/>
  <c r="AF50" i="24"/>
  <c r="AF51" i="24" s="1"/>
  <c r="AF53" i="24" s="1"/>
  <c r="AF54" i="24" s="1"/>
  <c r="AF166" i="24"/>
  <c r="AF163" i="24"/>
  <c r="AG161" i="24" s="1"/>
  <c r="AF37" i="24"/>
  <c r="AF40" i="24" s="1"/>
  <c r="AF162" i="24"/>
  <c r="AE93" i="29"/>
  <c r="AE94" i="29"/>
  <c r="AD93" i="10"/>
  <c r="AD94" i="10"/>
  <c r="Z59" i="8"/>
  <c r="AB58" i="5"/>
  <c r="AB59" i="5" s="1"/>
  <c r="AC44" i="5"/>
  <c r="AI35" i="21"/>
  <c r="AI36" i="21" s="1"/>
  <c r="AI136" i="21"/>
  <c r="AJ135" i="21" s="1"/>
  <c r="AI138" i="21"/>
  <c r="AB58" i="21"/>
  <c r="AC44" i="21"/>
  <c r="AA58" i="8"/>
  <c r="AA59" i="8" s="1"/>
  <c r="AB44" i="8"/>
  <c r="U155" i="12"/>
  <c r="U156" i="12" s="1"/>
  <c r="V139" i="12"/>
  <c r="V152" i="12" s="1"/>
  <c r="V153" i="12" s="1"/>
  <c r="AD143" i="10"/>
  <c r="AE142" i="10" s="1"/>
  <c r="AD145" i="10"/>
  <c r="X61" i="10"/>
  <c r="X60" i="10"/>
  <c r="Y58" i="10"/>
  <c r="Z44" i="10"/>
  <c r="U194" i="36"/>
  <c r="U146" i="36"/>
  <c r="U147" i="36" s="1"/>
  <c r="U161" i="36" s="1"/>
  <c r="U162" i="36" s="1"/>
  <c r="U40" i="26"/>
  <c r="AK148" i="21"/>
  <c r="AK50" i="21"/>
  <c r="AK51" i="21" s="1"/>
  <c r="AK53" i="21" s="1"/>
  <c r="AK144" i="21"/>
  <c r="AK37" i="21"/>
  <c r="AK145" i="21"/>
  <c r="AL143" i="21" s="1"/>
  <c r="V146" i="26"/>
  <c r="V37" i="26"/>
  <c r="W139" i="12" s="1"/>
  <c r="W152" i="12" s="1"/>
  <c r="V50" i="26"/>
  <c r="V51" i="26" s="1"/>
  <c r="V53" i="26" s="1"/>
  <c r="V54" i="26" s="1"/>
  <c r="V150" i="26"/>
  <c r="V147" i="26"/>
  <c r="W145" i="26" s="1"/>
  <c r="AI43" i="5"/>
  <c r="AI91" i="5"/>
  <c r="P60" i="26"/>
  <c r="P61" i="26"/>
  <c r="T196" i="36"/>
  <c r="T197" i="36"/>
  <c r="V153" i="36"/>
  <c r="V154" i="36" s="1"/>
  <c r="V156" i="36" s="1"/>
  <c r="V157" i="36" s="1"/>
  <c r="V142" i="36"/>
  <c r="S44" i="26"/>
  <c r="T146" i="12" s="1"/>
  <c r="T160" i="12" s="1"/>
  <c r="R58" i="26"/>
  <c r="AH93" i="5"/>
  <c r="AH94" i="5"/>
  <c r="AJ136" i="5"/>
  <c r="AJ50" i="5"/>
  <c r="AJ51" i="5" s="1"/>
  <c r="AJ53" i="5" s="1"/>
  <c r="AJ54" i="5" s="1"/>
  <c r="AJ140" i="5"/>
  <c r="AJ137" i="5"/>
  <c r="AK135" i="5" s="1"/>
  <c r="AJ37" i="5"/>
  <c r="AJ40" i="5" s="1"/>
  <c r="T43" i="26"/>
  <c r="T91" i="26"/>
  <c r="V142" i="12"/>
  <c r="T164" i="36"/>
  <c r="T163" i="36"/>
  <c r="AI53" i="5"/>
  <c r="AI54" i="5" s="1"/>
  <c r="S162" i="12"/>
  <c r="S163" i="12"/>
  <c r="S163" i="36"/>
  <c r="S164" i="36"/>
  <c r="S93" i="26"/>
  <c r="S94" i="26"/>
  <c r="U193" i="12"/>
  <c r="AC36" i="26"/>
  <c r="AD138" i="12" s="1"/>
  <c r="AD149" i="12" s="1"/>
  <c r="AD138" i="26"/>
  <c r="AE137" i="26" s="1"/>
  <c r="AD140" i="26"/>
  <c r="AD35" i="26"/>
  <c r="AE137" i="12" s="1"/>
  <c r="AB47" i="26"/>
  <c r="AL53" i="8"/>
  <c r="AM37" i="8"/>
  <c r="AM148" i="8"/>
  <c r="AM50" i="8"/>
  <c r="AM51" i="8" s="1"/>
  <c r="AM149" i="8"/>
  <c r="AN147" i="8" s="1"/>
  <c r="AM152" i="8"/>
  <c r="AJ53" i="9"/>
  <c r="AJ54" i="9" s="1"/>
  <c r="AJ43" i="9"/>
  <c r="AJ91" i="9"/>
  <c r="AK143" i="9"/>
  <c r="AK37" i="9"/>
  <c r="AK40" i="9" s="1"/>
  <c r="AK144" i="9"/>
  <c r="AL142" i="9" s="1"/>
  <c r="AK50" i="9"/>
  <c r="AK51" i="9" s="1"/>
  <c r="AK147" i="9"/>
  <c r="AI93" i="9"/>
  <c r="AI94" i="9"/>
  <c r="W61" i="9"/>
  <c r="W60" i="9"/>
  <c r="Y44" i="9"/>
  <c r="X58" i="9"/>
  <c r="X59" i="9" s="1"/>
  <c r="V60" i="9"/>
  <c r="V61" i="9"/>
  <c r="AF43" i="8"/>
  <c r="AF91" i="8"/>
  <c r="AG40" i="8"/>
  <c r="AG47" i="8"/>
  <c r="AG54" i="8" s="1"/>
  <c r="AH43" i="21"/>
  <c r="AH91" i="21"/>
  <c r="AG93" i="21"/>
  <c r="AG94" i="21"/>
  <c r="AE94" i="8"/>
  <c r="AE93" i="8"/>
  <c r="AH36" i="8"/>
  <c r="AI140" i="8"/>
  <c r="AJ139" i="8" s="1"/>
  <c r="AI142" i="8"/>
  <c r="AI35" i="8"/>
  <c r="AI40" i="21"/>
  <c r="AI47" i="21"/>
  <c r="AI54" i="21" s="1"/>
  <c r="AA60" i="8" l="1"/>
  <c r="AA61" i="8"/>
  <c r="AH161" i="29"/>
  <c r="AI159" i="29" s="1"/>
  <c r="AH50" i="29"/>
  <c r="AH51" i="29" s="1"/>
  <c r="AH53" i="29" s="1"/>
  <c r="AH54" i="29" s="1"/>
  <c r="AH160" i="29"/>
  <c r="AH164" i="29"/>
  <c r="AH37" i="29"/>
  <c r="AH40" i="29" s="1"/>
  <c r="AB58" i="8"/>
  <c r="AB59" i="8" s="1"/>
  <c r="AC44" i="8"/>
  <c r="AB60" i="5"/>
  <c r="AB61" i="5"/>
  <c r="AF91" i="24"/>
  <c r="AF43" i="24"/>
  <c r="AF44" i="24" s="1"/>
  <c r="AF58" i="24" s="1"/>
  <c r="AF59" i="24" s="1"/>
  <c r="AG43" i="29"/>
  <c r="AG44" i="29" s="1"/>
  <c r="AG58" i="29" s="1"/>
  <c r="AG59" i="29" s="1"/>
  <c r="AG60" i="29" s="1"/>
  <c r="AG91" i="29"/>
  <c r="AG162" i="24"/>
  <c r="AG37" i="24"/>
  <c r="AG40" i="24" s="1"/>
  <c r="AG163" i="24"/>
  <c r="AH161" i="24" s="1"/>
  <c r="AG50" i="24"/>
  <c r="AG51" i="24" s="1"/>
  <c r="AG53" i="24" s="1"/>
  <c r="AG54" i="24" s="1"/>
  <c r="AG166" i="24"/>
  <c r="AE93" i="24"/>
  <c r="AE94" i="24"/>
  <c r="AG151" i="10"/>
  <c r="AG37" i="10"/>
  <c r="AG40" i="10" s="1"/>
  <c r="AG152" i="10"/>
  <c r="AH150" i="10" s="1"/>
  <c r="AG50" i="10"/>
  <c r="AG51" i="10" s="1"/>
  <c r="AG53" i="10" s="1"/>
  <c r="AG54" i="10" s="1"/>
  <c r="AG155" i="10"/>
  <c r="AC58" i="21"/>
  <c r="AC59" i="21" s="1"/>
  <c r="AD44" i="21"/>
  <c r="Z60" i="8"/>
  <c r="Z61" i="8"/>
  <c r="AE60" i="24"/>
  <c r="AE61" i="24"/>
  <c r="AB59" i="21"/>
  <c r="AF60" i="29"/>
  <c r="AF61" i="29"/>
  <c r="AF91" i="10"/>
  <c r="AF43" i="10"/>
  <c r="AC58" i="5"/>
  <c r="AD44" i="5"/>
  <c r="AJ138" i="21"/>
  <c r="AJ35" i="21"/>
  <c r="AJ36" i="21" s="1"/>
  <c r="AJ136" i="21"/>
  <c r="AK135" i="21" s="1"/>
  <c r="AF93" i="29"/>
  <c r="AF94" i="29"/>
  <c r="AE94" i="10"/>
  <c r="AE93" i="10"/>
  <c r="V155" i="12"/>
  <c r="V156" i="12" s="1"/>
  <c r="W153" i="12"/>
  <c r="AE145" i="10"/>
  <c r="AE143" i="10"/>
  <c r="AF142" i="10" s="1"/>
  <c r="AF145" i="10" s="1"/>
  <c r="AA44" i="10"/>
  <c r="Z58" i="10"/>
  <c r="Z59" i="10" s="1"/>
  <c r="Y59" i="10"/>
  <c r="W139" i="36"/>
  <c r="W153" i="36" s="1"/>
  <c r="W154" i="36" s="1"/>
  <c r="W156" i="36" s="1"/>
  <c r="W157" i="36" s="1"/>
  <c r="AK136" i="5"/>
  <c r="AK137" i="5"/>
  <c r="AL135" i="5" s="1"/>
  <c r="AK37" i="5"/>
  <c r="AK40" i="5" s="1"/>
  <c r="AK50" i="5"/>
  <c r="AK51" i="5" s="1"/>
  <c r="AK53" i="5" s="1"/>
  <c r="AK54" i="5" s="1"/>
  <c r="AK140" i="5"/>
  <c r="R59" i="26"/>
  <c r="R60" i="26" s="1"/>
  <c r="R61" i="26" s="1"/>
  <c r="U164" i="36"/>
  <c r="U163" i="36"/>
  <c r="S58" i="26"/>
  <c r="S59" i="26" s="1"/>
  <c r="T44" i="26"/>
  <c r="U146" i="12" s="1"/>
  <c r="U160" i="12" s="1"/>
  <c r="U161" i="12" s="1"/>
  <c r="W146" i="26"/>
  <c r="W50" i="26"/>
  <c r="W51" i="26" s="1"/>
  <c r="W53" i="26" s="1"/>
  <c r="W54" i="26" s="1"/>
  <c r="W147" i="26"/>
  <c r="X145" i="26" s="1"/>
  <c r="W150" i="26"/>
  <c r="W37" i="26"/>
  <c r="X139" i="36" s="1"/>
  <c r="T161" i="12"/>
  <c r="V194" i="36"/>
  <c r="V146" i="36"/>
  <c r="V147" i="36" s="1"/>
  <c r="V161" i="36" s="1"/>
  <c r="V162" i="36" s="1"/>
  <c r="AI93" i="5"/>
  <c r="AI94" i="5"/>
  <c r="U91" i="26"/>
  <c r="V193" i="12" s="1"/>
  <c r="U43" i="26"/>
  <c r="V40" i="26"/>
  <c r="W142" i="12" s="1"/>
  <c r="T94" i="26"/>
  <c r="T93" i="26"/>
  <c r="AL50" i="21"/>
  <c r="AL51" i="21" s="1"/>
  <c r="AL53" i="21" s="1"/>
  <c r="AL144" i="21"/>
  <c r="AL148" i="21"/>
  <c r="AL37" i="21"/>
  <c r="AL145" i="21"/>
  <c r="AM143" i="21" s="1"/>
  <c r="AJ43" i="5"/>
  <c r="AJ91" i="5"/>
  <c r="U196" i="36"/>
  <c r="U197" i="36"/>
  <c r="AD36" i="26"/>
  <c r="AE138" i="12" s="1"/>
  <c r="AE149" i="12" s="1"/>
  <c r="AC47" i="26"/>
  <c r="AE140" i="26"/>
  <c r="AE35" i="26"/>
  <c r="AF137" i="12" s="1"/>
  <c r="AE138" i="26"/>
  <c r="AF137" i="26" s="1"/>
  <c r="AM53" i="8"/>
  <c r="AN149" i="8"/>
  <c r="AO147" i="8" s="1"/>
  <c r="AN37" i="8"/>
  <c r="AN148" i="8"/>
  <c r="AN50" i="8"/>
  <c r="AN51" i="8" s="1"/>
  <c r="AN152" i="8"/>
  <c r="AK53" i="9"/>
  <c r="AK54" i="9" s="1"/>
  <c r="AL143" i="9"/>
  <c r="AL50" i="9"/>
  <c r="AL51" i="9" s="1"/>
  <c r="AL144" i="9"/>
  <c r="AM142" i="9" s="1"/>
  <c r="AL37" i="9"/>
  <c r="AL40" i="9" s="1"/>
  <c r="AL147" i="9"/>
  <c r="AK43" i="9"/>
  <c r="AK91" i="9"/>
  <c r="AJ93" i="9"/>
  <c r="AJ94" i="9"/>
  <c r="Z44" i="9"/>
  <c r="Y58" i="9"/>
  <c r="Y59" i="9" s="1"/>
  <c r="X60" i="9"/>
  <c r="X61" i="9"/>
  <c r="AI36" i="8"/>
  <c r="AJ47" i="21"/>
  <c r="AJ54" i="21" s="1"/>
  <c r="AJ40" i="21"/>
  <c r="AH93" i="21"/>
  <c r="AH94" i="21"/>
  <c r="AI91" i="21"/>
  <c r="AI43" i="21"/>
  <c r="AJ140" i="8"/>
  <c r="AK139" i="8" s="1"/>
  <c r="AJ35" i="8"/>
  <c r="AJ142" i="8"/>
  <c r="AG43" i="8"/>
  <c r="AG91" i="8"/>
  <c r="AF94" i="8"/>
  <c r="AF93" i="8"/>
  <c r="AH40" i="8"/>
  <c r="AH47" i="8"/>
  <c r="AH54" i="8" s="1"/>
  <c r="AG61" i="29" l="1"/>
  <c r="AG43" i="10"/>
  <c r="AG91" i="10"/>
  <c r="AB61" i="8"/>
  <c r="AB60" i="8"/>
  <c r="AG94" i="29"/>
  <c r="AG93" i="29"/>
  <c r="AH91" i="29"/>
  <c r="AH43" i="29"/>
  <c r="AH44" i="29" s="1"/>
  <c r="AH58" i="29" s="1"/>
  <c r="AH59" i="29" s="1"/>
  <c r="AF93" i="10"/>
  <c r="AF94" i="10"/>
  <c r="AK35" i="21"/>
  <c r="AK36" i="21" s="1"/>
  <c r="AK40" i="21" s="1"/>
  <c r="AK138" i="21"/>
  <c r="AK136" i="21"/>
  <c r="AL135" i="21" s="1"/>
  <c r="AE44" i="21"/>
  <c r="AD58" i="21"/>
  <c r="AD59" i="21" s="1"/>
  <c r="AF60" i="24"/>
  <c r="AF61" i="24"/>
  <c r="AF93" i="24"/>
  <c r="AF94" i="24"/>
  <c r="AC60" i="21"/>
  <c r="AC61" i="21"/>
  <c r="AI161" i="29"/>
  <c r="AJ159" i="29" s="1"/>
  <c r="AI160" i="29"/>
  <c r="AI50" i="29"/>
  <c r="AI51" i="29" s="1"/>
  <c r="AI53" i="29" s="1"/>
  <c r="AI54" i="29" s="1"/>
  <c r="AI164" i="29"/>
  <c r="AI37" i="29"/>
  <c r="AI40" i="29" s="1"/>
  <c r="AD58" i="5"/>
  <c r="AE44" i="5"/>
  <c r="AB61" i="21"/>
  <c r="AB60" i="21"/>
  <c r="AH163" i="24"/>
  <c r="AI161" i="24" s="1"/>
  <c r="AH37" i="24"/>
  <c r="AH40" i="24" s="1"/>
  <c r="AH162" i="24"/>
  <c r="AH166" i="24"/>
  <c r="AH50" i="24"/>
  <c r="AH51" i="24" s="1"/>
  <c r="AH53" i="24" s="1"/>
  <c r="AH54" i="24" s="1"/>
  <c r="AC59" i="5"/>
  <c r="AD59" i="5"/>
  <c r="AH37" i="10"/>
  <c r="AH40" i="10" s="1"/>
  <c r="AH151" i="10"/>
  <c r="AH50" i="10"/>
  <c r="AH51" i="10" s="1"/>
  <c r="AH53" i="10" s="1"/>
  <c r="AH54" i="10" s="1"/>
  <c r="AH155" i="10"/>
  <c r="AH152" i="10"/>
  <c r="AI150" i="10" s="1"/>
  <c r="AG43" i="24"/>
  <c r="AG44" i="24" s="1"/>
  <c r="AG58" i="24" s="1"/>
  <c r="AG59" i="24" s="1"/>
  <c r="AG91" i="24"/>
  <c r="AC58" i="8"/>
  <c r="AD44" i="8"/>
  <c r="X139" i="12"/>
  <c r="X152" i="12" s="1"/>
  <c r="X153" i="12" s="1"/>
  <c r="W155" i="12"/>
  <c r="W156" i="12" s="1"/>
  <c r="AF143" i="10"/>
  <c r="AG142" i="10" s="1"/>
  <c r="W142" i="36"/>
  <c r="W194" i="36" s="1"/>
  <c r="Z60" i="10"/>
  <c r="Z61" i="10"/>
  <c r="Y61" i="10"/>
  <c r="Y60" i="10"/>
  <c r="AB44" i="10"/>
  <c r="AA58" i="10"/>
  <c r="AA59" i="10" s="1"/>
  <c r="U162" i="12"/>
  <c r="U163" i="12"/>
  <c r="U94" i="26"/>
  <c r="U93" i="26"/>
  <c r="AJ94" i="5"/>
  <c r="AJ93" i="5"/>
  <c r="X150" i="26"/>
  <c r="X147" i="26"/>
  <c r="Y145" i="26" s="1"/>
  <c r="X146" i="26"/>
  <c r="X37" i="26"/>
  <c r="Y139" i="36" s="1"/>
  <c r="X50" i="26"/>
  <c r="X51" i="26" s="1"/>
  <c r="X53" i="26" s="1"/>
  <c r="X54" i="26" s="1"/>
  <c r="S61" i="26"/>
  <c r="S60" i="26"/>
  <c r="AM37" i="21"/>
  <c r="AM145" i="21"/>
  <c r="AN143" i="21" s="1"/>
  <c r="AM144" i="21"/>
  <c r="AM50" i="21"/>
  <c r="AM51" i="21" s="1"/>
  <c r="AM53" i="21" s="1"/>
  <c r="AM148" i="21"/>
  <c r="V91" i="26"/>
  <c r="W193" i="12" s="1"/>
  <c r="V43" i="26"/>
  <c r="V163" i="36"/>
  <c r="V164" i="36"/>
  <c r="X153" i="36"/>
  <c r="X154" i="36" s="1"/>
  <c r="X156" i="36" s="1"/>
  <c r="X157" i="36" s="1"/>
  <c r="X142" i="36"/>
  <c r="V196" i="36"/>
  <c r="V197" i="36"/>
  <c r="T58" i="26"/>
  <c r="U44" i="26"/>
  <c r="V146" i="12" s="1"/>
  <c r="V160" i="12" s="1"/>
  <c r="AK91" i="5"/>
  <c r="AK43" i="5"/>
  <c r="T162" i="12"/>
  <c r="T163" i="12"/>
  <c r="AL137" i="5"/>
  <c r="AM135" i="5" s="1"/>
  <c r="AL136" i="5"/>
  <c r="AL50" i="5"/>
  <c r="AL51" i="5" s="1"/>
  <c r="AL53" i="5" s="1"/>
  <c r="AL54" i="5" s="1"/>
  <c r="AL140" i="5"/>
  <c r="AL37" i="5"/>
  <c r="AL40" i="5" s="1"/>
  <c r="W40" i="26"/>
  <c r="X142" i="12" s="1"/>
  <c r="AD47" i="26"/>
  <c r="AF138" i="26"/>
  <c r="AG137" i="26" s="1"/>
  <c r="AF35" i="26"/>
  <c r="AG137" i="12" s="1"/>
  <c r="AF140" i="26"/>
  <c r="AE36" i="26"/>
  <c r="AF138" i="12" s="1"/>
  <c r="AF149" i="12" s="1"/>
  <c r="AN53" i="8"/>
  <c r="AO149" i="8"/>
  <c r="AP147" i="8" s="1"/>
  <c r="AO148" i="8"/>
  <c r="AO37" i="8"/>
  <c r="AO50" i="8"/>
  <c r="AO51" i="8" s="1"/>
  <c r="AO152" i="8"/>
  <c r="AL53" i="9"/>
  <c r="AL54" i="9" s="1"/>
  <c r="AL43" i="9"/>
  <c r="AL91" i="9"/>
  <c r="AM143" i="9"/>
  <c r="AM37" i="9"/>
  <c r="AM40" i="9" s="1"/>
  <c r="AM50" i="9"/>
  <c r="AM51" i="9" s="1"/>
  <c r="AM144" i="9"/>
  <c r="AN142" i="9" s="1"/>
  <c r="AM147" i="9"/>
  <c r="AK94" i="9"/>
  <c r="AK93" i="9"/>
  <c r="Y61" i="9"/>
  <c r="Y60" i="9"/>
  <c r="Z58" i="9"/>
  <c r="Z59" i="9" s="1"/>
  <c r="AA44" i="9"/>
  <c r="AK47" i="21"/>
  <c r="AK54" i="21" s="1"/>
  <c r="AK140" i="8"/>
  <c r="AL139" i="8" s="1"/>
  <c r="AK35" i="8"/>
  <c r="AK142" i="8"/>
  <c r="AJ91" i="21"/>
  <c r="AJ43" i="21"/>
  <c r="AJ36" i="8"/>
  <c r="AI94" i="21"/>
  <c r="AI93" i="21"/>
  <c r="AI40" i="8"/>
  <c r="AI47" i="8"/>
  <c r="AI54" i="8" s="1"/>
  <c r="AG94" i="8"/>
  <c r="AG93" i="8"/>
  <c r="AH91" i="8"/>
  <c r="AH43" i="8"/>
  <c r="AI37" i="24" l="1"/>
  <c r="AI40" i="24" s="1"/>
  <c r="AI163" i="24"/>
  <c r="AJ161" i="24" s="1"/>
  <c r="AI162" i="24"/>
  <c r="AI50" i="24"/>
  <c r="AI51" i="24" s="1"/>
  <c r="AI53" i="24" s="1"/>
  <c r="AI54" i="24" s="1"/>
  <c r="AI166" i="24"/>
  <c r="AH94" i="29"/>
  <c r="AH93" i="29"/>
  <c r="AJ161" i="29"/>
  <c r="AK159" i="29" s="1"/>
  <c r="AJ160" i="29"/>
  <c r="AJ50" i="29"/>
  <c r="AJ51" i="29" s="1"/>
  <c r="AJ53" i="29" s="1"/>
  <c r="AJ54" i="29" s="1"/>
  <c r="AJ164" i="29"/>
  <c r="AJ37" i="29"/>
  <c r="AJ40" i="29" s="1"/>
  <c r="AF44" i="21"/>
  <c r="AE58" i="21"/>
  <c r="AE59" i="21" s="1"/>
  <c r="AC59" i="8"/>
  <c r="AD60" i="5"/>
  <c r="AD61" i="5"/>
  <c r="AL35" i="21"/>
  <c r="AL36" i="21" s="1"/>
  <c r="AL138" i="21"/>
  <c r="AL136" i="21"/>
  <c r="AM135" i="21" s="1"/>
  <c r="AE44" i="8"/>
  <c r="AD58" i="8"/>
  <c r="AD59" i="8" s="1"/>
  <c r="AH91" i="10"/>
  <c r="AH43" i="10"/>
  <c r="AG93" i="24"/>
  <c r="AG94" i="24"/>
  <c r="AC60" i="5"/>
  <c r="AC61" i="5"/>
  <c r="AE58" i="5"/>
  <c r="AF44" i="5"/>
  <c r="AG61" i="24"/>
  <c r="AG60" i="24"/>
  <c r="AI37" i="10"/>
  <c r="AI40" i="10" s="1"/>
  <c r="AI151" i="10"/>
  <c r="AI152" i="10"/>
  <c r="AJ150" i="10" s="1"/>
  <c r="AI50" i="10"/>
  <c r="AI51" i="10" s="1"/>
  <c r="AI53" i="10" s="1"/>
  <c r="AI54" i="10" s="1"/>
  <c r="AI155" i="10"/>
  <c r="AI91" i="29"/>
  <c r="AI43" i="29"/>
  <c r="AI44" i="29" s="1"/>
  <c r="AI58" i="29" s="1"/>
  <c r="AI59" i="29" s="1"/>
  <c r="AG93" i="10"/>
  <c r="AG94" i="10"/>
  <c r="AD60" i="21"/>
  <c r="AD61" i="21"/>
  <c r="AH91" i="24"/>
  <c r="AH43" i="24"/>
  <c r="AH44" i="24" s="1"/>
  <c r="AH58" i="24" s="1"/>
  <c r="AH59" i="24" s="1"/>
  <c r="AH60" i="29"/>
  <c r="AH61" i="29"/>
  <c r="X155" i="12"/>
  <c r="X156" i="12" s="1"/>
  <c r="AG145" i="10"/>
  <c r="AG143" i="10"/>
  <c r="AH142" i="10" s="1"/>
  <c r="W146" i="36"/>
  <c r="W147" i="36" s="1"/>
  <c r="W161" i="36" s="1"/>
  <c r="W162" i="36" s="1"/>
  <c r="AB58" i="10"/>
  <c r="AC44" i="10"/>
  <c r="Y139" i="12"/>
  <c r="Y152" i="12" s="1"/>
  <c r="Y153" i="12" s="1"/>
  <c r="AA60" i="10"/>
  <c r="AA61" i="10"/>
  <c r="W43" i="26"/>
  <c r="W91" i="26"/>
  <c r="X193" i="12" s="1"/>
  <c r="X40" i="26"/>
  <c r="Y142" i="12" s="1"/>
  <c r="AL43" i="5"/>
  <c r="AL91" i="5"/>
  <c r="AK94" i="5"/>
  <c r="AK93" i="5"/>
  <c r="V94" i="26"/>
  <c r="V93" i="26"/>
  <c r="W197" i="36"/>
  <c r="W196" i="36"/>
  <c r="T59" i="26"/>
  <c r="V44" i="26"/>
  <c r="W146" i="12" s="1"/>
  <c r="W160" i="12" s="1"/>
  <c r="W161" i="12" s="1"/>
  <c r="U58" i="26"/>
  <c r="U59" i="26" s="1"/>
  <c r="U60" i="26" s="1"/>
  <c r="U61" i="26" s="1"/>
  <c r="AM137" i="5"/>
  <c r="AN135" i="5" s="1"/>
  <c r="AM50" i="5"/>
  <c r="AM51" i="5" s="1"/>
  <c r="AM53" i="5" s="1"/>
  <c r="AM54" i="5" s="1"/>
  <c r="AM136" i="5"/>
  <c r="AM140" i="5"/>
  <c r="AM37" i="5"/>
  <c r="AM40" i="5" s="1"/>
  <c r="V161" i="12"/>
  <c r="AN145" i="21"/>
  <c r="AO143" i="21" s="1"/>
  <c r="AN50" i="21"/>
  <c r="AN51" i="21" s="1"/>
  <c r="AN53" i="21" s="1"/>
  <c r="AN144" i="21"/>
  <c r="AN148" i="21"/>
  <c r="AN37" i="21"/>
  <c r="Y153" i="36"/>
  <c r="Y154" i="36" s="1"/>
  <c r="Y156" i="36" s="1"/>
  <c r="Y157" i="36" s="1"/>
  <c r="Y142" i="36"/>
  <c r="Y37" i="26"/>
  <c r="Z139" i="12" s="1"/>
  <c r="Z152" i="12" s="1"/>
  <c r="Y150" i="26"/>
  <c r="Y146" i="26"/>
  <c r="Y50" i="26"/>
  <c r="Y51" i="26" s="1"/>
  <c r="Y53" i="26" s="1"/>
  <c r="Y54" i="26" s="1"/>
  <c r="Y147" i="26"/>
  <c r="Z145" i="26" s="1"/>
  <c r="X194" i="36"/>
  <c r="X146" i="36"/>
  <c r="AF36" i="26"/>
  <c r="AG138" i="12" s="1"/>
  <c r="AG149" i="12" s="1"/>
  <c r="AE47" i="26"/>
  <c r="AG138" i="26"/>
  <c r="AH137" i="26" s="1"/>
  <c r="AG35" i="26"/>
  <c r="AH137" i="12" s="1"/>
  <c r="AG140" i="26"/>
  <c r="AO53" i="8"/>
  <c r="AP37" i="8"/>
  <c r="AP149" i="8"/>
  <c r="AQ147" i="8" s="1"/>
  <c r="AP148" i="8"/>
  <c r="AP50" i="8"/>
  <c r="AP51" i="8" s="1"/>
  <c r="AP152" i="8"/>
  <c r="AM53" i="9"/>
  <c r="AM54" i="9" s="1"/>
  <c r="AN144" i="9"/>
  <c r="AO142" i="9" s="1"/>
  <c r="AN50" i="9"/>
  <c r="AN51" i="9" s="1"/>
  <c r="AN37" i="9"/>
  <c r="AN40" i="9" s="1"/>
  <c r="AN143" i="9"/>
  <c r="AN147" i="9"/>
  <c r="AM91" i="9"/>
  <c r="AM43" i="9"/>
  <c r="AL93" i="9"/>
  <c r="AL94" i="9"/>
  <c r="AA58" i="9"/>
  <c r="AA59" i="9" s="1"/>
  <c r="AB44" i="9"/>
  <c r="Z61" i="9"/>
  <c r="Z60" i="9"/>
  <c r="AH93" i="8"/>
  <c r="AH94" i="8"/>
  <c r="AK36" i="8"/>
  <c r="AJ40" i="8"/>
  <c r="AJ47" i="8"/>
  <c r="AJ54" i="8" s="1"/>
  <c r="AL140" i="8"/>
  <c r="AM139" i="8" s="1"/>
  <c r="AL142" i="8"/>
  <c r="AL35" i="8"/>
  <c r="AI43" i="8"/>
  <c r="AI91" i="8"/>
  <c r="AJ93" i="21"/>
  <c r="AJ94" i="21"/>
  <c r="AL47" i="21"/>
  <c r="AL54" i="21" s="1"/>
  <c r="AL40" i="21"/>
  <c r="AK43" i="21"/>
  <c r="AK91" i="21"/>
  <c r="AD61" i="8" l="1"/>
  <c r="AD60" i="8"/>
  <c r="AI93" i="29"/>
  <c r="AI94" i="29"/>
  <c r="AH94" i="10"/>
  <c r="AH93" i="10"/>
  <c r="AK160" i="29"/>
  <c r="AK164" i="29"/>
  <c r="AK50" i="29"/>
  <c r="AK51" i="29" s="1"/>
  <c r="AK53" i="29" s="1"/>
  <c r="AK54" i="29" s="1"/>
  <c r="AK37" i="29"/>
  <c r="AK40" i="29" s="1"/>
  <c r="AK161" i="29"/>
  <c r="AL159" i="29" s="1"/>
  <c r="AH61" i="24"/>
  <c r="AH60" i="24"/>
  <c r="AC60" i="8"/>
  <c r="AC61" i="8"/>
  <c r="AH93" i="24"/>
  <c r="AH94" i="24"/>
  <c r="AJ152" i="10"/>
  <c r="AK150" i="10" s="1"/>
  <c r="AJ50" i="10"/>
  <c r="AJ51" i="10" s="1"/>
  <c r="AJ53" i="10" s="1"/>
  <c r="AJ54" i="10" s="1"/>
  <c r="AJ37" i="10"/>
  <c r="AJ40" i="10" s="1"/>
  <c r="AJ155" i="10"/>
  <c r="AJ151" i="10"/>
  <c r="AM136" i="21"/>
  <c r="AN135" i="21" s="1"/>
  <c r="AM138" i="21"/>
  <c r="AM35" i="21"/>
  <c r="AM36" i="21" s="1"/>
  <c r="AM40" i="21" s="1"/>
  <c r="AG44" i="21"/>
  <c r="AF58" i="21"/>
  <c r="AF59" i="21" s="1"/>
  <c r="AF58" i="5"/>
  <c r="AF59" i="5" s="1"/>
  <c r="AG44" i="5"/>
  <c r="AJ43" i="29"/>
  <c r="AJ44" i="29" s="1"/>
  <c r="AJ58" i="29" s="1"/>
  <c r="AJ59" i="29" s="1"/>
  <c r="AJ91" i="29"/>
  <c r="AE59" i="5"/>
  <c r="AE58" i="8"/>
  <c r="AE59" i="8" s="1"/>
  <c r="AF44" i="8"/>
  <c r="AE60" i="21"/>
  <c r="AE61" i="21"/>
  <c r="AI43" i="10"/>
  <c r="AI91" i="10"/>
  <c r="AJ166" i="24"/>
  <c r="AJ163" i="24"/>
  <c r="AK161" i="24" s="1"/>
  <c r="AJ37" i="24"/>
  <c r="AJ40" i="24" s="1"/>
  <c r="AJ162" i="24"/>
  <c r="AJ50" i="24"/>
  <c r="AJ51" i="24" s="1"/>
  <c r="AJ53" i="24" s="1"/>
  <c r="AJ54" i="24" s="1"/>
  <c r="AI60" i="29"/>
  <c r="AI61" i="29"/>
  <c r="AI91" i="24"/>
  <c r="AI43" i="24"/>
  <c r="AI44" i="24" s="1"/>
  <c r="AI58" i="24" s="1"/>
  <c r="AI59" i="24" s="1"/>
  <c r="X147" i="36"/>
  <c r="X161" i="36" s="1"/>
  <c r="X162" i="36" s="1"/>
  <c r="X163" i="36" s="1"/>
  <c r="Z139" i="36"/>
  <c r="Z153" i="36" s="1"/>
  <c r="Z154" i="36" s="1"/>
  <c r="Z156" i="36" s="1"/>
  <c r="Z157" i="36" s="1"/>
  <c r="Z153" i="12"/>
  <c r="Y155" i="12"/>
  <c r="Y156" i="12" s="1"/>
  <c r="AH145" i="10"/>
  <c r="AH143" i="10"/>
  <c r="AI142" i="10" s="1"/>
  <c r="AC58" i="10"/>
  <c r="AC59" i="10" s="1"/>
  <c r="AD44" i="10"/>
  <c r="AB59" i="10"/>
  <c r="X197" i="36"/>
  <c r="X196" i="36"/>
  <c r="AO37" i="21"/>
  <c r="AO145" i="21"/>
  <c r="AP143" i="21" s="1"/>
  <c r="AO144" i="21"/>
  <c r="AO50" i="21"/>
  <c r="AO51" i="21" s="1"/>
  <c r="AO53" i="21" s="1"/>
  <c r="AO148" i="21"/>
  <c r="W162" i="12"/>
  <c r="W163" i="12"/>
  <c r="Z146" i="26"/>
  <c r="Z150" i="26"/>
  <c r="Z147" i="26"/>
  <c r="AA145" i="26" s="1"/>
  <c r="Z37" i="26"/>
  <c r="AA139" i="12" s="1"/>
  <c r="AA152" i="12" s="1"/>
  <c r="Z50" i="26"/>
  <c r="Z51" i="26" s="1"/>
  <c r="Z53" i="26" s="1"/>
  <c r="Z54" i="26" s="1"/>
  <c r="Y194" i="36"/>
  <c r="Y146" i="36"/>
  <c r="V162" i="12"/>
  <c r="V163" i="12"/>
  <c r="AM43" i="5"/>
  <c r="AM91" i="5"/>
  <c r="W44" i="26"/>
  <c r="X146" i="12" s="1"/>
  <c r="X160" i="12" s="1"/>
  <c r="X161" i="12" s="1"/>
  <c r="V58" i="26"/>
  <c r="V59" i="26" s="1"/>
  <c r="W163" i="36"/>
  <c r="W164" i="36"/>
  <c r="W93" i="26"/>
  <c r="W94" i="26"/>
  <c r="T60" i="26"/>
  <c r="T61" i="26"/>
  <c r="AL94" i="5"/>
  <c r="AL93" i="5"/>
  <c r="Y40" i="26"/>
  <c r="Z142" i="12" s="1"/>
  <c r="AN140" i="5"/>
  <c r="AN137" i="5"/>
  <c r="AO135" i="5" s="1"/>
  <c r="AN37" i="5"/>
  <c r="AN40" i="5" s="1"/>
  <c r="AN136" i="5"/>
  <c r="AN50" i="5"/>
  <c r="AN51" i="5" s="1"/>
  <c r="AN53" i="5" s="1"/>
  <c r="AN54" i="5" s="1"/>
  <c r="X91" i="26"/>
  <c r="Y193" i="12" s="1"/>
  <c r="X43" i="26"/>
  <c r="AH140" i="26"/>
  <c r="AH35" i="26"/>
  <c r="AI137" i="12" s="1"/>
  <c r="AH138" i="26"/>
  <c r="AI137" i="26" s="1"/>
  <c r="AF47" i="26"/>
  <c r="AG36" i="26"/>
  <c r="AH138" i="12" s="1"/>
  <c r="AH149" i="12" s="1"/>
  <c r="AP53" i="8"/>
  <c r="AQ149" i="8"/>
  <c r="AR147" i="8" s="1"/>
  <c r="AQ148" i="8"/>
  <c r="AQ50" i="8"/>
  <c r="AQ51" i="8" s="1"/>
  <c r="AQ37" i="8"/>
  <c r="AQ152" i="8"/>
  <c r="AN53" i="9"/>
  <c r="AN54" i="9" s="1"/>
  <c r="AM93" i="9"/>
  <c r="AM94" i="9"/>
  <c r="AN91" i="9"/>
  <c r="AN43" i="9"/>
  <c r="AO37" i="9"/>
  <c r="AO40" i="9" s="1"/>
  <c r="AO143" i="9"/>
  <c r="AO144" i="9"/>
  <c r="AP142" i="9" s="1"/>
  <c r="AO50" i="9"/>
  <c r="AO51" i="9" s="1"/>
  <c r="AO147" i="9"/>
  <c r="AC44" i="9"/>
  <c r="AB58" i="9"/>
  <c r="AA60" i="9"/>
  <c r="AA61" i="9"/>
  <c r="AK94" i="21"/>
  <c r="AK93" i="21"/>
  <c r="AJ43" i="8"/>
  <c r="AJ91" i="8"/>
  <c r="AM47" i="21"/>
  <c r="AM54" i="21" s="1"/>
  <c r="AL36" i="8"/>
  <c r="AL91" i="21"/>
  <c r="AL43" i="21"/>
  <c r="AI93" i="8"/>
  <c r="AI94" i="8"/>
  <c r="AM140" i="8"/>
  <c r="AN139" i="8" s="1"/>
  <c r="AM142" i="8"/>
  <c r="AM35" i="8"/>
  <c r="AK40" i="8"/>
  <c r="AK47" i="8"/>
  <c r="AK54" i="8" s="1"/>
  <c r="X164" i="36" l="1"/>
  <c r="Y147" i="36"/>
  <c r="Y161" i="36" s="1"/>
  <c r="Y162" i="36" s="1"/>
  <c r="AF60" i="5"/>
  <c r="AF61" i="5"/>
  <c r="AI94" i="10"/>
  <c r="AI93" i="10"/>
  <c r="AJ93" i="29"/>
  <c r="AJ94" i="29"/>
  <c r="AI94" i="24"/>
  <c r="AI93" i="24"/>
  <c r="AN35" i="21"/>
  <c r="AN36" i="21" s="1"/>
  <c r="AN47" i="21" s="1"/>
  <c r="AN54" i="21" s="1"/>
  <c r="AN138" i="21"/>
  <c r="AN136" i="21"/>
  <c r="AO135" i="21" s="1"/>
  <c r="AJ60" i="29"/>
  <c r="AJ61" i="29"/>
  <c r="AG58" i="5"/>
  <c r="AH44" i="5"/>
  <c r="AJ91" i="10"/>
  <c r="AJ43" i="10"/>
  <c r="AO136" i="21"/>
  <c r="AP135" i="21" s="1"/>
  <c r="AP138" i="21" s="1"/>
  <c r="AF58" i="8"/>
  <c r="AF59" i="8" s="1"/>
  <c r="AG44" i="8"/>
  <c r="AF61" i="21"/>
  <c r="AF60" i="21"/>
  <c r="AL161" i="29"/>
  <c r="AM159" i="29" s="1"/>
  <c r="AL37" i="29"/>
  <c r="AL40" i="29" s="1"/>
  <c r="AL160" i="29"/>
  <c r="AL164" i="29"/>
  <c r="AL50" i="29"/>
  <c r="AL51" i="29" s="1"/>
  <c r="AL53" i="29" s="1"/>
  <c r="AL54" i="29" s="1"/>
  <c r="AJ43" i="24"/>
  <c r="AJ44" i="24" s="1"/>
  <c r="AJ58" i="24" s="1"/>
  <c r="AJ59" i="24" s="1"/>
  <c r="AJ91" i="24"/>
  <c r="AE61" i="8"/>
  <c r="AE60" i="8"/>
  <c r="AG58" i="21"/>
  <c r="AG59" i="21" s="1"/>
  <c r="AH44" i="21"/>
  <c r="AK151" i="10"/>
  <c r="AK152" i="10"/>
  <c r="AL150" i="10" s="1"/>
  <c r="AK155" i="10"/>
  <c r="AK50" i="10"/>
  <c r="AK51" i="10" s="1"/>
  <c r="AK53" i="10" s="1"/>
  <c r="AK54" i="10" s="1"/>
  <c r="AK37" i="10"/>
  <c r="AK40" i="10" s="1"/>
  <c r="AK43" i="29"/>
  <c r="AK44" i="29" s="1"/>
  <c r="AK58" i="29" s="1"/>
  <c r="AK59" i="29" s="1"/>
  <c r="AK91" i="29"/>
  <c r="AK37" i="24"/>
  <c r="AK40" i="24" s="1"/>
  <c r="AK163" i="24"/>
  <c r="AL161" i="24" s="1"/>
  <c r="AK162" i="24"/>
  <c r="AK50" i="24"/>
  <c r="AK51" i="24" s="1"/>
  <c r="AK53" i="24" s="1"/>
  <c r="AK54" i="24" s="1"/>
  <c r="AK166" i="24"/>
  <c r="AI60" i="24"/>
  <c r="AI61" i="24"/>
  <c r="AE60" i="5"/>
  <c r="AE61" i="5"/>
  <c r="Z142" i="36"/>
  <c r="Z146" i="36" s="1"/>
  <c r="AA139" i="36"/>
  <c r="AA153" i="36" s="1"/>
  <c r="AA154" i="36" s="1"/>
  <c r="AA156" i="36" s="1"/>
  <c r="AA157" i="36" s="1"/>
  <c r="Z155" i="12"/>
  <c r="Z156" i="12" s="1"/>
  <c r="AA153" i="12"/>
  <c r="AI143" i="10"/>
  <c r="AJ142" i="10" s="1"/>
  <c r="AI145" i="10"/>
  <c r="AC60" i="10"/>
  <c r="AC61" i="10"/>
  <c r="AB60" i="10"/>
  <c r="AB61" i="10"/>
  <c r="AD58" i="10"/>
  <c r="AD59" i="10" s="1"/>
  <c r="AE44" i="10"/>
  <c r="AN43" i="5"/>
  <c r="AN91" i="5"/>
  <c r="V60" i="26"/>
  <c r="V61" i="26" s="1"/>
  <c r="X93" i="26"/>
  <c r="X94" i="26"/>
  <c r="AO50" i="5"/>
  <c r="AO51" i="5" s="1"/>
  <c r="AO53" i="5" s="1"/>
  <c r="AO54" i="5" s="1"/>
  <c r="AO137" i="5"/>
  <c r="AP135" i="5" s="1"/>
  <c r="AO140" i="5"/>
  <c r="AO37" i="5"/>
  <c r="AO40" i="5" s="1"/>
  <c r="AO136" i="5"/>
  <c r="W58" i="26"/>
  <c r="X44" i="26"/>
  <c r="Y146" i="12" s="1"/>
  <c r="Y160" i="12" s="1"/>
  <c r="AP37" i="21"/>
  <c r="AP145" i="21"/>
  <c r="AQ143" i="21" s="1"/>
  <c r="AP144" i="21"/>
  <c r="AP50" i="21"/>
  <c r="AP51" i="21" s="1"/>
  <c r="AP53" i="21" s="1"/>
  <c r="AP148" i="21"/>
  <c r="X163" i="12"/>
  <c r="X162" i="12"/>
  <c r="Y197" i="36"/>
  <c r="Y196" i="36"/>
  <c r="AM94" i="5"/>
  <c r="AM93" i="5"/>
  <c r="Z40" i="26"/>
  <c r="AA142" i="12" s="1"/>
  <c r="AA37" i="26"/>
  <c r="AB139" i="12" s="1"/>
  <c r="AB152" i="12" s="1"/>
  <c r="AA147" i="26"/>
  <c r="AB145" i="26" s="1"/>
  <c r="AA146" i="26"/>
  <c r="AA50" i="26"/>
  <c r="AA51" i="26" s="1"/>
  <c r="AA53" i="26" s="1"/>
  <c r="AA54" i="26" s="1"/>
  <c r="AA150" i="26"/>
  <c r="Y43" i="26"/>
  <c r="Y91" i="26"/>
  <c r="Z193" i="12" s="1"/>
  <c r="AG47" i="26"/>
  <c r="AI35" i="26"/>
  <c r="AJ137" i="12" s="1"/>
  <c r="AI140" i="26"/>
  <c r="AI138" i="26"/>
  <c r="AJ137" i="26" s="1"/>
  <c r="AH36" i="26"/>
  <c r="AI138" i="12" s="1"/>
  <c r="AI149" i="12" s="1"/>
  <c r="AQ53" i="8"/>
  <c r="AR37" i="8"/>
  <c r="AR149" i="8"/>
  <c r="AS147" i="8" s="1"/>
  <c r="AR148" i="8"/>
  <c r="AR50" i="8"/>
  <c r="AR51" i="8" s="1"/>
  <c r="AR152" i="8"/>
  <c r="AO53" i="9"/>
  <c r="AO54" i="9" s="1"/>
  <c r="AO91" i="9"/>
  <c r="AO43" i="9"/>
  <c r="AN93" i="9"/>
  <c r="AN94" i="9"/>
  <c r="AP143" i="9"/>
  <c r="AP50" i="9"/>
  <c r="AP51" i="9" s="1"/>
  <c r="AP144" i="9"/>
  <c r="AQ142" i="9" s="1"/>
  <c r="AP37" i="9"/>
  <c r="AP40" i="9" s="1"/>
  <c r="AP147" i="9"/>
  <c r="AC58" i="9"/>
  <c r="AC59" i="9" s="1"/>
  <c r="AD44" i="9"/>
  <c r="AB59" i="9"/>
  <c r="AJ93" i="8"/>
  <c r="AJ94" i="8"/>
  <c r="AN140" i="8"/>
  <c r="AO139" i="8" s="1"/>
  <c r="AN142" i="8"/>
  <c r="AN35" i="8"/>
  <c r="AL47" i="8"/>
  <c r="AL54" i="8" s="1"/>
  <c r="AL40" i="8"/>
  <c r="AP136" i="21"/>
  <c r="AQ135" i="21" s="1"/>
  <c r="AP35" i="21"/>
  <c r="AM36" i="8"/>
  <c r="AM91" i="21"/>
  <c r="AM43" i="21"/>
  <c r="AL94" i="21"/>
  <c r="AL93" i="21"/>
  <c r="AK91" i="8"/>
  <c r="AK43" i="8"/>
  <c r="AN40" i="21" l="1"/>
  <c r="Z194" i="36"/>
  <c r="Z147" i="36"/>
  <c r="Z161" i="36" s="1"/>
  <c r="Z162" i="36" s="1"/>
  <c r="AK94" i="29"/>
  <c r="AK93" i="29"/>
  <c r="AG61" i="21"/>
  <c r="AG60" i="21"/>
  <c r="AL91" i="29"/>
  <c r="AL43" i="29"/>
  <c r="AL44" i="29" s="1"/>
  <c r="AL58" i="29" s="1"/>
  <c r="AL59" i="29" s="1"/>
  <c r="AJ93" i="10"/>
  <c r="AJ94" i="10"/>
  <c r="AK61" i="29"/>
  <c r="AK60" i="29"/>
  <c r="AM37" i="29"/>
  <c r="AM40" i="29" s="1"/>
  <c r="AM161" i="29"/>
  <c r="AN159" i="29" s="1"/>
  <c r="AM50" i="29"/>
  <c r="AM51" i="29" s="1"/>
  <c r="AM53" i="29" s="1"/>
  <c r="AM54" i="29" s="1"/>
  <c r="AM160" i="29"/>
  <c r="AM164" i="29"/>
  <c r="AH58" i="5"/>
  <c r="AI44" i="5"/>
  <c r="AK91" i="10"/>
  <c r="AK43" i="10"/>
  <c r="AG59" i="5"/>
  <c r="AH59" i="5"/>
  <c r="AJ94" i="24"/>
  <c r="AJ93" i="24"/>
  <c r="AJ61" i="24"/>
  <c r="AJ60" i="24"/>
  <c r="AH44" i="8"/>
  <c r="AG58" i="8"/>
  <c r="AL163" i="24"/>
  <c r="AM161" i="24" s="1"/>
  <c r="AL162" i="24"/>
  <c r="AL166" i="24"/>
  <c r="AL37" i="24"/>
  <c r="AL40" i="24" s="1"/>
  <c r="AL50" i="24"/>
  <c r="AL51" i="24" s="1"/>
  <c r="AL53" i="24" s="1"/>
  <c r="AL54" i="24" s="1"/>
  <c r="AL152" i="10"/>
  <c r="AM150" i="10" s="1"/>
  <c r="AL37" i="10"/>
  <c r="AL40" i="10" s="1"/>
  <c r="AL155" i="10"/>
  <c r="AL50" i="10"/>
  <c r="AL51" i="10" s="1"/>
  <c r="AL53" i="10" s="1"/>
  <c r="AL54" i="10" s="1"/>
  <c r="AL151" i="10"/>
  <c r="AF60" i="8"/>
  <c r="AF61" i="8"/>
  <c r="AO138" i="21"/>
  <c r="AO35" i="21"/>
  <c r="AO36" i="21" s="1"/>
  <c r="AK91" i="24"/>
  <c r="AK43" i="24"/>
  <c r="AK44" i="24" s="1"/>
  <c r="AK58" i="24" s="1"/>
  <c r="AK59" i="24" s="1"/>
  <c r="AH58" i="21"/>
  <c r="AH59" i="21" s="1"/>
  <c r="AI44" i="21"/>
  <c r="AA142" i="36"/>
  <c r="AA146" i="36" s="1"/>
  <c r="AA147" i="36" s="1"/>
  <c r="AA161" i="36" s="1"/>
  <c r="AB153" i="12"/>
  <c r="AA155" i="12"/>
  <c r="AA156" i="12" s="1"/>
  <c r="AJ143" i="10"/>
  <c r="AK142" i="10" s="1"/>
  <c r="AJ145" i="10"/>
  <c r="AE58" i="10"/>
  <c r="AE59" i="10" s="1"/>
  <c r="AF44" i="10"/>
  <c r="AD61" i="10"/>
  <c r="AD60" i="10"/>
  <c r="AB139" i="36"/>
  <c r="AB153" i="36" s="1"/>
  <c r="AB154" i="36" s="1"/>
  <c r="AB156" i="36" s="1"/>
  <c r="AB157" i="36" s="1"/>
  <c r="Z164" i="36"/>
  <c r="Z163" i="36"/>
  <c r="AA40" i="26"/>
  <c r="AB142" i="12" s="1"/>
  <c r="W59" i="26"/>
  <c r="Y161" i="12"/>
  <c r="Y94" i="26"/>
  <c r="Y93" i="26"/>
  <c r="Z196" i="36"/>
  <c r="Z197" i="36"/>
  <c r="AO43" i="5"/>
  <c r="AO91" i="5"/>
  <c r="Z91" i="26"/>
  <c r="AA193" i="12" s="1"/>
  <c r="Z43" i="26"/>
  <c r="Y164" i="36"/>
  <c r="Y163" i="36"/>
  <c r="AQ50" i="21"/>
  <c r="AQ51" i="21" s="1"/>
  <c r="AQ53" i="21" s="1"/>
  <c r="AQ148" i="21"/>
  <c r="AQ37" i="21"/>
  <c r="AQ145" i="21"/>
  <c r="AR143" i="21" s="1"/>
  <c r="AQ144" i="21"/>
  <c r="AP137" i="5"/>
  <c r="AQ135" i="5" s="1"/>
  <c r="AP37" i="5"/>
  <c r="AP40" i="5" s="1"/>
  <c r="AP136" i="5"/>
  <c r="AP140" i="5"/>
  <c r="AP50" i="5"/>
  <c r="AP51" i="5" s="1"/>
  <c r="AP53" i="5" s="1"/>
  <c r="AP54" i="5" s="1"/>
  <c r="AN93" i="5"/>
  <c r="AN94" i="5"/>
  <c r="AB50" i="26"/>
  <c r="AB51" i="26" s="1"/>
  <c r="AB53" i="26" s="1"/>
  <c r="AB54" i="26" s="1"/>
  <c r="AB150" i="26"/>
  <c r="AB147" i="26"/>
  <c r="AC145" i="26" s="1"/>
  <c r="AB37" i="26"/>
  <c r="AC139" i="12" s="1"/>
  <c r="AC152" i="12" s="1"/>
  <c r="AB146" i="26"/>
  <c r="X58" i="26"/>
  <c r="Y44" i="26"/>
  <c r="Z146" i="12" s="1"/>
  <c r="Z160" i="12" s="1"/>
  <c r="Z161" i="12" s="1"/>
  <c r="AI36" i="26"/>
  <c r="AJ138" i="12" s="1"/>
  <c r="AJ149" i="12" s="1"/>
  <c r="AH47" i="26"/>
  <c r="AJ35" i="26"/>
  <c r="AK137" i="12" s="1"/>
  <c r="AJ140" i="26"/>
  <c r="AJ138" i="26"/>
  <c r="AK137" i="26" s="1"/>
  <c r="AR53" i="8"/>
  <c r="AS37" i="8"/>
  <c r="AS148" i="8"/>
  <c r="AS149" i="8"/>
  <c r="AT147" i="8" s="1"/>
  <c r="AS50" i="8"/>
  <c r="AS51" i="8" s="1"/>
  <c r="AS152" i="8"/>
  <c r="AP53" i="9"/>
  <c r="AP54" i="9" s="1"/>
  <c r="AO94" i="9"/>
  <c r="AO93" i="9"/>
  <c r="AP91" i="9"/>
  <c r="AP43" i="9"/>
  <c r="AQ37" i="9"/>
  <c r="AQ40" i="9" s="1"/>
  <c r="AQ143" i="9"/>
  <c r="AQ144" i="9"/>
  <c r="AR142" i="9" s="1"/>
  <c r="AQ50" i="9"/>
  <c r="AQ51" i="9" s="1"/>
  <c r="AQ147" i="9"/>
  <c r="AC61" i="9"/>
  <c r="AC60" i="9"/>
  <c r="AB60" i="9"/>
  <c r="AB61" i="9"/>
  <c r="AE44" i="9"/>
  <c r="AD58" i="9"/>
  <c r="AD59" i="9" s="1"/>
  <c r="AL91" i="8"/>
  <c r="AL43" i="8"/>
  <c r="AM93" i="21"/>
  <c r="AM94" i="21"/>
  <c r="AM40" i="8"/>
  <c r="AM47" i="8"/>
  <c r="AM54" i="8" s="1"/>
  <c r="AO47" i="21"/>
  <c r="AO54" i="21" s="1"/>
  <c r="AO40" i="21"/>
  <c r="AN36" i="8"/>
  <c r="AO140" i="8"/>
  <c r="AP139" i="8" s="1"/>
  <c r="AO142" i="8"/>
  <c r="AO35" i="8"/>
  <c r="AP36" i="21"/>
  <c r="AN43" i="21"/>
  <c r="AN91" i="21"/>
  <c r="AK93" i="8"/>
  <c r="AK94" i="8"/>
  <c r="AQ136" i="21"/>
  <c r="AR135" i="21" s="1"/>
  <c r="AQ138" i="21"/>
  <c r="AQ35" i="21"/>
  <c r="AL91" i="24" l="1"/>
  <c r="AL43" i="24"/>
  <c r="AL44" i="24" s="1"/>
  <c r="AL58" i="24" s="1"/>
  <c r="AL59" i="24" s="1"/>
  <c r="AI58" i="21"/>
  <c r="AI59" i="21" s="1"/>
  <c r="AJ44" i="21"/>
  <c r="AH61" i="5"/>
  <c r="AH60" i="5"/>
  <c r="AL60" i="29"/>
  <c r="AL61" i="29"/>
  <c r="AA194" i="36"/>
  <c r="AH60" i="21"/>
  <c r="AH61" i="21"/>
  <c r="AM163" i="24"/>
  <c r="AN161" i="24" s="1"/>
  <c r="AM50" i="24"/>
  <c r="AM51" i="24" s="1"/>
  <c r="AM53" i="24" s="1"/>
  <c r="AM54" i="24" s="1"/>
  <c r="AM162" i="24"/>
  <c r="AM37" i="24"/>
  <c r="AM40" i="24" s="1"/>
  <c r="AM166" i="24"/>
  <c r="AG60" i="5"/>
  <c r="AG61" i="5"/>
  <c r="AN161" i="29"/>
  <c r="AO159" i="29" s="1"/>
  <c r="AN50" i="29"/>
  <c r="AN51" i="29" s="1"/>
  <c r="AN53" i="29" s="1"/>
  <c r="AN54" i="29" s="1"/>
  <c r="AN160" i="29"/>
  <c r="AN164" i="29"/>
  <c r="AN37" i="29"/>
  <c r="AN40" i="29" s="1"/>
  <c r="AL94" i="29"/>
  <c r="AL93" i="29"/>
  <c r="AK61" i="24"/>
  <c r="AK60" i="24"/>
  <c r="AG59" i="8"/>
  <c r="AM91" i="29"/>
  <c r="AM43" i="29"/>
  <c r="AM44" i="29" s="1"/>
  <c r="AM58" i="29" s="1"/>
  <c r="AM59" i="29" s="1"/>
  <c r="AK93" i="24"/>
  <c r="AK94" i="24"/>
  <c r="AL91" i="10"/>
  <c r="AL43" i="10"/>
  <c r="AH58" i="8"/>
  <c r="AH59" i="8" s="1"/>
  <c r="AI44" i="8"/>
  <c r="AK94" i="10"/>
  <c r="AK93" i="10"/>
  <c r="AM155" i="10"/>
  <c r="AM152" i="10"/>
  <c r="AN150" i="10" s="1"/>
  <c r="AM37" i="10"/>
  <c r="AM40" i="10" s="1"/>
  <c r="AM50" i="10"/>
  <c r="AM51" i="10" s="1"/>
  <c r="AM53" i="10" s="1"/>
  <c r="AM54" i="10" s="1"/>
  <c r="AM151" i="10"/>
  <c r="AI58" i="5"/>
  <c r="AJ44" i="5"/>
  <c r="AC139" i="36"/>
  <c r="AC142" i="36" s="1"/>
  <c r="AB155" i="12"/>
  <c r="AB156" i="12" s="1"/>
  <c r="AC153" i="12"/>
  <c r="AK143" i="10"/>
  <c r="AL142" i="10" s="1"/>
  <c r="AK145" i="10"/>
  <c r="AB142" i="36"/>
  <c r="AB146" i="36" s="1"/>
  <c r="AB147" i="36" s="1"/>
  <c r="AB161" i="36" s="1"/>
  <c r="AB162" i="36" s="1"/>
  <c r="AG44" i="10"/>
  <c r="AF58" i="10"/>
  <c r="AE61" i="10"/>
  <c r="AE60" i="10"/>
  <c r="Z163" i="12"/>
  <c r="Z162" i="12"/>
  <c r="AC146" i="26"/>
  <c r="AC50" i="26"/>
  <c r="AC51" i="26" s="1"/>
  <c r="AC53" i="26" s="1"/>
  <c r="AC54" i="26" s="1"/>
  <c r="AC37" i="26"/>
  <c r="AD139" i="36" s="1"/>
  <c r="AC150" i="26"/>
  <c r="AC147" i="26"/>
  <c r="AD145" i="26" s="1"/>
  <c r="AQ140" i="5"/>
  <c r="AQ37" i="5"/>
  <c r="AQ40" i="5" s="1"/>
  <c r="AQ50" i="5"/>
  <c r="AQ51" i="5" s="1"/>
  <c r="AQ53" i="5" s="1"/>
  <c r="AQ54" i="5" s="1"/>
  <c r="AQ137" i="5"/>
  <c r="AR135" i="5" s="1"/>
  <c r="AQ136" i="5"/>
  <c r="AA196" i="36"/>
  <c r="AA197" i="36"/>
  <c r="AB40" i="26"/>
  <c r="AC142" i="12" s="1"/>
  <c r="Z44" i="26"/>
  <c r="AA146" i="12" s="1"/>
  <c r="AA160" i="12" s="1"/>
  <c r="AA161" i="12" s="1"/>
  <c r="Y58" i="26"/>
  <c r="Y59" i="26" s="1"/>
  <c r="AA162" i="36"/>
  <c r="AP91" i="5"/>
  <c r="AP43" i="5"/>
  <c r="W60" i="26"/>
  <c r="W61" i="26" s="1"/>
  <c r="AR145" i="21"/>
  <c r="AS143" i="21" s="1"/>
  <c r="AR144" i="21"/>
  <c r="AR50" i="21"/>
  <c r="AR51" i="21" s="1"/>
  <c r="AR53" i="21" s="1"/>
  <c r="AR148" i="21"/>
  <c r="AR37" i="21"/>
  <c r="Z94" i="26"/>
  <c r="Z93" i="26"/>
  <c r="AA91" i="26"/>
  <c r="AB193" i="12" s="1"/>
  <c r="AA43" i="26"/>
  <c r="AO94" i="5"/>
  <c r="AO93" i="5"/>
  <c r="Y162" i="12"/>
  <c r="Y163" i="12"/>
  <c r="X59" i="26"/>
  <c r="AK35" i="26"/>
  <c r="AL137" i="12" s="1"/>
  <c r="AK140" i="26"/>
  <c r="AK138" i="26"/>
  <c r="AL137" i="26" s="1"/>
  <c r="AL138" i="26" s="1"/>
  <c r="AM137" i="26" s="1"/>
  <c r="AI47" i="26"/>
  <c r="AJ36" i="26"/>
  <c r="AK138" i="12" s="1"/>
  <c r="AK149" i="12" s="1"/>
  <c r="AS53" i="8"/>
  <c r="AT149" i="8"/>
  <c r="AU147" i="8" s="1"/>
  <c r="AT50" i="8"/>
  <c r="AT51" i="8" s="1"/>
  <c r="AT37" i="8"/>
  <c r="AT148" i="8"/>
  <c r="AT152" i="8"/>
  <c r="AQ53" i="9"/>
  <c r="AQ54" i="9" s="1"/>
  <c r="AQ91" i="9"/>
  <c r="AQ43" i="9"/>
  <c r="AP93" i="9"/>
  <c r="AP94" i="9"/>
  <c r="AR144" i="9"/>
  <c r="AS142" i="9" s="1"/>
  <c r="AR143" i="9"/>
  <c r="AR37" i="9"/>
  <c r="AR40" i="9" s="1"/>
  <c r="AR50" i="9"/>
  <c r="AR51" i="9" s="1"/>
  <c r="AR147" i="9"/>
  <c r="AD61" i="9"/>
  <c r="AD60" i="9"/>
  <c r="AF44" i="9"/>
  <c r="AE58" i="9"/>
  <c r="AE59" i="9" s="1"/>
  <c r="AN94" i="21"/>
  <c r="AN93" i="21"/>
  <c r="AP47" i="21"/>
  <c r="AP54" i="21" s="1"/>
  <c r="AP40" i="21"/>
  <c r="AO36" i="8"/>
  <c r="AM43" i="8"/>
  <c r="AM91" i="8"/>
  <c r="AQ36" i="21"/>
  <c r="AP140" i="8"/>
  <c r="AQ139" i="8" s="1"/>
  <c r="AP142" i="8"/>
  <c r="AP35" i="8"/>
  <c r="AN40" i="8"/>
  <c r="AN47" i="8"/>
  <c r="AN54" i="8" s="1"/>
  <c r="AO91" i="21"/>
  <c r="AO43" i="21"/>
  <c r="AL94" i="8"/>
  <c r="AL93" i="8"/>
  <c r="AR136" i="21"/>
  <c r="AS135" i="21" s="1"/>
  <c r="AR138" i="21"/>
  <c r="AR35" i="21"/>
  <c r="AB194" i="36" l="1"/>
  <c r="AM61" i="29"/>
  <c r="AM60" i="29"/>
  <c r="AJ58" i="5"/>
  <c r="AK44" i="5"/>
  <c r="AM94" i="29"/>
  <c r="AM93" i="29"/>
  <c r="AN43" i="29"/>
  <c r="AN44" i="29" s="1"/>
  <c r="AN58" i="29" s="1"/>
  <c r="AN59" i="29" s="1"/>
  <c r="AN60" i="29" s="1"/>
  <c r="AN91" i="29"/>
  <c r="AM91" i="24"/>
  <c r="AM43" i="24"/>
  <c r="AM44" i="24" s="1"/>
  <c r="AM58" i="24" s="1"/>
  <c r="AM59" i="24" s="1"/>
  <c r="AC153" i="36"/>
  <c r="AC154" i="36" s="1"/>
  <c r="AC156" i="36" s="1"/>
  <c r="AC157" i="36" s="1"/>
  <c r="AI59" i="5"/>
  <c r="AJ59" i="5"/>
  <c r="AJ44" i="8"/>
  <c r="AI58" i="8"/>
  <c r="AI59" i="8" s="1"/>
  <c r="AH61" i="8"/>
  <c r="AH60" i="8"/>
  <c r="AG60" i="8"/>
  <c r="AG61" i="8"/>
  <c r="AN37" i="24"/>
  <c r="AN40" i="24" s="1"/>
  <c r="AN162" i="24"/>
  <c r="AN166" i="24"/>
  <c r="AN163" i="24"/>
  <c r="AO161" i="24" s="1"/>
  <c r="AN50" i="24"/>
  <c r="AN51" i="24" s="1"/>
  <c r="AN53" i="24" s="1"/>
  <c r="AN54" i="24" s="1"/>
  <c r="AK44" i="21"/>
  <c r="AJ58" i="21"/>
  <c r="AJ59" i="21" s="1"/>
  <c r="AM43" i="10"/>
  <c r="AM91" i="10"/>
  <c r="AL93" i="10"/>
  <c r="AL94" i="10"/>
  <c r="AO37" i="29"/>
  <c r="AO40" i="29" s="1"/>
  <c r="AO161" i="29"/>
  <c r="AP159" i="29" s="1"/>
  <c r="AO160" i="29"/>
  <c r="AO50" i="29"/>
  <c r="AO51" i="29" s="1"/>
  <c r="AO53" i="29" s="1"/>
  <c r="AO54" i="29" s="1"/>
  <c r="AO164" i="29"/>
  <c r="AI60" i="21"/>
  <c r="AI61" i="21"/>
  <c r="AN152" i="10"/>
  <c r="AO150" i="10" s="1"/>
  <c r="AN37" i="10"/>
  <c r="AN40" i="10" s="1"/>
  <c r="AN151" i="10"/>
  <c r="AN50" i="10"/>
  <c r="AN51" i="10" s="1"/>
  <c r="AN53" i="10" s="1"/>
  <c r="AN54" i="10" s="1"/>
  <c r="AN155" i="10"/>
  <c r="AL61" i="24"/>
  <c r="AL60" i="24"/>
  <c r="AL93" i="24"/>
  <c r="AL94" i="24"/>
  <c r="AC155" i="12"/>
  <c r="AC156" i="12" s="1"/>
  <c r="AD139" i="12"/>
  <c r="AD152" i="12" s="1"/>
  <c r="AD153" i="12" s="1"/>
  <c r="AL143" i="10"/>
  <c r="AM142" i="10" s="1"/>
  <c r="AL145" i="10"/>
  <c r="AF59" i="10"/>
  <c r="AH44" i="10"/>
  <c r="AG58" i="10"/>
  <c r="AG59" i="10" s="1"/>
  <c r="AM35" i="26"/>
  <c r="AM36" i="26" s="1"/>
  <c r="AM140" i="26"/>
  <c r="AM138" i="26"/>
  <c r="AN137" i="26" s="1"/>
  <c r="AN138" i="26" s="1"/>
  <c r="AO137" i="26" s="1"/>
  <c r="AB196" i="36"/>
  <c r="AB197" i="36"/>
  <c r="AA94" i="26"/>
  <c r="AA93" i="26"/>
  <c r="AD142" i="36"/>
  <c r="AD153" i="36"/>
  <c r="AD37" i="26"/>
  <c r="AE139" i="36" s="1"/>
  <c r="AD147" i="26"/>
  <c r="AE145" i="26" s="1"/>
  <c r="AD50" i="26"/>
  <c r="AD51" i="26" s="1"/>
  <c r="AD53" i="26" s="1"/>
  <c r="AD54" i="26" s="1"/>
  <c r="AD150" i="26"/>
  <c r="AD146" i="26"/>
  <c r="X60" i="26"/>
  <c r="X61" i="26" s="1"/>
  <c r="Y61" i="26"/>
  <c r="Y60" i="26"/>
  <c r="AB163" i="36"/>
  <c r="AB164" i="36"/>
  <c r="AA163" i="36"/>
  <c r="AA164" i="36"/>
  <c r="AE139" i="12"/>
  <c r="AE152" i="12" s="1"/>
  <c r="AC40" i="26"/>
  <c r="AD142" i="12" s="1"/>
  <c r="AC194" i="36"/>
  <c r="AC146" i="36"/>
  <c r="AC147" i="36" s="1"/>
  <c r="AC161" i="36" s="1"/>
  <c r="AC162" i="36" s="1"/>
  <c r="AP93" i="5"/>
  <c r="AP94" i="5"/>
  <c r="AS37" i="21"/>
  <c r="AS145" i="21"/>
  <c r="AT143" i="21" s="1"/>
  <c r="AS144" i="21"/>
  <c r="AS50" i="21"/>
  <c r="AS51" i="21" s="1"/>
  <c r="AS53" i="21" s="1"/>
  <c r="AS148" i="21"/>
  <c r="Z58" i="26"/>
  <c r="Z59" i="26" s="1"/>
  <c r="AA44" i="26"/>
  <c r="AB146" i="12" s="1"/>
  <c r="AB160" i="12" s="1"/>
  <c r="AB161" i="12" s="1"/>
  <c r="AR140" i="5"/>
  <c r="AR137" i="5"/>
  <c r="AS135" i="5" s="1"/>
  <c r="AR50" i="5"/>
  <c r="AR51" i="5" s="1"/>
  <c r="AR136" i="5"/>
  <c r="AR37" i="5"/>
  <c r="AR40" i="5" s="1"/>
  <c r="AA163" i="12"/>
  <c r="AA162" i="12"/>
  <c r="AB43" i="26"/>
  <c r="AB91" i="26"/>
  <c r="AC193" i="12" s="1"/>
  <c r="AQ91" i="5"/>
  <c r="AQ43" i="5"/>
  <c r="AJ47" i="26"/>
  <c r="AL35" i="26"/>
  <c r="AM137" i="12" s="1"/>
  <c r="AL140" i="26"/>
  <c r="AK36" i="26"/>
  <c r="AL138" i="12" s="1"/>
  <c r="AL149" i="12" s="1"/>
  <c r="AT53" i="8"/>
  <c r="AU148" i="8"/>
  <c r="AU50" i="8"/>
  <c r="AU51" i="8" s="1"/>
  <c r="AU149" i="8"/>
  <c r="AV147" i="8" s="1"/>
  <c r="AU37" i="8"/>
  <c r="AU152" i="8"/>
  <c r="AR53" i="9"/>
  <c r="AR54" i="9" s="1"/>
  <c r="AS143" i="9"/>
  <c r="AS50" i="9"/>
  <c r="AS51" i="9" s="1"/>
  <c r="AS144" i="9"/>
  <c r="AT142" i="9" s="1"/>
  <c r="AS37" i="9"/>
  <c r="AS40" i="9" s="1"/>
  <c r="AS147" i="9"/>
  <c r="AQ94" i="9"/>
  <c r="AQ93" i="9"/>
  <c r="AR43" i="9"/>
  <c r="AR91" i="9"/>
  <c r="AE60" i="9"/>
  <c r="AE61" i="9"/>
  <c r="AF58" i="9"/>
  <c r="AF59" i="9" s="1"/>
  <c r="AG44" i="9"/>
  <c r="AN91" i="8"/>
  <c r="AN43" i="8"/>
  <c r="AS136" i="21"/>
  <c r="AT135" i="21" s="1"/>
  <c r="AS138" i="21"/>
  <c r="AS35" i="21"/>
  <c r="AP36" i="8"/>
  <c r="AO93" i="21"/>
  <c r="AO94" i="21"/>
  <c r="AQ47" i="21"/>
  <c r="AQ54" i="21" s="1"/>
  <c r="AQ40" i="21"/>
  <c r="AQ140" i="8"/>
  <c r="AR139" i="8" s="1"/>
  <c r="AQ142" i="8"/>
  <c r="AQ35" i="8"/>
  <c r="AR36" i="21"/>
  <c r="AO47" i="8"/>
  <c r="AO54" i="8" s="1"/>
  <c r="AO40" i="8"/>
  <c r="AM93" i="8"/>
  <c r="AM94" i="8"/>
  <c r="AP91" i="21"/>
  <c r="AP43" i="21"/>
  <c r="AD154" i="36" l="1"/>
  <c r="AD156" i="36" s="1"/>
  <c r="AD157" i="36" s="1"/>
  <c r="AN61" i="29"/>
  <c r="AI60" i="8"/>
  <c r="AI61" i="8"/>
  <c r="AO155" i="10"/>
  <c r="AO151" i="10"/>
  <c r="AO50" i="10"/>
  <c r="AO51" i="10" s="1"/>
  <c r="AO53" i="10" s="1"/>
  <c r="AO54" i="10" s="1"/>
  <c r="AO37" i="10"/>
  <c r="AO40" i="10" s="1"/>
  <c r="AO152" i="10"/>
  <c r="AP150" i="10" s="1"/>
  <c r="AN94" i="29"/>
  <c r="AN93" i="29"/>
  <c r="AM93" i="10"/>
  <c r="AM94" i="10"/>
  <c r="AN91" i="24"/>
  <c r="AN43" i="24"/>
  <c r="AN44" i="24" s="1"/>
  <c r="AN58" i="24" s="1"/>
  <c r="AN59" i="24" s="1"/>
  <c r="AJ58" i="8"/>
  <c r="AJ59" i="8" s="1"/>
  <c r="AK44" i="8"/>
  <c r="AJ60" i="5"/>
  <c r="AJ61" i="5"/>
  <c r="AJ60" i="21"/>
  <c r="AJ61" i="21"/>
  <c r="AI60" i="5"/>
  <c r="AI61" i="5"/>
  <c r="AK58" i="5"/>
  <c r="AK59" i="5" s="1"/>
  <c r="AL44" i="5"/>
  <c r="AL44" i="21"/>
  <c r="AK58" i="21"/>
  <c r="AK59" i="21" s="1"/>
  <c r="AP161" i="29"/>
  <c r="AQ159" i="29" s="1"/>
  <c r="AP37" i="29"/>
  <c r="AP40" i="29" s="1"/>
  <c r="AP160" i="29"/>
  <c r="AP164" i="29"/>
  <c r="AP50" i="29"/>
  <c r="AP51" i="29" s="1"/>
  <c r="AP53" i="29" s="1"/>
  <c r="AP54" i="29" s="1"/>
  <c r="AM60" i="24"/>
  <c r="AM61" i="24"/>
  <c r="AN43" i="10"/>
  <c r="AN91" i="10"/>
  <c r="AO91" i="29"/>
  <c r="AO43" i="29"/>
  <c r="AO44" i="29" s="1"/>
  <c r="AO58" i="29" s="1"/>
  <c r="AO59" i="29" s="1"/>
  <c r="AO37" i="24"/>
  <c r="AO40" i="24" s="1"/>
  <c r="AO163" i="24"/>
  <c r="AP161" i="24" s="1"/>
  <c r="AO50" i="24"/>
  <c r="AO51" i="24" s="1"/>
  <c r="AO53" i="24" s="1"/>
  <c r="AO54" i="24" s="1"/>
  <c r="AO162" i="24"/>
  <c r="AO166" i="24"/>
  <c r="AM94" i="24"/>
  <c r="AM93" i="24"/>
  <c r="AD155" i="12"/>
  <c r="AD156" i="12" s="1"/>
  <c r="AE153" i="12"/>
  <c r="AM145" i="10"/>
  <c r="AM143" i="10"/>
  <c r="AN142" i="10" s="1"/>
  <c r="AN35" i="26"/>
  <c r="AO137" i="12" s="1"/>
  <c r="AN140" i="26"/>
  <c r="AG61" i="10"/>
  <c r="AG60" i="10"/>
  <c r="AH58" i="10"/>
  <c r="AH59" i="10" s="1"/>
  <c r="AI44" i="10"/>
  <c r="AF60" i="10"/>
  <c r="AF61" i="10"/>
  <c r="Z60" i="26"/>
  <c r="Z61" i="26"/>
  <c r="AA58" i="26"/>
  <c r="AB44" i="26"/>
  <c r="AC146" i="12" s="1"/>
  <c r="AC160" i="12" s="1"/>
  <c r="AT37" i="21"/>
  <c r="AT145" i="21"/>
  <c r="AU143" i="21" s="1"/>
  <c r="AT144" i="21"/>
  <c r="AT50" i="21"/>
  <c r="AT51" i="21" s="1"/>
  <c r="AT53" i="21" s="1"/>
  <c r="AT148" i="21"/>
  <c r="AC197" i="36"/>
  <c r="AC196" i="36"/>
  <c r="AB162" i="12"/>
  <c r="AB163" i="12"/>
  <c r="AQ94" i="5"/>
  <c r="AQ93" i="5"/>
  <c r="AR43" i="5"/>
  <c r="AR91" i="5"/>
  <c r="AE153" i="36"/>
  <c r="AE154" i="36" s="1"/>
  <c r="AE156" i="36" s="1"/>
  <c r="AE157" i="36" s="1"/>
  <c r="AE142" i="36"/>
  <c r="AE146" i="26"/>
  <c r="AE150" i="26"/>
  <c r="AE50" i="26"/>
  <c r="AE51" i="26" s="1"/>
  <c r="AE53" i="26" s="1"/>
  <c r="AE54" i="26" s="1"/>
  <c r="AE147" i="26"/>
  <c r="AF145" i="26" s="1"/>
  <c r="AE37" i="26"/>
  <c r="AF139" i="36" s="1"/>
  <c r="AD40" i="26"/>
  <c r="AE142" i="12" s="1"/>
  <c r="AC91" i="26"/>
  <c r="AD193" i="12" s="1"/>
  <c r="AC43" i="26"/>
  <c r="AB93" i="26"/>
  <c r="AB94" i="26"/>
  <c r="AR53" i="5"/>
  <c r="AR54" i="5" s="1"/>
  <c r="AS137" i="5"/>
  <c r="AT135" i="5" s="1"/>
  <c r="AS140" i="5"/>
  <c r="AS50" i="5"/>
  <c r="AS51" i="5" s="1"/>
  <c r="AS37" i="5"/>
  <c r="AS40" i="5" s="1"/>
  <c r="AS136" i="5"/>
  <c r="AD146" i="36"/>
  <c r="AD147" i="36" s="1"/>
  <c r="AD161" i="36" s="1"/>
  <c r="AD162" i="36" s="1"/>
  <c r="AD194" i="36"/>
  <c r="AC164" i="36"/>
  <c r="AC163" i="36"/>
  <c r="AL36" i="26"/>
  <c r="AM138" i="12" s="1"/>
  <c r="AM149" i="12" s="1"/>
  <c r="AN137" i="12"/>
  <c r="AK47" i="26"/>
  <c r="AU53" i="8"/>
  <c r="AV50" i="8"/>
  <c r="AV51" i="8" s="1"/>
  <c r="AV37" i="8"/>
  <c r="AV148" i="8"/>
  <c r="AV149" i="8"/>
  <c r="AW147" i="8" s="1"/>
  <c r="AV152" i="8"/>
  <c r="AS53" i="9"/>
  <c r="AS54" i="9" s="1"/>
  <c r="AS91" i="9"/>
  <c r="AS43" i="9"/>
  <c r="AT37" i="9"/>
  <c r="AT40" i="9" s="1"/>
  <c r="AT144" i="9"/>
  <c r="AU142" i="9" s="1"/>
  <c r="AT50" i="9"/>
  <c r="AT51" i="9" s="1"/>
  <c r="AT143" i="9"/>
  <c r="AT147" i="9"/>
  <c r="AR93" i="9"/>
  <c r="AR94" i="9"/>
  <c r="AH44" i="9"/>
  <c r="AG58" i="9"/>
  <c r="AG59" i="9" s="1"/>
  <c r="AF60" i="9"/>
  <c r="AF61" i="9"/>
  <c r="AP40" i="8"/>
  <c r="AP47" i="8"/>
  <c r="AP54" i="8" s="1"/>
  <c r="AS36" i="21"/>
  <c r="AP93" i="21"/>
  <c r="AP94" i="21"/>
  <c r="AM47" i="26"/>
  <c r="AR40" i="21"/>
  <c r="AR47" i="21"/>
  <c r="AR54" i="21" s="1"/>
  <c r="AQ36" i="8"/>
  <c r="AQ91" i="21"/>
  <c r="AQ43" i="21"/>
  <c r="AT136" i="21"/>
  <c r="AU135" i="21" s="1"/>
  <c r="AT138" i="21"/>
  <c r="AT35" i="21"/>
  <c r="AN93" i="8"/>
  <c r="AN94" i="8"/>
  <c r="AR140" i="8"/>
  <c r="AS139" i="8" s="1"/>
  <c r="AR142" i="8"/>
  <c r="AR35" i="8"/>
  <c r="AO43" i="8"/>
  <c r="AO91" i="8"/>
  <c r="AN36" i="26"/>
  <c r="AO138" i="12" s="1"/>
  <c r="AO149" i="12" s="1"/>
  <c r="AO140" i="26"/>
  <c r="AO35" i="26"/>
  <c r="AP137" i="12" s="1"/>
  <c r="AO138" i="26"/>
  <c r="AP137" i="26" s="1"/>
  <c r="AF139" i="12" l="1"/>
  <c r="AF152" i="12" s="1"/>
  <c r="AO61" i="29"/>
  <c r="AO60" i="29"/>
  <c r="AP163" i="24"/>
  <c r="AQ161" i="24" s="1"/>
  <c r="AP37" i="24"/>
  <c r="AP40" i="24" s="1"/>
  <c r="AP50" i="24"/>
  <c r="AP51" i="24" s="1"/>
  <c r="AP53" i="24" s="1"/>
  <c r="AP54" i="24" s="1"/>
  <c r="AP162" i="24"/>
  <c r="AP166" i="24"/>
  <c r="AK60" i="5"/>
  <c r="AK61" i="5"/>
  <c r="AJ60" i="8"/>
  <c r="AJ61" i="8"/>
  <c r="AO43" i="10"/>
  <c r="AO91" i="10"/>
  <c r="AL44" i="8"/>
  <c r="AK58" i="8"/>
  <c r="AK59" i="8" s="1"/>
  <c r="AO93" i="29"/>
  <c r="AO94" i="29"/>
  <c r="AP91" i="29"/>
  <c r="AP43" i="29"/>
  <c r="AP44" i="29" s="1"/>
  <c r="AP58" i="29" s="1"/>
  <c r="AP59" i="29" s="1"/>
  <c r="AN61" i="24"/>
  <c r="AN60" i="24"/>
  <c r="AN94" i="10"/>
  <c r="AN93" i="10"/>
  <c r="AQ37" i="29"/>
  <c r="AQ40" i="29" s="1"/>
  <c r="AQ161" i="29"/>
  <c r="AR159" i="29" s="1"/>
  <c r="AQ164" i="29"/>
  <c r="AQ160" i="29"/>
  <c r="AQ50" i="29"/>
  <c r="AQ51" i="29" s="1"/>
  <c r="AQ53" i="29" s="1"/>
  <c r="AQ54" i="29" s="1"/>
  <c r="AN93" i="24"/>
  <c r="AN94" i="24"/>
  <c r="AP155" i="10"/>
  <c r="AP152" i="10"/>
  <c r="AQ150" i="10" s="1"/>
  <c r="AP151" i="10"/>
  <c r="AP37" i="10"/>
  <c r="AP40" i="10" s="1"/>
  <c r="AP50" i="10"/>
  <c r="AP51" i="10" s="1"/>
  <c r="AP53" i="10" s="1"/>
  <c r="AP54" i="10" s="1"/>
  <c r="AK60" i="21"/>
  <c r="AK61" i="21"/>
  <c r="AO91" i="24"/>
  <c r="AO43" i="24"/>
  <c r="AO44" i="24" s="1"/>
  <c r="AO58" i="24" s="1"/>
  <c r="AO59" i="24" s="1"/>
  <c r="AL58" i="21"/>
  <c r="AL59" i="21" s="1"/>
  <c r="AM44" i="21"/>
  <c r="AL58" i="5"/>
  <c r="AM44" i="5"/>
  <c r="AE155" i="12"/>
  <c r="AE156" i="12" s="1"/>
  <c r="AF153" i="12"/>
  <c r="AN143" i="10"/>
  <c r="AO142" i="10" s="1"/>
  <c r="AN145" i="10"/>
  <c r="AJ44" i="10"/>
  <c r="AI58" i="10"/>
  <c r="AI59" i="10" s="1"/>
  <c r="AH60" i="10"/>
  <c r="AH61" i="10"/>
  <c r="AD163" i="36"/>
  <c r="AD164" i="36"/>
  <c r="AD91" i="26"/>
  <c r="AE193" i="12" s="1"/>
  <c r="AD43" i="26"/>
  <c r="AD196" i="36"/>
  <c r="AD197" i="36"/>
  <c r="AT137" i="5"/>
  <c r="AU135" i="5" s="1"/>
  <c r="AT37" i="5"/>
  <c r="AT40" i="5" s="1"/>
  <c r="AT140" i="5"/>
  <c r="AT136" i="5"/>
  <c r="AT50" i="5"/>
  <c r="AT51" i="5" s="1"/>
  <c r="AU50" i="21"/>
  <c r="AU51" i="21" s="1"/>
  <c r="AU53" i="21" s="1"/>
  <c r="AU148" i="21"/>
  <c r="AU145" i="21"/>
  <c r="AV143" i="21" s="1"/>
  <c r="AU37" i="21"/>
  <c r="AU144" i="21"/>
  <c r="AR93" i="5"/>
  <c r="AR94" i="5"/>
  <c r="AC161" i="12"/>
  <c r="AE194" i="36"/>
  <c r="AE146" i="36"/>
  <c r="AE147" i="36" s="1"/>
  <c r="AE161" i="36" s="1"/>
  <c r="AE162" i="36" s="1"/>
  <c r="AS53" i="5"/>
  <c r="AS54" i="5" s="1"/>
  <c r="AC93" i="26"/>
  <c r="AC94" i="26"/>
  <c r="AE40" i="26"/>
  <c r="AF142" i="12" s="1"/>
  <c r="AB58" i="26"/>
  <c r="AB59" i="26" s="1"/>
  <c r="AC44" i="26"/>
  <c r="AD146" i="12" s="1"/>
  <c r="AD160" i="12" s="1"/>
  <c r="AD161" i="12" s="1"/>
  <c r="AF37" i="26"/>
  <c r="AG139" i="12" s="1"/>
  <c r="AG152" i="12" s="1"/>
  <c r="AF147" i="26"/>
  <c r="AG145" i="26" s="1"/>
  <c r="AF146" i="26"/>
  <c r="AF50" i="26"/>
  <c r="AF51" i="26" s="1"/>
  <c r="AF53" i="26" s="1"/>
  <c r="AF54" i="26" s="1"/>
  <c r="AF150" i="26"/>
  <c r="AA59" i="26"/>
  <c r="AS43" i="5"/>
  <c r="AS91" i="5"/>
  <c r="AF153" i="36"/>
  <c r="AF154" i="36" s="1"/>
  <c r="AF156" i="36" s="1"/>
  <c r="AF157" i="36" s="1"/>
  <c r="AF142" i="36"/>
  <c r="AL47" i="26"/>
  <c r="AN138" i="12"/>
  <c r="AN149" i="12" s="1"/>
  <c r="AW148" i="8"/>
  <c r="AW37" i="8"/>
  <c r="AW149" i="8"/>
  <c r="AW50" i="8"/>
  <c r="AW51" i="8" s="1"/>
  <c r="AW53" i="8" s="1"/>
  <c r="D150" i="8"/>
  <c r="AW152" i="8"/>
  <c r="AV53" i="8"/>
  <c r="AT53" i="9"/>
  <c r="AT54" i="9" s="1"/>
  <c r="AU50" i="9"/>
  <c r="AU51" i="9" s="1"/>
  <c r="AU144" i="9"/>
  <c r="AV142" i="9" s="1"/>
  <c r="AU37" i="9"/>
  <c r="AU40" i="9" s="1"/>
  <c r="AU143" i="9"/>
  <c r="AU147" i="9"/>
  <c r="AT91" i="9"/>
  <c r="AT43" i="9"/>
  <c r="AS94" i="9"/>
  <c r="AS93" i="9"/>
  <c r="AG60" i="9"/>
  <c r="AG61" i="9"/>
  <c r="AH58" i="9"/>
  <c r="AI44" i="9"/>
  <c r="AQ94" i="21"/>
  <c r="AQ93" i="21"/>
  <c r="AO94" i="8"/>
  <c r="AO93" i="8"/>
  <c r="AR36" i="8"/>
  <c r="AU136" i="21"/>
  <c r="AV135" i="21" s="1"/>
  <c r="AU138" i="21"/>
  <c r="AU35" i="21"/>
  <c r="AP91" i="8"/>
  <c r="AP43" i="8"/>
  <c r="AR91" i="21"/>
  <c r="AR43" i="21"/>
  <c r="AS140" i="8"/>
  <c r="AT139" i="8" s="1"/>
  <c r="AS35" i="8"/>
  <c r="AS142" i="8"/>
  <c r="AP35" i="26"/>
  <c r="AQ137" i="12" s="1"/>
  <c r="AP140" i="26"/>
  <c r="AP138" i="26"/>
  <c r="AQ137" i="26" s="1"/>
  <c r="AO61" i="24"/>
  <c r="AO60" i="24"/>
  <c r="AO36" i="26"/>
  <c r="AP138" i="12" s="1"/>
  <c r="AP149" i="12" s="1"/>
  <c r="AS47" i="21"/>
  <c r="AS54" i="21" s="1"/>
  <c r="AS40" i="21"/>
  <c r="AN47" i="26"/>
  <c r="AT36" i="21"/>
  <c r="AQ40" i="8"/>
  <c r="AQ47" i="8"/>
  <c r="AQ54" i="8" s="1"/>
  <c r="AQ50" i="10" l="1"/>
  <c r="AQ51" i="10" s="1"/>
  <c r="AQ53" i="10" s="1"/>
  <c r="AQ54" i="10" s="1"/>
  <c r="AQ37" i="10"/>
  <c r="AQ40" i="10" s="1"/>
  <c r="AQ155" i="10"/>
  <c r="AQ151" i="10"/>
  <c r="AQ152" i="10"/>
  <c r="AR150" i="10" s="1"/>
  <c r="AQ43" i="29"/>
  <c r="AQ44" i="29" s="1"/>
  <c r="AQ58" i="29" s="1"/>
  <c r="AQ59" i="29" s="1"/>
  <c r="AQ91" i="29"/>
  <c r="AO93" i="24"/>
  <c r="AO94" i="24"/>
  <c r="AK61" i="8"/>
  <c r="AK60" i="8"/>
  <c r="AM44" i="8"/>
  <c r="AL58" i="8"/>
  <c r="AL59" i="8" s="1"/>
  <c r="AO94" i="10"/>
  <c r="AO93" i="10"/>
  <c r="AM58" i="5"/>
  <c r="AN44" i="5"/>
  <c r="AP43" i="24"/>
  <c r="AP44" i="24" s="1"/>
  <c r="AP58" i="24" s="1"/>
  <c r="AP59" i="24" s="1"/>
  <c r="AP91" i="24"/>
  <c r="AL59" i="5"/>
  <c r="AM59" i="5"/>
  <c r="AP60" i="29"/>
  <c r="AP61" i="29"/>
  <c r="AQ37" i="24"/>
  <c r="AQ40" i="24" s="1"/>
  <c r="AQ163" i="24"/>
  <c r="AR161" i="24" s="1"/>
  <c r="AQ166" i="24"/>
  <c r="AQ50" i="24"/>
  <c r="AQ51" i="24" s="1"/>
  <c r="AQ53" i="24" s="1"/>
  <c r="AQ54" i="24" s="1"/>
  <c r="AQ162" i="24"/>
  <c r="AM58" i="21"/>
  <c r="AM59" i="21" s="1"/>
  <c r="AN44" i="21"/>
  <c r="AP43" i="10"/>
  <c r="AP91" i="10"/>
  <c r="AP93" i="29"/>
  <c r="AP94" i="29"/>
  <c r="AL60" i="21"/>
  <c r="AL61" i="21"/>
  <c r="AR37" i="29"/>
  <c r="AR40" i="29" s="1"/>
  <c r="AR160" i="29"/>
  <c r="AR50" i="29"/>
  <c r="AR51" i="29" s="1"/>
  <c r="AR53" i="29" s="1"/>
  <c r="AR54" i="29" s="1"/>
  <c r="AR164" i="29"/>
  <c r="AR161" i="29"/>
  <c r="AS159" i="29" s="1"/>
  <c r="AG139" i="36"/>
  <c r="AG153" i="36" s="1"/>
  <c r="AG154" i="36" s="1"/>
  <c r="AG156" i="36" s="1"/>
  <c r="AG157" i="36" s="1"/>
  <c r="AF155" i="12"/>
  <c r="AF156" i="12" s="1"/>
  <c r="AG153" i="12"/>
  <c r="AO143" i="10"/>
  <c r="AP142" i="10" s="1"/>
  <c r="AO145" i="10"/>
  <c r="AI60" i="10"/>
  <c r="AI61" i="10"/>
  <c r="AK44" i="10"/>
  <c r="AJ58" i="10"/>
  <c r="AJ59" i="10" s="1"/>
  <c r="AD162" i="12"/>
  <c r="AD163" i="12"/>
  <c r="AV50" i="21"/>
  <c r="AV51" i="21" s="1"/>
  <c r="AV53" i="21" s="1"/>
  <c r="AV148" i="21"/>
  <c r="AV145" i="21"/>
  <c r="AW143" i="21" s="1"/>
  <c r="AV37" i="21"/>
  <c r="AV144" i="21"/>
  <c r="AU137" i="5"/>
  <c r="AV135" i="5" s="1"/>
  <c r="AU140" i="5"/>
  <c r="AU136" i="5"/>
  <c r="AU37" i="5"/>
  <c r="AU40" i="5" s="1"/>
  <c r="AU50" i="5"/>
  <c r="AU51" i="5" s="1"/>
  <c r="AA60" i="26"/>
  <c r="AA61" i="26"/>
  <c r="AF40" i="26"/>
  <c r="AG142" i="12" s="1"/>
  <c r="AC163" i="12"/>
  <c r="AC162" i="12"/>
  <c r="AS93" i="5"/>
  <c r="AS94" i="5"/>
  <c r="AD44" i="26"/>
  <c r="AE146" i="12" s="1"/>
  <c r="AE160" i="12" s="1"/>
  <c r="AE161" i="12" s="1"/>
  <c r="AC58" i="26"/>
  <c r="AC59" i="26" s="1"/>
  <c r="AF146" i="36"/>
  <c r="AF147" i="36" s="1"/>
  <c r="AF161" i="36" s="1"/>
  <c r="AF162" i="36" s="1"/>
  <c r="AF194" i="36"/>
  <c r="AT53" i="5"/>
  <c r="AT54" i="5" s="1"/>
  <c r="AD93" i="26"/>
  <c r="AD94" i="26"/>
  <c r="AB60" i="26"/>
  <c r="AB61" i="26"/>
  <c r="AE43" i="26"/>
  <c r="AE91" i="26"/>
  <c r="AF193" i="12" s="1"/>
  <c r="AE163" i="36"/>
  <c r="AE164" i="36"/>
  <c r="AG150" i="26"/>
  <c r="AG50" i="26"/>
  <c r="AG51" i="26" s="1"/>
  <c r="AG53" i="26" s="1"/>
  <c r="AG54" i="26" s="1"/>
  <c r="AG37" i="26"/>
  <c r="AG147" i="26"/>
  <c r="AH145" i="26" s="1"/>
  <c r="AG146" i="26"/>
  <c r="AE196" i="36"/>
  <c r="AE197" i="36"/>
  <c r="AT43" i="5"/>
  <c r="AT91" i="5"/>
  <c r="AU53" i="9"/>
  <c r="AU54" i="9" s="1"/>
  <c r="AT94" i="9"/>
  <c r="AT93" i="9"/>
  <c r="AU43" i="9"/>
  <c r="AU91" i="9"/>
  <c r="AV37" i="9"/>
  <c r="AV40" i="9" s="1"/>
  <c r="AV143" i="9"/>
  <c r="AV144" i="9"/>
  <c r="AW142" i="9" s="1"/>
  <c r="AV50" i="9"/>
  <c r="AV51" i="9" s="1"/>
  <c r="AV147" i="9"/>
  <c r="AI58" i="9"/>
  <c r="AI59" i="9" s="1"/>
  <c r="AJ44" i="9"/>
  <c r="AH59" i="9"/>
  <c r="AR40" i="8"/>
  <c r="AR47" i="8"/>
  <c r="AR54" i="8" s="1"/>
  <c r="AT140" i="8"/>
  <c r="AU139" i="8" s="1"/>
  <c r="AT35" i="8"/>
  <c r="AT142" i="8"/>
  <c r="AR94" i="21"/>
  <c r="AR93" i="21"/>
  <c r="AP93" i="8"/>
  <c r="AP94" i="8"/>
  <c r="AQ140" i="26"/>
  <c r="AQ35" i="26"/>
  <c r="AR137" i="12" s="1"/>
  <c r="AQ138" i="26"/>
  <c r="AR137" i="26" s="1"/>
  <c r="AU36" i="21"/>
  <c r="AO47" i="26"/>
  <c r="AQ91" i="8"/>
  <c r="AQ43" i="8"/>
  <c r="AP36" i="26"/>
  <c r="AQ138" i="12" s="1"/>
  <c r="AQ149" i="12" s="1"/>
  <c r="AV136" i="21"/>
  <c r="AW135" i="21" s="1"/>
  <c r="AV35" i="21"/>
  <c r="AV138" i="21"/>
  <c r="AT47" i="21"/>
  <c r="AT54" i="21" s="1"/>
  <c r="AT40" i="21"/>
  <c r="AS43" i="21"/>
  <c r="AS91" i="21"/>
  <c r="AS36" i="8"/>
  <c r="AG142" i="36" l="1"/>
  <c r="AH139" i="36"/>
  <c r="AH142" i="36" s="1"/>
  <c r="AH139" i="12"/>
  <c r="AH152" i="12" s="1"/>
  <c r="AP94" i="10"/>
  <c r="AP93" i="10"/>
  <c r="AQ43" i="24"/>
  <c r="AQ44" i="24" s="1"/>
  <c r="AQ58" i="24" s="1"/>
  <c r="AQ59" i="24" s="1"/>
  <c r="AQ91" i="24"/>
  <c r="AN58" i="21"/>
  <c r="AO44" i="21"/>
  <c r="AQ60" i="29"/>
  <c r="AQ61" i="29"/>
  <c r="AR91" i="29"/>
  <c r="AR43" i="29"/>
  <c r="AR44" i="29" s="1"/>
  <c r="AR58" i="29" s="1"/>
  <c r="AR59" i="29" s="1"/>
  <c r="AM60" i="21"/>
  <c r="AM61" i="21"/>
  <c r="AM61" i="5"/>
  <c r="AM60" i="5"/>
  <c r="AL60" i="8"/>
  <c r="AL61" i="8"/>
  <c r="AR151" i="10"/>
  <c r="AR37" i="10"/>
  <c r="AR40" i="10" s="1"/>
  <c r="AR50" i="10"/>
  <c r="AR51" i="10" s="1"/>
  <c r="AR53" i="10" s="1"/>
  <c r="AR54" i="10" s="1"/>
  <c r="AR155" i="10"/>
  <c r="AR152" i="10"/>
  <c r="AS150" i="10" s="1"/>
  <c r="AL61" i="5"/>
  <c r="AL60" i="5"/>
  <c r="AN44" i="8"/>
  <c r="AM58" i="8"/>
  <c r="AM59" i="8" s="1"/>
  <c r="AQ94" i="29"/>
  <c r="AQ93" i="29"/>
  <c r="AP93" i="24"/>
  <c r="AP94" i="24"/>
  <c r="AP60" i="24"/>
  <c r="AP61" i="24"/>
  <c r="AQ91" i="10"/>
  <c r="AQ43" i="10"/>
  <c r="AS37" i="29"/>
  <c r="AS40" i="29" s="1"/>
  <c r="AS161" i="29"/>
  <c r="AT159" i="29" s="1"/>
  <c r="AS160" i="29"/>
  <c r="AS50" i="29"/>
  <c r="AS51" i="29" s="1"/>
  <c r="AS53" i="29" s="1"/>
  <c r="AS54" i="29" s="1"/>
  <c r="AS164" i="29"/>
  <c r="AR37" i="24"/>
  <c r="AR40" i="24" s="1"/>
  <c r="AR50" i="24"/>
  <c r="AR51" i="24" s="1"/>
  <c r="AR53" i="24" s="1"/>
  <c r="AR54" i="24" s="1"/>
  <c r="AR162" i="24"/>
  <c r="AR166" i="24"/>
  <c r="AR163" i="24"/>
  <c r="AS161" i="24" s="1"/>
  <c r="AN58" i="5"/>
  <c r="AO44" i="5"/>
  <c r="AG155" i="12"/>
  <c r="AG156" i="12" s="1"/>
  <c r="AH153" i="12"/>
  <c r="AP143" i="10"/>
  <c r="AQ142" i="10" s="1"/>
  <c r="AP145" i="10"/>
  <c r="AJ61" i="10"/>
  <c r="AJ60" i="10"/>
  <c r="AL44" i="10"/>
  <c r="AK58" i="10"/>
  <c r="AK59" i="10" s="1"/>
  <c r="AT93" i="5"/>
  <c r="AT94" i="5"/>
  <c r="AG40" i="26"/>
  <c r="AH142" i="12" s="1"/>
  <c r="AE162" i="12"/>
  <c r="AE163" i="12"/>
  <c r="AF197" i="36"/>
  <c r="AF196" i="36"/>
  <c r="AV50" i="5"/>
  <c r="AV51" i="5" s="1"/>
  <c r="AV53" i="5" s="1"/>
  <c r="AV54" i="5" s="1"/>
  <c r="AV137" i="5"/>
  <c r="AW135" i="5" s="1"/>
  <c r="AV140" i="5"/>
  <c r="AV136" i="5"/>
  <c r="AV37" i="5"/>
  <c r="AV40" i="5" s="1"/>
  <c r="AC61" i="26"/>
  <c r="AC60" i="26"/>
  <c r="AF163" i="36"/>
  <c r="AF164" i="36"/>
  <c r="AW148" i="21"/>
  <c r="AW144" i="21"/>
  <c r="AW50" i="21"/>
  <c r="AW51" i="21" s="1"/>
  <c r="AW53" i="21" s="1"/>
  <c r="AW145" i="21"/>
  <c r="AW37" i="21"/>
  <c r="AG146" i="36"/>
  <c r="AG147" i="36" s="1"/>
  <c r="AG161" i="36" s="1"/>
  <c r="AG162" i="36" s="1"/>
  <c r="AG194" i="36"/>
  <c r="AE93" i="26"/>
  <c r="AE94" i="26"/>
  <c r="AE44" i="26"/>
  <c r="AF146" i="12" s="1"/>
  <c r="AF160" i="12" s="1"/>
  <c r="AD58" i="26"/>
  <c r="AU43" i="5"/>
  <c r="AU91" i="5"/>
  <c r="AU53" i="5"/>
  <c r="AU54" i="5" s="1"/>
  <c r="AH50" i="26"/>
  <c r="AH51" i="26" s="1"/>
  <c r="AH53" i="26" s="1"/>
  <c r="AH54" i="26" s="1"/>
  <c r="AH37" i="26"/>
  <c r="AI139" i="12" s="1"/>
  <c r="AI152" i="12" s="1"/>
  <c r="AH147" i="26"/>
  <c r="AI145" i="26" s="1"/>
  <c r="AH146" i="26"/>
  <c r="AH150" i="26"/>
  <c r="D146" i="21"/>
  <c r="AF43" i="26"/>
  <c r="AF91" i="26"/>
  <c r="AG193" i="12" s="1"/>
  <c r="AV53" i="9"/>
  <c r="AV54" i="9" s="1"/>
  <c r="AV91" i="9"/>
  <c r="AV43" i="9"/>
  <c r="AU93" i="9"/>
  <c r="AU94" i="9"/>
  <c r="AW50" i="9"/>
  <c r="AW51" i="9" s="1"/>
  <c r="AW53" i="9" s="1"/>
  <c r="AW54" i="9" s="1"/>
  <c r="AW37" i="9"/>
  <c r="AW40" i="9" s="1"/>
  <c r="AW143" i="9"/>
  <c r="AW144" i="9"/>
  <c r="D145" i="9"/>
  <c r="AW147" i="9"/>
  <c r="AI61" i="9"/>
  <c r="AI60" i="9"/>
  <c r="AH61" i="9"/>
  <c r="AH60" i="9"/>
  <c r="AK44" i="9"/>
  <c r="AJ58" i="9"/>
  <c r="AJ59" i="9" s="1"/>
  <c r="AS94" i="21"/>
  <c r="AS93" i="21"/>
  <c r="AP47" i="26"/>
  <c r="AT36" i="8"/>
  <c r="AT43" i="21"/>
  <c r="AT91" i="21"/>
  <c r="AQ93" i="8"/>
  <c r="AQ94" i="8"/>
  <c r="AU140" i="8"/>
  <c r="AV139" i="8" s="1"/>
  <c r="AU142" i="8"/>
  <c r="AU35" i="8"/>
  <c r="AR140" i="26"/>
  <c r="AR138" i="26"/>
  <c r="AS137" i="26" s="1"/>
  <c r="AR35" i="26"/>
  <c r="AS137" i="12" s="1"/>
  <c r="AV36" i="21"/>
  <c r="AQ60" i="24"/>
  <c r="AQ61" i="24"/>
  <c r="AW136" i="21"/>
  <c r="AW138" i="21"/>
  <c r="AW35" i="21"/>
  <c r="AQ36" i="26"/>
  <c r="AR138" i="12" s="1"/>
  <c r="AR149" i="12" s="1"/>
  <c r="AR43" i="8"/>
  <c r="AR91" i="8"/>
  <c r="AS40" i="8"/>
  <c r="AS47" i="8"/>
  <c r="AS54" i="8" s="1"/>
  <c r="AU40" i="21"/>
  <c r="AU47" i="21"/>
  <c r="AU54" i="21" s="1"/>
  <c r="AH153" i="36" l="1"/>
  <c r="AH154" i="36" s="1"/>
  <c r="AH156" i="36" s="1"/>
  <c r="AH157" i="36" s="1"/>
  <c r="AR43" i="24"/>
  <c r="AR44" i="24" s="1"/>
  <c r="AR58" i="24" s="1"/>
  <c r="AR59" i="24" s="1"/>
  <c r="AR91" i="24"/>
  <c r="AO58" i="21"/>
  <c r="AO59" i="21" s="1"/>
  <c r="AP44" i="21"/>
  <c r="AO58" i="5"/>
  <c r="AP44" i="5"/>
  <c r="AS151" i="10"/>
  <c r="AS152" i="10"/>
  <c r="AT150" i="10" s="1"/>
  <c r="AS155" i="10"/>
  <c r="AS50" i="10"/>
  <c r="AS51" i="10" s="1"/>
  <c r="AS53" i="10" s="1"/>
  <c r="AS54" i="10" s="1"/>
  <c r="AS37" i="10"/>
  <c r="AS40" i="10" s="1"/>
  <c r="AN59" i="21"/>
  <c r="AO59" i="5"/>
  <c r="AN59" i="5"/>
  <c r="AS163" i="24"/>
  <c r="AT161" i="24" s="1"/>
  <c r="AS162" i="24"/>
  <c r="AS50" i="24"/>
  <c r="AS51" i="24" s="1"/>
  <c r="AS53" i="24" s="1"/>
  <c r="AS54" i="24" s="1"/>
  <c r="AS166" i="24"/>
  <c r="AS37" i="24"/>
  <c r="AS40" i="24" s="1"/>
  <c r="AT50" i="29"/>
  <c r="AT51" i="29" s="1"/>
  <c r="AT53" i="29" s="1"/>
  <c r="AT54" i="29" s="1"/>
  <c r="AT164" i="29"/>
  <c r="AT161" i="29"/>
  <c r="AU159" i="29" s="1"/>
  <c r="AT37" i="29"/>
  <c r="AT40" i="29" s="1"/>
  <c r="AT160" i="29"/>
  <c r="AQ94" i="24"/>
  <c r="AQ93" i="24"/>
  <c r="AS43" i="29"/>
  <c r="AS44" i="29" s="1"/>
  <c r="AS58" i="29" s="1"/>
  <c r="AS59" i="29" s="1"/>
  <c r="AS60" i="29" s="1"/>
  <c r="AS91" i="29"/>
  <c r="AR43" i="10"/>
  <c r="AR91" i="10"/>
  <c r="AR60" i="29"/>
  <c r="AR61" i="29"/>
  <c r="AM61" i="8"/>
  <c r="AM60" i="8"/>
  <c r="AR94" i="29"/>
  <c r="AR93" i="29"/>
  <c r="AQ93" i="10"/>
  <c r="AQ94" i="10"/>
  <c r="AN58" i="8"/>
  <c r="AN59" i="8" s="1"/>
  <c r="AO44" i="8"/>
  <c r="AI153" i="12"/>
  <c r="AH155" i="12"/>
  <c r="AH156" i="12" s="1"/>
  <c r="AQ143" i="10"/>
  <c r="AR142" i="10" s="1"/>
  <c r="AQ145" i="10"/>
  <c r="AK60" i="10"/>
  <c r="AK61" i="10"/>
  <c r="AL58" i="10"/>
  <c r="AM44" i="10"/>
  <c r="AI139" i="36"/>
  <c r="AI153" i="36" s="1"/>
  <c r="AI154" i="36" s="1"/>
  <c r="AI156" i="36" s="1"/>
  <c r="AI157" i="36" s="1"/>
  <c r="AH194" i="36"/>
  <c r="AH146" i="36"/>
  <c r="AH147" i="36" s="1"/>
  <c r="AH161" i="36" s="1"/>
  <c r="AH162" i="36" s="1"/>
  <c r="AV43" i="5"/>
  <c r="AV91" i="5"/>
  <c r="AG163" i="36"/>
  <c r="AG164" i="36"/>
  <c r="AG43" i="26"/>
  <c r="AG91" i="26"/>
  <c r="AH193" i="12" s="1"/>
  <c r="AU94" i="5"/>
  <c r="AU93" i="5"/>
  <c r="AW137" i="5"/>
  <c r="AW136" i="5"/>
  <c r="AW140" i="5"/>
  <c r="AW37" i="5"/>
  <c r="AW40" i="5" s="1"/>
  <c r="AW50" i="5"/>
  <c r="AW51" i="5" s="1"/>
  <c r="AW53" i="5" s="1"/>
  <c r="AW54" i="5" s="1"/>
  <c r="D138" i="5"/>
  <c r="AF93" i="26"/>
  <c r="AF94" i="26"/>
  <c r="AI37" i="26"/>
  <c r="AI146" i="26"/>
  <c r="AI147" i="26"/>
  <c r="AJ145" i="26" s="1"/>
  <c r="AI50" i="26"/>
  <c r="AI51" i="26" s="1"/>
  <c r="AI53" i="26" s="1"/>
  <c r="AI54" i="26" s="1"/>
  <c r="AI150" i="26"/>
  <c r="AJ139" i="36"/>
  <c r="AH40" i="26"/>
  <c r="AI142" i="12" s="1"/>
  <c r="AJ139" i="12"/>
  <c r="AJ152" i="12" s="1"/>
  <c r="AF44" i="26"/>
  <c r="AG146" i="12" s="1"/>
  <c r="AG160" i="12" s="1"/>
  <c r="AG161" i="12" s="1"/>
  <c r="AE58" i="26"/>
  <c r="AD59" i="26"/>
  <c r="AF161" i="12"/>
  <c r="AG197" i="36"/>
  <c r="AG196" i="36"/>
  <c r="AW43" i="9"/>
  <c r="AW91" i="9"/>
  <c r="AV93" i="9"/>
  <c r="AV94" i="9"/>
  <c r="AJ60" i="9"/>
  <c r="AJ61" i="9"/>
  <c r="AL44" i="9"/>
  <c r="AK58" i="9"/>
  <c r="AS61" i="29"/>
  <c r="AR93" i="8"/>
  <c r="AR94" i="8"/>
  <c r="AV47" i="21"/>
  <c r="AV54" i="21" s="1"/>
  <c r="AV40" i="21"/>
  <c r="AU36" i="8"/>
  <c r="AR60" i="24"/>
  <c r="AR61" i="24"/>
  <c r="AS91" i="8"/>
  <c r="AS43" i="8"/>
  <c r="AQ47" i="26"/>
  <c r="AR36" i="26"/>
  <c r="AS138" i="12" s="1"/>
  <c r="AS149" i="12" s="1"/>
  <c r="AT47" i="8"/>
  <c r="AT54" i="8" s="1"/>
  <c r="AT40" i="8"/>
  <c r="AS140" i="26"/>
  <c r="AS35" i="26"/>
  <c r="AT137" i="12" s="1"/>
  <c r="AS138" i="26"/>
  <c r="AT137" i="26" s="1"/>
  <c r="AV140" i="8"/>
  <c r="AW139" i="8" s="1"/>
  <c r="AV142" i="8"/>
  <c r="AV35" i="8"/>
  <c r="AU91" i="21"/>
  <c r="AU43" i="21"/>
  <c r="AW36" i="21"/>
  <c r="AT93" i="21"/>
  <c r="AT94" i="21"/>
  <c r="AT91" i="29" l="1"/>
  <c r="AT43" i="29"/>
  <c r="AT44" i="29" s="1"/>
  <c r="AT58" i="29" s="1"/>
  <c r="AT59" i="29" s="1"/>
  <c r="AT50" i="24"/>
  <c r="AT51" i="24" s="1"/>
  <c r="AT53" i="24" s="1"/>
  <c r="AT54" i="24" s="1"/>
  <c r="AT166" i="24"/>
  <c r="AT163" i="24"/>
  <c r="AU161" i="24" s="1"/>
  <c r="AT37" i="24"/>
  <c r="AT40" i="24" s="1"/>
  <c r="AT162" i="24"/>
  <c r="AT151" i="10"/>
  <c r="AT50" i="10"/>
  <c r="AT51" i="10" s="1"/>
  <c r="AT53" i="10" s="1"/>
  <c r="AT54" i="10" s="1"/>
  <c r="AT155" i="10"/>
  <c r="AT152" i="10"/>
  <c r="AU150" i="10" s="1"/>
  <c r="AT37" i="10"/>
  <c r="AT40" i="10" s="1"/>
  <c r="AU160" i="29"/>
  <c r="AU50" i="29"/>
  <c r="AU51" i="29" s="1"/>
  <c r="AU53" i="29" s="1"/>
  <c r="AU54" i="29" s="1"/>
  <c r="AU37" i="29"/>
  <c r="AU40" i="29" s="1"/>
  <c r="AU164" i="29"/>
  <c r="AU161" i="29"/>
  <c r="AV159" i="29" s="1"/>
  <c r="AN60" i="5"/>
  <c r="AN61" i="5"/>
  <c r="AO60" i="5"/>
  <c r="AO61" i="5"/>
  <c r="AP58" i="5"/>
  <c r="AQ44" i="5"/>
  <c r="AR94" i="10"/>
  <c r="AR93" i="10"/>
  <c r="AS93" i="29"/>
  <c r="AS94" i="29"/>
  <c r="AO61" i="21"/>
  <c r="AO60" i="21"/>
  <c r="AP59" i="5"/>
  <c r="AS43" i="24"/>
  <c r="AS44" i="24" s="1"/>
  <c r="AS58" i="24" s="1"/>
  <c r="AS59" i="24" s="1"/>
  <c r="AS91" i="24"/>
  <c r="AN61" i="21"/>
  <c r="AN60" i="21"/>
  <c r="AP58" i="21"/>
  <c r="AQ44" i="21"/>
  <c r="AS91" i="10"/>
  <c r="AS43" i="10"/>
  <c r="AP59" i="21"/>
  <c r="AO58" i="8"/>
  <c r="AO59" i="8" s="1"/>
  <c r="AP44" i="8"/>
  <c r="AR93" i="24"/>
  <c r="AR94" i="24"/>
  <c r="AN60" i="8"/>
  <c r="AN61" i="8"/>
  <c r="AI155" i="12"/>
  <c r="AI156" i="12" s="1"/>
  <c r="AJ153" i="12"/>
  <c r="AR145" i="10"/>
  <c r="AR143" i="10"/>
  <c r="AS142" i="10" s="1"/>
  <c r="AI142" i="36"/>
  <c r="AI146" i="36" s="1"/>
  <c r="AI147" i="36" s="1"/>
  <c r="AI161" i="36" s="1"/>
  <c r="AI162" i="36" s="1"/>
  <c r="AM58" i="10"/>
  <c r="AM59" i="10" s="1"/>
  <c r="AN44" i="10"/>
  <c r="AL59" i="10"/>
  <c r="AG162" i="12"/>
  <c r="AG163" i="12"/>
  <c r="AH43" i="26"/>
  <c r="AH91" i="26"/>
  <c r="AJ146" i="26"/>
  <c r="AJ50" i="26"/>
  <c r="AJ51" i="26" s="1"/>
  <c r="AJ53" i="26" s="1"/>
  <c r="AJ54" i="26" s="1"/>
  <c r="AJ147" i="26"/>
  <c r="AK145" i="26" s="1"/>
  <c r="AJ150" i="26"/>
  <c r="AJ37" i="26"/>
  <c r="AK139" i="36" s="1"/>
  <c r="AW43" i="5"/>
  <c r="E70" i="5" s="1"/>
  <c r="AW91" i="5"/>
  <c r="AF163" i="12"/>
  <c r="AF162" i="12"/>
  <c r="AH164" i="36"/>
  <c r="AH163" i="36"/>
  <c r="AI40" i="26"/>
  <c r="AJ142" i="12" s="1"/>
  <c r="AK139" i="12"/>
  <c r="AK152" i="12" s="1"/>
  <c r="AH197" i="36"/>
  <c r="AH196" i="36"/>
  <c r="AD61" i="26"/>
  <c r="AD60" i="26"/>
  <c r="AJ153" i="36"/>
  <c r="AJ154" i="36" s="1"/>
  <c r="AJ156" i="36" s="1"/>
  <c r="AJ157" i="36" s="1"/>
  <c r="AJ142" i="36"/>
  <c r="AG93" i="26"/>
  <c r="AI193" i="12"/>
  <c r="AG94" i="26"/>
  <c r="AG44" i="26"/>
  <c r="AH146" i="12" s="1"/>
  <c r="AH160" i="12" s="1"/>
  <c r="AH161" i="12" s="1"/>
  <c r="AF58" i="26"/>
  <c r="AF59" i="26" s="1"/>
  <c r="AE59" i="26"/>
  <c r="AV93" i="5"/>
  <c r="AV94" i="5"/>
  <c r="AW93" i="9"/>
  <c r="AW94" i="9"/>
  <c r="E70" i="9"/>
  <c r="E69" i="9"/>
  <c r="AK59" i="9"/>
  <c r="AM44" i="9"/>
  <c r="AL58" i="9"/>
  <c r="AL59" i="9" s="1"/>
  <c r="AT61" i="29"/>
  <c r="AT60" i="29"/>
  <c r="AT91" i="8"/>
  <c r="AT43" i="8"/>
  <c r="AU47" i="8"/>
  <c r="AU54" i="8" s="1"/>
  <c r="AU40" i="8"/>
  <c r="AU94" i="21"/>
  <c r="AU93" i="21"/>
  <c r="AV36" i="8"/>
  <c r="AW47" i="21"/>
  <c r="AW54" i="21" s="1"/>
  <c r="AW40" i="21"/>
  <c r="AW140" i="8"/>
  <c r="AW142" i="8"/>
  <c r="AW35" i="8"/>
  <c r="AR47" i="26"/>
  <c r="AS36" i="26"/>
  <c r="AT138" i="12" s="1"/>
  <c r="AT149" i="12" s="1"/>
  <c r="AS93" i="8"/>
  <c r="AS94" i="8"/>
  <c r="AV91" i="21"/>
  <c r="AV43" i="21"/>
  <c r="AT140" i="26"/>
  <c r="AT35" i="26"/>
  <c r="AU137" i="12" s="1"/>
  <c r="AT138" i="26"/>
  <c r="AU137" i="26" s="1"/>
  <c r="AO60" i="8" l="1"/>
  <c r="AO61" i="8"/>
  <c r="AS93" i="24"/>
  <c r="AS94" i="24"/>
  <c r="AP60" i="21"/>
  <c r="AP61" i="21"/>
  <c r="AS61" i="24"/>
  <c r="AS60" i="24"/>
  <c r="AQ58" i="5"/>
  <c r="AR44" i="5"/>
  <c r="AU91" i="29"/>
  <c r="AU43" i="29"/>
  <c r="AU44" i="29" s="1"/>
  <c r="AU58" i="29" s="1"/>
  <c r="AU59" i="29" s="1"/>
  <c r="AP60" i="5"/>
  <c r="AP61" i="5"/>
  <c r="AQ59" i="5"/>
  <c r="AT91" i="24"/>
  <c r="AT43" i="24"/>
  <c r="AT44" i="24" s="1"/>
  <c r="AT58" i="24" s="1"/>
  <c r="AT59" i="24" s="1"/>
  <c r="AS94" i="10"/>
  <c r="AS93" i="10"/>
  <c r="AU50" i="24"/>
  <c r="AU51" i="24" s="1"/>
  <c r="AU53" i="24" s="1"/>
  <c r="AU54" i="24" s="1"/>
  <c r="AU166" i="24"/>
  <c r="AU163" i="24"/>
  <c r="AV161" i="24" s="1"/>
  <c r="AU37" i="24"/>
  <c r="AU40" i="24" s="1"/>
  <c r="AU162" i="24"/>
  <c r="AQ58" i="21"/>
  <c r="AQ59" i="21" s="1"/>
  <c r="AR44" i="21"/>
  <c r="AT91" i="10"/>
  <c r="AT43" i="10"/>
  <c r="AU152" i="10"/>
  <c r="AV150" i="10" s="1"/>
  <c r="AU50" i="10"/>
  <c r="AU51" i="10" s="1"/>
  <c r="AU53" i="10" s="1"/>
  <c r="AU54" i="10" s="1"/>
  <c r="AU151" i="10"/>
  <c r="AU37" i="10"/>
  <c r="AU40" i="10" s="1"/>
  <c r="AU155" i="10"/>
  <c r="AQ44" i="8"/>
  <c r="AP58" i="8"/>
  <c r="AV161" i="29"/>
  <c r="AW159" i="29" s="1"/>
  <c r="AV37" i="29"/>
  <c r="AV40" i="29" s="1"/>
  <c r="AV160" i="29"/>
  <c r="AV50" i="29"/>
  <c r="AV51" i="29" s="1"/>
  <c r="AV53" i="29" s="1"/>
  <c r="AV54" i="29" s="1"/>
  <c r="AV164" i="29"/>
  <c r="AT94" i="29"/>
  <c r="AT93" i="29"/>
  <c r="AJ155" i="12"/>
  <c r="AJ156" i="12" s="1"/>
  <c r="AK153" i="12"/>
  <c r="AI194" i="36"/>
  <c r="AI196" i="36" s="1"/>
  <c r="AS145" i="10"/>
  <c r="AS143" i="10"/>
  <c r="AT142" i="10" s="1"/>
  <c r="AM61" i="10"/>
  <c r="AM60" i="10"/>
  <c r="AL60" i="10"/>
  <c r="AL61" i="10"/>
  <c r="AO44" i="10"/>
  <c r="AN58" i="10"/>
  <c r="E69" i="5"/>
  <c r="AI163" i="36"/>
  <c r="AI164" i="36"/>
  <c r="AK147" i="26"/>
  <c r="AL145" i="26" s="1"/>
  <c r="AK50" i="26"/>
  <c r="AK51" i="26" s="1"/>
  <c r="AK53" i="26" s="1"/>
  <c r="AK54" i="26" s="1"/>
  <c r="AK146" i="26"/>
  <c r="AK37" i="26"/>
  <c r="AK150" i="26"/>
  <c r="AH163" i="12"/>
  <c r="AH162" i="12"/>
  <c r="AF61" i="26"/>
  <c r="AF60" i="26"/>
  <c r="AW94" i="5"/>
  <c r="AW93" i="5"/>
  <c r="E81" i="5"/>
  <c r="AH93" i="26"/>
  <c r="AH94" i="26"/>
  <c r="AE61" i="26"/>
  <c r="AE60" i="26"/>
  <c r="AJ146" i="36"/>
  <c r="AJ147" i="36" s="1"/>
  <c r="AJ161" i="36" s="1"/>
  <c r="AJ194" i="36"/>
  <c r="AK153" i="36"/>
  <c r="AK154" i="36" s="1"/>
  <c r="AK156" i="36" s="1"/>
  <c r="AK157" i="36" s="1"/>
  <c r="AK142" i="36"/>
  <c r="AL139" i="12"/>
  <c r="AL152" i="12" s="1"/>
  <c r="AL139" i="36"/>
  <c r="AJ40" i="26"/>
  <c r="AK142" i="12" s="1"/>
  <c r="AH44" i="26"/>
  <c r="AI146" i="12" s="1"/>
  <c r="AI160" i="12" s="1"/>
  <c r="AG58" i="26"/>
  <c r="AG59" i="26" s="1"/>
  <c r="AI91" i="26"/>
  <c r="AJ193" i="12" s="1"/>
  <c r="AI43" i="26"/>
  <c r="E83" i="9"/>
  <c r="E84" i="9"/>
  <c r="AK60" i="9"/>
  <c r="AK61" i="9"/>
  <c r="AL60" i="9"/>
  <c r="AL61" i="9"/>
  <c r="AM58" i="9"/>
  <c r="AM59" i="9" s="1"/>
  <c r="AN44" i="9"/>
  <c r="AV40" i="8"/>
  <c r="AV47" i="8"/>
  <c r="AV54" i="8" s="1"/>
  <c r="AW91" i="21"/>
  <c r="AW43" i="21"/>
  <c r="AT36" i="26"/>
  <c r="AU43" i="8"/>
  <c r="AU91" i="8"/>
  <c r="AT93" i="8"/>
  <c r="AT94" i="8"/>
  <c r="AU140" i="26"/>
  <c r="AU35" i="26"/>
  <c r="AV137" i="12" s="1"/>
  <c r="AU138" i="26"/>
  <c r="AV137" i="26" s="1"/>
  <c r="AV94" i="21"/>
  <c r="AV93" i="21"/>
  <c r="AW36" i="8"/>
  <c r="AS47" i="26"/>
  <c r="AU138" i="12"/>
  <c r="AU149" i="12" s="1"/>
  <c r="AU91" i="24" l="1"/>
  <c r="AU43" i="24"/>
  <c r="AU44" i="24" s="1"/>
  <c r="AU58" i="24" s="1"/>
  <c r="AU59" i="24" s="1"/>
  <c r="AQ61" i="5"/>
  <c r="AQ60" i="5"/>
  <c r="AU91" i="10"/>
  <c r="AU43" i="10"/>
  <c r="AT93" i="24"/>
  <c r="AT94" i="24"/>
  <c r="AV166" i="24"/>
  <c r="AV50" i="24"/>
  <c r="AV51" i="24" s="1"/>
  <c r="AV53" i="24" s="1"/>
  <c r="AV54" i="24" s="1"/>
  <c r="AV162" i="24"/>
  <c r="AV37" i="24"/>
  <c r="AV40" i="24" s="1"/>
  <c r="AV163" i="24"/>
  <c r="AW161" i="24" s="1"/>
  <c r="D164" i="24" s="1"/>
  <c r="AV91" i="29"/>
  <c r="AV43" i="29"/>
  <c r="AV44" i="29" s="1"/>
  <c r="AV58" i="29" s="1"/>
  <c r="AV59" i="29" s="1"/>
  <c r="AV151" i="10"/>
  <c r="AV50" i="10"/>
  <c r="AV51" i="10" s="1"/>
  <c r="AV53" i="10" s="1"/>
  <c r="AV54" i="10" s="1"/>
  <c r="AV152" i="10"/>
  <c r="AW150" i="10" s="1"/>
  <c r="AV37" i="10"/>
  <c r="AV40" i="10" s="1"/>
  <c r="AV155" i="10"/>
  <c r="D153" i="10"/>
  <c r="AW161" i="29"/>
  <c r="AW164" i="29"/>
  <c r="D162" i="29"/>
  <c r="AW50" i="29"/>
  <c r="AW51" i="29" s="1"/>
  <c r="AW53" i="29" s="1"/>
  <c r="AW54" i="29" s="1"/>
  <c r="AW37" i="29"/>
  <c r="AW40" i="29" s="1"/>
  <c r="AW160" i="29"/>
  <c r="AU60" i="29"/>
  <c r="AU61" i="29"/>
  <c r="AP59" i="8"/>
  <c r="AT93" i="10"/>
  <c r="AT94" i="10"/>
  <c r="AU94" i="29"/>
  <c r="AU93" i="29"/>
  <c r="AQ58" i="8"/>
  <c r="AQ59" i="8" s="1"/>
  <c r="AR44" i="8"/>
  <c r="AR58" i="21"/>
  <c r="AR59" i="21" s="1"/>
  <c r="AS44" i="21"/>
  <c r="AR58" i="5"/>
  <c r="AS44" i="5"/>
  <c r="AQ60" i="21"/>
  <c r="AQ61" i="21"/>
  <c r="AT61" i="24"/>
  <c r="AT60" i="24"/>
  <c r="AI197" i="36"/>
  <c r="AK155" i="12"/>
  <c r="AK156" i="12" s="1"/>
  <c r="AL153" i="12"/>
  <c r="AT145" i="10"/>
  <c r="AT143" i="10"/>
  <c r="AU142" i="10" s="1"/>
  <c r="AN59" i="10"/>
  <c r="AP44" i="10"/>
  <c r="AO58" i="10"/>
  <c r="AO59" i="10" s="1"/>
  <c r="AI161" i="12"/>
  <c r="AG60" i="26"/>
  <c r="AG61" i="26"/>
  <c r="AK40" i="26"/>
  <c r="AL142" i="12" s="1"/>
  <c r="AI93" i="26"/>
  <c r="AI94" i="26"/>
  <c r="AK194" i="36"/>
  <c r="AK146" i="36"/>
  <c r="AK147" i="36" s="1"/>
  <c r="AK161" i="36" s="1"/>
  <c r="AK162" i="36" s="1"/>
  <c r="AJ91" i="26"/>
  <c r="AK193" i="12" s="1"/>
  <c r="F183" i="12" s="1"/>
  <c r="AJ43" i="26"/>
  <c r="AL37" i="26"/>
  <c r="AM139" i="36" s="1"/>
  <c r="AL150" i="26"/>
  <c r="AL146" i="26"/>
  <c r="AL147" i="26"/>
  <c r="AM145" i="26" s="1"/>
  <c r="AL50" i="26"/>
  <c r="AL51" i="26" s="1"/>
  <c r="AL53" i="26" s="1"/>
  <c r="AL54" i="26" s="1"/>
  <c r="AI44" i="26"/>
  <c r="AJ146" i="12" s="1"/>
  <c r="AJ160" i="12" s="1"/>
  <c r="AH58" i="26"/>
  <c r="AH59" i="26" s="1"/>
  <c r="AL153" i="36"/>
  <c r="AL154" i="36" s="1"/>
  <c r="AL156" i="36" s="1"/>
  <c r="AL157" i="36" s="1"/>
  <c r="AL142" i="36"/>
  <c r="AJ196" i="36"/>
  <c r="AJ197" i="36"/>
  <c r="AJ162" i="36"/>
  <c r="E84" i="5"/>
  <c r="E83" i="5"/>
  <c r="AM60" i="9"/>
  <c r="AM61" i="9"/>
  <c r="AO44" i="9"/>
  <c r="AN58" i="9"/>
  <c r="AN59" i="9" s="1"/>
  <c r="AV61" i="29"/>
  <c r="AV60" i="29"/>
  <c r="AU93" i="8"/>
  <c r="AU94" i="8"/>
  <c r="AV138" i="26"/>
  <c r="AW137" i="26" s="1"/>
  <c r="AV140" i="26"/>
  <c r="AV35" i="26"/>
  <c r="F142" i="12"/>
  <c r="AV43" i="8"/>
  <c r="AV91" i="8"/>
  <c r="E69" i="21"/>
  <c r="E70" i="21"/>
  <c r="AW94" i="21"/>
  <c r="AW93" i="21"/>
  <c r="AU36" i="26"/>
  <c r="AV138" i="12" s="1"/>
  <c r="AV149" i="12" s="1"/>
  <c r="AW137" i="12"/>
  <c r="AW40" i="8"/>
  <c r="AW47" i="8"/>
  <c r="AW54" i="8" s="1"/>
  <c r="AU60" i="24"/>
  <c r="AU61" i="24"/>
  <c r="AT47" i="26"/>
  <c r="AQ60" i="8" l="1"/>
  <c r="AQ61" i="8"/>
  <c r="AT44" i="21"/>
  <c r="AS58" i="21"/>
  <c r="AR60" i="21"/>
  <c r="AR61" i="21"/>
  <c r="AP60" i="8"/>
  <c r="AP61" i="8"/>
  <c r="AV94" i="29"/>
  <c r="AV93" i="29"/>
  <c r="AR58" i="8"/>
  <c r="AR59" i="8" s="1"/>
  <c r="AS44" i="8"/>
  <c r="AW37" i="24"/>
  <c r="AW40" i="24" s="1"/>
  <c r="AW163" i="24"/>
  <c r="AW162" i="24"/>
  <c r="AW50" i="24"/>
  <c r="AW51" i="24" s="1"/>
  <c r="AW53" i="24" s="1"/>
  <c r="AW54" i="24" s="1"/>
  <c r="AW166" i="24"/>
  <c r="AU93" i="10"/>
  <c r="AU94" i="10"/>
  <c r="AV91" i="10"/>
  <c r="AV43" i="10"/>
  <c r="AV43" i="24"/>
  <c r="AV44" i="24" s="1"/>
  <c r="AV58" i="24" s="1"/>
  <c r="AV59" i="24" s="1"/>
  <c r="AV91" i="24"/>
  <c r="AW43" i="29"/>
  <c r="AW91" i="29"/>
  <c r="AW151" i="10"/>
  <c r="AW50" i="10"/>
  <c r="AW51" i="10" s="1"/>
  <c r="AW53" i="10" s="1"/>
  <c r="AW54" i="10" s="1"/>
  <c r="AW152" i="10"/>
  <c r="AW37" i="10"/>
  <c r="AW40" i="10" s="1"/>
  <c r="AW155" i="10"/>
  <c r="AS58" i="5"/>
  <c r="AT44" i="5"/>
  <c r="AR59" i="5"/>
  <c r="AU94" i="24"/>
  <c r="AU93" i="24"/>
  <c r="AL155" i="12"/>
  <c r="AL156" i="12" s="1"/>
  <c r="AU145" i="10"/>
  <c r="AU143" i="10"/>
  <c r="AV142" i="10" s="1"/>
  <c r="AO60" i="10"/>
  <c r="AO61" i="10"/>
  <c r="AM139" i="12"/>
  <c r="AM152" i="12" s="1"/>
  <c r="AM153" i="12" s="1"/>
  <c r="AQ44" i="10"/>
  <c r="AP58" i="10"/>
  <c r="AP59" i="10" s="1"/>
  <c r="AW138" i="26"/>
  <c r="AW140" i="26"/>
  <c r="AW35" i="26"/>
  <c r="AW36" i="26" s="1"/>
  <c r="AN61" i="10"/>
  <c r="AN60" i="10"/>
  <c r="AH60" i="26"/>
  <c r="AH61" i="26"/>
  <c r="AI58" i="26"/>
  <c r="AJ44" i="26"/>
  <c r="AK146" i="12" s="1"/>
  <c r="AK160" i="12" s="1"/>
  <c r="AK161" i="12" s="1"/>
  <c r="AJ93" i="26"/>
  <c r="AJ94" i="26"/>
  <c r="AM153" i="36"/>
  <c r="AM154" i="36" s="1"/>
  <c r="AM156" i="36" s="1"/>
  <c r="AM157" i="36" s="1"/>
  <c r="AM142" i="36"/>
  <c r="AJ164" i="36"/>
  <c r="AJ163" i="36"/>
  <c r="AM37" i="26"/>
  <c r="AM150" i="26"/>
  <c r="AM147" i="26"/>
  <c r="AN145" i="26" s="1"/>
  <c r="AM50" i="26"/>
  <c r="AM51" i="26" s="1"/>
  <c r="AM53" i="26" s="1"/>
  <c r="AM54" i="26" s="1"/>
  <c r="AM146" i="26"/>
  <c r="AK163" i="36"/>
  <c r="AK164" i="36"/>
  <c r="AK196" i="36"/>
  <c r="AK197" i="36"/>
  <c r="F184" i="36"/>
  <c r="AL146" i="36"/>
  <c r="AL147" i="36" s="1"/>
  <c r="AL161" i="36" s="1"/>
  <c r="AL162" i="36" s="1"/>
  <c r="AL194" i="36"/>
  <c r="AN139" i="36"/>
  <c r="AN139" i="12"/>
  <c r="AN152" i="12" s="1"/>
  <c r="AL40" i="26"/>
  <c r="AJ161" i="12"/>
  <c r="AK91" i="26"/>
  <c r="AL193" i="12" s="1"/>
  <c r="AM142" i="12"/>
  <c r="AK43" i="26"/>
  <c r="AI163" i="12"/>
  <c r="AI162" i="12"/>
  <c r="AN61" i="9"/>
  <c r="AN60" i="9"/>
  <c r="AO58" i="9"/>
  <c r="AO59" i="9" s="1"/>
  <c r="AP44" i="9"/>
  <c r="AV94" i="8"/>
  <c r="AV93" i="8"/>
  <c r="AV36" i="26"/>
  <c r="AW138" i="12" s="1"/>
  <c r="AW149" i="12" s="1"/>
  <c r="E84" i="21"/>
  <c r="E83" i="21"/>
  <c r="AW91" i="8"/>
  <c r="AW43" i="8"/>
  <c r="AU47" i="26"/>
  <c r="I145" i="12"/>
  <c r="I162" i="12" s="1"/>
  <c r="I163" i="12" s="1"/>
  <c r="AX137" i="12" l="1"/>
  <c r="AV94" i="24"/>
  <c r="AV93" i="24"/>
  <c r="AV60" i="24"/>
  <c r="AV61" i="24"/>
  <c r="AW91" i="10"/>
  <c r="AW43" i="10"/>
  <c r="E69" i="10" s="1"/>
  <c r="AW91" i="24"/>
  <c r="E81" i="24" s="1"/>
  <c r="AW43" i="24"/>
  <c r="AV93" i="10"/>
  <c r="AV94" i="10"/>
  <c r="AS58" i="8"/>
  <c r="AS59" i="8" s="1"/>
  <c r="AT44" i="8"/>
  <c r="AS59" i="21"/>
  <c r="AR60" i="8"/>
  <c r="AR61" i="8"/>
  <c r="AT58" i="21"/>
  <c r="AT59" i="21" s="1"/>
  <c r="AU44" i="21"/>
  <c r="AS59" i="5"/>
  <c r="AR60" i="5"/>
  <c r="AR61" i="5"/>
  <c r="AW93" i="29"/>
  <c r="E81" i="29"/>
  <c r="AW94" i="29"/>
  <c r="AT58" i="5"/>
  <c r="AT59" i="5" s="1"/>
  <c r="AU44" i="5"/>
  <c r="E69" i="29"/>
  <c r="E70" i="29"/>
  <c r="AW44" i="29"/>
  <c r="AW58" i="29" s="1"/>
  <c r="AW59" i="29" s="1"/>
  <c r="AN153" i="12"/>
  <c r="AM155" i="12"/>
  <c r="AM156" i="12" s="1"/>
  <c r="AV145" i="10"/>
  <c r="AV143" i="10"/>
  <c r="AW142" i="10" s="1"/>
  <c r="AW47" i="26"/>
  <c r="AP60" i="10"/>
  <c r="AP61" i="10"/>
  <c r="AQ58" i="10"/>
  <c r="AQ59" i="10" s="1"/>
  <c r="AR44" i="10"/>
  <c r="AK163" i="12"/>
  <c r="AK162" i="12"/>
  <c r="AL196" i="36"/>
  <c r="AL197" i="36"/>
  <c r="AN153" i="36"/>
  <c r="AN154" i="36" s="1"/>
  <c r="AN156" i="36" s="1"/>
  <c r="AN157" i="36" s="1"/>
  <c r="AN142" i="36"/>
  <c r="AL163" i="36"/>
  <c r="AL164" i="36"/>
  <c r="AK44" i="26"/>
  <c r="AL146" i="12" s="1"/>
  <c r="AL160" i="12" s="1"/>
  <c r="AL161" i="12" s="1"/>
  <c r="AJ58" i="26"/>
  <c r="AJ59" i="26" s="1"/>
  <c r="AI59" i="26"/>
  <c r="AK94" i="26"/>
  <c r="AK93" i="26"/>
  <c r="AN147" i="26"/>
  <c r="AO145" i="26" s="1"/>
  <c r="AN50" i="26"/>
  <c r="AN51" i="26" s="1"/>
  <c r="AN53" i="26" s="1"/>
  <c r="AN54" i="26" s="1"/>
  <c r="AN37" i="26"/>
  <c r="AO139" i="36" s="1"/>
  <c r="AN150" i="26"/>
  <c r="AN146" i="26"/>
  <c r="AM146" i="36"/>
  <c r="AM147" i="36" s="1"/>
  <c r="AM161" i="36" s="1"/>
  <c r="AM162" i="36" s="1"/>
  <c r="AM194" i="36"/>
  <c r="AJ162" i="12"/>
  <c r="AJ163" i="12"/>
  <c r="AL43" i="26"/>
  <c r="AL91" i="26"/>
  <c r="AM193" i="12" s="1"/>
  <c r="AM40" i="26"/>
  <c r="AN142" i="12" s="1"/>
  <c r="AQ44" i="9"/>
  <c r="AP58" i="9"/>
  <c r="AP59" i="9" s="1"/>
  <c r="AO61" i="9"/>
  <c r="AO60" i="9"/>
  <c r="AV47" i="26"/>
  <c r="AX138" i="12"/>
  <c r="AX149" i="12" s="1"/>
  <c r="E70" i="8"/>
  <c r="E69" i="8"/>
  <c r="AW93" i="8"/>
  <c r="AW94" i="8"/>
  <c r="E81" i="8"/>
  <c r="AO139" i="12" l="1"/>
  <c r="AO152" i="12" s="1"/>
  <c r="AO153" i="12" s="1"/>
  <c r="AT60" i="5"/>
  <c r="AT61" i="5"/>
  <c r="AW60" i="29"/>
  <c r="AW61" i="29"/>
  <c r="AT60" i="21"/>
  <c r="AT61" i="21"/>
  <c r="E70" i="10"/>
  <c r="AS60" i="5"/>
  <c r="AS61" i="5"/>
  <c r="AU44" i="8"/>
  <c r="AT58" i="8"/>
  <c r="AT59" i="8" s="1"/>
  <c r="E81" i="10"/>
  <c r="AW94" i="10"/>
  <c r="E83" i="10" s="1"/>
  <c r="AW93" i="10"/>
  <c r="AS61" i="21"/>
  <c r="AS60" i="21"/>
  <c r="AU58" i="5"/>
  <c r="AU59" i="5" s="1"/>
  <c r="AV44" i="5"/>
  <c r="AU58" i="21"/>
  <c r="AU59" i="21" s="1"/>
  <c r="AV44" i="21"/>
  <c r="AS60" i="8"/>
  <c r="AS61" i="8"/>
  <c r="E84" i="29"/>
  <c r="E83" i="29"/>
  <c r="E69" i="24"/>
  <c r="E70" i="24"/>
  <c r="AW44" i="24"/>
  <c r="AW58" i="24" s="1"/>
  <c r="AW59" i="24" s="1"/>
  <c r="AW93" i="24"/>
  <c r="H195" i="12" s="1"/>
  <c r="AW94" i="24"/>
  <c r="AW143" i="10"/>
  <c r="AW145" i="10"/>
  <c r="AN155" i="12"/>
  <c r="AN156" i="12" s="1"/>
  <c r="AS44" i="10"/>
  <c r="AR58" i="10"/>
  <c r="AR59" i="10" s="1"/>
  <c r="AQ60" i="10"/>
  <c r="AQ61" i="10"/>
  <c r="AM163" i="36"/>
  <c r="AM164" i="36"/>
  <c r="AN146" i="36"/>
  <c r="AN147" i="36" s="1"/>
  <c r="AN161" i="36" s="1"/>
  <c r="AN194" i="36"/>
  <c r="AI61" i="26"/>
  <c r="AI60" i="26"/>
  <c r="AJ60" i="26"/>
  <c r="AJ61" i="26"/>
  <c r="AL93" i="26"/>
  <c r="AL94" i="26"/>
  <c r="AN40" i="26"/>
  <c r="AO142" i="12" s="1"/>
  <c r="AO142" i="36"/>
  <c r="AO153" i="36"/>
  <c r="AO154" i="36" s="1"/>
  <c r="AO156" i="36" s="1"/>
  <c r="AO157" i="36" s="1"/>
  <c r="AK58" i="26"/>
  <c r="AK59" i="26" s="1"/>
  <c r="AL44" i="26"/>
  <c r="AM146" i="12" s="1"/>
  <c r="AM160" i="12" s="1"/>
  <c r="AM161" i="12" s="1"/>
  <c r="AM43" i="26"/>
  <c r="AM91" i="26"/>
  <c r="AN193" i="12" s="1"/>
  <c r="AO150" i="26"/>
  <c r="AO37" i="26"/>
  <c r="AP139" i="36" s="1"/>
  <c r="AO146" i="26"/>
  <c r="AO147" i="26"/>
  <c r="AP145" i="26" s="1"/>
  <c r="AO50" i="26"/>
  <c r="AO51" i="26" s="1"/>
  <c r="AO53" i="26" s="1"/>
  <c r="AO54" i="26" s="1"/>
  <c r="AL163" i="12"/>
  <c r="AL162" i="12"/>
  <c r="AM197" i="36"/>
  <c r="AM196" i="36"/>
  <c r="AP61" i="9"/>
  <c r="AP60" i="9"/>
  <c r="AR44" i="9"/>
  <c r="AQ58" i="9"/>
  <c r="E84" i="8"/>
  <c r="E83" i="8"/>
  <c r="E84" i="10" l="1"/>
  <c r="E83" i="24"/>
  <c r="E84" i="24"/>
  <c r="AW60" i="24"/>
  <c r="AW61" i="24"/>
  <c r="AV58" i="21"/>
  <c r="AW44" i="21"/>
  <c r="AW58" i="21" s="1"/>
  <c r="AU61" i="21"/>
  <c r="AU60" i="21"/>
  <c r="AT61" i="8"/>
  <c r="AT60" i="8"/>
  <c r="AV58" i="5"/>
  <c r="AV59" i="5" s="1"/>
  <c r="AW44" i="5"/>
  <c r="AW58" i="5" s="1"/>
  <c r="AW59" i="5" s="1"/>
  <c r="AU58" i="8"/>
  <c r="AV44" i="8"/>
  <c r="AU60" i="5"/>
  <c r="AU61" i="5"/>
  <c r="AP139" i="12"/>
  <c r="AP152" i="12" s="1"/>
  <c r="AP153" i="12" s="1"/>
  <c r="AO155" i="12"/>
  <c r="AO156" i="12" s="1"/>
  <c r="AR60" i="10"/>
  <c r="AR61" i="10"/>
  <c r="AT44" i="10"/>
  <c r="AS58" i="10"/>
  <c r="AS59" i="10" s="1"/>
  <c r="AS60" i="10" s="1"/>
  <c r="AS61" i="10" s="1"/>
  <c r="AM93" i="26"/>
  <c r="AM94" i="26"/>
  <c r="AM163" i="12"/>
  <c r="AM162" i="12"/>
  <c r="AN197" i="36"/>
  <c r="AN196" i="36"/>
  <c r="AP150" i="26"/>
  <c r="AP50" i="26"/>
  <c r="AP51" i="26" s="1"/>
  <c r="AP53" i="26" s="1"/>
  <c r="AP54" i="26" s="1"/>
  <c r="AP146" i="26"/>
  <c r="AP147" i="26"/>
  <c r="AQ145" i="26" s="1"/>
  <c r="AP37" i="26"/>
  <c r="AQ139" i="36" s="1"/>
  <c r="AO40" i="26"/>
  <c r="AP142" i="12" s="1"/>
  <c r="AN162" i="36"/>
  <c r="AM44" i="26"/>
  <c r="AN146" i="12" s="1"/>
  <c r="AN160" i="12" s="1"/>
  <c r="AN161" i="12" s="1"/>
  <c r="AL58" i="26"/>
  <c r="AL59" i="26" s="1"/>
  <c r="AK61" i="26"/>
  <c r="AK60" i="26"/>
  <c r="AO194" i="36"/>
  <c r="AO146" i="36"/>
  <c r="AO147" i="36" s="1"/>
  <c r="AO161" i="36" s="1"/>
  <c r="AP142" i="36"/>
  <c r="AP153" i="36"/>
  <c r="AP154" i="36" s="1"/>
  <c r="AP156" i="36" s="1"/>
  <c r="AP157" i="36" s="1"/>
  <c r="AN91" i="26"/>
  <c r="AO193" i="12" s="1"/>
  <c r="AN43" i="26"/>
  <c r="AO145" i="12" s="1"/>
  <c r="AQ59" i="9"/>
  <c r="AR58" i="9"/>
  <c r="AR59" i="9" s="1"/>
  <c r="AS44" i="9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AJ145" i="12"/>
  <c r="AK145" i="12"/>
  <c r="AL145" i="12"/>
  <c r="AM145" i="12"/>
  <c r="AN145" i="12"/>
  <c r="AV58" i="8" l="1"/>
  <c r="AW44" i="8"/>
  <c r="AW58" i="8" s="1"/>
  <c r="AU59" i="8"/>
  <c r="AV59" i="8"/>
  <c r="AV59" i="21"/>
  <c r="AW59" i="21"/>
  <c r="AW60" i="5"/>
  <c r="AW61" i="5"/>
  <c r="AV61" i="5"/>
  <c r="AV60" i="5"/>
  <c r="AQ139" i="12"/>
  <c r="AQ152" i="12" s="1"/>
  <c r="AQ153" i="12" s="1"/>
  <c r="AP155" i="12"/>
  <c r="AP156" i="12" s="1"/>
  <c r="AU44" i="10"/>
  <c r="AT58" i="10"/>
  <c r="AT59" i="10" s="1"/>
  <c r="AN94" i="26"/>
  <c r="AN93" i="26"/>
  <c r="AO195" i="12" s="1"/>
  <c r="AN163" i="36"/>
  <c r="AN164" i="36"/>
  <c r="AL60" i="26"/>
  <c r="AL61" i="26"/>
  <c r="AO91" i="26"/>
  <c r="AP193" i="12" s="1"/>
  <c r="AO43" i="26"/>
  <c r="AP145" i="12" s="1"/>
  <c r="AM58" i="26"/>
  <c r="AM59" i="26" s="1"/>
  <c r="AN44" i="26"/>
  <c r="AO146" i="12" s="1"/>
  <c r="AO160" i="12" s="1"/>
  <c r="AN163" i="12"/>
  <c r="AN162" i="12"/>
  <c r="AQ153" i="36"/>
  <c r="AQ154" i="36" s="1"/>
  <c r="AQ156" i="36" s="1"/>
  <c r="AQ157" i="36" s="1"/>
  <c r="AQ142" i="36"/>
  <c r="AP146" i="36"/>
  <c r="AP147" i="36" s="1"/>
  <c r="AP161" i="36" s="1"/>
  <c r="AP162" i="36" s="1"/>
  <c r="AP194" i="36"/>
  <c r="AP40" i="26"/>
  <c r="AQ142" i="12" s="1"/>
  <c r="AQ146" i="26"/>
  <c r="AQ50" i="26"/>
  <c r="AQ51" i="26" s="1"/>
  <c r="AQ53" i="26" s="1"/>
  <c r="AQ54" i="26" s="1"/>
  <c r="AQ147" i="26"/>
  <c r="AR145" i="26" s="1"/>
  <c r="AQ37" i="26"/>
  <c r="AR139" i="36" s="1"/>
  <c r="AQ150" i="26"/>
  <c r="AO196" i="36"/>
  <c r="AO197" i="36"/>
  <c r="AO162" i="36"/>
  <c r="AS58" i="9"/>
  <c r="AT44" i="9"/>
  <c r="AR60" i="9"/>
  <c r="AR61" i="9"/>
  <c r="AQ60" i="9"/>
  <c r="AQ61" i="9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F195" i="12"/>
  <c r="AG195" i="12"/>
  <c r="AH195" i="12"/>
  <c r="AI195" i="12"/>
  <c r="AJ195" i="12"/>
  <c r="AK195" i="12"/>
  <c r="AL195" i="12"/>
  <c r="AM195" i="12"/>
  <c r="AN195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AJ196" i="12"/>
  <c r="AK196" i="12"/>
  <c r="AL196" i="12"/>
  <c r="AM196" i="12"/>
  <c r="AN196" i="12"/>
  <c r="AO196" i="12"/>
  <c r="AW60" i="21" l="1"/>
  <c r="AW61" i="21"/>
  <c r="AV61" i="21"/>
  <c r="AV60" i="21"/>
  <c r="AV61" i="8"/>
  <c r="AV60" i="8"/>
  <c r="AU61" i="8"/>
  <c r="AU60" i="8"/>
  <c r="AW59" i="8"/>
  <c r="AR139" i="12"/>
  <c r="AR152" i="12" s="1"/>
  <c r="AR153" i="12" s="1"/>
  <c r="AQ155" i="12"/>
  <c r="AQ156" i="12" s="1"/>
  <c r="AT60" i="10"/>
  <c r="AT61" i="10"/>
  <c r="AV44" i="10"/>
  <c r="AU58" i="10"/>
  <c r="AU59" i="10" s="1"/>
  <c r="AR146" i="26"/>
  <c r="AR37" i="26"/>
  <c r="AR147" i="26"/>
  <c r="AS145" i="26" s="1"/>
  <c r="AR50" i="26"/>
  <c r="AR51" i="26" s="1"/>
  <c r="AR53" i="26" s="1"/>
  <c r="AR54" i="26" s="1"/>
  <c r="AR150" i="26"/>
  <c r="AR153" i="36"/>
  <c r="AR154" i="36" s="1"/>
  <c r="AR156" i="36" s="1"/>
  <c r="AR157" i="36" s="1"/>
  <c r="AR142" i="36"/>
  <c r="AO93" i="26"/>
  <c r="AO94" i="26"/>
  <c r="AP197" i="36"/>
  <c r="AP196" i="36"/>
  <c r="AO44" i="26"/>
  <c r="AP146" i="12" s="1"/>
  <c r="AP160" i="12" s="1"/>
  <c r="AP161" i="12" s="1"/>
  <c r="AN58" i="26"/>
  <c r="AN59" i="26" s="1"/>
  <c r="AO163" i="36"/>
  <c r="AO164" i="36"/>
  <c r="AQ146" i="36"/>
  <c r="AQ147" i="36" s="1"/>
  <c r="AQ161" i="36" s="1"/>
  <c r="AQ162" i="36" s="1"/>
  <c r="AQ194" i="36"/>
  <c r="AM60" i="26"/>
  <c r="AM61" i="26"/>
  <c r="AQ40" i="26"/>
  <c r="AR142" i="12" s="1"/>
  <c r="AS139" i="12"/>
  <c r="AS152" i="12" s="1"/>
  <c r="AS139" i="36"/>
  <c r="AP91" i="26"/>
  <c r="AQ193" i="12" s="1"/>
  <c r="AP43" i="26"/>
  <c r="AQ145" i="12" s="1"/>
  <c r="AO161" i="12"/>
  <c r="AP164" i="36"/>
  <c r="AP163" i="36"/>
  <c r="AS59" i="9"/>
  <c r="AT58" i="9"/>
  <c r="AT59" i="9" s="1"/>
  <c r="AU44" i="9"/>
  <c r="AW60" i="8" l="1"/>
  <c r="AW61" i="8"/>
  <c r="AS153" i="12"/>
  <c r="AR155" i="12"/>
  <c r="AR156" i="12" s="1"/>
  <c r="AP196" i="12"/>
  <c r="AP195" i="12"/>
  <c r="AU60" i="10"/>
  <c r="AU61" i="10"/>
  <c r="AV58" i="10"/>
  <c r="AW44" i="10"/>
  <c r="AW58" i="10" s="1"/>
  <c r="AP163" i="12"/>
  <c r="AP162" i="12"/>
  <c r="AR194" i="36"/>
  <c r="AR146" i="36"/>
  <c r="AR147" i="36" s="1"/>
  <c r="AR161" i="36" s="1"/>
  <c r="AQ91" i="26"/>
  <c r="AQ43" i="26"/>
  <c r="AR145" i="12" s="1"/>
  <c r="AP44" i="26"/>
  <c r="AQ146" i="12" s="1"/>
  <c r="AQ160" i="12" s="1"/>
  <c r="AQ161" i="12" s="1"/>
  <c r="AO58" i="26"/>
  <c r="AO59" i="26" s="1"/>
  <c r="AQ197" i="36"/>
  <c r="AQ196" i="36"/>
  <c r="AQ164" i="36"/>
  <c r="AQ163" i="36"/>
  <c r="AP94" i="26"/>
  <c r="AP93" i="26"/>
  <c r="AR193" i="12"/>
  <c r="AS146" i="26"/>
  <c r="AS50" i="26"/>
  <c r="AS51" i="26" s="1"/>
  <c r="AS53" i="26" s="1"/>
  <c r="AS54" i="26" s="1"/>
  <c r="AS37" i="26"/>
  <c r="AT139" i="36" s="1"/>
  <c r="AS147" i="26"/>
  <c r="AT145" i="26" s="1"/>
  <c r="AS150" i="26"/>
  <c r="AS142" i="36"/>
  <c r="AS153" i="36"/>
  <c r="AS154" i="36" s="1"/>
  <c r="AS156" i="36" s="1"/>
  <c r="AS157" i="36" s="1"/>
  <c r="AR40" i="26"/>
  <c r="AS142" i="12" s="1"/>
  <c r="AO162" i="12"/>
  <c r="AO163" i="12"/>
  <c r="AN61" i="26"/>
  <c r="AN60" i="26"/>
  <c r="AT61" i="9"/>
  <c r="AT60" i="9"/>
  <c r="AU58" i="9"/>
  <c r="AU59" i="9" s="1"/>
  <c r="AV44" i="9"/>
  <c r="AS60" i="9"/>
  <c r="AS61" i="9"/>
  <c r="AT139" i="12" l="1"/>
  <c r="AT152" i="12" s="1"/>
  <c r="AT153" i="12" s="1"/>
  <c r="AS155" i="12"/>
  <c r="AS156" i="12" s="1"/>
  <c r="AV59" i="10"/>
  <c r="AW59" i="10"/>
  <c r="AQ195" i="12"/>
  <c r="AQ196" i="12"/>
  <c r="AR43" i="26"/>
  <c r="AS145" i="12" s="1"/>
  <c r="AR91" i="26"/>
  <c r="AS193" i="12" s="1"/>
  <c r="AQ94" i="26"/>
  <c r="AQ93" i="26"/>
  <c r="AR195" i="12" s="1"/>
  <c r="AT142" i="36"/>
  <c r="AT153" i="36"/>
  <c r="AT154" i="36" s="1"/>
  <c r="AT156" i="36" s="1"/>
  <c r="AT157" i="36" s="1"/>
  <c r="AS194" i="36"/>
  <c r="AS146" i="36"/>
  <c r="AS147" i="36" s="1"/>
  <c r="AS161" i="36" s="1"/>
  <c r="AS162" i="36" s="1"/>
  <c r="AO61" i="26"/>
  <c r="AO60" i="26"/>
  <c r="AR162" i="36"/>
  <c r="AT37" i="26"/>
  <c r="AU139" i="12" s="1"/>
  <c r="AU152" i="12" s="1"/>
  <c r="AT146" i="26"/>
  <c r="AT150" i="26"/>
  <c r="AT50" i="26"/>
  <c r="AT51" i="26" s="1"/>
  <c r="AT53" i="26" s="1"/>
  <c r="AT54" i="26" s="1"/>
  <c r="AT147" i="26"/>
  <c r="AU145" i="26" s="1"/>
  <c r="AU139" i="36"/>
  <c r="AS40" i="26"/>
  <c r="AT142" i="12" s="1"/>
  <c r="AP58" i="26"/>
  <c r="AQ44" i="26"/>
  <c r="AR146" i="12" s="1"/>
  <c r="AR160" i="12" s="1"/>
  <c r="AR161" i="12" s="1"/>
  <c r="AR197" i="36"/>
  <c r="AR196" i="36"/>
  <c r="AQ163" i="12"/>
  <c r="AQ162" i="12"/>
  <c r="AU60" i="9"/>
  <c r="AU61" i="9"/>
  <c r="AW44" i="9"/>
  <c r="AV58" i="9"/>
  <c r="AU153" i="12" l="1"/>
  <c r="AT155" i="12"/>
  <c r="AT156" i="12" s="1"/>
  <c r="AW61" i="10"/>
  <c r="AW60" i="10"/>
  <c r="AV60" i="10"/>
  <c r="AV61" i="10"/>
  <c r="AR196" i="12"/>
  <c r="AS164" i="36"/>
  <c r="AS163" i="36"/>
  <c r="AU37" i="26"/>
  <c r="AU147" i="26"/>
  <c r="AV145" i="26" s="1"/>
  <c r="AU150" i="26"/>
  <c r="AU146" i="26"/>
  <c r="AU50" i="26"/>
  <c r="AU51" i="26" s="1"/>
  <c r="AU53" i="26" s="1"/>
  <c r="AU54" i="26" s="1"/>
  <c r="AR44" i="26"/>
  <c r="AS146" i="12" s="1"/>
  <c r="AS160" i="12" s="1"/>
  <c r="AQ58" i="26"/>
  <c r="AS197" i="36"/>
  <c r="AS196" i="36"/>
  <c r="AP59" i="26"/>
  <c r="AR163" i="12"/>
  <c r="AR162" i="12"/>
  <c r="AV139" i="36"/>
  <c r="AT40" i="26"/>
  <c r="AU142" i="12" s="1"/>
  <c r="AV139" i="12"/>
  <c r="AV152" i="12" s="1"/>
  <c r="AS43" i="26"/>
  <c r="AS91" i="26"/>
  <c r="AT193" i="12" s="1"/>
  <c r="AT194" i="36"/>
  <c r="AT146" i="36"/>
  <c r="AT147" i="36" s="1"/>
  <c r="AT161" i="36" s="1"/>
  <c r="AU142" i="36"/>
  <c r="AU153" i="36"/>
  <c r="AU154" i="36" s="1"/>
  <c r="AU156" i="36" s="1"/>
  <c r="AU157" i="36" s="1"/>
  <c r="AR164" i="36"/>
  <c r="AR163" i="36"/>
  <c r="AR93" i="26"/>
  <c r="AR94" i="26"/>
  <c r="AS196" i="12" s="1"/>
  <c r="AW58" i="9"/>
  <c r="AW59" i="9" s="1"/>
  <c r="AV59" i="9"/>
  <c r="AU155" i="12" l="1"/>
  <c r="AU156" i="12" s="1"/>
  <c r="AV153" i="12"/>
  <c r="AS195" i="12"/>
  <c r="AT145" i="12"/>
  <c r="AP61" i="26"/>
  <c r="AP60" i="26"/>
  <c r="AS161" i="12"/>
  <c r="AU146" i="36"/>
  <c r="AU147" i="36" s="1"/>
  <c r="AU161" i="36" s="1"/>
  <c r="AU162" i="36" s="1"/>
  <c r="AU194" i="36"/>
  <c r="AT162" i="36"/>
  <c r="AT43" i="26"/>
  <c r="AU145" i="12" s="1"/>
  <c r="AT91" i="26"/>
  <c r="AU193" i="12" s="1"/>
  <c r="AV153" i="36"/>
  <c r="AV154" i="36" s="1"/>
  <c r="AV156" i="36" s="1"/>
  <c r="AV157" i="36" s="1"/>
  <c r="AV142" i="36"/>
  <c r="AV50" i="26"/>
  <c r="AV51" i="26" s="1"/>
  <c r="AV53" i="26" s="1"/>
  <c r="AV54" i="26" s="1"/>
  <c r="AV150" i="26"/>
  <c r="AV37" i="26"/>
  <c r="AW139" i="36" s="1"/>
  <c r="AV146" i="26"/>
  <c r="AV147" i="26"/>
  <c r="AW145" i="26" s="1"/>
  <c r="D148" i="26" s="1"/>
  <c r="AU40" i="26"/>
  <c r="AV142" i="12" s="1"/>
  <c r="AT197" i="36"/>
  <c r="AT196" i="36"/>
  <c r="AS93" i="26"/>
  <c r="AT195" i="12" s="1"/>
  <c r="AS94" i="26"/>
  <c r="AQ59" i="26"/>
  <c r="AS44" i="26"/>
  <c r="AT146" i="12" s="1"/>
  <c r="AT160" i="12" s="1"/>
  <c r="AT161" i="12" s="1"/>
  <c r="AR58" i="26"/>
  <c r="AV61" i="9"/>
  <c r="AV60" i="9"/>
  <c r="AW60" i="9"/>
  <c r="AW61" i="9"/>
  <c r="AW139" i="12" l="1"/>
  <c r="AW152" i="12" s="1"/>
  <c r="AW153" i="12" s="1"/>
  <c r="AV155" i="12"/>
  <c r="AV156" i="12" s="1"/>
  <c r="AT196" i="12"/>
  <c r="AT162" i="12"/>
  <c r="AT163" i="12"/>
  <c r="AU163" i="36"/>
  <c r="AU164" i="36"/>
  <c r="AS58" i="26"/>
  <c r="AS59" i="26" s="1"/>
  <c r="AT44" i="26"/>
  <c r="AU146" i="12" s="1"/>
  <c r="AU160" i="12" s="1"/>
  <c r="AT94" i="26"/>
  <c r="AT93" i="26"/>
  <c r="AW146" i="26"/>
  <c r="AW147" i="26"/>
  <c r="AW150" i="26"/>
  <c r="AW37" i="26"/>
  <c r="AW40" i="26" s="1"/>
  <c r="AW50" i="26"/>
  <c r="AW51" i="26" s="1"/>
  <c r="AW53" i="26" s="1"/>
  <c r="AW54" i="26" s="1"/>
  <c r="AU43" i="26"/>
  <c r="AV145" i="12" s="1"/>
  <c r="AU91" i="26"/>
  <c r="AV193" i="12" s="1"/>
  <c r="AX139" i="12"/>
  <c r="AX152" i="12" s="1"/>
  <c r="AV40" i="26"/>
  <c r="AW142" i="12" s="1"/>
  <c r="AT163" i="36"/>
  <c r="AT164" i="36"/>
  <c r="AS163" i="12"/>
  <c r="AS162" i="12"/>
  <c r="AW153" i="36"/>
  <c r="AW154" i="36" s="1"/>
  <c r="AW156" i="36" s="1"/>
  <c r="AW157" i="36" s="1"/>
  <c r="AW142" i="36"/>
  <c r="AQ61" i="26"/>
  <c r="AQ60" i="26"/>
  <c r="AR59" i="26"/>
  <c r="AV146" i="36"/>
  <c r="AV194" i="36"/>
  <c r="AU196" i="36"/>
  <c r="AU197" i="36"/>
  <c r="AW43" i="26" l="1"/>
  <c r="AW91" i="26"/>
  <c r="AX139" i="36"/>
  <c r="AX142" i="36" s="1"/>
  <c r="AW155" i="12"/>
  <c r="AW156" i="12" s="1"/>
  <c r="AX153" i="12"/>
  <c r="AX155" i="12" s="1"/>
  <c r="AX156" i="12" s="1"/>
  <c r="AU196" i="12"/>
  <c r="AU195" i="12"/>
  <c r="AR61" i="26"/>
  <c r="AR60" i="26"/>
  <c r="AS60" i="26"/>
  <c r="AS61" i="26"/>
  <c r="AU94" i="26"/>
  <c r="AV196" i="12" s="1"/>
  <c r="AU93" i="26"/>
  <c r="AV195" i="12" s="1"/>
  <c r="AU44" i="26"/>
  <c r="AV146" i="12" s="1"/>
  <c r="AV160" i="12" s="1"/>
  <c r="AV161" i="12" s="1"/>
  <c r="AT58" i="26"/>
  <c r="AT59" i="26" s="1"/>
  <c r="AU161" i="12"/>
  <c r="AV196" i="36"/>
  <c r="AV197" i="36"/>
  <c r="AV147" i="36"/>
  <c r="AV161" i="36" s="1"/>
  <c r="AV162" i="36" s="1"/>
  <c r="AV43" i="26"/>
  <c r="AX145" i="12" s="1"/>
  <c r="AX142" i="12"/>
  <c r="AV91" i="26"/>
  <c r="AW193" i="12" s="1"/>
  <c r="AW194" i="36"/>
  <c r="AW146" i="36"/>
  <c r="AX153" i="36" l="1"/>
  <c r="AX154" i="36" s="1"/>
  <c r="AX156" i="36" s="1"/>
  <c r="AX157" i="36" s="1"/>
  <c r="AW145" i="12"/>
  <c r="AW94" i="26"/>
  <c r="AW93" i="26"/>
  <c r="AV163" i="12"/>
  <c r="AV162" i="12"/>
  <c r="AT60" i="26"/>
  <c r="AT61" i="26"/>
  <c r="AV164" i="36"/>
  <c r="AV163" i="36"/>
  <c r="E70" i="26"/>
  <c r="AU163" i="12"/>
  <c r="AU162" i="12"/>
  <c r="AW147" i="36"/>
  <c r="AW161" i="36" s="1"/>
  <c r="AW162" i="36" s="1"/>
  <c r="AU58" i="26"/>
  <c r="AV44" i="26"/>
  <c r="AW146" i="12" s="1"/>
  <c r="AW160" i="12" s="1"/>
  <c r="AW161" i="12" s="1"/>
  <c r="AW197" i="36"/>
  <c r="AW196" i="36"/>
  <c r="AV93" i="26"/>
  <c r="AW195" i="12" s="1"/>
  <c r="AX193" i="12"/>
  <c r="AV94" i="26"/>
  <c r="AX146" i="36"/>
  <c r="AX194" i="36"/>
  <c r="E81" i="26"/>
  <c r="E69" i="26"/>
  <c r="AX196" i="12" l="1"/>
  <c r="AW196" i="12"/>
  <c r="AX195" i="12"/>
  <c r="AX147" i="36"/>
  <c r="AX161" i="36" s="1"/>
  <c r="AX162" i="36" s="1"/>
  <c r="AX163" i="36" s="1"/>
  <c r="AW164" i="36"/>
  <c r="AW163" i="36"/>
  <c r="AW44" i="26"/>
  <c r="AW58" i="26" s="1"/>
  <c r="AV58" i="26"/>
  <c r="AV59" i="26" s="1"/>
  <c r="AW162" i="12"/>
  <c r="AW163" i="12"/>
  <c r="F172" i="36"/>
  <c r="AX196" i="36"/>
  <c r="AX197" i="36"/>
  <c r="AU59" i="26"/>
  <c r="F173" i="36"/>
  <c r="E83" i="26"/>
  <c r="E84" i="26"/>
  <c r="AX164" i="36" l="1"/>
  <c r="F186" i="12"/>
  <c r="F185" i="12"/>
  <c r="AX146" i="12"/>
  <c r="AX160" i="12" s="1"/>
  <c r="AX161" i="12" s="1"/>
  <c r="AX163" i="12" s="1"/>
  <c r="F186" i="36"/>
  <c r="F187" i="36"/>
  <c r="AW59" i="26"/>
  <c r="AV60" i="26"/>
  <c r="AV61" i="26"/>
  <c r="AU61" i="26"/>
  <c r="AU60" i="26"/>
  <c r="AX162" i="12" l="1"/>
  <c r="AW61" i="26"/>
  <c r="AW60" i="26"/>
  <c r="X25" i="37" l="1"/>
  <c r="X24" i="37" l="1"/>
  <c r="X27" i="37" s="1"/>
  <c r="Y23" i="37" l="1"/>
  <c r="Y25" i="37" s="1"/>
  <c r="Y24" i="37" s="1"/>
  <c r="Y27" i="37" s="1"/>
  <c r="Z23" i="37" l="1"/>
  <c r="Z25" i="37" s="1"/>
  <c r="Z24" i="37" s="1"/>
  <c r="Z27" i="37" s="1"/>
  <c r="AA23" i="37" l="1"/>
  <c r="AA25" i="37" s="1"/>
  <c r="AB23" i="37" s="1"/>
  <c r="AA24" i="37" l="1"/>
  <c r="AA27" i="37" s="1"/>
  <c r="AB25" i="37"/>
  <c r="AB24" i="37" l="1"/>
  <c r="AB27" i="37" s="1"/>
  <c r="AC23" i="37"/>
  <c r="AC25" i="37" s="1"/>
  <c r="AC24" i="37" l="1"/>
  <c r="AC27" i="37" s="1"/>
  <c r="AD23" i="37" l="1"/>
  <c r="AD25" i="37" s="1"/>
  <c r="AD24" i="37" s="1"/>
  <c r="AD27" i="37" s="1"/>
  <c r="AE23" i="37" l="1"/>
  <c r="AE25" i="37" s="1"/>
  <c r="AE24" i="37" s="1"/>
  <c r="AE27" i="37" l="1"/>
  <c r="AF23" i="37"/>
  <c r="AF25" i="37" s="1"/>
  <c r="AF24" i="37" s="1"/>
  <c r="AF27" i="37" l="1"/>
  <c r="AG23" i="37"/>
  <c r="AG25" i="37" s="1"/>
  <c r="AG24" i="37" s="1"/>
  <c r="AG27" i="37" s="1"/>
  <c r="AH23" i="37" l="1"/>
  <c r="AH25" i="37" s="1"/>
  <c r="AH24" i="37" s="1"/>
  <c r="AH27" i="37" l="1"/>
  <c r="AI23" i="37"/>
  <c r="AI25" i="37" s="1"/>
  <c r="AI24" i="37" s="1"/>
  <c r="AI27" i="37" l="1"/>
  <c r="AJ23" i="37"/>
  <c r="AJ25" i="37" l="1"/>
  <c r="AJ24" i="37" s="1"/>
  <c r="AJ27" i="37" s="1"/>
  <c r="C27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tc={DE64D78F-C96B-4042-8435-115C15FE0178}</author>
    <author>tc={62B130B3-5034-43E8-B740-0AB3F4C4E659}</author>
    <author>tc={CD8E2781-40AD-4351-A425-F19B981C41CC}</author>
  </authors>
  <commentList>
    <comment ref="K50" authorId="0" shapeId="0" xr:uid="{DE64D78F-C96B-4042-8435-115C15FE0178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these land estimates correct? 1 acre for SENS Tires and ~3 acres for SENS Coal?</t>
      </text>
    </comment>
    <comment ref="B54" authorId="1" shapeId="0" xr:uid="{62B130B3-5034-43E8-B740-0AB3F4C4E659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many acres we need for the type of the power with the required MW</t>
      </text>
    </comment>
    <comment ref="I77" authorId="2" shapeId="0" xr:uid="{CD8E2781-40AD-4351-A425-F19B981C41CC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are we communicating our Net vs Gross production and/or accounting for power consumption to operate the sites; i.e. ~5-10% of our total power production for Carbon to operate the plant.
Reply:
    Added Station Service Load as a percentage below. Also update power make tabs to have a gross and net production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tc={1934D1EA-F21A-402E-812B-32EFF66EC4D7}</author>
  </authors>
  <commentList>
    <comment ref="C138" authorId="0" shapeId="0" xr:uid="{1934D1EA-F21A-402E-812B-32EFF66EC4D7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depreciate any of the costs for land acquisition?
Reply:
    No D&amp;A for land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tc={EC24CF21-7E93-47DC-B1B8-31886CC368A5}</author>
  </authors>
  <commentList>
    <comment ref="W145" authorId="0" shapeId="0" xr:uid="{EC24CF21-7E93-47DC-B1B8-31886CC368A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depreciable balance of next period should include this portion.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<sst xmlns="http://schemas.openxmlformats.org/spreadsheetml/2006/main" count="2165" uniqueCount="549">
  <si>
    <t>Cash Available to dividend CHART / Paid out vs reinvested stacked</t>
  </si>
  <si>
    <t>Capex Deployed</t>
  </si>
  <si>
    <t>EPC Value</t>
  </si>
  <si>
    <t>Foundation</t>
  </si>
  <si>
    <t>Nat Gas</t>
  </si>
  <si>
    <t>SENS</t>
  </si>
  <si>
    <t>Solar</t>
  </si>
  <si>
    <t>BESS</t>
  </si>
  <si>
    <t>Cumulative</t>
  </si>
  <si>
    <t>Carbon</t>
  </si>
  <si>
    <t>C - Foundation</t>
  </si>
  <si>
    <t>SENS - Coal</t>
  </si>
  <si>
    <t>C - SENS</t>
  </si>
  <si>
    <t>SENS - Tires</t>
  </si>
  <si>
    <t>CAPEX DEPLOYED</t>
  </si>
  <si>
    <t>ACTIVE PROCESSORS</t>
  </si>
  <si>
    <t>TOTAL PROJECTS</t>
  </si>
  <si>
    <t>INSTALLED CAPACITY (MW)</t>
  </si>
  <si>
    <t>DIVIDENDS PAID</t>
  </si>
  <si>
    <t>CAPEX Available</t>
  </si>
  <si>
    <t>New Capex Required</t>
  </si>
  <si>
    <t>Unused CapEx</t>
  </si>
  <si>
    <t>CAPEX AVAILABLE</t>
  </si>
  <si>
    <t>PEAK PROCESS VOL - TIRES</t>
  </si>
  <si>
    <t>PEAK PROCESS VOL - COAL</t>
  </si>
  <si>
    <t>COAL REQ FOR GEN</t>
  </si>
  <si>
    <t>EPC MARGIN</t>
  </si>
  <si>
    <t>Roll SBLC</t>
  </si>
  <si>
    <t>No</t>
  </si>
  <si>
    <t>New SBLC Value</t>
  </si>
  <si>
    <t>Opex</t>
  </si>
  <si>
    <t>Net</t>
  </si>
  <si>
    <t>Asset Value</t>
  </si>
  <si>
    <t>d</t>
  </si>
  <si>
    <t>SENS Volume</t>
  </si>
  <si>
    <t>SENS Machines Deployed</t>
  </si>
  <si>
    <t>Power Production (TWh)</t>
  </si>
  <si>
    <t>SENS - Coal Needed</t>
  </si>
  <si>
    <t>SENS Coal Net Gen</t>
  </si>
  <si>
    <t xml:space="preserve"> </t>
  </si>
  <si>
    <t>Projects</t>
  </si>
  <si>
    <t>Project Start Year</t>
  </si>
  <si>
    <t>Reference Number</t>
  </si>
  <si>
    <t>Project Name</t>
  </si>
  <si>
    <t>Project State</t>
  </si>
  <si>
    <t>Type</t>
  </si>
  <si>
    <t>Volume MW</t>
  </si>
  <si>
    <t>Volume Machines</t>
  </si>
  <si>
    <t>JV Capex Contribution</t>
  </si>
  <si>
    <t>ISCM Capex Contribution</t>
  </si>
  <si>
    <t>START DATE &gt;&gt;</t>
  </si>
  <si>
    <t>Project CapEx ($M)</t>
  </si>
  <si>
    <t>Project Reference</t>
  </si>
  <si>
    <t>Start Date</t>
  </si>
  <si>
    <t>Projects Gross Revenue ($M)</t>
  </si>
  <si>
    <t>Location</t>
  </si>
  <si>
    <t>Project Type</t>
  </si>
  <si>
    <t>ISCM/JV</t>
  </si>
  <si>
    <t>AL</t>
  </si>
  <si>
    <t>ISCM</t>
  </si>
  <si>
    <t>AK</t>
  </si>
  <si>
    <t>JV</t>
  </si>
  <si>
    <t>AZ</t>
  </si>
  <si>
    <t>AR</t>
  </si>
  <si>
    <t>CA</t>
  </si>
  <si>
    <t>CO</t>
  </si>
  <si>
    <t>CT</t>
  </si>
  <si>
    <t>DE</t>
  </si>
  <si>
    <t>FL</t>
  </si>
  <si>
    <t>Fractional CAPEX Value</t>
  </si>
  <si>
    <t>GA</t>
  </si>
  <si>
    <t>Initial Capex Value</t>
  </si>
  <si>
    <t>HI</t>
  </si>
  <si>
    <t>Annual Value of CAP</t>
  </si>
  <si>
    <t>ID</t>
  </si>
  <si>
    <t>IL</t>
  </si>
  <si>
    <t>IN</t>
  </si>
  <si>
    <t>Yes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</si>
  <si>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</si>
  <si>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</si>
  <si>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</si>
  <si>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</si>
  <si>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</si>
  <si>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</si>
  <si>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</si>
  <si>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</si>
  <si>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</si>
  <si>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</si>
  <si>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</si>
  <si>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</si>
  <si>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</si>
  <si>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</si>
  <si>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</si>
  <si>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</si>
  <si>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</si>
  <si>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</si>
  <si>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</si>
  <si>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</si>
  <si>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</si>
  <si>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</si>
  <si>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</si>
  <si>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</si>
  <si>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</si>
  <si>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</si>
  <si>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</si>
  <si>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</si>
  <si>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</si>
  <si>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</si>
  <si>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</si>
  <si>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</si>
  <si>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</si>
  <si>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</si>
  <si>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</si>
  <si>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</si>
  <si>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Universal Project Inputs</t>
  </si>
  <si>
    <t>Land Development</t>
  </si>
  <si>
    <t>Carbon Heat Value Assumptions</t>
  </si>
  <si>
    <t>Report Configurations</t>
  </si>
  <si>
    <t>Category</t>
  </si>
  <si>
    <t>Unit</t>
  </si>
  <si>
    <t>O/R</t>
  </si>
  <si>
    <t>Load Customer</t>
  </si>
  <si>
    <t>Hydrogen</t>
  </si>
  <si>
    <t>Real Estate</t>
  </si>
  <si>
    <t>Overbuild Factor</t>
  </si>
  <si>
    <t>CapEx Contribution</t>
  </si>
  <si>
    <t>%</t>
  </si>
  <si>
    <t>Total Land Acquisition Area</t>
  </si>
  <si>
    <t>Acres</t>
  </si>
  <si>
    <t>Carbon Heating Value</t>
  </si>
  <si>
    <t>Btu/lb</t>
  </si>
  <si>
    <t>ITC Switch</t>
  </si>
  <si>
    <t>Active Asset Acquisition Cost</t>
  </si>
  <si>
    <t>$M</t>
  </si>
  <si>
    <t>Land Available</t>
  </si>
  <si>
    <t>Powerplant Efficiency</t>
  </si>
  <si>
    <t>ITC %</t>
  </si>
  <si>
    <t>Revenue Sharing</t>
  </si>
  <si>
    <t>Land Acquisition Cost</t>
  </si>
  <si>
    <t>$/Acre</t>
  </si>
  <si>
    <t>Usable Heating Value</t>
  </si>
  <si>
    <t>Cashflow Scale</t>
  </si>
  <si>
    <t>Equity</t>
  </si>
  <si>
    <t>Date</t>
  </si>
  <si>
    <t>Btu/ton</t>
  </si>
  <si>
    <t>Debt</t>
  </si>
  <si>
    <t>Site Prep Time</t>
  </si>
  <si>
    <t>Months</t>
  </si>
  <si>
    <t>Carbon Thermal Energy</t>
  </si>
  <si>
    <t>kWh/ton</t>
  </si>
  <si>
    <t>Tenor of Loan</t>
  </si>
  <si>
    <t>Years</t>
  </si>
  <si>
    <t>Site Prep Completion Date</t>
  </si>
  <si>
    <t>MWh/ton</t>
  </si>
  <si>
    <t>Interest Rate</t>
  </si>
  <si>
    <t>Site Prep Cost</t>
  </si>
  <si>
    <t>Carbon Mass Rate</t>
  </si>
  <si>
    <t>ton/MWh</t>
  </si>
  <si>
    <t>Cost of Equity</t>
  </si>
  <si>
    <t>Site Prep % of Land</t>
  </si>
  <si>
    <t>lb/MWh</t>
  </si>
  <si>
    <t>Total Tax Rate</t>
  </si>
  <si>
    <t>Powered Land Sale Cost</t>
  </si>
  <si>
    <t>$/MW</t>
  </si>
  <si>
    <t>- Federal TAX</t>
  </si>
  <si>
    <t>Powered Land Sale Date</t>
  </si>
  <si>
    <t>- State Tax</t>
  </si>
  <si>
    <t>Powered Land Sale Acres</t>
  </si>
  <si>
    <t>- Local Tax</t>
  </si>
  <si>
    <t>Envrionmental Clean-Up Cost</t>
  </si>
  <si>
    <t>WACC</t>
  </si>
  <si>
    <t>Contaminated % of Land</t>
  </si>
  <si>
    <t>CE ITC</t>
  </si>
  <si>
    <t>N/A</t>
  </si>
  <si>
    <t>Property Tax</t>
  </si>
  <si>
    <t>CE PTC</t>
  </si>
  <si>
    <t>$/MWh</t>
  </si>
  <si>
    <t>Site Utility Distribution O&amp;M</t>
  </si>
  <si>
    <t>45V Hydrogen PTC</t>
  </si>
  <si>
    <t>$/kg-H2</t>
  </si>
  <si>
    <t>Site Maintenance</t>
  </si>
  <si>
    <t>Currency Escalator (Inflation)</t>
  </si>
  <si>
    <t>Security</t>
  </si>
  <si>
    <t>Revenue Escalator</t>
  </si>
  <si>
    <t>Owner's Expenses</t>
  </si>
  <si>
    <t>O&amp;M Escalator</t>
  </si>
  <si>
    <t>Insurance</t>
  </si>
  <si>
    <t>% of Capex</t>
  </si>
  <si>
    <t>Technology Development</t>
  </si>
  <si>
    <t>Conversion Metrics</t>
  </si>
  <si>
    <t>Conversion</t>
  </si>
  <si>
    <t>Metric</t>
  </si>
  <si>
    <t>Value</t>
  </si>
  <si>
    <t>kWh to MWh</t>
  </si>
  <si>
    <t>kWh/MWh</t>
  </si>
  <si>
    <t>Construction Time</t>
  </si>
  <si>
    <t>Sqft to Acre</t>
  </si>
  <si>
    <t>sqft/acre</t>
  </si>
  <si>
    <t>Completion Date</t>
  </si>
  <si>
    <t>Hours to Year</t>
  </si>
  <si>
    <t>Hours/Year</t>
  </si>
  <si>
    <t>Commissioning Time</t>
  </si>
  <si>
    <t>BTU to kWh</t>
  </si>
  <si>
    <t>Btu/kWh</t>
  </si>
  <si>
    <t>Operation Date</t>
  </si>
  <si>
    <t>Lbs to Tons</t>
  </si>
  <si>
    <t>Lbs/Ton</t>
  </si>
  <si>
    <t>First Operational Year End</t>
  </si>
  <si>
    <t xml:space="preserve">Lbs to Solvent Gals </t>
  </si>
  <si>
    <t>lbs/gal</t>
  </si>
  <si>
    <t>Refresh Cost</t>
  </si>
  <si>
    <t>% of Initial</t>
  </si>
  <si>
    <t>SCF to MMBtu</t>
  </si>
  <si>
    <t>SCF/MMBtu</t>
  </si>
  <si>
    <t>Refresh Frequency</t>
  </si>
  <si>
    <t>Project Analysis Period</t>
  </si>
  <si>
    <t>Retirement Date</t>
  </si>
  <si>
    <t>Salvage Value</t>
  </si>
  <si>
    <t>Total Initial Capex</t>
  </si>
  <si>
    <t>- Design</t>
  </si>
  <si>
    <t>- Fee</t>
  </si>
  <si>
    <t>- Permit</t>
  </si>
  <si>
    <t>- General Conditions</t>
  </si>
  <si>
    <t>- Sitework</t>
  </si>
  <si>
    <t>- Foundations/Structure</t>
  </si>
  <si>
    <t>- Buiding Shell</t>
  </si>
  <si>
    <t>- Equipment</t>
  </si>
  <si>
    <t>- Interior Build-out / Finishes</t>
  </si>
  <si>
    <t>CM EPC Margin</t>
  </si>
  <si>
    <t>Building as a % of Land **HARD INPUT**</t>
  </si>
  <si>
    <t>Land Needed per Unit</t>
  </si>
  <si>
    <t>Sqft/Unit</t>
  </si>
  <si>
    <t>Acre/Unit</t>
  </si>
  <si>
    <t>- White Space (Critical Infrastructure)</t>
  </si>
  <si>
    <t>- Gray Space (Support Infrastructure)</t>
  </si>
  <si>
    <t>Total Acreage</t>
  </si>
  <si>
    <t>Acre</t>
  </si>
  <si>
    <t>Constructed Building Lease</t>
  </si>
  <si>
    <t>$/sqft/yr</t>
  </si>
  <si>
    <t>Land Lease</t>
  </si>
  <si>
    <t>Power Take</t>
  </si>
  <si>
    <t>Machines</t>
  </si>
  <si>
    <t>#</t>
  </si>
  <si>
    <t>Electric Efficiency</t>
  </si>
  <si>
    <t>Electric Consumption per Machine</t>
  </si>
  <si>
    <t>MW</t>
  </si>
  <si>
    <t>Electric Consumption Total</t>
  </si>
  <si>
    <t>Capex per Machine</t>
  </si>
  <si>
    <t>Offtake Revenue per Machine</t>
  </si>
  <si>
    <t>See Below</t>
  </si>
  <si>
    <t>Fixed O&amp;M</t>
  </si>
  <si>
    <t>Variable O&amp;M</t>
  </si>
  <si>
    <t>$M/Installed Unit</t>
  </si>
  <si>
    <t>Warranty/Insurance Premium</t>
  </si>
  <si>
    <t>On-site PPA Price</t>
  </si>
  <si>
    <t>Grid Price</t>
  </si>
  <si>
    <t>Machine Capacity Factor</t>
  </si>
  <si>
    <t>Days Operating</t>
  </si>
  <si>
    <t>Days/Year</t>
  </si>
  <si>
    <t>Hours Operating</t>
  </si>
  <si>
    <t>Hours/day</t>
  </si>
  <si>
    <t>Power Make</t>
  </si>
  <si>
    <t>Installed Power</t>
  </si>
  <si>
    <t>OEM Recommended Run Rate</t>
  </si>
  <si>
    <t>Capex per Unit</t>
  </si>
  <si>
    <t>$/MW-year</t>
  </si>
  <si>
    <t>Heat Rate</t>
  </si>
  <si>
    <t>Fuel Price</t>
  </si>
  <si>
    <t>$/MMBtu</t>
  </si>
  <si>
    <t>On-Site PPA Price</t>
  </si>
  <si>
    <t>On-Site PPA Length</t>
  </si>
  <si>
    <t>Annual Degradation</t>
  </si>
  <si>
    <t>Battery Duration</t>
  </si>
  <si>
    <t>Hours</t>
  </si>
  <si>
    <t>Battery Total Capability</t>
  </si>
  <si>
    <t>MWh</t>
  </si>
  <si>
    <t>Output Efficiency</t>
  </si>
  <si>
    <t>Depth of Discharge</t>
  </si>
  <si>
    <t>Cycles/Day</t>
  </si>
  <si>
    <t>Cycles</t>
  </si>
  <si>
    <t>Hours/Day</t>
  </si>
  <si>
    <t>Annual Capacity Factor</t>
  </si>
  <si>
    <t>Station Service Load</t>
  </si>
  <si>
    <t>Hydrogen Offtake Revenues</t>
  </si>
  <si>
    <t>Electrolyzer size</t>
  </si>
  <si>
    <t>Higher Heating Value of Hydrogen</t>
  </si>
  <si>
    <t>kWh/kg_H2</t>
  </si>
  <si>
    <t>Lower Heating Value of Hydrogen</t>
  </si>
  <si>
    <t>Levelized penalty for efficiency degradation</t>
  </si>
  <si>
    <t>kWh/kg</t>
  </si>
  <si>
    <t>Electric consumption of H2</t>
  </si>
  <si>
    <t>Hydrogen price (per kg)</t>
  </si>
  <si>
    <t>$</t>
  </si>
  <si>
    <t>SENS Offtake Revenues</t>
  </si>
  <si>
    <t>Machine Efficiency</t>
  </si>
  <si>
    <t>Machine Capacity</t>
  </si>
  <si>
    <t>ton / year</t>
  </si>
  <si>
    <t>Feedstock Cost</t>
  </si>
  <si>
    <t>$/ton</t>
  </si>
  <si>
    <t>SENS Coal Offtake Revenues</t>
  </si>
  <si>
    <t>SENS COAL CONVERSION</t>
  </si>
  <si>
    <t>checksum</t>
  </si>
  <si>
    <t>Carbon Consumption for Generation</t>
  </si>
  <si>
    <t>ton / year (M)</t>
  </si>
  <si>
    <t>Commercial Carbon</t>
  </si>
  <si>
    <t>Total Coal Feedstock Requirement</t>
  </si>
  <si>
    <t>Product Cut</t>
  </si>
  <si>
    <t>Carbon (Coal-Char-Fuel) Mass Ratio</t>
  </si>
  <si>
    <t>Carbon (Coal-Char-Fuel)</t>
  </si>
  <si>
    <t>ton/ton</t>
  </si>
  <si>
    <t>Coal-Fuel-Oil Mass Ratio</t>
  </si>
  <si>
    <t>Coal-Fuel-Oil Volume</t>
  </si>
  <si>
    <t>gal/ton</t>
  </si>
  <si>
    <t>bbl/ton</t>
  </si>
  <si>
    <t>Mineral Ash</t>
  </si>
  <si>
    <t>Mineral Ash Volume</t>
  </si>
  <si>
    <t>Water Mass Ratio</t>
  </si>
  <si>
    <t>Water Volume</t>
  </si>
  <si>
    <t>Process Gas Mass Ratio</t>
  </si>
  <si>
    <t>Process Gas Density</t>
  </si>
  <si>
    <t>lb/scf</t>
  </si>
  <si>
    <t>Process Gas Volume</t>
  </si>
  <si>
    <t>scf/ton</t>
  </si>
  <si>
    <t>Process Gas Energy</t>
  </si>
  <si>
    <t>MMBtu/ton</t>
  </si>
  <si>
    <t>Process Gas</t>
  </si>
  <si>
    <t xml:space="preserve">Particulate Matter </t>
  </si>
  <si>
    <t>PM/ton</t>
  </si>
  <si>
    <t>Commodity Price</t>
  </si>
  <si>
    <t>Processed Coal Price (Coal-Char-Fuel)</t>
  </si>
  <si>
    <t>Thermal Carbon - Fixed Carbon</t>
  </si>
  <si>
    <t>%/weight</t>
  </si>
  <si>
    <t>Thermal Carbon - Processed Ash Content</t>
  </si>
  <si>
    <t>Value of Thermal Carbon</t>
  </si>
  <si>
    <t>Commercial Carbon (Coal-Char-Fuel)</t>
  </si>
  <si>
    <t>Coal-Fuel-Oil</t>
  </si>
  <si>
    <t>$/gal</t>
  </si>
  <si>
    <t>Water</t>
  </si>
  <si>
    <t>Coal Fines (PM?)</t>
  </si>
  <si>
    <t>Total Revenue</t>
  </si>
  <si>
    <t>$/feedstock ton</t>
  </si>
  <si>
    <t>Thermal Carbon (Coal-Char-Fuel)</t>
  </si>
  <si>
    <t>SENS Tire Offtake Revenues</t>
  </si>
  <si>
    <t>SENS TIRE CONVERSION</t>
  </si>
  <si>
    <t>Solvent Mass Ratio</t>
  </si>
  <si>
    <t>Solvent Volume</t>
  </si>
  <si>
    <t>gallons/ton</t>
  </si>
  <si>
    <t>Carbon Black Mass Ratio</t>
  </si>
  <si>
    <t>Carbon Black Mass</t>
  </si>
  <si>
    <t xml:space="preserve">Solvent </t>
  </si>
  <si>
    <t>Carbon Black</t>
  </si>
  <si>
    <t>x</t>
  </si>
  <si>
    <t>Capital Expenditure</t>
  </si>
  <si>
    <t>Values in $M</t>
  </si>
  <si>
    <t>Projected Year Ending December 31</t>
  </si>
  <si>
    <t>BESS Operating Assumptions</t>
  </si>
  <si>
    <t>Data Center</t>
  </si>
  <si>
    <t>Coal</t>
  </si>
  <si>
    <t>Tires</t>
  </si>
  <si>
    <t>Total Capital Expenditure</t>
  </si>
  <si>
    <t>Total</t>
  </si>
  <si>
    <t>Income</t>
  </si>
  <si>
    <t>Power Take and Offtake Revenue</t>
  </si>
  <si>
    <t>Power Take and Offtake (Expenses)</t>
  </si>
  <si>
    <t>Power Take and Offtake Other Income</t>
  </si>
  <si>
    <t>Power Take and Offtake Income Before Taxes</t>
  </si>
  <si>
    <t>Land Lease Revenue</t>
  </si>
  <si>
    <t>Land Lease (Expenses)</t>
  </si>
  <si>
    <t>Land Lease Other Income</t>
  </si>
  <si>
    <t>Land Lease Income Before Taxes</t>
  </si>
  <si>
    <t>Electricty Generation Revenue</t>
  </si>
  <si>
    <t>Load served from Generation - Solar</t>
  </si>
  <si>
    <t>Load served from Generation - BESS Discharge</t>
  </si>
  <si>
    <t>Load served from Generation - Nat Gas</t>
  </si>
  <si>
    <t>Load served from Generation - Carbon</t>
  </si>
  <si>
    <t>Electricty Generation (Expenses)</t>
  </si>
  <si>
    <t>Electricty Supply Other Income</t>
  </si>
  <si>
    <t>Electricity Income Before Taxes</t>
  </si>
  <si>
    <t>Project Revenue</t>
  </si>
  <si>
    <t>Project (Expenses)</t>
  </si>
  <si>
    <t>Project Other Income</t>
  </si>
  <si>
    <t>Total Project Income Before Taxes</t>
  </si>
  <si>
    <t>Electric Generation and Consumption</t>
  </si>
  <si>
    <t>Customer Demand (MWh)</t>
  </si>
  <si>
    <t>Starfire</t>
  </si>
  <si>
    <t>BESS Charge</t>
  </si>
  <si>
    <t>Generation from BTMG (MWh)</t>
  </si>
  <si>
    <t>BESS Discharge</t>
  </si>
  <si>
    <t>Total Electricity Consumption On Site (MWh)</t>
  </si>
  <si>
    <t>Total Electricity Generated by BTMG (MWh)</t>
  </si>
  <si>
    <t>Total Load Served from Grid (MWh)</t>
  </si>
  <si>
    <t>Offtake Production</t>
  </si>
  <si>
    <t>Values in M</t>
  </si>
  <si>
    <t>Hydrogen ('000 kg)</t>
  </si>
  <si>
    <t>Total Coal Processed</t>
  </si>
  <si>
    <t>Carbon (ton)</t>
  </si>
  <si>
    <t>Fuel Oil (gal)</t>
  </si>
  <si>
    <t>Water (gal)</t>
  </si>
  <si>
    <t>Total Tires Processed</t>
  </si>
  <si>
    <t>Tires - Carbon</t>
  </si>
  <si>
    <t>Tires - Oil</t>
  </si>
  <si>
    <t>Tires - Process Gas</t>
  </si>
  <si>
    <t>Valuation</t>
  </si>
  <si>
    <t>EBIT</t>
  </si>
  <si>
    <t>Tax-Affected EBIT</t>
  </si>
  <si>
    <t xml:space="preserve">    Plus: D&amp;A</t>
  </si>
  <si>
    <t xml:space="preserve">     Less: Capital Expenditures</t>
  </si>
  <si>
    <t xml:space="preserve">     Less: Changes in NWC</t>
  </si>
  <si>
    <t>Unlevered FCF</t>
  </si>
  <si>
    <t>Acquistion Costs</t>
  </si>
  <si>
    <t>Salvage Value after 20 years</t>
  </si>
  <si>
    <t>Total Free Cash Flow</t>
  </si>
  <si>
    <t>Accumulated CF</t>
  </si>
  <si>
    <t>ROIC Calculation</t>
  </si>
  <si>
    <t>Tax-Affected EBIT (NOPAT)</t>
  </si>
  <si>
    <t>Invested Capital</t>
  </si>
  <si>
    <t xml:space="preserve">   Capex</t>
  </si>
  <si>
    <t xml:space="preserve">   Depreciation</t>
  </si>
  <si>
    <t>Net Invested Capital</t>
  </si>
  <si>
    <t>NWC</t>
  </si>
  <si>
    <t>Total Invested Capital</t>
  </si>
  <si>
    <t>ROIC</t>
  </si>
  <si>
    <t>Payback Period Data</t>
  </si>
  <si>
    <t>Cumulative Cash Flow</t>
  </si>
  <si>
    <t>Cash Flow Flag</t>
  </si>
  <si>
    <t>Partial Year Adjustment</t>
  </si>
  <si>
    <t>Payback Period</t>
  </si>
  <si>
    <t>Unlevered Project Key Financial Metrics (in $M)</t>
  </si>
  <si>
    <t>Acquisition Costs</t>
  </si>
  <si>
    <t>In order to get the target IRR, the maximum purchase price we can pay</t>
  </si>
  <si>
    <t>Implied Acquisition Multiple</t>
  </si>
  <si>
    <t>Initial Capex</t>
  </si>
  <si>
    <t>Unlevered NPV</t>
  </si>
  <si>
    <t>Target Unlevered IRR</t>
  </si>
  <si>
    <t>ROIC (Year 5)</t>
  </si>
  <si>
    <t>Payback Period (year)</t>
  </si>
  <si>
    <t>Debt Modeling</t>
  </si>
  <si>
    <t>Levered Key Financial Metrics (in $M)</t>
  </si>
  <si>
    <t>Debt Facility Size</t>
  </si>
  <si>
    <t>Debt or "Leverage" (as % of Purchase Price and Initial Capex)</t>
  </si>
  <si>
    <t>Average DSCR</t>
  </si>
  <si>
    <t>Levered NPV</t>
  </si>
  <si>
    <t xml:space="preserve">Levered IRR (%) </t>
  </si>
  <si>
    <t>CADS</t>
  </si>
  <si>
    <t>Debt Service</t>
  </si>
  <si>
    <t>DSCR</t>
  </si>
  <si>
    <t>Cash Available for Dividend to Equity</t>
  </si>
  <si>
    <t>Loan Balance</t>
  </si>
  <si>
    <t>Begin of Year</t>
  </si>
  <si>
    <t>Amortization</t>
  </si>
  <si>
    <t>End of Year</t>
  </si>
  <si>
    <t>Interest</t>
  </si>
  <si>
    <t>Principal</t>
  </si>
  <si>
    <t>Dashboard Tables</t>
  </si>
  <si>
    <t>Land Use Item</t>
  </si>
  <si>
    <t>Acreage</t>
  </si>
  <si>
    <t>StarFire</t>
  </si>
  <si>
    <t>Unused Land</t>
  </si>
  <si>
    <t>Development</t>
  </si>
  <si>
    <t>check</t>
  </si>
  <si>
    <t xml:space="preserve">     Plus: D&amp;A</t>
  </si>
  <si>
    <t>ISCM Recapture</t>
  </si>
  <si>
    <t>Load</t>
  </si>
  <si>
    <t>Available Generation from Microgrid (MWh)</t>
  </si>
  <si>
    <t>Total Available Generation from BTMG (MWh)</t>
  </si>
  <si>
    <t>Load Served Onsite BTMG (MWh)</t>
  </si>
  <si>
    <t>Load Served from Grid (MWh)</t>
  </si>
  <si>
    <t>BTMG Price ($/MWh)</t>
  </si>
  <si>
    <t>Grid Price ($/MWh)</t>
  </si>
  <si>
    <t>MWh to kWh converter</t>
  </si>
  <si>
    <t>Million to $</t>
  </si>
  <si>
    <t>Costruction Months</t>
  </si>
  <si>
    <t>Accumulated Months</t>
  </si>
  <si>
    <t>Envrionmental Clean Cost</t>
  </si>
  <si>
    <t>Land Development Infrastructure Cost</t>
  </si>
  <si>
    <t>Financial Projection</t>
  </si>
  <si>
    <t>Starfire Data Center</t>
  </si>
  <si>
    <t>Site Common Area O&amp;M and Security</t>
  </si>
  <si>
    <t>Building O&amp;M</t>
  </si>
  <si>
    <t>Site Electricity Distribution O&amp;M</t>
  </si>
  <si>
    <t>Total Expenses</t>
  </si>
  <si>
    <t>Operating Income</t>
  </si>
  <si>
    <t>Other Income  / (Expense)</t>
  </si>
  <si>
    <t>Interest Income/(Expense)</t>
  </si>
  <si>
    <t>Gain on Sale of Powered Land</t>
  </si>
  <si>
    <t>Gain on Sale of Equipment</t>
  </si>
  <si>
    <t>Total Other Income &amp; Expense</t>
  </si>
  <si>
    <t>Income Before Taxes</t>
  </si>
  <si>
    <t>Tax Expense</t>
  </si>
  <si>
    <t>Net Income</t>
  </si>
  <si>
    <t>Capex</t>
  </si>
  <si>
    <t>D&amp;A</t>
  </si>
  <si>
    <t>EBITDA</t>
  </si>
  <si>
    <t>Total Construction Cost</t>
  </si>
  <si>
    <t>Purchase Price</t>
  </si>
  <si>
    <t>Data Center ARR (per MW IT)</t>
  </si>
  <si>
    <t>Data Center Capacity (MW IT)</t>
  </si>
  <si>
    <t>Utilization %</t>
  </si>
  <si>
    <t>Data Center Revenue</t>
  </si>
  <si>
    <t>Data Center Opex (per MW IT)</t>
  </si>
  <si>
    <t>Data Center Opex</t>
  </si>
  <si>
    <t>Maintenance Cost (per MW IT)</t>
  </si>
  <si>
    <t>Maintenance Cost</t>
  </si>
  <si>
    <t>Data Center Opex Total</t>
  </si>
  <si>
    <t>% revenue</t>
  </si>
  <si>
    <t>Interest Expense</t>
  </si>
  <si>
    <t>Depreciable Capex Balance</t>
  </si>
  <si>
    <t>Expired Capex</t>
  </si>
  <si>
    <t>Accumulated D&amp;A</t>
  </si>
  <si>
    <t>Ending Balance of Capex</t>
  </si>
  <si>
    <t>Installed Battery Capacity</t>
  </si>
  <si>
    <t>Annual Max Capacity Availability (MWh)</t>
  </si>
  <si>
    <t>Annual Output, net</t>
  </si>
  <si>
    <t>Total Sales</t>
  </si>
  <si>
    <t>Revenue</t>
  </si>
  <si>
    <t>Charging Cost</t>
  </si>
  <si>
    <t>Total OpEx</t>
  </si>
  <si>
    <t>Interest/Other Income</t>
  </si>
  <si>
    <t>Interest/Other Expense</t>
  </si>
  <si>
    <t>ITC</t>
  </si>
  <si>
    <t>Accumulated ITC</t>
  </si>
  <si>
    <t>Annual Max Delivery (MWh)</t>
  </si>
  <si>
    <t>Annual Production, nameplate (MWh)</t>
  </si>
  <si>
    <t>Annual Production, net</t>
  </si>
  <si>
    <t>Gross Profit</t>
  </si>
  <si>
    <t>Fuel Cost</t>
  </si>
  <si>
    <t>Total Opex</t>
  </si>
  <si>
    <t>O&amp;M</t>
  </si>
  <si>
    <t>Insurance Cost</t>
  </si>
  <si>
    <t>Hydrogen Price $ / kg</t>
  </si>
  <si>
    <t>Total Electric Demand (MWh)</t>
  </si>
  <si>
    <t>Electrolysis Electric Consumption</t>
  </si>
  <si>
    <t>Total H2 Output ('000 kg)</t>
  </si>
  <si>
    <t>Electricity Costs</t>
  </si>
  <si>
    <t>Process Water Costs</t>
  </si>
  <si>
    <t>Warranty / Insurance</t>
  </si>
  <si>
    <t>Production</t>
  </si>
  <si>
    <t>Processing Volume (tons)</t>
  </si>
  <si>
    <t xml:space="preserve">GAS Output </t>
  </si>
  <si>
    <t>Profit</t>
  </si>
  <si>
    <t>Total O&amp;M</t>
  </si>
  <si>
    <t>Offtake Production - Carbon (ton)</t>
  </si>
  <si>
    <t>Offtake Production - Fuel Oil (gal)</t>
  </si>
  <si>
    <t>Offtake Production - Water (gal)</t>
  </si>
  <si>
    <t>Offtake Production - Process Gas</t>
  </si>
  <si>
    <t>Coal -char fuel (Carbon) for Power Gen</t>
  </si>
  <si>
    <t>Coal-char fuel (Carbon)</t>
  </si>
  <si>
    <t>Coal-fuel-oil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</si>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</sst>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\x"/>
    <numFmt numFmtId="167" formatCode="0.00_);\(0.00\)"/>
    <numFmt numFmtId="168" formatCode="0_);\(0\)"/>
    <numFmt numFmtId="169" formatCode="#,##0.0\x"/>
    <numFmt numFmtId="170" formatCode="0.0%"/>
    <numFmt numFmtId="171" formatCode="0\x"/>
    <numFmt numFmtId="172" formatCode="&quot;$&quot;#,##0.00000_);\(&quot;$&quot;#,##0.00000\)"/>
    <numFmt numFmtId="173" formatCode="[=1]&quot;On&quot;;&quot;Off&quot;"/>
    <numFmt numFmtId="174" formatCode="#,##0.0"/>
    <numFmt numFmtId="175" formatCode="0.0"/>
    <numFmt numFmtId="176" formatCode="0.000"/>
    <numFmt numFmtId="177" formatCode="_([$$-409]* #,##0.00_);_([$$-409]* \(#,##0.00\);_([$$-409]* &quot;-&quot;??_);_(@_)"/>
    <numFmt numFmtId="178" formatCode="#,##0.000_);\(#,##0.000\)"/>
    <numFmt numFmtId="179" formatCode="&quot;Year&quot;\ 0"/>
    <numFmt numFmtId="180" formatCode="0.00000000%"/>
    <numFmt numFmtId="181" formatCode="&quot;$&quot;#,##0.00"/>
    <numFmt numFmtId="182" formatCode="0.0000"/>
    <numFmt numFmtId="183" formatCode="&quot;$&quot;#,##0.0000"/>
    <numFmt numFmtId="184" formatCode="&quot;$&quot;#,##0"/>
    <numFmt numFmtId="185" formatCode="_(&quot;$&quot;* #,##0_);_(&quot;$&quot;* \(#,##0\);_(&quot;$&quot;* &quot;-&quot;??_);_(@_)"/>
    <numFmt numFmtId="186" formatCode="_([$$-409]* #,##0_);_([$$-409]* \(#,##0\);_([$$-409]* &quot;-&quot;??_);_(@_)"/>
  </numFmts>
  <fonts count="1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1"/>
      <color rgb="FF757070"/>
      <name val="Calibri"/>
      <family val="2"/>
    </font>
    <font>
      <sz val="11"/>
      <color rgb="FF0000FF"/>
      <name val="Calibri"/>
      <family val="2"/>
    </font>
    <font>
      <sz val="11"/>
      <color rgb="FF00B050"/>
      <name val="Calibri"/>
      <family val="2"/>
    </font>
    <font>
      <sz val="10"/>
      <color rgb="FF0070C0"/>
      <name val="Arial"/>
      <family val="2"/>
    </font>
    <font>
      <sz val="10"/>
      <color rgb="FF0000FF"/>
      <name val="Arial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14"/>
      <color theme="1"/>
      <name val="Calibri"/>
      <family val="2"/>
    </font>
    <font>
      <i/>
      <sz val="11"/>
      <color rgb="FFD0CECE"/>
      <name val="Calibri"/>
      <family val="2"/>
    </font>
    <font>
      <b/>
      <sz val="10"/>
      <color rgb="FFFFFFFF"/>
      <name val="Calibri"/>
      <family val="2"/>
    </font>
    <font>
      <sz val="10"/>
      <color rgb="FF0000FF"/>
      <name val="Calibri"/>
      <family val="2"/>
    </font>
    <font>
      <sz val="10"/>
      <color rgb="FF00B050"/>
      <name val="Calibri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rgb="FF0000FF"/>
      <name val="Calibri"/>
      <family val="2"/>
    </font>
    <font>
      <b/>
      <i/>
      <u/>
      <sz val="10"/>
      <color theme="1"/>
      <name val="Calibri"/>
      <family val="2"/>
    </font>
    <font>
      <sz val="10"/>
      <color rgb="FF008000"/>
      <name val="Calibri"/>
      <family val="2"/>
    </font>
    <font>
      <sz val="14"/>
      <color theme="1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0"/>
      <color theme="2" tint="-0.1499984740745262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Aptos Narrow"/>
      <family val="2"/>
    </font>
    <font>
      <i/>
      <u/>
      <sz val="11"/>
      <color theme="10"/>
      <name val="Aptos Narrow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Palatino Linotype"/>
      <family val="1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theme="0" tint="-0.249977111117893"/>
      <name val="Calibri"/>
      <family val="2"/>
    </font>
    <font>
      <b/>
      <sz val="11"/>
      <color rgb="FF000000"/>
      <name val="Calibri"/>
      <family val="2"/>
    </font>
    <font>
      <b/>
      <sz val="10"/>
      <name val="Calibri"/>
      <family val="2"/>
    </font>
    <font>
      <b/>
      <sz val="11"/>
      <color rgb="FF00B050"/>
      <name val="Calibri"/>
      <family val="2"/>
    </font>
    <font>
      <sz val="11"/>
      <color theme="2" tint="-0.1499984740745262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2" tint="-0.34998626667073579"/>
      <name val="Calibri"/>
      <family val="2"/>
    </font>
    <font>
      <b/>
      <sz val="11"/>
      <name val="Calibri"/>
      <family val="2"/>
      <scheme val="minor"/>
    </font>
    <font>
      <b/>
      <sz val="10"/>
      <color rgb="FF00B050"/>
      <name val="Calibri"/>
      <family val="2"/>
    </font>
    <font>
      <b/>
      <sz val="10"/>
      <name val="Calibri"/>
      <family val="2"/>
      <scheme val="major"/>
    </font>
    <font>
      <sz val="10"/>
      <name val="Calibri"/>
      <family val="2"/>
      <scheme val="major"/>
    </font>
    <font>
      <sz val="11"/>
      <color theme="1"/>
      <name val="Calibri"/>
      <family val="2"/>
      <scheme val="major"/>
    </font>
    <font>
      <i/>
      <sz val="11"/>
      <color rgb="FF00B050"/>
      <name val="Calibri"/>
      <family val="2"/>
    </font>
    <font>
      <b/>
      <i/>
      <sz val="11"/>
      <color theme="1"/>
      <name val="Calibri"/>
      <family val="2"/>
    </font>
    <font>
      <sz val="10"/>
      <color rgb="FF0070C0"/>
      <name val="Calibri"/>
      <family val="2"/>
      <scheme val="major"/>
    </font>
    <font>
      <sz val="10"/>
      <color rgb="FF0000FF"/>
      <name val="Calibri"/>
      <family val="2"/>
      <scheme val="major"/>
    </font>
    <font>
      <sz val="11"/>
      <color rgb="FF757070"/>
      <name val="Calibri"/>
      <family val="2"/>
      <scheme val="major"/>
    </font>
    <font>
      <b/>
      <sz val="14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12"/>
      <color theme="1"/>
      <name val="Calibri"/>
      <family val="2"/>
      <scheme val="major"/>
    </font>
    <font>
      <i/>
      <sz val="10"/>
      <color theme="1"/>
      <name val="Calibri"/>
      <family val="2"/>
      <scheme val="major"/>
    </font>
    <font>
      <i/>
      <sz val="11"/>
      <color rgb="FFD0CECE"/>
      <name val="Calibri"/>
      <family val="2"/>
      <scheme val="major"/>
    </font>
    <font>
      <b/>
      <sz val="11"/>
      <color theme="1"/>
      <name val="Calibri"/>
      <family val="2"/>
      <scheme val="major"/>
    </font>
    <font>
      <b/>
      <sz val="11"/>
      <color theme="0"/>
      <name val="Calibri"/>
      <family val="2"/>
      <scheme val="major"/>
    </font>
    <font>
      <b/>
      <i/>
      <u/>
      <sz val="10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i/>
      <sz val="11"/>
      <color theme="1"/>
      <name val="Calibri"/>
      <family val="2"/>
      <scheme val="major"/>
    </font>
    <font>
      <b/>
      <sz val="10"/>
      <color rgb="FF000000"/>
      <name val="Calibri"/>
      <family val="2"/>
      <scheme val="major"/>
    </font>
    <font>
      <b/>
      <sz val="11"/>
      <color rgb="FF0000FF"/>
      <name val="Calibri"/>
      <family val="2"/>
      <scheme val="major"/>
    </font>
    <font>
      <b/>
      <i/>
      <sz val="11"/>
      <color rgb="FF000000"/>
      <name val="Calibri"/>
      <family val="2"/>
      <scheme val="major"/>
    </font>
    <font>
      <sz val="11"/>
      <name val="Calibri"/>
      <family val="2"/>
      <scheme val="major"/>
    </font>
    <font>
      <sz val="11"/>
      <color rgb="FF00B050"/>
      <name val="Calibri"/>
      <family val="2"/>
      <scheme val="major"/>
    </font>
    <font>
      <sz val="11"/>
      <color rgb="FF0000FF"/>
      <name val="Calibri"/>
      <family val="2"/>
      <scheme val="major"/>
    </font>
    <font>
      <i/>
      <sz val="11"/>
      <color rgb="FF00B050"/>
      <name val="Calibri"/>
      <family val="2"/>
      <scheme val="major"/>
    </font>
    <font>
      <b/>
      <sz val="10"/>
      <color rgb="FFFFFFFF"/>
      <name val="Calibri"/>
      <family val="2"/>
      <scheme val="major"/>
    </font>
    <font>
      <sz val="10"/>
      <color rgb="FF00B050"/>
      <name val="Calibri"/>
      <family val="2"/>
      <scheme val="major"/>
    </font>
    <font>
      <sz val="10"/>
      <color rgb="FF008000"/>
      <name val="Calibri"/>
      <family val="2"/>
      <scheme val="major"/>
    </font>
    <font>
      <i/>
      <sz val="11"/>
      <color rgb="FF000000"/>
      <name val="Calibri"/>
      <family val="2"/>
      <scheme val="major"/>
    </font>
    <font>
      <i/>
      <sz val="11"/>
      <color theme="2" tint="-0.34998626667073579"/>
      <name val="Calibri"/>
      <family val="2"/>
      <scheme val="major"/>
    </font>
    <font>
      <sz val="11"/>
      <color theme="2" tint="-0.14999847407452621"/>
      <name val="Calibri"/>
      <family val="2"/>
      <scheme val="major"/>
    </font>
    <font>
      <b/>
      <i/>
      <u/>
      <sz val="11"/>
      <color theme="1"/>
      <name val="Calibri"/>
      <family val="2"/>
    </font>
    <font>
      <b/>
      <sz val="11"/>
      <name val="Calibri"/>
      <family val="2"/>
      <scheme val="major"/>
    </font>
    <font>
      <sz val="11"/>
      <name val="Palatino Linotype"/>
      <family val="1"/>
    </font>
    <font>
      <b/>
      <sz val="11"/>
      <color rgb="FFFFFFFF"/>
      <name val="Calibri"/>
      <family val="2"/>
    </font>
    <font>
      <i/>
      <sz val="11"/>
      <color theme="1" tint="0.499984740745262"/>
      <name val="Calibri"/>
      <family val="2"/>
      <scheme val="minor"/>
    </font>
    <font>
      <i/>
      <sz val="11"/>
      <color theme="1" tint="0.499984740745262"/>
      <name val="Calibri"/>
      <family val="2"/>
    </font>
    <font>
      <sz val="10"/>
      <color theme="1"/>
      <name val="Anuphan SemiBold"/>
    </font>
    <font>
      <b/>
      <sz val="18"/>
      <color theme="0"/>
      <name val="Anuphan Medium"/>
    </font>
    <font>
      <sz val="10"/>
      <color theme="1"/>
      <name val="Anuphan Light"/>
    </font>
    <font>
      <sz val="10"/>
      <color rgb="FF0000FF"/>
      <name val="Anuphan"/>
    </font>
    <font>
      <sz val="10"/>
      <color theme="1"/>
      <name val="Anuphan"/>
    </font>
    <font>
      <sz val="10"/>
      <name val="Anuphan"/>
    </font>
    <font>
      <sz val="10"/>
      <color theme="1" tint="4.9989318521683403E-2"/>
      <name val="Anuphan"/>
    </font>
    <font>
      <sz val="10"/>
      <color rgb="FF000000"/>
      <name val="Anuphan"/>
    </font>
    <font>
      <b/>
      <sz val="10"/>
      <color theme="1"/>
      <name val="Anuphan SemiBold"/>
    </font>
    <font>
      <b/>
      <sz val="18"/>
      <color rgb="FFFFFFFF"/>
      <name val="Anuphan Medium"/>
    </font>
    <font>
      <sz val="10"/>
      <color theme="0"/>
      <name val="Anuphan SemiBold"/>
    </font>
    <font>
      <sz val="10"/>
      <name val="Anuphan SemiBold"/>
    </font>
    <font>
      <sz val="10"/>
      <color rgb="FF0000FF"/>
      <name val="Anuphan Light"/>
    </font>
    <font>
      <i/>
      <sz val="10"/>
      <color theme="1"/>
      <name val="Anuphan Light"/>
    </font>
    <font>
      <i/>
      <sz val="10"/>
      <color rgb="FF0000FF"/>
      <name val="Anuphan"/>
    </font>
    <font>
      <sz val="8"/>
      <color theme="0" tint="-0.499984740745262"/>
      <name val="Anuphan"/>
    </font>
    <font>
      <b/>
      <sz val="20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Inherit"/>
      <charset val="1"/>
    </font>
  </fonts>
  <fills count="2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EF2CB"/>
        <bgColor rgb="FFFEF2C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99CC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B050"/>
      </bottom>
      <diagonal/>
    </border>
    <border>
      <left/>
      <right/>
      <top style="medium">
        <color rgb="FF000000"/>
      </top>
      <bottom style="medium">
        <color rgb="FF00B05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B05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rgb="FF00B050"/>
      </bottom>
      <diagonal/>
    </border>
    <border>
      <left/>
      <right/>
      <top style="medium">
        <color indexed="64"/>
      </top>
      <bottom style="medium">
        <color rgb="FF00B050"/>
      </bottom>
      <diagonal/>
    </border>
    <border>
      <left/>
      <right style="medium">
        <color indexed="64"/>
      </right>
      <top style="medium">
        <color indexed="64"/>
      </top>
      <bottom style="medium">
        <color rgb="FF00B05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B05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B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2" fillId="0" borderId="10"/>
    <xf numFmtId="0" fontId="43" fillId="0" borderId="10"/>
    <xf numFmtId="0" fontId="42" fillId="0" borderId="10"/>
    <xf numFmtId="0" fontId="3" fillId="0" borderId="10"/>
    <xf numFmtId="43" fontId="3" fillId="0" borderId="10" applyFont="0" applyFill="0" applyBorder="0" applyAlignment="0" applyProtection="0"/>
    <xf numFmtId="0" fontId="2" fillId="0" borderId="10"/>
    <xf numFmtId="9" fontId="2" fillId="0" borderId="10" applyFont="0" applyFill="0" applyBorder="0" applyAlignment="0" applyProtection="0"/>
    <xf numFmtId="44" fontId="2" fillId="0" borderId="10" applyFont="0" applyFill="0" applyBorder="0" applyAlignment="0" applyProtection="0"/>
  </cellStyleXfs>
  <cellXfs count="841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11" fillId="2" borderId="8" xfId="0" applyFont="1" applyFill="1" applyBorder="1"/>
    <xf numFmtId="43" fontId="5" fillId="0" borderId="0" xfId="0" applyNumberFormat="1" applyFont="1"/>
    <xf numFmtId="3" fontId="19" fillId="0" borderId="9" xfId="0" applyNumberFormat="1" applyFont="1" applyBorder="1" applyAlignment="1">
      <alignment horizontal="left"/>
    </xf>
    <xf numFmtId="3" fontId="17" fillId="0" borderId="9" xfId="0" applyNumberFormat="1" applyFont="1" applyBorder="1" applyAlignment="1">
      <alignment horizontal="right"/>
    </xf>
    <xf numFmtId="3" fontId="10" fillId="0" borderId="9" xfId="0" applyNumberFormat="1" applyFont="1" applyBorder="1" applyAlignment="1">
      <alignment horizontal="right"/>
    </xf>
    <xf numFmtId="3" fontId="18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right"/>
    </xf>
    <xf numFmtId="43" fontId="14" fillId="0" borderId="0" xfId="0" applyNumberFormat="1" applyFont="1"/>
    <xf numFmtId="167" fontId="14" fillId="0" borderId="0" xfId="0" applyNumberFormat="1" applyFont="1"/>
    <xf numFmtId="0" fontId="17" fillId="0" borderId="0" xfId="0" applyFont="1" applyAlignment="1">
      <alignment horizontal="left"/>
    </xf>
    <xf numFmtId="168" fontId="14" fillId="0" borderId="0" xfId="0" applyNumberFormat="1" applyFont="1"/>
    <xf numFmtId="0" fontId="13" fillId="0" borderId="0" xfId="0" applyFont="1"/>
    <xf numFmtId="0" fontId="11" fillId="0" borderId="11" xfId="0" applyFont="1" applyBorder="1"/>
    <xf numFmtId="43" fontId="6" fillId="0" borderId="11" xfId="0" applyNumberFormat="1" applyFont="1" applyBorder="1"/>
    <xf numFmtId="0" fontId="6" fillId="0" borderId="11" xfId="0" applyFont="1" applyBorder="1"/>
    <xf numFmtId="43" fontId="8" fillId="0" borderId="0" xfId="0" applyNumberFormat="1" applyFont="1"/>
    <xf numFmtId="0" fontId="6" fillId="0" borderId="6" xfId="0" applyFont="1" applyBorder="1"/>
    <xf numFmtId="3" fontId="11" fillId="0" borderId="0" xfId="0" applyNumberFormat="1" applyFont="1" applyAlignment="1">
      <alignment horizontal="left"/>
    </xf>
    <xf numFmtId="0" fontId="6" fillId="0" borderId="3" xfId="0" applyFont="1" applyBorder="1"/>
    <xf numFmtId="3" fontId="11" fillId="0" borderId="6" xfId="0" applyNumberFormat="1" applyFont="1" applyBorder="1" applyAlignment="1">
      <alignment horizontal="left"/>
    </xf>
    <xf numFmtId="170" fontId="11" fillId="0" borderId="7" xfId="0" applyNumberFormat="1" applyFont="1" applyBorder="1" applyAlignment="1">
      <alignment horizontal="right"/>
    </xf>
    <xf numFmtId="169" fontId="17" fillId="0" borderId="0" xfId="0" applyNumberFormat="1" applyFont="1"/>
    <xf numFmtId="167" fontId="6" fillId="0" borderId="0" xfId="0" applyNumberFormat="1" applyFont="1"/>
    <xf numFmtId="43" fontId="6" fillId="0" borderId="0" xfId="0" applyNumberFormat="1" applyFont="1"/>
    <xf numFmtId="3" fontId="5" fillId="0" borderId="0" xfId="0" applyNumberFormat="1" applyFont="1"/>
    <xf numFmtId="8" fontId="5" fillId="0" borderId="0" xfId="0" applyNumberFormat="1" applyFont="1"/>
    <xf numFmtId="39" fontId="5" fillId="0" borderId="0" xfId="0" applyNumberFormat="1" applyFont="1"/>
    <xf numFmtId="164" fontId="14" fillId="0" borderId="0" xfId="0" applyNumberFormat="1" applyFont="1"/>
    <xf numFmtId="9" fontId="14" fillId="0" borderId="0" xfId="0" applyNumberFormat="1" applyFont="1"/>
    <xf numFmtId="164" fontId="6" fillId="0" borderId="0" xfId="0" applyNumberFormat="1" applyFont="1"/>
    <xf numFmtId="3" fontId="25" fillId="0" borderId="0" xfId="0" applyNumberFormat="1" applyFont="1" applyAlignment="1">
      <alignment horizontal="left"/>
    </xf>
    <xf numFmtId="170" fontId="25" fillId="0" borderId="0" xfId="0" applyNumberFormat="1" applyFont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7" fillId="0" borderId="0" xfId="0" applyFont="1"/>
    <xf numFmtId="0" fontId="20" fillId="0" borderId="0" xfId="0" applyFont="1"/>
    <xf numFmtId="0" fontId="28" fillId="0" borderId="0" xfId="0" applyFont="1"/>
    <xf numFmtId="43" fontId="23" fillId="0" borderId="0" xfId="0" applyNumberFormat="1" applyFont="1"/>
    <xf numFmtId="0" fontId="11" fillId="0" borderId="0" xfId="0" applyFont="1"/>
    <xf numFmtId="0" fontId="18" fillId="0" borderId="0" xfId="0" applyFont="1" applyAlignment="1">
      <alignment horizontal="left"/>
    </xf>
    <xf numFmtId="7" fontId="18" fillId="0" borderId="0" xfId="0" applyNumberFormat="1" applyFont="1"/>
    <xf numFmtId="0" fontId="11" fillId="0" borderId="0" xfId="0" applyFont="1" applyAlignment="1">
      <alignment horizontal="left"/>
    </xf>
    <xf numFmtId="5" fontId="17" fillId="0" borderId="0" xfId="0" applyNumberFormat="1" applyFont="1"/>
    <xf numFmtId="172" fontId="17" fillId="0" borderId="0" xfId="0" applyNumberFormat="1" applyFont="1"/>
    <xf numFmtId="164" fontId="17" fillId="0" borderId="0" xfId="0" applyNumberFormat="1" applyFont="1"/>
    <xf numFmtId="37" fontId="29" fillId="0" borderId="0" xfId="0" applyNumberFormat="1" applyFont="1"/>
    <xf numFmtId="43" fontId="29" fillId="0" borderId="0" xfId="0" applyNumberFormat="1" applyFont="1"/>
    <xf numFmtId="164" fontId="17" fillId="0" borderId="1" xfId="0" applyNumberFormat="1" applyFont="1" applyBorder="1"/>
    <xf numFmtId="37" fontId="17" fillId="0" borderId="0" xfId="0" applyNumberFormat="1" applyFont="1"/>
    <xf numFmtId="0" fontId="11" fillId="0" borderId="11" xfId="0" applyFont="1" applyBorder="1" applyAlignment="1">
      <alignment horizontal="left"/>
    </xf>
    <xf numFmtId="37" fontId="26" fillId="0" borderId="11" xfId="0" applyNumberFormat="1" applyFont="1" applyBorder="1"/>
    <xf numFmtId="37" fontId="14" fillId="0" borderId="0" xfId="0" applyNumberFormat="1" applyFont="1"/>
    <xf numFmtId="0" fontId="5" fillId="0" borderId="6" xfId="0" applyFont="1" applyBorder="1"/>
    <xf numFmtId="0" fontId="5" fillId="2" borderId="10" xfId="0" applyFont="1" applyFill="1" applyBorder="1"/>
    <xf numFmtId="0" fontId="12" fillId="2" borderId="10" xfId="0" applyFont="1" applyFill="1" applyBorder="1" applyAlignment="1">
      <alignment horizontal="center" vertical="center"/>
    </xf>
    <xf numFmtId="43" fontId="31" fillId="0" borderId="0" xfId="0" applyNumberFormat="1" applyFont="1"/>
    <xf numFmtId="164" fontId="31" fillId="0" borderId="0" xfId="0" applyNumberFormat="1" applyFont="1"/>
    <xf numFmtId="39" fontId="14" fillId="0" borderId="0" xfId="0" applyNumberFormat="1" applyFont="1"/>
    <xf numFmtId="164" fontId="17" fillId="0" borderId="0" xfId="1" applyNumberFormat="1" applyFont="1"/>
    <xf numFmtId="43" fontId="11" fillId="0" borderId="0" xfId="0" applyNumberFormat="1" applyFont="1"/>
    <xf numFmtId="39" fontId="17" fillId="0" borderId="0" xfId="0" applyNumberFormat="1" applyFont="1"/>
    <xf numFmtId="39" fontId="11" fillId="0" borderId="0" xfId="0" applyNumberFormat="1" applyFont="1"/>
    <xf numFmtId="39" fontId="11" fillId="2" borderId="8" xfId="0" applyNumberFormat="1" applyFont="1" applyFill="1" applyBorder="1"/>
    <xf numFmtId="39" fontId="29" fillId="0" borderId="0" xfId="0" applyNumberFormat="1" applyFont="1"/>
    <xf numFmtId="39" fontId="26" fillId="0" borderId="11" xfId="0" applyNumberFormat="1" applyFont="1" applyBorder="1"/>
    <xf numFmtId="43" fontId="17" fillId="0" borderId="0" xfId="1" applyFont="1"/>
    <xf numFmtId="0" fontId="32" fillId="0" borderId="0" xfId="0" applyFont="1"/>
    <xf numFmtId="164" fontId="5" fillId="0" borderId="17" xfId="1" applyNumberFormat="1" applyFont="1" applyBorder="1"/>
    <xf numFmtId="164" fontId="5" fillId="0" borderId="0" xfId="1" applyNumberFormat="1" applyFont="1"/>
    <xf numFmtId="0" fontId="0" fillId="0" borderId="10" xfId="0" applyBorder="1"/>
    <xf numFmtId="0" fontId="0" fillId="0" borderId="24" xfId="0" applyBorder="1"/>
    <xf numFmtId="9" fontId="36" fillId="0" borderId="10" xfId="2" applyFont="1" applyFill="1" applyBorder="1"/>
    <xf numFmtId="0" fontId="6" fillId="0" borderId="19" xfId="0" applyFont="1" applyBorder="1"/>
    <xf numFmtId="0" fontId="6" fillId="0" borderId="10" xfId="0" applyFont="1" applyBorder="1"/>
    <xf numFmtId="0" fontId="5" fillId="0" borderId="10" xfId="0" applyFont="1" applyBorder="1"/>
    <xf numFmtId="0" fontId="6" fillId="0" borderId="24" xfId="0" applyFont="1" applyBorder="1"/>
    <xf numFmtId="0" fontId="5" fillId="0" borderId="24" xfId="0" applyFont="1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66" fontId="15" fillId="2" borderId="10" xfId="0" applyNumberFormat="1" applyFont="1" applyFill="1" applyBorder="1"/>
    <xf numFmtId="0" fontId="20" fillId="3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20" fillId="3" borderId="10" xfId="0" applyFont="1" applyFill="1" applyBorder="1"/>
    <xf numFmtId="14" fontId="20" fillId="3" borderId="10" xfId="0" applyNumberFormat="1" applyFont="1" applyFill="1" applyBorder="1" applyAlignment="1">
      <alignment horizontal="center"/>
    </xf>
    <xf numFmtId="0" fontId="17" fillId="0" borderId="15" xfId="0" applyFont="1" applyBorder="1"/>
    <xf numFmtId="169" fontId="17" fillId="0" borderId="2" xfId="0" applyNumberFormat="1" applyFont="1" applyBorder="1"/>
    <xf numFmtId="0" fontId="11" fillId="0" borderId="15" xfId="0" applyFont="1" applyBorder="1"/>
    <xf numFmtId="3" fontId="11" fillId="0" borderId="2" xfId="0" applyNumberFormat="1" applyFont="1" applyBorder="1" applyAlignment="1">
      <alignment horizontal="right"/>
    </xf>
    <xf numFmtId="0" fontId="5" fillId="0" borderId="15" xfId="0" applyFont="1" applyBorder="1"/>
    <xf numFmtId="3" fontId="17" fillId="0" borderId="2" xfId="0" applyNumberFormat="1" applyFont="1" applyBorder="1" applyAlignment="1">
      <alignment horizontal="right"/>
    </xf>
    <xf numFmtId="9" fontId="23" fillId="0" borderId="2" xfId="0" applyNumberFormat="1" applyFont="1" applyBorder="1" applyAlignment="1">
      <alignment horizontal="right"/>
    </xf>
    <xf numFmtId="0" fontId="6" fillId="0" borderId="15" xfId="0" applyFont="1" applyBorder="1"/>
    <xf numFmtId="0" fontId="8" fillId="5" borderId="10" xfId="0" applyFont="1" applyFill="1" applyBorder="1"/>
    <xf numFmtId="0" fontId="13" fillId="5" borderId="10" xfId="0" applyFont="1" applyFill="1" applyBorder="1"/>
    <xf numFmtId="167" fontId="5" fillId="5" borderId="10" xfId="0" applyNumberFormat="1" applyFont="1" applyFill="1" applyBorder="1"/>
    <xf numFmtId="171" fontId="16" fillId="2" borderId="10" xfId="0" applyNumberFormat="1" applyFont="1" applyFill="1" applyBorder="1" applyAlignment="1">
      <alignment horizontal="right"/>
    </xf>
    <xf numFmtId="164" fontId="16" fillId="2" borderId="10" xfId="1" applyNumberFormat="1" applyFont="1" applyFill="1" applyBorder="1" applyAlignment="1">
      <alignment horizontal="right"/>
    </xf>
    <xf numFmtId="14" fontId="20" fillId="0" borderId="2" xfId="0" applyNumberFormat="1" applyFont="1" applyBorder="1" applyAlignment="1">
      <alignment horizontal="center"/>
    </xf>
    <xf numFmtId="39" fontId="11" fillId="2" borderId="10" xfId="0" applyNumberFormat="1" applyFont="1" applyFill="1" applyBorder="1"/>
    <xf numFmtId="0" fontId="11" fillId="2" borderId="10" xfId="0" applyFont="1" applyFill="1" applyBorder="1"/>
    <xf numFmtId="39" fontId="5" fillId="5" borderId="10" xfId="0" applyNumberFormat="1" applyFont="1" applyFill="1" applyBorder="1"/>
    <xf numFmtId="0" fontId="13" fillId="0" borderId="10" xfId="0" applyFont="1" applyBorder="1" applyAlignment="1">
      <alignment horizontal="right" vertical="center"/>
    </xf>
    <xf numFmtId="9" fontId="13" fillId="0" borderId="10" xfId="0" applyNumberFormat="1" applyFont="1" applyBorder="1" applyAlignment="1">
      <alignment horizontal="right" vertical="center"/>
    </xf>
    <xf numFmtId="9" fontId="13" fillId="0" borderId="10" xfId="0" applyNumberFormat="1" applyFont="1" applyBorder="1" applyAlignment="1">
      <alignment horizontal="right"/>
    </xf>
    <xf numFmtId="0" fontId="5" fillId="2" borderId="0" xfId="0" applyFont="1" applyFill="1"/>
    <xf numFmtId="0" fontId="12" fillId="2" borderId="0" xfId="0" applyFont="1" applyFill="1" applyAlignment="1">
      <alignment horizontal="center" vertical="center"/>
    </xf>
    <xf numFmtId="166" fontId="15" fillId="2" borderId="0" xfId="0" applyNumberFormat="1" applyFont="1" applyFill="1"/>
    <xf numFmtId="171" fontId="16" fillId="2" borderId="0" xfId="0" applyNumberFormat="1" applyFont="1" applyFill="1" applyAlignment="1">
      <alignment horizontal="right"/>
    </xf>
    <xf numFmtId="164" fontId="16" fillId="2" borderId="0" xfId="1" applyNumberFormat="1" applyFont="1" applyFill="1" applyAlignment="1">
      <alignment horizontal="right"/>
    </xf>
    <xf numFmtId="0" fontId="20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0" fillId="3" borderId="0" xfId="0" applyFont="1" applyFill="1"/>
    <xf numFmtId="14" fontId="20" fillId="3" borderId="0" xfId="0" applyNumberFormat="1" applyFont="1" applyFill="1" applyAlignment="1">
      <alignment horizontal="center"/>
    </xf>
    <xf numFmtId="3" fontId="38" fillId="0" borderId="0" xfId="0" applyNumberFormat="1" applyFont="1" applyAlignment="1">
      <alignment horizontal="center"/>
    </xf>
    <xf numFmtId="0" fontId="11" fillId="2" borderId="0" xfId="0" applyFont="1" applyFill="1"/>
    <xf numFmtId="39" fontId="11" fillId="2" borderId="0" xfId="0" applyNumberFormat="1" applyFont="1" applyFill="1"/>
    <xf numFmtId="0" fontId="8" fillId="5" borderId="0" xfId="0" applyFont="1" applyFill="1"/>
    <xf numFmtId="39" fontId="5" fillId="5" borderId="0" xfId="0" applyNumberFormat="1" applyFont="1" applyFill="1"/>
    <xf numFmtId="167" fontId="5" fillId="5" borderId="0" xfId="0" applyNumberFormat="1" applyFont="1" applyFill="1"/>
    <xf numFmtId="0" fontId="0" fillId="0" borderId="0" xfId="0" applyAlignment="1">
      <alignment wrapText="1"/>
    </xf>
    <xf numFmtId="0" fontId="40" fillId="0" borderId="0" xfId="0" applyFont="1"/>
    <xf numFmtId="0" fontId="40" fillId="0" borderId="0" xfId="0" applyFont="1" applyAlignment="1">
      <alignment horizontal="center"/>
    </xf>
    <xf numFmtId="0" fontId="41" fillId="0" borderId="0" xfId="4" applyFont="1" applyAlignment="1">
      <alignment horizontal="left" wrapText="1"/>
    </xf>
    <xf numFmtId="0" fontId="40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/>
    <xf numFmtId="0" fontId="44" fillId="0" borderId="0" xfId="0" applyFont="1"/>
    <xf numFmtId="177" fontId="0" fillId="0" borderId="0" xfId="0" applyNumberFormat="1"/>
    <xf numFmtId="0" fontId="0" fillId="0" borderId="0" xfId="0" applyAlignment="1">
      <alignment horizontal="left" indent="1"/>
    </xf>
    <xf numFmtId="0" fontId="0" fillId="0" borderId="0" xfId="0" quotePrefix="1" applyAlignment="1">
      <alignment horizontal="left" indent="1"/>
    </xf>
    <xf numFmtId="0" fontId="0" fillId="0" borderId="0" xfId="0" quotePrefix="1" applyAlignment="1">
      <alignment horizontal="left"/>
    </xf>
    <xf numFmtId="14" fontId="13" fillId="0" borderId="10" xfId="0" applyNumberFormat="1" applyFont="1" applyBorder="1" applyAlignment="1">
      <alignment horizontal="right" vertical="center"/>
    </xf>
    <xf numFmtId="14" fontId="20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right"/>
    </xf>
    <xf numFmtId="0" fontId="33" fillId="0" borderId="10" xfId="0" applyFont="1" applyBorder="1"/>
    <xf numFmtId="8" fontId="0" fillId="0" borderId="0" xfId="0" applyNumberFormat="1"/>
    <xf numFmtId="0" fontId="47" fillId="9" borderId="10" xfId="0" applyFont="1" applyFill="1" applyBorder="1"/>
    <xf numFmtId="39" fontId="5" fillId="9" borderId="10" xfId="0" applyNumberFormat="1" applyFont="1" applyFill="1" applyBorder="1"/>
    <xf numFmtId="0" fontId="0" fillId="9" borderId="0" xfId="0" applyFill="1"/>
    <xf numFmtId="0" fontId="26" fillId="0" borderId="15" xfId="0" applyFont="1" applyBorder="1" applyAlignment="1">
      <alignment horizontal="left" vertical="center" readingOrder="1"/>
    </xf>
    <xf numFmtId="0" fontId="48" fillId="10" borderId="3" xfId="0" applyFont="1" applyFill="1" applyBorder="1"/>
    <xf numFmtId="37" fontId="48" fillId="10" borderId="6" xfId="0" applyNumberFormat="1" applyFont="1" applyFill="1" applyBorder="1"/>
    <xf numFmtId="39" fontId="14" fillId="9" borderId="0" xfId="0" applyNumberFormat="1" applyFont="1" applyFill="1"/>
    <xf numFmtId="167" fontId="14" fillId="9" borderId="0" xfId="0" applyNumberFormat="1" applyFont="1" applyFill="1"/>
    <xf numFmtId="14" fontId="49" fillId="0" borderId="0" xfId="0" applyNumberFormat="1" applyFont="1" applyAlignment="1">
      <alignment horizontal="center"/>
    </xf>
    <xf numFmtId="9" fontId="37" fillId="0" borderId="10" xfId="2" applyFont="1" applyFill="1" applyBorder="1"/>
    <xf numFmtId="0" fontId="0" fillId="0" borderId="10" xfId="0" applyBorder="1" applyAlignment="1">
      <alignment horizontal="center" vertical="center" wrapText="1"/>
    </xf>
    <xf numFmtId="0" fontId="36" fillId="0" borderId="10" xfId="0" applyFont="1" applyBorder="1"/>
    <xf numFmtId="0" fontId="13" fillId="0" borderId="10" xfId="0" applyFont="1" applyBorder="1"/>
    <xf numFmtId="14" fontId="0" fillId="0" borderId="10" xfId="0" applyNumberFormat="1" applyBorder="1"/>
    <xf numFmtId="174" fontId="17" fillId="0" borderId="9" xfId="0" applyNumberFormat="1" applyFont="1" applyBorder="1" applyAlignment="1">
      <alignment horizontal="right"/>
    </xf>
    <xf numFmtId="174" fontId="30" fillId="0" borderId="9" xfId="0" applyNumberFormat="1" applyFont="1" applyBorder="1" applyAlignment="1">
      <alignment horizontal="left"/>
    </xf>
    <xf numFmtId="164" fontId="5" fillId="0" borderId="10" xfId="1" applyNumberFormat="1" applyFont="1" applyBorder="1"/>
    <xf numFmtId="0" fontId="0" fillId="0" borderId="10" xfId="0" quotePrefix="1" applyBorder="1"/>
    <xf numFmtId="0" fontId="0" fillId="0" borderId="10" xfId="0" quotePrefix="1" applyBorder="1" applyAlignment="1">
      <alignment horizontal="center"/>
    </xf>
    <xf numFmtId="43" fontId="51" fillId="0" borderId="0" xfId="1" applyFont="1"/>
    <xf numFmtId="39" fontId="52" fillId="0" borderId="10" xfId="0" applyNumberFormat="1" applyFont="1" applyBorder="1"/>
    <xf numFmtId="37" fontId="34" fillId="0" borderId="10" xfId="0" applyNumberFormat="1" applyFont="1" applyBorder="1"/>
    <xf numFmtId="0" fontId="0" fillId="11" borderId="0" xfId="0" applyFill="1"/>
    <xf numFmtId="0" fontId="23" fillId="0" borderId="0" xfId="0" applyFont="1"/>
    <xf numFmtId="37" fontId="23" fillId="0" borderId="0" xfId="0" applyNumberFormat="1" applyFont="1"/>
    <xf numFmtId="0" fontId="26" fillId="0" borderId="10" xfId="0" applyFont="1" applyBorder="1" applyAlignment="1">
      <alignment horizontal="left" vertical="center" readingOrder="1"/>
    </xf>
    <xf numFmtId="37" fontId="52" fillId="0" borderId="10" xfId="0" applyNumberFormat="1" applyFont="1" applyBorder="1"/>
    <xf numFmtId="3" fontId="23" fillId="0" borderId="10" xfId="0" applyNumberFormat="1" applyFont="1" applyBorder="1" applyAlignment="1">
      <alignment horizontal="right"/>
    </xf>
    <xf numFmtId="39" fontId="14" fillId="0" borderId="10" xfId="0" applyNumberFormat="1" applyFont="1" applyBorder="1"/>
    <xf numFmtId="39" fontId="48" fillId="10" borderId="6" xfId="0" applyNumberFormat="1" applyFont="1" applyFill="1" applyBorder="1"/>
    <xf numFmtId="0" fontId="26" fillId="0" borderId="0" xfId="0" applyFont="1" applyAlignment="1">
      <alignment horizontal="left" vertical="center" readingOrder="1"/>
    </xf>
    <xf numFmtId="0" fontId="53" fillId="0" borderId="0" xfId="0" applyFont="1" applyAlignment="1">
      <alignment horizontal="center"/>
    </xf>
    <xf numFmtId="39" fontId="52" fillId="0" borderId="0" xfId="0" applyNumberFormat="1" applyFont="1"/>
    <xf numFmtId="37" fontId="52" fillId="0" borderId="0" xfId="0" applyNumberFormat="1" applyFont="1"/>
    <xf numFmtId="3" fontId="23" fillId="0" borderId="0" xfId="0" applyNumberFormat="1" applyFont="1" applyAlignment="1">
      <alignment horizontal="right"/>
    </xf>
    <xf numFmtId="0" fontId="54" fillId="0" borderId="0" xfId="0" applyFont="1"/>
    <xf numFmtId="0" fontId="55" fillId="0" borderId="0" xfId="0" applyFont="1"/>
    <xf numFmtId="0" fontId="56" fillId="0" borderId="0" xfId="0" applyFont="1"/>
    <xf numFmtId="0" fontId="56" fillId="0" borderId="0" xfId="0" applyFont="1" applyAlignment="1">
      <alignment horizontal="center"/>
    </xf>
    <xf numFmtId="175" fontId="18" fillId="0" borderId="10" xfId="0" applyNumberFormat="1" applyFont="1" applyBorder="1"/>
    <xf numFmtId="43" fontId="11" fillId="0" borderId="10" xfId="0" applyNumberFormat="1" applyFont="1" applyBorder="1"/>
    <xf numFmtId="0" fontId="48" fillId="0" borderId="10" xfId="0" applyFont="1" applyBorder="1"/>
    <xf numFmtId="37" fontId="48" fillId="0" borderId="10" xfId="0" applyNumberFormat="1" applyFont="1" applyBorder="1"/>
    <xf numFmtId="41" fontId="5" fillId="0" borderId="10" xfId="3" applyNumberFormat="1" applyFont="1" applyBorder="1"/>
    <xf numFmtId="39" fontId="5" fillId="0" borderId="6" xfId="0" applyNumberFormat="1" applyFont="1" applyBorder="1"/>
    <xf numFmtId="37" fontId="5" fillId="0" borderId="6" xfId="0" applyNumberFormat="1" applyFont="1" applyBorder="1"/>
    <xf numFmtId="37" fontId="5" fillId="0" borderId="10" xfId="0" applyNumberFormat="1" applyFont="1" applyBorder="1"/>
    <xf numFmtId="178" fontId="5" fillId="0" borderId="10" xfId="0" applyNumberFormat="1" applyFont="1" applyBorder="1"/>
    <xf numFmtId="39" fontId="48" fillId="0" borderId="10" xfId="0" applyNumberFormat="1" applyFont="1" applyBorder="1"/>
    <xf numFmtId="43" fontId="31" fillId="0" borderId="0" xfId="1" applyFont="1"/>
    <xf numFmtId="175" fontId="18" fillId="0" borderId="2" xfId="0" applyNumberFormat="1" applyFont="1" applyBorder="1"/>
    <xf numFmtId="43" fontId="11" fillId="0" borderId="2" xfId="0" applyNumberFormat="1" applyFont="1" applyBorder="1"/>
    <xf numFmtId="39" fontId="5" fillId="0" borderId="7" xfId="0" applyNumberFormat="1" applyFont="1" applyBorder="1"/>
    <xf numFmtId="0" fontId="20" fillId="0" borderId="10" xfId="0" applyFont="1" applyBorder="1"/>
    <xf numFmtId="0" fontId="24" fillId="0" borderId="0" xfId="0" applyFont="1"/>
    <xf numFmtId="0" fontId="28" fillId="0" borderId="16" xfId="0" applyFont="1" applyBorder="1"/>
    <xf numFmtId="0" fontId="0" fillId="0" borderId="15" xfId="0" applyBorder="1"/>
    <xf numFmtId="0" fontId="50" fillId="0" borderId="4" xfId="0" applyFont="1" applyBorder="1" applyAlignment="1">
      <alignment horizontal="center"/>
    </xf>
    <xf numFmtId="0" fontId="17" fillId="0" borderId="10" xfId="0" applyFont="1" applyBorder="1"/>
    <xf numFmtId="0" fontId="6" fillId="0" borderId="16" xfId="0" applyFont="1" applyBorder="1"/>
    <xf numFmtId="0" fontId="20" fillId="3" borderId="15" xfId="0" applyFont="1" applyFill="1" applyBorder="1"/>
    <xf numFmtId="43" fontId="14" fillId="0" borderId="10" xfId="0" applyNumberFormat="1" applyFont="1" applyBorder="1"/>
    <xf numFmtId="0" fontId="8" fillId="9" borderId="15" xfId="0" applyFont="1" applyFill="1" applyBorder="1"/>
    <xf numFmtId="39" fontId="14" fillId="9" borderId="10" xfId="0" applyNumberFormat="1" applyFont="1" applyFill="1" applyBorder="1"/>
    <xf numFmtId="43" fontId="5" fillId="0" borderId="10" xfId="0" applyNumberFormat="1" applyFont="1" applyBorder="1"/>
    <xf numFmtId="0" fontId="17" fillId="0" borderId="15" xfId="0" applyFont="1" applyBorder="1" applyAlignment="1">
      <alignment horizontal="left"/>
    </xf>
    <xf numFmtId="168" fontId="14" fillId="0" borderId="10" xfId="0" applyNumberFormat="1" applyFont="1" applyBorder="1"/>
    <xf numFmtId="0" fontId="11" fillId="0" borderId="27" xfId="0" applyFont="1" applyBorder="1"/>
    <xf numFmtId="2" fontId="5" fillId="0" borderId="10" xfId="0" applyNumberFormat="1" applyFont="1" applyBorder="1"/>
    <xf numFmtId="0" fontId="6" fillId="0" borderId="27" xfId="0" applyFont="1" applyBorder="1"/>
    <xf numFmtId="0" fontId="8" fillId="0" borderId="3" xfId="0" applyFont="1" applyBorder="1"/>
    <xf numFmtId="0" fontId="50" fillId="0" borderId="15" xfId="0" applyFont="1" applyBorder="1"/>
    <xf numFmtId="175" fontId="5" fillId="0" borderId="10" xfId="0" applyNumberFormat="1" applyFont="1" applyBorder="1"/>
    <xf numFmtId="43" fontId="5" fillId="0" borderId="6" xfId="0" applyNumberFormat="1" applyFont="1" applyBorder="1"/>
    <xf numFmtId="0" fontId="8" fillId="0" borderId="10" xfId="0" applyFont="1" applyBorder="1"/>
    <xf numFmtId="0" fontId="32" fillId="0" borderId="15" xfId="0" applyFont="1" applyBorder="1"/>
    <xf numFmtId="164" fontId="5" fillId="0" borderId="10" xfId="0" applyNumberFormat="1" applyFont="1" applyBorder="1"/>
    <xf numFmtId="164" fontId="5" fillId="0" borderId="6" xfId="1" applyNumberFormat="1" applyFont="1" applyBorder="1"/>
    <xf numFmtId="0" fontId="35" fillId="0" borderId="10" xfId="0" applyFont="1" applyBorder="1" applyAlignment="1">
      <alignment horizontal="left" indent="1"/>
    </xf>
    <xf numFmtId="0" fontId="57" fillId="0" borderId="15" xfId="0" applyFont="1" applyBorder="1"/>
    <xf numFmtId="0" fontId="32" fillId="6" borderId="15" xfId="0" applyFont="1" applyFill="1" applyBorder="1" applyAlignment="1">
      <alignment horizontal="left" indent="1"/>
    </xf>
    <xf numFmtId="43" fontId="5" fillId="6" borderId="10" xfId="0" applyNumberFormat="1" applyFont="1" applyFill="1" applyBorder="1"/>
    <xf numFmtId="0" fontId="32" fillId="6" borderId="3" xfId="0" applyFont="1" applyFill="1" applyBorder="1" applyAlignment="1">
      <alignment horizontal="left" indent="1"/>
    </xf>
    <xf numFmtId="43" fontId="5" fillId="6" borderId="6" xfId="0" applyNumberFormat="1" applyFont="1" applyFill="1" applyBorder="1"/>
    <xf numFmtId="0" fontId="0" fillId="0" borderId="2" xfId="0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20" fillId="0" borderId="10" xfId="0" applyFont="1" applyBorder="1" applyAlignment="1">
      <alignment horizontal="center"/>
    </xf>
    <xf numFmtId="164" fontId="0" fillId="0" borderId="10" xfId="0" applyNumberFormat="1" applyBorder="1"/>
    <xf numFmtId="164" fontId="23" fillId="0" borderId="0" xfId="0" applyNumberFormat="1" applyFont="1"/>
    <xf numFmtId="39" fontId="6" fillId="0" borderId="11" xfId="0" applyNumberFormat="1" applyFont="1" applyBorder="1"/>
    <xf numFmtId="39" fontId="8" fillId="0" borderId="6" xfId="0" applyNumberFormat="1" applyFont="1" applyBorder="1"/>
    <xf numFmtId="169" fontId="17" fillId="12" borderId="0" xfId="0" applyNumberFormat="1" applyFont="1" applyFill="1"/>
    <xf numFmtId="0" fontId="28" fillId="0" borderId="4" xfId="0" applyFont="1" applyBorder="1"/>
    <xf numFmtId="0" fontId="48" fillId="10" borderId="6" xfId="0" applyFont="1" applyFill="1" applyBorder="1"/>
    <xf numFmtId="0" fontId="57" fillId="0" borderId="10" xfId="0" applyFont="1" applyBorder="1"/>
    <xf numFmtId="0" fontId="32" fillId="0" borderId="10" xfId="0" applyFont="1" applyBorder="1"/>
    <xf numFmtId="0" fontId="32" fillId="6" borderId="10" xfId="0" applyFont="1" applyFill="1" applyBorder="1" applyAlignment="1">
      <alignment horizontal="left" indent="1"/>
    </xf>
    <xf numFmtId="0" fontId="32" fillId="6" borderId="6" xfId="0" applyFont="1" applyFill="1" applyBorder="1" applyAlignment="1">
      <alignment horizontal="left" indent="1"/>
    </xf>
    <xf numFmtId="0" fontId="50" fillId="0" borderId="10" xfId="0" applyFont="1" applyBorder="1"/>
    <xf numFmtId="0" fontId="6" fillId="0" borderId="4" xfId="0" applyFont="1" applyBorder="1"/>
    <xf numFmtId="0" fontId="8" fillId="9" borderId="10" xfId="0" applyFont="1" applyFill="1" applyBorder="1"/>
    <xf numFmtId="0" fontId="17" fillId="0" borderId="10" xfId="0" applyFont="1" applyBorder="1" applyAlignment="1">
      <alignment horizontal="left"/>
    </xf>
    <xf numFmtId="0" fontId="8" fillId="0" borderId="6" xfId="0" applyFont="1" applyBorder="1"/>
    <xf numFmtId="0" fontId="11" fillId="0" borderId="10" xfId="0" applyFont="1" applyBorder="1"/>
    <xf numFmtId="0" fontId="18" fillId="0" borderId="15" xfId="0" applyFont="1" applyBorder="1" applyAlignment="1">
      <alignment horizontal="left"/>
    </xf>
    <xf numFmtId="0" fontId="0" fillId="0" borderId="16" xfId="0" applyBorder="1"/>
    <xf numFmtId="14" fontId="20" fillId="3" borderId="4" xfId="0" applyNumberFormat="1" applyFont="1" applyFill="1" applyBorder="1" applyAlignment="1">
      <alignment horizontal="center"/>
    </xf>
    <xf numFmtId="14" fontId="20" fillId="3" borderId="5" xfId="0" applyNumberFormat="1" applyFont="1" applyFill="1" applyBorder="1" applyAlignment="1">
      <alignment horizontal="center"/>
    </xf>
    <xf numFmtId="164" fontId="5" fillId="0" borderId="2" xfId="0" applyNumberFormat="1" applyFont="1" applyBorder="1"/>
    <xf numFmtId="164" fontId="5" fillId="0" borderId="32" xfId="1" applyNumberFormat="1" applyFont="1" applyBorder="1"/>
    <xf numFmtId="164" fontId="5" fillId="0" borderId="2" xfId="1" applyNumberFormat="1" applyFont="1" applyBorder="1"/>
    <xf numFmtId="164" fontId="5" fillId="0" borderId="7" xfId="1" applyNumberFormat="1" applyFont="1" applyBorder="1"/>
    <xf numFmtId="0" fontId="32" fillId="0" borderId="3" xfId="0" applyFont="1" applyBorder="1"/>
    <xf numFmtId="44" fontId="0" fillId="0" borderId="6" xfId="0" applyNumberFormat="1" applyBorder="1"/>
    <xf numFmtId="44" fontId="0" fillId="0" borderId="7" xfId="0" applyNumberFormat="1" applyBorder="1"/>
    <xf numFmtId="0" fontId="32" fillId="0" borderId="16" xfId="0" applyFont="1" applyBorder="1"/>
    <xf numFmtId="0" fontId="0" fillId="0" borderId="4" xfId="0" applyBorder="1"/>
    <xf numFmtId="0" fontId="0" fillId="0" borderId="5" xfId="0" applyBorder="1"/>
    <xf numFmtId="164" fontId="0" fillId="0" borderId="2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44" fontId="0" fillId="0" borderId="4" xfId="0" applyNumberFormat="1" applyBorder="1"/>
    <xf numFmtId="44" fontId="0" fillId="0" borderId="5" xfId="0" applyNumberFormat="1" applyBorder="1"/>
    <xf numFmtId="0" fontId="4" fillId="4" borderId="30" xfId="0" applyFont="1" applyFill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43" fontId="17" fillId="0" borderId="0" xfId="0" applyNumberFormat="1" applyFont="1"/>
    <xf numFmtId="39" fontId="5" fillId="0" borderId="10" xfId="0" applyNumberFormat="1" applyFont="1" applyBorder="1"/>
    <xf numFmtId="0" fontId="28" fillId="0" borderId="18" xfId="0" applyFont="1" applyBorder="1"/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7" fillId="0" borderId="21" xfId="0" applyFont="1" applyBorder="1"/>
    <xf numFmtId="14" fontId="20" fillId="0" borderId="22" xfId="0" applyNumberFormat="1" applyFont="1" applyBorder="1" applyAlignment="1">
      <alignment horizontal="center"/>
    </xf>
    <xf numFmtId="0" fontId="18" fillId="0" borderId="21" xfId="0" applyFont="1" applyBorder="1" applyAlignment="1">
      <alignment horizontal="left"/>
    </xf>
    <xf numFmtId="175" fontId="18" fillId="0" borderId="22" xfId="0" applyNumberFormat="1" applyFont="1" applyBorder="1"/>
    <xf numFmtId="43" fontId="31" fillId="0" borderId="10" xfId="0" applyNumberFormat="1" applyFont="1" applyBorder="1"/>
    <xf numFmtId="43" fontId="31" fillId="0" borderId="22" xfId="0" applyNumberFormat="1" applyFont="1" applyBorder="1"/>
    <xf numFmtId="0" fontId="26" fillId="0" borderId="21" xfId="0" applyFont="1" applyBorder="1" applyAlignment="1">
      <alignment horizontal="left" vertical="center" readingOrder="1"/>
    </xf>
    <xf numFmtId="0" fontId="48" fillId="10" borderId="23" xfId="0" applyFont="1" applyFill="1" applyBorder="1"/>
    <xf numFmtId="39" fontId="48" fillId="10" borderId="24" xfId="0" applyNumberFormat="1" applyFont="1" applyFill="1" applyBorder="1"/>
    <xf numFmtId="39" fontId="5" fillId="0" borderId="24" xfId="0" applyNumberFormat="1" applyFont="1" applyBorder="1"/>
    <xf numFmtId="39" fontId="5" fillId="0" borderId="25" xfId="0" applyNumberFormat="1" applyFont="1" applyBorder="1"/>
    <xf numFmtId="44" fontId="5" fillId="0" borderId="10" xfId="0" applyNumberFormat="1" applyFont="1" applyBorder="1"/>
    <xf numFmtId="43" fontId="58" fillId="0" borderId="0" xfId="0" applyNumberFormat="1" applyFont="1"/>
    <xf numFmtId="0" fontId="6" fillId="0" borderId="18" xfId="0" applyFont="1" applyBorder="1"/>
    <xf numFmtId="0" fontId="50" fillId="0" borderId="19" xfId="0" applyFont="1" applyBorder="1" applyAlignment="1">
      <alignment horizontal="center"/>
    </xf>
    <xf numFmtId="0" fontId="50" fillId="0" borderId="20" xfId="0" applyFont="1" applyBorder="1" applyAlignment="1">
      <alignment horizontal="center"/>
    </xf>
    <xf numFmtId="0" fontId="20" fillId="3" borderId="21" xfId="0" applyFont="1" applyFill="1" applyBorder="1"/>
    <xf numFmtId="14" fontId="20" fillId="3" borderId="22" xfId="0" applyNumberFormat="1" applyFont="1" applyFill="1" applyBorder="1" applyAlignment="1">
      <alignment horizontal="center"/>
    </xf>
    <xf numFmtId="0" fontId="5" fillId="0" borderId="21" xfId="0" applyFont="1" applyBorder="1"/>
    <xf numFmtId="43" fontId="14" fillId="0" borderId="22" xfId="0" applyNumberFormat="1" applyFont="1" applyBorder="1"/>
    <xf numFmtId="0" fontId="8" fillId="9" borderId="21" xfId="0" applyFont="1" applyFill="1" applyBorder="1"/>
    <xf numFmtId="39" fontId="14" fillId="9" borderId="22" xfId="0" applyNumberFormat="1" applyFont="1" applyFill="1" applyBorder="1"/>
    <xf numFmtId="43" fontId="5" fillId="0" borderId="22" xfId="0" applyNumberFormat="1" applyFont="1" applyBorder="1"/>
    <xf numFmtId="43" fontId="6" fillId="0" borderId="34" xfId="0" applyNumberFormat="1" applyFont="1" applyBorder="1"/>
    <xf numFmtId="0" fontId="6" fillId="0" borderId="33" xfId="0" applyFont="1" applyBorder="1"/>
    <xf numFmtId="0" fontId="8" fillId="0" borderId="23" xfId="0" applyFont="1" applyBorder="1"/>
    <xf numFmtId="39" fontId="8" fillId="0" borderId="24" xfId="0" applyNumberFormat="1" applyFont="1" applyBorder="1"/>
    <xf numFmtId="39" fontId="8" fillId="0" borderId="25" xfId="0" applyNumberFormat="1" applyFont="1" applyBorder="1"/>
    <xf numFmtId="0" fontId="6" fillId="0" borderId="17" xfId="0" applyFont="1" applyBorder="1"/>
    <xf numFmtId="0" fontId="57" fillId="0" borderId="21" xfId="0" applyFont="1" applyBorder="1"/>
    <xf numFmtId="0" fontId="5" fillId="0" borderId="22" xfId="0" applyFont="1" applyBorder="1"/>
    <xf numFmtId="0" fontId="32" fillId="0" borderId="21" xfId="0" applyFont="1" applyBorder="1"/>
    <xf numFmtId="0" fontId="32" fillId="6" borderId="21" xfId="0" applyFont="1" applyFill="1" applyBorder="1" applyAlignment="1">
      <alignment horizontal="left" indent="1"/>
    </xf>
    <xf numFmtId="43" fontId="5" fillId="6" borderId="22" xfId="0" applyNumberFormat="1" applyFont="1" applyFill="1" applyBorder="1"/>
    <xf numFmtId="44" fontId="5" fillId="0" borderId="22" xfId="0" applyNumberFormat="1" applyFont="1" applyBorder="1"/>
    <xf numFmtId="0" fontId="32" fillId="6" borderId="23" xfId="0" applyFont="1" applyFill="1" applyBorder="1" applyAlignment="1">
      <alignment horizontal="left" indent="1"/>
    </xf>
    <xf numFmtId="0" fontId="32" fillId="6" borderId="24" xfId="0" applyFont="1" applyFill="1" applyBorder="1" applyAlignment="1">
      <alignment horizontal="left" indent="1"/>
    </xf>
    <xf numFmtId="43" fontId="5" fillId="6" borderId="24" xfId="0" applyNumberFormat="1" applyFont="1" applyFill="1" applyBorder="1"/>
    <xf numFmtId="43" fontId="5" fillId="6" borderId="25" xfId="0" applyNumberFormat="1" applyFont="1" applyFill="1" applyBorder="1"/>
    <xf numFmtId="0" fontId="5" fillId="11" borderId="0" xfId="0" applyFont="1" applyFill="1"/>
    <xf numFmtId="0" fontId="5" fillId="0" borderId="26" xfId="0" applyFont="1" applyBorder="1" applyAlignment="1">
      <alignment horizontal="left"/>
    </xf>
    <xf numFmtId="0" fontId="0" fillId="0" borderId="26" xfId="0" applyBorder="1" applyAlignment="1">
      <alignment horizontal="left" vertical="center" wrapText="1"/>
    </xf>
    <xf numFmtId="2" fontId="5" fillId="0" borderId="26" xfId="0" applyNumberFormat="1" applyFont="1" applyBorder="1" applyAlignment="1">
      <alignment horizontal="left"/>
    </xf>
    <xf numFmtId="9" fontId="5" fillId="0" borderId="26" xfId="2" applyFont="1" applyBorder="1" applyAlignment="1">
      <alignment horizontal="left"/>
    </xf>
    <xf numFmtId="0" fontId="6" fillId="0" borderId="21" xfId="0" applyFont="1" applyBorder="1"/>
    <xf numFmtId="41" fontId="6" fillId="0" borderId="10" xfId="0" applyNumberFormat="1" applyFont="1" applyBorder="1"/>
    <xf numFmtId="43" fontId="62" fillId="0" borderId="0" xfId="0" applyNumberFormat="1" applyFont="1"/>
    <xf numFmtId="0" fontId="5" fillId="7" borderId="0" xfId="0" applyFont="1" applyFill="1"/>
    <xf numFmtId="43" fontId="8" fillId="7" borderId="0" xfId="0" applyNumberFormat="1" applyFont="1" applyFill="1"/>
    <xf numFmtId="0" fontId="63" fillId="0" borderId="0" xfId="0" applyFont="1"/>
    <xf numFmtId="9" fontId="6" fillId="0" borderId="0" xfId="2" applyFont="1"/>
    <xf numFmtId="179" fontId="59" fillId="0" borderId="35" xfId="8" applyNumberFormat="1" applyFont="1" applyBorder="1" applyAlignment="1">
      <alignment horizontal="center"/>
    </xf>
    <xf numFmtId="43" fontId="14" fillId="0" borderId="0" xfId="2" applyNumberFormat="1" applyFont="1"/>
    <xf numFmtId="165" fontId="46" fillId="0" borderId="10" xfId="9" applyNumberFormat="1" applyFont="1"/>
    <xf numFmtId="37" fontId="22" fillId="0" borderId="22" xfId="0" applyNumberFormat="1" applyFont="1" applyBorder="1"/>
    <xf numFmtId="169" fontId="17" fillId="0" borderId="22" xfId="0" applyNumberFormat="1" applyFont="1" applyBorder="1"/>
    <xf numFmtId="37" fontId="17" fillId="0" borderId="22" xfId="0" applyNumberFormat="1" applyFont="1" applyBorder="1"/>
    <xf numFmtId="0" fontId="17" fillId="0" borderId="22" xfId="0" applyFont="1" applyBorder="1"/>
    <xf numFmtId="0" fontId="11" fillId="0" borderId="21" xfId="0" applyFont="1" applyBorder="1"/>
    <xf numFmtId="3" fontId="11" fillId="0" borderId="22" xfId="0" applyNumberFormat="1" applyFont="1" applyBorder="1" applyAlignment="1">
      <alignment horizontal="right"/>
    </xf>
    <xf numFmtId="170" fontId="11" fillId="0" borderId="22" xfId="0" applyNumberFormat="1" applyFont="1" applyBorder="1" applyAlignment="1">
      <alignment horizontal="right" vertical="center"/>
    </xf>
    <xf numFmtId="0" fontId="6" fillId="0" borderId="23" xfId="0" applyFont="1" applyBorder="1"/>
    <xf numFmtId="9" fontId="6" fillId="0" borderId="22" xfId="0" applyNumberFormat="1" applyFont="1" applyBorder="1"/>
    <xf numFmtId="165" fontId="6" fillId="0" borderId="25" xfId="0" applyNumberFormat="1" applyFont="1" applyBorder="1"/>
    <xf numFmtId="0" fontId="61" fillId="0" borderId="0" xfId="0" applyFont="1"/>
    <xf numFmtId="0" fontId="61" fillId="2" borderId="10" xfId="0" applyFont="1" applyFill="1" applyBorder="1"/>
    <xf numFmtId="166" fontId="64" fillId="2" borderId="10" xfId="0" applyNumberFormat="1" applyFont="1" applyFill="1" applyBorder="1"/>
    <xf numFmtId="171" fontId="65" fillId="2" borderId="10" xfId="0" applyNumberFormat="1" applyFont="1" applyFill="1" applyBorder="1" applyAlignment="1">
      <alignment horizontal="right"/>
    </xf>
    <xf numFmtId="0" fontId="66" fillId="2" borderId="10" xfId="0" applyFont="1" applyFill="1" applyBorder="1" applyAlignment="1">
      <alignment horizontal="center" vertical="center"/>
    </xf>
    <xf numFmtId="164" fontId="65" fillId="2" borderId="10" xfId="1" applyNumberFormat="1" applyFont="1" applyFill="1" applyBorder="1" applyAlignment="1">
      <alignment horizontal="right"/>
    </xf>
    <xf numFmtId="0" fontId="61" fillId="0" borderId="10" xfId="0" applyFont="1" applyBorder="1"/>
    <xf numFmtId="3" fontId="67" fillId="0" borderId="9" xfId="0" applyNumberFormat="1" applyFont="1" applyBorder="1" applyAlignment="1">
      <alignment horizontal="left"/>
    </xf>
    <xf numFmtId="3" fontId="68" fillId="0" borderId="9" xfId="0" applyNumberFormat="1" applyFont="1" applyBorder="1" applyAlignment="1">
      <alignment horizontal="right"/>
    </xf>
    <xf numFmtId="3" fontId="69" fillId="0" borderId="9" xfId="0" applyNumberFormat="1" applyFont="1" applyBorder="1" applyAlignment="1">
      <alignment horizontal="right"/>
    </xf>
    <xf numFmtId="3" fontId="70" fillId="0" borderId="0" xfId="0" applyNumberFormat="1" applyFont="1" applyAlignment="1">
      <alignment horizontal="left"/>
    </xf>
    <xf numFmtId="3" fontId="68" fillId="0" borderId="0" xfId="0" applyNumberFormat="1" applyFont="1" applyAlignment="1">
      <alignment horizontal="left"/>
    </xf>
    <xf numFmtId="3" fontId="68" fillId="0" borderId="0" xfId="0" applyNumberFormat="1" applyFont="1" applyAlignment="1">
      <alignment horizontal="right"/>
    </xf>
    <xf numFmtId="0" fontId="71" fillId="0" borderId="0" xfId="0" applyFont="1" applyAlignment="1">
      <alignment horizontal="center"/>
    </xf>
    <xf numFmtId="0" fontId="71" fillId="3" borderId="0" xfId="0" applyFont="1" applyFill="1" applyAlignment="1">
      <alignment horizontal="center"/>
    </xf>
    <xf numFmtId="0" fontId="72" fillId="0" borderId="0" xfId="0" applyFont="1"/>
    <xf numFmtId="0" fontId="71" fillId="0" borderId="10" xfId="0" applyFont="1" applyBorder="1"/>
    <xf numFmtId="0" fontId="72" fillId="0" borderId="10" xfId="0" applyFont="1" applyBorder="1"/>
    <xf numFmtId="0" fontId="73" fillId="4" borderId="10" xfId="0" applyFont="1" applyFill="1" applyBorder="1" applyAlignment="1">
      <alignment horizontal="center"/>
    </xf>
    <xf numFmtId="0" fontId="74" fillId="0" borderId="16" xfId="0" applyFont="1" applyBorder="1"/>
    <xf numFmtId="0" fontId="72" fillId="0" borderId="4" xfId="0" applyFont="1" applyBorder="1" applyAlignment="1">
      <alignment horizontal="center"/>
    </xf>
    <xf numFmtId="0" fontId="72" fillId="0" borderId="5" xfId="0" applyFont="1" applyBorder="1" applyAlignment="1">
      <alignment horizontal="center"/>
    </xf>
    <xf numFmtId="0" fontId="68" fillId="0" borderId="15" xfId="0" applyFont="1" applyBorder="1"/>
    <xf numFmtId="14" fontId="71" fillId="0" borderId="10" xfId="0" applyNumberFormat="1" applyFont="1" applyBorder="1" applyAlignment="1">
      <alignment horizontal="center"/>
    </xf>
    <xf numFmtId="14" fontId="71" fillId="0" borderId="2" xfId="0" applyNumberFormat="1" applyFont="1" applyBorder="1" applyAlignment="1">
      <alignment horizontal="center"/>
    </xf>
    <xf numFmtId="0" fontId="70" fillId="0" borderId="15" xfId="0" applyFont="1" applyBorder="1" applyAlignment="1">
      <alignment horizontal="left"/>
    </xf>
    <xf numFmtId="175" fontId="70" fillId="0" borderId="10" xfId="0" applyNumberFormat="1" applyFont="1" applyBorder="1"/>
    <xf numFmtId="175" fontId="70" fillId="0" borderId="2" xfId="0" applyNumberFormat="1" applyFont="1" applyBorder="1"/>
    <xf numFmtId="0" fontId="75" fillId="0" borderId="15" xfId="0" applyFont="1" applyBorder="1"/>
    <xf numFmtId="43" fontId="75" fillId="0" borderId="10" xfId="0" applyNumberFormat="1" applyFont="1" applyBorder="1"/>
    <xf numFmtId="43" fontId="75" fillId="0" borderId="2" xfId="0" applyNumberFormat="1" applyFont="1" applyBorder="1"/>
    <xf numFmtId="43" fontId="68" fillId="0" borderId="10" xfId="0" applyNumberFormat="1" applyFont="1" applyBorder="1"/>
    <xf numFmtId="43" fontId="68" fillId="0" borderId="2" xfId="0" applyNumberFormat="1" applyFont="1" applyBorder="1"/>
    <xf numFmtId="0" fontId="76" fillId="0" borderId="0" xfId="0" applyFont="1"/>
    <xf numFmtId="0" fontId="76" fillId="0" borderId="10" xfId="0" applyFont="1" applyBorder="1"/>
    <xf numFmtId="0" fontId="77" fillId="0" borderId="15" xfId="0" applyFont="1" applyBorder="1" applyAlignment="1">
      <alignment horizontal="left" vertical="center" readingOrder="1"/>
    </xf>
    <xf numFmtId="39" fontId="78" fillId="0" borderId="10" xfId="0" applyNumberFormat="1" applyFont="1" applyBorder="1"/>
    <xf numFmtId="39" fontId="78" fillId="0" borderId="2" xfId="0" applyNumberFormat="1" applyFont="1" applyBorder="1"/>
    <xf numFmtId="0" fontId="79" fillId="10" borderId="3" xfId="0" applyFont="1" applyFill="1" applyBorder="1"/>
    <xf numFmtId="39" fontId="79" fillId="10" borderId="6" xfId="0" applyNumberFormat="1" applyFont="1" applyFill="1" applyBorder="1"/>
    <xf numFmtId="39" fontId="61" fillId="0" borderId="6" xfId="0" applyNumberFormat="1" applyFont="1" applyBorder="1"/>
    <xf numFmtId="39" fontId="61" fillId="0" borderId="7" xfId="0" applyNumberFormat="1" applyFont="1" applyBorder="1"/>
    <xf numFmtId="0" fontId="71" fillId="3" borderId="10" xfId="0" applyFont="1" applyFill="1" applyBorder="1" applyAlignment="1">
      <alignment horizontal="center"/>
    </xf>
    <xf numFmtId="0" fontId="72" fillId="0" borderId="0" xfId="0" applyFont="1" applyAlignment="1">
      <alignment horizontal="center"/>
    </xf>
    <xf numFmtId="0" fontId="71" fillId="3" borderId="10" xfId="0" applyFont="1" applyFill="1" applyBorder="1"/>
    <xf numFmtId="14" fontId="71" fillId="3" borderId="10" xfId="0" applyNumberFormat="1" applyFont="1" applyFill="1" applyBorder="1" applyAlignment="1">
      <alignment horizontal="center"/>
    </xf>
    <xf numFmtId="43" fontId="81" fillId="0" borderId="0" xfId="0" applyNumberFormat="1" applyFont="1"/>
    <xf numFmtId="39" fontId="81" fillId="9" borderId="0" xfId="0" applyNumberFormat="1" applyFont="1" applyFill="1"/>
    <xf numFmtId="43" fontId="61" fillId="0" borderId="0" xfId="0" applyNumberFormat="1" applyFont="1"/>
    <xf numFmtId="0" fontId="68" fillId="0" borderId="0" xfId="0" applyFont="1" applyAlignment="1">
      <alignment horizontal="left"/>
    </xf>
    <xf numFmtId="168" fontId="81" fillId="0" borderId="0" xfId="0" applyNumberFormat="1" applyFont="1"/>
    <xf numFmtId="0" fontId="82" fillId="0" borderId="0" xfId="0" applyFont="1"/>
    <xf numFmtId="0" fontId="75" fillId="0" borderId="11" xfId="0" applyFont="1" applyBorder="1"/>
    <xf numFmtId="43" fontId="72" fillId="0" borderId="11" xfId="0" applyNumberFormat="1" applyFont="1" applyBorder="1"/>
    <xf numFmtId="0" fontId="72" fillId="0" borderId="11" xfId="0" applyFont="1" applyBorder="1"/>
    <xf numFmtId="43" fontId="76" fillId="0" borderId="0" xfId="0" applyNumberFormat="1" applyFont="1"/>
    <xf numFmtId="43" fontId="83" fillId="0" borderId="0" xfId="0" applyNumberFormat="1" applyFont="1"/>
    <xf numFmtId="0" fontId="61" fillId="7" borderId="0" xfId="0" applyFont="1" applyFill="1"/>
    <xf numFmtId="43" fontId="76" fillId="7" borderId="0" xfId="0" applyNumberFormat="1" applyFont="1" applyFill="1"/>
    <xf numFmtId="9" fontId="72" fillId="0" borderId="0" xfId="2" applyFont="1"/>
    <xf numFmtId="43" fontId="81" fillId="0" borderId="0" xfId="2" applyNumberFormat="1" applyFont="1"/>
    <xf numFmtId="165" fontId="60" fillId="0" borderId="10" xfId="9" applyNumberFormat="1" applyFont="1"/>
    <xf numFmtId="169" fontId="68" fillId="0" borderId="2" xfId="0" applyNumberFormat="1" applyFont="1" applyBorder="1"/>
    <xf numFmtId="3" fontId="75" fillId="0" borderId="2" xfId="0" applyNumberFormat="1" applyFont="1" applyBorder="1" applyAlignment="1">
      <alignment horizontal="right"/>
    </xf>
    <xf numFmtId="0" fontId="61" fillId="0" borderId="15" xfId="0" applyFont="1" applyBorder="1"/>
    <xf numFmtId="3" fontId="68" fillId="0" borderId="2" xfId="0" applyNumberFormat="1" applyFont="1" applyBorder="1" applyAlignment="1">
      <alignment horizontal="right"/>
    </xf>
    <xf numFmtId="9" fontId="85" fillId="0" borderId="2" xfId="0" applyNumberFormat="1" applyFont="1" applyBorder="1" applyAlignment="1">
      <alignment horizontal="right"/>
    </xf>
    <xf numFmtId="0" fontId="72" fillId="0" borderId="15" xfId="0" applyFont="1" applyBorder="1"/>
    <xf numFmtId="3" fontId="75" fillId="0" borderId="0" xfId="0" applyNumberFormat="1" applyFont="1" applyAlignment="1">
      <alignment horizontal="left"/>
    </xf>
    <xf numFmtId="0" fontId="72" fillId="0" borderId="3" xfId="0" applyFont="1" applyBorder="1"/>
    <xf numFmtId="3" fontId="75" fillId="0" borderId="6" xfId="0" applyNumberFormat="1" applyFont="1" applyBorder="1" applyAlignment="1">
      <alignment horizontal="left"/>
    </xf>
    <xf numFmtId="170" fontId="75" fillId="0" borderId="7" xfId="0" applyNumberFormat="1" applyFont="1" applyBorder="1" applyAlignment="1">
      <alignment horizontal="right"/>
    </xf>
    <xf numFmtId="0" fontId="68" fillId="0" borderId="0" xfId="0" applyFont="1"/>
    <xf numFmtId="169" fontId="68" fillId="0" borderId="0" xfId="0" applyNumberFormat="1" applyFont="1"/>
    <xf numFmtId="167" fontId="72" fillId="0" borderId="0" xfId="0" applyNumberFormat="1" applyFont="1"/>
    <xf numFmtId="43" fontId="72" fillId="0" borderId="0" xfId="0" applyNumberFormat="1" applyFont="1"/>
    <xf numFmtId="0" fontId="71" fillId="0" borderId="0" xfId="0" applyFont="1"/>
    <xf numFmtId="0" fontId="74" fillId="0" borderId="0" xfId="0" applyFont="1"/>
    <xf numFmtId="14" fontId="71" fillId="0" borderId="0" xfId="0" applyNumberFormat="1" applyFont="1" applyAlignment="1">
      <alignment horizontal="center"/>
    </xf>
    <xf numFmtId="43" fontId="85" fillId="0" borderId="0" xfId="0" applyNumberFormat="1" applyFont="1"/>
    <xf numFmtId="164" fontId="60" fillId="0" borderId="0" xfId="0" applyNumberFormat="1" applyFont="1"/>
    <xf numFmtId="0" fontId="75" fillId="0" borderId="0" xfId="0" applyFont="1"/>
    <xf numFmtId="43" fontId="75" fillId="0" borderId="0" xfId="0" applyNumberFormat="1" applyFont="1"/>
    <xf numFmtId="43" fontId="60" fillId="0" borderId="0" xfId="0" applyNumberFormat="1" applyFont="1"/>
    <xf numFmtId="43" fontId="59" fillId="0" borderId="0" xfId="0" applyNumberFormat="1" applyFont="1"/>
    <xf numFmtId="0" fontId="70" fillId="0" borderId="0" xfId="0" applyFont="1" applyAlignment="1">
      <alignment horizontal="left"/>
    </xf>
    <xf numFmtId="7" fontId="70" fillId="0" borderId="0" xfId="0" applyNumberFormat="1" applyFont="1"/>
    <xf numFmtId="43" fontId="68" fillId="0" borderId="0" xfId="0" applyNumberFormat="1" applyFont="1"/>
    <xf numFmtId="0" fontId="75" fillId="0" borderId="0" xfId="0" applyFont="1" applyAlignment="1">
      <alignment horizontal="left"/>
    </xf>
    <xf numFmtId="39" fontId="75" fillId="0" borderId="0" xfId="0" applyNumberFormat="1" applyFont="1"/>
    <xf numFmtId="39" fontId="68" fillId="0" borderId="0" xfId="0" applyNumberFormat="1" applyFont="1"/>
    <xf numFmtId="0" fontId="75" fillId="2" borderId="10" xfId="0" applyFont="1" applyFill="1" applyBorder="1"/>
    <xf numFmtId="39" fontId="75" fillId="2" borderId="10" xfId="0" applyNumberFormat="1" applyFont="1" applyFill="1" applyBorder="1"/>
    <xf numFmtId="164" fontId="68" fillId="0" borderId="0" xfId="0" applyNumberFormat="1" applyFont="1"/>
    <xf numFmtId="39" fontId="86" fillId="0" borderId="0" xfId="0" applyNumberFormat="1" applyFont="1"/>
    <xf numFmtId="164" fontId="68" fillId="0" borderId="1" xfId="0" applyNumberFormat="1" applyFont="1" applyBorder="1"/>
    <xf numFmtId="0" fontId="75" fillId="0" borderId="11" xfId="0" applyFont="1" applyBorder="1" applyAlignment="1">
      <alignment horizontal="left"/>
    </xf>
    <xf numFmtId="39" fontId="77" fillId="0" borderId="11" xfId="0" applyNumberFormat="1" applyFont="1" applyBorder="1"/>
    <xf numFmtId="0" fontId="76" fillId="5" borderId="10" xfId="0" applyFont="1" applyFill="1" applyBorder="1"/>
    <xf numFmtId="39" fontId="61" fillId="5" borderId="10" xfId="0" applyNumberFormat="1" applyFont="1" applyFill="1" applyBorder="1"/>
    <xf numFmtId="0" fontId="87" fillId="9" borderId="10" xfId="0" applyFont="1" applyFill="1" applyBorder="1"/>
    <xf numFmtId="39" fontId="61" fillId="9" borderId="10" xfId="0" applyNumberFormat="1" applyFont="1" applyFill="1" applyBorder="1"/>
    <xf numFmtId="0" fontId="75" fillId="2" borderId="8" xfId="0" applyFont="1" applyFill="1" applyBorder="1"/>
    <xf numFmtId="39" fontId="75" fillId="2" borderId="8" xfId="0" applyNumberFormat="1" applyFont="1" applyFill="1" applyBorder="1"/>
    <xf numFmtId="37" fontId="81" fillId="0" borderId="0" xfId="0" applyNumberFormat="1" applyFont="1"/>
    <xf numFmtId="0" fontId="88" fillId="0" borderId="0" xfId="0" applyFont="1"/>
    <xf numFmtId="0" fontId="89" fillId="0" borderId="0" xfId="0" applyFont="1" applyAlignment="1">
      <alignment horizontal="center"/>
    </xf>
    <xf numFmtId="0" fontId="68" fillId="0" borderId="21" xfId="0" applyFont="1" applyBorder="1"/>
    <xf numFmtId="169" fontId="68" fillId="0" borderId="22" xfId="0" applyNumberFormat="1" applyFont="1" applyBorder="1"/>
    <xf numFmtId="37" fontId="68" fillId="0" borderId="22" xfId="0" applyNumberFormat="1" applyFont="1" applyBorder="1"/>
    <xf numFmtId="0" fontId="68" fillId="0" borderId="22" xfId="0" applyFont="1" applyBorder="1"/>
    <xf numFmtId="0" fontId="75" fillId="0" borderId="21" xfId="0" applyFont="1" applyBorder="1"/>
    <xf numFmtId="3" fontId="75" fillId="0" borderId="22" xfId="0" applyNumberFormat="1" applyFont="1" applyBorder="1" applyAlignment="1">
      <alignment horizontal="right"/>
    </xf>
    <xf numFmtId="170" fontId="75" fillId="0" borderId="22" xfId="0" applyNumberFormat="1" applyFont="1" applyBorder="1" applyAlignment="1">
      <alignment horizontal="right" vertical="center"/>
    </xf>
    <xf numFmtId="43" fontId="9" fillId="0" borderId="10" xfId="0" applyNumberFormat="1" applyFont="1" applyBorder="1"/>
    <xf numFmtId="0" fontId="3" fillId="0" borderId="0" xfId="0" applyFont="1"/>
    <xf numFmtId="3" fontId="6" fillId="0" borderId="9" xfId="0" applyNumberFormat="1" applyFont="1" applyBorder="1" applyAlignment="1">
      <alignment horizontal="left"/>
    </xf>
    <xf numFmtId="3" fontId="5" fillId="0" borderId="9" xfId="0" applyNumberFormat="1" applyFont="1" applyBorder="1" applyAlignment="1">
      <alignment horizontal="right"/>
    </xf>
    <xf numFmtId="3" fontId="6" fillId="0" borderId="9" xfId="0" applyNumberFormat="1" applyFont="1" applyBorder="1" applyAlignment="1">
      <alignment horizontal="right"/>
    </xf>
    <xf numFmtId="3" fontId="8" fillId="0" borderId="0" xfId="0" applyNumberFormat="1" applyFont="1" applyAlignment="1">
      <alignment horizontal="left"/>
    </xf>
    <xf numFmtId="0" fontId="90" fillId="0" borderId="16" xfId="0" applyFont="1" applyBorder="1"/>
    <xf numFmtId="0" fontId="90" fillId="0" borderId="4" xfId="0" applyFont="1" applyBorder="1"/>
    <xf numFmtId="0" fontId="50" fillId="0" borderId="15" xfId="0" applyFont="1" applyBorder="1" applyAlignment="1">
      <alignment horizontal="left" vertical="center" readingOrder="1"/>
    </xf>
    <xf numFmtId="0" fontId="50" fillId="0" borderId="10" xfId="0" applyFont="1" applyBorder="1" applyAlignment="1">
      <alignment horizontal="left" vertical="center" readingOrder="1"/>
    </xf>
    <xf numFmtId="0" fontId="49" fillId="0" borderId="18" xfId="0" applyFont="1" applyBorder="1"/>
    <xf numFmtId="0" fontId="90" fillId="0" borderId="19" xfId="0" applyFont="1" applyBorder="1"/>
    <xf numFmtId="0" fontId="49" fillId="0" borderId="21" xfId="0" applyFont="1" applyBorder="1"/>
    <xf numFmtId="44" fontId="9" fillId="0" borderId="10" xfId="3" applyFont="1" applyBorder="1"/>
    <xf numFmtId="44" fontId="9" fillId="0" borderId="22" xfId="3" applyFont="1" applyBorder="1"/>
    <xf numFmtId="43" fontId="14" fillId="0" borderId="10" xfId="1" applyFont="1" applyBorder="1"/>
    <xf numFmtId="0" fontId="14" fillId="0" borderId="10" xfId="0" applyFont="1" applyBorder="1"/>
    <xf numFmtId="0" fontId="14" fillId="0" borderId="22" xfId="0" applyFont="1" applyBorder="1"/>
    <xf numFmtId="44" fontId="9" fillId="0" borderId="10" xfId="1" applyNumberFormat="1" applyFont="1" applyBorder="1"/>
    <xf numFmtId="0" fontId="32" fillId="0" borderId="10" xfId="0" applyFont="1" applyBorder="1" applyAlignment="1">
      <alignment horizontal="left" indent="1"/>
    </xf>
    <xf numFmtId="164" fontId="9" fillId="0" borderId="10" xfId="1" applyNumberFormat="1" applyFont="1" applyBorder="1"/>
    <xf numFmtId="0" fontId="6" fillId="0" borderId="28" xfId="0" applyFont="1" applyBorder="1"/>
    <xf numFmtId="0" fontId="45" fillId="0" borderId="15" xfId="0" applyFont="1" applyBorder="1"/>
    <xf numFmtId="0" fontId="45" fillId="0" borderId="10" xfId="0" applyFont="1" applyBorder="1"/>
    <xf numFmtId="0" fontId="5" fillId="0" borderId="3" xfId="0" applyFont="1" applyBorder="1"/>
    <xf numFmtId="0" fontId="5" fillId="0" borderId="21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179" fontId="91" fillId="0" borderId="35" xfId="8" applyNumberFormat="1" applyFont="1" applyBorder="1" applyAlignment="1">
      <alignment horizontal="center"/>
    </xf>
    <xf numFmtId="165" fontId="92" fillId="0" borderId="10" xfId="9" applyNumberFormat="1" applyFont="1"/>
    <xf numFmtId="169" fontId="5" fillId="0" borderId="2" xfId="0" applyNumberFormat="1" applyFont="1" applyBorder="1"/>
    <xf numFmtId="3" fontId="6" fillId="0" borderId="2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right"/>
    </xf>
    <xf numFmtId="3" fontId="5" fillId="0" borderId="2" xfId="0" applyNumberFormat="1" applyFont="1" applyBorder="1" applyAlignment="1">
      <alignment horizontal="right"/>
    </xf>
    <xf numFmtId="9" fontId="14" fillId="0" borderId="2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left"/>
    </xf>
    <xf numFmtId="3" fontId="6" fillId="0" borderId="6" xfId="0" applyNumberFormat="1" applyFont="1" applyBorder="1" applyAlignment="1">
      <alignment horizontal="left"/>
    </xf>
    <xf numFmtId="170" fontId="6" fillId="0" borderId="7" xfId="0" applyNumberFormat="1" applyFont="1" applyBorder="1" applyAlignment="1">
      <alignment horizontal="right"/>
    </xf>
    <xf numFmtId="169" fontId="5" fillId="0" borderId="0" xfId="0" applyNumberFormat="1" applyFont="1"/>
    <xf numFmtId="37" fontId="13" fillId="0" borderId="22" xfId="0" applyNumberFormat="1" applyFont="1" applyBorder="1"/>
    <xf numFmtId="169" fontId="5" fillId="0" borderId="22" xfId="0" applyNumberFormat="1" applyFont="1" applyBorder="1"/>
    <xf numFmtId="37" fontId="5" fillId="0" borderId="22" xfId="0" applyNumberFormat="1" applyFont="1" applyBorder="1"/>
    <xf numFmtId="3" fontId="6" fillId="0" borderId="22" xfId="0" applyNumberFormat="1" applyFont="1" applyBorder="1" applyAlignment="1">
      <alignment horizontal="right"/>
    </xf>
    <xf numFmtId="0" fontId="94" fillId="0" borderId="10" xfId="0" applyFont="1" applyBorder="1" applyAlignment="1">
      <alignment horizontal="left" indent="1"/>
    </xf>
    <xf numFmtId="43" fontId="95" fillId="0" borderId="10" xfId="0" applyNumberFormat="1" applyFont="1" applyBorder="1"/>
    <xf numFmtId="4" fontId="5" fillId="0" borderId="0" xfId="0" applyNumberFormat="1" applyFont="1"/>
    <xf numFmtId="37" fontId="9" fillId="0" borderId="0" xfId="0" applyNumberFormat="1" applyFont="1"/>
    <xf numFmtId="39" fontId="9" fillId="0" borderId="0" xfId="0" applyNumberFormat="1" applyFont="1"/>
    <xf numFmtId="164" fontId="17" fillId="12" borderId="0" xfId="1" applyNumberFormat="1" applyFont="1" applyFill="1"/>
    <xf numFmtId="43" fontId="8" fillId="12" borderId="0" xfId="0" applyNumberFormat="1" applyFont="1" applyFill="1"/>
    <xf numFmtId="9" fontId="5" fillId="0" borderId="0" xfId="0" applyNumberFormat="1" applyFont="1"/>
    <xf numFmtId="41" fontId="32" fillId="0" borderId="10" xfId="0" applyNumberFormat="1" applyFont="1" applyBorder="1"/>
    <xf numFmtId="0" fontId="17" fillId="0" borderId="3" xfId="0" applyFont="1" applyBorder="1"/>
    <xf numFmtId="0" fontId="17" fillId="0" borderId="6" xfId="0" applyFont="1" applyBorder="1"/>
    <xf numFmtId="9" fontId="13" fillId="0" borderId="10" xfId="0" applyNumberFormat="1" applyFont="1" applyBorder="1" applyAlignment="1">
      <alignment horizontal="center"/>
    </xf>
    <xf numFmtId="0" fontId="50" fillId="0" borderId="16" xfId="0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13" fillId="0" borderId="2" xfId="0" applyFont="1" applyBorder="1"/>
    <xf numFmtId="164" fontId="9" fillId="0" borderId="2" xfId="1" applyNumberFormat="1" applyFont="1" applyBorder="1"/>
    <xf numFmtId="0" fontId="50" fillId="0" borderId="5" xfId="0" applyFont="1" applyBorder="1" applyAlignment="1">
      <alignment horizontal="center"/>
    </xf>
    <xf numFmtId="39" fontId="27" fillId="0" borderId="10" xfId="0" applyNumberFormat="1" applyFont="1" applyBorder="1"/>
    <xf numFmtId="39" fontId="27" fillId="0" borderId="22" xfId="0" applyNumberFormat="1" applyFont="1" applyBorder="1"/>
    <xf numFmtId="43" fontId="17" fillId="0" borderId="10" xfId="0" applyNumberFormat="1" applyFont="1" applyBorder="1"/>
    <xf numFmtId="43" fontId="17" fillId="0" borderId="2" xfId="0" applyNumberFormat="1" applyFont="1" applyBorder="1"/>
    <xf numFmtId="39" fontId="27" fillId="0" borderId="2" xfId="0" applyNumberFormat="1" applyFont="1" applyBorder="1"/>
    <xf numFmtId="0" fontId="11" fillId="12" borderId="0" xfId="0" applyFont="1" applyFill="1"/>
    <xf numFmtId="39" fontId="23" fillId="0" borderId="0" xfId="0" applyNumberFormat="1" applyFont="1"/>
    <xf numFmtId="0" fontId="8" fillId="9" borderId="0" xfId="0" applyFont="1" applyFill="1"/>
    <xf numFmtId="43" fontId="14" fillId="5" borderId="10" xfId="0" applyNumberFormat="1" applyFont="1" applyFill="1" applyBorder="1"/>
    <xf numFmtId="180" fontId="6" fillId="0" borderId="22" xfId="0" applyNumberFormat="1" applyFont="1" applyBorder="1" applyAlignment="1">
      <alignment horizontal="right" vertical="center"/>
    </xf>
    <xf numFmtId="0" fontId="39" fillId="0" borderId="0" xfId="4" applyAlignment="1">
      <alignment wrapText="1"/>
    </xf>
    <xf numFmtId="0" fontId="96" fillId="14" borderId="10" xfId="0" applyFont="1" applyFill="1" applyBorder="1" applyAlignment="1">
      <alignment horizontal="center" vertical="center"/>
    </xf>
    <xf numFmtId="0" fontId="98" fillId="14" borderId="10" xfId="0" applyFont="1" applyFill="1" applyBorder="1" applyAlignment="1">
      <alignment horizontal="center" vertical="center"/>
    </xf>
    <xf numFmtId="0" fontId="104" fillId="14" borderId="10" xfId="0" applyFont="1" applyFill="1" applyBorder="1" applyAlignment="1">
      <alignment horizontal="center" vertical="center"/>
    </xf>
    <xf numFmtId="9" fontId="99" fillId="15" borderId="10" xfId="2" applyFont="1" applyFill="1" applyBorder="1" applyAlignment="1">
      <alignment horizontal="center" vertical="center" wrapText="1"/>
    </xf>
    <xf numFmtId="9" fontId="99" fillId="15" borderId="10" xfId="0" applyNumberFormat="1" applyFont="1" applyFill="1" applyBorder="1" applyAlignment="1">
      <alignment horizontal="center" vertical="center"/>
    </xf>
    <xf numFmtId="9" fontId="99" fillId="15" borderId="10" xfId="2" applyFont="1" applyFill="1" applyBorder="1" applyAlignment="1">
      <alignment horizontal="center"/>
    </xf>
    <xf numFmtId="1" fontId="99" fillId="15" borderId="10" xfId="0" applyNumberFormat="1" applyFont="1" applyFill="1" applyBorder="1" applyAlignment="1">
      <alignment horizontal="center"/>
    </xf>
    <xf numFmtId="9" fontId="99" fillId="15" borderId="10" xfId="2" applyFont="1" applyFill="1" applyBorder="1" applyAlignment="1">
      <alignment horizontal="center" vertical="center"/>
    </xf>
    <xf numFmtId="0" fontId="99" fillId="15" borderId="10" xfId="0" applyFont="1" applyFill="1" applyBorder="1" applyAlignment="1">
      <alignment horizontal="center" vertical="center"/>
    </xf>
    <xf numFmtId="0" fontId="99" fillId="15" borderId="10" xfId="0" applyFont="1" applyFill="1" applyBorder="1" applyAlignment="1">
      <alignment horizontal="center"/>
    </xf>
    <xf numFmtId="14" fontId="99" fillId="15" borderId="10" xfId="0" applyNumberFormat="1" applyFont="1" applyFill="1" applyBorder="1" applyAlignment="1">
      <alignment horizontal="center" vertical="center"/>
    </xf>
    <xf numFmtId="1" fontId="99" fillId="15" borderId="10" xfId="0" applyNumberFormat="1" applyFont="1" applyFill="1" applyBorder="1" applyAlignment="1">
      <alignment horizontal="center" vertical="center"/>
    </xf>
    <xf numFmtId="0" fontId="99" fillId="15" borderId="10" xfId="1" applyNumberFormat="1" applyFont="1" applyFill="1" applyBorder="1" applyAlignment="1">
      <alignment horizontal="center" vertical="center"/>
    </xf>
    <xf numFmtId="10" fontId="99" fillId="15" borderId="10" xfId="2" applyNumberFormat="1" applyFont="1" applyFill="1" applyBorder="1" applyAlignment="1">
      <alignment horizontal="center" vertical="center"/>
    </xf>
    <xf numFmtId="0" fontId="99" fillId="15" borderId="10" xfId="2" applyNumberFormat="1" applyFont="1" applyFill="1" applyBorder="1" applyAlignment="1">
      <alignment horizontal="center" vertical="center"/>
    </xf>
    <xf numFmtId="0" fontId="101" fillId="15" borderId="10" xfId="0" applyFont="1" applyFill="1" applyBorder="1" applyAlignment="1">
      <alignment horizontal="center" vertical="center"/>
    </xf>
    <xf numFmtId="175" fontId="99" fillId="15" borderId="10" xfId="1" applyNumberFormat="1" applyFont="1" applyFill="1" applyBorder="1" applyAlignment="1">
      <alignment horizontal="center" vertical="center"/>
    </xf>
    <xf numFmtId="2" fontId="99" fillId="15" borderId="10" xfId="1" applyNumberFormat="1" applyFont="1" applyFill="1" applyBorder="1" applyAlignment="1">
      <alignment horizontal="center" vertical="center"/>
    </xf>
    <xf numFmtId="0" fontId="100" fillId="16" borderId="10" xfId="0" applyFont="1" applyFill="1" applyBorder="1" applyAlignment="1">
      <alignment horizontal="center" vertical="center"/>
    </xf>
    <xf numFmtId="175" fontId="100" fillId="16" borderId="10" xfId="0" applyNumberFormat="1" applyFont="1" applyFill="1" applyBorder="1" applyAlignment="1">
      <alignment horizontal="center" vertical="center"/>
    </xf>
    <xf numFmtId="0" fontId="98" fillId="16" borderId="10" xfId="0" applyFont="1" applyFill="1" applyBorder="1" applyAlignment="1">
      <alignment horizontal="left" vertical="center"/>
    </xf>
    <xf numFmtId="0" fontId="98" fillId="16" borderId="10" xfId="0" applyFont="1" applyFill="1" applyBorder="1" applyAlignment="1">
      <alignment horizontal="left"/>
    </xf>
    <xf numFmtId="14" fontId="99" fillId="15" borderId="10" xfId="1" applyNumberFormat="1" applyFont="1" applyFill="1" applyBorder="1" applyAlignment="1">
      <alignment horizontal="center" vertical="center"/>
    </xf>
    <xf numFmtId="9" fontId="101" fillId="16" borderId="10" xfId="2" applyFont="1" applyFill="1" applyBorder="1" applyAlignment="1">
      <alignment horizontal="center"/>
    </xf>
    <xf numFmtId="9" fontId="100" fillId="16" borderId="10" xfId="0" applyNumberFormat="1" applyFont="1" applyFill="1" applyBorder="1" applyAlignment="1">
      <alignment horizontal="center"/>
    </xf>
    <xf numFmtId="0" fontId="100" fillId="16" borderId="10" xfId="0" applyFont="1" applyFill="1" applyBorder="1" applyAlignment="1">
      <alignment horizontal="center"/>
    </xf>
    <xf numFmtId="10" fontId="101" fillId="15" borderId="10" xfId="2" applyNumberFormat="1" applyFont="1" applyFill="1" applyBorder="1" applyAlignment="1">
      <alignment horizontal="center" vertical="center"/>
    </xf>
    <xf numFmtId="181" fontId="99" fillId="15" borderId="10" xfId="3" applyNumberFormat="1" applyFont="1" applyFill="1" applyBorder="1" applyAlignment="1">
      <alignment horizontal="center"/>
    </xf>
    <xf numFmtId="181" fontId="99" fillId="15" borderId="10" xfId="0" applyNumberFormat="1" applyFont="1" applyFill="1" applyBorder="1" applyAlignment="1">
      <alignment horizontal="center"/>
    </xf>
    <xf numFmtId="0" fontId="96" fillId="17" borderId="10" xfId="0" applyFont="1" applyFill="1" applyBorder="1" applyAlignment="1">
      <alignment horizontal="center" vertical="center" wrapText="1"/>
    </xf>
    <xf numFmtId="0" fontId="106" fillId="18" borderId="10" xfId="0" applyFont="1" applyFill="1" applyBorder="1" applyAlignment="1">
      <alignment horizontal="center" vertical="center" wrapText="1"/>
    </xf>
    <xf numFmtId="0" fontId="107" fillId="19" borderId="10" xfId="0" applyFont="1" applyFill="1" applyBorder="1" applyAlignment="1">
      <alignment horizontal="center" vertical="center" wrapText="1"/>
    </xf>
    <xf numFmtId="173" fontId="22" fillId="8" borderId="10" xfId="0" applyNumberFormat="1" applyFont="1" applyFill="1" applyBorder="1" applyAlignment="1">
      <alignment horizontal="center"/>
    </xf>
    <xf numFmtId="173" fontId="45" fillId="0" borderId="10" xfId="0" applyNumberFormat="1" applyFont="1" applyBorder="1" applyAlignment="1">
      <alignment horizontal="center"/>
    </xf>
    <xf numFmtId="0" fontId="41" fillId="0" borderId="10" xfId="4" applyFont="1" applyBorder="1" applyAlignment="1">
      <alignment horizontal="left" wrapText="1"/>
    </xf>
    <xf numFmtId="0" fontId="98" fillId="16" borderId="10" xfId="0" applyFont="1" applyFill="1" applyBorder="1" applyAlignment="1">
      <alignment horizontal="left" indent="2"/>
    </xf>
    <xf numFmtId="14" fontId="100" fillId="16" borderId="10" xfId="0" applyNumberFormat="1" applyFont="1" applyFill="1" applyBorder="1" applyAlignment="1">
      <alignment horizontal="center" vertical="center"/>
    </xf>
    <xf numFmtId="1" fontId="101" fillId="16" borderId="10" xfId="1" applyNumberFormat="1" applyFont="1" applyFill="1" applyBorder="1" applyAlignment="1">
      <alignment horizontal="center" vertical="center"/>
    </xf>
    <xf numFmtId="2" fontId="101" fillId="16" borderId="10" xfId="1" applyNumberFormat="1" applyFont="1" applyFill="1" applyBorder="1" applyAlignment="1">
      <alignment horizontal="center" vertical="center"/>
    </xf>
    <xf numFmtId="181" fontId="99" fillId="15" borderId="10" xfId="3" applyNumberFormat="1" applyFont="1" applyFill="1" applyBorder="1" applyAlignment="1">
      <alignment horizontal="center" vertical="center"/>
    </xf>
    <xf numFmtId="182" fontId="101" fillId="16" borderId="10" xfId="1" applyNumberFormat="1" applyFont="1" applyFill="1" applyBorder="1" applyAlignment="1">
      <alignment horizontal="center" vertical="center"/>
    </xf>
    <xf numFmtId="2" fontId="101" fillId="16" borderId="10" xfId="2" applyNumberFormat="1" applyFont="1" applyFill="1" applyBorder="1" applyAlignment="1">
      <alignment horizontal="center" vertical="center"/>
    </xf>
    <xf numFmtId="14" fontId="101" fillId="16" borderId="10" xfId="0" applyNumberFormat="1" applyFont="1" applyFill="1" applyBorder="1" applyAlignment="1">
      <alignment horizontal="center" vertical="center"/>
    </xf>
    <xf numFmtId="9" fontId="101" fillId="15" borderId="10" xfId="2" applyFont="1" applyFill="1" applyBorder="1" applyAlignment="1">
      <alignment horizontal="center" vertical="center"/>
    </xf>
    <xf numFmtId="9" fontId="101" fillId="15" borderId="10" xfId="0" applyNumberFormat="1" applyFont="1" applyFill="1" applyBorder="1" applyAlignment="1">
      <alignment horizontal="center" vertical="center"/>
    </xf>
    <xf numFmtId="0" fontId="102" fillId="16" borderId="10" xfId="0" applyFont="1" applyFill="1" applyBorder="1" applyAlignment="1">
      <alignment horizontal="center" vertical="center"/>
    </xf>
    <xf numFmtId="176" fontId="100" fillId="16" borderId="10" xfId="0" applyNumberFormat="1" applyFont="1" applyFill="1" applyBorder="1" applyAlignment="1">
      <alignment horizontal="center"/>
    </xf>
    <xf numFmtId="2" fontId="100" fillId="16" borderId="10" xfId="0" applyNumberFormat="1" applyFont="1" applyFill="1" applyBorder="1" applyAlignment="1">
      <alignment horizontal="center"/>
    </xf>
    <xf numFmtId="1" fontId="100" fillId="16" borderId="10" xfId="0" applyNumberFormat="1" applyFont="1" applyFill="1" applyBorder="1" applyAlignment="1">
      <alignment horizontal="center"/>
    </xf>
    <xf numFmtId="2" fontId="102" fillId="16" borderId="10" xfId="0" applyNumberFormat="1" applyFont="1" applyFill="1" applyBorder="1" applyAlignment="1">
      <alignment horizontal="center" vertical="center"/>
    </xf>
    <xf numFmtId="181" fontId="99" fillId="15" borderId="10" xfId="0" applyNumberFormat="1" applyFont="1" applyFill="1" applyBorder="1" applyAlignment="1">
      <alignment horizontal="center" vertical="center"/>
    </xf>
    <xf numFmtId="0" fontId="108" fillId="15" borderId="10" xfId="0" applyFont="1" applyFill="1" applyBorder="1" applyAlignment="1">
      <alignment horizontal="center" vertical="center"/>
    </xf>
    <xf numFmtId="0" fontId="98" fillId="16" borderId="10" xfId="0" applyFont="1" applyFill="1" applyBorder="1" applyAlignment="1">
      <alignment horizontal="left" vertical="center" indent="2"/>
    </xf>
    <xf numFmtId="49" fontId="98" fillId="16" borderId="10" xfId="0" applyNumberFormat="1" applyFont="1" applyFill="1" applyBorder="1" applyAlignment="1">
      <alignment horizontal="left" indent="2"/>
    </xf>
    <xf numFmtId="0" fontId="109" fillId="16" borderId="10" xfId="0" applyFont="1" applyFill="1" applyBorder="1" applyAlignment="1">
      <alignment horizontal="left" vertical="center"/>
    </xf>
    <xf numFmtId="0" fontId="109" fillId="14" borderId="10" xfId="0" applyFont="1" applyFill="1" applyBorder="1" applyAlignment="1">
      <alignment horizontal="center" vertical="center"/>
    </xf>
    <xf numFmtId="181" fontId="110" fillId="15" borderId="10" xfId="1" applyNumberFormat="1" applyFont="1" applyFill="1" applyBorder="1" applyAlignment="1">
      <alignment horizontal="center" vertical="center"/>
    </xf>
    <xf numFmtId="0" fontId="98" fillId="12" borderId="10" xfId="0" applyFont="1" applyFill="1" applyBorder="1" applyAlignment="1">
      <alignment horizontal="left" vertical="center"/>
    </xf>
    <xf numFmtId="49" fontId="98" fillId="16" borderId="10" xfId="0" applyNumberFormat="1" applyFont="1" applyFill="1" applyBorder="1" applyAlignment="1">
      <alignment horizontal="left" vertical="center" indent="2"/>
    </xf>
    <xf numFmtId="170" fontId="99" fillId="15" borderId="10" xfId="0" applyNumberFormat="1" applyFont="1" applyFill="1" applyBorder="1" applyAlignment="1">
      <alignment horizontal="center" vertical="center"/>
    </xf>
    <xf numFmtId="170" fontId="101" fillId="16" borderId="10" xfId="2" applyNumberFormat="1" applyFont="1" applyFill="1" applyBorder="1" applyAlignment="1">
      <alignment horizontal="center" vertical="center"/>
    </xf>
    <xf numFmtId="170" fontId="99" fillId="12" borderId="10" xfId="2" applyNumberFormat="1" applyFont="1" applyFill="1" applyBorder="1" applyAlignment="1">
      <alignment horizontal="center" vertical="center"/>
    </xf>
    <xf numFmtId="0" fontId="96" fillId="20" borderId="10" xfId="0" applyFont="1" applyFill="1" applyBorder="1" applyAlignment="1">
      <alignment horizontal="center" vertical="center" wrapText="1"/>
    </xf>
    <xf numFmtId="184" fontId="108" fillId="15" borderId="10" xfId="0" applyNumberFormat="1" applyFont="1" applyFill="1" applyBorder="1" applyAlignment="1">
      <alignment horizontal="center" vertical="center"/>
    </xf>
    <xf numFmtId="181" fontId="100" fillId="16" borderId="10" xfId="0" applyNumberFormat="1" applyFont="1" applyFill="1" applyBorder="1" applyAlignment="1">
      <alignment horizontal="center" vertical="center"/>
    </xf>
    <xf numFmtId="183" fontId="100" fillId="16" borderId="10" xfId="0" applyNumberFormat="1" applyFont="1" applyFill="1" applyBorder="1" applyAlignment="1">
      <alignment horizontal="center" vertical="center"/>
    </xf>
    <xf numFmtId="184" fontId="100" fillId="15" borderId="10" xfId="0" applyNumberFormat="1" applyFont="1" applyFill="1" applyBorder="1" applyAlignment="1">
      <alignment horizontal="center" vertical="center"/>
    </xf>
    <xf numFmtId="10" fontId="101" fillId="16" borderId="10" xfId="2" applyNumberFormat="1" applyFont="1" applyFill="1" applyBorder="1" applyAlignment="1">
      <alignment horizontal="center" vertical="center"/>
    </xf>
    <xf numFmtId="10" fontId="101" fillId="16" borderId="0" xfId="2" applyNumberFormat="1" applyFont="1" applyFill="1" applyAlignment="1">
      <alignment horizontal="center" vertical="center"/>
    </xf>
    <xf numFmtId="9" fontId="99" fillId="15" borderId="0" xfId="2" applyFont="1" applyFill="1" applyAlignment="1">
      <alignment horizontal="center" vertical="center"/>
    </xf>
    <xf numFmtId="181" fontId="101" fillId="16" borderId="10" xfId="3" applyNumberFormat="1" applyFont="1" applyFill="1" applyBorder="1" applyAlignment="1">
      <alignment horizontal="center" vertical="center"/>
    </xf>
    <xf numFmtId="0" fontId="101" fillId="16" borderId="0" xfId="3" applyNumberFormat="1" applyFont="1" applyFill="1" applyAlignment="1">
      <alignment horizontal="center" vertical="center"/>
    </xf>
    <xf numFmtId="0" fontId="103" fillId="16" borderId="10" xfId="0" applyFont="1" applyFill="1" applyBorder="1" applyAlignment="1">
      <alignment horizontal="center" vertical="center"/>
    </xf>
    <xf numFmtId="0" fontId="99" fillId="0" borderId="0" xfId="3" applyNumberFormat="1" applyFont="1" applyFill="1" applyAlignment="1">
      <alignment horizontal="center" vertical="center"/>
    </xf>
    <xf numFmtId="1" fontId="103" fillId="16" borderId="0" xfId="3" applyNumberFormat="1" applyFont="1" applyFill="1" applyAlignment="1">
      <alignment horizontal="center" vertical="center"/>
    </xf>
    <xf numFmtId="177" fontId="100" fillId="16" borderId="10" xfId="0" applyNumberFormat="1" applyFont="1" applyFill="1" applyBorder="1" applyAlignment="1">
      <alignment horizontal="center" vertical="center"/>
    </xf>
    <xf numFmtId="43" fontId="100" fillId="16" borderId="10" xfId="0" applyNumberFormat="1" applyFont="1" applyFill="1" applyBorder="1" applyAlignment="1">
      <alignment horizontal="center" vertical="center"/>
    </xf>
    <xf numFmtId="177" fontId="99" fillId="15" borderId="10" xfId="0" applyNumberFormat="1" applyFont="1" applyFill="1" applyBorder="1" applyAlignment="1">
      <alignment horizontal="center" vertical="center"/>
    </xf>
    <xf numFmtId="0" fontId="101" fillId="16" borderId="10" xfId="0" applyFont="1" applyFill="1" applyBorder="1" applyAlignment="1">
      <alignment horizontal="center" vertical="center"/>
    </xf>
    <xf numFmtId="0" fontId="101" fillId="16" borderId="10" xfId="0" applyFont="1" applyFill="1" applyBorder="1" applyAlignment="1">
      <alignment horizontal="center" vertical="center" wrapText="1"/>
    </xf>
    <xf numFmtId="1" fontId="103" fillId="16" borderId="10" xfId="0" applyNumberFormat="1" applyFont="1" applyFill="1" applyBorder="1" applyAlignment="1">
      <alignment horizontal="center" vertical="center"/>
    </xf>
    <xf numFmtId="181" fontId="101" fillId="16" borderId="10" xfId="0" applyNumberFormat="1" applyFont="1" applyFill="1" applyBorder="1" applyAlignment="1">
      <alignment horizontal="center" vertical="center"/>
    </xf>
    <xf numFmtId="0" fontId="100" fillId="16" borderId="0" xfId="0" applyFont="1" applyFill="1" applyAlignment="1">
      <alignment horizontal="center" vertical="center"/>
    </xf>
    <xf numFmtId="2" fontId="99" fillId="15" borderId="0" xfId="1" applyNumberFormat="1" applyFont="1" applyFill="1" applyAlignment="1">
      <alignment horizontal="center" vertical="center"/>
    </xf>
    <xf numFmtId="9" fontId="101" fillId="16" borderId="10" xfId="0" applyNumberFormat="1" applyFont="1" applyFill="1" applyBorder="1" applyAlignment="1">
      <alignment horizontal="center" vertical="center"/>
    </xf>
    <xf numFmtId="0" fontId="101" fillId="16" borderId="10" xfId="1" applyNumberFormat="1" applyFont="1" applyFill="1" applyBorder="1" applyAlignment="1">
      <alignment horizontal="center" vertical="center"/>
    </xf>
    <xf numFmtId="10" fontId="99" fillId="15" borderId="0" xfId="2" applyNumberFormat="1" applyFont="1" applyFill="1" applyAlignment="1">
      <alignment horizontal="center" vertical="center"/>
    </xf>
    <xf numFmtId="10" fontId="100" fillId="16" borderId="10" xfId="2" applyNumberFormat="1" applyFont="1" applyFill="1" applyBorder="1" applyAlignment="1">
      <alignment horizontal="center" vertical="center"/>
    </xf>
    <xf numFmtId="2" fontId="100" fillId="16" borderId="10" xfId="0" applyNumberFormat="1" applyFont="1" applyFill="1" applyBorder="1" applyAlignment="1">
      <alignment horizontal="center" vertical="center"/>
    </xf>
    <xf numFmtId="9" fontId="101" fillId="15" borderId="0" xfId="2" applyFont="1" applyFill="1" applyAlignment="1">
      <alignment horizontal="center" vertical="center"/>
    </xf>
    <xf numFmtId="0" fontId="96" fillId="14" borderId="0" xfId="0" applyFont="1" applyFill="1" applyAlignment="1">
      <alignment horizontal="center" vertical="center"/>
    </xf>
    <xf numFmtId="0" fontId="106" fillId="18" borderId="0" xfId="0" applyFont="1" applyFill="1" applyAlignment="1">
      <alignment horizontal="center" vertical="center" wrapText="1"/>
    </xf>
    <xf numFmtId="0" fontId="96" fillId="20" borderId="0" xfId="0" applyFont="1" applyFill="1" applyAlignment="1">
      <alignment horizontal="center" vertical="center" wrapText="1"/>
    </xf>
    <xf numFmtId="0" fontId="96" fillId="17" borderId="0" xfId="0" applyFont="1" applyFill="1" applyAlignment="1">
      <alignment horizontal="center" vertical="center" wrapText="1"/>
    </xf>
    <xf numFmtId="0" fontId="107" fillId="19" borderId="0" xfId="0" applyFont="1" applyFill="1" applyAlignment="1">
      <alignment horizontal="center" vertical="center" wrapText="1"/>
    </xf>
    <xf numFmtId="2" fontId="100" fillId="16" borderId="0" xfId="0" applyNumberFormat="1" applyFont="1" applyFill="1" applyAlignment="1">
      <alignment horizontal="center" vertical="center"/>
    </xf>
    <xf numFmtId="2" fontId="99" fillId="15" borderId="10" xfId="0" applyNumberFormat="1" applyFont="1" applyFill="1" applyBorder="1" applyAlignment="1">
      <alignment horizontal="center" vertical="center"/>
    </xf>
    <xf numFmtId="9" fontId="99" fillId="15" borderId="0" xfId="0" applyNumberFormat="1" applyFont="1" applyFill="1" applyAlignment="1">
      <alignment horizontal="center" vertical="center"/>
    </xf>
    <xf numFmtId="0" fontId="0" fillId="16" borderId="0" xfId="0" applyFill="1"/>
    <xf numFmtId="0" fontId="98" fillId="14" borderId="0" xfId="0" applyFont="1" applyFill="1" applyAlignment="1">
      <alignment horizontal="center" vertical="center"/>
    </xf>
    <xf numFmtId="182" fontId="99" fillId="15" borderId="0" xfId="0" applyNumberFormat="1" applyFont="1" applyFill="1" applyAlignment="1">
      <alignment horizontal="center" vertical="center"/>
    </xf>
    <xf numFmtId="2" fontId="101" fillId="16" borderId="0" xfId="0" applyNumberFormat="1" applyFont="1" applyFill="1" applyAlignment="1">
      <alignment horizontal="center" vertical="center"/>
    </xf>
    <xf numFmtId="0" fontId="98" fillId="16" borderId="10" xfId="0" applyFont="1" applyFill="1" applyBorder="1" applyAlignment="1">
      <alignment horizontal="left" indent="4"/>
    </xf>
    <xf numFmtId="0" fontId="98" fillId="16" borderId="0" xfId="0" applyFont="1" applyFill="1" applyAlignment="1">
      <alignment horizontal="left" indent="4"/>
    </xf>
    <xf numFmtId="177" fontId="101" fillId="16" borderId="10" xfId="0" applyNumberFormat="1" applyFont="1" applyFill="1" applyBorder="1" applyAlignment="1">
      <alignment horizontal="center" vertical="center"/>
    </xf>
    <xf numFmtId="0" fontId="98" fillId="16" borderId="0" xfId="0" applyFont="1" applyFill="1" applyAlignment="1">
      <alignment horizontal="left"/>
    </xf>
    <xf numFmtId="0" fontId="100" fillId="14" borderId="0" xfId="0" applyFont="1" applyFill="1" applyAlignment="1">
      <alignment horizontal="center" vertical="center"/>
    </xf>
    <xf numFmtId="9" fontId="111" fillId="14" borderId="0" xfId="0" applyNumberFormat="1" applyFont="1" applyFill="1" applyAlignment="1">
      <alignment horizontal="center" vertical="center"/>
    </xf>
    <xf numFmtId="0" fontId="100" fillId="14" borderId="10" xfId="0" applyFont="1" applyFill="1" applyBorder="1" applyAlignment="1">
      <alignment horizontal="center" vertical="center"/>
    </xf>
    <xf numFmtId="9" fontId="111" fillId="14" borderId="10" xfId="0" applyNumberFormat="1" applyFont="1" applyFill="1" applyBorder="1" applyAlignment="1">
      <alignment horizontal="center" vertical="center"/>
    </xf>
    <xf numFmtId="181" fontId="100" fillId="14" borderId="43" xfId="0" applyNumberFormat="1" applyFont="1" applyFill="1" applyBorder="1" applyAlignment="1">
      <alignment horizontal="center" vertical="center"/>
    </xf>
    <xf numFmtId="177" fontId="100" fillId="14" borderId="43" xfId="0" applyNumberFormat="1" applyFont="1" applyFill="1" applyBorder="1" applyAlignment="1">
      <alignment horizontal="center" vertical="center"/>
    </xf>
    <xf numFmtId="9" fontId="100" fillId="21" borderId="10" xfId="2" applyFont="1" applyFill="1" applyBorder="1" applyAlignment="1">
      <alignment horizontal="center" vertical="center" wrapText="1"/>
    </xf>
    <xf numFmtId="1" fontId="100" fillId="21" borderId="10" xfId="0" applyNumberFormat="1" applyFont="1" applyFill="1" applyBorder="1" applyAlignment="1">
      <alignment horizontal="center"/>
    </xf>
    <xf numFmtId="9" fontId="100" fillId="21" borderId="10" xfId="2" applyFont="1" applyFill="1" applyBorder="1" applyAlignment="1">
      <alignment horizontal="center"/>
    </xf>
    <xf numFmtId="9" fontId="100" fillId="21" borderId="10" xfId="0" applyNumberFormat="1" applyFont="1" applyFill="1" applyBorder="1" applyAlignment="1">
      <alignment horizontal="center"/>
    </xf>
    <xf numFmtId="0" fontId="100" fillId="21" borderId="10" xfId="0" applyFont="1" applyFill="1" applyBorder="1" applyAlignment="1">
      <alignment horizontal="center" vertical="center"/>
    </xf>
    <xf numFmtId="9" fontId="100" fillId="21" borderId="10" xfId="2" applyFont="1" applyFill="1" applyBorder="1" applyAlignment="1">
      <alignment horizontal="center" vertical="center"/>
    </xf>
    <xf numFmtId="0" fontId="100" fillId="21" borderId="10" xfId="0" applyFont="1" applyFill="1" applyBorder="1" applyAlignment="1">
      <alignment horizontal="center"/>
    </xf>
    <xf numFmtId="9" fontId="100" fillId="21" borderId="10" xfId="0" applyNumberFormat="1" applyFont="1" applyFill="1" applyBorder="1" applyAlignment="1">
      <alignment horizontal="center" vertical="center"/>
    </xf>
    <xf numFmtId="9" fontId="101" fillId="21" borderId="10" xfId="0" applyNumberFormat="1" applyFont="1" applyFill="1" applyBorder="1" applyAlignment="1">
      <alignment horizontal="center" vertical="center"/>
    </xf>
    <xf numFmtId="1" fontId="101" fillId="21" borderId="10" xfId="1" applyNumberFormat="1" applyFont="1" applyFill="1" applyBorder="1" applyAlignment="1">
      <alignment horizontal="center" vertical="center"/>
    </xf>
    <xf numFmtId="10" fontId="101" fillId="21" borderId="10" xfId="2" applyNumberFormat="1" applyFont="1" applyFill="1" applyBorder="1" applyAlignment="1">
      <alignment horizontal="center" vertical="center"/>
    </xf>
    <xf numFmtId="0" fontId="98" fillId="16" borderId="0" xfId="0" applyFont="1" applyFill="1" applyAlignment="1">
      <alignment horizontal="left" vertical="center" indent="2"/>
    </xf>
    <xf numFmtId="181" fontId="100" fillId="21" borderId="10" xfId="3" applyNumberFormat="1" applyFont="1" applyFill="1" applyBorder="1" applyAlignment="1">
      <alignment horizontal="center" vertical="center"/>
    </xf>
    <xf numFmtId="175" fontId="100" fillId="21" borderId="10" xfId="0" applyNumberFormat="1" applyFont="1" applyFill="1" applyBorder="1" applyAlignment="1">
      <alignment horizontal="center" vertical="center"/>
    </xf>
    <xf numFmtId="181" fontId="100" fillId="21" borderId="10" xfId="0" applyNumberFormat="1" applyFont="1" applyFill="1" applyBorder="1" applyAlignment="1">
      <alignment horizontal="center" vertical="center"/>
    </xf>
    <xf numFmtId="0" fontId="2" fillId="0" borderId="10" xfId="10"/>
    <xf numFmtId="0" fontId="112" fillId="22" borderId="10" xfId="10" applyFont="1" applyFill="1"/>
    <xf numFmtId="0" fontId="113" fillId="22" borderId="10" xfId="10" applyFont="1" applyFill="1"/>
    <xf numFmtId="0" fontId="2" fillId="21" borderId="10" xfId="10" applyFill="1"/>
    <xf numFmtId="9" fontId="0" fillId="0" borderId="10" xfId="11" applyFont="1"/>
    <xf numFmtId="185" fontId="112" fillId="22" borderId="10" xfId="10" applyNumberFormat="1" applyFont="1" applyFill="1"/>
    <xf numFmtId="44" fontId="0" fillId="0" borderId="10" xfId="12" applyFont="1"/>
    <xf numFmtId="44" fontId="2" fillId="0" borderId="10" xfId="10" applyNumberFormat="1"/>
    <xf numFmtId="176" fontId="2" fillId="0" borderId="10" xfId="10" applyNumberFormat="1"/>
    <xf numFmtId="0" fontId="1" fillId="0" borderId="15" xfId="0" applyFont="1" applyBorder="1"/>
    <xf numFmtId="0" fontId="1" fillId="0" borderId="10" xfId="10" applyFont="1"/>
    <xf numFmtId="0" fontId="0" fillId="0" borderId="0" xfId="10" applyFont="1" applyBorder="1"/>
    <xf numFmtId="0" fontId="0" fillId="0" borderId="10" xfId="10" applyFont="1"/>
    <xf numFmtId="1" fontId="2" fillId="0" borderId="10" xfId="10" applyNumberFormat="1"/>
    <xf numFmtId="0" fontId="98" fillId="16" borderId="0" xfId="0" applyFont="1" applyFill="1" applyAlignment="1">
      <alignment horizontal="left" vertical="center"/>
    </xf>
    <xf numFmtId="9" fontId="2" fillId="0" borderId="10" xfId="10" applyNumberFormat="1"/>
    <xf numFmtId="0" fontId="2" fillId="0" borderId="16" xfId="10" applyBorder="1"/>
    <xf numFmtId="0" fontId="2" fillId="0" borderId="4" xfId="10" applyBorder="1"/>
    <xf numFmtId="0" fontId="2" fillId="0" borderId="5" xfId="10" applyBorder="1"/>
    <xf numFmtId="0" fontId="2" fillId="0" borderId="15" xfId="10" applyBorder="1"/>
    <xf numFmtId="0" fontId="2" fillId="0" borderId="2" xfId="10" applyBorder="1"/>
    <xf numFmtId="0" fontId="2" fillId="0" borderId="3" xfId="10" applyBorder="1"/>
    <xf numFmtId="0" fontId="116" fillId="21" borderId="16" xfId="10" applyFont="1" applyFill="1" applyBorder="1"/>
    <xf numFmtId="0" fontId="114" fillId="21" borderId="4" xfId="10" applyFont="1" applyFill="1" applyBorder="1"/>
    <xf numFmtId="0" fontId="114" fillId="21" borderId="5" xfId="10" applyFont="1" applyFill="1" applyBorder="1"/>
    <xf numFmtId="0" fontId="114" fillId="21" borderId="15" xfId="10" applyFont="1" applyFill="1" applyBorder="1"/>
    <xf numFmtId="0" fontId="114" fillId="21" borderId="3" xfId="10" applyFont="1" applyFill="1" applyBorder="1"/>
    <xf numFmtId="44" fontId="2" fillId="0" borderId="2" xfId="10" applyNumberFormat="1" applyBorder="1"/>
    <xf numFmtId="186" fontId="0" fillId="0" borderId="7" xfId="10" applyNumberFormat="1" applyFont="1" applyBorder="1"/>
    <xf numFmtId="186" fontId="0" fillId="0" borderId="6" xfId="10" applyNumberFormat="1" applyFont="1" applyBorder="1"/>
    <xf numFmtId="186" fontId="0" fillId="0" borderId="2" xfId="10" applyNumberFormat="1" applyFont="1" applyBorder="1"/>
    <xf numFmtId="44" fontId="0" fillId="0" borderId="2" xfId="10" applyNumberFormat="1" applyFont="1" applyBorder="1"/>
    <xf numFmtId="186" fontId="0" fillId="0" borderId="2" xfId="10" applyNumberFormat="1" applyFont="1" applyBorder="1" applyAlignment="1">
      <alignment horizontal="right"/>
    </xf>
    <xf numFmtId="0" fontId="114" fillId="21" borderId="44" xfId="10" applyFont="1" applyFill="1" applyBorder="1"/>
    <xf numFmtId="0" fontId="114" fillId="21" borderId="45" xfId="10" applyFont="1" applyFill="1" applyBorder="1"/>
    <xf numFmtId="0" fontId="117" fillId="21" borderId="45" xfId="10" applyFont="1" applyFill="1" applyBorder="1"/>
    <xf numFmtId="0" fontId="117" fillId="21" borderId="46" xfId="10" applyFont="1" applyFill="1" applyBorder="1"/>
    <xf numFmtId="0" fontId="114" fillId="21" borderId="16" xfId="10" applyFont="1" applyFill="1" applyBorder="1"/>
    <xf numFmtId="185" fontId="2" fillId="0" borderId="10" xfId="10" applyNumberFormat="1"/>
    <xf numFmtId="185" fontId="2" fillId="0" borderId="2" xfId="10" applyNumberFormat="1" applyBorder="1"/>
    <xf numFmtId="44" fontId="0" fillId="0" borderId="10" xfId="10" applyNumberFormat="1" applyFont="1"/>
    <xf numFmtId="44" fontId="1" fillId="0" borderId="10" xfId="10" applyNumberFormat="1" applyFont="1" applyAlignment="1">
      <alignment horizontal="center"/>
    </xf>
    <xf numFmtId="44" fontId="1" fillId="0" borderId="2" xfId="10" applyNumberFormat="1" applyFont="1" applyBorder="1" applyAlignment="1">
      <alignment horizontal="center"/>
    </xf>
    <xf numFmtId="44" fontId="2" fillId="0" borderId="6" xfId="10" applyNumberFormat="1" applyBorder="1"/>
    <xf numFmtId="44" fontId="2" fillId="0" borderId="7" xfId="10" applyNumberFormat="1" applyBorder="1"/>
    <xf numFmtId="0" fontId="114" fillId="21" borderId="10" xfId="10" applyFont="1" applyFill="1"/>
    <xf numFmtId="0" fontId="114" fillId="21" borderId="2" xfId="10" applyFont="1" applyFill="1" applyBorder="1"/>
    <xf numFmtId="2" fontId="2" fillId="14" borderId="10" xfId="10" applyNumberFormat="1" applyFill="1"/>
    <xf numFmtId="44" fontId="2" fillId="14" borderId="10" xfId="10" applyNumberFormat="1" applyFill="1"/>
    <xf numFmtId="44" fontId="2" fillId="14" borderId="2" xfId="10" applyNumberFormat="1" applyFill="1" applyBorder="1"/>
    <xf numFmtId="0" fontId="116" fillId="21" borderId="15" xfId="10" applyFont="1" applyFill="1" applyBorder="1"/>
    <xf numFmtId="0" fontId="0" fillId="0" borderId="16" xfId="10" applyFont="1" applyBorder="1"/>
    <xf numFmtId="0" fontId="0" fillId="0" borderId="15" xfId="10" applyFont="1" applyBorder="1"/>
    <xf numFmtId="0" fontId="1" fillId="0" borderId="16" xfId="10" applyFont="1" applyBorder="1"/>
    <xf numFmtId="0" fontId="0" fillId="0" borderId="2" xfId="10" applyFont="1" applyBorder="1"/>
    <xf numFmtId="0" fontId="0" fillId="0" borderId="3" xfId="10" applyFont="1" applyBorder="1"/>
    <xf numFmtId="0" fontId="0" fillId="0" borderId="6" xfId="10" applyFont="1" applyBorder="1"/>
    <xf numFmtId="0" fontId="0" fillId="0" borderId="7" xfId="10" applyFont="1" applyBorder="1"/>
    <xf numFmtId="0" fontId="2" fillId="16" borderId="10" xfId="10" applyFill="1"/>
    <xf numFmtId="0" fontId="2" fillId="16" borderId="10" xfId="10" applyFill="1" applyAlignment="1">
      <alignment horizontal="center" vertical="center"/>
    </xf>
    <xf numFmtId="186" fontId="2" fillId="16" borderId="10" xfId="10" applyNumberFormat="1" applyFill="1"/>
    <xf numFmtId="0" fontId="119" fillId="16" borderId="10" xfId="10" applyFont="1" applyFill="1"/>
    <xf numFmtId="0" fontId="0" fillId="16" borderId="10" xfId="10" applyFont="1" applyFill="1"/>
    <xf numFmtId="0" fontId="1" fillId="16" borderId="10" xfId="10" applyFont="1" applyFill="1"/>
    <xf numFmtId="44" fontId="0" fillId="16" borderId="0" xfId="3" applyFont="1" applyFill="1"/>
    <xf numFmtId="44" fontId="2" fillId="16" borderId="10" xfId="10" applyNumberFormat="1" applyFill="1"/>
    <xf numFmtId="0" fontId="115" fillId="16" borderId="10" xfId="10" applyFont="1" applyFill="1"/>
    <xf numFmtId="0" fontId="1" fillId="0" borderId="4" xfId="10" applyFont="1" applyBorder="1" applyAlignment="1">
      <alignment vertical="center"/>
    </xf>
    <xf numFmtId="0" fontId="1" fillId="0" borderId="5" xfId="10" applyFont="1" applyBorder="1" applyAlignment="1">
      <alignment vertical="center"/>
    </xf>
    <xf numFmtId="0" fontId="1" fillId="0" borderId="10" xfId="10" applyFont="1" applyAlignment="1">
      <alignment vertical="center"/>
    </xf>
    <xf numFmtId="0" fontId="1" fillId="0" borderId="2" xfId="10" applyFont="1" applyBorder="1" applyAlignment="1">
      <alignment vertical="center"/>
    </xf>
    <xf numFmtId="0" fontId="1" fillId="0" borderId="6" xfId="10" applyFont="1" applyBorder="1" applyAlignment="1">
      <alignment vertical="center"/>
    </xf>
    <xf numFmtId="0" fontId="1" fillId="0" borderId="7" xfId="10" applyFont="1" applyBorder="1" applyAlignment="1">
      <alignment vertical="center"/>
    </xf>
    <xf numFmtId="9" fontId="1" fillId="16" borderId="10" xfId="2" applyFont="1" applyFill="1" applyBorder="1"/>
    <xf numFmtId="44" fontId="1" fillId="0" borderId="10" xfId="3" applyFont="1" applyFill="1" applyBorder="1"/>
    <xf numFmtId="44" fontId="1" fillId="0" borderId="2" xfId="3" applyFont="1" applyFill="1" applyBorder="1"/>
    <xf numFmtId="44" fontId="1" fillId="0" borderId="6" xfId="3" applyFont="1" applyFill="1" applyBorder="1"/>
    <xf numFmtId="44" fontId="1" fillId="0" borderId="7" xfId="3" applyFont="1" applyFill="1" applyBorder="1"/>
    <xf numFmtId="44" fontId="1" fillId="16" borderId="10" xfId="3" applyFont="1" applyFill="1" applyBorder="1"/>
    <xf numFmtId="186" fontId="0" fillId="16" borderId="10" xfId="10" applyNumberFormat="1" applyFont="1" applyFill="1"/>
    <xf numFmtId="2" fontId="1" fillId="0" borderId="10" xfId="3" applyNumberFormat="1" applyFont="1" applyFill="1" applyBorder="1"/>
    <xf numFmtId="2" fontId="1" fillId="0" borderId="2" xfId="3" applyNumberFormat="1" applyFont="1" applyFill="1" applyBorder="1"/>
    <xf numFmtId="1" fontId="1" fillId="0" borderId="10" xfId="3" applyNumberFormat="1" applyFont="1" applyFill="1" applyBorder="1"/>
    <xf numFmtId="1" fontId="1" fillId="0" borderId="2" xfId="3" applyNumberFormat="1" applyFont="1" applyFill="1" applyBorder="1"/>
    <xf numFmtId="1" fontId="1" fillId="0" borderId="6" xfId="3" applyNumberFormat="1" applyFont="1" applyFill="1" applyBorder="1"/>
    <xf numFmtId="1" fontId="1" fillId="0" borderId="7" xfId="3" applyNumberFormat="1" applyFont="1" applyFill="1" applyBorder="1"/>
    <xf numFmtId="2" fontId="1" fillId="0" borderId="6" xfId="3" applyNumberFormat="1" applyFont="1" applyFill="1" applyBorder="1"/>
    <xf numFmtId="2" fontId="1" fillId="0" borderId="7" xfId="3" applyNumberFormat="1" applyFont="1" applyFill="1" applyBorder="1"/>
    <xf numFmtId="44" fontId="1" fillId="0" borderId="10" xfId="3" applyFont="1" applyBorder="1"/>
    <xf numFmtId="164" fontId="1" fillId="0" borderId="10" xfId="1" applyNumberFormat="1" applyFont="1" applyBorder="1"/>
    <xf numFmtId="0" fontId="1" fillId="0" borderId="10" xfId="0" applyFont="1" applyBorder="1"/>
    <xf numFmtId="0" fontId="1" fillId="0" borderId="26" xfId="0" applyFont="1" applyBorder="1" applyAlignment="1">
      <alignment horizontal="left" vertical="center" wrapText="1"/>
    </xf>
    <xf numFmtId="0" fontId="1" fillId="0" borderId="0" xfId="0" applyFont="1"/>
    <xf numFmtId="0" fontId="1" fillId="0" borderId="21" xfId="0" applyFont="1" applyBorder="1"/>
    <xf numFmtId="0" fontId="1" fillId="0" borderId="24" xfId="0" applyFont="1" applyBorder="1"/>
    <xf numFmtId="0" fontId="1" fillId="0" borderId="3" xfId="0" applyFont="1" applyBorder="1"/>
    <xf numFmtId="181" fontId="99" fillId="23" borderId="10" xfId="0" applyNumberFormat="1" applyFont="1" applyFill="1" applyBorder="1" applyAlignment="1">
      <alignment horizontal="center" vertical="center"/>
    </xf>
    <xf numFmtId="186" fontId="0" fillId="0" borderId="10" xfId="10" applyNumberFormat="1" applyFont="1" applyAlignment="1">
      <alignment horizontal="right"/>
    </xf>
    <xf numFmtId="177" fontId="0" fillId="0" borderId="10" xfId="10" applyNumberFormat="1" applyFont="1"/>
    <xf numFmtId="186" fontId="0" fillId="0" borderId="10" xfId="10" applyNumberFormat="1" applyFont="1"/>
    <xf numFmtId="164" fontId="1" fillId="0" borderId="10" xfId="1" applyNumberFormat="1" applyFont="1" applyBorder="1" applyAlignment="1"/>
    <xf numFmtId="0" fontId="2" fillId="0" borderId="10" xfId="10" applyAlignment="1">
      <alignment horizontal="center"/>
    </xf>
    <xf numFmtId="0" fontId="121" fillId="0" borderId="0" xfId="0" applyFont="1"/>
    <xf numFmtId="2" fontId="0" fillId="0" borderId="10" xfId="3" applyNumberFormat="1" applyFont="1" applyBorder="1"/>
    <xf numFmtId="2" fontId="0" fillId="0" borderId="2" xfId="3" applyNumberFormat="1" applyFont="1" applyBorder="1"/>
    <xf numFmtId="2" fontId="0" fillId="0" borderId="6" xfId="3" applyNumberFormat="1" applyFont="1" applyBorder="1"/>
    <xf numFmtId="2" fontId="0" fillId="0" borderId="7" xfId="3" applyNumberFormat="1" applyFont="1" applyBorder="1"/>
    <xf numFmtId="0" fontId="2" fillId="0" borderId="4" xfId="10" applyBorder="1" applyAlignment="1">
      <alignment horizontal="center" vertical="center"/>
    </xf>
    <xf numFmtId="0" fontId="2" fillId="0" borderId="5" xfId="10" applyBorder="1" applyAlignment="1">
      <alignment horizontal="center" vertical="center"/>
    </xf>
    <xf numFmtId="0" fontId="2" fillId="0" borderId="10" xfId="10" applyAlignment="1">
      <alignment horizontal="center" vertical="center"/>
    </xf>
    <xf numFmtId="0" fontId="2" fillId="0" borderId="2" xfId="10" applyBorder="1" applyAlignment="1">
      <alignment horizontal="center" vertical="center"/>
    </xf>
    <xf numFmtId="0" fontId="2" fillId="0" borderId="6" xfId="10" applyBorder="1" applyAlignment="1">
      <alignment horizontal="center" vertical="center"/>
    </xf>
    <xf numFmtId="0" fontId="2" fillId="0" borderId="7" xfId="10" applyBorder="1" applyAlignment="1">
      <alignment horizontal="center" vertical="center"/>
    </xf>
    <xf numFmtId="0" fontId="1" fillId="0" borderId="10" xfId="10" applyFont="1" applyAlignment="1">
      <alignment horizontal="center" vertical="center"/>
    </xf>
    <xf numFmtId="0" fontId="1" fillId="0" borderId="4" xfId="10" applyFont="1" applyBorder="1" applyAlignment="1">
      <alignment horizontal="center" vertical="center"/>
    </xf>
    <xf numFmtId="0" fontId="1" fillId="0" borderId="5" xfId="10" applyFont="1" applyBorder="1" applyAlignment="1">
      <alignment horizontal="center" vertical="center"/>
    </xf>
    <xf numFmtId="0" fontId="1" fillId="0" borderId="2" xfId="10" applyFont="1" applyBorder="1" applyAlignment="1">
      <alignment horizontal="center" vertical="center"/>
    </xf>
    <xf numFmtId="0" fontId="1" fillId="0" borderId="6" xfId="10" applyFont="1" applyBorder="1" applyAlignment="1">
      <alignment horizontal="center" vertical="center"/>
    </xf>
    <xf numFmtId="0" fontId="1" fillId="0" borderId="7" xfId="10" applyFont="1" applyBorder="1" applyAlignment="1">
      <alignment horizontal="center" vertical="center"/>
    </xf>
    <xf numFmtId="186" fontId="117" fillId="21" borderId="16" xfId="10" applyNumberFormat="1" applyFont="1" applyFill="1" applyBorder="1" applyAlignment="1">
      <alignment horizontal="center"/>
    </xf>
    <xf numFmtId="186" fontId="117" fillId="21" borderId="4" xfId="10" applyNumberFormat="1" applyFont="1" applyFill="1" applyBorder="1" applyAlignment="1">
      <alignment horizontal="center"/>
    </xf>
    <xf numFmtId="1" fontId="118" fillId="0" borderId="15" xfId="10" applyNumberFormat="1" applyFont="1" applyBorder="1" applyAlignment="1">
      <alignment horizontal="center" vertical="center"/>
    </xf>
    <xf numFmtId="0" fontId="118" fillId="0" borderId="10" xfId="10" applyFont="1" applyAlignment="1">
      <alignment horizontal="center" vertical="center"/>
    </xf>
    <xf numFmtId="0" fontId="118" fillId="0" borderId="3" xfId="10" applyFont="1" applyBorder="1" applyAlignment="1">
      <alignment horizontal="center" vertical="center"/>
    </xf>
    <xf numFmtId="0" fontId="118" fillId="0" borderId="6" xfId="10" applyFont="1" applyBorder="1" applyAlignment="1">
      <alignment horizontal="center" vertical="center"/>
    </xf>
    <xf numFmtId="186" fontId="117" fillId="21" borderId="5" xfId="10" applyNumberFormat="1" applyFont="1" applyFill="1" applyBorder="1" applyAlignment="1">
      <alignment horizontal="center"/>
    </xf>
    <xf numFmtId="184" fontId="118" fillId="0" borderId="15" xfId="10" applyNumberFormat="1" applyFont="1" applyBorder="1" applyAlignment="1">
      <alignment horizontal="center" vertical="center"/>
    </xf>
    <xf numFmtId="184" fontId="118" fillId="0" borderId="10" xfId="10" applyNumberFormat="1" applyFont="1" applyAlignment="1">
      <alignment horizontal="center" vertical="center"/>
    </xf>
    <xf numFmtId="184" fontId="118" fillId="0" borderId="2" xfId="10" applyNumberFormat="1" applyFont="1" applyBorder="1" applyAlignment="1">
      <alignment horizontal="center" vertical="center"/>
    </xf>
    <xf numFmtId="184" fontId="118" fillId="0" borderId="3" xfId="10" applyNumberFormat="1" applyFont="1" applyBorder="1" applyAlignment="1">
      <alignment horizontal="center" vertical="center"/>
    </xf>
    <xf numFmtId="184" fontId="118" fillId="0" borderId="6" xfId="10" applyNumberFormat="1" applyFont="1" applyBorder="1" applyAlignment="1">
      <alignment horizontal="center" vertical="center"/>
    </xf>
    <xf numFmtId="184" fontId="118" fillId="0" borderId="7" xfId="10" applyNumberFormat="1" applyFont="1" applyBorder="1" applyAlignment="1">
      <alignment horizontal="center" vertical="center"/>
    </xf>
    <xf numFmtId="0" fontId="118" fillId="0" borderId="15" xfId="10" applyFont="1" applyBorder="1" applyAlignment="1">
      <alignment horizontal="center" vertical="center"/>
    </xf>
    <xf numFmtId="0" fontId="120" fillId="0" borderId="3" xfId="10" applyFont="1" applyBorder="1" applyAlignment="1">
      <alignment horizontal="center" vertical="center"/>
    </xf>
    <xf numFmtId="0" fontId="120" fillId="0" borderId="6" xfId="10" applyFont="1" applyBorder="1" applyAlignment="1">
      <alignment horizontal="center" vertical="center"/>
    </xf>
    <xf numFmtId="0" fontId="118" fillId="0" borderId="2" xfId="10" applyFont="1" applyBorder="1" applyAlignment="1">
      <alignment horizontal="center" vertical="center"/>
    </xf>
    <xf numFmtId="0" fontId="120" fillId="0" borderId="15" xfId="10" applyFont="1" applyBorder="1" applyAlignment="1">
      <alignment horizontal="center" vertical="center"/>
    </xf>
    <xf numFmtId="0" fontId="120" fillId="0" borderId="10" xfId="10" applyFont="1" applyAlignment="1">
      <alignment horizontal="center" vertical="center"/>
    </xf>
    <xf numFmtId="2" fontId="118" fillId="0" borderId="15" xfId="10" applyNumberFormat="1" applyFont="1" applyBorder="1" applyAlignment="1">
      <alignment horizontal="center" vertical="center"/>
    </xf>
    <xf numFmtId="2" fontId="118" fillId="0" borderId="10" xfId="10" applyNumberFormat="1" applyFont="1" applyAlignment="1">
      <alignment horizontal="center" vertical="center"/>
    </xf>
    <xf numFmtId="2" fontId="118" fillId="0" borderId="2" xfId="10" applyNumberFormat="1" applyFont="1" applyBorder="1" applyAlignment="1">
      <alignment horizontal="center" vertical="center"/>
    </xf>
    <xf numFmtId="2" fontId="118" fillId="0" borderId="3" xfId="10" applyNumberFormat="1" applyFont="1" applyBorder="1" applyAlignment="1">
      <alignment horizontal="center" vertical="center"/>
    </xf>
    <xf numFmtId="2" fontId="118" fillId="0" borderId="6" xfId="10" applyNumberFormat="1" applyFont="1" applyBorder="1" applyAlignment="1">
      <alignment horizontal="center" vertical="center"/>
    </xf>
    <xf numFmtId="2" fontId="118" fillId="0" borderId="7" xfId="10" applyNumberFormat="1" applyFont="1" applyBorder="1" applyAlignment="1">
      <alignment horizontal="center" vertical="center"/>
    </xf>
    <xf numFmtId="186" fontId="114" fillId="21" borderId="16" xfId="10" applyNumberFormat="1" applyFont="1" applyFill="1" applyBorder="1" applyAlignment="1">
      <alignment horizontal="center"/>
    </xf>
    <xf numFmtId="186" fontId="114" fillId="21" borderId="4" xfId="10" applyNumberFormat="1" applyFont="1" applyFill="1" applyBorder="1" applyAlignment="1">
      <alignment horizontal="center"/>
    </xf>
    <xf numFmtId="0" fontId="112" fillId="22" borderId="10" xfId="10" applyFont="1" applyFill="1" applyAlignment="1">
      <alignment horizontal="left"/>
    </xf>
    <xf numFmtId="0" fontId="97" fillId="13" borderId="0" xfId="0" applyFont="1" applyFill="1" applyAlignment="1">
      <alignment horizontal="center" vertical="center"/>
    </xf>
    <xf numFmtId="0" fontId="97" fillId="13" borderId="10" xfId="0" applyFont="1" applyFill="1" applyBorder="1" applyAlignment="1">
      <alignment horizontal="center" vertical="center"/>
    </xf>
    <xf numFmtId="181" fontId="101" fillId="16" borderId="10" xfId="3" applyNumberFormat="1" applyFont="1" applyFill="1" applyBorder="1" applyAlignment="1">
      <alignment horizontal="center" vertical="center"/>
    </xf>
    <xf numFmtId="0" fontId="105" fillId="13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21" fillId="4" borderId="36" xfId="0" applyFont="1" applyFill="1" applyBorder="1" applyAlignment="1">
      <alignment horizontal="center"/>
    </xf>
    <xf numFmtId="0" fontId="21" fillId="4" borderId="41" xfId="0" applyFont="1" applyFill="1" applyBorder="1" applyAlignment="1">
      <alignment horizontal="center"/>
    </xf>
    <xf numFmtId="0" fontId="21" fillId="4" borderId="42" xfId="0" applyFont="1" applyFill="1" applyBorder="1" applyAlignment="1">
      <alignment horizontal="center"/>
    </xf>
    <xf numFmtId="0" fontId="21" fillId="4" borderId="12" xfId="0" applyFont="1" applyFill="1" applyBorder="1" applyAlignment="1">
      <alignment horizontal="center"/>
    </xf>
    <xf numFmtId="0" fontId="93" fillId="4" borderId="12" xfId="0" applyFont="1" applyFill="1" applyBorder="1" applyAlignment="1">
      <alignment horizontal="center"/>
    </xf>
    <xf numFmtId="0" fontId="93" fillId="4" borderId="18" xfId="0" applyFont="1" applyFill="1" applyBorder="1" applyAlignment="1">
      <alignment horizontal="center"/>
    </xf>
    <xf numFmtId="0" fontId="93" fillId="4" borderId="19" xfId="0" applyFont="1" applyFill="1" applyBorder="1" applyAlignment="1">
      <alignment horizontal="center"/>
    </xf>
    <xf numFmtId="0" fontId="93" fillId="4" borderId="20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9" fillId="0" borderId="30" xfId="0" applyFont="1" applyBorder="1"/>
    <xf numFmtId="0" fontId="9" fillId="0" borderId="10" xfId="0" applyFont="1" applyBorder="1"/>
    <xf numFmtId="0" fontId="9" fillId="0" borderId="0" xfId="0" applyFont="1"/>
    <xf numFmtId="0" fontId="9" fillId="0" borderId="37" xfId="0" applyFont="1" applyBorder="1"/>
    <xf numFmtId="0" fontId="9" fillId="0" borderId="38" xfId="0" applyFont="1" applyBorder="1"/>
    <xf numFmtId="0" fontId="9" fillId="0" borderId="13" xfId="0" applyFont="1" applyBorder="1"/>
    <xf numFmtId="0" fontId="9" fillId="0" borderId="14" xfId="0" applyFont="1" applyBorder="1"/>
    <xf numFmtId="0" fontId="21" fillId="4" borderId="18" xfId="0" applyFont="1" applyFill="1" applyBorder="1" applyAlignment="1">
      <alignment horizontal="center"/>
    </xf>
    <xf numFmtId="0" fontId="9" fillId="0" borderId="19" xfId="0" applyFont="1" applyBorder="1"/>
    <xf numFmtId="0" fontId="9" fillId="0" borderId="20" xfId="0" applyFont="1" applyBorder="1"/>
    <xf numFmtId="0" fontId="21" fillId="4" borderId="39" xfId="0" applyFont="1" applyFill="1" applyBorder="1" applyAlignment="1">
      <alignment horizontal="center"/>
    </xf>
    <xf numFmtId="0" fontId="21" fillId="4" borderId="40" xfId="0" applyFont="1" applyFill="1" applyBorder="1" applyAlignment="1">
      <alignment horizontal="center"/>
    </xf>
    <xf numFmtId="0" fontId="21" fillId="4" borderId="37" xfId="0" applyFont="1" applyFill="1" applyBorder="1" applyAlignment="1">
      <alignment horizontal="center"/>
    </xf>
    <xf numFmtId="0" fontId="21" fillId="4" borderId="38" xfId="0" applyFont="1" applyFill="1" applyBorder="1" applyAlignment="1">
      <alignment horizontal="center"/>
    </xf>
    <xf numFmtId="0" fontId="21" fillId="4" borderId="13" xfId="0" applyFont="1" applyFill="1" applyBorder="1" applyAlignment="1">
      <alignment horizontal="center"/>
    </xf>
    <xf numFmtId="0" fontId="73" fillId="4" borderId="10" xfId="0" applyFont="1" applyFill="1" applyBorder="1" applyAlignment="1">
      <alignment horizontal="center"/>
    </xf>
    <xf numFmtId="0" fontId="80" fillId="0" borderId="10" xfId="0" applyFont="1" applyBorder="1"/>
    <xf numFmtId="0" fontId="84" fillId="4" borderId="36" xfId="0" applyFont="1" applyFill="1" applyBorder="1" applyAlignment="1">
      <alignment horizontal="center"/>
    </xf>
    <xf numFmtId="0" fontId="80" fillId="0" borderId="37" xfId="0" applyFont="1" applyBorder="1"/>
    <xf numFmtId="0" fontId="80" fillId="0" borderId="38" xfId="0" applyFont="1" applyBorder="1"/>
    <xf numFmtId="0" fontId="84" fillId="4" borderId="12" xfId="0" applyFont="1" applyFill="1" applyBorder="1" applyAlignment="1">
      <alignment horizontal="center"/>
    </xf>
    <xf numFmtId="0" fontId="80" fillId="0" borderId="13" xfId="0" applyFont="1" applyBorder="1"/>
    <xf numFmtId="0" fontId="80" fillId="0" borderId="14" xfId="0" applyFont="1" applyBorder="1"/>
  </cellXfs>
  <cellStyles count="13">
    <cellStyle name="Comma" xfId="1" builtinId="3"/>
    <cellStyle name="Comma 2" xfId="9" xr:uid="{DBD9C4D7-53CF-4BCC-83FE-B180004EB14F}"/>
    <cellStyle name="Currency" xfId="3" builtinId="4"/>
    <cellStyle name="Currency 2" xfId="12" xr:uid="{3830C463-B4A8-4B7E-8DC1-42553007E005}"/>
    <cellStyle name="Hyperlink" xfId="4" builtinId="8"/>
    <cellStyle name="Normal" xfId="0" builtinId="0"/>
    <cellStyle name="Normal 2" xfId="10" xr:uid="{5098795E-6B59-4258-9B9E-4A597B731EA7}"/>
    <cellStyle name="Normal 2 19" xfId="8" xr:uid="{46D15D81-D9BE-4F41-A38E-7F097ED9237E}"/>
    <cellStyle name="Normal 3 2" xfId="5" xr:uid="{E6C9451E-21D0-450A-AB18-E43FAF38FA24}"/>
    <cellStyle name="Normal 4" xfId="7" xr:uid="{7D54366F-1CE2-49DD-AFE9-D9B9C647D827}"/>
    <cellStyle name="Normal 7" xfId="6" xr:uid="{AB967ED6-245B-4998-80AF-439AEAF05F59}"/>
    <cellStyle name="Percent" xfId="2" builtinId="5"/>
    <cellStyle name="Percent 2" xfId="11" xr:uid="{77A894F5-F145-4E98-8D75-C1B10C08F139}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25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56" Type="http://customschemas.google.com/relationships/workbookmetadata" Target="metadata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externalLink" Target="externalLinks/externalLink26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externalLink" Target="externalLinks/externalLink24.xml"/><Relationship Id="rId60" Type="http://schemas.openxmlformats.org/officeDocument/2006/relationships/sheetMetadata" Target="metadata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Dashboard!$B$45</c:f>
              <c:strCache>
                <c:ptCount val="1"/>
                <c:pt idx="0">
                  <c:v>Nat Gas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Dashboard!$C$44:$R$44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Dashboard!$C$45:$R$45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14.7909816</c:v>
                </c:pt>
                <c:pt idx="5">
                  <c:v>22.237659899999997</c:v>
                </c:pt>
                <c:pt idx="6">
                  <c:v>22.239182468999996</c:v>
                </c:pt>
                <c:pt idx="7">
                  <c:v>22.242414733140002</c:v>
                </c:pt>
                <c:pt idx="8">
                  <c:v>22.247403823229028</c:v>
                </c:pt>
                <c:pt idx="9">
                  <c:v>22.254198294400492</c:v>
                </c:pt>
                <c:pt idx="10">
                  <c:v>22.262848168815907</c:v>
                </c:pt>
                <c:pt idx="11">
                  <c:v>22.273404979649822</c:v>
                </c:pt>
                <c:pt idx="12">
                  <c:v>22.285921816394342</c:v>
                </c:pt>
                <c:pt idx="13">
                  <c:v>22.300453371522799</c:v>
                </c:pt>
                <c:pt idx="14">
                  <c:v>22.317055988553527</c:v>
                </c:pt>
                <c:pt idx="15">
                  <c:v>22.335787711555461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F-4834-8DB6-AC9295DB6E50}"/>
            </c:ext>
          </c:extLst>
        </c:ser>
        <c:ser>
          <c:idx val="1"/>
          <c:order val="1"/>
          <c:tx>
            <c:strRef>
              <c:f>Dashboard!$B$46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Dashboard!$C$44:$R$44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Dashboard!$C$46:$R$46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0.8621638081242512</c:v>
                </c:pt>
                <c:pt idx="2">
                  <c:v>0.88802872236797881</c:v>
                </c:pt>
                <c:pt idx="3">
                  <c:v>0.91466958403901821</c:v>
                </c:pt>
                <c:pt idx="4">
                  <c:v>0.94210967156018877</c:v>
                </c:pt>
                <c:pt idx="5">
                  <c:v>0.97037296170699439</c:v>
                </c:pt>
                <c:pt idx="6">
                  <c:v>0.99948415055820428</c:v>
                </c:pt>
                <c:pt idx="7">
                  <c:v>1.0294686750749504</c:v>
                </c:pt>
                <c:pt idx="8">
                  <c:v>1.0603527353271991</c:v>
                </c:pt>
                <c:pt idx="9">
                  <c:v>1.0921633173870149</c:v>
                </c:pt>
                <c:pt idx="10">
                  <c:v>1.1249282169086257</c:v>
                </c:pt>
                <c:pt idx="11">
                  <c:v>1.1586760634158844</c:v>
                </c:pt>
                <c:pt idx="12">
                  <c:v>1.193436345318361</c:v>
                </c:pt>
                <c:pt idx="13">
                  <c:v>1.2292394356779117</c:v>
                </c:pt>
                <c:pt idx="14">
                  <c:v>1.2661166187482489</c:v>
                </c:pt>
                <c:pt idx="15">
                  <c:v>1.3041001173106967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F-4834-8DB6-AC9295DB6E50}"/>
            </c:ext>
          </c:extLst>
        </c:ser>
        <c:ser>
          <c:idx val="2"/>
          <c:order val="2"/>
          <c:tx>
            <c:strRef>
              <c:f>Dashboard!$B$47</c:f>
              <c:strCache>
                <c:ptCount val="1"/>
                <c:pt idx="0">
                  <c:v>BESS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Dashboard!$C$44:$R$44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Dashboard!$C$47:$R$47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0.26</c:v>
                </c:pt>
                <c:pt idx="3">
                  <c:v>0.26780000000000004</c:v>
                </c:pt>
                <c:pt idx="4">
                  <c:v>0.27583400000000002</c:v>
                </c:pt>
                <c:pt idx="5">
                  <c:v>0.28410901999999999</c:v>
                </c:pt>
                <c:pt idx="6">
                  <c:v>0.29263229060000001</c:v>
                </c:pt>
                <c:pt idx="7">
                  <c:v>0.30141125931799995</c:v>
                </c:pt>
                <c:pt idx="8">
                  <c:v>0.31045359709754</c:v>
                </c:pt>
                <c:pt idx="9">
                  <c:v>0.31976720501046618</c:v>
                </c:pt>
                <c:pt idx="10">
                  <c:v>0.32936022116078018</c:v>
                </c:pt>
                <c:pt idx="11">
                  <c:v>0.33924102779560356</c:v>
                </c:pt>
                <c:pt idx="12">
                  <c:v>0.34941825862947168</c:v>
                </c:pt>
                <c:pt idx="13">
                  <c:v>0.35990080638835587</c:v>
                </c:pt>
                <c:pt idx="14">
                  <c:v>0.37069783058000644</c:v>
                </c:pt>
                <c:pt idx="15">
                  <c:v>0.38181876549740662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CF-4834-8DB6-AC9295DB6E50}"/>
            </c:ext>
          </c:extLst>
        </c:ser>
        <c:ser>
          <c:idx val="3"/>
          <c:order val="3"/>
          <c:tx>
            <c:strRef>
              <c:f>Dashboard!$B$48</c:f>
              <c:strCache>
                <c:ptCount val="1"/>
                <c:pt idx="0">
                  <c:v>Carbon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numRef>
              <c:f>Dashboard!$C$44:$R$44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Dashboard!$C$48:$R$48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49.169243363855756</c:v>
                </c:pt>
                <c:pt idx="6">
                  <c:v>59.527068475043421</c:v>
                </c:pt>
                <c:pt idx="7">
                  <c:v>60.18165080385581</c:v>
                </c:pt>
                <c:pt idx="8">
                  <c:v>60.858698676846181</c:v>
                </c:pt>
                <c:pt idx="9">
                  <c:v>61.558878990154078</c:v>
                </c:pt>
                <c:pt idx="10">
                  <c:v>62.28287866447868</c:v>
                </c:pt>
                <c:pt idx="11">
                  <c:v>63.031405245771488</c:v>
                </c:pt>
                <c:pt idx="12">
                  <c:v>63.805187523949684</c:v>
                </c:pt>
                <c:pt idx="13">
                  <c:v>64.604976170171199</c:v>
                </c:pt>
                <c:pt idx="14">
                  <c:v>65.431544393228123</c:v>
                </c:pt>
                <c:pt idx="15">
                  <c:v>66.285688615631855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CF-4834-8DB6-AC9295DB6E50}"/>
            </c:ext>
          </c:extLst>
        </c:ser>
        <c:ser>
          <c:idx val="4"/>
          <c:order val="4"/>
          <c:tx>
            <c:strRef>
              <c:f>Dashboard!$B$49</c:f>
              <c:strCache>
                <c:ptCount val="1"/>
                <c:pt idx="0">
                  <c:v>SENS - Coal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Dashboard!$C$44:$R$44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Dashboard!$C$49:$R$49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104.19707151535633</c:v>
                </c:pt>
                <c:pt idx="4">
                  <c:v>139.57764712449122</c:v>
                </c:pt>
                <c:pt idx="5">
                  <c:v>140.21238296114271</c:v>
                </c:pt>
                <c:pt idx="6">
                  <c:v>141.53955434994202</c:v>
                </c:pt>
                <c:pt idx="7">
                  <c:v>142.38937064577613</c:v>
                </c:pt>
                <c:pt idx="8">
                  <c:v>143.09579133944194</c:v>
                </c:pt>
                <c:pt idx="9">
                  <c:v>143.81640347507306</c:v>
                </c:pt>
                <c:pt idx="10">
                  <c:v>144.55149084705911</c:v>
                </c:pt>
                <c:pt idx="11">
                  <c:v>145.30134292776972</c:v>
                </c:pt>
                <c:pt idx="12">
                  <c:v>146.06625498114198</c:v>
                </c:pt>
                <c:pt idx="13">
                  <c:v>146.84652817854004</c:v>
                </c:pt>
                <c:pt idx="14">
                  <c:v>147.64246971693265</c:v>
                </c:pt>
                <c:pt idx="15">
                  <c:v>148.45439293943448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CF-4834-8DB6-AC9295DB6E50}"/>
            </c:ext>
          </c:extLst>
        </c:ser>
        <c:ser>
          <c:idx val="5"/>
          <c:order val="5"/>
          <c:tx>
            <c:strRef>
              <c:f>Dashboard!$B$50</c:f>
              <c:strCache>
                <c:ptCount val="1"/>
                <c:pt idx="0">
                  <c:v>SENS - Tires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Dashboard!$C$44:$R$44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Dashboard!$C$50:$R$50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19.150496365034201</c:v>
                </c:pt>
                <c:pt idx="2">
                  <c:v>25.676104107118714</c:v>
                </c:pt>
                <c:pt idx="3">
                  <c:v>25.799434842412083</c:v>
                </c:pt>
                <c:pt idx="4">
                  <c:v>25.900043174975465</c:v>
                </c:pt>
                <c:pt idx="5">
                  <c:v>26.04885987735328</c:v>
                </c:pt>
                <c:pt idx="6">
                  <c:v>26.208630772519271</c:v>
                </c:pt>
                <c:pt idx="7">
                  <c:v>26.371602495471514</c:v>
                </c:pt>
                <c:pt idx="8">
                  <c:v>26.537839149892093</c:v>
                </c:pt>
                <c:pt idx="9">
                  <c:v>26.707406122958879</c:v>
                </c:pt>
                <c:pt idx="10">
                  <c:v>26.880370111038935</c:v>
                </c:pt>
                <c:pt idx="11">
                  <c:v>27.056799145896179</c:v>
                </c:pt>
                <c:pt idx="12">
                  <c:v>27.236762621423651</c:v>
                </c:pt>
                <c:pt idx="13">
                  <c:v>27.420331320910773</c:v>
                </c:pt>
                <c:pt idx="14">
                  <c:v>27.60757744485641</c:v>
                </c:pt>
                <c:pt idx="15">
                  <c:v>27.798574639338568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CF-4834-8DB6-AC9295DB6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4566023"/>
        <c:axId val="1878820871"/>
      </c:barChart>
      <c:catAx>
        <c:axId val="148456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20871"/>
        <c:crosses val="autoZero"/>
        <c:auto val="1"/>
        <c:lblAlgn val="ctr"/>
        <c:lblOffset val="100"/>
        <c:noMultiLvlLbl val="0"/>
      </c:catAx>
      <c:valAx>
        <c:axId val="1878820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6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AVAILABLE FOR DIVIDEND (Millions)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Foundation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Dashboard!$C$15:$R$15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Dashboard!$C$16:$R$16</c:f>
              <c:numCache>
                <c:formatCode>_([$$-409]* #,##0_);_([$$-409]* \(#,##0\);_([$$-409]* "-"??_);_(@_)</c:formatCode>
                <c:ptCount val="16"/>
                <c:pt idx="0">
                  <c:v>0</c:v>
                </c:pt>
                <c:pt idx="1">
                  <c:v>19.20033847015608</c:v>
                </c:pt>
                <c:pt idx="2">
                  <c:v>29.421350221348249</c:v>
                </c:pt>
                <c:pt idx="3">
                  <c:v>159.43530018499885</c:v>
                </c:pt>
                <c:pt idx="4">
                  <c:v>217.42012789224157</c:v>
                </c:pt>
                <c:pt idx="5">
                  <c:v>249.49380783179072</c:v>
                </c:pt>
                <c:pt idx="6">
                  <c:v>288.6563483080086</c:v>
                </c:pt>
                <c:pt idx="7">
                  <c:v>297.24938633330629</c:v>
                </c:pt>
                <c:pt idx="8">
                  <c:v>302.59640767479351</c:v>
                </c:pt>
                <c:pt idx="9">
                  <c:v>308.04660418062491</c:v>
                </c:pt>
                <c:pt idx="10">
                  <c:v>313.60194303956877</c:v>
                </c:pt>
                <c:pt idx="11">
                  <c:v>319.2644284978598</c:v>
                </c:pt>
                <c:pt idx="12">
                  <c:v>325.03610254119587</c:v>
                </c:pt>
                <c:pt idx="13">
                  <c:v>330.91904558876234</c:v>
                </c:pt>
                <c:pt idx="14">
                  <c:v>336.91537719947945</c:v>
                </c:pt>
                <c:pt idx="15">
                  <c:v>343.02725679067282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A-42FC-9DF2-372CE938969D}"/>
            </c:ext>
          </c:extLst>
        </c:ser>
        <c:ser>
          <c:idx val="1"/>
          <c:order val="1"/>
          <c:tx>
            <c:strRef>
              <c:f>Dashboard!$B$17</c:f>
              <c:strCache>
                <c:ptCount val="1"/>
                <c:pt idx="0">
                  <c:v>SENS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numRef>
              <c:f>Dashboard!$C$15:$R$15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Dashboard!$C$17:$R$17</c:f>
              <c:numCache>
                <c:formatCode>_([$$-409]* #,##0_);_([$$-409]* \(#,##0\);_([$$-409]* "-"??_);_(@_)</c:formatCode>
                <c:ptCount val="16"/>
                <c:pt idx="0">
                  <c:v>0</c:v>
                </c:pt>
                <c:pt idx="1">
                  <c:v>51.91202623412569</c:v>
                </c:pt>
                <c:pt idx="2">
                  <c:v>79.54661356142303</c:v>
                </c:pt>
                <c:pt idx="3">
                  <c:v>431.06581161129316</c:v>
                </c:pt>
                <c:pt idx="4">
                  <c:v>587.83960504198637</c:v>
                </c:pt>
                <c:pt idx="5">
                  <c:v>674.55733228595261</c:v>
                </c:pt>
                <c:pt idx="6">
                  <c:v>780.4412380179491</c:v>
                </c:pt>
                <c:pt idx="7">
                  <c:v>803.67426675301328</c:v>
                </c:pt>
                <c:pt idx="8">
                  <c:v>818.13102815777495</c:v>
                </c:pt>
                <c:pt idx="9">
                  <c:v>832.86674463650434</c:v>
                </c:pt>
                <c:pt idx="10">
                  <c:v>847.8867348847599</c:v>
                </c:pt>
                <c:pt idx="11">
                  <c:v>863.19641779050971</c:v>
                </c:pt>
                <c:pt idx="12">
                  <c:v>878.80131427804793</c:v>
                </c:pt>
                <c:pt idx="13">
                  <c:v>894.70704918443141</c:v>
                </c:pt>
                <c:pt idx="14">
                  <c:v>910.91935316896286</c:v>
                </c:pt>
                <c:pt idx="15">
                  <c:v>927.44406465626355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9A-42FC-9DF2-372CE9389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8832135"/>
        <c:axId val="1878834183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Dashboard!$B$18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2AA0A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Dashboard!$C$15:$R$15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Dashboard!$C$18:$R$18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686-4BD9-9BE2-98B029C03C3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832135"/>
        <c:axId val="1878834183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Dashboard!$B$19</c15:sqref>
                        </c15:formulaRef>
                      </c:ext>
                    </c:extLst>
                    <c:strCache>
                      <c:ptCount val="1"/>
                      <c:pt idx="0">
                        <c:v>Cumulative</c:v>
                      </c:pt>
                    </c:strCache>
                  </c:strRef>
                </c:tx>
                <c:spPr>
                  <a:ln w="28575" cap="rnd">
                    <a:solidFill>
                      <a:srgbClr val="9373C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Dashboard!$C$15:$R$15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Dashboard!$C$19:$R$19</c15:sqref>
                        </c15:formulaRef>
                      </c:ext>
                    </c:extLst>
                    <c:numCache>
                      <c:formatCode>_([$$-409]* #,##0_);_([$$-409]* \(#,##0\);_([$$-409]* "-"??_);_(@_)</c:formatCode>
                      <c:ptCount val="16"/>
                      <c:pt idx="0" formatCode="_([$$-409]* #,##0.00_);_([$$-409]* \(#,##0.00\);_([$$-409]* &quot;-&quot;??_);_(@_)">
                        <c:v>0</c:v>
                      </c:pt>
                      <c:pt idx="1">
                        <c:v>71.112364704281774</c:v>
                      </c:pt>
                      <c:pt idx="2">
                        <c:v>180.08032848705307</c:v>
                      </c:pt>
                      <c:pt idx="3">
                        <c:v>770.58144028334505</c:v>
                      </c:pt>
                      <c:pt idx="4">
                        <c:v>1575.841173217573</c:v>
                      </c:pt>
                      <c:pt idx="5">
                        <c:v>2499.8923133353164</c:v>
                      </c:pt>
                      <c:pt idx="6">
                        <c:v>3568.9898996612742</c:v>
                      </c:pt>
                      <c:pt idx="7">
                        <c:v>4669.9135527475937</c:v>
                      </c:pt>
                      <c:pt idx="8">
                        <c:v>5790.6409885801622</c:v>
                      </c:pt>
                      <c:pt idx="9">
                        <c:v>6931.5543373972914</c:v>
                      </c:pt>
                      <c:pt idx="10">
                        <c:v>8093.0430153216203</c:v>
                      </c:pt>
                      <c:pt idx="11">
                        <c:v>9275.5038616099901</c:v>
                      </c:pt>
                      <c:pt idx="12">
                        <c:v>10479.341278429234</c:v>
                      </c:pt>
                      <c:pt idx="13">
                        <c:v>11704.967373202428</c:v>
                      </c:pt>
                      <c:pt idx="14">
                        <c:v>12952.80210357087</c:v>
                      </c:pt>
                      <c:pt idx="15">
                        <c:v>14223.273425017805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686-4BD9-9BE2-98B029C03C3F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4"/>
          <c:order val="4"/>
          <c:tx>
            <c:strRef>
              <c:f>Dashboard!$B$20</c:f>
              <c:strCache>
                <c:ptCount val="1"/>
                <c:pt idx="0">
                  <c:v>C - Foundation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Dashboard!$C$15:$R$15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Dashboard!$C$20:$R$20</c:f>
              <c:numCache>
                <c:formatCode>_([$$-409]* #,##0_);_([$$-409]* \(#,##0\);_([$$-409]* "-"??_);_(@_)</c:formatCode>
                <c:ptCount val="16"/>
                <c:pt idx="0">
                  <c:v>0</c:v>
                </c:pt>
                <c:pt idx="1">
                  <c:v>19.20033847015608</c:v>
                </c:pt>
                <c:pt idx="2">
                  <c:v>48.621688691504332</c:v>
                </c:pt>
                <c:pt idx="3">
                  <c:v>208.05698887650317</c:v>
                </c:pt>
                <c:pt idx="4">
                  <c:v>425.47711676874474</c:v>
                </c:pt>
                <c:pt idx="5">
                  <c:v>674.97092460053545</c:v>
                </c:pt>
                <c:pt idx="6">
                  <c:v>963.627272908544</c:v>
                </c:pt>
                <c:pt idx="7">
                  <c:v>1260.8766592418503</c:v>
                </c:pt>
                <c:pt idx="8">
                  <c:v>1563.4730669166438</c:v>
                </c:pt>
                <c:pt idx="9">
                  <c:v>1871.5196710972687</c:v>
                </c:pt>
                <c:pt idx="10">
                  <c:v>2185.1216141368373</c:v>
                </c:pt>
                <c:pt idx="11">
                  <c:v>2504.3860426346969</c:v>
                </c:pt>
                <c:pt idx="12">
                  <c:v>2829.4221451758926</c:v>
                </c:pt>
                <c:pt idx="13">
                  <c:v>3160.341190764655</c:v>
                </c:pt>
                <c:pt idx="14">
                  <c:v>3497.2565679641343</c:v>
                </c:pt>
                <c:pt idx="15">
                  <c:v>3840.283824754807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86-4BD9-9BE2-98B029C03C3F}"/>
            </c:ext>
          </c:extLst>
        </c:ser>
        <c:ser>
          <c:idx val="5"/>
          <c:order val="5"/>
          <c:tx>
            <c:strRef>
              <c:f>Dashboard!$B$21</c:f>
              <c:strCache>
                <c:ptCount val="1"/>
                <c:pt idx="0">
                  <c:v>C - SENS</c:v>
                </c:pt>
              </c:strCache>
            </c:strRef>
          </c:tx>
          <c:spPr>
            <a:ln w="28575" cap="rnd">
              <a:solidFill>
                <a:srgbClr val="BFBFB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Dashboard!$C$15:$R$15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Dashboard!$C$21:$R$21</c:f>
              <c:numCache>
                <c:formatCode>_([$$-409]* #,##0_);_([$$-409]* \(#,##0\);_([$$-409]* "-"??_);_(@_)</c:formatCode>
                <c:ptCount val="16"/>
                <c:pt idx="0">
                  <c:v>0</c:v>
                </c:pt>
                <c:pt idx="1">
                  <c:v>51.91202623412569</c:v>
                </c:pt>
                <c:pt idx="2">
                  <c:v>131.45863979554872</c:v>
                </c:pt>
                <c:pt idx="3">
                  <c:v>562.52445140684188</c:v>
                </c:pt>
                <c:pt idx="4">
                  <c:v>1150.3640564488283</c:v>
                </c:pt>
                <c:pt idx="5">
                  <c:v>1824.921388734781</c:v>
                </c:pt>
                <c:pt idx="6">
                  <c:v>2605.3626267527302</c:v>
                </c:pt>
                <c:pt idx="7">
                  <c:v>3409.0368935057436</c:v>
                </c:pt>
                <c:pt idx="8">
                  <c:v>4227.1679216635184</c:v>
                </c:pt>
                <c:pt idx="9">
                  <c:v>5060.0346663000228</c:v>
                </c:pt>
                <c:pt idx="10">
                  <c:v>5907.9214011847826</c:v>
                </c:pt>
                <c:pt idx="11">
                  <c:v>6771.1178189752918</c:v>
                </c:pt>
                <c:pt idx="12">
                  <c:v>7649.9191332533401</c:v>
                </c:pt>
                <c:pt idx="13">
                  <c:v>8544.6261824377707</c:v>
                </c:pt>
                <c:pt idx="14">
                  <c:v>9455.5455356067341</c:v>
                </c:pt>
                <c:pt idx="15">
                  <c:v>10382.989600262998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86-4BD9-9BE2-98B029C03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1759727"/>
        <c:axId val="1311742927"/>
      </c:lineChart>
      <c:catAx>
        <c:axId val="1878832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34183"/>
        <c:crosses val="autoZero"/>
        <c:auto val="1"/>
        <c:lblAlgn val="ctr"/>
        <c:lblOffset val="100"/>
        <c:noMultiLvlLbl val="0"/>
      </c:catAx>
      <c:valAx>
        <c:axId val="1878834183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32135"/>
        <c:crosses val="autoZero"/>
        <c:crossBetween val="between"/>
      </c:valAx>
      <c:valAx>
        <c:axId val="1311742927"/>
        <c:scaling>
          <c:orientation val="minMax"/>
          <c:max val="40000"/>
        </c:scaling>
        <c:delete val="0"/>
        <c:axPos val="r"/>
        <c:numFmt formatCode="_([$$-409]* #,##0_);_([$$-409]* \(#,##0\);_([$$-409]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59727"/>
        <c:crosses val="max"/>
        <c:crossBetween val="between"/>
      </c:valAx>
      <c:catAx>
        <c:axId val="13117597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1742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Dashboard!$T$45</c:f>
              <c:strCache>
                <c:ptCount val="1"/>
                <c:pt idx="0">
                  <c:v>Nat Gas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Dashboard!$U$44:$AJ$44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Dashboard!$U$45:$AJ$45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16.851286556927995</c:v>
                </c:pt>
                <c:pt idx="5">
                  <c:v>26.175010380099842</c:v>
                </c:pt>
                <c:pt idx="6">
                  <c:v>27.018288907487598</c:v>
                </c:pt>
                <c:pt idx="7">
                  <c:v>27.874599518867306</c:v>
                </c:pt>
                <c:pt idx="8">
                  <c:v>28.744152327475788</c:v>
                </c:pt>
                <c:pt idx="9">
                  <c:v>29.627160511134132</c:v>
                </c:pt>
                <c:pt idx="10">
                  <c:v>30.5238403478753</c:v>
                </c:pt>
                <c:pt idx="11">
                  <c:v>31.434411251657647</c:v>
                </c:pt>
                <c:pt idx="12">
                  <c:v>32.359095808149434</c:v>
                </c:pt>
                <c:pt idx="13">
                  <c:v>33.298119810569268</c:v>
                </c:pt>
                <c:pt idx="14">
                  <c:v>34.251712295566072</c:v>
                </c:pt>
                <c:pt idx="15">
                  <c:v>35.22010557912202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C-4CF3-8614-35840BAAEF40}"/>
            </c:ext>
          </c:extLst>
        </c:ser>
        <c:ser>
          <c:idx val="1"/>
          <c:order val="1"/>
          <c:tx>
            <c:strRef>
              <c:f>Dashboard!$T$46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Dashboard!$U$44:$AJ$44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Dashboard!$U$46:$AJ$46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1.6396921918757483</c:v>
                </c:pt>
                <c:pt idx="2">
                  <c:v>6.7103048743484415</c:v>
                </c:pt>
                <c:pt idx="3">
                  <c:v>6.7581276819252221</c:v>
                </c:pt>
                <c:pt idx="4">
                  <c:v>6.8056833749536505</c:v>
                </c:pt>
                <c:pt idx="5">
                  <c:v>6.8529473018958056</c:v>
                </c:pt>
                <c:pt idx="6">
                  <c:v>6.8998939536685526</c:v>
                </c:pt>
                <c:pt idx="7">
                  <c:v>6.946496938094632</c:v>
                </c:pt>
                <c:pt idx="8">
                  <c:v>6.9927289536187844</c:v>
                </c:pt>
                <c:pt idx="9">
                  <c:v>7.0385617622677286</c:v>
                </c:pt>
                <c:pt idx="10">
                  <c:v>7.0839661618322358</c:v>
                </c:pt>
                <c:pt idx="11">
                  <c:v>7.1289119572489259</c:v>
                </c:pt>
                <c:pt idx="12">
                  <c:v>7.1733679311587117</c:v>
                </c:pt>
                <c:pt idx="13">
                  <c:v>7.2173018136181568</c:v>
                </c:pt>
                <c:pt idx="14">
                  <c:v>7.2606802509394033</c:v>
                </c:pt>
                <c:pt idx="15">
                  <c:v>7.3034687736334511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C-4CF3-8614-35840BAAEF40}"/>
            </c:ext>
          </c:extLst>
        </c:ser>
        <c:ser>
          <c:idx val="2"/>
          <c:order val="2"/>
          <c:tx>
            <c:strRef>
              <c:f>Dashboard!$T$47</c:f>
              <c:strCache>
                <c:ptCount val="1"/>
                <c:pt idx="0">
                  <c:v>BESS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numRef>
              <c:f>Dashboard!$U$44:$AJ$44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Dashboard!$U$47:$AJ$47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2.4622440000000001</c:v>
                </c:pt>
                <c:pt idx="3">
                  <c:v>3.0531567999999991</c:v>
                </c:pt>
                <c:pt idx="4">
                  <c:v>3.1115419359999996</c:v>
                </c:pt>
                <c:pt idx="5">
                  <c:v>3.1710144347200004</c:v>
                </c:pt>
                <c:pt idx="6">
                  <c:v>3.2315936332144006</c:v>
                </c:pt>
                <c:pt idx="7">
                  <c:v>3.2932991829726888</c:v>
                </c:pt>
                <c:pt idx="8">
                  <c:v>3.3561510540389614</c:v>
                </c:pt>
                <c:pt idx="9">
                  <c:v>3.4201695391487652</c:v>
                </c:pt>
                <c:pt idx="10">
                  <c:v>3.4853752578816364</c:v>
                </c:pt>
                <c:pt idx="11">
                  <c:v>3.5517891608276608</c:v>
                </c:pt>
                <c:pt idx="12">
                  <c:v>3.6194325337662576</c:v>
                </c:pt>
                <c:pt idx="13">
                  <c:v>3.6883270018552885</c:v>
                </c:pt>
                <c:pt idx="14">
                  <c:v>3.758494533828511</c:v>
                </c:pt>
                <c:pt idx="15">
                  <c:v>3.8299574461992814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7C-4CF3-8614-35840BAAEF40}"/>
            </c:ext>
          </c:extLst>
        </c:ser>
        <c:ser>
          <c:idx val="3"/>
          <c:order val="3"/>
          <c:tx>
            <c:strRef>
              <c:f>Dashboard!$T$48</c:f>
              <c:strCache>
                <c:ptCount val="1"/>
                <c:pt idx="0">
                  <c:v>Carbon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numRef>
              <c:f>Dashboard!$U$44:$AJ$44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Dashboard!$U$48:$AJ$48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123.76659579178967</c:v>
                </c:pt>
                <c:pt idx="6">
                  <c:v>151.44316454141173</c:v>
                </c:pt>
                <c:pt idx="7">
                  <c:v>154.47001277873656</c:v>
                </c:pt>
                <c:pt idx="8">
                  <c:v>157.53863643526236</c:v>
                </c:pt>
                <c:pt idx="9">
                  <c:v>160.64948961966076</c:v>
                </c:pt>
                <c:pt idx="10">
                  <c:v>163.80302597757748</c:v>
                </c:pt>
                <c:pt idx="11">
                  <c:v>166.99969843228857</c:v>
                </c:pt>
                <c:pt idx="12">
                  <c:v>170.2399589132925</c:v>
                </c:pt>
                <c:pt idx="13">
                  <c:v>173.5242580724009</c:v>
                </c:pt>
                <c:pt idx="14">
                  <c:v>176.85304498687685</c:v>
                </c:pt>
                <c:pt idx="15">
                  <c:v>180.22676684915598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7C-4CF3-8614-35840BAAEF40}"/>
            </c:ext>
          </c:extLst>
        </c:ser>
        <c:ser>
          <c:idx val="4"/>
          <c:order val="4"/>
          <c:tx>
            <c:strRef>
              <c:f>Dashboard!$T$49</c:f>
              <c:strCache>
                <c:ptCount val="1"/>
                <c:pt idx="0">
                  <c:v>SENS - Coal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Dashboard!$U$44:$AJ$44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Dashboard!$U$49:$AJ$49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636.41913996483174</c:v>
                </c:pt>
                <c:pt idx="4">
                  <c:v>867.40451309170589</c:v>
                </c:pt>
                <c:pt idx="5">
                  <c:v>886.65353306251961</c:v>
                </c:pt>
                <c:pt idx="6">
                  <c:v>976.66310151323171</c:v>
                </c:pt>
                <c:pt idx="7">
                  <c:v>1012.9359960776599</c:v>
                </c:pt>
                <c:pt idx="8">
                  <c:v>1033.0796627917305</c:v>
                </c:pt>
                <c:pt idx="9">
                  <c:v>1053.6317808618066</c:v>
                </c:pt>
                <c:pt idx="10">
                  <c:v>1074.6005052468349</c:v>
                </c:pt>
                <c:pt idx="11">
                  <c:v>1095.9941540381033</c:v>
                </c:pt>
                <c:pt idx="12">
                  <c:v>1117.8212117217738</c:v>
                </c:pt>
                <c:pt idx="13">
                  <c:v>1140.0903325066654</c:v>
                </c:pt>
                <c:pt idx="14">
                  <c:v>1162.8103437185873</c:v>
                </c:pt>
                <c:pt idx="15">
                  <c:v>1185.9902492625652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7C-4CF3-8614-35840BAAEF40}"/>
            </c:ext>
          </c:extLst>
        </c:ser>
        <c:ser>
          <c:idx val="5"/>
          <c:order val="5"/>
          <c:tx>
            <c:strRef>
              <c:f>Dashboard!$T$50</c:f>
              <c:strCache>
                <c:ptCount val="1"/>
                <c:pt idx="0">
                  <c:v>SENS - Tires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Dashboard!$U$44:$AJ$44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Dashboard!$U$50:$AJ$50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93.198656643058285</c:v>
                </c:pt>
                <c:pt idx="2">
                  <c:v>126.28437015433791</c:v>
                </c:pt>
                <c:pt idx="3">
                  <c:v>128.36587507472456</c:v>
                </c:pt>
                <c:pt idx="4">
                  <c:v>130.51419911095479</c:v>
                </c:pt>
                <c:pt idx="5">
                  <c:v>132.65929342474641</c:v>
                </c:pt>
                <c:pt idx="6">
                  <c:v>134.83931176607331</c:v>
                </c:pt>
                <c:pt idx="7">
                  <c:v>137.06292506434374</c:v>
                </c:pt>
                <c:pt idx="8">
                  <c:v>139.33100513157035</c:v>
                </c:pt>
                <c:pt idx="9">
                  <c:v>141.64444121458368</c:v>
                </c:pt>
                <c:pt idx="10">
                  <c:v>144.00414034370536</c:v>
                </c:pt>
                <c:pt idx="11">
                  <c:v>146.41102768839383</c:v>
                </c:pt>
                <c:pt idx="12">
                  <c:v>148.86604692000304</c:v>
                </c:pt>
                <c:pt idx="13">
                  <c:v>151.37016058179532</c:v>
                </c:pt>
                <c:pt idx="14">
                  <c:v>153.9243504663547</c:v>
                </c:pt>
                <c:pt idx="15">
                  <c:v>156.52961800054757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7C-4CF3-8614-35840BAAE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8388360"/>
        <c:axId val="748390408"/>
      </c:barChart>
      <c:catAx>
        <c:axId val="74838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90408"/>
        <c:crosses val="autoZero"/>
        <c:auto val="1"/>
        <c:lblAlgn val="ctr"/>
        <c:lblOffset val="100"/>
        <c:noMultiLvlLbl val="0"/>
      </c:catAx>
      <c:valAx>
        <c:axId val="74839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8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Dashboard!$AL$45</c:f>
              <c:strCache>
                <c:ptCount val="1"/>
                <c:pt idx="0">
                  <c:v>Nat Gas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Dashboard!$AM$44:$BB$44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Dashboard!$AM$45:$BB$45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33.611111111111114</c:v>
                </c:pt>
                <c:pt idx="2">
                  <c:v>70.277777777777771</c:v>
                </c:pt>
                <c:pt idx="3">
                  <c:v>106.94444444444441</c:v>
                </c:pt>
                <c:pt idx="4">
                  <c:v>109.99999999999999</c:v>
                </c:pt>
                <c:pt idx="5">
                  <c:v>105.82000000000001</c:v>
                </c:pt>
                <c:pt idx="6">
                  <c:v>101.64</c:v>
                </c:pt>
                <c:pt idx="7">
                  <c:v>97.45999999999998</c:v>
                </c:pt>
                <c:pt idx="8">
                  <c:v>93.279999999999973</c:v>
                </c:pt>
                <c:pt idx="9">
                  <c:v>89.099999999999966</c:v>
                </c:pt>
                <c:pt idx="10">
                  <c:v>84.919999999999959</c:v>
                </c:pt>
                <c:pt idx="11">
                  <c:v>80.739999999999952</c:v>
                </c:pt>
                <c:pt idx="12">
                  <c:v>76.559999999999945</c:v>
                </c:pt>
                <c:pt idx="13">
                  <c:v>72.379999999999939</c:v>
                </c:pt>
                <c:pt idx="14">
                  <c:v>68.199999999999932</c:v>
                </c:pt>
                <c:pt idx="15">
                  <c:v>64.019999999999925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D-462D-8B93-948733543F40}"/>
            </c:ext>
          </c:extLst>
        </c:ser>
        <c:ser>
          <c:idx val="1"/>
          <c:order val="1"/>
          <c:tx>
            <c:strRef>
              <c:f>Dashboard!$AL$46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Dashboard!$AM$44:$BB$44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Dashboard!$AM$46:$BB$46</c:f>
              <c:numCache>
                <c:formatCode>_("$"* #,##0.00_);_("$"* \(#,##0.00\);_("$"* "-"??_);_(@_)</c:formatCode>
                <c:ptCount val="16"/>
                <c:pt idx="0">
                  <c:v>51.333333333333336</c:v>
                </c:pt>
                <c:pt idx="1">
                  <c:v>84</c:v>
                </c:pt>
                <c:pt idx="2">
                  <c:v>80.807999999999993</c:v>
                </c:pt>
                <c:pt idx="3">
                  <c:v>77.616</c:v>
                </c:pt>
                <c:pt idx="4">
                  <c:v>74.423999999999992</c:v>
                </c:pt>
                <c:pt idx="5">
                  <c:v>71.231999999999985</c:v>
                </c:pt>
                <c:pt idx="6">
                  <c:v>68.039999999999992</c:v>
                </c:pt>
                <c:pt idx="7">
                  <c:v>64.847999999999999</c:v>
                </c:pt>
                <c:pt idx="8">
                  <c:v>61.655999999999985</c:v>
                </c:pt>
                <c:pt idx="9">
                  <c:v>58.463999999999992</c:v>
                </c:pt>
                <c:pt idx="10">
                  <c:v>55.271999999999984</c:v>
                </c:pt>
                <c:pt idx="11">
                  <c:v>52.079999999999984</c:v>
                </c:pt>
                <c:pt idx="12">
                  <c:v>48.887999999999984</c:v>
                </c:pt>
                <c:pt idx="13">
                  <c:v>45.695999999999977</c:v>
                </c:pt>
                <c:pt idx="14">
                  <c:v>42.503999999999984</c:v>
                </c:pt>
                <c:pt idx="15">
                  <c:v>39.311999999999976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8D-462D-8B93-948733543F40}"/>
            </c:ext>
          </c:extLst>
        </c:ser>
        <c:ser>
          <c:idx val="2"/>
          <c:order val="2"/>
          <c:tx>
            <c:strRef>
              <c:f>Dashboard!$AL$47</c:f>
              <c:strCache>
                <c:ptCount val="1"/>
                <c:pt idx="0">
                  <c:v>BESS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Dashboard!$AM$44:$BB$44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Dashboard!$AM$47:$BB$47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52.708333333333321</c:v>
                </c:pt>
                <c:pt idx="2">
                  <c:v>57.499999999999993</c:v>
                </c:pt>
                <c:pt idx="3">
                  <c:v>55.314999999999991</c:v>
                </c:pt>
                <c:pt idx="4">
                  <c:v>53.129999999999988</c:v>
                </c:pt>
                <c:pt idx="5">
                  <c:v>50.944999999999986</c:v>
                </c:pt>
                <c:pt idx="6">
                  <c:v>48.759999999999984</c:v>
                </c:pt>
                <c:pt idx="7">
                  <c:v>46.574999999999982</c:v>
                </c:pt>
                <c:pt idx="8">
                  <c:v>44.389999999999979</c:v>
                </c:pt>
                <c:pt idx="9">
                  <c:v>42.204999999999977</c:v>
                </c:pt>
                <c:pt idx="10">
                  <c:v>40.019999999999975</c:v>
                </c:pt>
                <c:pt idx="11">
                  <c:v>37.834999999999972</c:v>
                </c:pt>
                <c:pt idx="12">
                  <c:v>35.64999999999997</c:v>
                </c:pt>
                <c:pt idx="13">
                  <c:v>33.464999999999968</c:v>
                </c:pt>
                <c:pt idx="14">
                  <c:v>31.279999999999969</c:v>
                </c:pt>
                <c:pt idx="15">
                  <c:v>29.09499999999997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8D-462D-8B93-948733543F40}"/>
            </c:ext>
          </c:extLst>
        </c:ser>
        <c:ser>
          <c:idx val="3"/>
          <c:order val="3"/>
          <c:tx>
            <c:strRef>
              <c:f>Dashboard!$AL$48</c:f>
              <c:strCache>
                <c:ptCount val="1"/>
                <c:pt idx="0">
                  <c:v>Carbon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numRef>
              <c:f>Dashboard!$AM$44:$BB$44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Dashboard!$AM$48:$BB$48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330</c:v>
                </c:pt>
                <c:pt idx="2">
                  <c:v>690</c:v>
                </c:pt>
                <c:pt idx="3">
                  <c:v>1050</c:v>
                </c:pt>
                <c:pt idx="4">
                  <c:v>1410</c:v>
                </c:pt>
                <c:pt idx="5">
                  <c:v>1440</c:v>
                </c:pt>
                <c:pt idx="6">
                  <c:v>1385.28</c:v>
                </c:pt>
                <c:pt idx="7">
                  <c:v>1330.56</c:v>
                </c:pt>
                <c:pt idx="8">
                  <c:v>1275.8399999999999</c:v>
                </c:pt>
                <c:pt idx="9">
                  <c:v>1221.1199999999999</c:v>
                </c:pt>
                <c:pt idx="10">
                  <c:v>1166.3999999999999</c:v>
                </c:pt>
                <c:pt idx="11">
                  <c:v>1111.6799999999998</c:v>
                </c:pt>
                <c:pt idx="12">
                  <c:v>1056.9599999999998</c:v>
                </c:pt>
                <c:pt idx="13">
                  <c:v>1002.2399999999998</c:v>
                </c:pt>
                <c:pt idx="14">
                  <c:v>947.51999999999975</c:v>
                </c:pt>
                <c:pt idx="15">
                  <c:v>892.79999999999973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8D-462D-8B93-948733543F40}"/>
            </c:ext>
          </c:extLst>
        </c:ser>
        <c:ser>
          <c:idx val="4"/>
          <c:order val="4"/>
          <c:tx>
            <c:strRef>
              <c:f>Dashboard!$AL$49</c:f>
              <c:strCache>
                <c:ptCount val="1"/>
                <c:pt idx="0">
                  <c:v>SENS - Coal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Dashboard!$AM$44:$BB$44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Dashboard!$AM$49:$BB$49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660</c:v>
                </c:pt>
                <c:pt idx="3">
                  <c:v>720</c:v>
                </c:pt>
                <c:pt idx="4">
                  <c:v>692.64</c:v>
                </c:pt>
                <c:pt idx="5">
                  <c:v>665.28</c:v>
                </c:pt>
                <c:pt idx="6">
                  <c:v>637.91999999999996</c:v>
                </c:pt>
                <c:pt idx="7">
                  <c:v>610.55999999999995</c:v>
                </c:pt>
                <c:pt idx="8">
                  <c:v>583.19999999999993</c:v>
                </c:pt>
                <c:pt idx="9">
                  <c:v>555.83999999999992</c:v>
                </c:pt>
                <c:pt idx="10">
                  <c:v>528.4799999999999</c:v>
                </c:pt>
                <c:pt idx="11">
                  <c:v>501.11999999999989</c:v>
                </c:pt>
                <c:pt idx="12">
                  <c:v>473.75999999999988</c:v>
                </c:pt>
                <c:pt idx="13">
                  <c:v>446.39999999999986</c:v>
                </c:pt>
                <c:pt idx="14">
                  <c:v>419.03999999999985</c:v>
                </c:pt>
                <c:pt idx="15">
                  <c:v>391.67999999999984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8D-462D-8B93-948733543F40}"/>
            </c:ext>
          </c:extLst>
        </c:ser>
        <c:ser>
          <c:idx val="5"/>
          <c:order val="5"/>
          <c:tx>
            <c:strRef>
              <c:f>Dashboard!$AL$50</c:f>
              <c:strCache>
                <c:ptCount val="1"/>
                <c:pt idx="0">
                  <c:v>SENS - Tires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Dashboard!$AM$44:$BB$44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Dashboard!$AM$50:$BB$50</c:f>
              <c:numCache>
                <c:formatCode>_("$"* #,##0.00_);_("$"* \(#,##0.00\);_("$"* "-"??_);_(@_)</c:formatCode>
                <c:ptCount val="16"/>
                <c:pt idx="0">
                  <c:v>103.125</c:v>
                </c:pt>
                <c:pt idx="1">
                  <c:v>112.5</c:v>
                </c:pt>
                <c:pt idx="2">
                  <c:v>108.22499999999999</c:v>
                </c:pt>
                <c:pt idx="3">
                  <c:v>103.94999999999999</c:v>
                </c:pt>
                <c:pt idx="4">
                  <c:v>99.674999999999983</c:v>
                </c:pt>
                <c:pt idx="5">
                  <c:v>95.399999999999977</c:v>
                </c:pt>
                <c:pt idx="6">
                  <c:v>91.124999999999972</c:v>
                </c:pt>
                <c:pt idx="7">
                  <c:v>86.849999999999966</c:v>
                </c:pt>
                <c:pt idx="8">
                  <c:v>82.57499999999996</c:v>
                </c:pt>
                <c:pt idx="9">
                  <c:v>78.299999999999955</c:v>
                </c:pt>
                <c:pt idx="10">
                  <c:v>74.024999999999949</c:v>
                </c:pt>
                <c:pt idx="11">
                  <c:v>69.749999999999943</c:v>
                </c:pt>
                <c:pt idx="12">
                  <c:v>65.474999999999937</c:v>
                </c:pt>
                <c:pt idx="13">
                  <c:v>61.199999999999946</c:v>
                </c:pt>
                <c:pt idx="14">
                  <c:v>56.92499999999994</c:v>
                </c:pt>
                <c:pt idx="15">
                  <c:v>52.649999999999935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8D-462D-8B93-948733543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3251975"/>
        <c:axId val="703254023"/>
      </c:barChart>
      <c:catAx>
        <c:axId val="703251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54023"/>
        <c:crosses val="autoZero"/>
        <c:auto val="1"/>
        <c:lblAlgn val="ctr"/>
        <c:lblOffset val="100"/>
        <c:noMultiLvlLbl val="0"/>
      </c:catAx>
      <c:valAx>
        <c:axId val="703254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51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CAPEX DEPLOYED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7"/>
          <c:order val="6"/>
          <c:tx>
            <c:strRef>
              <c:f>Dashboard!$T$23</c:f>
              <c:strCache>
                <c:ptCount val="1"/>
                <c:pt idx="0">
                  <c:v>CAPEX Available</c:v>
                </c:pt>
              </c:strCache>
            </c:strRef>
          </c:tx>
          <c:spPr>
            <a:solidFill>
              <a:srgbClr val="F2F2F2"/>
            </a:solidFill>
            <a:ln>
              <a:noFill/>
            </a:ln>
            <a:effectLst/>
          </c:spPr>
          <c:cat>
            <c:numRef>
              <c:f>Dashboard!$U$15:$AJ$15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Dashboard!$U$23:$AJ$23</c:f>
              <c:numCache>
                <c:formatCode>_("$"* #,##0_);_("$"* \(#,##0\);_("$"* "-"??_);_(@_)</c:formatCode>
                <c:ptCount val="16"/>
                <c:pt idx="0">
                  <c:v>2057.1428571428569</c:v>
                </c:pt>
                <c:pt idx="1">
                  <c:v>1902.6845238095236</c:v>
                </c:pt>
                <c:pt idx="2">
                  <c:v>1444.3234126984125</c:v>
                </c:pt>
                <c:pt idx="3">
                  <c:v>382.86507936507928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5-49F6-8F32-AB44A378F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812872"/>
        <c:axId val="971801608"/>
      </c:areaChart>
      <c:barChart>
        <c:barDir val="col"/>
        <c:grouping val="clustered"/>
        <c:varyColors val="0"/>
        <c:ser>
          <c:idx val="0"/>
          <c:order val="0"/>
          <c:tx>
            <c:strRef>
              <c:f>Dashboard!$T$16</c:f>
              <c:strCache>
                <c:ptCount val="1"/>
                <c:pt idx="0">
                  <c:v>Nat Gas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Dashboard!$U$15:$AJ$15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Dashboard!$U$16:$AJ$16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33.611111111111114</c:v>
                </c:pt>
                <c:pt idx="2">
                  <c:v>36.666666666666664</c:v>
                </c:pt>
                <c:pt idx="3">
                  <c:v>36.666666666666664</c:v>
                </c:pt>
                <c:pt idx="4">
                  <c:v>3.0555555555555554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4-4106-B6B9-B8E05358FBD6}"/>
            </c:ext>
          </c:extLst>
        </c:ser>
        <c:ser>
          <c:idx val="1"/>
          <c:order val="1"/>
          <c:tx>
            <c:strRef>
              <c:f>Dashboard!$T$17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numRef>
              <c:f>Dashboard!$U$15:$AJ$15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Dashboard!$U$17:$AJ$17</c:f>
              <c:numCache>
                <c:formatCode>_("$"* #,##0.00_);_("$"* \(#,##0.00\);_("$"* "-"??_);_(@_)</c:formatCode>
                <c:ptCount val="16"/>
                <c:pt idx="0">
                  <c:v>51.333333333333336</c:v>
                </c:pt>
                <c:pt idx="1">
                  <c:v>32.666666666666664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4-4106-B6B9-B8E05358FBD6}"/>
            </c:ext>
          </c:extLst>
        </c:ser>
        <c:ser>
          <c:idx val="2"/>
          <c:order val="2"/>
          <c:tx>
            <c:strRef>
              <c:f>Dashboard!$T$18</c:f>
              <c:strCache>
                <c:ptCount val="1"/>
                <c:pt idx="0">
                  <c:v>BESS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numRef>
              <c:f>Dashboard!$U$15:$AJ$15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Dashboard!$U$18:$AJ$18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52.708333333333321</c:v>
                </c:pt>
                <c:pt idx="2">
                  <c:v>4.7916666666666661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14-4106-B6B9-B8E05358FBD6}"/>
            </c:ext>
          </c:extLst>
        </c:ser>
        <c:ser>
          <c:idx val="3"/>
          <c:order val="3"/>
          <c:tx>
            <c:strRef>
              <c:f>Dashboard!$T$19</c:f>
              <c:strCache>
                <c:ptCount val="1"/>
                <c:pt idx="0">
                  <c:v>Carbon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numRef>
              <c:f>Dashboard!$U$15:$AJ$15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Dashboard!$U$19:$AJ$19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330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14-4106-B6B9-B8E05358FBD6}"/>
            </c:ext>
          </c:extLst>
        </c:ser>
        <c:ser>
          <c:idx val="4"/>
          <c:order val="4"/>
          <c:tx>
            <c:strRef>
              <c:f>Dashboard!$T$20</c:f>
              <c:strCache>
                <c:ptCount val="1"/>
                <c:pt idx="0">
                  <c:v>SENS - Coal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Dashboard!$U$15:$AJ$15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Dashboard!$U$20:$AJ$20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660</c:v>
                </c:pt>
                <c:pt idx="3">
                  <c:v>60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14-4106-B6B9-B8E05358FBD6}"/>
            </c:ext>
          </c:extLst>
        </c:ser>
        <c:ser>
          <c:idx val="5"/>
          <c:order val="5"/>
          <c:tx>
            <c:strRef>
              <c:f>Dashboard!$T$21</c:f>
              <c:strCache>
                <c:ptCount val="1"/>
                <c:pt idx="0">
                  <c:v>SENS - Tires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Dashboard!$U$15:$AJ$15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Dashboard!$U$21:$AJ$21</c:f>
              <c:numCache>
                <c:formatCode>_("$"* #,##0.00_);_("$"* \(#,##0.00\);_("$"* "-"??_);_(@_)</c:formatCode>
                <c:ptCount val="16"/>
                <c:pt idx="0">
                  <c:v>103.125</c:v>
                </c:pt>
                <c:pt idx="1">
                  <c:v>9.375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14-4106-B6B9-B8E05358F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9918215"/>
        <c:axId val="1909924359"/>
      </c:barChart>
      <c:catAx>
        <c:axId val="190991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24359"/>
        <c:crosses val="autoZero"/>
        <c:auto val="1"/>
        <c:lblAlgn val="ctr"/>
        <c:lblOffset val="100"/>
        <c:noMultiLvlLbl val="0"/>
      </c:catAx>
      <c:valAx>
        <c:axId val="1909924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18215"/>
        <c:crosses val="autoZero"/>
        <c:crossBetween val="between"/>
      </c:valAx>
      <c:valAx>
        <c:axId val="971801608"/>
        <c:scaling>
          <c:orientation val="minMax"/>
        </c:scaling>
        <c:delete val="0"/>
        <c:axPos val="r"/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12872"/>
        <c:crosses val="max"/>
        <c:crossBetween val="between"/>
      </c:valAx>
      <c:catAx>
        <c:axId val="971812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1801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FEEDSTOCK PROCESSING VOLUME (M Tons)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Dashboard!$B$68</c:f>
              <c:strCache>
                <c:ptCount val="1"/>
                <c:pt idx="0">
                  <c:v>Carbon</c:v>
                </c:pt>
              </c:strCache>
            </c:strRef>
          </c:tx>
          <c:spPr>
            <a:solidFill>
              <a:srgbClr val="F2F2F2"/>
            </a:solidFill>
            <a:ln>
              <a:noFill/>
            </a:ln>
            <a:effectLst/>
          </c:spPr>
          <c:cat>
            <c:numRef>
              <c:f>Dashboard!$C$65:$R$65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Dashboard!$C$68:$R$68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5.2257992217794422</c:v>
                </c:pt>
                <c:pt idx="6">
                  <c:v>5.2257992217794422</c:v>
                </c:pt>
                <c:pt idx="7">
                  <c:v>5.2257992217794422</c:v>
                </c:pt>
                <c:pt idx="8">
                  <c:v>5.2257992217794422</c:v>
                </c:pt>
                <c:pt idx="9">
                  <c:v>5.2257992217794422</c:v>
                </c:pt>
                <c:pt idx="10">
                  <c:v>5.2257992217794422</c:v>
                </c:pt>
                <c:pt idx="11">
                  <c:v>5.2257992217794422</c:v>
                </c:pt>
                <c:pt idx="12">
                  <c:v>5.2257992217794422</c:v>
                </c:pt>
                <c:pt idx="13">
                  <c:v>5.2257992217794422</c:v>
                </c:pt>
                <c:pt idx="14">
                  <c:v>5.2257992217794422</c:v>
                </c:pt>
                <c:pt idx="15">
                  <c:v>5.2257992217794422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03-4594-B99A-1CB69967C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041480"/>
        <c:axId val="2128238088"/>
      </c:areaChart>
      <c:barChart>
        <c:barDir val="col"/>
        <c:grouping val="clustered"/>
        <c:varyColors val="0"/>
        <c:ser>
          <c:idx val="0"/>
          <c:order val="0"/>
          <c:tx>
            <c:strRef>
              <c:f>Dashboard!$B$66</c:f>
              <c:strCache>
                <c:ptCount val="1"/>
                <c:pt idx="0">
                  <c:v>SENS - Coal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Dashboard!$C$65:$R$65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Dashboard!$C$66:$R$66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3.9735359999999997</c:v>
                </c:pt>
                <c:pt idx="4">
                  <c:v>5.2980479999999996</c:v>
                </c:pt>
                <c:pt idx="5">
                  <c:v>5.2980479999999996</c:v>
                </c:pt>
                <c:pt idx="6">
                  <c:v>5.2980479999999996</c:v>
                </c:pt>
                <c:pt idx="7">
                  <c:v>5.2980479999999996</c:v>
                </c:pt>
                <c:pt idx="8">
                  <c:v>5.2980479999999996</c:v>
                </c:pt>
                <c:pt idx="9">
                  <c:v>5.2980479999999996</c:v>
                </c:pt>
                <c:pt idx="10">
                  <c:v>5.2980479999999996</c:v>
                </c:pt>
                <c:pt idx="11">
                  <c:v>5.2980479999999996</c:v>
                </c:pt>
                <c:pt idx="12">
                  <c:v>5.2980479999999996</c:v>
                </c:pt>
                <c:pt idx="13">
                  <c:v>5.2980479999999996</c:v>
                </c:pt>
                <c:pt idx="14">
                  <c:v>5.2980479999999996</c:v>
                </c:pt>
                <c:pt idx="15">
                  <c:v>5.2980479999999996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9-46FC-9244-8A53991E395B}"/>
            </c:ext>
          </c:extLst>
        </c:ser>
        <c:ser>
          <c:idx val="1"/>
          <c:order val="1"/>
          <c:tx>
            <c:strRef>
              <c:f>Dashboard!$B$67</c:f>
              <c:strCache>
                <c:ptCount val="1"/>
                <c:pt idx="0">
                  <c:v>SENS - Tires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Dashboard!$C$65:$R$65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Dashboard!$C$67:$R$67</c:f>
              <c:numCache>
                <c:formatCode>0.00</c:formatCode>
                <c:ptCount val="16"/>
                <c:pt idx="0">
                  <c:v>0</c:v>
                </c:pt>
                <c:pt idx="1">
                  <c:v>6.6225599999999996E-2</c:v>
                </c:pt>
                <c:pt idx="2">
                  <c:v>8.8300799999999985E-2</c:v>
                </c:pt>
                <c:pt idx="3">
                  <c:v>8.8300799999999985E-2</c:v>
                </c:pt>
                <c:pt idx="4">
                  <c:v>8.8300799999999985E-2</c:v>
                </c:pt>
                <c:pt idx="5">
                  <c:v>8.8300799999999985E-2</c:v>
                </c:pt>
                <c:pt idx="6">
                  <c:v>8.8300799999999985E-2</c:v>
                </c:pt>
                <c:pt idx="7">
                  <c:v>8.8300799999999985E-2</c:v>
                </c:pt>
                <c:pt idx="8">
                  <c:v>8.8300799999999985E-2</c:v>
                </c:pt>
                <c:pt idx="9">
                  <c:v>8.8300799999999985E-2</c:v>
                </c:pt>
                <c:pt idx="10">
                  <c:v>8.8300799999999985E-2</c:v>
                </c:pt>
                <c:pt idx="11">
                  <c:v>8.8300799999999985E-2</c:v>
                </c:pt>
                <c:pt idx="12">
                  <c:v>8.8300799999999985E-2</c:v>
                </c:pt>
                <c:pt idx="13">
                  <c:v>8.8300799999999985E-2</c:v>
                </c:pt>
                <c:pt idx="14">
                  <c:v>8.8300799999999985E-2</c:v>
                </c:pt>
                <c:pt idx="15">
                  <c:v>8.8300799999999985E-2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59-46FC-9244-8A53991E3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4041480"/>
        <c:axId val="2128238088"/>
      </c:barChart>
      <c:catAx>
        <c:axId val="190404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38088"/>
        <c:crosses val="autoZero"/>
        <c:auto val="1"/>
        <c:lblAlgn val="ctr"/>
        <c:lblOffset val="100"/>
        <c:noMultiLvlLbl val="0"/>
      </c:catAx>
      <c:valAx>
        <c:axId val="212823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04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FUEL MIX (GWh)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Dashboard!$AL$66</c:f>
              <c:strCache>
                <c:ptCount val="1"/>
                <c:pt idx="0">
                  <c:v>Nat Gas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Dashboard!$AM$65:$BB$65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Dashboard!$AM$66:$BB$66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496.95359999999999</c:v>
                </c:pt>
                <c:pt idx="5">
                  <c:v>745.43040000000008</c:v>
                </c:pt>
                <c:pt idx="6">
                  <c:v>743.566824</c:v>
                </c:pt>
                <c:pt idx="7">
                  <c:v>741.70790694000016</c:v>
                </c:pt>
                <c:pt idx="8">
                  <c:v>739.85363717265011</c:v>
                </c:pt>
                <c:pt idx="9">
                  <c:v>738.00400307971847</c:v>
                </c:pt>
                <c:pt idx="10">
                  <c:v>736.15899307201926</c:v>
                </c:pt>
                <c:pt idx="11">
                  <c:v>734.31859558933922</c:v>
                </c:pt>
                <c:pt idx="12">
                  <c:v>732.48279910036592</c:v>
                </c:pt>
                <c:pt idx="13">
                  <c:v>730.65159210261504</c:v>
                </c:pt>
                <c:pt idx="14">
                  <c:v>728.82496312235855</c:v>
                </c:pt>
                <c:pt idx="15">
                  <c:v>727.00290071455265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9-47F7-87E3-DC3282D97916}"/>
            </c:ext>
          </c:extLst>
        </c:ser>
        <c:ser>
          <c:idx val="1"/>
          <c:order val="1"/>
          <c:tx>
            <c:strRef>
              <c:f>Dashboard!$AL$67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Dashboard!$AM$65:$BB$65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Dashboard!$AM$67:$BB$67</c:f>
              <c:numCache>
                <c:formatCode>0</c:formatCode>
                <c:ptCount val="16"/>
                <c:pt idx="0">
                  <c:v>0</c:v>
                </c:pt>
                <c:pt idx="1">
                  <c:v>40.880000000000003</c:v>
                </c:pt>
                <c:pt idx="2">
                  <c:v>121.72135070992599</c:v>
                </c:pt>
                <c:pt idx="3">
                  <c:v>120.50413720282673</c:v>
                </c:pt>
                <c:pt idx="4">
                  <c:v>119.29605279703071</c:v>
                </c:pt>
                <c:pt idx="5">
                  <c:v>118.09703663186258</c:v>
                </c:pt>
                <c:pt idx="6">
                  <c:v>116.90702822702623</c:v>
                </c:pt>
                <c:pt idx="7">
                  <c:v>115.72596748032244</c:v>
                </c:pt>
                <c:pt idx="8">
                  <c:v>114.55379466537995</c:v>
                </c:pt>
                <c:pt idx="9">
                  <c:v>113.39045042939995</c:v>
                </c:pt>
                <c:pt idx="10">
                  <c:v>112.23587579091308</c:v>
                </c:pt>
                <c:pt idx="11">
                  <c:v>111.09001213755035</c:v>
                </c:pt>
                <c:pt idx="12">
                  <c:v>109.9528012238265</c:v>
                </c:pt>
                <c:pt idx="13">
                  <c:v>108.82418516893641</c:v>
                </c:pt>
                <c:pt idx="14">
                  <c:v>107.70410645456467</c:v>
                </c:pt>
                <c:pt idx="15">
                  <c:v>106.59250792270738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9-47F7-87E3-DC3282D97916}"/>
            </c:ext>
          </c:extLst>
        </c:ser>
        <c:ser>
          <c:idx val="2"/>
          <c:order val="2"/>
          <c:tx>
            <c:strRef>
              <c:f>Dashboard!$AL$68</c:f>
              <c:strCache>
                <c:ptCount val="1"/>
                <c:pt idx="0">
                  <c:v>BESS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Dashboard!$AM$65:$BB$65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Dashboard!$AM$68:$BB$68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44.481111111111112</c:v>
                </c:pt>
                <c:pt idx="3">
                  <c:v>53.2</c:v>
                </c:pt>
                <c:pt idx="4">
                  <c:v>53.2</c:v>
                </c:pt>
                <c:pt idx="5">
                  <c:v>53.2</c:v>
                </c:pt>
                <c:pt idx="6">
                  <c:v>53.2</c:v>
                </c:pt>
                <c:pt idx="7">
                  <c:v>53.2</c:v>
                </c:pt>
                <c:pt idx="8">
                  <c:v>53.2</c:v>
                </c:pt>
                <c:pt idx="9">
                  <c:v>53.2</c:v>
                </c:pt>
                <c:pt idx="10">
                  <c:v>53.2</c:v>
                </c:pt>
                <c:pt idx="11">
                  <c:v>53.2</c:v>
                </c:pt>
                <c:pt idx="12">
                  <c:v>53.2</c:v>
                </c:pt>
                <c:pt idx="13">
                  <c:v>53.2</c:v>
                </c:pt>
                <c:pt idx="14">
                  <c:v>53.2</c:v>
                </c:pt>
                <c:pt idx="15">
                  <c:v>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9-47F7-87E3-DC3282D97916}"/>
            </c:ext>
          </c:extLst>
        </c:ser>
        <c:ser>
          <c:idx val="3"/>
          <c:order val="3"/>
          <c:tx>
            <c:strRef>
              <c:f>Dashboard!$AL$69</c:f>
              <c:strCache>
                <c:ptCount val="1"/>
                <c:pt idx="0">
                  <c:v>Carbon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Dashboard!$AM$65:$BB$65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Dashboard!$AM$69:$BB$69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2662.7664</c:v>
                </c:pt>
                <c:pt idx="6">
                  <c:v>3184.7040000000002</c:v>
                </c:pt>
                <c:pt idx="7">
                  <c:v>3176.7422399999996</c:v>
                </c:pt>
                <c:pt idx="8">
                  <c:v>3168.8003844000004</c:v>
                </c:pt>
                <c:pt idx="9">
                  <c:v>3160.8783834390006</c:v>
                </c:pt>
                <c:pt idx="10">
                  <c:v>3152.976187480403</c:v>
                </c:pt>
                <c:pt idx="11">
                  <c:v>3145.0937470117024</c:v>
                </c:pt>
                <c:pt idx="12">
                  <c:v>3137.231012644173</c:v>
                </c:pt>
                <c:pt idx="13">
                  <c:v>3129.3879351125629</c:v>
                </c:pt>
                <c:pt idx="14">
                  <c:v>3121.5644652747815</c:v>
                </c:pt>
                <c:pt idx="15">
                  <c:v>3113.7605541115945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49-47F7-87E3-DC3282D97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3251975"/>
        <c:axId val="703254023"/>
      </c:barChart>
      <c:catAx>
        <c:axId val="703251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54023"/>
        <c:crosses val="autoZero"/>
        <c:auto val="1"/>
        <c:lblAlgn val="ctr"/>
        <c:lblOffset val="100"/>
        <c:noMultiLvlLbl val="0"/>
      </c:catAx>
      <c:valAx>
        <c:axId val="703254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51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Installed</a:t>
            </a:r>
            <a:r>
              <a:rPr lang="en-US" baseline="0"/>
              <a:t> Capacity (MW)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Dashboard!$AL$84</c:f>
              <c:strCache>
                <c:ptCount val="1"/>
                <c:pt idx="0">
                  <c:v>Nat Gas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Dashboard!$AM$65:$BB$65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Dashboard!$AM$84:$BB$84</c:f>
              <c:numCache>
                <c:formatCode>0</c:formatCode>
                <c:ptCount val="16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7-4A7D-B20F-2F2DD7637F12}"/>
            </c:ext>
          </c:extLst>
        </c:ser>
        <c:ser>
          <c:idx val="1"/>
          <c:order val="1"/>
          <c:tx>
            <c:strRef>
              <c:f>Dashboard!$AL$85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Dashboard!$AM$65:$BB$65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Dashboard!$AM$85:$BB$85</c:f>
              <c:numCache>
                <c:formatCode>0</c:formatCode>
                <c:ptCount val="1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7-4A7D-B20F-2F2DD7637F12}"/>
            </c:ext>
          </c:extLst>
        </c:ser>
        <c:ser>
          <c:idx val="2"/>
          <c:order val="2"/>
          <c:tx>
            <c:strRef>
              <c:f>Dashboard!$AL$86</c:f>
              <c:strCache>
                <c:ptCount val="1"/>
                <c:pt idx="0">
                  <c:v>BESS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Dashboard!$AM$65:$BB$65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Dashboard!$AM$86:$BB$86</c:f>
              <c:numCache>
                <c:formatCode>0</c:formatCode>
                <c:ptCount val="16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C7-4A7D-B20F-2F2DD7637F12}"/>
            </c:ext>
          </c:extLst>
        </c:ser>
        <c:ser>
          <c:idx val="3"/>
          <c:order val="3"/>
          <c:tx>
            <c:strRef>
              <c:f>Dashboard!$AL$87</c:f>
              <c:strCache>
                <c:ptCount val="1"/>
                <c:pt idx="0">
                  <c:v>Carbon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Dashboard!$AM$65:$BB$65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Dashboard!$AM$87:$BB$87</c:f>
              <c:numCache>
                <c:formatCode>0</c:formatCode>
                <c:ptCount val="16"/>
                <c:pt idx="0">
                  <c:v>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C7-4A7D-B20F-2F2DD7637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3251975"/>
        <c:axId val="703254023"/>
      </c:barChart>
      <c:catAx>
        <c:axId val="703251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54023"/>
        <c:crosses val="autoZero"/>
        <c:auto val="1"/>
        <c:lblAlgn val="ctr"/>
        <c:lblOffset val="100"/>
        <c:noMultiLvlLbl val="0"/>
      </c:catAx>
      <c:valAx>
        <c:axId val="703254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51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EPC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Dashboard!$AL$16</c:f>
              <c:strCache>
                <c:ptCount val="1"/>
                <c:pt idx="0">
                  <c:v>Nat Gas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Dashboard!$AM$15:$BB$15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Dashboard!$AM$16:$BB$16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1.6805555555555558</c:v>
                </c:pt>
                <c:pt idx="2">
                  <c:v>1.8333333333333333</c:v>
                </c:pt>
                <c:pt idx="3">
                  <c:v>1.8333333333333333</c:v>
                </c:pt>
                <c:pt idx="4">
                  <c:v>0.15277777777777779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5-4EB7-A1FC-386760E30F18}"/>
            </c:ext>
          </c:extLst>
        </c:ser>
        <c:ser>
          <c:idx val="1"/>
          <c:order val="1"/>
          <c:tx>
            <c:strRef>
              <c:f>Dashboard!$AL$17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Dashboard!$AM$15:$BB$15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Dashboard!$AM$17:$BB$17</c:f>
              <c:numCache>
                <c:formatCode>_("$"* #,##0.00_);_("$"* \(#,##0.00\);_("$"* "-"??_);_(@_)</c:formatCode>
                <c:ptCount val="16"/>
                <c:pt idx="0">
                  <c:v>2.5666666666666669</c:v>
                </c:pt>
                <c:pt idx="1">
                  <c:v>1.6333333333333333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5-4EB7-A1FC-386760E30F18}"/>
            </c:ext>
          </c:extLst>
        </c:ser>
        <c:ser>
          <c:idx val="2"/>
          <c:order val="2"/>
          <c:tx>
            <c:strRef>
              <c:f>Dashboard!$AL$18</c:f>
              <c:strCache>
                <c:ptCount val="1"/>
                <c:pt idx="0">
                  <c:v>BESS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Dashboard!$AM$15:$BB$15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Dashboard!$AM$18:$BB$18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2.6354166666666661</c:v>
                </c:pt>
                <c:pt idx="2">
                  <c:v>0.23958333333333331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D5-4EB7-A1FC-386760E30F18}"/>
            </c:ext>
          </c:extLst>
        </c:ser>
        <c:ser>
          <c:idx val="3"/>
          <c:order val="3"/>
          <c:tx>
            <c:strRef>
              <c:f>Dashboard!$AL$19</c:f>
              <c:strCache>
                <c:ptCount val="1"/>
                <c:pt idx="0">
                  <c:v>Carbon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numRef>
              <c:f>Dashboard!$AM$15:$BB$15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Dashboard!$AM$19:$BB$19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16.5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5-4EB7-A1FC-386760E30F18}"/>
            </c:ext>
          </c:extLst>
        </c:ser>
        <c:ser>
          <c:idx val="4"/>
          <c:order val="4"/>
          <c:tx>
            <c:strRef>
              <c:f>Dashboard!$AL$20</c:f>
              <c:strCache>
                <c:ptCount val="1"/>
                <c:pt idx="0">
                  <c:v>SENS - Coal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Dashboard!$AM$15:$BB$15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Dashboard!$AM$20:$BB$20</c:f>
              <c:numCache>
                <c:formatCode>_("$"* #,##0.00_);_("$"* \(#,##0.00\);_("$"*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33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D5-4EB7-A1FC-386760E30F18}"/>
            </c:ext>
          </c:extLst>
        </c:ser>
        <c:ser>
          <c:idx val="5"/>
          <c:order val="5"/>
          <c:tx>
            <c:strRef>
              <c:f>Dashboard!$AL$21</c:f>
              <c:strCache>
                <c:ptCount val="1"/>
                <c:pt idx="0">
                  <c:v>SENS - Tires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Dashboard!$AM$15:$BB$15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Dashboard!$AM$21:$BB$21</c:f>
              <c:numCache>
                <c:formatCode>_("$"* #,##0.00_);_("$"* \(#,##0.00\);_("$"* "-"??_);_(@_)</c:formatCode>
                <c:ptCount val="16"/>
                <c:pt idx="0">
                  <c:v>5.15625</c:v>
                </c:pt>
                <c:pt idx="1">
                  <c:v>0.46875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D5-4EB7-A1FC-386760E30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3251975"/>
        <c:axId val="703254023"/>
      </c:barChart>
      <c:catAx>
        <c:axId val="703251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54023"/>
        <c:crosses val="autoZero"/>
        <c:auto val="1"/>
        <c:lblAlgn val="ctr"/>
        <c:lblOffset val="100"/>
        <c:noMultiLvlLbl val="0"/>
      </c:catAx>
      <c:valAx>
        <c:axId val="703254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51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 PROCESSOR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1"/>
          <c:tx>
            <c:strRef>
              <c:f>Dashboard!$T$66</c:f>
              <c:strCache>
                <c:ptCount val="1"/>
                <c:pt idx="0">
                  <c:v>SENS - Coal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Dashboard!$U$65:$AJ$65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Dashboard!$U$66:$AJ$66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B-4F3E-8362-4DAFF90AA892}"/>
            </c:ext>
          </c:extLst>
        </c:ser>
        <c:ser>
          <c:idx val="3"/>
          <c:order val="2"/>
          <c:tx>
            <c:strRef>
              <c:f>Dashboard!$T$68</c:f>
              <c:strCache>
                <c:ptCount val="1"/>
                <c:pt idx="0">
                  <c:v>SENS - Coal Needed</c:v>
                </c:pt>
              </c:strCache>
            </c:strRef>
          </c:tx>
          <c:spPr>
            <a:solidFill>
              <a:srgbClr val="F2F2F2"/>
            </a:solidFill>
            <a:ln>
              <a:noFill/>
            </a:ln>
            <a:effectLst/>
          </c:spPr>
          <c:invertIfNegative val="0"/>
          <c:cat>
            <c:numRef>
              <c:f>Dashboard!$U$65:$AJ$65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Dashboard!$U$68:$AJ$68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FF-4478-B6B9-E245E050A335}"/>
            </c:ext>
          </c:extLst>
        </c:ser>
        <c:ser>
          <c:idx val="1"/>
          <c:order val="0"/>
          <c:tx>
            <c:strRef>
              <c:f>Dashboard!$T$67</c:f>
              <c:strCache>
                <c:ptCount val="1"/>
                <c:pt idx="0">
                  <c:v>SENS - Tires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Dashboard!$U$65:$AJ$65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Dashboard!$U$67:$AJ$67</c:f>
              <c:numCache>
                <c:formatCode>0</c:formatCode>
                <c:ptCount val="16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B-4F3E-8362-4DAFF90AA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4041480"/>
        <c:axId val="2128238088"/>
      </c:barChart>
      <c:catAx>
        <c:axId val="190404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38088"/>
        <c:crosses val="autoZero"/>
        <c:auto val="1"/>
        <c:lblAlgn val="ctr"/>
        <c:lblOffset val="100"/>
        <c:noMultiLvlLbl val="0"/>
      </c:catAx>
      <c:valAx>
        <c:axId val="212823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04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ACRES REQUIRED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Dashboard!$B$86</c:f>
              <c:strCache>
                <c:ptCount val="1"/>
                <c:pt idx="0">
                  <c:v>Nat Gas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Dashboard!$C$85:$R$85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Dashboard!$C$86:$R$86</c:f>
              <c:numCache>
                <c:formatCode>0.00</c:formatCode>
                <c:ptCount val="16"/>
                <c:pt idx="0">
                  <c:v>0</c:v>
                </c:pt>
                <c:pt idx="1">
                  <c:v>1.1478420569329659</c:v>
                </c:pt>
                <c:pt idx="2">
                  <c:v>1.1478420569329659</c:v>
                </c:pt>
                <c:pt idx="3">
                  <c:v>1.1478420569329659</c:v>
                </c:pt>
                <c:pt idx="4">
                  <c:v>1.1478420569329659</c:v>
                </c:pt>
                <c:pt idx="5">
                  <c:v>1.1478420569329659</c:v>
                </c:pt>
                <c:pt idx="6">
                  <c:v>1.1478420569329659</c:v>
                </c:pt>
                <c:pt idx="7">
                  <c:v>1.1478420569329659</c:v>
                </c:pt>
                <c:pt idx="8">
                  <c:v>1.1478420569329659</c:v>
                </c:pt>
                <c:pt idx="9">
                  <c:v>1.1478420569329659</c:v>
                </c:pt>
                <c:pt idx="10">
                  <c:v>1.1478420569329659</c:v>
                </c:pt>
                <c:pt idx="11">
                  <c:v>1.1478420569329659</c:v>
                </c:pt>
                <c:pt idx="12">
                  <c:v>1.1478420569329659</c:v>
                </c:pt>
                <c:pt idx="13">
                  <c:v>1.1478420569329659</c:v>
                </c:pt>
                <c:pt idx="14">
                  <c:v>1.1478420569329659</c:v>
                </c:pt>
                <c:pt idx="15">
                  <c:v>1.1478420569329659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6-4559-AC12-862921D24808}"/>
            </c:ext>
          </c:extLst>
        </c:ser>
        <c:ser>
          <c:idx val="1"/>
          <c:order val="1"/>
          <c:tx>
            <c:strRef>
              <c:f>Dashboard!$B$87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Dashboard!$C$85:$R$85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Dashboard!$C$87:$R$87</c:f>
              <c:numCache>
                <c:formatCode>0.00</c:formatCode>
                <c:ptCount val="16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86-4559-AC12-862921D24808}"/>
            </c:ext>
          </c:extLst>
        </c:ser>
        <c:ser>
          <c:idx val="2"/>
          <c:order val="2"/>
          <c:tx>
            <c:strRef>
              <c:f>Dashboard!$B$88</c:f>
              <c:strCache>
                <c:ptCount val="1"/>
                <c:pt idx="0">
                  <c:v>BESS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Dashboard!$C$85:$R$85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Dashboard!$C$88:$R$88</c:f>
              <c:numCache>
                <c:formatCode>0.00</c:formatCode>
                <c:ptCount val="16"/>
                <c:pt idx="0">
                  <c:v>0</c:v>
                </c:pt>
                <c:pt idx="1">
                  <c:v>0.60240963855421692</c:v>
                </c:pt>
                <c:pt idx="2">
                  <c:v>0.60240963855421692</c:v>
                </c:pt>
                <c:pt idx="3">
                  <c:v>0.60240963855421692</c:v>
                </c:pt>
                <c:pt idx="4">
                  <c:v>0.60240963855421692</c:v>
                </c:pt>
                <c:pt idx="5">
                  <c:v>0.60240963855421692</c:v>
                </c:pt>
                <c:pt idx="6">
                  <c:v>0.60240963855421692</c:v>
                </c:pt>
                <c:pt idx="7">
                  <c:v>0.60240963855421692</c:v>
                </c:pt>
                <c:pt idx="8">
                  <c:v>0.60240963855421692</c:v>
                </c:pt>
                <c:pt idx="9">
                  <c:v>0.60240963855421692</c:v>
                </c:pt>
                <c:pt idx="10">
                  <c:v>0.60240963855421692</c:v>
                </c:pt>
                <c:pt idx="11">
                  <c:v>0.60240963855421692</c:v>
                </c:pt>
                <c:pt idx="12">
                  <c:v>0.60240963855421692</c:v>
                </c:pt>
                <c:pt idx="13">
                  <c:v>0.60240963855421692</c:v>
                </c:pt>
                <c:pt idx="14">
                  <c:v>0.60240963855421692</c:v>
                </c:pt>
                <c:pt idx="15">
                  <c:v>0.60240963855421692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86-4559-AC12-862921D24808}"/>
            </c:ext>
          </c:extLst>
        </c:ser>
        <c:ser>
          <c:idx val="3"/>
          <c:order val="3"/>
          <c:tx>
            <c:strRef>
              <c:f>Dashboard!$B$89</c:f>
              <c:strCache>
                <c:ptCount val="1"/>
                <c:pt idx="0">
                  <c:v>Carbon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numRef>
              <c:f>Dashboard!$C$85:$R$85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Dashboard!$C$89:$R$89</c:f>
              <c:numCache>
                <c:formatCode>0.00</c:formatCode>
                <c:ptCount val="16"/>
                <c:pt idx="0">
                  <c:v>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86-4559-AC12-862921D24808}"/>
            </c:ext>
          </c:extLst>
        </c:ser>
        <c:ser>
          <c:idx val="4"/>
          <c:order val="4"/>
          <c:tx>
            <c:strRef>
              <c:f>Dashboard!$B$90</c:f>
              <c:strCache>
                <c:ptCount val="1"/>
                <c:pt idx="0">
                  <c:v>SENS - Coal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Dashboard!$C$85:$R$85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Dashboard!$C$90:$R$90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986-4559-AC12-862921D24808}"/>
            </c:ext>
          </c:extLst>
        </c:ser>
        <c:ser>
          <c:idx val="5"/>
          <c:order val="5"/>
          <c:tx>
            <c:strRef>
              <c:f>Dashboard!$B$91</c:f>
              <c:strCache>
                <c:ptCount val="1"/>
                <c:pt idx="0">
                  <c:v>SENS - Tires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Dashboard!$C$85:$R$85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Dashboard!$C$91:$R$91</c:f>
              <c:numCache>
                <c:formatCode>0.00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986-4559-AC12-862921D24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4041480"/>
        <c:axId val="2128238088"/>
      </c:barChart>
      <c:catAx>
        <c:axId val="190404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38088"/>
        <c:crosses val="autoZero"/>
        <c:auto val="1"/>
        <c:lblAlgn val="ctr"/>
        <c:lblOffset val="100"/>
        <c:noMultiLvlLbl val="0"/>
      </c:catAx>
      <c:valAx>
        <c:axId val="212823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04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29</xdr:row>
      <xdr:rowOff>9525</xdr:rowOff>
    </xdr:from>
    <xdr:to>
      <xdr:col>17</xdr:col>
      <xdr:colOff>666750</xdr:colOff>
      <xdr:row>42</xdr:row>
      <xdr:rowOff>171450</xdr:rowOff>
    </xdr:to>
    <xdr:graphicFrame macro="">
      <xdr:nvGraphicFramePr>
        <xdr:cNvPr id="129" name="Chart 1">
          <a:extLst>
            <a:ext uri="{FF2B5EF4-FFF2-40B4-BE49-F238E27FC236}">
              <a16:creationId xmlns:a16="http://schemas.microsoft.com/office/drawing/2014/main" id="{D0E6B2CF-BFBF-EFFB-1967-B495D6718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</xdr:row>
      <xdr:rowOff>28575</xdr:rowOff>
    </xdr:from>
    <xdr:to>
      <xdr:col>17</xdr:col>
      <xdr:colOff>666749</xdr:colOff>
      <xdr:row>13</xdr:row>
      <xdr:rowOff>161925</xdr:rowOff>
    </xdr:to>
    <xdr:graphicFrame macro="">
      <xdr:nvGraphicFramePr>
        <xdr:cNvPr id="139" name="Chart 2">
          <a:extLst>
            <a:ext uri="{FF2B5EF4-FFF2-40B4-BE49-F238E27FC236}">
              <a16:creationId xmlns:a16="http://schemas.microsoft.com/office/drawing/2014/main" id="{5AD56780-A1DF-6721-F6B0-1242D5529C6B}"/>
            </a:ext>
            <a:ext uri="{147F2762-F138-4A5C-976F-8EAC2B608ADB}">
              <a16:predDERef xmlns:a16="http://schemas.microsoft.com/office/drawing/2014/main" pred="{D0E6B2CF-BFBF-EFFB-1967-B495D6718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19050</xdr:colOff>
      <xdr:row>29</xdr:row>
      <xdr:rowOff>28575</xdr:rowOff>
    </xdr:from>
    <xdr:to>
      <xdr:col>35</xdr:col>
      <xdr:colOff>771525</xdr:colOff>
      <xdr:row>42</xdr:row>
      <xdr:rowOff>161925</xdr:rowOff>
    </xdr:to>
    <xdr:graphicFrame macro="">
      <xdr:nvGraphicFramePr>
        <xdr:cNvPr id="160" name="Chart 3">
          <a:extLst>
            <a:ext uri="{FF2B5EF4-FFF2-40B4-BE49-F238E27FC236}">
              <a16:creationId xmlns:a16="http://schemas.microsoft.com/office/drawing/2014/main" id="{88D18108-50BF-F089-3B97-23CBD2DB187F}"/>
            </a:ext>
            <a:ext uri="{147F2762-F138-4A5C-976F-8EAC2B608ADB}">
              <a16:predDERef xmlns:a16="http://schemas.microsoft.com/office/drawing/2014/main" pred="{5AD56780-A1DF-6721-F6B0-1242D5529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19050</xdr:colOff>
      <xdr:row>29</xdr:row>
      <xdr:rowOff>19050</xdr:rowOff>
    </xdr:from>
    <xdr:to>
      <xdr:col>53</xdr:col>
      <xdr:colOff>695325</xdr:colOff>
      <xdr:row>42</xdr:row>
      <xdr:rowOff>161925</xdr:rowOff>
    </xdr:to>
    <xdr:graphicFrame macro="">
      <xdr:nvGraphicFramePr>
        <xdr:cNvPr id="152" name="Chart 4">
          <a:extLst>
            <a:ext uri="{FF2B5EF4-FFF2-40B4-BE49-F238E27FC236}">
              <a16:creationId xmlns:a16="http://schemas.microsoft.com/office/drawing/2014/main" id="{3A5A984D-8AB9-9259-0F24-A202C81E87FD}"/>
            </a:ext>
            <a:ext uri="{147F2762-F138-4A5C-976F-8EAC2B608ADB}">
              <a16:predDERef xmlns:a16="http://schemas.microsoft.com/office/drawing/2014/main" pred="{88D18108-50BF-F089-3B97-23CBD2DB1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28575</xdr:colOff>
      <xdr:row>2</xdr:row>
      <xdr:rowOff>9525</xdr:rowOff>
    </xdr:from>
    <xdr:to>
      <xdr:col>35</xdr:col>
      <xdr:colOff>762000</xdr:colOff>
      <xdr:row>13</xdr:row>
      <xdr:rowOff>161925</xdr:rowOff>
    </xdr:to>
    <xdr:graphicFrame macro="">
      <xdr:nvGraphicFramePr>
        <xdr:cNvPr id="178" name="Chart 5">
          <a:extLst>
            <a:ext uri="{FF2B5EF4-FFF2-40B4-BE49-F238E27FC236}">
              <a16:creationId xmlns:a16="http://schemas.microsoft.com/office/drawing/2014/main" id="{2DB391AF-63A4-1101-7A1F-506F8DE2F741}"/>
            </a:ext>
            <a:ext uri="{147F2762-F138-4A5C-976F-8EAC2B608ADB}">
              <a16:predDERef xmlns:a16="http://schemas.microsoft.com/office/drawing/2014/main" pred="{3A5A984D-8AB9-9259-0F24-A202C81E8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20109</xdr:colOff>
      <xdr:row>52</xdr:row>
      <xdr:rowOff>29634</xdr:rowOff>
    </xdr:from>
    <xdr:to>
      <xdr:col>17</xdr:col>
      <xdr:colOff>666750</xdr:colOff>
      <xdr:row>63</xdr:row>
      <xdr:rowOff>172509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E9D3F2C-DBC8-2FA5-61A0-B763EC5FE8A8}"/>
            </a:ext>
            <a:ext uri="{147F2762-F138-4A5C-976F-8EAC2B608ADB}">
              <a16:predDERef xmlns:a16="http://schemas.microsoft.com/office/drawing/2014/main" pred="{2DB391AF-63A4-1101-7A1F-506F8DE2F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28575</xdr:colOff>
      <xdr:row>52</xdr:row>
      <xdr:rowOff>47625</xdr:rowOff>
    </xdr:from>
    <xdr:to>
      <xdr:col>53</xdr:col>
      <xdr:colOff>666750</xdr:colOff>
      <xdr:row>63</xdr:row>
      <xdr:rowOff>152400</xdr:rowOff>
    </xdr:to>
    <xdr:graphicFrame macro="">
      <xdr:nvGraphicFramePr>
        <xdr:cNvPr id="177" name="Chart 4">
          <a:extLst>
            <a:ext uri="{FF2B5EF4-FFF2-40B4-BE49-F238E27FC236}">
              <a16:creationId xmlns:a16="http://schemas.microsoft.com/office/drawing/2014/main" id="{C0FE525C-8D36-44D7-87D8-80744B3527F7}"/>
            </a:ext>
            <a:ext uri="{147F2762-F138-4A5C-976F-8EAC2B608ADB}">
              <a16:predDERef xmlns:a16="http://schemas.microsoft.com/office/drawing/2014/main" pred="{0E9D3F2C-DBC8-2FA5-61A0-B763EC5FE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9525</xdr:colOff>
      <xdr:row>70</xdr:row>
      <xdr:rowOff>19050</xdr:rowOff>
    </xdr:from>
    <xdr:to>
      <xdr:col>53</xdr:col>
      <xdr:colOff>676275</xdr:colOff>
      <xdr:row>81</xdr:row>
      <xdr:rowOff>142875</xdr:rowOff>
    </xdr:to>
    <xdr:graphicFrame macro="">
      <xdr:nvGraphicFramePr>
        <xdr:cNvPr id="175" name="Chart 4">
          <a:extLst>
            <a:ext uri="{FF2B5EF4-FFF2-40B4-BE49-F238E27FC236}">
              <a16:creationId xmlns:a16="http://schemas.microsoft.com/office/drawing/2014/main" id="{2A306D3C-C807-4ED2-9943-619C532808CB}"/>
            </a:ext>
            <a:ext uri="{147F2762-F138-4A5C-976F-8EAC2B608ADB}">
              <a16:predDERef xmlns:a16="http://schemas.microsoft.com/office/drawing/2014/main" pred="{C0FE525C-8D36-44D7-87D8-80744B352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19050</xdr:colOff>
      <xdr:row>2</xdr:row>
      <xdr:rowOff>19050</xdr:rowOff>
    </xdr:from>
    <xdr:to>
      <xdr:col>53</xdr:col>
      <xdr:colOff>685800</xdr:colOff>
      <xdr:row>13</xdr:row>
      <xdr:rowOff>161925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B90B55A6-C3E4-4F43-9E89-55B695808A33}"/>
            </a:ext>
            <a:ext uri="{147F2762-F138-4A5C-976F-8EAC2B608ADB}">
              <a16:predDERef xmlns:a16="http://schemas.microsoft.com/office/drawing/2014/main" pred="{2A306D3C-C807-4ED2-9943-619C53280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19050</xdr:colOff>
      <xdr:row>52</xdr:row>
      <xdr:rowOff>9525</xdr:rowOff>
    </xdr:from>
    <xdr:to>
      <xdr:col>35</xdr:col>
      <xdr:colOff>762000</xdr:colOff>
      <xdr:row>63</xdr:row>
      <xdr:rowOff>152400</xdr:rowOff>
    </xdr:to>
    <xdr:graphicFrame macro="">
      <xdr:nvGraphicFramePr>
        <xdr:cNvPr id="166" name="Chart 6">
          <a:extLst>
            <a:ext uri="{FF2B5EF4-FFF2-40B4-BE49-F238E27FC236}">
              <a16:creationId xmlns:a16="http://schemas.microsoft.com/office/drawing/2014/main" id="{4AA8E0D6-251F-4C95-8D2A-75E60160CE28}"/>
            </a:ext>
            <a:ext uri="{147F2762-F138-4A5C-976F-8EAC2B608ADB}">
              <a16:predDERef xmlns:a16="http://schemas.microsoft.com/office/drawing/2014/main" pred="{B90B55A6-C3E4-4F43-9E89-55B695808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19050</xdr:colOff>
      <xdr:row>71</xdr:row>
      <xdr:rowOff>19050</xdr:rowOff>
    </xdr:from>
    <xdr:to>
      <xdr:col>17</xdr:col>
      <xdr:colOff>590550</xdr:colOff>
      <xdr:row>83</xdr:row>
      <xdr:rowOff>152400</xdr:rowOff>
    </xdr:to>
    <xdr:graphicFrame macro="">
      <xdr:nvGraphicFramePr>
        <xdr:cNvPr id="24" name="Chart 4">
          <a:extLst>
            <a:ext uri="{FF2B5EF4-FFF2-40B4-BE49-F238E27FC236}">
              <a16:creationId xmlns:a16="http://schemas.microsoft.com/office/drawing/2014/main" id="{4C21A1BF-3926-4AE7-8D1B-A8C0443F3F72}"/>
            </a:ext>
            <a:ext uri="{147F2762-F138-4A5C-976F-8EAC2B608ADB}">
              <a16:predDERef xmlns:a16="http://schemas.microsoft.com/office/drawing/2014/main" pred="{4AA8E0D6-251F-4C95-8D2A-75E60160C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icenvs.sharepoint.com/Power%20Group/IWT/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icenvs.sharepoint.com/E/SHARED/1999/BUDGET/NED/482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icenvs.sharepoint.com/E/SHARED/1999/BUDGET/NED/492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9th%20Floor%20Current%209-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Users/40953/Desktop/Yale%20MAM/3_Job/5_Interview%20Prep/3_General%20Behaviral%20and%20Technical%20Model/2_School%20and%20Professional%20Prep%20Material/Friends%20contribution/YALE%20DGX%20LB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Users/natalie.merrill/AppData/Local/Microsoft/Windows/Temporary%20Internet%20Files/Content.Outlook/1CQOPTQZ/REG%20Model%20V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Prior%20Years%20Work/2008%20ESOP%20Advisory/Camber%20Transaction/Financials/Camber%20Transaction%20Fins.2.xlsb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Users/natalie.merrill/AppData/Local/Microsoft/Windows/Temporary%20Internet%20Files/Content.Outlook/1CQOPTQZ/2014%20REG%20Budget%2020140129_withkc%20edit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P66/Financial%20model/Green%20Apple%20Model%2008021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Users/Owner/Documents/Anthony/PCA%20-%20Home/WPC/TI%20Model%20(11.22.1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icenvs.sharepoint.com/SCF-SVR/UFR_Share/Project%20Investors/MenloCapGroup/GAF/Heritage%20Exampl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Users/natalie.merrill/AppData/Local/Microsoft/Windows/Temporary%20Internet%20Files/Content.Outlook/1CQOPTQZ/REG%20Model%2020130528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REG%20Plant%20Projects/Geismar/Double%20Geismar/CONFIDENTIAL%20DRAFT%20REG%20Geismar%20Expansion%20Project%20Model%20021119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Prior%20Years%20Work/2007%20Updates%20including%2012-31-06/Camber/Update%20June%20'07/Financials/Camber%20Fins%200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Users/ngoc.nguyen/AppData/Local/Microsoft/Windows/Temporary%20Internet%20Files/Content.Outlook/KQX80D4F/Aburg%20Financial%20Model%201%2023%201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Documents%20and%20Settings/karina.crosignani/Local%20Settings/Temporary%20Internet%20Files/Content.Outlook/UQNZ63P6/REG_Model_08_02_1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C:/Users/Jacob/Box%20Sync/Deals/SolarPV/GAF%20I/5.%20Ongoing%20Business/2.%20Outbound%20materials/Form%20Documents/Generate%20Project%20Intake%20Form%20+%20Proforma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Projects/Optimus/2019%20Due%20Diligence/Financial%20Model/Optimus%20Financial%20Model%20122619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Analysis/Houston/Houston%20Model%2005061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icenvs.sharepoint.com/Opa-server/users/mhakim/My%20Documents/OPA/Allegro/Budgets&amp;Financials/Allegro%20Model/Allegro%20Model%2020070910_192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P66/Financial%20model/Supporting%20documents/Green%20Apple%20FEL-0%20Estimate%20Rev%20M%20(P66)%20w%20additions%206_21_18%20(002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Users/natalie.merrill/AppData/Local/Microsoft/Windows/Temporary%20Internet%20Files/Content.Outlook/1CQOPTQZ/2014%20REG%20Budget%2020131107%20(2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Users/ngoc.nguyen/AppData/Roaming/Microsoft/Excel/2016%20Budget%20Consolidated%20-%20DRAFT%20for%20CFIB%20(version%201).xlsb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sell.sharepoint.com/Users/jacob/Downloads/Custom_Model_12916.xlsb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ku%20HECO%20-%20buyout%207-7-08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stemicenvs.sharepoint.com/sites/Projects/Shared%20Documents/JV%20War%20Game/JV%20War%20Game%20Master.xlsx" TargetMode="External"/><Relationship Id="rId1" Type="http://schemas.openxmlformats.org/officeDocument/2006/relationships/externalLinkPath" Target="https://systemicenvs.sharepoint.com/sites/Projects/Shared%20Documents/JV%20War%20Game/War%20Game%20Scenarios/JV%20War%20Game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Temp"/>
      <sheetName val="Cases"/>
      <sheetName val="Projections"/>
      <sheetName val="Assumptions"/>
      <sheetName val="Puna"/>
      <sheetName val="DP3A 30 MW"/>
      <sheetName val="#REF"/>
      <sheetName val="Templ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BUDGET"/>
      <sheetName val="VARIANCE ANALYSIS"/>
      <sheetName val="1998 REFORECAST"/>
      <sheetName val="PSF"/>
      <sheetName val="4 YEAR NOI"/>
      <sheetName val="CAPITAL EXPENDITURES"/>
      <sheetName val="5 YEAR CAP EXP"/>
      <sheetName val="DEFERRED CAM AMORTIZATION_2000"/>
      <sheetName val="DEFERRED CAM AMORTIZATION"/>
      <sheetName val="DEFERRED EXPENSES"/>
      <sheetName val="MINIMUM &amp; OVERAGE RENT"/>
      <sheetName val="SPECIALTY LEASING INCOME"/>
      <sheetName val="CAM INCOME"/>
      <sheetName val="REAL ESTATE TAX INCOME"/>
      <sheetName val="UTILITY INCOME"/>
      <sheetName val="INTEREST-OTHER INCOME"/>
      <sheetName val="4001 PAYROLL"/>
      <sheetName val="4002 PAYROLL TAXES"/>
      <sheetName val="4004 BENEFITS"/>
      <sheetName val="4005 REIMBURSEMENTS"/>
      <sheetName val="4008 CLEANING SERVICES "/>
      <sheetName val="4010 - TRAVEL"/>
      <sheetName val="4012 CONTRACTED SERVICES"/>
      <sheetName val="4013 MATERIALS &amp; SUPPLIES"/>
      <sheetName val="4014 REPAIRS &amp; MAINTENANCE"/>
      <sheetName val="4015 EQUIPMENT RENTAL"/>
      <sheetName val="4016 - UTILITIES - ELECTRIC"/>
      <sheetName val="4017 - UTILITIES - GAS &amp; OIL"/>
      <sheetName val="4018 - UTILITIES- WATER &amp; SEWER"/>
      <sheetName val="4020 SUBSCRIPTIONS"/>
      <sheetName val="4021 - OFFICE EXPENSES"/>
      <sheetName val="4022 COPIER EXPENSE"/>
      <sheetName val="4023 TELEPHONE"/>
      <sheetName val="4024 GIFT &amp; HOLIDAY"/>
      <sheetName val="4025 PARKING LOT REPAIR"/>
      <sheetName val="4026 ROAD REPAIR"/>
      <sheetName val="4027 ROOF REPAIR"/>
      <sheetName val="4030 - SALES PROMOTION"/>
      <sheetName val="4031 SPECIALTY LEASING EXPENSE"/>
      <sheetName val="4034 - EDUCATION"/>
      <sheetName val="4035 OTHER"/>
      <sheetName val="4040 MANAGEMENT FEE"/>
      <sheetName val="4041 SNOW REMOVAL"/>
      <sheetName val="4043 PARKING LOT RENTAL"/>
      <sheetName val="4044 ACCOUNTING AND AUDITING"/>
      <sheetName val="4045 PROF SERVICES - LEGAL"/>
      <sheetName val="4046 PROF SERVICES - OTHER"/>
      <sheetName val="4047 INSURANCE"/>
      <sheetName val="4050 BAD DEBTS"/>
      <sheetName val="4070 CHARITABLE CONTRIBUTIONS"/>
      <sheetName val="4071 REAL ESTATE TAXES"/>
      <sheetName val="4072 INTEREST EXPENSE"/>
      <sheetName val="4073 DEPRECIATION"/>
      <sheetName val="4074 AMORTIZATION"/>
      <sheetName val="PROMO INTERCOMPANY"/>
      <sheetName val="SQUARE FOOTAGE"/>
      <sheetName val="PAYROLL"/>
      <sheetName val="BENEFITS"/>
      <sheetName val="UTILITIES"/>
      <sheetName val="AP ALLOC"/>
      <sheetName val="PROOF PAGE"/>
      <sheetName val="Interf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BUDGET"/>
      <sheetName val="1998 REFORECAST"/>
      <sheetName val="VARIANCE ANALYSIS"/>
      <sheetName val="PSF"/>
      <sheetName val="4 YEAR NOI"/>
      <sheetName val="CAPITAL EXPENDITURES"/>
      <sheetName val="CAM DEP'N_AMORTIZATION_2000"/>
      <sheetName val="CAM DEP'N_AMORTIZATION"/>
      <sheetName val="DEFERRED EXPENSES"/>
      <sheetName val="MINIMUM &amp; OVERAGE RENT"/>
      <sheetName val="SPECIALTY LEASING INCOME"/>
      <sheetName val="CAM INCOME"/>
      <sheetName val="REAL ESTATE TAX INCOME"/>
      <sheetName val="UTILITY INCOME"/>
      <sheetName val="INTEREST-OTHER INCOME"/>
      <sheetName val="4001 PAYROLL"/>
      <sheetName val="4002 PAYROLL TAXES"/>
      <sheetName val="4004 BENEFITS"/>
      <sheetName val="4005 REIMBURSEMENTS"/>
      <sheetName val="4008 CLEANING"/>
      <sheetName val="4010 TRAVEL"/>
      <sheetName val="4012 CONTRACTED SERVICES"/>
      <sheetName val="4013 MATERIALS &amp; SUPPLIES"/>
      <sheetName val="4014 REPAIRS &amp; MAINTENANCE"/>
      <sheetName val="4015 EQUIPMENT RENTAL"/>
      <sheetName val="4016 UTILITIES - ELECTRIC"/>
      <sheetName val="4017 UTILITIES - GAS &amp; OIL"/>
      <sheetName val="4018 UTILITIES- WATER &amp; SEWER"/>
      <sheetName val="4019 DUES"/>
      <sheetName val="4020 SUBSCRIPTIONS"/>
      <sheetName val="4021 OFFICE EXPENSES"/>
      <sheetName val="4022 COPIER EXPENSE"/>
      <sheetName val="4023 TELEPHONE"/>
      <sheetName val="4024 GIFT &amp; HOLIDAY"/>
      <sheetName val="4025 PARKING LOT REPAIR"/>
      <sheetName val="4026 ROAD REPAIR"/>
      <sheetName val="4027 ROOF REPAIR"/>
      <sheetName val="4030 SALES PROMOTION"/>
      <sheetName val="4031 SPECIALTY LEASING EXPENSE"/>
      <sheetName val="4034 EDUCATION"/>
      <sheetName val="4040 MANAGEMENT FEE"/>
      <sheetName val="4041 SNOW REMOVAL"/>
      <sheetName val="4042 MANAGEMENT FEE"/>
      <sheetName val="4043 PARKING LOT RENTAL"/>
      <sheetName val="4044 ACCOUNTING AND AUDITING"/>
      <sheetName val="4045 PROF SERVICES - LEGAL"/>
      <sheetName val="4046 PROF SERVICES - OTHER"/>
      <sheetName val="4047 INSURANCE"/>
      <sheetName val="4049 MARKETING CONTRIBUTIONS"/>
      <sheetName val="4050 BAD DEBTS"/>
      <sheetName val="4070 CHARITABLE CONTRIBUTIONS"/>
      <sheetName val="4071 REAL ESTATE TAXES"/>
      <sheetName val="4072 INTEREST EXPENSE"/>
      <sheetName val="4073 DEPRECIATION"/>
      <sheetName val="4074 AMORTIZATION"/>
      <sheetName val="PROMO INTERCOMPANY"/>
      <sheetName val="SQUARE FOOTAGE"/>
      <sheetName val="PAYROLL"/>
      <sheetName val="BENEFITS"/>
      <sheetName val="UTILITIES"/>
      <sheetName val="AP ALLOC"/>
      <sheetName val="PROOF PAGE"/>
      <sheetName val="Interf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 9-02"/>
      <sheetName val="9th Floor Current 9-02"/>
      <sheetName val="Assumptions"/>
      <sheetName val="Amort Schedule"/>
      <sheetName val="Input"/>
      <sheetName val="Model"/>
      <sheetName val="Database - Tenant"/>
      <sheetName val="Input (Real Estate)"/>
      <sheetName val="Cash Flow Proforma"/>
      <sheetName val="#REF"/>
      <sheetName val="Pivots"/>
      <sheetName val="Help"/>
      <sheetName val="RR Import"/>
      <sheetName val="Controls"/>
      <sheetName val="Sheet2"/>
      <sheetName val="Summary"/>
      <sheetName val="Compare"/>
      <sheetName val="FORMULAS - Hide Tab!"/>
      <sheetName val="1"/>
      <sheetName val="Scrap"/>
      <sheetName val="Reference"/>
      <sheetName val="Current 9_02"/>
      <sheetName val="Budget"/>
      <sheetName val="Home Sales"/>
      <sheetName val="Project Inputs"/>
      <sheetName val="Support (Don't Delete)"/>
      <sheetName val="Funds Applicable"/>
      <sheetName val="Husq."/>
      <sheetName val="Comp"/>
      <sheetName val="GSChartLabels"/>
      <sheetName val="Forward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rol"/>
      <sheetName val="Model"/>
      <sheetName val="LBO"/>
      <sheetName val="IPO"/>
      <sheetName val="Hist. P&amp;L"/>
      <sheetName val="Hist. Rev"/>
      <sheetName val="Cap Structure"/>
      <sheetName val="_CIQHiddenCacheSheet"/>
      <sheetName val="DCF"/>
      <sheetName val="WACC"/>
      <sheetName val="Comps"/>
      <sheetName val="Fwd EBITDA"/>
      <sheetName val="Trading Comps"/>
      <sheetName val="Precedent Txn"/>
      <sheetName val="Reference"/>
      <sheetName val="Financing Notes"/>
      <sheetName val="CIQ Source"/>
      <sheetName val="IS Ann."/>
      <sheetName val="IS Qrtly"/>
      <sheetName val="BS"/>
      <sheetName val="CF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 To PRINT"/>
      <sheetName val="Scenario Analysis"/>
      <sheetName val="Upgrades"/>
      <sheetName val="Brad's data"/>
      <sheetName val="Assumptions"/>
      <sheetName val="Sales and Feedstock contracts"/>
      <sheetName val="Balance Sheet"/>
      <sheetName val="Income Statement"/>
      <sheetName val="Statement of Cash Flows"/>
      <sheetName val="Gallons and Plants summary"/>
      <sheetName val="Operating Costs"/>
      <sheetName val="Biodiesel Resale, Import &amp; Toll"/>
      <sheetName val="Corporate G&amp;A"/>
      <sheetName val="Upfront Costs"/>
      <sheetName val="Financing"/>
      <sheetName val="Construction &amp; Fee For Service"/>
      <sheetName val="REG Ralston"/>
      <sheetName val="REG Newton"/>
      <sheetName val="REG Danville"/>
      <sheetName val="REG Houston"/>
      <sheetName val="REG Seneca"/>
      <sheetName val="REG Albert Lea"/>
      <sheetName val="REG New Orleans"/>
      <sheetName val="REG Emporia"/>
      <sheetName val="REG Clovis"/>
      <sheetName val="REG New Boston"/>
      <sheetName val="REG Atlanta"/>
      <sheetName val="Project High"/>
      <sheetName val="Project Morgan"/>
      <sheetName val="Plant Q4"/>
      <sheetName val="Plant D"/>
      <sheetName val="Glycerin Plant 1"/>
      <sheetName val="Glycerin Plant 2"/>
      <sheetName val="Graphs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Error Check"/>
      <sheetName val="Exhibit - A"/>
      <sheetName val="BS-HIST"/>
      <sheetName val="IS-HIST"/>
      <sheetName val="IS-COMMON"/>
      <sheetName val="RATIO"/>
      <sheetName val="Exhibit - B"/>
      <sheetName val="BS-ASSMP"/>
      <sheetName val="IS-ASSMP"/>
      <sheetName val="DEPREC"/>
      <sheetName val="RECAST"/>
      <sheetName val="BS-PROJ"/>
      <sheetName val="Prez Exhibits"/>
      <sheetName val="IS-PROJ"/>
      <sheetName val="ISPJ-COMMON"/>
      <sheetName val="DEBT"/>
      <sheetName val="CF"/>
      <sheetName val="VALUE"/>
      <sheetName val="Multiple Page"/>
      <sheetName val="Tax Savings"/>
      <sheetName val="Per Share Analysis - No Escrow"/>
      <sheetName val="Per Share Analysis - w Escrow"/>
      <sheetName val="Value Trajectory"/>
      <sheetName val="Traj Graph"/>
      <sheetName val="Sheet2"/>
      <sheetName val="Sources and Uses"/>
      <sheetName val="Change Table"/>
      <sheetName val="Exhibit - E"/>
      <sheetName val="Black-Scholes"/>
      <sheetName val="B-S Transaction"/>
      <sheetName val="Exhibit - F"/>
      <sheetName val="D. RATE"/>
      <sheetName val="Exhibit - C"/>
      <sheetName val="MKT-Stock Analysis"/>
      <sheetName val="CF-CALC"/>
      <sheetName val="MKT-Equity Multiples"/>
      <sheetName val="MKT-EV Multiples"/>
      <sheetName val="MKT-Value Page"/>
      <sheetName val="MKT-Margin Analysis"/>
      <sheetName val="MKT-Growth Analysis"/>
      <sheetName val="MKT-Return Analysis"/>
      <sheetName val="MKT-WC Analysis"/>
      <sheetName val="MKT-Fixed Asset Analysis"/>
      <sheetName val="MKT-Ranking (1)"/>
      <sheetName val="MKT-Ranking (2)"/>
      <sheetName val="M&amp;A Method"/>
      <sheetName val="M&amp;A Value"/>
      <sheetName val="Exhibit - D"/>
      <sheetName val="Premium Analysis"/>
      <sheetName val="NPV T.SHIELD"/>
      <sheetName val="Report Tables &amp; Graphs"/>
      <sheetName val="Report Tables &amp; Graphs #2"/>
      <sheetName val="Ownership &amp; Cust. Graphs"/>
      <sheetName val="Report Tables &amp; Graph #3"/>
      <sheetName val="Report Graphs"/>
      <sheetName val="Exhibit - G"/>
      <sheetName val="FEAS-ASSUMP"/>
      <sheetName val="FEAS-DEBT"/>
      <sheetName val="FEAS-DEBT #2"/>
      <sheetName val="FEAS-DEBT #3"/>
      <sheetName val="FEAS-CF"/>
      <sheetName val="FEAS-CF#2"/>
      <sheetName val="FEAS-CF#3"/>
      <sheetName val="FEAS_BANK"/>
      <sheetName val="FEAS_BANK#2"/>
      <sheetName val="FEAS_BANK#3"/>
      <sheetName val="FEAS-TRUST"/>
      <sheetName val="FEAS_TRUST #2"/>
      <sheetName val="FEAS_TRUST #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Summary"/>
      <sheetName val="COMBINED MTHLY Roll up"/>
      <sheetName val="Bridge Chart Data"/>
      <sheetName val="Balance Sheet"/>
      <sheetName val="Eliminations"/>
      <sheetName val="Assumptions"/>
      <sheetName val="Pilot"/>
      <sheetName val="Deferred Sales"/>
      <sheetName val="Produce&amp;Store"/>
      <sheetName val="Taxes"/>
      <sheetName val="New Personnel"/>
      <sheetName val="Payroll 11-21"/>
      <sheetName val="Insurance Worksheet"/>
      <sheetName val="Capital expense"/>
      <sheetName val="Albert Lea"/>
      <sheetName val="Atlanta"/>
      <sheetName val="Clovis"/>
      <sheetName val="Danville Toll"/>
      <sheetName val="M&amp;L-Danville"/>
      <sheetName val="Houston"/>
      <sheetName val="Mason City Toll"/>
      <sheetName val="M&amp;L-Mason City"/>
      <sheetName val="New Boston"/>
      <sheetName val="Newton Toll"/>
      <sheetName val="M&amp;L-Newton"/>
      <sheetName val="Okeechobee"/>
      <sheetName val="Ralston"/>
      <sheetName val="Seneca"/>
      <sheetName val="Project Morgan"/>
      <sheetName val="IRE (toll)"/>
      <sheetName val="300 M&amp;L Combined"/>
      <sheetName val="M&amp;L"/>
      <sheetName val="300.170 Acct"/>
      <sheetName val="300.310 In Sales"/>
      <sheetName val="300.320 Out Sales"/>
      <sheetName val="300.330 Transport"/>
      <sheetName val="300.340 Supply Chain"/>
      <sheetName val="300.350 Mktg"/>
      <sheetName val="200 Services"/>
      <sheetName val="200.110 REG Pres"/>
      <sheetName val="200.135 Ops Ctrl"/>
      <sheetName val="200.140 HR"/>
      <sheetName val="200.150 Comm"/>
      <sheetName val="200.155 Corp Strategy"/>
      <sheetName val="200.160 CFIB"/>
      <sheetName val="200.165 Treas"/>
      <sheetName val="200.170 Acct"/>
      <sheetName val="200.175 Tax"/>
      <sheetName val="200.190 IT"/>
      <sheetName val="200.195 Facilities"/>
      <sheetName val="200.210 Risk Mgmt"/>
      <sheetName val="200.230 Quality"/>
      <sheetName val="200.240 EH&amp;S"/>
      <sheetName val="200.250 Bus Dev"/>
      <sheetName val="200.420 Mfg Ops"/>
      <sheetName val="120 Life Sciences"/>
      <sheetName val="Life Sciences - San Francisco"/>
      <sheetName val="500 Construction"/>
      <sheetName val="400 Ventures"/>
      <sheetName val="405 Ventures Services"/>
      <sheetName val="410 Real Estate"/>
      <sheetName val="709 Processing"/>
      <sheetName val="250 REG Energy Services"/>
      <sheetName val="100 BioFuels"/>
      <sheetName val="050 REG Corp"/>
      <sheetName val="Plant Summary &amp; Corp EBITDA"/>
      <sheetName val="Analytics"/>
      <sheetName val="REG Ames"/>
      <sheetName val="High Case Summary (Commentary)"/>
      <sheetName val="IPO Case Summary (Commentary)"/>
      <sheetName val="NO IPO Case Summary Commentary"/>
      <sheetName val="Version control"/>
      <sheetName val="Assumptions Summary"/>
      <sheetName val="Manufacturing Summary"/>
      <sheetName val="2013 Consolidated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nado Chart"/>
      <sheetName val="Summary"/>
      <sheetName val="Sum IS &amp; Metrics"/>
      <sheetName val="Annual P&amp;L"/>
      <sheetName val="Daily EBITDA"/>
      <sheetName val="Historic P&amp;L"/>
      <sheetName val="Scenario Inputs"/>
      <sheetName val="Naphtha Transportation"/>
      <sheetName val="Inputs"/>
      <sheetName val="LCFS Sensitivity"/>
      <sheetName val="IS"/>
      <sheetName val="BS"/>
      <sheetName val="CF"/>
      <sheetName val="Capex"/>
      <sheetName val="WC"/>
      <sheetName val="Debt"/>
      <sheetName val="Financial Covenants"/>
      <sheetName val="CAPEX by Area"/>
      <sheetName val="RP"/>
      <sheetName val="CAPEX by Month"/>
      <sheetName val="Property Tax"/>
      <sheetName val="Blended Fuel Margin Build Up"/>
      <sheetName val="RP &amp; RN LCFS"/>
      <sheetName val="Soy BD Breakeven"/>
      <sheetName val="FS Par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-BS"/>
      <sheetName val="Hist-IS"/>
      <sheetName val="Ratios"/>
      <sheetName val="WC"/>
      <sheetName val="Adjusts"/>
      <sheetName val="Comparison"/>
      <sheetName val="Proj-IS"/>
      <sheetName val="Cvt. Pfd."/>
      <sheetName val="ESOP-TS"/>
      <sheetName val="Debt"/>
      <sheetName val="WACC"/>
      <sheetName val="DCF"/>
      <sheetName val="Value"/>
      <sheetName val="Mkt"/>
      <sheetName val="M&amp;A"/>
      <sheetName val="LBO-Input"/>
      <sheetName val="LBO Model"/>
      <sheetName val="Operating Model"/>
      <sheetName val="LBO-Debt"/>
      <sheetName val="D&amp;A Schedules"/>
      <sheetName val="Proj. SP"/>
      <sheetName val="Ownersh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eritage Example"/>
      <sheetName val="Heritage%20Example.xlsx"/>
      <sheetName val="Heritage Example.xlsx"/>
    </sheetNames>
    <definedNames>
      <definedName name="Data.Top.Left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 To PRINT"/>
      <sheetName val="Scenario"/>
      <sheetName val="Brad's data"/>
      <sheetName val="Assumptions"/>
      <sheetName val="Sales and Feedstock contracts"/>
      <sheetName val="Balance Sheet"/>
      <sheetName val="Income Statement"/>
      <sheetName val="Statement of Cash Flows"/>
      <sheetName val="Gallons and Plants summary"/>
      <sheetName val="Biodiesel Resale, Import &amp; Toll"/>
      <sheetName val="Corporate G&amp;A"/>
      <sheetName val="Operating Costs"/>
      <sheetName val="Upfront Costs"/>
      <sheetName val="Financing"/>
      <sheetName val="Construction &amp; Fee For Service"/>
      <sheetName val="REG Ralston"/>
      <sheetName val="REG Newton"/>
      <sheetName val="REG Danville"/>
      <sheetName val="REG Houston"/>
      <sheetName val="REG Seneca"/>
      <sheetName val="REG Albert Lea"/>
      <sheetName val="REG New Orleans"/>
      <sheetName val="REG Emporia"/>
      <sheetName val="REG Clovis"/>
      <sheetName val="REG Atlanta"/>
      <sheetName val="REG New Boston"/>
      <sheetName val="Project High"/>
      <sheetName val="IRE (toll)"/>
      <sheetName val="Plant Q3"/>
      <sheetName val="Plant Q4"/>
      <sheetName val="Plant D"/>
      <sheetName val="Glycerin Plant 1"/>
      <sheetName val="Glycerin Plant 2"/>
      <sheetName val="Graph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Covenants"/>
      <sheetName val="EBITDA Analysis"/>
      <sheetName val="Results Summary"/>
      <sheetName val="Results Summary - Old"/>
      <sheetName val="Inputs"/>
      <sheetName val="Inputs - Old"/>
      <sheetName val="IS"/>
      <sheetName val="BS"/>
      <sheetName val="Budget"/>
      <sheetName val="CF"/>
      <sheetName val="Capex"/>
      <sheetName val="WC"/>
      <sheetName val="Debt"/>
      <sheetName val="Debt - SMBC"/>
      <sheetName val="BS-Hist"/>
      <sheetName val="IS-Hist"/>
      <sheetName val="IS-Pro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S-HIST"/>
      <sheetName val="IS-HIST"/>
      <sheetName val="RATIO"/>
      <sheetName val="BS-ASSMP"/>
      <sheetName val="IS-ASSMP"/>
      <sheetName val="IS-PROJ"/>
      <sheetName val="BS-PROJ"/>
      <sheetName val="DEBT"/>
      <sheetName val="recast"/>
      <sheetName val="CF"/>
      <sheetName val="VALUE"/>
      <sheetName val="Trans_Val-Sum"/>
      <sheetName val="Black Scholes"/>
      <sheetName val="Val_Sum w-Option"/>
      <sheetName val="DIS_RATE"/>
      <sheetName val="Discount Rate"/>
      <sheetName val="Premium Analysis"/>
      <sheetName val="Sheet2"/>
      <sheetName val="Stock-Price"/>
      <sheetName val="MKT_INPUT_IS"/>
      <sheetName val="MKT_MULT"/>
      <sheetName val="MKT_VAL"/>
      <sheetName val="MKT_COMP1"/>
      <sheetName val="MKT_COMP2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IS &amp; Metrics"/>
      <sheetName val="Balance Sheet"/>
      <sheetName val="Income Statement"/>
      <sheetName val="Cash Flow"/>
      <sheetName val="Inputs"/>
      <sheetName val="Capital Expenditures"/>
      <sheetName val="Debt"/>
      <sheetName val="Sheet1"/>
      <sheetName val="Offer"/>
      <sheetName val="DCF"/>
      <sheetName val="Multiples"/>
      <sheetName val="Accretion"/>
      <sheetName val="Petrotec 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 To PRINT"/>
      <sheetName val="Assumptions"/>
      <sheetName val="Upgrades"/>
      <sheetName val="Balance Sheet"/>
      <sheetName val="Income Statement"/>
      <sheetName val="Statement of Cash Flows"/>
      <sheetName val="Gallons and Plants summary"/>
      <sheetName val="Model Overview"/>
      <sheetName val="Corporate G&amp;A"/>
      <sheetName val="Operating Costs"/>
      <sheetName val="Upfront Costs"/>
      <sheetName val="Financing"/>
      <sheetName val="Construction &amp; Fee For Service"/>
      <sheetName val="Biodiesel Resale and Import"/>
      <sheetName val="REG Ralston"/>
      <sheetName val="REG Newton"/>
      <sheetName val="REG Houston"/>
      <sheetName val="REG Danville"/>
      <sheetName val="REG Seneca"/>
      <sheetName val="REG New Orleans"/>
      <sheetName val="REG Emporia"/>
      <sheetName val="WIE "/>
      <sheetName val="WDB (Farley)"/>
      <sheetName val="IRE"/>
      <sheetName val="EFB (Algona)"/>
      <sheetName val="Plant A"/>
      <sheetName val="Plant B"/>
      <sheetName val="Glycerin Plant 1"/>
      <sheetName val="Glycerin Plan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ssumptions"/>
      <sheetName val="Template"/>
      <sheetName val="Support (Don't Delete)"/>
    </sheetNames>
    <sheetDataSet>
      <sheetData sheetId="0"/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REG Ownership) Dashboard"/>
      <sheetName val="(Optimus) Dashboard"/>
      <sheetName val="(REG Equity) Dashboard"/>
      <sheetName val="Sum IS &amp; Metrics"/>
      <sheetName val="Market Analysis"/>
      <sheetName val="Synergies"/>
      <sheetName val="Addressable Margin"/>
      <sheetName val="Optimus Inputs &amp; Scenarios"/>
      <sheetName val="Post Money Cap"/>
      <sheetName val="(REG Ownership) BS"/>
      <sheetName val="(REG Ownership) IS"/>
      <sheetName val="(REG Ownership) CF"/>
      <sheetName val="(REG Ownership) Assumptions"/>
      <sheetName val="(REG Ownership) Calculation"/>
      <sheetName val="(REG Ownership) Capex"/>
      <sheetName val="(REG Ownership) Debt"/>
      <sheetName val="(REG Ownership) BS-Hist"/>
      <sheetName val="(REG Ownership) IS-Hist"/>
      <sheetName val="(REG Ownership) IS-Proj"/>
      <sheetName val="(REG Ownership) Recast"/>
      <sheetName val="(REG Ownership) WC"/>
      <sheetName val="(REG Equity) BS"/>
      <sheetName val="(REG Equity) IS"/>
      <sheetName val="(REG Equity) CF"/>
      <sheetName val="(REG Equity) Assumptions"/>
      <sheetName val="(REG Equity) Calculation"/>
      <sheetName val="(REG Equity) Capex"/>
      <sheetName val="(REG Equity) Debt"/>
      <sheetName val="Exhibits"/>
      <sheetName val="(REG Equity) BS-Hist"/>
      <sheetName val="(REG Equity) IS-Hist"/>
      <sheetName val="(REG Equity) IS-Proj"/>
      <sheetName val="(REG Equity) Recast"/>
      <sheetName val="(REG Equity) WC"/>
      <sheetName val="(Optimus) BS"/>
      <sheetName val="(Optimus) IS"/>
      <sheetName val="(Optimus) CF"/>
      <sheetName val="(Optimus) Assumptions"/>
      <sheetName val="(Optimus) Calculation"/>
      <sheetName val="(Optimus) Capex"/>
      <sheetName val="(Optimus) Debt"/>
      <sheetName val="(Optimus) BS-Hist"/>
      <sheetName val="(Optimus) IS-Hist"/>
      <sheetName val="(Optimus) IS-Proj"/>
      <sheetName val="(Optimus) Recast"/>
      <sheetName val="(Optimus) W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Operating costs"/>
      <sheetName val="Depreciation"/>
      <sheetName val="Income Statement Base Case"/>
      <sheetName val="Income Statement Upgrade Distil"/>
      <sheetName val="Income Statement Upgrade Est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Recon B"/>
      <sheetName val="Reconciliation"/>
      <sheetName val="Summary"/>
      <sheetName val="Cons-IS"/>
      <sheetName val="Cons-BS"/>
      <sheetName val="Cons-CF"/>
      <sheetName val="Tug-IS"/>
      <sheetName val="Tug-BS"/>
      <sheetName val="Tug-CF"/>
      <sheetName val="Tug-Dep"/>
      <sheetName val="Port-IS"/>
      <sheetName val="Port-BS"/>
      <sheetName val="Port-CF"/>
      <sheetName val="Pollock-IS"/>
      <sheetName val="Pollock-BS"/>
      <sheetName val="Pollock-CF"/>
      <sheetName val="Corp-IS"/>
      <sheetName val="Corp-BS"/>
      <sheetName val="Corp-CF"/>
      <sheetName val="Allegro-IS"/>
      <sheetName val="Allegro-BS"/>
      <sheetName val="Allegro-CF"/>
      <sheetName val="xxxxx"/>
      <sheetName val="Switch"/>
      <sheetName val="Delta"/>
      <sheetName val="Tug II-IS"/>
      <sheetName val="Tug II-BS"/>
      <sheetName val="Tug II-CF"/>
      <sheetName val="Crush-IS"/>
      <sheetName val="Crush-BS"/>
      <sheetName val="Crush-CF"/>
      <sheetName val="xx"/>
      <sheetName val="Draft A Sum"/>
      <sheetName val="Corp BS"/>
      <sheetName val="Corp PL"/>
      <sheetName val="Pol BS"/>
      <sheetName val="Pol IS"/>
      <sheetName val="Pol IS Det"/>
      <sheetName val="Mkt Rev"/>
      <sheetName val="Prod Econ"/>
      <sheetName val="Crush BS Detail"/>
      <sheetName val="xxx"/>
      <sheetName val="Sales"/>
      <sheetName val="April"/>
      <sheetName val="COGS"/>
      <sheetName val="Invty"/>
      <sheetName val="LCM"/>
      <sheetName val="CAPX"/>
      <sheetName val="Audit"/>
      <sheetName val="CGS Purcha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Name (2)"/>
      <sheetName val="Sheet Name (3)"/>
      <sheetName val="Green Apple CAPEX (by Area)"/>
      <sheetName val="Midstream OSBL"/>
      <sheetName val="Midstream ISBL Tanks"/>
      <sheetName val="Refinery Tie-ins"/>
      <sheetName val="Sheet4"/>
      <sheetName val="Green Apple CAPEX (by SubArea)"/>
      <sheetName val="Green Apple Equipment Factor"/>
      <sheetName val="Green Apple Scope Definition"/>
      <sheetName val="Green Apple Estimate Data"/>
      <sheetName val="Green Apple ISBL (Geismar Base)"/>
      <sheetName val="REG Geismar Filtration Cost"/>
      <sheetName val="Naphtha Splitter Add"/>
      <sheetName val="Natural Gas Compressor"/>
      <sheetName val="Site Areas"/>
      <sheetName val="Buildings"/>
      <sheetName val="Cost Escalation"/>
      <sheetName val="Location Adjustment"/>
      <sheetName val="Site Unit Prices"/>
      <sheetName val="Utilities - Water "/>
      <sheetName val="Geismar Original Plant Cost"/>
      <sheetName val="Sales Tax"/>
      <sheetName val="Look Up Lists"/>
      <sheetName val="Sheet name (4)"/>
      <sheetName val="Sheet name (5)"/>
      <sheetName val="Green Apple FEL-0 Estimate Rev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ITDA Calculation"/>
      <sheetName val="COMBINED MTHLY Roll up"/>
      <sheetName val="Balance Sheet"/>
      <sheetName val="Eliminations"/>
      <sheetName val="Assumptions"/>
      <sheetName val="Taxes"/>
      <sheetName val="New Personnel"/>
      <sheetName val="Payroll 10-17"/>
      <sheetName val="Insurance Worksheet"/>
      <sheetName val="Capital expense"/>
      <sheetName val="Albert Lea"/>
      <sheetName val="Atlanta"/>
      <sheetName val="Clovis"/>
      <sheetName val="Danville Toll"/>
      <sheetName val="M&amp;L-Danville"/>
      <sheetName val="Houston"/>
      <sheetName val="Mason City Toll"/>
      <sheetName val="M&amp;L-Mason City"/>
      <sheetName val="New Boston"/>
      <sheetName val="Newton Toll"/>
      <sheetName val="M&amp;L-Newton"/>
      <sheetName val="Ralston"/>
      <sheetName val="Seneca"/>
      <sheetName val="Project Morgan"/>
      <sheetName val="IRE (toll)"/>
      <sheetName val="300 M&amp;L Combined"/>
      <sheetName val="M&amp;L"/>
      <sheetName val="300.170 Acct"/>
      <sheetName val="300.310 In Sales"/>
      <sheetName val="300.320 Out Sales"/>
      <sheetName val="300.330 Transport"/>
      <sheetName val="300.340 Supply Chain"/>
      <sheetName val="300.350 Mktg"/>
      <sheetName val="200 Services"/>
      <sheetName val="200.110 REG Pres"/>
      <sheetName val="200.135 Ops Ctrl"/>
      <sheetName val="200.140 HR"/>
      <sheetName val="200.150 Comm"/>
      <sheetName val="200.155 Corp Strategy"/>
      <sheetName val="200.160 CFIB"/>
      <sheetName val="200.165 Treas"/>
      <sheetName val="200.170 Acct"/>
      <sheetName val="200.175 Tax"/>
      <sheetName val="200.190 IT"/>
      <sheetName val="200.195 Facilities"/>
      <sheetName val="200.210 Risk Mgmt"/>
      <sheetName val="200.230 Quality"/>
      <sheetName val="200.240 EH&amp;S"/>
      <sheetName val="200.250 Bus Dev"/>
      <sheetName val="200.420 Mfg Ops"/>
      <sheetName val="500 Construction"/>
      <sheetName val="400 Ventures"/>
      <sheetName val="405 Ventures Services"/>
      <sheetName val="410 Real Estate"/>
      <sheetName val="709 Processing"/>
      <sheetName val="250 REG Energy Services"/>
      <sheetName val="100 BioFuels"/>
      <sheetName val="050 REG Corp"/>
      <sheetName val="Plant Summary &amp; Corp EBITDA"/>
      <sheetName val="Analytics"/>
      <sheetName val="Ops Control"/>
      <sheetName val="REG Ames"/>
      <sheetName val="High Case Summary (Commentary)"/>
      <sheetName val="IPO Case Summary (Commentary)"/>
      <sheetName val="NO IPO Case Summary Commentary"/>
      <sheetName val="Per units"/>
      <sheetName val="Cashfow Statment"/>
      <sheetName val="Chgs frm first sub to board"/>
      <sheetName val="Roll up and tab definitions"/>
      <sheetName val="11 Bud Consolidated Monthly"/>
      <sheetName val="11 Bud Plant Sum &amp; Corp EBITDA"/>
      <sheetName val="SGA Cop to 2011 YTD"/>
      <sheetName val="Version control"/>
      <sheetName val="Assumptions Summary"/>
      <sheetName val="Sheet1"/>
      <sheetName val="Corp 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come Statement - GAAP"/>
      <sheetName val="Board Presentation"/>
      <sheetName val="Scenario Summary"/>
      <sheetName val="Consolidated Budget"/>
      <sheetName val="Current Month Forecast Summary"/>
      <sheetName val="Final Consol Budget 2016"/>
      <sheetName val="Quarterly Forecast Summary"/>
      <sheetName val="Technical"/>
      <sheetName val="Pricing"/>
      <sheetName val="Feedstock Price"/>
      <sheetName val="Production and Sales"/>
      <sheetName val="FG Inventory"/>
      <sheetName val="NBB dues"/>
      <sheetName val="Feedstock Usage"/>
      <sheetName val="Co-Products"/>
      <sheetName val="Capital Requests"/>
      <sheetName val="CapEx and Depreciation"/>
      <sheetName val="Insurance"/>
      <sheetName val="Deferred Sales"/>
      <sheetName val="Wt Avg Sales Prices"/>
      <sheetName val="Sales Accruals"/>
      <sheetName val="Open Sales"/>
      <sheetName val="Open Sales 2"/>
      <sheetName val="Feedstock Expanded"/>
      <sheetName val="Feedstock Ctrct 10-5"/>
      <sheetName val="RIN sales"/>
      <sheetName val="K2 COGS"/>
      <sheetName val="K1 RIN position"/>
      <sheetName val="RIN conversion"/>
      <sheetName val="K2 Contracts"/>
      <sheetName val="RIN Position 9-30"/>
      <sheetName val="Biofuels Consol"/>
      <sheetName val="100 Biofuels"/>
      <sheetName val="701"/>
      <sheetName val="703"/>
      <sheetName val="706 (toll)"/>
      <sheetName val="706.300"/>
      <sheetName val="707"/>
      <sheetName val="710"/>
      <sheetName val="711 (toll)"/>
      <sheetName val="711.300"/>
      <sheetName val="712"/>
      <sheetName val="713"/>
      <sheetName val="714"/>
      <sheetName val="715"/>
      <sheetName val="716 (toll)"/>
      <sheetName val="716.300"/>
      <sheetName val="717 (toll)"/>
      <sheetName val="717.300"/>
      <sheetName val="Golf"/>
      <sheetName val="750"/>
      <sheetName val="810"/>
      <sheetName val="300804"/>
      <sheetName val="050 REG Corp"/>
      <sheetName val="105 Canada Holding"/>
      <sheetName val="Life Sciences - Combined"/>
      <sheetName val="120 Life Sciences"/>
      <sheetName val="130 REG Feedstock"/>
      <sheetName val="140 REG Chemicals"/>
      <sheetName val="Synthetic Fuels - Combined"/>
      <sheetName val="150 Synthetic Fuels"/>
      <sheetName val="150130 Gen Admin"/>
      <sheetName val="150180 R&amp;D"/>
      <sheetName val="M&amp;L-Serv"/>
      <sheetName val="200 Services"/>
      <sheetName val="250 Energy Services"/>
      <sheetName val="300 M&amp;L"/>
      <sheetName val="400 Ventures"/>
      <sheetName val="401 Imperium Terminal Svcs"/>
      <sheetName val="405 Ventures Services"/>
      <sheetName val="410 Real Estate"/>
      <sheetName val="416 REG Ames"/>
      <sheetName val="416215 Alexander"/>
      <sheetName val="416416 Bell"/>
      <sheetName val="450 Capital"/>
      <sheetName val="500 Construction"/>
      <sheetName val="817 Aquisition Holdco"/>
      <sheetName val="International Holdings - Combnd"/>
      <sheetName val="901 Overseas Holdings"/>
      <sheetName val="910 European Holdings"/>
      <sheetName val="Petrotec"/>
      <sheetName val="195 Syn-Geismar Consolidation"/>
      <sheetName val="196 M&amp;L-Serv Consolidation"/>
      <sheetName val="198 Corp Consolidation"/>
      <sheetName val="199 Biofuels Consolidation"/>
      <sheetName val="Analytics"/>
      <sheetName val="Summary by Company-Q1"/>
      <sheetName val="Summary by Company-Q2"/>
      <sheetName val="Summary by Company-Q3"/>
      <sheetName val="Summary by Company-Q4"/>
      <sheetName val="Summary by Company- Full year"/>
      <sheetName val="Plant Summary-Q1"/>
      <sheetName val="Plant Summary-Q2"/>
      <sheetName val="Plant Summary-Q3"/>
      <sheetName val="Plant Summary-Q4"/>
      <sheetName val="Plant Summary-Full yea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1"/>
      <sheetName val="Change Log"/>
      <sheetName val="Support (Don't Delete)"/>
      <sheetName val="Solver Supporting Tab"/>
      <sheetName val="Custom_Model_12916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Sheet Merge"/>
      <sheetName val="1 Index"/>
      <sheetName val="2 Input"/>
      <sheetName val="3 S &amp; U MT"/>
      <sheetName val="4 NOI MT"/>
      <sheetName val="5 TI MT"/>
      <sheetName val="6A MT Fed LP Rtn"/>
      <sheetName val="6D GP Rtn MT"/>
      <sheetName val="3 S &amp; U Lessor"/>
      <sheetName val="4 NOI Lessor"/>
      <sheetName val="4b Electricity"/>
      <sheetName val="5 TI Lessor"/>
      <sheetName val="6B Lessor State LP Rtn"/>
      <sheetName val="6C Lessor Installer LP Rtn"/>
      <sheetName val="6D GP Rtn Lessor"/>
      <sheetName val="6E Lessor Master Tenant LP Rtn"/>
      <sheetName val="7 Sale"/>
      <sheetName val="8 704(b) and 704(d)"/>
      <sheetName val="9 Install Costs"/>
      <sheetName val="10 Credit"/>
      <sheetName val="11 Dep &amp; Amort"/>
      <sheetName val="12 Balance Sheet MT"/>
      <sheetName val="12 Balance Sheet Lessor"/>
      <sheetName val="13 Debt"/>
      <sheetName val="13A Refi"/>
      <sheetName val="14 Accruals"/>
      <sheetName val="15A FedLP IRR"/>
      <sheetName val="15C InstallLP IRR"/>
      <sheetName val="15B StateLP IRR"/>
      <sheetName val="15C NPV InstallLP Benefits"/>
      <sheetName val="15E Lessor Master Tenant LP IRR"/>
      <sheetName val="16A NPV GP Benefits"/>
      <sheetName val="Section 467"/>
      <sheetName val="17  Fed LP GAAP"/>
      <sheetName val="A1 S &amp; U MT"/>
      <sheetName val="4 - NOI - Investor"/>
      <sheetName val="PBC Costs"/>
      <sheetName val="Hoku HECO - buyout 7-7-08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HZSiD6SHuUOmzyOz5YjoHfKu9g2Z-2pKgvSbATFosoWGEJDid5c5S6e9MVLE1dtW" itemId="016VPXXTPPEN56K5QI55FJIDKHJPO373QW">
      <xxl21:absoluteUrl r:id="rId2"/>
    </xxl21:alternateUrls>
    <sheetNames>
      <sheetName val="Dashboard"/>
      <sheetName val="CASHFLOW"/>
      <sheetName val="Project Master Sheet"/>
      <sheetName val="Project DIV"/>
      <sheetName val="Project CAPEX"/>
      <sheetName val="Project EPC"/>
      <sheetName val="Project GREV"/>
      <sheetName val="Project OPEX"/>
      <sheetName val="Project NET"/>
      <sheetName val="Project ASSET"/>
      <sheetName val="Project SVOL"/>
      <sheetName val="Project SMACH"/>
      <sheetName val="Project PGEN"/>
      <sheetName val="Project List References"/>
      <sheetName val="Assumptions &amp; Inputs"/>
      <sheetName val="Project Summary"/>
      <sheetName val="ISCM Summary"/>
      <sheetName val="Executive Summary"/>
      <sheetName val="Power Summary"/>
      <sheetName val="Real Estate"/>
      <sheetName val="Load Customer"/>
      <sheetName val="GEN-BESS"/>
      <sheetName val="GEN-CCGT"/>
      <sheetName val="GEN-SOLAR"/>
      <sheetName val="GEN-CARBON"/>
      <sheetName val="Hydrogen"/>
      <sheetName val="SENS Tires"/>
      <sheetName val="SENS Co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E7">
            <v>1</v>
          </cell>
          <cell r="I7">
            <v>1</v>
          </cell>
          <cell r="J7">
            <v>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yle Johnson" id="{1926E8E0-EDA5-4626-920B-FD264F9127DA}" userId="5b94fe4dbf9ebe33" providerId="Windows Live"/>
  <person displayName="Irene Li" id="{0519A532-F396-4D76-BC0C-265324E3928F}" userId="S::irene.li@builtbycm.com::64e3d952-5978-417d-9e09-54b698361199" providerId="AD"/>
  <person displayName="Stephen Tymchak" id="{94581725-F5CB-4A08-9018-EDFDE1E248B8}" userId="S::stephen.tymchak_systemicenvs.com#ext#@cissell.onmicrosoft.com::72432bc6-6299-4a91-8031-96198fa1abed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0" dT="2025-05-28T17:49:43.57" personId="{1926E8E0-EDA5-4626-920B-FD264F9127DA}" id="{DE64D78F-C96B-4042-8435-115C15FE0178}">
    <text>Are these land estimates correct? 1 acre for SENS Tires and ~3 acres for SENS Coal?</text>
  </threadedComment>
  <threadedComment ref="B54" dT="2025-05-06T13:40:32.08" personId="{0519A532-F396-4D76-BC0C-265324E3928F}" id="{62B130B3-5034-43E8-B740-0AB3F4C4E659}">
    <text>How many acres we need for the type of the power with the required MW</text>
  </threadedComment>
  <threadedComment ref="I77" dT="2025-05-02T20:49:34.79" personId="{94581725-F5CB-4A08-9018-EDFDE1E248B8}" id="{CD8E2781-40AD-4351-A425-F19B981C41CC}" done="1">
    <text>How are we communicating our Net vs Gross production and/or accounting for power consumption to operate the sites; i.e. ~5-10% of our total power production for Carbon to operate the plant.</text>
  </threadedComment>
  <threadedComment ref="I77" dT="2025-05-05T15:16:47.50" personId="{1926E8E0-EDA5-4626-920B-FD264F9127DA}" id="{B8579454-214B-49DA-B038-78922F66A366}" parentId="{CD8E2781-40AD-4351-A425-F19B981C41CC}">
    <text>Added Station Service Load as a percentage below. Also update power make tabs to have a gross and net production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38" dT="2025-05-05T14:46:44.19" personId="{1926E8E0-EDA5-4626-920B-FD264F9127DA}" id="{1934D1EA-F21A-402E-812B-32EFF66EC4D7}" done="1">
    <text>Can we depreciate any of the costs for land acquisition?</text>
  </threadedComment>
  <threadedComment ref="C138" dT="2025-05-06T13:41:20.65" personId="{0519A532-F396-4D76-BC0C-265324E3928F}" id="{F022BCD2-1FFA-4E8A-9267-B4763349E228}" parentId="{1934D1EA-F21A-402E-812B-32EFF66EC4D7}">
    <text>No D&amp;A for land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45" dT="2025-05-29T14:25:16.28" personId="{0519A532-F396-4D76-BC0C-265324E3928F}" id="{EC24CF21-7E93-47DC-B1B8-31886CC368A5}">
    <text>The depreciable balance of next period should include this portion.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129F-79AD-457B-8975-8694160BB7B9}">
  <sheetPr>
    <tabColor rgb="FFC00000"/>
  </sheetPr>
  <dimension ref="A1:CI106"/>
  <sheetViews>
    <sheetView showGridLines="0" topLeftCell="A53" zoomScale="200" zoomScaleNormal="200" workbookViewId="0">
      <selection activeCell="B23" sqref="B23"/>
    </sheetView>
  </sheetViews>
  <sheetFormatPr baseColWidth="10" defaultColWidth="9.1640625" defaultRowHeight="15"/>
  <cols>
    <col min="1" max="1" width="9.1640625" style="713"/>
    <col min="2" max="2" width="16.33203125" style="713" customWidth="1"/>
    <col min="3" max="19" width="9.1640625" style="713"/>
    <col min="20" max="20" width="20" style="713" customWidth="1"/>
    <col min="21" max="36" width="12" style="713" customWidth="1"/>
    <col min="37" max="37" width="9.1640625" style="713"/>
    <col min="38" max="38" width="12.6640625" style="721" customWidth="1"/>
    <col min="39" max="54" width="10.83203125" style="721" bestFit="1" customWidth="1"/>
    <col min="55" max="87" width="9.1640625" style="713"/>
    <col min="88" max="16384" width="9.1640625" style="655"/>
  </cols>
  <sheetData>
    <row r="1" spans="1:54">
      <c r="AL1" s="713"/>
      <c r="AM1" s="713"/>
      <c r="AN1" s="713"/>
      <c r="AO1" s="713"/>
      <c r="AP1" s="713"/>
      <c r="AQ1" s="713"/>
      <c r="AR1" s="713"/>
      <c r="AS1" s="713"/>
      <c r="AT1" s="713"/>
      <c r="AU1" s="713"/>
      <c r="AV1" s="713"/>
      <c r="AW1" s="713"/>
      <c r="AX1" s="713"/>
      <c r="AY1" s="713"/>
      <c r="AZ1" s="713"/>
      <c r="BA1" s="713"/>
      <c r="BB1" s="713"/>
    </row>
    <row r="2" spans="1:54" ht="16" thickBot="1">
      <c r="AL2" s="713"/>
      <c r="AM2" s="713"/>
      <c r="AN2" s="713"/>
      <c r="AO2" s="713"/>
      <c r="AP2" s="713"/>
      <c r="AQ2" s="713"/>
      <c r="AR2" s="713"/>
      <c r="AS2" s="713"/>
      <c r="AT2" s="713"/>
      <c r="AU2" s="713"/>
      <c r="AV2" s="713"/>
      <c r="AW2" s="713"/>
      <c r="AX2" s="713"/>
      <c r="AY2" s="713"/>
      <c r="AZ2" s="713"/>
      <c r="BA2" s="713"/>
      <c r="BB2" s="713"/>
    </row>
    <row r="3" spans="1:54">
      <c r="B3" s="671"/>
      <c r="C3" s="762" t="s">
        <v>0</v>
      </c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762"/>
      <c r="O3" s="762"/>
      <c r="P3" s="762"/>
      <c r="Q3" s="762"/>
      <c r="R3" s="763"/>
      <c r="T3" s="671"/>
      <c r="U3" s="769" t="s">
        <v>1</v>
      </c>
      <c r="V3" s="769"/>
      <c r="W3" s="769"/>
      <c r="X3" s="769"/>
      <c r="Y3" s="769"/>
      <c r="Z3" s="769"/>
      <c r="AA3" s="769"/>
      <c r="AB3" s="769"/>
      <c r="AC3" s="769"/>
      <c r="AD3" s="769"/>
      <c r="AE3" s="769"/>
      <c r="AF3" s="769"/>
      <c r="AG3" s="769"/>
      <c r="AH3" s="769"/>
      <c r="AI3" s="769"/>
      <c r="AJ3" s="770"/>
      <c r="AK3" s="714"/>
      <c r="AL3" s="671"/>
      <c r="AM3" s="769" t="s">
        <v>2</v>
      </c>
      <c r="AN3" s="769"/>
      <c r="AO3" s="769"/>
      <c r="AP3" s="769"/>
      <c r="AQ3" s="769"/>
      <c r="AR3" s="769"/>
      <c r="AS3" s="769"/>
      <c r="AT3" s="769"/>
      <c r="AU3" s="769"/>
      <c r="AV3" s="769"/>
      <c r="AW3" s="769"/>
      <c r="AX3" s="769"/>
      <c r="AY3" s="769"/>
      <c r="AZ3" s="769"/>
      <c r="BA3" s="769"/>
      <c r="BB3" s="770"/>
    </row>
    <row r="4" spans="1:54">
      <c r="B4" s="674"/>
      <c r="C4" s="764"/>
      <c r="D4" s="764"/>
      <c r="E4" s="764"/>
      <c r="F4" s="764"/>
      <c r="G4" s="764"/>
      <c r="H4" s="764"/>
      <c r="I4" s="764"/>
      <c r="J4" s="764"/>
      <c r="K4" s="764"/>
      <c r="L4" s="764"/>
      <c r="M4" s="764"/>
      <c r="N4" s="764"/>
      <c r="O4" s="764"/>
      <c r="P4" s="764"/>
      <c r="Q4" s="764"/>
      <c r="R4" s="765"/>
      <c r="T4" s="674"/>
      <c r="U4" s="768"/>
      <c r="V4" s="768"/>
      <c r="W4" s="768"/>
      <c r="X4" s="768"/>
      <c r="Y4" s="768"/>
      <c r="Z4" s="768"/>
      <c r="AA4" s="768"/>
      <c r="AB4" s="768"/>
      <c r="AC4" s="768"/>
      <c r="AD4" s="768"/>
      <c r="AE4" s="768"/>
      <c r="AF4" s="768"/>
      <c r="AG4" s="768"/>
      <c r="AH4" s="768"/>
      <c r="AI4" s="768"/>
      <c r="AJ4" s="771"/>
      <c r="AK4" s="714"/>
      <c r="AL4" s="674"/>
      <c r="AM4" s="768"/>
      <c r="AN4" s="768"/>
      <c r="AO4" s="768"/>
      <c r="AP4" s="768"/>
      <c r="AQ4" s="768"/>
      <c r="AR4" s="768"/>
      <c r="AS4" s="768"/>
      <c r="AT4" s="768"/>
      <c r="AU4" s="768"/>
      <c r="AV4" s="768"/>
      <c r="AW4" s="768"/>
      <c r="AX4" s="768"/>
      <c r="AY4" s="768"/>
      <c r="AZ4" s="768"/>
      <c r="BA4" s="768"/>
      <c r="BB4" s="771"/>
    </row>
    <row r="5" spans="1:54">
      <c r="B5" s="674"/>
      <c r="C5" s="764"/>
      <c r="D5" s="764"/>
      <c r="E5" s="764"/>
      <c r="F5" s="764"/>
      <c r="G5" s="764"/>
      <c r="H5" s="764"/>
      <c r="I5" s="764"/>
      <c r="J5" s="764"/>
      <c r="K5" s="764"/>
      <c r="L5" s="764"/>
      <c r="M5" s="764"/>
      <c r="N5" s="764"/>
      <c r="O5" s="764"/>
      <c r="P5" s="764"/>
      <c r="Q5" s="764"/>
      <c r="R5" s="765"/>
      <c r="T5" s="674"/>
      <c r="U5" s="768"/>
      <c r="V5" s="768"/>
      <c r="W5" s="768"/>
      <c r="X5" s="768"/>
      <c r="Y5" s="768"/>
      <c r="Z5" s="768"/>
      <c r="AA5" s="768"/>
      <c r="AB5" s="768"/>
      <c r="AC5" s="768"/>
      <c r="AD5" s="768"/>
      <c r="AE5" s="768"/>
      <c r="AF5" s="768"/>
      <c r="AG5" s="768"/>
      <c r="AH5" s="768"/>
      <c r="AI5" s="768"/>
      <c r="AJ5" s="771"/>
      <c r="AK5" s="714"/>
      <c r="AL5" s="674"/>
      <c r="AM5" s="768"/>
      <c r="AN5" s="768"/>
      <c r="AO5" s="768"/>
      <c r="AP5" s="768"/>
      <c r="AQ5" s="768"/>
      <c r="AR5" s="768"/>
      <c r="AS5" s="768"/>
      <c r="AT5" s="768"/>
      <c r="AU5" s="768"/>
      <c r="AV5" s="768"/>
      <c r="AW5" s="768"/>
      <c r="AX5" s="768"/>
      <c r="AY5" s="768"/>
      <c r="AZ5" s="768"/>
      <c r="BA5" s="768"/>
      <c r="BB5" s="771"/>
    </row>
    <row r="6" spans="1:54">
      <c r="B6" s="674"/>
      <c r="C6" s="764"/>
      <c r="D6" s="764"/>
      <c r="E6" s="764"/>
      <c r="F6" s="764"/>
      <c r="G6" s="764"/>
      <c r="H6" s="764"/>
      <c r="I6" s="764"/>
      <c r="J6" s="764"/>
      <c r="K6" s="764"/>
      <c r="L6" s="764"/>
      <c r="M6" s="764"/>
      <c r="N6" s="764"/>
      <c r="O6" s="764"/>
      <c r="P6" s="764"/>
      <c r="Q6" s="764"/>
      <c r="R6" s="765"/>
      <c r="T6" s="674"/>
      <c r="U6" s="768"/>
      <c r="V6" s="768"/>
      <c r="W6" s="768"/>
      <c r="X6" s="768"/>
      <c r="Y6" s="768"/>
      <c r="Z6" s="768"/>
      <c r="AA6" s="768"/>
      <c r="AB6" s="768"/>
      <c r="AC6" s="768"/>
      <c r="AD6" s="768"/>
      <c r="AE6" s="768"/>
      <c r="AF6" s="768"/>
      <c r="AG6" s="768"/>
      <c r="AH6" s="768"/>
      <c r="AI6" s="768"/>
      <c r="AJ6" s="771"/>
      <c r="AK6" s="714"/>
      <c r="AL6" s="674"/>
      <c r="AM6" s="768"/>
      <c r="AN6" s="768"/>
      <c r="AO6" s="768"/>
      <c r="AP6" s="768"/>
      <c r="AQ6" s="768"/>
      <c r="AR6" s="768"/>
      <c r="AS6" s="768"/>
      <c r="AT6" s="768"/>
      <c r="AU6" s="768"/>
      <c r="AV6" s="768"/>
      <c r="AW6" s="768"/>
      <c r="AX6" s="768"/>
      <c r="AY6" s="768"/>
      <c r="AZ6" s="768"/>
      <c r="BA6" s="768"/>
      <c r="BB6" s="771"/>
    </row>
    <row r="7" spans="1:54">
      <c r="B7" s="674"/>
      <c r="C7" s="764"/>
      <c r="D7" s="764"/>
      <c r="E7" s="764"/>
      <c r="F7" s="764"/>
      <c r="G7" s="764"/>
      <c r="H7" s="764"/>
      <c r="I7" s="764"/>
      <c r="J7" s="764"/>
      <c r="K7" s="764"/>
      <c r="L7" s="764"/>
      <c r="M7" s="764"/>
      <c r="N7" s="764"/>
      <c r="O7" s="764"/>
      <c r="P7" s="764"/>
      <c r="Q7" s="764"/>
      <c r="R7" s="765"/>
      <c r="T7" s="674"/>
      <c r="U7" s="768"/>
      <c r="V7" s="768"/>
      <c r="W7" s="768"/>
      <c r="X7" s="768"/>
      <c r="Y7" s="768"/>
      <c r="Z7" s="768"/>
      <c r="AA7" s="768"/>
      <c r="AB7" s="768"/>
      <c r="AC7" s="768"/>
      <c r="AD7" s="768"/>
      <c r="AE7" s="768"/>
      <c r="AF7" s="768"/>
      <c r="AG7" s="768"/>
      <c r="AH7" s="768"/>
      <c r="AI7" s="768"/>
      <c r="AJ7" s="771"/>
      <c r="AK7" s="714"/>
      <c r="AL7" s="674"/>
      <c r="AM7" s="768"/>
      <c r="AN7" s="768"/>
      <c r="AO7" s="768"/>
      <c r="AP7" s="768"/>
      <c r="AQ7" s="768"/>
      <c r="AR7" s="768"/>
      <c r="AS7" s="768"/>
      <c r="AT7" s="768"/>
      <c r="AU7" s="768"/>
      <c r="AV7" s="768"/>
      <c r="AW7" s="768"/>
      <c r="AX7" s="768"/>
      <c r="AY7" s="768"/>
      <c r="AZ7" s="768"/>
      <c r="BA7" s="768"/>
      <c r="BB7" s="771"/>
    </row>
    <row r="8" spans="1:54">
      <c r="B8" s="674"/>
      <c r="C8" s="764"/>
      <c r="D8" s="764"/>
      <c r="E8" s="764"/>
      <c r="F8" s="764"/>
      <c r="G8" s="764"/>
      <c r="H8" s="764"/>
      <c r="I8" s="764"/>
      <c r="J8" s="764"/>
      <c r="K8" s="764"/>
      <c r="L8" s="764"/>
      <c r="M8" s="764"/>
      <c r="N8" s="764"/>
      <c r="O8" s="764"/>
      <c r="P8" s="764"/>
      <c r="Q8" s="764"/>
      <c r="R8" s="765"/>
      <c r="T8" s="674"/>
      <c r="U8" s="768"/>
      <c r="V8" s="768"/>
      <c r="W8" s="768"/>
      <c r="X8" s="768"/>
      <c r="Y8" s="768"/>
      <c r="Z8" s="768"/>
      <c r="AA8" s="768"/>
      <c r="AB8" s="768"/>
      <c r="AC8" s="768"/>
      <c r="AD8" s="768"/>
      <c r="AE8" s="768"/>
      <c r="AF8" s="768"/>
      <c r="AG8" s="768"/>
      <c r="AH8" s="768"/>
      <c r="AI8" s="768"/>
      <c r="AJ8" s="771"/>
      <c r="AK8" s="714"/>
      <c r="AL8" s="674"/>
      <c r="AM8" s="768"/>
      <c r="AN8" s="768"/>
      <c r="AO8" s="768"/>
      <c r="AP8" s="768"/>
      <c r="AQ8" s="768"/>
      <c r="AR8" s="768"/>
      <c r="AS8" s="768"/>
      <c r="AT8" s="768"/>
      <c r="AU8" s="768"/>
      <c r="AV8" s="768"/>
      <c r="AW8" s="768"/>
      <c r="AX8" s="768"/>
      <c r="AY8" s="768"/>
      <c r="AZ8" s="768"/>
      <c r="BA8" s="768"/>
      <c r="BB8" s="771"/>
    </row>
    <row r="9" spans="1:54">
      <c r="B9" s="674"/>
      <c r="C9" s="764"/>
      <c r="D9" s="764"/>
      <c r="E9" s="764"/>
      <c r="F9" s="764"/>
      <c r="G9" s="764"/>
      <c r="H9" s="764"/>
      <c r="I9" s="764"/>
      <c r="J9" s="764"/>
      <c r="K9" s="764"/>
      <c r="L9" s="764"/>
      <c r="M9" s="764"/>
      <c r="N9" s="764"/>
      <c r="O9" s="764"/>
      <c r="P9" s="764"/>
      <c r="Q9" s="764"/>
      <c r="R9" s="765"/>
      <c r="T9" s="674"/>
      <c r="U9" s="768"/>
      <c r="V9" s="768"/>
      <c r="W9" s="768"/>
      <c r="X9" s="768"/>
      <c r="Y9" s="768"/>
      <c r="Z9" s="768"/>
      <c r="AA9" s="768"/>
      <c r="AB9" s="768"/>
      <c r="AC9" s="768"/>
      <c r="AD9" s="768"/>
      <c r="AE9" s="768"/>
      <c r="AF9" s="768"/>
      <c r="AG9" s="768"/>
      <c r="AH9" s="768"/>
      <c r="AI9" s="768"/>
      <c r="AJ9" s="771"/>
      <c r="AK9" s="714"/>
      <c r="AL9" s="674"/>
      <c r="AM9" s="768"/>
      <c r="AN9" s="768"/>
      <c r="AO9" s="768"/>
      <c r="AP9" s="768"/>
      <c r="AQ9" s="768"/>
      <c r="AR9" s="768"/>
      <c r="AS9" s="768"/>
      <c r="AT9" s="768"/>
      <c r="AU9" s="768"/>
      <c r="AV9" s="768"/>
      <c r="AW9" s="768"/>
      <c r="AX9" s="768"/>
      <c r="AY9" s="768"/>
      <c r="AZ9" s="768"/>
      <c r="BA9" s="768"/>
      <c r="BB9" s="771"/>
    </row>
    <row r="10" spans="1:54">
      <c r="B10" s="674"/>
      <c r="C10" s="764"/>
      <c r="D10" s="764"/>
      <c r="E10" s="764"/>
      <c r="F10" s="764"/>
      <c r="G10" s="764"/>
      <c r="H10" s="764"/>
      <c r="I10" s="764"/>
      <c r="J10" s="764"/>
      <c r="K10" s="764"/>
      <c r="L10" s="764"/>
      <c r="M10" s="764"/>
      <c r="N10" s="764"/>
      <c r="O10" s="764"/>
      <c r="P10" s="764"/>
      <c r="Q10" s="764"/>
      <c r="R10" s="765"/>
      <c r="T10" s="674"/>
      <c r="U10" s="768"/>
      <c r="V10" s="768"/>
      <c r="W10" s="768"/>
      <c r="X10" s="768"/>
      <c r="Y10" s="768"/>
      <c r="Z10" s="768"/>
      <c r="AA10" s="768"/>
      <c r="AB10" s="768"/>
      <c r="AC10" s="768"/>
      <c r="AD10" s="768"/>
      <c r="AE10" s="768"/>
      <c r="AF10" s="768"/>
      <c r="AG10" s="768"/>
      <c r="AH10" s="768"/>
      <c r="AI10" s="768"/>
      <c r="AJ10" s="771"/>
      <c r="AK10" s="714"/>
      <c r="AL10" s="674"/>
      <c r="AM10" s="768"/>
      <c r="AN10" s="768"/>
      <c r="AO10" s="768"/>
      <c r="AP10" s="768"/>
      <c r="AQ10" s="768"/>
      <c r="AR10" s="768"/>
      <c r="AS10" s="768"/>
      <c r="AT10" s="768"/>
      <c r="AU10" s="768"/>
      <c r="AV10" s="768"/>
      <c r="AW10" s="768"/>
      <c r="AX10" s="768"/>
      <c r="AY10" s="768"/>
      <c r="AZ10" s="768"/>
      <c r="BA10" s="768"/>
      <c r="BB10" s="771"/>
    </row>
    <row r="11" spans="1:54">
      <c r="B11" s="674"/>
      <c r="C11" s="764"/>
      <c r="D11" s="764"/>
      <c r="E11" s="764"/>
      <c r="F11" s="764"/>
      <c r="G11" s="764"/>
      <c r="H11" s="764"/>
      <c r="I11" s="764"/>
      <c r="J11" s="764"/>
      <c r="K11" s="764"/>
      <c r="L11" s="764"/>
      <c r="M11" s="764"/>
      <c r="N11" s="764"/>
      <c r="O11" s="764"/>
      <c r="P11" s="764"/>
      <c r="Q11" s="764"/>
      <c r="R11" s="765"/>
      <c r="T11" s="674"/>
      <c r="U11" s="768"/>
      <c r="V11" s="768"/>
      <c r="W11" s="768"/>
      <c r="X11" s="768"/>
      <c r="Y11" s="768"/>
      <c r="Z11" s="768"/>
      <c r="AA11" s="768"/>
      <c r="AB11" s="768"/>
      <c r="AC11" s="768"/>
      <c r="AD11" s="768"/>
      <c r="AE11" s="768"/>
      <c r="AF11" s="768"/>
      <c r="AG11" s="768"/>
      <c r="AH11" s="768"/>
      <c r="AI11" s="768"/>
      <c r="AJ11" s="771"/>
      <c r="AK11" s="714"/>
      <c r="AL11" s="674"/>
      <c r="AM11" s="768"/>
      <c r="AN11" s="768"/>
      <c r="AO11" s="768"/>
      <c r="AP11" s="768"/>
      <c r="AQ11" s="768"/>
      <c r="AR11" s="768"/>
      <c r="AS11" s="768"/>
      <c r="AT11" s="768"/>
      <c r="AU11" s="768"/>
      <c r="AV11" s="768"/>
      <c r="AW11" s="768"/>
      <c r="AX11" s="768"/>
      <c r="AY11" s="768"/>
      <c r="AZ11" s="768"/>
      <c r="BA11" s="768"/>
      <c r="BB11" s="771"/>
    </row>
    <row r="12" spans="1:54">
      <c r="B12" s="674"/>
      <c r="C12" s="764"/>
      <c r="D12" s="764"/>
      <c r="E12" s="764"/>
      <c r="F12" s="764"/>
      <c r="G12" s="764"/>
      <c r="H12" s="764"/>
      <c r="I12" s="764"/>
      <c r="J12" s="764"/>
      <c r="K12" s="764"/>
      <c r="L12" s="764"/>
      <c r="M12" s="764"/>
      <c r="N12" s="764"/>
      <c r="O12" s="764"/>
      <c r="P12" s="764"/>
      <c r="Q12" s="764"/>
      <c r="R12" s="765"/>
      <c r="T12" s="674"/>
      <c r="U12" s="768"/>
      <c r="V12" s="768"/>
      <c r="W12" s="768"/>
      <c r="X12" s="768"/>
      <c r="Y12" s="768"/>
      <c r="Z12" s="768"/>
      <c r="AA12" s="768"/>
      <c r="AB12" s="768"/>
      <c r="AC12" s="768"/>
      <c r="AD12" s="768"/>
      <c r="AE12" s="768"/>
      <c r="AF12" s="768"/>
      <c r="AG12" s="768"/>
      <c r="AH12" s="768"/>
      <c r="AI12" s="768"/>
      <c r="AJ12" s="771"/>
      <c r="AK12" s="714"/>
      <c r="AL12" s="674"/>
      <c r="AM12" s="768"/>
      <c r="AN12" s="768"/>
      <c r="AO12" s="768"/>
      <c r="AP12" s="768"/>
      <c r="AQ12" s="768"/>
      <c r="AR12" s="768"/>
      <c r="AS12" s="768"/>
      <c r="AT12" s="768"/>
      <c r="AU12" s="768"/>
      <c r="AV12" s="768"/>
      <c r="AW12" s="768"/>
      <c r="AX12" s="768"/>
      <c r="AY12" s="768"/>
      <c r="AZ12" s="768"/>
      <c r="BA12" s="768"/>
      <c r="BB12" s="771"/>
    </row>
    <row r="13" spans="1:54">
      <c r="B13" s="674"/>
      <c r="C13" s="764"/>
      <c r="D13" s="764"/>
      <c r="E13" s="764"/>
      <c r="F13" s="764"/>
      <c r="G13" s="764"/>
      <c r="H13" s="764"/>
      <c r="I13" s="764"/>
      <c r="J13" s="764"/>
      <c r="K13" s="764"/>
      <c r="L13" s="764"/>
      <c r="M13" s="764"/>
      <c r="N13" s="764"/>
      <c r="O13" s="764"/>
      <c r="P13" s="764"/>
      <c r="Q13" s="764"/>
      <c r="R13" s="765"/>
      <c r="T13" s="674"/>
      <c r="U13" s="768"/>
      <c r="V13" s="768"/>
      <c r="W13" s="768"/>
      <c r="X13" s="768"/>
      <c r="Y13" s="768"/>
      <c r="Z13" s="768"/>
      <c r="AA13" s="768"/>
      <c r="AB13" s="768"/>
      <c r="AC13" s="768"/>
      <c r="AD13" s="768"/>
      <c r="AE13" s="768"/>
      <c r="AF13" s="768"/>
      <c r="AG13" s="768"/>
      <c r="AH13" s="768"/>
      <c r="AI13" s="768"/>
      <c r="AJ13" s="771"/>
      <c r="AK13" s="714"/>
      <c r="AL13" s="674"/>
      <c r="AM13" s="768"/>
      <c r="AN13" s="768"/>
      <c r="AO13" s="768"/>
      <c r="AP13" s="768"/>
      <c r="AQ13" s="768"/>
      <c r="AR13" s="768"/>
      <c r="AS13" s="768"/>
      <c r="AT13" s="768"/>
      <c r="AU13" s="768"/>
      <c r="AV13" s="768"/>
      <c r="AW13" s="768"/>
      <c r="AX13" s="768"/>
      <c r="AY13" s="768"/>
      <c r="AZ13" s="768"/>
      <c r="BA13" s="768"/>
      <c r="BB13" s="771"/>
    </row>
    <row r="14" spans="1:54" ht="16" thickBot="1">
      <c r="B14" s="676"/>
      <c r="C14" s="766"/>
      <c r="D14" s="766"/>
      <c r="E14" s="766"/>
      <c r="F14" s="766"/>
      <c r="G14" s="766"/>
      <c r="H14" s="766"/>
      <c r="I14" s="766"/>
      <c r="J14" s="766"/>
      <c r="K14" s="766"/>
      <c r="L14" s="766"/>
      <c r="M14" s="766"/>
      <c r="N14" s="766"/>
      <c r="O14" s="766"/>
      <c r="P14" s="766"/>
      <c r="Q14" s="766"/>
      <c r="R14" s="767"/>
      <c r="T14" s="676"/>
      <c r="U14" s="772"/>
      <c r="V14" s="772"/>
      <c r="W14" s="772"/>
      <c r="X14" s="772"/>
      <c r="Y14" s="772"/>
      <c r="Z14" s="772"/>
      <c r="AA14" s="772"/>
      <c r="AB14" s="772"/>
      <c r="AC14" s="772"/>
      <c r="AD14" s="772"/>
      <c r="AE14" s="772"/>
      <c r="AF14" s="772"/>
      <c r="AG14" s="772"/>
      <c r="AH14" s="772"/>
      <c r="AI14" s="772"/>
      <c r="AJ14" s="773"/>
      <c r="AK14" s="714"/>
      <c r="AL14" s="676"/>
      <c r="AM14" s="772"/>
      <c r="AN14" s="772"/>
      <c r="AO14" s="772"/>
      <c r="AP14" s="772"/>
      <c r="AQ14" s="772"/>
      <c r="AR14" s="772"/>
      <c r="AS14" s="772"/>
      <c r="AT14" s="772"/>
      <c r="AU14" s="772"/>
      <c r="AV14" s="772"/>
      <c r="AW14" s="772"/>
      <c r="AX14" s="772"/>
      <c r="AY14" s="772"/>
      <c r="AZ14" s="772"/>
      <c r="BA14" s="772"/>
      <c r="BB14" s="773"/>
    </row>
    <row r="15" spans="1:54" ht="16" thickBot="1">
      <c r="B15" s="692"/>
      <c r="C15" s="678">
        <v>0</v>
      </c>
      <c r="D15" s="678">
        <f>1+C15</f>
        <v>1</v>
      </c>
      <c r="E15" s="678">
        <f t="shared" ref="E15:R15" si="0">1+D15</f>
        <v>2</v>
      </c>
      <c r="F15" s="678">
        <f t="shared" si="0"/>
        <v>3</v>
      </c>
      <c r="G15" s="678">
        <f t="shared" si="0"/>
        <v>4</v>
      </c>
      <c r="H15" s="678">
        <f t="shared" si="0"/>
        <v>5</v>
      </c>
      <c r="I15" s="678">
        <f t="shared" si="0"/>
        <v>6</v>
      </c>
      <c r="J15" s="678">
        <f t="shared" si="0"/>
        <v>7</v>
      </c>
      <c r="K15" s="678">
        <f t="shared" si="0"/>
        <v>8</v>
      </c>
      <c r="L15" s="678">
        <f t="shared" si="0"/>
        <v>9</v>
      </c>
      <c r="M15" s="678">
        <f t="shared" si="0"/>
        <v>10</v>
      </c>
      <c r="N15" s="678">
        <f t="shared" si="0"/>
        <v>11</v>
      </c>
      <c r="O15" s="678">
        <f t="shared" si="0"/>
        <v>12</v>
      </c>
      <c r="P15" s="678">
        <f t="shared" si="0"/>
        <v>13</v>
      </c>
      <c r="Q15" s="678">
        <f t="shared" si="0"/>
        <v>14</v>
      </c>
      <c r="R15" s="679">
        <f t="shared" si="0"/>
        <v>15</v>
      </c>
      <c r="T15" s="680"/>
      <c r="U15" s="700">
        <v>0</v>
      </c>
      <c r="V15" s="700">
        <f>1+U15</f>
        <v>1</v>
      </c>
      <c r="W15" s="700">
        <f t="shared" ref="W15:AJ15" si="1">1+V15</f>
        <v>2</v>
      </c>
      <c r="X15" s="700">
        <f t="shared" si="1"/>
        <v>3</v>
      </c>
      <c r="Y15" s="700">
        <f t="shared" si="1"/>
        <v>4</v>
      </c>
      <c r="Z15" s="700">
        <f t="shared" si="1"/>
        <v>5</v>
      </c>
      <c r="AA15" s="700">
        <f t="shared" si="1"/>
        <v>6</v>
      </c>
      <c r="AB15" s="700">
        <f t="shared" si="1"/>
        <v>7</v>
      </c>
      <c r="AC15" s="700">
        <f t="shared" si="1"/>
        <v>8</v>
      </c>
      <c r="AD15" s="700">
        <f t="shared" si="1"/>
        <v>9</v>
      </c>
      <c r="AE15" s="700">
        <f t="shared" si="1"/>
        <v>10</v>
      </c>
      <c r="AF15" s="700">
        <f t="shared" si="1"/>
        <v>11</v>
      </c>
      <c r="AG15" s="700">
        <f t="shared" si="1"/>
        <v>12</v>
      </c>
      <c r="AH15" s="700">
        <f t="shared" si="1"/>
        <v>13</v>
      </c>
      <c r="AI15" s="700">
        <f t="shared" si="1"/>
        <v>14</v>
      </c>
      <c r="AJ15" s="701">
        <f t="shared" si="1"/>
        <v>15</v>
      </c>
      <c r="AL15" s="680"/>
      <c r="AM15" s="700">
        <v>0</v>
      </c>
      <c r="AN15" s="700">
        <f>1+AM15</f>
        <v>1</v>
      </c>
      <c r="AO15" s="700">
        <f t="shared" ref="AO15:BB15" si="2">1+AN15</f>
        <v>2</v>
      </c>
      <c r="AP15" s="700">
        <f t="shared" si="2"/>
        <v>3</v>
      </c>
      <c r="AQ15" s="700">
        <f t="shared" si="2"/>
        <v>4</v>
      </c>
      <c r="AR15" s="700">
        <f t="shared" si="2"/>
        <v>5</v>
      </c>
      <c r="AS15" s="700">
        <f t="shared" si="2"/>
        <v>6</v>
      </c>
      <c r="AT15" s="700">
        <f t="shared" si="2"/>
        <v>7</v>
      </c>
      <c r="AU15" s="700">
        <f t="shared" si="2"/>
        <v>8</v>
      </c>
      <c r="AV15" s="700">
        <f t="shared" si="2"/>
        <v>9</v>
      </c>
      <c r="AW15" s="700">
        <f t="shared" si="2"/>
        <v>10</v>
      </c>
      <c r="AX15" s="700">
        <f t="shared" si="2"/>
        <v>11</v>
      </c>
      <c r="AY15" s="700">
        <f t="shared" si="2"/>
        <v>12</v>
      </c>
      <c r="AZ15" s="700">
        <f t="shared" si="2"/>
        <v>13</v>
      </c>
      <c r="BA15" s="700">
        <f t="shared" si="2"/>
        <v>14</v>
      </c>
      <c r="BB15" s="701">
        <f t="shared" si="2"/>
        <v>15</v>
      </c>
    </row>
    <row r="16" spans="1:54">
      <c r="A16" s="728">
        <v>0.27</v>
      </c>
      <c r="B16" s="680" t="s">
        <v>3</v>
      </c>
      <c r="C16" s="752">
        <f>$A16*SUMIF('Project DIV'!E$3:E$200, "&lt;&gt;#N/A")</f>
        <v>0</v>
      </c>
      <c r="D16" s="752">
        <f>$A16*SUMIF('Project DIV'!F$3:F$200, "&lt;&gt;#N/A")</f>
        <v>19.20033847015608</v>
      </c>
      <c r="E16" s="752">
        <f>$A16*SUMIF('Project DIV'!G$3:G$200, "&lt;&gt;#N/A")</f>
        <v>29.421350221348249</v>
      </c>
      <c r="F16" s="752">
        <f>$A16*SUMIF('Project DIV'!H$3:H$200, "&lt;&gt;#N/A")</f>
        <v>159.43530018499885</v>
      </c>
      <c r="G16" s="752">
        <f>$A16*SUMIF('Project DIV'!I$3:I$200, "&lt;&gt;#N/A")</f>
        <v>217.42012789224157</v>
      </c>
      <c r="H16" s="752">
        <f>$A16*SUMIF('Project DIV'!J$3:J$200, "&lt;&gt;#N/A")</f>
        <v>249.49380783179072</v>
      </c>
      <c r="I16" s="752">
        <f>$A16*SUMIF('Project DIV'!K$3:K$200, "&lt;&gt;#N/A")</f>
        <v>288.6563483080086</v>
      </c>
      <c r="J16" s="752">
        <f>$A16*SUMIF('Project DIV'!L$3:L$200, "&lt;&gt;#N/A")</f>
        <v>297.24938633330629</v>
      </c>
      <c r="K16" s="752">
        <f>$A16*SUMIF('Project DIV'!M$3:M$200, "&lt;&gt;#N/A")</f>
        <v>302.59640767479351</v>
      </c>
      <c r="L16" s="752">
        <f>$A16*SUMIF('Project DIV'!N$3:N$200, "&lt;&gt;#N/A")</f>
        <v>308.04660418062491</v>
      </c>
      <c r="M16" s="752">
        <f>$A16*SUMIF('Project DIV'!O$3:O$200, "&lt;&gt;#N/A")</f>
        <v>313.60194303956877</v>
      </c>
      <c r="N16" s="752">
        <f>$A16*SUMIF('Project DIV'!P$3:P$200, "&lt;&gt;#N/A")</f>
        <v>319.2644284978598</v>
      </c>
      <c r="O16" s="752">
        <f>$A16*SUMIF('Project DIV'!Q$3:Q$200, "&lt;&gt;#N/A")</f>
        <v>325.03610254119587</v>
      </c>
      <c r="P16" s="752">
        <f>$A16*SUMIF('Project DIV'!R$3:R$200, "&lt;&gt;#N/A")</f>
        <v>330.91904558876234</v>
      </c>
      <c r="Q16" s="752">
        <f>$A16*SUMIF('Project DIV'!S$3:S$200, "&lt;&gt;#N/A")</f>
        <v>336.91537719947945</v>
      </c>
      <c r="R16" s="687">
        <f>$A16*SUMIF('Project DIV'!T$3:T$200, "&lt;&gt;#N/A")</f>
        <v>343.02725679067282</v>
      </c>
      <c r="T16" s="688" t="s">
        <v>4</v>
      </c>
      <c r="U16" s="662">
        <f>SUMIFS('Project CAPEX'!E$3:E$200, 'Project CAPEX'!$B$3:$B$200, Dashboard!$T16)*(-1)</f>
        <v>0</v>
      </c>
      <c r="V16" s="662">
        <f>SUMIFS('Project CAPEX'!F$3:F$200, 'Project CAPEX'!$B$3:$B$200, Dashboard!$T16)*(-1)</f>
        <v>33.611111111111114</v>
      </c>
      <c r="W16" s="662">
        <f>SUMIFS('Project CAPEX'!G$3:G$200, 'Project CAPEX'!$B$3:$B$200, Dashboard!$T16)*(-1)</f>
        <v>36.666666666666664</v>
      </c>
      <c r="X16" s="662">
        <f>SUMIFS('Project CAPEX'!H$3:H$200, 'Project CAPEX'!$B$3:$B$200, Dashboard!$T16)*(-1)</f>
        <v>36.666666666666664</v>
      </c>
      <c r="Y16" s="662">
        <f>SUMIFS('Project CAPEX'!I$3:I$200, 'Project CAPEX'!$B$3:$B$200, Dashboard!$T16)*(-1)</f>
        <v>3.0555555555555554</v>
      </c>
      <c r="Z16" s="662">
        <f>SUMIFS('Project CAPEX'!J$3:J$200, 'Project CAPEX'!$B$3:$B$200, Dashboard!$T16)*(-1)</f>
        <v>0</v>
      </c>
      <c r="AA16" s="662">
        <f>SUMIFS('Project CAPEX'!K$3:K$200, 'Project CAPEX'!$B$3:$B$200, Dashboard!$T16)*(-1)</f>
        <v>0</v>
      </c>
      <c r="AB16" s="662">
        <f>SUMIFS('Project CAPEX'!L$3:L$200, 'Project CAPEX'!$B$3:$B$200, Dashboard!$T16)*(-1)</f>
        <v>0</v>
      </c>
      <c r="AC16" s="662">
        <f>SUMIFS('Project CAPEX'!M$3:M$200, 'Project CAPEX'!$B$3:$B$200, Dashboard!$T16)*(-1)</f>
        <v>0</v>
      </c>
      <c r="AD16" s="662">
        <f>SUMIFS('Project CAPEX'!N$3:N$200, 'Project CAPEX'!$B$3:$B$200, Dashboard!$T16)*(-1)</f>
        <v>0</v>
      </c>
      <c r="AE16" s="662">
        <f>SUMIFS('Project CAPEX'!O$3:O$200, 'Project CAPEX'!$B$3:$B$200, Dashboard!$T16)*(-1)</f>
        <v>0</v>
      </c>
      <c r="AF16" s="662">
        <f>SUMIFS('Project CAPEX'!P$3:P$200, 'Project CAPEX'!$B$3:$B$200, Dashboard!$T16)*(-1)</f>
        <v>0</v>
      </c>
      <c r="AG16" s="662">
        <f>SUMIFS('Project CAPEX'!Q$3:Q$200, 'Project CAPEX'!$B$3:$B$200, Dashboard!$T16)*(-1)</f>
        <v>0</v>
      </c>
      <c r="AH16" s="662">
        <f>SUMIFS('Project CAPEX'!R$3:R$200, 'Project CAPEX'!$B$3:$B$200, Dashboard!$T16)*(-1)</f>
        <v>0</v>
      </c>
      <c r="AI16" s="662">
        <f>SUMIFS('Project CAPEX'!S$3:S$200, 'Project CAPEX'!$B$3:$B$200, Dashboard!$T16)*(-1)</f>
        <v>0</v>
      </c>
      <c r="AJ16" s="682">
        <f>SUMIFS('Project CAPEX'!T$3:T$200, 'Project CAPEX'!$B$3:$B$200, Dashboard!$T16)*(-1)</f>
        <v>0</v>
      </c>
      <c r="AL16" s="680" t="s">
        <v>4</v>
      </c>
      <c r="AM16" s="729">
        <f>SUMIFS('Project EPC'!E:E, 'Project EPC'!$B:$B, Dashboard!$AL16)</f>
        <v>0</v>
      </c>
      <c r="AN16" s="729">
        <f>SUMIFS('Project EPC'!F:F, 'Project EPC'!$B:$B, Dashboard!$AL16)</f>
        <v>1.6805555555555558</v>
      </c>
      <c r="AO16" s="729">
        <f>SUMIFS('Project EPC'!G:G, 'Project EPC'!$B:$B, Dashboard!$AL16)</f>
        <v>1.8333333333333333</v>
      </c>
      <c r="AP16" s="729">
        <f>SUMIFS('Project EPC'!H:H, 'Project EPC'!$B:$B, Dashboard!$AL16)</f>
        <v>1.8333333333333333</v>
      </c>
      <c r="AQ16" s="729">
        <f>SUMIFS('Project EPC'!I:I, 'Project EPC'!$B:$B, Dashboard!$AL16)</f>
        <v>0.15277777777777779</v>
      </c>
      <c r="AR16" s="729">
        <f>SUMIFS('Project EPC'!J:J, 'Project EPC'!$B:$B, Dashboard!$AL16)</f>
        <v>0</v>
      </c>
      <c r="AS16" s="729">
        <f>SUMIFS('Project EPC'!K:K, 'Project EPC'!$B:$B, Dashboard!$AL16)</f>
        <v>0</v>
      </c>
      <c r="AT16" s="729">
        <f>SUMIFS('Project EPC'!L:L, 'Project EPC'!$B:$B, Dashboard!$AL16)</f>
        <v>0</v>
      </c>
      <c r="AU16" s="729">
        <f>SUMIFS('Project EPC'!M:M, 'Project EPC'!$B:$B, Dashboard!$AL16)</f>
        <v>0</v>
      </c>
      <c r="AV16" s="729">
        <f>SUMIFS('Project EPC'!N:N, 'Project EPC'!$B:$B, Dashboard!$AL16)</f>
        <v>0</v>
      </c>
      <c r="AW16" s="729">
        <f>SUMIFS('Project EPC'!O:O, 'Project EPC'!$B:$B, Dashboard!$AL16)</f>
        <v>0</v>
      </c>
      <c r="AX16" s="729">
        <f>SUMIFS('Project EPC'!P:P, 'Project EPC'!$B:$B, Dashboard!$AL16)</f>
        <v>0</v>
      </c>
      <c r="AY16" s="729">
        <f>SUMIFS('Project EPC'!Q:Q, 'Project EPC'!$B:$B, Dashboard!$AL16)</f>
        <v>0</v>
      </c>
      <c r="AZ16" s="729">
        <f>SUMIFS('Project EPC'!R:R, 'Project EPC'!$B:$B, Dashboard!$AL16)</f>
        <v>0</v>
      </c>
      <c r="BA16" s="729">
        <f>SUMIFS('Project EPC'!S:S, 'Project EPC'!$B:$B, Dashboard!$AL16)</f>
        <v>0</v>
      </c>
      <c r="BB16" s="730">
        <f>SUMIFS('Project EPC'!T:T, 'Project EPC'!$B:$B, Dashboard!$AL16)</f>
        <v>0</v>
      </c>
    </row>
    <row r="17" spans="1:87">
      <c r="A17" s="728">
        <f>1-A16</f>
        <v>0.73</v>
      </c>
      <c r="B17" s="680" t="s">
        <v>5</v>
      </c>
      <c r="C17" s="752">
        <f>$A17*SUMIF('Project DIV'!E$3:E$200, "&lt;&gt;#N/A")</f>
        <v>0</v>
      </c>
      <c r="D17" s="752">
        <f>$A17*SUMIF('Project DIV'!F$3:F$200, "&lt;&gt;#N/A")</f>
        <v>51.91202623412569</v>
      </c>
      <c r="E17" s="752">
        <f>$A17*SUMIF('Project DIV'!G$3:G$200, "&lt;&gt;#N/A")</f>
        <v>79.54661356142303</v>
      </c>
      <c r="F17" s="752">
        <f>$A17*SUMIF('Project DIV'!H$3:H$200, "&lt;&gt;#N/A")</f>
        <v>431.06581161129316</v>
      </c>
      <c r="G17" s="752">
        <f>$A17*SUMIF('Project DIV'!I$3:I$200, "&lt;&gt;#N/A")</f>
        <v>587.83960504198637</v>
      </c>
      <c r="H17" s="752">
        <f>$A17*SUMIF('Project DIV'!J$3:J$200, "&lt;&gt;#N/A")</f>
        <v>674.55733228595261</v>
      </c>
      <c r="I17" s="752">
        <f>$A17*SUMIF('Project DIV'!K$3:K$200, "&lt;&gt;#N/A")</f>
        <v>780.4412380179491</v>
      </c>
      <c r="J17" s="752">
        <f>$A17*SUMIF('Project DIV'!L$3:L$200, "&lt;&gt;#N/A")</f>
        <v>803.67426675301328</v>
      </c>
      <c r="K17" s="752">
        <f>$A17*SUMIF('Project DIV'!M$3:M$200, "&lt;&gt;#N/A")</f>
        <v>818.13102815777495</v>
      </c>
      <c r="L17" s="752">
        <f>$A17*SUMIF('Project DIV'!N$3:N$200, "&lt;&gt;#N/A")</f>
        <v>832.86674463650434</v>
      </c>
      <c r="M17" s="752">
        <f>$A17*SUMIF('Project DIV'!O$3:O$200, "&lt;&gt;#N/A")</f>
        <v>847.8867348847599</v>
      </c>
      <c r="N17" s="752">
        <f>$A17*SUMIF('Project DIV'!P$3:P$200, "&lt;&gt;#N/A")</f>
        <v>863.19641779050971</v>
      </c>
      <c r="O17" s="752">
        <f>$A17*SUMIF('Project DIV'!Q$3:Q$200, "&lt;&gt;#N/A")</f>
        <v>878.80131427804793</v>
      </c>
      <c r="P17" s="752">
        <f>$A17*SUMIF('Project DIV'!R$3:R$200, "&lt;&gt;#N/A")</f>
        <v>894.70704918443141</v>
      </c>
      <c r="Q17" s="752">
        <f>$A17*SUMIF('Project DIV'!S$3:S$200, "&lt;&gt;#N/A")</f>
        <v>910.91935316896286</v>
      </c>
      <c r="R17" s="687">
        <f>$A17*SUMIF('Project DIV'!T$3:T$200, "&lt;&gt;#N/A")</f>
        <v>927.44406465626355</v>
      </c>
      <c r="T17" s="689" t="s">
        <v>6</v>
      </c>
      <c r="U17" s="662">
        <f>SUMIFS('Project CAPEX'!E$3:E$200, 'Project CAPEX'!$B$3:$B$200, Dashboard!$T17)*(-1)</f>
        <v>51.333333333333336</v>
      </c>
      <c r="V17" s="662">
        <f>SUMIFS('Project CAPEX'!F$3:F$200, 'Project CAPEX'!$B$3:$B$200, Dashboard!$T17)*(-1)</f>
        <v>32.666666666666664</v>
      </c>
      <c r="W17" s="662">
        <f>SUMIFS('Project CAPEX'!G$3:G$200, 'Project CAPEX'!$B$3:$B$200, Dashboard!$T17)*(-1)</f>
        <v>0</v>
      </c>
      <c r="X17" s="662">
        <f>SUMIFS('Project CAPEX'!H$3:H$200, 'Project CAPEX'!$B$3:$B$200, Dashboard!$T17)*(-1)</f>
        <v>0</v>
      </c>
      <c r="Y17" s="662">
        <f>SUMIFS('Project CAPEX'!I$3:I$200, 'Project CAPEX'!$B$3:$B$200, Dashboard!$T17)*(-1)</f>
        <v>0</v>
      </c>
      <c r="Z17" s="662">
        <f>SUMIFS('Project CAPEX'!J$3:J$200, 'Project CAPEX'!$B$3:$B$200, Dashboard!$T17)*(-1)</f>
        <v>0</v>
      </c>
      <c r="AA17" s="662">
        <f>SUMIFS('Project CAPEX'!K$3:K$200, 'Project CAPEX'!$B$3:$B$200, Dashboard!$T17)*(-1)</f>
        <v>0</v>
      </c>
      <c r="AB17" s="662">
        <f>SUMIFS('Project CAPEX'!L$3:L$200, 'Project CAPEX'!$B$3:$B$200, Dashboard!$T17)*(-1)</f>
        <v>0</v>
      </c>
      <c r="AC17" s="662">
        <f>SUMIFS('Project CAPEX'!M$3:M$200, 'Project CAPEX'!$B$3:$B$200, Dashboard!$T17)*(-1)</f>
        <v>0</v>
      </c>
      <c r="AD17" s="662">
        <f>SUMIFS('Project CAPEX'!N$3:N$200, 'Project CAPEX'!$B$3:$B$200, Dashboard!$T17)*(-1)</f>
        <v>0</v>
      </c>
      <c r="AE17" s="662">
        <f>SUMIFS('Project CAPEX'!O$3:O$200, 'Project CAPEX'!$B$3:$B$200, Dashboard!$T17)*(-1)</f>
        <v>0</v>
      </c>
      <c r="AF17" s="662">
        <f>SUMIFS('Project CAPEX'!P$3:P$200, 'Project CAPEX'!$B$3:$B$200, Dashboard!$T17)*(-1)</f>
        <v>0</v>
      </c>
      <c r="AG17" s="662">
        <f>SUMIFS('Project CAPEX'!Q$3:Q$200, 'Project CAPEX'!$B$3:$B$200, Dashboard!$T17)*(-1)</f>
        <v>0</v>
      </c>
      <c r="AH17" s="662">
        <f>SUMIFS('Project CAPEX'!R$3:R$200, 'Project CAPEX'!$B$3:$B$200, Dashboard!$T17)*(-1)</f>
        <v>0</v>
      </c>
      <c r="AI17" s="662">
        <f>SUMIFS('Project CAPEX'!S$3:S$200, 'Project CAPEX'!$B$3:$B$200, Dashboard!$T17)*(-1)</f>
        <v>0</v>
      </c>
      <c r="AJ17" s="682">
        <f>SUMIFS('Project CAPEX'!T$3:T$200, 'Project CAPEX'!$B$3:$B$200, Dashboard!$T17)*(-1)</f>
        <v>0</v>
      </c>
      <c r="AL17" s="680" t="s">
        <v>6</v>
      </c>
      <c r="AM17" s="729">
        <f>SUMIFS('Project EPC'!E:E, 'Project EPC'!$B:$B, Dashboard!$AL17)</f>
        <v>2.5666666666666669</v>
      </c>
      <c r="AN17" s="729">
        <f>SUMIFS('Project EPC'!F:F, 'Project EPC'!$B:$B, Dashboard!$AL17)</f>
        <v>1.6333333333333333</v>
      </c>
      <c r="AO17" s="729">
        <f>SUMIFS('Project EPC'!G:G, 'Project EPC'!$B:$B, Dashboard!$AL17)</f>
        <v>0</v>
      </c>
      <c r="AP17" s="729">
        <f>SUMIFS('Project EPC'!H:H, 'Project EPC'!$B:$B, Dashboard!$AL17)</f>
        <v>0</v>
      </c>
      <c r="AQ17" s="729">
        <f>SUMIFS('Project EPC'!I:I, 'Project EPC'!$B:$B, Dashboard!$AL17)</f>
        <v>0</v>
      </c>
      <c r="AR17" s="729">
        <f>SUMIFS('Project EPC'!J:J, 'Project EPC'!$B:$B, Dashboard!$AL17)</f>
        <v>0</v>
      </c>
      <c r="AS17" s="729">
        <f>SUMIFS('Project EPC'!K:K, 'Project EPC'!$B:$B, Dashboard!$AL17)</f>
        <v>0</v>
      </c>
      <c r="AT17" s="729">
        <f>SUMIFS('Project EPC'!L:L, 'Project EPC'!$B:$B, Dashboard!$AL17)</f>
        <v>0</v>
      </c>
      <c r="AU17" s="729">
        <f>SUMIFS('Project EPC'!M:M, 'Project EPC'!$B:$B, Dashboard!$AL17)</f>
        <v>0</v>
      </c>
      <c r="AV17" s="729">
        <f>SUMIFS('Project EPC'!N:N, 'Project EPC'!$B:$B, Dashboard!$AL17)</f>
        <v>0</v>
      </c>
      <c r="AW17" s="729">
        <f>SUMIFS('Project EPC'!O:O, 'Project EPC'!$B:$B, Dashboard!$AL17)</f>
        <v>0</v>
      </c>
      <c r="AX17" s="729">
        <f>SUMIFS('Project EPC'!P:P, 'Project EPC'!$B:$B, Dashboard!$AL17)</f>
        <v>0</v>
      </c>
      <c r="AY17" s="729">
        <f>SUMIFS('Project EPC'!Q:Q, 'Project EPC'!$B:$B, Dashboard!$AL17)</f>
        <v>0</v>
      </c>
      <c r="AZ17" s="729">
        <f>SUMIFS('Project EPC'!R:R, 'Project EPC'!$B:$B, Dashboard!$AL17)</f>
        <v>0</v>
      </c>
      <c r="BA17" s="729">
        <f>SUMIFS('Project EPC'!S:S, 'Project EPC'!$B:$B, Dashboard!$AL17)</f>
        <v>0</v>
      </c>
      <c r="BB17" s="730">
        <f>SUMIFS('Project EPC'!T:T, 'Project EPC'!$B:$B, Dashboard!$AL17)</f>
        <v>0</v>
      </c>
    </row>
    <row r="18" spans="1:87">
      <c r="A18" s="728"/>
      <c r="B18" s="680"/>
      <c r="C18" s="695"/>
      <c r="D18" s="695"/>
      <c r="E18" s="695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695"/>
      <c r="Q18" s="695"/>
      <c r="R18" s="686"/>
      <c r="T18" s="690" t="s">
        <v>7</v>
      </c>
      <c r="U18" s="662">
        <f>SUMIFS('Project CAPEX'!E$3:E$200, 'Project CAPEX'!$B$3:$B$200, Dashboard!$T18)*(-1)</f>
        <v>0</v>
      </c>
      <c r="V18" s="662">
        <f>SUMIFS('Project CAPEX'!F$3:F$200, 'Project CAPEX'!$B$3:$B$200, Dashboard!$T18)*(-1)</f>
        <v>52.708333333333321</v>
      </c>
      <c r="W18" s="662">
        <f>SUMIFS('Project CAPEX'!G$3:G$200, 'Project CAPEX'!$B$3:$B$200, Dashboard!$T18)*(-1)</f>
        <v>4.7916666666666661</v>
      </c>
      <c r="X18" s="662">
        <f>SUMIFS('Project CAPEX'!H$3:H$200, 'Project CAPEX'!$B$3:$B$200, Dashboard!$T18)*(-1)</f>
        <v>0</v>
      </c>
      <c r="Y18" s="662">
        <f>SUMIFS('Project CAPEX'!I$3:I$200, 'Project CAPEX'!$B$3:$B$200, Dashboard!$T18)*(-1)</f>
        <v>0</v>
      </c>
      <c r="Z18" s="662">
        <f>SUMIFS('Project CAPEX'!J$3:J$200, 'Project CAPEX'!$B$3:$B$200, Dashboard!$T18)*(-1)</f>
        <v>0</v>
      </c>
      <c r="AA18" s="662">
        <f>SUMIFS('Project CAPEX'!K$3:K$200, 'Project CAPEX'!$B$3:$B$200, Dashboard!$T18)*(-1)</f>
        <v>0</v>
      </c>
      <c r="AB18" s="662">
        <f>SUMIFS('Project CAPEX'!L$3:L$200, 'Project CAPEX'!$B$3:$B$200, Dashboard!$T18)*(-1)</f>
        <v>0</v>
      </c>
      <c r="AC18" s="662">
        <f>SUMIFS('Project CAPEX'!M$3:M$200, 'Project CAPEX'!$B$3:$B$200, Dashboard!$T18)*(-1)</f>
        <v>0</v>
      </c>
      <c r="AD18" s="662">
        <f>SUMIFS('Project CAPEX'!N$3:N$200, 'Project CAPEX'!$B$3:$B$200, Dashboard!$T18)*(-1)</f>
        <v>0</v>
      </c>
      <c r="AE18" s="662">
        <f>SUMIFS('Project CAPEX'!O$3:O$200, 'Project CAPEX'!$B$3:$B$200, Dashboard!$T18)*(-1)</f>
        <v>0</v>
      </c>
      <c r="AF18" s="662">
        <f>SUMIFS('Project CAPEX'!P$3:P$200, 'Project CAPEX'!$B$3:$B$200, Dashboard!$T18)*(-1)</f>
        <v>0</v>
      </c>
      <c r="AG18" s="662">
        <f>SUMIFS('Project CAPEX'!Q$3:Q$200, 'Project CAPEX'!$B$3:$B$200, Dashboard!$T18)*(-1)</f>
        <v>0</v>
      </c>
      <c r="AH18" s="662">
        <f>SUMIFS('Project CAPEX'!R$3:R$200, 'Project CAPEX'!$B$3:$B$200, Dashboard!$T18)*(-1)</f>
        <v>0</v>
      </c>
      <c r="AI18" s="662">
        <f>SUMIFS('Project CAPEX'!S$3:S$200, 'Project CAPEX'!$B$3:$B$200, Dashboard!$T18)*(-1)</f>
        <v>0</v>
      </c>
      <c r="AJ18" s="682">
        <f>SUMIFS('Project CAPEX'!T$3:T$200, 'Project CAPEX'!$B$3:$B$200, Dashboard!$T18)*(-1)</f>
        <v>0</v>
      </c>
      <c r="AL18" s="680" t="s">
        <v>7</v>
      </c>
      <c r="AM18" s="729">
        <f>SUMIFS('Project EPC'!E:E, 'Project EPC'!$B:$B, Dashboard!$AL18)</f>
        <v>0</v>
      </c>
      <c r="AN18" s="729">
        <f>SUMIFS('Project EPC'!F:F, 'Project EPC'!$B:$B, Dashboard!$AL18)</f>
        <v>2.6354166666666661</v>
      </c>
      <c r="AO18" s="729">
        <f>SUMIFS('Project EPC'!G:G, 'Project EPC'!$B:$B, Dashboard!$AL18)</f>
        <v>0.23958333333333331</v>
      </c>
      <c r="AP18" s="729">
        <f>SUMIFS('Project EPC'!H:H, 'Project EPC'!$B:$B, Dashboard!$AL18)</f>
        <v>0</v>
      </c>
      <c r="AQ18" s="729">
        <f>SUMIFS('Project EPC'!I:I, 'Project EPC'!$B:$B, Dashboard!$AL18)</f>
        <v>0</v>
      </c>
      <c r="AR18" s="729">
        <f>SUMIFS('Project EPC'!J:J, 'Project EPC'!$B:$B, Dashboard!$AL18)</f>
        <v>0</v>
      </c>
      <c r="AS18" s="729">
        <f>SUMIFS('Project EPC'!K:K, 'Project EPC'!$B:$B, Dashboard!$AL18)</f>
        <v>0</v>
      </c>
      <c r="AT18" s="729">
        <f>SUMIFS('Project EPC'!L:L, 'Project EPC'!$B:$B, Dashboard!$AL18)</f>
        <v>0</v>
      </c>
      <c r="AU18" s="729">
        <f>SUMIFS('Project EPC'!M:M, 'Project EPC'!$B:$B, Dashboard!$AL18)</f>
        <v>0</v>
      </c>
      <c r="AV18" s="729">
        <f>SUMIFS('Project EPC'!N:N, 'Project EPC'!$B:$B, Dashboard!$AL18)</f>
        <v>0</v>
      </c>
      <c r="AW18" s="729">
        <f>SUMIFS('Project EPC'!O:O, 'Project EPC'!$B:$B, Dashboard!$AL18)</f>
        <v>0</v>
      </c>
      <c r="AX18" s="729">
        <f>SUMIFS('Project EPC'!P:P, 'Project EPC'!$B:$B, Dashboard!$AL18)</f>
        <v>0</v>
      </c>
      <c r="AY18" s="729">
        <f>SUMIFS('Project EPC'!Q:Q, 'Project EPC'!$B:$B, Dashboard!$AL18)</f>
        <v>0</v>
      </c>
      <c r="AZ18" s="729">
        <f>SUMIFS('Project EPC'!R:R, 'Project EPC'!$B:$B, Dashboard!$AL18)</f>
        <v>0</v>
      </c>
      <c r="BA18" s="729">
        <f>SUMIFS('Project EPC'!S:S, 'Project EPC'!$B:$B, Dashboard!$AL18)</f>
        <v>0</v>
      </c>
      <c r="BB18" s="730">
        <f>SUMIFS('Project EPC'!T:T, 'Project EPC'!$B:$B, Dashboard!$AL18)</f>
        <v>0</v>
      </c>
    </row>
    <row r="19" spans="1:87">
      <c r="B19" s="680" t="s">
        <v>8</v>
      </c>
      <c r="C19" s="753">
        <f>SUM(C16:C17)</f>
        <v>0</v>
      </c>
      <c r="D19" s="754">
        <f t="shared" ref="D19:R19" si="3">SUM(D16:D17)+C19</f>
        <v>71.112364704281774</v>
      </c>
      <c r="E19" s="754">
        <f t="shared" si="3"/>
        <v>180.08032848705307</v>
      </c>
      <c r="F19" s="754">
        <f t="shared" si="3"/>
        <v>770.58144028334505</v>
      </c>
      <c r="G19" s="754">
        <f t="shared" si="3"/>
        <v>1575.841173217573</v>
      </c>
      <c r="H19" s="754">
        <f t="shared" si="3"/>
        <v>2499.8923133353164</v>
      </c>
      <c r="I19" s="754">
        <f t="shared" si="3"/>
        <v>3568.9898996612742</v>
      </c>
      <c r="J19" s="754">
        <f t="shared" si="3"/>
        <v>4669.9135527475937</v>
      </c>
      <c r="K19" s="754">
        <f t="shared" si="3"/>
        <v>5790.6409885801622</v>
      </c>
      <c r="L19" s="754">
        <f t="shared" si="3"/>
        <v>6931.5543373972914</v>
      </c>
      <c r="M19" s="754">
        <f t="shared" si="3"/>
        <v>8093.0430153216203</v>
      </c>
      <c r="N19" s="754">
        <f t="shared" si="3"/>
        <v>9275.5038616099901</v>
      </c>
      <c r="O19" s="754">
        <f t="shared" si="3"/>
        <v>10479.341278429234</v>
      </c>
      <c r="P19" s="754">
        <f t="shared" si="3"/>
        <v>11704.967373202428</v>
      </c>
      <c r="Q19" s="754">
        <f t="shared" si="3"/>
        <v>12952.80210357087</v>
      </c>
      <c r="R19" s="685">
        <f t="shared" si="3"/>
        <v>14223.273425017805</v>
      </c>
      <c r="T19" s="689" t="s">
        <v>9</v>
      </c>
      <c r="U19" s="662">
        <f>SUMIFS('Project CAPEX'!E$3:E$200, 'Project CAPEX'!$B$3:$B$200, Dashboard!$T19)*(-1)</f>
        <v>0</v>
      </c>
      <c r="V19" s="662">
        <f>SUMIFS('Project CAPEX'!F$3:F$200, 'Project CAPEX'!$B$3:$B$200, Dashboard!$T19)*(-1)</f>
        <v>330</v>
      </c>
      <c r="W19" s="662">
        <f>SUMIFS('Project CAPEX'!G$3:G$200, 'Project CAPEX'!$B$3:$B$200, Dashboard!$T19)*(-1)</f>
        <v>360</v>
      </c>
      <c r="X19" s="662">
        <f>SUMIFS('Project CAPEX'!H$3:H$200, 'Project CAPEX'!$B$3:$B$200, Dashboard!$T19)*(-1)</f>
        <v>360</v>
      </c>
      <c r="Y19" s="662">
        <f>SUMIFS('Project CAPEX'!I$3:I$200, 'Project CAPEX'!$B$3:$B$200, Dashboard!$T19)*(-1)</f>
        <v>360</v>
      </c>
      <c r="Z19" s="662">
        <f>SUMIFS('Project CAPEX'!J$3:J$200, 'Project CAPEX'!$B$3:$B$200, Dashboard!$T19)*(-1)</f>
        <v>30</v>
      </c>
      <c r="AA19" s="662">
        <f>SUMIFS('Project CAPEX'!K$3:K$200, 'Project CAPEX'!$B$3:$B$200, Dashboard!$T19)*(-1)</f>
        <v>0</v>
      </c>
      <c r="AB19" s="662">
        <f>SUMIFS('Project CAPEX'!L$3:L$200, 'Project CAPEX'!$B$3:$B$200, Dashboard!$T19)*(-1)</f>
        <v>0</v>
      </c>
      <c r="AC19" s="662">
        <f>SUMIFS('Project CAPEX'!M$3:M$200, 'Project CAPEX'!$B$3:$B$200, Dashboard!$T19)*(-1)</f>
        <v>0</v>
      </c>
      <c r="AD19" s="662">
        <f>SUMIFS('Project CAPEX'!N$3:N$200, 'Project CAPEX'!$B$3:$B$200, Dashboard!$T19)*(-1)</f>
        <v>0</v>
      </c>
      <c r="AE19" s="662">
        <f>SUMIFS('Project CAPEX'!O$3:O$200, 'Project CAPEX'!$B$3:$B$200, Dashboard!$T19)*(-1)</f>
        <v>0</v>
      </c>
      <c r="AF19" s="662">
        <f>SUMIFS('Project CAPEX'!P$3:P$200, 'Project CAPEX'!$B$3:$B$200, Dashboard!$T19)*(-1)</f>
        <v>0</v>
      </c>
      <c r="AG19" s="662">
        <f>SUMIFS('Project CAPEX'!Q$3:Q$200, 'Project CAPEX'!$B$3:$B$200, Dashboard!$T19)*(-1)</f>
        <v>0</v>
      </c>
      <c r="AH19" s="662">
        <f>SUMIFS('Project CAPEX'!R$3:R$200, 'Project CAPEX'!$B$3:$B$200, Dashboard!$T19)*(-1)</f>
        <v>0</v>
      </c>
      <c r="AI19" s="662">
        <f>SUMIFS('Project CAPEX'!S$3:S$200, 'Project CAPEX'!$B$3:$B$200, Dashboard!$T19)*(-1)</f>
        <v>0</v>
      </c>
      <c r="AJ19" s="682">
        <f>SUMIFS('Project CAPEX'!T$3:T$200, 'Project CAPEX'!$B$3:$B$200, Dashboard!$T19)*(-1)</f>
        <v>0</v>
      </c>
      <c r="AL19" s="680" t="s">
        <v>9</v>
      </c>
      <c r="AM19" s="729">
        <f>SUMIFS('Project EPC'!E:E, 'Project EPC'!$B:$B, Dashboard!$AL19)</f>
        <v>0</v>
      </c>
      <c r="AN19" s="729">
        <f>SUMIFS('Project EPC'!F:F, 'Project EPC'!$B:$B, Dashboard!$AL19)</f>
        <v>16.5</v>
      </c>
      <c r="AO19" s="729">
        <f>SUMIFS('Project EPC'!G:G, 'Project EPC'!$B:$B, Dashboard!$AL19)</f>
        <v>18</v>
      </c>
      <c r="AP19" s="729">
        <f>SUMIFS('Project EPC'!H:H, 'Project EPC'!$B:$B, Dashboard!$AL19)</f>
        <v>18</v>
      </c>
      <c r="AQ19" s="729">
        <f>SUMIFS('Project EPC'!I:I, 'Project EPC'!$B:$B, Dashboard!$AL19)</f>
        <v>18</v>
      </c>
      <c r="AR19" s="729">
        <f>SUMIFS('Project EPC'!J:J, 'Project EPC'!$B:$B, Dashboard!$AL19)</f>
        <v>1.5</v>
      </c>
      <c r="AS19" s="729">
        <f>SUMIFS('Project EPC'!K:K, 'Project EPC'!$B:$B, Dashboard!$AL19)</f>
        <v>0</v>
      </c>
      <c r="AT19" s="729">
        <f>SUMIFS('Project EPC'!L:L, 'Project EPC'!$B:$B, Dashboard!$AL19)</f>
        <v>0</v>
      </c>
      <c r="AU19" s="729">
        <f>SUMIFS('Project EPC'!M:M, 'Project EPC'!$B:$B, Dashboard!$AL19)</f>
        <v>0</v>
      </c>
      <c r="AV19" s="729">
        <f>SUMIFS('Project EPC'!N:N, 'Project EPC'!$B:$B, Dashboard!$AL19)</f>
        <v>0</v>
      </c>
      <c r="AW19" s="729">
        <f>SUMIFS('Project EPC'!O:O, 'Project EPC'!$B:$B, Dashboard!$AL19)</f>
        <v>0</v>
      </c>
      <c r="AX19" s="729">
        <f>SUMIFS('Project EPC'!P:P, 'Project EPC'!$B:$B, Dashboard!$AL19)</f>
        <v>0</v>
      </c>
      <c r="AY19" s="729">
        <f>SUMIFS('Project EPC'!Q:Q, 'Project EPC'!$B:$B, Dashboard!$AL19)</f>
        <v>0</v>
      </c>
      <c r="AZ19" s="729">
        <f>SUMIFS('Project EPC'!R:R, 'Project EPC'!$B:$B, Dashboard!$AL19)</f>
        <v>0</v>
      </c>
      <c r="BA19" s="729">
        <f>SUMIFS('Project EPC'!S:S, 'Project EPC'!$B:$B, Dashboard!$AL19)</f>
        <v>0</v>
      </c>
      <c r="BB19" s="730">
        <f>SUMIFS('Project EPC'!T:T, 'Project EPC'!$B:$B, Dashboard!$AL19)</f>
        <v>0</v>
      </c>
    </row>
    <row r="20" spans="1:87">
      <c r="B20" s="680" t="s">
        <v>10</v>
      </c>
      <c r="C20" s="754">
        <f>C16</f>
        <v>0</v>
      </c>
      <c r="D20" s="754">
        <f>D16+C20</f>
        <v>19.20033847015608</v>
      </c>
      <c r="E20" s="754">
        <f t="shared" ref="E20:R20" si="4">E16+D20</f>
        <v>48.621688691504332</v>
      </c>
      <c r="F20" s="754">
        <f t="shared" si="4"/>
        <v>208.05698887650317</v>
      </c>
      <c r="G20" s="754">
        <f t="shared" si="4"/>
        <v>425.47711676874474</v>
      </c>
      <c r="H20" s="754">
        <f t="shared" si="4"/>
        <v>674.97092460053545</v>
      </c>
      <c r="I20" s="754">
        <f t="shared" si="4"/>
        <v>963.627272908544</v>
      </c>
      <c r="J20" s="754">
        <f t="shared" si="4"/>
        <v>1260.8766592418503</v>
      </c>
      <c r="K20" s="754">
        <f t="shared" si="4"/>
        <v>1563.4730669166438</v>
      </c>
      <c r="L20" s="754">
        <f t="shared" si="4"/>
        <v>1871.5196710972687</v>
      </c>
      <c r="M20" s="754">
        <f t="shared" si="4"/>
        <v>2185.1216141368373</v>
      </c>
      <c r="N20" s="754">
        <f t="shared" si="4"/>
        <v>2504.3860426346969</v>
      </c>
      <c r="O20" s="754">
        <f t="shared" si="4"/>
        <v>2829.4221451758926</v>
      </c>
      <c r="P20" s="754">
        <f t="shared" si="4"/>
        <v>3160.341190764655</v>
      </c>
      <c r="Q20" s="754">
        <f t="shared" si="4"/>
        <v>3497.2565679641343</v>
      </c>
      <c r="R20" s="685">
        <f t="shared" si="4"/>
        <v>3840.283824754807</v>
      </c>
      <c r="T20" s="690" t="s">
        <v>11</v>
      </c>
      <c r="U20" s="662">
        <f>SUMIFS('Project CAPEX'!E$3:E$200, 'Project CAPEX'!$B$3:$B$200, Dashboard!$T20)*(-1)</f>
        <v>0</v>
      </c>
      <c r="V20" s="662">
        <f>SUMIFS('Project CAPEX'!F$3:F$200, 'Project CAPEX'!$B$3:$B$200, Dashboard!$T20)*(-1)</f>
        <v>0</v>
      </c>
      <c r="W20" s="662">
        <f>SUMIFS('Project CAPEX'!G$3:G$200, 'Project CAPEX'!$B$3:$B$200, Dashboard!$T20)*(-1)</f>
        <v>660</v>
      </c>
      <c r="X20" s="662">
        <f>SUMIFS('Project CAPEX'!H$3:H$200, 'Project CAPEX'!$B$3:$B$200, Dashboard!$T20)*(-1)</f>
        <v>60</v>
      </c>
      <c r="Y20" s="662">
        <f>SUMIFS('Project CAPEX'!I$3:I$200, 'Project CAPEX'!$B$3:$B$200, Dashboard!$T20)*(-1)</f>
        <v>0</v>
      </c>
      <c r="Z20" s="662">
        <f>SUMIFS('Project CAPEX'!J$3:J$200, 'Project CAPEX'!$B$3:$B$200, Dashboard!$T20)*(-1)</f>
        <v>0</v>
      </c>
      <c r="AA20" s="662">
        <f>SUMIFS('Project CAPEX'!K$3:K$200, 'Project CAPEX'!$B$3:$B$200, Dashboard!$T20)*(-1)</f>
        <v>0</v>
      </c>
      <c r="AB20" s="662">
        <f>SUMIFS('Project CAPEX'!L$3:L$200, 'Project CAPEX'!$B$3:$B$200, Dashboard!$T20)*(-1)</f>
        <v>0</v>
      </c>
      <c r="AC20" s="662">
        <f>SUMIFS('Project CAPEX'!M$3:M$200, 'Project CAPEX'!$B$3:$B$200, Dashboard!$T20)*(-1)</f>
        <v>0</v>
      </c>
      <c r="AD20" s="662">
        <f>SUMIFS('Project CAPEX'!N$3:N$200, 'Project CAPEX'!$B$3:$B$200, Dashboard!$T20)*(-1)</f>
        <v>0</v>
      </c>
      <c r="AE20" s="662">
        <f>SUMIFS('Project CAPEX'!O$3:O$200, 'Project CAPEX'!$B$3:$B$200, Dashboard!$T20)*(-1)</f>
        <v>0</v>
      </c>
      <c r="AF20" s="662">
        <f>SUMIFS('Project CAPEX'!P$3:P$200, 'Project CAPEX'!$B$3:$B$200, Dashboard!$T20)*(-1)</f>
        <v>0</v>
      </c>
      <c r="AG20" s="662">
        <f>SUMIFS('Project CAPEX'!Q$3:Q$200, 'Project CAPEX'!$B$3:$B$200, Dashboard!$T20)*(-1)</f>
        <v>0</v>
      </c>
      <c r="AH20" s="662">
        <f>SUMIFS('Project CAPEX'!R$3:R$200, 'Project CAPEX'!$B$3:$B$200, Dashboard!$T20)*(-1)</f>
        <v>0</v>
      </c>
      <c r="AI20" s="662">
        <f>SUMIFS('Project CAPEX'!S$3:S$200, 'Project CAPEX'!$B$3:$B$200, Dashboard!$T20)*(-1)</f>
        <v>0</v>
      </c>
      <c r="AJ20" s="682">
        <f>SUMIFS('Project CAPEX'!T$3:T$200, 'Project CAPEX'!$B$3:$B$200, Dashboard!$T20)*(-1)</f>
        <v>0</v>
      </c>
      <c r="AL20" s="680" t="s">
        <v>11</v>
      </c>
      <c r="AM20" s="729">
        <f>SUMIFS('Project EPC'!E:E, 'Project EPC'!$B:$B, Dashboard!$AL20)</f>
        <v>0</v>
      </c>
      <c r="AN20" s="729">
        <f>SUMIFS('Project EPC'!F:F, 'Project EPC'!$B:$B, Dashboard!$AL20)</f>
        <v>0</v>
      </c>
      <c r="AO20" s="729">
        <f>SUMIFS('Project EPC'!G:G, 'Project EPC'!$B:$B, Dashboard!$AL20)</f>
        <v>33</v>
      </c>
      <c r="AP20" s="729">
        <f>SUMIFS('Project EPC'!H:H, 'Project EPC'!$B:$B, Dashboard!$AL20)</f>
        <v>3</v>
      </c>
      <c r="AQ20" s="729">
        <f>SUMIFS('Project EPC'!I:I, 'Project EPC'!$B:$B, Dashboard!$AL20)</f>
        <v>0</v>
      </c>
      <c r="AR20" s="729">
        <f>SUMIFS('Project EPC'!J:J, 'Project EPC'!$B:$B, Dashboard!$AL20)</f>
        <v>0</v>
      </c>
      <c r="AS20" s="729">
        <f>SUMIFS('Project EPC'!K:K, 'Project EPC'!$B:$B, Dashboard!$AL20)</f>
        <v>0</v>
      </c>
      <c r="AT20" s="729">
        <f>SUMIFS('Project EPC'!L:L, 'Project EPC'!$B:$B, Dashboard!$AL20)</f>
        <v>0</v>
      </c>
      <c r="AU20" s="729">
        <f>SUMIFS('Project EPC'!M:M, 'Project EPC'!$B:$B, Dashboard!$AL20)</f>
        <v>0</v>
      </c>
      <c r="AV20" s="729">
        <f>SUMIFS('Project EPC'!N:N, 'Project EPC'!$B:$B, Dashboard!$AL20)</f>
        <v>0</v>
      </c>
      <c r="AW20" s="729">
        <f>SUMIFS('Project EPC'!O:O, 'Project EPC'!$B:$B, Dashboard!$AL20)</f>
        <v>0</v>
      </c>
      <c r="AX20" s="729">
        <f>SUMIFS('Project EPC'!P:P, 'Project EPC'!$B:$B, Dashboard!$AL20)</f>
        <v>0</v>
      </c>
      <c r="AY20" s="729">
        <f>SUMIFS('Project EPC'!Q:Q, 'Project EPC'!$B:$B, Dashboard!$AL20)</f>
        <v>0</v>
      </c>
      <c r="AZ20" s="729">
        <f>SUMIFS('Project EPC'!R:R, 'Project EPC'!$B:$B, Dashboard!$AL20)</f>
        <v>0</v>
      </c>
      <c r="BA20" s="729">
        <f>SUMIFS('Project EPC'!S:S, 'Project EPC'!$B:$B, Dashboard!$AL20)</f>
        <v>0</v>
      </c>
      <c r="BB20" s="730">
        <f>SUMIFS('Project EPC'!T:T, 'Project EPC'!$B:$B, Dashboard!$AL20)</f>
        <v>0</v>
      </c>
    </row>
    <row r="21" spans="1:87" ht="16" thickBot="1">
      <c r="B21" s="681" t="s">
        <v>12</v>
      </c>
      <c r="C21" s="684">
        <f>C17</f>
        <v>0</v>
      </c>
      <c r="D21" s="684">
        <f>D17+C21</f>
        <v>51.91202623412569</v>
      </c>
      <c r="E21" s="684">
        <f t="shared" ref="E21:R21" si="5">E17+D21</f>
        <v>131.45863979554872</v>
      </c>
      <c r="F21" s="684">
        <f t="shared" si="5"/>
        <v>562.52445140684188</v>
      </c>
      <c r="G21" s="684">
        <f t="shared" si="5"/>
        <v>1150.3640564488283</v>
      </c>
      <c r="H21" s="684">
        <f t="shared" si="5"/>
        <v>1824.921388734781</v>
      </c>
      <c r="I21" s="684">
        <f t="shared" si="5"/>
        <v>2605.3626267527302</v>
      </c>
      <c r="J21" s="684">
        <f t="shared" si="5"/>
        <v>3409.0368935057436</v>
      </c>
      <c r="K21" s="684">
        <f t="shared" si="5"/>
        <v>4227.1679216635184</v>
      </c>
      <c r="L21" s="684">
        <f t="shared" si="5"/>
        <v>5060.0346663000228</v>
      </c>
      <c r="M21" s="684">
        <f t="shared" si="5"/>
        <v>5907.9214011847826</v>
      </c>
      <c r="N21" s="684">
        <f t="shared" si="5"/>
        <v>6771.1178189752918</v>
      </c>
      <c r="O21" s="684">
        <f t="shared" si="5"/>
        <v>7649.9191332533401</v>
      </c>
      <c r="P21" s="684">
        <f t="shared" si="5"/>
        <v>8544.6261824377707</v>
      </c>
      <c r="Q21" s="684">
        <f t="shared" si="5"/>
        <v>9455.5455356067341</v>
      </c>
      <c r="R21" s="683">
        <f t="shared" si="5"/>
        <v>10382.989600262998</v>
      </c>
      <c r="T21" s="690" t="s">
        <v>13</v>
      </c>
      <c r="U21" s="662">
        <f>SUMIFS('Project CAPEX'!E$3:E$200, 'Project CAPEX'!$B$3:$B$200, Dashboard!$T21)*(-1)</f>
        <v>103.125</v>
      </c>
      <c r="V21" s="662">
        <f>SUMIFS('Project CAPEX'!F$3:F$200, 'Project CAPEX'!$B$3:$B$200, Dashboard!$T21)*(-1)</f>
        <v>9.375</v>
      </c>
      <c r="W21" s="662">
        <f>SUMIFS('Project CAPEX'!G$3:G$200, 'Project CAPEX'!$B$3:$B$200, Dashboard!$T21)*(-1)</f>
        <v>0</v>
      </c>
      <c r="X21" s="662">
        <f>SUMIFS('Project CAPEX'!H$3:H$200, 'Project CAPEX'!$B$3:$B$200, Dashboard!$T21)*(-1)</f>
        <v>0</v>
      </c>
      <c r="Y21" s="662">
        <f>SUMIFS('Project CAPEX'!I$3:I$200, 'Project CAPEX'!$B$3:$B$200, Dashboard!$T21)*(-1)</f>
        <v>0</v>
      </c>
      <c r="Z21" s="662">
        <f>SUMIFS('Project CAPEX'!J$3:J$200, 'Project CAPEX'!$B$3:$B$200, Dashboard!$T21)*(-1)</f>
        <v>0</v>
      </c>
      <c r="AA21" s="662">
        <f>SUMIFS('Project CAPEX'!K$3:K$200, 'Project CAPEX'!$B$3:$B$200, Dashboard!$T21)*(-1)</f>
        <v>0</v>
      </c>
      <c r="AB21" s="662">
        <f>SUMIFS('Project CAPEX'!L$3:L$200, 'Project CAPEX'!$B$3:$B$200, Dashboard!$T21)*(-1)</f>
        <v>0</v>
      </c>
      <c r="AC21" s="662">
        <f>SUMIFS('Project CAPEX'!M$3:M$200, 'Project CAPEX'!$B$3:$B$200, Dashboard!$T21)*(-1)</f>
        <v>0</v>
      </c>
      <c r="AD21" s="662">
        <f>SUMIFS('Project CAPEX'!N$3:N$200, 'Project CAPEX'!$B$3:$B$200, Dashboard!$T21)*(-1)</f>
        <v>0</v>
      </c>
      <c r="AE21" s="662">
        <f>SUMIFS('Project CAPEX'!O$3:O$200, 'Project CAPEX'!$B$3:$B$200, Dashboard!$T21)*(-1)</f>
        <v>0</v>
      </c>
      <c r="AF21" s="662">
        <f>SUMIFS('Project CAPEX'!P$3:P$200, 'Project CAPEX'!$B$3:$B$200, Dashboard!$T21)*(-1)</f>
        <v>0</v>
      </c>
      <c r="AG21" s="662">
        <f>SUMIFS('Project CAPEX'!Q$3:Q$200, 'Project CAPEX'!$B$3:$B$200, Dashboard!$T21)*(-1)</f>
        <v>0</v>
      </c>
      <c r="AH21" s="662">
        <f>SUMIFS('Project CAPEX'!R$3:R$200, 'Project CAPEX'!$B$3:$B$200, Dashboard!$T21)*(-1)</f>
        <v>0</v>
      </c>
      <c r="AI21" s="662">
        <f>SUMIFS('Project CAPEX'!S$3:S$200, 'Project CAPEX'!$B$3:$B$200, Dashboard!$T21)*(-1)</f>
        <v>0</v>
      </c>
      <c r="AJ21" s="682">
        <f>SUMIFS('Project CAPEX'!T$3:T$200, 'Project CAPEX'!$B$3:$B$200, Dashboard!$T21)*(-1)</f>
        <v>0</v>
      </c>
      <c r="AL21" s="681" t="s">
        <v>13</v>
      </c>
      <c r="AM21" s="731">
        <f>SUMIFS('Project EPC'!E:E, 'Project EPC'!$B:$B, Dashboard!$AL21)</f>
        <v>5.15625</v>
      </c>
      <c r="AN21" s="731">
        <f>SUMIFS('Project EPC'!F:F, 'Project EPC'!$B:$B, Dashboard!$AL21)</f>
        <v>0.46875</v>
      </c>
      <c r="AO21" s="731">
        <f>SUMIFS('Project EPC'!G:G, 'Project EPC'!$B:$B, Dashboard!$AL21)</f>
        <v>0</v>
      </c>
      <c r="AP21" s="731">
        <f>SUMIFS('Project EPC'!H:H, 'Project EPC'!$B:$B, Dashboard!$AL21)</f>
        <v>0</v>
      </c>
      <c r="AQ21" s="731">
        <f>SUMIFS('Project EPC'!I:I, 'Project EPC'!$B:$B, Dashboard!$AL21)</f>
        <v>0</v>
      </c>
      <c r="AR21" s="731">
        <f>SUMIFS('Project EPC'!J:J, 'Project EPC'!$B:$B, Dashboard!$AL21)</f>
        <v>0</v>
      </c>
      <c r="AS21" s="731">
        <f>SUMIFS('Project EPC'!K:K, 'Project EPC'!$B:$B, Dashboard!$AL21)</f>
        <v>0</v>
      </c>
      <c r="AT21" s="731">
        <f>SUMIFS('Project EPC'!L:L, 'Project EPC'!$B:$B, Dashboard!$AL21)</f>
        <v>0</v>
      </c>
      <c r="AU21" s="731">
        <f>SUMIFS('Project EPC'!M:M, 'Project EPC'!$B:$B, Dashboard!$AL21)</f>
        <v>0</v>
      </c>
      <c r="AV21" s="731">
        <f>SUMIFS('Project EPC'!N:N, 'Project EPC'!$B:$B, Dashboard!$AL21)</f>
        <v>0</v>
      </c>
      <c r="AW21" s="731">
        <f>SUMIFS('Project EPC'!O:O, 'Project EPC'!$B:$B, Dashboard!$AL21)</f>
        <v>0</v>
      </c>
      <c r="AX21" s="731">
        <f>SUMIFS('Project EPC'!P:P, 'Project EPC'!$B:$B, Dashboard!$AL21)</f>
        <v>0</v>
      </c>
      <c r="AY21" s="731">
        <f>SUMIFS('Project EPC'!Q:Q, 'Project EPC'!$B:$B, Dashboard!$AL21)</f>
        <v>0</v>
      </c>
      <c r="AZ21" s="731">
        <f>SUMIFS('Project EPC'!R:R, 'Project EPC'!$B:$B, Dashboard!$AL21)</f>
        <v>0</v>
      </c>
      <c r="BA21" s="731">
        <f>SUMIFS('Project EPC'!S:S, 'Project EPC'!$B:$B, Dashboard!$AL21)</f>
        <v>0</v>
      </c>
      <c r="BB21" s="732">
        <f>SUMIFS('Project EPC'!T:T, 'Project EPC'!$B:$B, Dashboard!$AL21)</f>
        <v>0</v>
      </c>
    </row>
    <row r="22" spans="1:87" ht="16" thickBot="1">
      <c r="C22" s="715"/>
      <c r="D22" s="715"/>
      <c r="E22" s="715"/>
      <c r="F22" s="715"/>
      <c r="G22" s="715"/>
      <c r="H22" s="715"/>
      <c r="I22" s="715"/>
      <c r="J22" s="715"/>
      <c r="K22" s="715"/>
      <c r="L22" s="715"/>
      <c r="M22" s="715"/>
      <c r="N22" s="715"/>
      <c r="O22" s="715"/>
      <c r="P22" s="715"/>
      <c r="Q22" s="715"/>
      <c r="R22" s="715"/>
      <c r="T22" s="690"/>
      <c r="U22" s="702"/>
      <c r="V22" s="703"/>
      <c r="W22" s="703"/>
      <c r="X22" s="703"/>
      <c r="Y22" s="703"/>
      <c r="Z22" s="703"/>
      <c r="AA22" s="703"/>
      <c r="AB22" s="703"/>
      <c r="AC22" s="703"/>
      <c r="AD22" s="703"/>
      <c r="AE22" s="703"/>
      <c r="AF22" s="703"/>
      <c r="AG22" s="703"/>
      <c r="AH22" s="703"/>
      <c r="AI22" s="703"/>
      <c r="AJ22" s="704"/>
      <c r="AL22" s="718"/>
      <c r="AM22" s="733"/>
      <c r="AN22" s="733"/>
      <c r="AO22" s="733"/>
      <c r="AP22" s="733"/>
      <c r="AQ22" s="733"/>
      <c r="AR22" s="733"/>
      <c r="AS22" s="733"/>
      <c r="AT22" s="733"/>
      <c r="AU22" s="733"/>
      <c r="AV22" s="733"/>
      <c r="AW22" s="733"/>
      <c r="AX22" s="733"/>
      <c r="AY22" s="733"/>
      <c r="AZ22" s="733"/>
      <c r="BA22" s="733"/>
      <c r="BB22" s="733"/>
    </row>
    <row r="23" spans="1:87">
      <c r="C23" s="774" t="s">
        <v>14</v>
      </c>
      <c r="D23" s="775"/>
      <c r="E23" s="775"/>
      <c r="F23" s="774" t="s">
        <v>15</v>
      </c>
      <c r="G23" s="775"/>
      <c r="H23" s="775"/>
      <c r="I23" s="774" t="s">
        <v>16</v>
      </c>
      <c r="J23" s="775"/>
      <c r="K23" s="780"/>
      <c r="L23" s="774" t="s">
        <v>17</v>
      </c>
      <c r="M23" s="775"/>
      <c r="N23" s="775"/>
      <c r="O23" s="774" t="s">
        <v>18</v>
      </c>
      <c r="P23" s="775"/>
      <c r="Q23" s="780"/>
      <c r="R23" s="715"/>
      <c r="T23" s="690" t="s">
        <v>19</v>
      </c>
      <c r="U23" s="693">
        <f>'Project List References'!D13</f>
        <v>2057.1428571428569</v>
      </c>
      <c r="V23" s="693">
        <f>IF(V26="yes", $U$23+U24, 0)+U25</f>
        <v>1902.6845238095236</v>
      </c>
      <c r="W23" s="693">
        <f>IF(W26="yes", $U$23+V24, 0)+V25</f>
        <v>1444.3234126984125</v>
      </c>
      <c r="X23" s="693">
        <f t="shared" ref="X23:AJ23" si="6">IF(X26="yes", $U$23+W24, 0)+W25</f>
        <v>382.86507936507928</v>
      </c>
      <c r="Y23" s="693">
        <f t="shared" si="6"/>
        <v>0</v>
      </c>
      <c r="Z23" s="693">
        <f t="shared" si="6"/>
        <v>0</v>
      </c>
      <c r="AA23" s="693">
        <f t="shared" si="6"/>
        <v>0</v>
      </c>
      <c r="AB23" s="693">
        <f>IF(AB26="yes", $U$23+AA24, 0)+AA25</f>
        <v>0</v>
      </c>
      <c r="AC23" s="693">
        <f t="shared" si="6"/>
        <v>0</v>
      </c>
      <c r="AD23" s="693">
        <f t="shared" si="6"/>
        <v>0</v>
      </c>
      <c r="AE23" s="693">
        <f t="shared" si="6"/>
        <v>0</v>
      </c>
      <c r="AF23" s="693">
        <f t="shared" si="6"/>
        <v>0</v>
      </c>
      <c r="AG23" s="693">
        <f t="shared" si="6"/>
        <v>0</v>
      </c>
      <c r="AH23" s="693">
        <f t="shared" si="6"/>
        <v>0</v>
      </c>
      <c r="AI23" s="693">
        <f t="shared" si="6"/>
        <v>0</v>
      </c>
      <c r="AJ23" s="694">
        <f t="shared" si="6"/>
        <v>0</v>
      </c>
      <c r="AL23" s="718"/>
      <c r="AM23" s="733"/>
      <c r="AN23" s="733"/>
      <c r="AO23" s="733"/>
      <c r="AP23" s="733"/>
      <c r="AQ23" s="733"/>
      <c r="AR23" s="733"/>
      <c r="AS23" s="733"/>
      <c r="AT23" s="733"/>
      <c r="AU23" s="733"/>
      <c r="AV23" s="733"/>
      <c r="AW23" s="733"/>
      <c r="AX23" s="733"/>
      <c r="AY23" s="733"/>
      <c r="AZ23" s="733"/>
      <c r="BA23" s="733"/>
      <c r="BB23" s="733"/>
    </row>
    <row r="24" spans="1:87">
      <c r="C24" s="781">
        <f>SUM(U16:AJ21)</f>
        <v>2524</v>
      </c>
      <c r="D24" s="782"/>
      <c r="E24" s="783"/>
      <c r="F24" s="787">
        <f>AJ66+AJ67</f>
        <v>42</v>
      </c>
      <c r="G24" s="777"/>
      <c r="H24" s="777"/>
      <c r="I24" s="787">
        <f>COUNTIF('Project Master Sheet'!A3:A3000, "*")</f>
        <v>0</v>
      </c>
      <c r="J24" s="777"/>
      <c r="K24" s="790"/>
      <c r="L24" s="776">
        <f>SUM(BB84:BB87)</f>
        <v>620</v>
      </c>
      <c r="M24" s="777"/>
      <c r="N24" s="777"/>
      <c r="O24" s="781">
        <f>R19</f>
        <v>14223.273425017805</v>
      </c>
      <c r="P24" s="782"/>
      <c r="Q24" s="783"/>
      <c r="R24" s="715"/>
      <c r="T24" s="690" t="s">
        <v>20</v>
      </c>
      <c r="U24" s="695">
        <f>IF(U25=0,SUM(U16:U21)-U23, 0)</f>
        <v>0</v>
      </c>
      <c r="V24" s="695">
        <f t="shared" ref="V24:AJ24" si="7">IF(V25=0,SUM(V16:V21)-V23, 0)</f>
        <v>0</v>
      </c>
      <c r="W24" s="695">
        <f t="shared" si="7"/>
        <v>0</v>
      </c>
      <c r="X24" s="695">
        <f t="shared" si="7"/>
        <v>73.801587301587404</v>
      </c>
      <c r="Y24" s="695">
        <f t="shared" si="7"/>
        <v>363.05555555555554</v>
      </c>
      <c r="Z24" s="695">
        <f t="shared" si="7"/>
        <v>30</v>
      </c>
      <c r="AA24" s="695">
        <f t="shared" si="7"/>
        <v>0</v>
      </c>
      <c r="AB24" s="695">
        <f t="shared" si="7"/>
        <v>0</v>
      </c>
      <c r="AC24" s="695">
        <f t="shared" si="7"/>
        <v>0</v>
      </c>
      <c r="AD24" s="695">
        <f t="shared" si="7"/>
        <v>0</v>
      </c>
      <c r="AE24" s="695">
        <f t="shared" si="7"/>
        <v>0</v>
      </c>
      <c r="AF24" s="695">
        <f t="shared" si="7"/>
        <v>0</v>
      </c>
      <c r="AG24" s="695">
        <f t="shared" si="7"/>
        <v>0</v>
      </c>
      <c r="AH24" s="695">
        <f t="shared" si="7"/>
        <v>0</v>
      </c>
      <c r="AI24" s="695">
        <f t="shared" si="7"/>
        <v>0</v>
      </c>
      <c r="AJ24" s="686">
        <f t="shared" si="7"/>
        <v>0</v>
      </c>
      <c r="AL24" s="718"/>
      <c r="AM24" s="733"/>
      <c r="AN24" s="733"/>
      <c r="AO24" s="733"/>
      <c r="AP24" s="733"/>
      <c r="AQ24" s="733"/>
      <c r="AR24" s="733"/>
      <c r="AS24" s="733"/>
      <c r="AT24" s="733"/>
      <c r="AU24" s="733"/>
      <c r="AV24" s="733"/>
      <c r="AW24" s="733"/>
      <c r="AX24" s="733"/>
      <c r="AY24" s="733"/>
      <c r="AZ24" s="733"/>
      <c r="BA24" s="733"/>
      <c r="BB24" s="733"/>
    </row>
    <row r="25" spans="1:87" ht="16" thickBot="1">
      <c r="C25" s="784"/>
      <c r="D25" s="785"/>
      <c r="E25" s="786"/>
      <c r="F25" s="788"/>
      <c r="G25" s="789"/>
      <c r="H25" s="789"/>
      <c r="I25" s="791"/>
      <c r="J25" s="792"/>
      <c r="K25" s="792"/>
      <c r="L25" s="778"/>
      <c r="M25" s="779"/>
      <c r="N25" s="779"/>
      <c r="O25" s="784"/>
      <c r="P25" s="785"/>
      <c r="Q25" s="786"/>
      <c r="R25" s="715"/>
      <c r="T25" s="690" t="s">
        <v>21</v>
      </c>
      <c r="U25" s="693">
        <f>IF(U23-SUM(U16:U21)&lt;0, 0, U23-SUM(U16:U21))</f>
        <v>1902.6845238095236</v>
      </c>
      <c r="V25" s="693">
        <f t="shared" ref="V25:AJ25" si="8">IF(V23-SUM(V16:V21)&lt;0, 0, V23-SUM(V16:V21))</f>
        <v>1444.3234126984125</v>
      </c>
      <c r="W25" s="693">
        <f t="shared" si="8"/>
        <v>382.86507936507928</v>
      </c>
      <c r="X25" s="693">
        <f t="shared" si="8"/>
        <v>0</v>
      </c>
      <c r="Y25" s="693">
        <f t="shared" si="8"/>
        <v>0</v>
      </c>
      <c r="Z25" s="693">
        <f t="shared" si="8"/>
        <v>0</v>
      </c>
      <c r="AA25" s="693">
        <f t="shared" si="8"/>
        <v>0</v>
      </c>
      <c r="AB25" s="693">
        <f t="shared" si="8"/>
        <v>0</v>
      </c>
      <c r="AC25" s="693">
        <f t="shared" si="8"/>
        <v>0</v>
      </c>
      <c r="AD25" s="693">
        <f t="shared" si="8"/>
        <v>0</v>
      </c>
      <c r="AE25" s="693">
        <f t="shared" si="8"/>
        <v>0</v>
      </c>
      <c r="AF25" s="693">
        <f t="shared" si="8"/>
        <v>0</v>
      </c>
      <c r="AG25" s="693">
        <f t="shared" si="8"/>
        <v>0</v>
      </c>
      <c r="AH25" s="693">
        <f t="shared" si="8"/>
        <v>0</v>
      </c>
      <c r="AI25" s="693">
        <f t="shared" si="8"/>
        <v>0</v>
      </c>
      <c r="AJ25" s="694">
        <f t="shared" si="8"/>
        <v>0</v>
      </c>
      <c r="AL25" s="718"/>
      <c r="AM25" s="733"/>
      <c r="AN25" s="733"/>
      <c r="AO25" s="733"/>
      <c r="AP25" s="733"/>
      <c r="AQ25" s="733"/>
      <c r="AR25" s="733"/>
      <c r="AS25" s="733"/>
      <c r="AT25" s="733"/>
      <c r="AU25" s="733"/>
      <c r="AV25" s="733"/>
      <c r="AW25" s="733"/>
      <c r="AX25" s="733"/>
      <c r="AY25" s="733"/>
      <c r="AZ25" s="733"/>
      <c r="BA25" s="733"/>
      <c r="BB25" s="733"/>
    </row>
    <row r="26" spans="1:87" s="666" customFormat="1">
      <c r="A26" s="717"/>
      <c r="B26" s="717"/>
      <c r="C26" s="774" t="s">
        <v>22</v>
      </c>
      <c r="D26" s="775"/>
      <c r="E26" s="780"/>
      <c r="F26" s="799" t="s">
        <v>23</v>
      </c>
      <c r="G26" s="800"/>
      <c r="H26" s="800"/>
      <c r="I26" s="799" t="s">
        <v>24</v>
      </c>
      <c r="J26" s="800"/>
      <c r="K26" s="800"/>
      <c r="L26" s="774" t="s">
        <v>25</v>
      </c>
      <c r="M26" s="775"/>
      <c r="N26" s="780"/>
      <c r="O26" s="774" t="s">
        <v>26</v>
      </c>
      <c r="P26" s="775"/>
      <c r="Q26" s="780"/>
      <c r="R26" s="734"/>
      <c r="S26" s="717"/>
      <c r="T26" s="690" t="s">
        <v>27</v>
      </c>
      <c r="U26" s="696"/>
      <c r="V26" s="696" t="s">
        <v>28</v>
      </c>
      <c r="W26" s="696" t="s">
        <v>28</v>
      </c>
      <c r="X26" s="696" t="s">
        <v>28</v>
      </c>
      <c r="Y26" s="696" t="s">
        <v>28</v>
      </c>
      <c r="Z26" s="696" t="s">
        <v>28</v>
      </c>
      <c r="AA26" s="696" t="s">
        <v>28</v>
      </c>
      <c r="AB26" s="696" t="s">
        <v>28</v>
      </c>
      <c r="AC26" s="696" t="s">
        <v>28</v>
      </c>
      <c r="AD26" s="696" t="s">
        <v>28</v>
      </c>
      <c r="AE26" s="696" t="s">
        <v>28</v>
      </c>
      <c r="AF26" s="696" t="s">
        <v>28</v>
      </c>
      <c r="AG26" s="696" t="s">
        <v>28</v>
      </c>
      <c r="AH26" s="696" t="s">
        <v>28</v>
      </c>
      <c r="AI26" s="696" t="s">
        <v>28</v>
      </c>
      <c r="AJ26" s="697" t="s">
        <v>28</v>
      </c>
      <c r="AK26" s="717"/>
      <c r="AL26" s="717"/>
      <c r="AM26" s="719"/>
      <c r="AN26" s="719"/>
      <c r="AO26" s="719"/>
      <c r="AP26" s="719"/>
      <c r="AQ26" s="719"/>
      <c r="AR26" s="719"/>
      <c r="AS26" s="719"/>
      <c r="AT26" s="719"/>
      <c r="AU26" s="719"/>
      <c r="AV26" s="719"/>
      <c r="AW26" s="719"/>
      <c r="AX26" s="719"/>
      <c r="AY26" s="719"/>
      <c r="AZ26" s="719"/>
      <c r="BA26" s="719"/>
      <c r="BB26" s="719"/>
      <c r="BC26" s="717"/>
      <c r="BD26" s="717"/>
      <c r="BE26" s="717"/>
      <c r="BF26" s="717"/>
      <c r="BG26" s="717"/>
      <c r="BH26" s="717"/>
      <c r="BI26" s="717"/>
      <c r="BJ26" s="717"/>
      <c r="BK26" s="717"/>
      <c r="BL26" s="717"/>
      <c r="BM26" s="717"/>
      <c r="BN26" s="717"/>
      <c r="BO26" s="717"/>
      <c r="BP26" s="717"/>
      <c r="BQ26" s="717"/>
      <c r="BR26" s="717"/>
      <c r="BS26" s="717"/>
      <c r="BT26" s="717"/>
      <c r="BU26" s="717"/>
      <c r="BV26" s="717"/>
      <c r="BW26" s="717"/>
      <c r="BX26" s="717"/>
      <c r="BY26" s="717"/>
      <c r="BZ26" s="717"/>
      <c r="CA26" s="717"/>
      <c r="CB26" s="717"/>
      <c r="CC26" s="717"/>
      <c r="CD26" s="717"/>
      <c r="CE26" s="717"/>
      <c r="CF26" s="717"/>
      <c r="CG26" s="717"/>
      <c r="CH26" s="717"/>
      <c r="CI26" s="717"/>
    </row>
    <row r="27" spans="1:87" ht="16" thickBot="1">
      <c r="C27" s="781">
        <f>AJ23</f>
        <v>0</v>
      </c>
      <c r="D27" s="782"/>
      <c r="E27" s="783"/>
      <c r="F27" s="793">
        <f>R67</f>
        <v>8.8300799999999985E-2</v>
      </c>
      <c r="G27" s="794"/>
      <c r="H27" s="794"/>
      <c r="I27" s="793">
        <f>R66</f>
        <v>5.2980479999999996</v>
      </c>
      <c r="J27" s="794"/>
      <c r="K27" s="794"/>
      <c r="L27" s="793">
        <f>R68</f>
        <v>5.2257992217794422</v>
      </c>
      <c r="M27" s="794"/>
      <c r="N27" s="795"/>
      <c r="O27" s="781">
        <f>SUM(AM16:BB21)</f>
        <v>126.2</v>
      </c>
      <c r="P27" s="782"/>
      <c r="Q27" s="783"/>
      <c r="R27" s="715"/>
      <c r="T27" s="691" t="s">
        <v>29</v>
      </c>
      <c r="U27" s="698">
        <f>U24*0.1</f>
        <v>0</v>
      </c>
      <c r="V27" s="698">
        <f t="shared" ref="V27:AJ27" si="9">V24*0.1</f>
        <v>0</v>
      </c>
      <c r="W27" s="698">
        <f t="shared" si="9"/>
        <v>0</v>
      </c>
      <c r="X27" s="698">
        <f t="shared" si="9"/>
        <v>7.3801587301587404</v>
      </c>
      <c r="Y27" s="698">
        <f t="shared" si="9"/>
        <v>36.305555555555557</v>
      </c>
      <c r="Z27" s="698">
        <f t="shared" si="9"/>
        <v>3</v>
      </c>
      <c r="AA27" s="698">
        <f t="shared" si="9"/>
        <v>0</v>
      </c>
      <c r="AB27" s="698">
        <f t="shared" si="9"/>
        <v>0</v>
      </c>
      <c r="AC27" s="698">
        <f t="shared" si="9"/>
        <v>0</v>
      </c>
      <c r="AD27" s="698">
        <f t="shared" si="9"/>
        <v>0</v>
      </c>
      <c r="AE27" s="698">
        <f t="shared" si="9"/>
        <v>0</v>
      </c>
      <c r="AF27" s="698">
        <f t="shared" si="9"/>
        <v>0</v>
      </c>
      <c r="AG27" s="698">
        <f t="shared" si="9"/>
        <v>0</v>
      </c>
      <c r="AH27" s="698">
        <f t="shared" si="9"/>
        <v>0</v>
      </c>
      <c r="AI27" s="698">
        <f t="shared" si="9"/>
        <v>0</v>
      </c>
      <c r="AJ27" s="699">
        <f t="shared" si="9"/>
        <v>0</v>
      </c>
      <c r="AL27" s="718"/>
      <c r="AM27" s="733"/>
      <c r="AN27" s="733"/>
      <c r="AO27" s="733"/>
      <c r="AP27" s="733"/>
      <c r="AQ27" s="733"/>
      <c r="AR27" s="733"/>
      <c r="AS27" s="733"/>
      <c r="AT27" s="733"/>
      <c r="AU27" s="733"/>
      <c r="AV27" s="733"/>
      <c r="AW27" s="733"/>
      <c r="AX27" s="733"/>
      <c r="AY27" s="733"/>
      <c r="AZ27" s="733"/>
      <c r="BA27" s="733"/>
      <c r="BB27" s="733"/>
    </row>
    <row r="28" spans="1:87" ht="16" thickBot="1">
      <c r="C28" s="784"/>
      <c r="D28" s="785"/>
      <c r="E28" s="786"/>
      <c r="F28" s="796"/>
      <c r="G28" s="797"/>
      <c r="H28" s="797"/>
      <c r="I28" s="796"/>
      <c r="J28" s="797"/>
      <c r="K28" s="797"/>
      <c r="L28" s="796"/>
      <c r="M28" s="797"/>
      <c r="N28" s="798"/>
      <c r="O28" s="784"/>
      <c r="P28" s="785"/>
      <c r="Q28" s="786"/>
      <c r="R28" s="715"/>
      <c r="T28" s="717"/>
      <c r="U28" s="720"/>
      <c r="V28" s="720"/>
      <c r="W28" s="720"/>
      <c r="X28" s="720"/>
      <c r="Y28" s="720"/>
      <c r="Z28" s="720"/>
      <c r="AA28" s="720"/>
      <c r="AB28" s="720"/>
      <c r="AC28" s="720"/>
      <c r="AD28" s="720"/>
      <c r="AE28" s="720"/>
      <c r="AF28" s="720"/>
      <c r="AG28" s="720"/>
      <c r="AH28" s="720"/>
      <c r="AI28" s="720"/>
      <c r="AJ28" s="720"/>
      <c r="AL28" s="718"/>
      <c r="AM28" s="733"/>
      <c r="AN28" s="733"/>
      <c r="AO28" s="733"/>
      <c r="AP28" s="733"/>
      <c r="AQ28" s="733"/>
      <c r="AR28" s="733"/>
      <c r="AS28" s="733"/>
      <c r="AT28" s="733"/>
      <c r="AU28" s="733"/>
      <c r="AV28" s="733"/>
      <c r="AW28" s="733"/>
      <c r="AX28" s="733"/>
      <c r="AY28" s="733"/>
      <c r="AZ28" s="733"/>
      <c r="BA28" s="733"/>
      <c r="BB28" s="733"/>
    </row>
    <row r="29" spans="1:87" ht="15.75" customHeight="1" thickBot="1">
      <c r="R29" s="716"/>
      <c r="T29" s="717"/>
      <c r="AL29" s="713"/>
      <c r="AM29" s="713"/>
      <c r="AN29" s="713"/>
      <c r="AO29" s="713"/>
      <c r="AP29" s="713"/>
      <c r="AQ29" s="713"/>
      <c r="AR29" s="713"/>
      <c r="AS29" s="713"/>
      <c r="AT29" s="713"/>
      <c r="AU29" s="713"/>
      <c r="AV29" s="713"/>
      <c r="AW29" s="713"/>
      <c r="AX29" s="713"/>
      <c r="AY29" s="713"/>
      <c r="AZ29" s="713"/>
      <c r="BA29" s="713"/>
      <c r="BB29" s="713"/>
    </row>
    <row r="30" spans="1:87">
      <c r="B30" s="671"/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3"/>
      <c r="T30" s="706"/>
      <c r="U30" s="672"/>
      <c r="V30" s="672"/>
      <c r="W30" s="672"/>
      <c r="X30" s="672"/>
      <c r="Y30" s="672"/>
      <c r="Z30" s="672"/>
      <c r="AA30" s="672"/>
      <c r="AB30" s="672"/>
      <c r="AC30" s="672"/>
      <c r="AD30" s="672"/>
      <c r="AE30" s="672"/>
      <c r="AF30" s="672"/>
      <c r="AG30" s="672"/>
      <c r="AH30" s="672"/>
      <c r="AI30" s="672"/>
      <c r="AJ30" s="673"/>
      <c r="AL30" s="671"/>
      <c r="AM30" s="672"/>
      <c r="AN30" s="672"/>
      <c r="AO30" s="672"/>
      <c r="AP30" s="672"/>
      <c r="AQ30" s="672"/>
      <c r="AR30" s="672"/>
      <c r="AS30" s="672"/>
      <c r="AT30" s="672"/>
      <c r="AU30" s="672"/>
      <c r="AV30" s="672"/>
      <c r="AW30" s="672"/>
      <c r="AX30" s="672"/>
      <c r="AY30" s="672"/>
      <c r="AZ30" s="672"/>
      <c r="BA30" s="672"/>
      <c r="BB30" s="673"/>
    </row>
    <row r="31" spans="1:87">
      <c r="B31" s="674"/>
      <c r="C31" s="655"/>
      <c r="D31" s="655"/>
      <c r="E31" s="655"/>
      <c r="F31" s="655"/>
      <c r="G31" s="655"/>
      <c r="H31" s="655"/>
      <c r="I31" s="655"/>
      <c r="J31" s="655"/>
      <c r="K31" s="655"/>
      <c r="L31" s="655"/>
      <c r="M31" s="655"/>
      <c r="N31" s="655"/>
      <c r="O31" s="655"/>
      <c r="P31" s="655"/>
      <c r="Q31" s="655"/>
      <c r="R31" s="675"/>
      <c r="T31" s="707"/>
      <c r="U31" s="655"/>
      <c r="V31" s="655"/>
      <c r="W31" s="655"/>
      <c r="X31" s="655"/>
      <c r="Y31" s="655"/>
      <c r="Z31" s="655"/>
      <c r="AA31" s="655"/>
      <c r="AB31" s="655"/>
      <c r="AC31" s="655"/>
      <c r="AD31" s="655"/>
      <c r="AE31" s="655"/>
      <c r="AF31" s="655"/>
      <c r="AG31" s="655"/>
      <c r="AH31" s="655"/>
      <c r="AI31" s="655"/>
      <c r="AJ31" s="675"/>
      <c r="AL31" s="674"/>
      <c r="AM31" s="655"/>
      <c r="AN31" s="655"/>
      <c r="AO31" s="655"/>
      <c r="AP31" s="655"/>
      <c r="AQ31" s="655"/>
      <c r="AR31" s="655"/>
      <c r="AS31" s="655"/>
      <c r="AT31" s="655"/>
      <c r="AU31" s="655"/>
      <c r="AV31" s="655"/>
      <c r="AW31" s="655"/>
      <c r="AX31" s="655"/>
      <c r="AY31" s="655"/>
      <c r="AZ31" s="655"/>
      <c r="BA31" s="655"/>
      <c r="BB31" s="675"/>
    </row>
    <row r="32" spans="1:87">
      <c r="B32" s="674"/>
      <c r="C32" s="768" t="s">
        <v>30</v>
      </c>
      <c r="D32" s="764"/>
      <c r="E32" s="764"/>
      <c r="F32" s="764"/>
      <c r="G32" s="764"/>
      <c r="H32" s="764"/>
      <c r="I32" s="764"/>
      <c r="J32" s="764"/>
      <c r="K32" s="764"/>
      <c r="L32" s="764"/>
      <c r="M32" s="764"/>
      <c r="N32" s="764"/>
      <c r="O32" s="764"/>
      <c r="P32" s="764"/>
      <c r="Q32" s="764"/>
      <c r="R32" s="765"/>
      <c r="T32" s="707"/>
      <c r="U32" s="768" t="s">
        <v>31</v>
      </c>
      <c r="V32" s="768"/>
      <c r="W32" s="768"/>
      <c r="X32" s="768"/>
      <c r="Y32" s="768"/>
      <c r="Z32" s="768"/>
      <c r="AA32" s="768"/>
      <c r="AB32" s="768"/>
      <c r="AC32" s="768"/>
      <c r="AD32" s="768"/>
      <c r="AE32" s="768"/>
      <c r="AF32" s="768"/>
      <c r="AG32" s="768"/>
      <c r="AH32" s="768"/>
      <c r="AI32" s="768"/>
      <c r="AJ32" s="771"/>
      <c r="AL32" s="674"/>
      <c r="AM32" s="655"/>
      <c r="AN32" s="655"/>
      <c r="AO32" s="655"/>
      <c r="AP32" s="655"/>
      <c r="AQ32" s="655"/>
      <c r="AR32" s="655"/>
      <c r="AS32" s="655"/>
      <c r="AT32" s="655"/>
      <c r="AU32" s="655"/>
      <c r="AV32" s="655"/>
      <c r="AW32" s="655"/>
      <c r="AX32" s="655"/>
      <c r="AY32" s="655"/>
      <c r="AZ32" s="655"/>
      <c r="BA32" s="655"/>
      <c r="BB32" s="675"/>
    </row>
    <row r="33" spans="2:54">
      <c r="B33" s="67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5"/>
      <c r="T33" s="674"/>
      <c r="U33" s="768"/>
      <c r="V33" s="768"/>
      <c r="W33" s="768"/>
      <c r="X33" s="768"/>
      <c r="Y33" s="768"/>
      <c r="Z33" s="768"/>
      <c r="AA33" s="768"/>
      <c r="AB33" s="768"/>
      <c r="AC33" s="768"/>
      <c r="AD33" s="768"/>
      <c r="AE33" s="768"/>
      <c r="AF33" s="768"/>
      <c r="AG33" s="768"/>
      <c r="AH33" s="768"/>
      <c r="AI33" s="768"/>
      <c r="AJ33" s="771"/>
      <c r="AL33" s="674"/>
      <c r="AM33" s="655"/>
      <c r="AN33" s="655"/>
      <c r="AO33" s="655"/>
      <c r="AP33" s="655"/>
      <c r="AQ33" s="655"/>
      <c r="AR33" s="655"/>
      <c r="AS33" s="655"/>
      <c r="AT33" s="655"/>
      <c r="AU33" s="655"/>
      <c r="AV33" s="655"/>
      <c r="AW33" s="655"/>
      <c r="AX33" s="655"/>
      <c r="AY33" s="655"/>
      <c r="AZ33" s="655"/>
      <c r="BA33" s="655"/>
      <c r="BB33" s="675"/>
    </row>
    <row r="34" spans="2:54">
      <c r="B34" s="674"/>
      <c r="C34" s="764"/>
      <c r="D34" s="764"/>
      <c r="E34" s="764"/>
      <c r="F34" s="764"/>
      <c r="G34" s="764"/>
      <c r="H34" s="764"/>
      <c r="I34" s="764"/>
      <c r="J34" s="764"/>
      <c r="K34" s="764"/>
      <c r="L34" s="764"/>
      <c r="M34" s="764"/>
      <c r="N34" s="764"/>
      <c r="O34" s="764"/>
      <c r="P34" s="764"/>
      <c r="Q34" s="764"/>
      <c r="R34" s="765"/>
      <c r="T34" s="674"/>
      <c r="U34" s="768"/>
      <c r="V34" s="768"/>
      <c r="W34" s="768"/>
      <c r="X34" s="768"/>
      <c r="Y34" s="768"/>
      <c r="Z34" s="768"/>
      <c r="AA34" s="768"/>
      <c r="AB34" s="768"/>
      <c r="AC34" s="768"/>
      <c r="AD34" s="768"/>
      <c r="AE34" s="768"/>
      <c r="AF34" s="768"/>
      <c r="AG34" s="768"/>
      <c r="AH34" s="768"/>
      <c r="AI34" s="768"/>
      <c r="AJ34" s="771"/>
      <c r="AK34" s="714"/>
      <c r="AL34" s="674"/>
      <c r="AM34" s="764" t="s">
        <v>32</v>
      </c>
      <c r="AN34" s="764"/>
      <c r="AO34" s="764"/>
      <c r="AP34" s="764"/>
      <c r="AQ34" s="764"/>
      <c r="AR34" s="764"/>
      <c r="AS34" s="764"/>
      <c r="AT34" s="764"/>
      <c r="AU34" s="764"/>
      <c r="AV34" s="764"/>
      <c r="AW34" s="764"/>
      <c r="AX34" s="764"/>
      <c r="AY34" s="764"/>
      <c r="AZ34" s="764"/>
      <c r="BA34" s="764"/>
      <c r="BB34" s="765"/>
    </row>
    <row r="35" spans="2:54">
      <c r="B35" s="674"/>
      <c r="C35" s="764"/>
      <c r="D35" s="764"/>
      <c r="E35" s="764"/>
      <c r="F35" s="764"/>
      <c r="G35" s="764"/>
      <c r="H35" s="764"/>
      <c r="I35" s="764"/>
      <c r="J35" s="764"/>
      <c r="K35" s="764"/>
      <c r="L35" s="764"/>
      <c r="M35" s="764"/>
      <c r="N35" s="764"/>
      <c r="O35" s="764"/>
      <c r="P35" s="764"/>
      <c r="Q35" s="764"/>
      <c r="R35" s="765"/>
      <c r="T35" s="674"/>
      <c r="U35" s="768"/>
      <c r="V35" s="768"/>
      <c r="W35" s="768"/>
      <c r="X35" s="768"/>
      <c r="Y35" s="768"/>
      <c r="Z35" s="768"/>
      <c r="AA35" s="768"/>
      <c r="AB35" s="768"/>
      <c r="AC35" s="768"/>
      <c r="AD35" s="768"/>
      <c r="AE35" s="768"/>
      <c r="AF35" s="768"/>
      <c r="AG35" s="768"/>
      <c r="AH35" s="768"/>
      <c r="AI35" s="768"/>
      <c r="AJ35" s="771"/>
      <c r="AK35" s="714"/>
      <c r="AL35" s="674"/>
      <c r="AM35" s="764"/>
      <c r="AN35" s="764"/>
      <c r="AO35" s="764"/>
      <c r="AP35" s="764"/>
      <c r="AQ35" s="764"/>
      <c r="AR35" s="764"/>
      <c r="AS35" s="764"/>
      <c r="AT35" s="764"/>
      <c r="AU35" s="764"/>
      <c r="AV35" s="764"/>
      <c r="AW35" s="764"/>
      <c r="AX35" s="764"/>
      <c r="AY35" s="764"/>
      <c r="AZ35" s="764"/>
      <c r="BA35" s="764"/>
      <c r="BB35" s="765"/>
    </row>
    <row r="36" spans="2:54">
      <c r="B36" s="674"/>
      <c r="C36" s="764"/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4"/>
      <c r="O36" s="764"/>
      <c r="P36" s="764"/>
      <c r="Q36" s="764"/>
      <c r="R36" s="765"/>
      <c r="T36" s="674"/>
      <c r="U36" s="768"/>
      <c r="V36" s="768"/>
      <c r="W36" s="768"/>
      <c r="X36" s="768"/>
      <c r="Y36" s="768"/>
      <c r="Z36" s="768"/>
      <c r="AA36" s="768"/>
      <c r="AB36" s="768"/>
      <c r="AC36" s="768"/>
      <c r="AD36" s="768"/>
      <c r="AE36" s="768"/>
      <c r="AF36" s="768"/>
      <c r="AG36" s="768"/>
      <c r="AH36" s="768"/>
      <c r="AI36" s="768"/>
      <c r="AJ36" s="771"/>
      <c r="AK36" s="714"/>
      <c r="AL36" s="674"/>
      <c r="AM36" s="764"/>
      <c r="AN36" s="764"/>
      <c r="AO36" s="764"/>
      <c r="AP36" s="764"/>
      <c r="AQ36" s="764"/>
      <c r="AR36" s="764"/>
      <c r="AS36" s="764"/>
      <c r="AT36" s="764"/>
      <c r="AU36" s="764"/>
      <c r="AV36" s="764"/>
      <c r="AW36" s="764"/>
      <c r="AX36" s="764"/>
      <c r="AY36" s="764"/>
      <c r="AZ36" s="764"/>
      <c r="BA36" s="764"/>
      <c r="BB36" s="765"/>
    </row>
    <row r="37" spans="2:54">
      <c r="B37" s="674"/>
      <c r="C37" s="764"/>
      <c r="D37" s="764"/>
      <c r="E37" s="764"/>
      <c r="F37" s="764"/>
      <c r="G37" s="764"/>
      <c r="H37" s="764"/>
      <c r="I37" s="764"/>
      <c r="J37" s="764"/>
      <c r="K37" s="764"/>
      <c r="L37" s="764"/>
      <c r="M37" s="764"/>
      <c r="N37" s="764"/>
      <c r="O37" s="764"/>
      <c r="P37" s="764"/>
      <c r="Q37" s="764"/>
      <c r="R37" s="765"/>
      <c r="T37" s="674"/>
      <c r="U37" s="768"/>
      <c r="V37" s="768"/>
      <c r="W37" s="768"/>
      <c r="X37" s="768"/>
      <c r="Y37" s="768"/>
      <c r="Z37" s="768"/>
      <c r="AA37" s="768"/>
      <c r="AB37" s="768"/>
      <c r="AC37" s="768"/>
      <c r="AD37" s="768"/>
      <c r="AE37" s="768"/>
      <c r="AF37" s="768"/>
      <c r="AG37" s="768"/>
      <c r="AH37" s="768"/>
      <c r="AI37" s="768"/>
      <c r="AJ37" s="771"/>
      <c r="AK37" s="714"/>
      <c r="AL37" s="674"/>
      <c r="AM37" s="764"/>
      <c r="AN37" s="764"/>
      <c r="AO37" s="764"/>
      <c r="AP37" s="764"/>
      <c r="AQ37" s="764"/>
      <c r="AR37" s="764"/>
      <c r="AS37" s="764"/>
      <c r="AT37" s="764"/>
      <c r="AU37" s="764"/>
      <c r="AV37" s="764"/>
      <c r="AW37" s="764"/>
      <c r="AX37" s="764"/>
      <c r="AY37" s="764"/>
      <c r="AZ37" s="764"/>
      <c r="BA37" s="764"/>
      <c r="BB37" s="765"/>
    </row>
    <row r="38" spans="2:54">
      <c r="B38" s="674"/>
      <c r="C38" s="764"/>
      <c r="D38" s="764"/>
      <c r="E38" s="764"/>
      <c r="F38" s="764"/>
      <c r="G38" s="764"/>
      <c r="H38" s="764"/>
      <c r="I38" s="764"/>
      <c r="J38" s="764"/>
      <c r="K38" s="764"/>
      <c r="L38" s="764"/>
      <c r="M38" s="764"/>
      <c r="N38" s="764"/>
      <c r="O38" s="764"/>
      <c r="P38" s="764"/>
      <c r="Q38" s="764"/>
      <c r="R38" s="765"/>
      <c r="T38" s="674"/>
      <c r="U38" s="768"/>
      <c r="V38" s="768"/>
      <c r="W38" s="768"/>
      <c r="X38" s="768"/>
      <c r="Y38" s="768"/>
      <c r="Z38" s="768"/>
      <c r="AA38" s="768"/>
      <c r="AB38" s="768"/>
      <c r="AC38" s="768"/>
      <c r="AD38" s="768"/>
      <c r="AE38" s="768"/>
      <c r="AF38" s="768"/>
      <c r="AG38" s="768"/>
      <c r="AH38" s="768"/>
      <c r="AI38" s="768"/>
      <c r="AJ38" s="771"/>
      <c r="AK38" s="714"/>
      <c r="AL38" s="674"/>
      <c r="AM38" s="764"/>
      <c r="AN38" s="764"/>
      <c r="AO38" s="764"/>
      <c r="AP38" s="764"/>
      <c r="AQ38" s="764"/>
      <c r="AR38" s="764"/>
      <c r="AS38" s="764"/>
      <c r="AT38" s="764"/>
      <c r="AU38" s="764"/>
      <c r="AV38" s="764"/>
      <c r="AW38" s="764"/>
      <c r="AX38" s="764"/>
      <c r="AY38" s="764"/>
      <c r="AZ38" s="764"/>
      <c r="BA38" s="764"/>
      <c r="BB38" s="765"/>
    </row>
    <row r="39" spans="2:54">
      <c r="B39" s="674"/>
      <c r="C39" s="764"/>
      <c r="D39" s="764"/>
      <c r="E39" s="764"/>
      <c r="F39" s="764"/>
      <c r="G39" s="764"/>
      <c r="H39" s="764"/>
      <c r="I39" s="764"/>
      <c r="J39" s="764"/>
      <c r="K39" s="764"/>
      <c r="L39" s="764"/>
      <c r="M39" s="764"/>
      <c r="N39" s="764"/>
      <c r="O39" s="764"/>
      <c r="P39" s="764"/>
      <c r="Q39" s="764"/>
      <c r="R39" s="765"/>
      <c r="T39" s="674"/>
      <c r="U39" s="768"/>
      <c r="V39" s="768"/>
      <c r="W39" s="768"/>
      <c r="X39" s="768"/>
      <c r="Y39" s="768"/>
      <c r="Z39" s="768"/>
      <c r="AA39" s="768"/>
      <c r="AB39" s="768"/>
      <c r="AC39" s="768"/>
      <c r="AD39" s="768"/>
      <c r="AE39" s="768"/>
      <c r="AF39" s="768"/>
      <c r="AG39" s="768"/>
      <c r="AH39" s="768"/>
      <c r="AI39" s="768"/>
      <c r="AJ39" s="771"/>
      <c r="AK39" s="714"/>
      <c r="AL39" s="674"/>
      <c r="AM39" s="764"/>
      <c r="AN39" s="764"/>
      <c r="AO39" s="764"/>
      <c r="AP39" s="764"/>
      <c r="AQ39" s="764"/>
      <c r="AR39" s="764"/>
      <c r="AS39" s="764"/>
      <c r="AT39" s="764"/>
      <c r="AU39" s="764"/>
      <c r="AV39" s="764"/>
      <c r="AW39" s="764"/>
      <c r="AX39" s="764"/>
      <c r="AY39" s="764"/>
      <c r="AZ39" s="764"/>
      <c r="BA39" s="764"/>
      <c r="BB39" s="765"/>
    </row>
    <row r="40" spans="2:54">
      <c r="B40" s="674"/>
      <c r="C40" s="764"/>
      <c r="D40" s="764"/>
      <c r="E40" s="764"/>
      <c r="F40" s="764"/>
      <c r="G40" s="764"/>
      <c r="H40" s="764"/>
      <c r="I40" s="764"/>
      <c r="J40" s="764"/>
      <c r="K40" s="764"/>
      <c r="L40" s="764"/>
      <c r="M40" s="764"/>
      <c r="N40" s="764"/>
      <c r="O40" s="764"/>
      <c r="P40" s="764"/>
      <c r="Q40" s="764"/>
      <c r="R40" s="765"/>
      <c r="T40" s="674"/>
      <c r="U40" s="768"/>
      <c r="V40" s="768"/>
      <c r="W40" s="768"/>
      <c r="X40" s="768"/>
      <c r="Y40" s="768"/>
      <c r="Z40" s="768"/>
      <c r="AA40" s="768"/>
      <c r="AB40" s="768"/>
      <c r="AC40" s="768"/>
      <c r="AD40" s="768"/>
      <c r="AE40" s="768"/>
      <c r="AF40" s="768"/>
      <c r="AG40" s="768"/>
      <c r="AH40" s="768"/>
      <c r="AI40" s="768"/>
      <c r="AJ40" s="771"/>
      <c r="AK40" s="714"/>
      <c r="AL40" s="674"/>
      <c r="AM40" s="764"/>
      <c r="AN40" s="764"/>
      <c r="AO40" s="764"/>
      <c r="AP40" s="764"/>
      <c r="AQ40" s="764"/>
      <c r="AR40" s="764"/>
      <c r="AS40" s="764"/>
      <c r="AT40" s="764"/>
      <c r="AU40" s="764"/>
      <c r="AV40" s="764"/>
      <c r="AW40" s="764"/>
      <c r="AX40" s="764"/>
      <c r="AY40" s="764"/>
      <c r="AZ40" s="764"/>
      <c r="BA40" s="764"/>
      <c r="BB40" s="765"/>
    </row>
    <row r="41" spans="2:54">
      <c r="B41" s="674"/>
      <c r="C41" s="764"/>
      <c r="D41" s="764"/>
      <c r="E41" s="764"/>
      <c r="F41" s="764"/>
      <c r="G41" s="764"/>
      <c r="H41" s="764"/>
      <c r="I41" s="764"/>
      <c r="J41" s="764"/>
      <c r="K41" s="764"/>
      <c r="L41" s="764"/>
      <c r="M41" s="764"/>
      <c r="N41" s="764"/>
      <c r="O41" s="764"/>
      <c r="P41" s="764"/>
      <c r="Q41" s="764"/>
      <c r="R41" s="765"/>
      <c r="T41" s="674"/>
      <c r="U41" s="768"/>
      <c r="V41" s="768"/>
      <c r="W41" s="768"/>
      <c r="X41" s="768"/>
      <c r="Y41" s="768"/>
      <c r="Z41" s="768"/>
      <c r="AA41" s="768"/>
      <c r="AB41" s="768"/>
      <c r="AC41" s="768"/>
      <c r="AD41" s="768"/>
      <c r="AE41" s="768"/>
      <c r="AF41" s="768"/>
      <c r="AG41" s="768"/>
      <c r="AH41" s="768"/>
      <c r="AI41" s="768"/>
      <c r="AJ41" s="771"/>
      <c r="AK41" s="714"/>
      <c r="AL41" s="674"/>
      <c r="AM41" s="764"/>
      <c r="AN41" s="764"/>
      <c r="AO41" s="764"/>
      <c r="AP41" s="764"/>
      <c r="AQ41" s="764"/>
      <c r="AR41" s="764"/>
      <c r="AS41" s="764"/>
      <c r="AT41" s="764"/>
      <c r="AU41" s="764"/>
      <c r="AV41" s="764"/>
      <c r="AW41" s="764"/>
      <c r="AX41" s="764"/>
      <c r="AY41" s="764"/>
      <c r="AZ41" s="764"/>
      <c r="BA41" s="764"/>
      <c r="BB41" s="765"/>
    </row>
    <row r="42" spans="2:54">
      <c r="B42" s="674"/>
      <c r="C42" s="764"/>
      <c r="D42" s="764"/>
      <c r="E42" s="764"/>
      <c r="F42" s="764"/>
      <c r="G42" s="764"/>
      <c r="H42" s="764"/>
      <c r="I42" s="764"/>
      <c r="J42" s="764"/>
      <c r="K42" s="764"/>
      <c r="L42" s="764"/>
      <c r="M42" s="764"/>
      <c r="N42" s="764"/>
      <c r="O42" s="764"/>
      <c r="P42" s="764"/>
      <c r="Q42" s="764"/>
      <c r="R42" s="765"/>
      <c r="T42" s="674"/>
      <c r="U42" s="768"/>
      <c r="V42" s="768"/>
      <c r="W42" s="768"/>
      <c r="X42" s="768"/>
      <c r="Y42" s="768"/>
      <c r="Z42" s="768"/>
      <c r="AA42" s="768"/>
      <c r="AB42" s="768"/>
      <c r="AC42" s="768"/>
      <c r="AD42" s="768"/>
      <c r="AE42" s="768"/>
      <c r="AF42" s="768"/>
      <c r="AG42" s="768"/>
      <c r="AH42" s="768"/>
      <c r="AI42" s="768"/>
      <c r="AJ42" s="771"/>
      <c r="AK42" s="714"/>
      <c r="AL42" s="674"/>
      <c r="AM42" s="764"/>
      <c r="AN42" s="764"/>
      <c r="AO42" s="764"/>
      <c r="AP42" s="764"/>
      <c r="AQ42" s="764"/>
      <c r="AR42" s="764"/>
      <c r="AS42" s="764"/>
      <c r="AT42" s="764"/>
      <c r="AU42" s="764"/>
      <c r="AV42" s="764"/>
      <c r="AW42" s="764"/>
      <c r="AX42" s="764"/>
      <c r="AY42" s="764"/>
      <c r="AZ42" s="764"/>
      <c r="BA42" s="764"/>
      <c r="BB42" s="765"/>
    </row>
    <row r="43" spans="2:54" ht="16" thickBot="1">
      <c r="B43" s="67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5"/>
      <c r="T43" s="676"/>
      <c r="U43" s="772"/>
      <c r="V43" s="772"/>
      <c r="W43" s="772"/>
      <c r="X43" s="772"/>
      <c r="Y43" s="772"/>
      <c r="Z43" s="772"/>
      <c r="AA43" s="772"/>
      <c r="AB43" s="772"/>
      <c r="AC43" s="772"/>
      <c r="AD43" s="772"/>
      <c r="AE43" s="772"/>
      <c r="AF43" s="772"/>
      <c r="AG43" s="772"/>
      <c r="AH43" s="772"/>
      <c r="AI43" s="772"/>
      <c r="AJ43" s="773"/>
      <c r="AK43" s="714"/>
      <c r="AL43" s="676"/>
      <c r="AM43" s="766"/>
      <c r="AN43" s="766"/>
      <c r="AO43" s="766"/>
      <c r="AP43" s="766"/>
      <c r="AQ43" s="766"/>
      <c r="AR43" s="766"/>
      <c r="AS43" s="766"/>
      <c r="AT43" s="766"/>
      <c r="AU43" s="766"/>
      <c r="AV43" s="766"/>
      <c r="AW43" s="766"/>
      <c r="AX43" s="766"/>
      <c r="AY43" s="766"/>
      <c r="AZ43" s="766"/>
      <c r="BA43" s="766"/>
      <c r="BB43" s="767"/>
    </row>
    <row r="44" spans="2:54">
      <c r="B44" s="677"/>
      <c r="C44" s="678">
        <v>0</v>
      </c>
      <c r="D44" s="678">
        <f>1+C44</f>
        <v>1</v>
      </c>
      <c r="E44" s="678">
        <f t="shared" ref="E44:R44" si="10">1+D44</f>
        <v>2</v>
      </c>
      <c r="F44" s="678">
        <f t="shared" si="10"/>
        <v>3</v>
      </c>
      <c r="G44" s="678">
        <f t="shared" si="10"/>
        <v>4</v>
      </c>
      <c r="H44" s="678">
        <f t="shared" si="10"/>
        <v>5</v>
      </c>
      <c r="I44" s="678">
        <f t="shared" si="10"/>
        <v>6</v>
      </c>
      <c r="J44" s="678">
        <f t="shared" si="10"/>
        <v>7</v>
      </c>
      <c r="K44" s="678">
        <f t="shared" si="10"/>
        <v>8</v>
      </c>
      <c r="L44" s="678">
        <f t="shared" si="10"/>
        <v>9</v>
      </c>
      <c r="M44" s="678">
        <f t="shared" si="10"/>
        <v>10</v>
      </c>
      <c r="N44" s="678">
        <f t="shared" si="10"/>
        <v>11</v>
      </c>
      <c r="O44" s="678">
        <f t="shared" si="10"/>
        <v>12</v>
      </c>
      <c r="P44" s="678">
        <f t="shared" si="10"/>
        <v>13</v>
      </c>
      <c r="Q44" s="678">
        <f t="shared" si="10"/>
        <v>14</v>
      </c>
      <c r="R44" s="679">
        <f t="shared" si="10"/>
        <v>15</v>
      </c>
      <c r="T44" s="705"/>
      <c r="U44" s="700">
        <v>0</v>
      </c>
      <c r="V44" s="700">
        <f>1+U44</f>
        <v>1</v>
      </c>
      <c r="W44" s="700">
        <f t="shared" ref="W44:AJ44" si="11">1+V44</f>
        <v>2</v>
      </c>
      <c r="X44" s="700">
        <f t="shared" si="11"/>
        <v>3</v>
      </c>
      <c r="Y44" s="700">
        <f t="shared" si="11"/>
        <v>4</v>
      </c>
      <c r="Z44" s="700">
        <f t="shared" si="11"/>
        <v>5</v>
      </c>
      <c r="AA44" s="700">
        <f t="shared" si="11"/>
        <v>6</v>
      </c>
      <c r="AB44" s="700">
        <f t="shared" si="11"/>
        <v>7</v>
      </c>
      <c r="AC44" s="700">
        <f t="shared" si="11"/>
        <v>8</v>
      </c>
      <c r="AD44" s="700">
        <f t="shared" si="11"/>
        <v>9</v>
      </c>
      <c r="AE44" s="700">
        <f t="shared" si="11"/>
        <v>10</v>
      </c>
      <c r="AF44" s="700">
        <f t="shared" si="11"/>
        <v>11</v>
      </c>
      <c r="AG44" s="700">
        <f t="shared" si="11"/>
        <v>12</v>
      </c>
      <c r="AH44" s="700">
        <f t="shared" si="11"/>
        <v>13</v>
      </c>
      <c r="AI44" s="700">
        <f t="shared" si="11"/>
        <v>14</v>
      </c>
      <c r="AJ44" s="701">
        <f t="shared" si="11"/>
        <v>15</v>
      </c>
      <c r="AL44" s="705"/>
      <c r="AM44" s="700">
        <v>0</v>
      </c>
      <c r="AN44" s="700">
        <f>1+AM44</f>
        <v>1</v>
      </c>
      <c r="AO44" s="700">
        <f t="shared" ref="AO44:BB44" si="12">1+AN44</f>
        <v>2</v>
      </c>
      <c r="AP44" s="700">
        <f t="shared" si="12"/>
        <v>3</v>
      </c>
      <c r="AQ44" s="700">
        <f t="shared" si="12"/>
        <v>4</v>
      </c>
      <c r="AR44" s="700">
        <f t="shared" si="12"/>
        <v>5</v>
      </c>
      <c r="AS44" s="700">
        <f t="shared" si="12"/>
        <v>6</v>
      </c>
      <c r="AT44" s="700">
        <f t="shared" si="12"/>
        <v>7</v>
      </c>
      <c r="AU44" s="700">
        <f t="shared" si="12"/>
        <v>8</v>
      </c>
      <c r="AV44" s="700">
        <f t="shared" si="12"/>
        <v>9</v>
      </c>
      <c r="AW44" s="700">
        <f t="shared" si="12"/>
        <v>10</v>
      </c>
      <c r="AX44" s="700">
        <f t="shared" si="12"/>
        <v>11</v>
      </c>
      <c r="AY44" s="700">
        <f t="shared" si="12"/>
        <v>12</v>
      </c>
      <c r="AZ44" s="700">
        <f t="shared" si="12"/>
        <v>13</v>
      </c>
      <c r="BA44" s="700">
        <f t="shared" si="12"/>
        <v>14</v>
      </c>
      <c r="BB44" s="701">
        <f t="shared" si="12"/>
        <v>15</v>
      </c>
    </row>
    <row r="45" spans="2:54">
      <c r="B45" s="680" t="s">
        <v>4</v>
      </c>
      <c r="C45" s="729">
        <f>SUMIFS('Project OPEX'!E$3:E$200, 'Project OPEX'!$B$3:$B$200, Dashboard!$B45)</f>
        <v>0</v>
      </c>
      <c r="D45" s="729">
        <f>SUMIFS('Project OPEX'!F$3:F$200, 'Project OPEX'!$B$3:$B$200, Dashboard!$B45)</f>
        <v>0</v>
      </c>
      <c r="E45" s="729">
        <f>SUMIFS('Project OPEX'!G$3:G$200, 'Project OPEX'!$B$3:$B$200, Dashboard!$B45)</f>
        <v>0</v>
      </c>
      <c r="F45" s="729">
        <f>SUMIFS('Project OPEX'!H$3:H$200, 'Project OPEX'!$B$3:$B$200, Dashboard!$B45)</f>
        <v>0</v>
      </c>
      <c r="G45" s="729">
        <f>SUMIFS('Project OPEX'!I$3:I$200, 'Project OPEX'!$B$3:$B$200, Dashboard!$B45)</f>
        <v>14.7909816</v>
      </c>
      <c r="H45" s="729">
        <f>SUMIFS('Project OPEX'!J$3:J$200, 'Project OPEX'!$B$3:$B$200, Dashboard!$B45)</f>
        <v>22.237659899999997</v>
      </c>
      <c r="I45" s="729">
        <f>SUMIFS('Project OPEX'!K$3:K$200, 'Project OPEX'!$B$3:$B$200, Dashboard!$B45)</f>
        <v>22.239182468999996</v>
      </c>
      <c r="J45" s="729">
        <f>SUMIFS('Project OPEX'!L$3:L$200, 'Project OPEX'!$B$3:$B$200, Dashboard!$B45)</f>
        <v>22.242414733140002</v>
      </c>
      <c r="K45" s="729">
        <f>SUMIFS('Project OPEX'!M$3:M$200, 'Project OPEX'!$B$3:$B$200, Dashboard!$B45)</f>
        <v>22.247403823229028</v>
      </c>
      <c r="L45" s="729">
        <f>SUMIFS('Project OPEX'!N$3:N$200, 'Project OPEX'!$B$3:$B$200, Dashboard!$B45)</f>
        <v>22.254198294400492</v>
      </c>
      <c r="M45" s="729">
        <f>SUMIFS('Project OPEX'!O$3:O$200, 'Project OPEX'!$B$3:$B$200, Dashboard!$B45)</f>
        <v>22.262848168815907</v>
      </c>
      <c r="N45" s="729">
        <f>SUMIFS('Project OPEX'!P$3:P$200, 'Project OPEX'!$B$3:$B$200, Dashboard!$B45)</f>
        <v>22.273404979649822</v>
      </c>
      <c r="O45" s="729">
        <f>SUMIFS('Project OPEX'!Q$3:Q$200, 'Project OPEX'!$B$3:$B$200, Dashboard!$B45)</f>
        <v>22.285921816394342</v>
      </c>
      <c r="P45" s="729">
        <f>SUMIFS('Project OPEX'!R$3:R$200, 'Project OPEX'!$B$3:$B$200, Dashboard!$B45)</f>
        <v>22.300453371522799</v>
      </c>
      <c r="Q45" s="729">
        <f>SUMIFS('Project OPEX'!S$3:S$200, 'Project OPEX'!$B$3:$B$200, Dashboard!$B45)</f>
        <v>22.317055988553527</v>
      </c>
      <c r="R45" s="730">
        <f>SUMIFS('Project OPEX'!T$3:T$200, 'Project OPEX'!$B$3:$B$200, Dashboard!$B45)</f>
        <v>22.335787711555461</v>
      </c>
      <c r="T45" s="680" t="s">
        <v>4</v>
      </c>
      <c r="U45" s="729">
        <f>SUMIFS('Project NET'!E$3:E$200, 'Project NET'!$B$3:$B$200, Dashboard!$T45)</f>
        <v>0</v>
      </c>
      <c r="V45" s="729">
        <f>SUMIFS('Project NET'!F$3:F$200, 'Project NET'!$B$3:$B$200, Dashboard!$T45)</f>
        <v>0</v>
      </c>
      <c r="W45" s="729">
        <f>SUMIFS('Project NET'!G$3:G$200, 'Project NET'!$B$3:$B$200, Dashboard!$T45)</f>
        <v>0</v>
      </c>
      <c r="X45" s="729">
        <f>SUMIFS('Project NET'!H$3:H$200, 'Project NET'!$B$3:$B$200, Dashboard!$T45)</f>
        <v>0</v>
      </c>
      <c r="Y45" s="729">
        <f>SUMIFS('Project NET'!I$3:I$200, 'Project NET'!$B$3:$B$200, Dashboard!$T45)</f>
        <v>16.851286556927995</v>
      </c>
      <c r="Z45" s="729">
        <f>SUMIFS('Project NET'!J$3:J$200, 'Project NET'!$B$3:$B$200, Dashboard!$T45)</f>
        <v>26.175010380099842</v>
      </c>
      <c r="AA45" s="729">
        <f>SUMIFS('Project NET'!K$3:K$200, 'Project NET'!$B$3:$B$200, Dashboard!$T45)</f>
        <v>27.018288907487598</v>
      </c>
      <c r="AB45" s="729">
        <f>SUMIFS('Project NET'!L$3:L$200, 'Project NET'!$B$3:$B$200, Dashboard!$T45)</f>
        <v>27.874599518867306</v>
      </c>
      <c r="AC45" s="729">
        <f>SUMIFS('Project NET'!M$3:M$200, 'Project NET'!$B$3:$B$200, Dashboard!$T45)</f>
        <v>28.744152327475788</v>
      </c>
      <c r="AD45" s="729">
        <f>SUMIFS('Project NET'!N$3:N$200, 'Project NET'!$B$3:$B$200, Dashboard!$T45)</f>
        <v>29.627160511134132</v>
      </c>
      <c r="AE45" s="729">
        <f>SUMIFS('Project NET'!O$3:O$200, 'Project NET'!$B$3:$B$200, Dashboard!$T45)</f>
        <v>30.5238403478753</v>
      </c>
      <c r="AF45" s="729">
        <f>SUMIFS('Project NET'!P$3:P$200, 'Project NET'!$B$3:$B$200, Dashboard!$T45)</f>
        <v>31.434411251657647</v>
      </c>
      <c r="AG45" s="729">
        <f>SUMIFS('Project NET'!Q$3:Q$200, 'Project NET'!$B$3:$B$200, Dashboard!$T45)</f>
        <v>32.359095808149434</v>
      </c>
      <c r="AH45" s="729">
        <f>SUMIFS('Project NET'!R$3:R$200, 'Project NET'!$B$3:$B$200, Dashboard!$T45)</f>
        <v>33.298119810569268</v>
      </c>
      <c r="AI45" s="729">
        <f>SUMIFS('Project NET'!S$3:S$200, 'Project NET'!$B$3:$B$200, Dashboard!$T45)</f>
        <v>34.251712295566072</v>
      </c>
      <c r="AJ45" s="730">
        <f>SUMIFS('Project NET'!T$3:T$200, 'Project NET'!$B$3:$B$200, Dashboard!$T45)</f>
        <v>35.22010557912202</v>
      </c>
      <c r="AL45" s="680" t="s">
        <v>4</v>
      </c>
      <c r="AM45" s="729">
        <f>SUMIFS('Project ASSET'!E$3:E$200, 'Project ASSET'!$B$3:$B$200, $AL45)</f>
        <v>0</v>
      </c>
      <c r="AN45" s="729">
        <f>SUMIFS('Project ASSET'!F$3:F$200, 'Project ASSET'!$B$3:$B$200, $AL45)</f>
        <v>33.611111111111114</v>
      </c>
      <c r="AO45" s="729">
        <f>SUMIFS('Project ASSET'!G$3:G$200, 'Project ASSET'!$B$3:$B$200, $AL45)</f>
        <v>70.277777777777771</v>
      </c>
      <c r="AP45" s="729">
        <f>SUMIFS('Project ASSET'!H$3:H$200, 'Project ASSET'!$B$3:$B$200, $AL45)</f>
        <v>106.94444444444441</v>
      </c>
      <c r="AQ45" s="729">
        <f>SUMIFS('Project ASSET'!I$3:I$200, 'Project ASSET'!$B$3:$B$200, $AL45)</f>
        <v>109.99999999999999</v>
      </c>
      <c r="AR45" s="729">
        <f>SUMIFS('Project ASSET'!J$3:J$200, 'Project ASSET'!$B$3:$B$200, $AL45)</f>
        <v>105.82000000000001</v>
      </c>
      <c r="AS45" s="729">
        <f>SUMIFS('Project ASSET'!K$3:K$200, 'Project ASSET'!$B$3:$B$200, $AL45)</f>
        <v>101.64</v>
      </c>
      <c r="AT45" s="729">
        <f>SUMIFS('Project ASSET'!L$3:L$200, 'Project ASSET'!$B$3:$B$200, $AL45)</f>
        <v>97.45999999999998</v>
      </c>
      <c r="AU45" s="729">
        <f>SUMIFS('Project ASSET'!M$3:M$200, 'Project ASSET'!$B$3:$B$200, $AL45)</f>
        <v>93.279999999999973</v>
      </c>
      <c r="AV45" s="729">
        <f>SUMIFS('Project ASSET'!N$3:N$200, 'Project ASSET'!$B$3:$B$200, $AL45)</f>
        <v>89.099999999999966</v>
      </c>
      <c r="AW45" s="729">
        <f>SUMIFS('Project ASSET'!O$3:O$200, 'Project ASSET'!$B$3:$B$200, $AL45)</f>
        <v>84.919999999999959</v>
      </c>
      <c r="AX45" s="729">
        <f>SUMIFS('Project ASSET'!P$3:P$200, 'Project ASSET'!$B$3:$B$200, $AL45)</f>
        <v>80.739999999999952</v>
      </c>
      <c r="AY45" s="729">
        <f>SUMIFS('Project ASSET'!Q$3:Q$200, 'Project ASSET'!$B$3:$B$200, $AL45)</f>
        <v>76.559999999999945</v>
      </c>
      <c r="AZ45" s="729">
        <f>SUMIFS('Project ASSET'!R$3:R$200, 'Project ASSET'!$B$3:$B$200, $AL45)</f>
        <v>72.379999999999939</v>
      </c>
      <c r="BA45" s="729">
        <f>SUMIFS('Project ASSET'!S$3:S$200, 'Project ASSET'!$B$3:$B$200, $AL45)</f>
        <v>68.199999999999932</v>
      </c>
      <c r="BB45" s="730">
        <f>SUMIFS('Project ASSET'!T$3:T$200, 'Project ASSET'!$B$3:$B$200, $AL45)</f>
        <v>64.019999999999925</v>
      </c>
    </row>
    <row r="46" spans="2:54">
      <c r="B46" s="680" t="s">
        <v>6</v>
      </c>
      <c r="C46" s="729">
        <f>SUMIFS('Project OPEX'!E$3:E$200, 'Project OPEX'!$B$3:$B$200, Dashboard!$B46)</f>
        <v>0</v>
      </c>
      <c r="D46" s="729">
        <f>SUMIFS('Project OPEX'!F$3:F$200, 'Project OPEX'!$B$3:$B$200, Dashboard!$B46)</f>
        <v>0.8621638081242512</v>
      </c>
      <c r="E46" s="729">
        <f>SUMIFS('Project OPEX'!G$3:G$200, 'Project OPEX'!$B$3:$B$200, Dashboard!$B46)</f>
        <v>0.88802872236797881</v>
      </c>
      <c r="F46" s="729">
        <f>SUMIFS('Project OPEX'!H$3:H$200, 'Project OPEX'!$B$3:$B$200, Dashboard!$B46)</f>
        <v>0.91466958403901821</v>
      </c>
      <c r="G46" s="729">
        <f>SUMIFS('Project OPEX'!I$3:I$200, 'Project OPEX'!$B$3:$B$200, Dashboard!$B46)</f>
        <v>0.94210967156018877</v>
      </c>
      <c r="H46" s="729">
        <f>SUMIFS('Project OPEX'!J$3:J$200, 'Project OPEX'!$B$3:$B$200, Dashboard!$B46)</f>
        <v>0.97037296170699439</v>
      </c>
      <c r="I46" s="729">
        <f>SUMIFS('Project OPEX'!K$3:K$200, 'Project OPEX'!$B$3:$B$200, Dashboard!$B46)</f>
        <v>0.99948415055820428</v>
      </c>
      <c r="J46" s="729">
        <f>SUMIFS('Project OPEX'!L$3:L$200, 'Project OPEX'!$B$3:$B$200, Dashboard!$B46)</f>
        <v>1.0294686750749504</v>
      </c>
      <c r="K46" s="729">
        <f>SUMIFS('Project OPEX'!M$3:M$200, 'Project OPEX'!$B$3:$B$200, Dashboard!$B46)</f>
        <v>1.0603527353271991</v>
      </c>
      <c r="L46" s="729">
        <f>SUMIFS('Project OPEX'!N$3:N$200, 'Project OPEX'!$B$3:$B$200, Dashboard!$B46)</f>
        <v>1.0921633173870149</v>
      </c>
      <c r="M46" s="729">
        <f>SUMIFS('Project OPEX'!O$3:O$200, 'Project OPEX'!$B$3:$B$200, Dashboard!$B46)</f>
        <v>1.1249282169086257</v>
      </c>
      <c r="N46" s="729">
        <f>SUMIFS('Project OPEX'!P$3:P$200, 'Project OPEX'!$B$3:$B$200, Dashboard!$B46)</f>
        <v>1.1586760634158844</v>
      </c>
      <c r="O46" s="729">
        <f>SUMIFS('Project OPEX'!Q$3:Q$200, 'Project OPEX'!$B$3:$B$200, Dashboard!$B46)</f>
        <v>1.193436345318361</v>
      </c>
      <c r="P46" s="729">
        <f>SUMIFS('Project OPEX'!R$3:R$200, 'Project OPEX'!$B$3:$B$200, Dashboard!$B46)</f>
        <v>1.2292394356779117</v>
      </c>
      <c r="Q46" s="729">
        <f>SUMIFS('Project OPEX'!S$3:S$200, 'Project OPEX'!$B$3:$B$200, Dashboard!$B46)</f>
        <v>1.2661166187482489</v>
      </c>
      <c r="R46" s="730">
        <f>SUMIFS('Project OPEX'!T$3:T$200, 'Project OPEX'!$B$3:$B$200, Dashboard!$B46)</f>
        <v>1.3041001173106967</v>
      </c>
      <c r="T46" s="680" t="s">
        <v>6</v>
      </c>
      <c r="U46" s="729">
        <f>SUMIFS('Project NET'!E$3:E$200, 'Project NET'!$B$3:$B$200, Dashboard!$T46)</f>
        <v>0</v>
      </c>
      <c r="V46" s="729">
        <f>SUMIFS('Project NET'!F$3:F$200, 'Project NET'!$B$3:$B$200, Dashboard!$T46)</f>
        <v>1.6396921918757483</v>
      </c>
      <c r="W46" s="729">
        <f>SUMIFS('Project NET'!G$3:G$200, 'Project NET'!$B$3:$B$200, Dashboard!$T46)</f>
        <v>6.7103048743484415</v>
      </c>
      <c r="X46" s="729">
        <f>SUMIFS('Project NET'!H$3:H$200, 'Project NET'!$B$3:$B$200, Dashboard!$T46)</f>
        <v>6.7581276819252221</v>
      </c>
      <c r="Y46" s="729">
        <f>SUMIFS('Project NET'!I$3:I$200, 'Project NET'!$B$3:$B$200, Dashboard!$T46)</f>
        <v>6.8056833749536505</v>
      </c>
      <c r="Z46" s="729">
        <f>SUMIFS('Project NET'!J$3:J$200, 'Project NET'!$B$3:$B$200, Dashboard!$T46)</f>
        <v>6.8529473018958056</v>
      </c>
      <c r="AA46" s="729">
        <f>SUMIFS('Project NET'!K$3:K$200, 'Project NET'!$B$3:$B$200, Dashboard!$T46)</f>
        <v>6.8998939536685526</v>
      </c>
      <c r="AB46" s="729">
        <f>SUMIFS('Project NET'!L$3:L$200, 'Project NET'!$B$3:$B$200, Dashboard!$T46)</f>
        <v>6.946496938094632</v>
      </c>
      <c r="AC46" s="729">
        <f>SUMIFS('Project NET'!M$3:M$200, 'Project NET'!$B$3:$B$200, Dashboard!$T46)</f>
        <v>6.9927289536187844</v>
      </c>
      <c r="AD46" s="729">
        <f>SUMIFS('Project NET'!N$3:N$200, 'Project NET'!$B$3:$B$200, Dashboard!$T46)</f>
        <v>7.0385617622677286</v>
      </c>
      <c r="AE46" s="729">
        <f>SUMIFS('Project NET'!O$3:O$200, 'Project NET'!$B$3:$B$200, Dashboard!$T46)</f>
        <v>7.0839661618322358</v>
      </c>
      <c r="AF46" s="729">
        <f>SUMIFS('Project NET'!P$3:P$200, 'Project NET'!$B$3:$B$200, Dashboard!$T46)</f>
        <v>7.1289119572489259</v>
      </c>
      <c r="AG46" s="729">
        <f>SUMIFS('Project NET'!Q$3:Q$200, 'Project NET'!$B$3:$B$200, Dashboard!$T46)</f>
        <v>7.1733679311587117</v>
      </c>
      <c r="AH46" s="729">
        <f>SUMIFS('Project NET'!R$3:R$200, 'Project NET'!$B$3:$B$200, Dashboard!$T46)</f>
        <v>7.2173018136181568</v>
      </c>
      <c r="AI46" s="729">
        <f>SUMIFS('Project NET'!S$3:S$200, 'Project NET'!$B$3:$B$200, Dashboard!$T46)</f>
        <v>7.2606802509394033</v>
      </c>
      <c r="AJ46" s="730">
        <f>SUMIFS('Project NET'!T$3:T$200, 'Project NET'!$B$3:$B$200, Dashboard!$T46)</f>
        <v>7.3034687736334511</v>
      </c>
      <c r="AL46" s="680" t="s">
        <v>6</v>
      </c>
      <c r="AM46" s="729">
        <f>SUMIFS('Project ASSET'!E$3:E$200, 'Project ASSET'!$B$3:$B$200, $AL46)</f>
        <v>51.333333333333336</v>
      </c>
      <c r="AN46" s="729">
        <f>SUMIFS('Project ASSET'!F$3:F$200, 'Project ASSET'!$B$3:$B$200, $AL46)</f>
        <v>84</v>
      </c>
      <c r="AO46" s="729">
        <f>SUMIFS('Project ASSET'!G$3:G$200, 'Project ASSET'!$B$3:$B$200, $AL46)</f>
        <v>80.807999999999993</v>
      </c>
      <c r="AP46" s="729">
        <f>SUMIFS('Project ASSET'!H$3:H$200, 'Project ASSET'!$B$3:$B$200, $AL46)</f>
        <v>77.616</v>
      </c>
      <c r="AQ46" s="729">
        <f>SUMIFS('Project ASSET'!I$3:I$200, 'Project ASSET'!$B$3:$B$200, $AL46)</f>
        <v>74.423999999999992</v>
      </c>
      <c r="AR46" s="729">
        <f>SUMIFS('Project ASSET'!J$3:J$200, 'Project ASSET'!$B$3:$B$200, $AL46)</f>
        <v>71.231999999999985</v>
      </c>
      <c r="AS46" s="729">
        <f>SUMIFS('Project ASSET'!K$3:K$200, 'Project ASSET'!$B$3:$B$200, $AL46)</f>
        <v>68.039999999999992</v>
      </c>
      <c r="AT46" s="729">
        <f>SUMIFS('Project ASSET'!L$3:L$200, 'Project ASSET'!$B$3:$B$200, $AL46)</f>
        <v>64.847999999999999</v>
      </c>
      <c r="AU46" s="729">
        <f>SUMIFS('Project ASSET'!M$3:M$200, 'Project ASSET'!$B$3:$B$200, $AL46)</f>
        <v>61.655999999999985</v>
      </c>
      <c r="AV46" s="729">
        <f>SUMIFS('Project ASSET'!N$3:N$200, 'Project ASSET'!$B$3:$B$200, $AL46)</f>
        <v>58.463999999999992</v>
      </c>
      <c r="AW46" s="729">
        <f>SUMIFS('Project ASSET'!O$3:O$200, 'Project ASSET'!$B$3:$B$200, $AL46)</f>
        <v>55.271999999999984</v>
      </c>
      <c r="AX46" s="729">
        <f>SUMIFS('Project ASSET'!P$3:P$200, 'Project ASSET'!$B$3:$B$200, $AL46)</f>
        <v>52.079999999999984</v>
      </c>
      <c r="AY46" s="729">
        <f>SUMIFS('Project ASSET'!Q$3:Q$200, 'Project ASSET'!$B$3:$B$200, $AL46)</f>
        <v>48.887999999999984</v>
      </c>
      <c r="AZ46" s="729">
        <f>SUMIFS('Project ASSET'!R$3:R$200, 'Project ASSET'!$B$3:$B$200, $AL46)</f>
        <v>45.695999999999977</v>
      </c>
      <c r="BA46" s="729">
        <f>SUMIFS('Project ASSET'!S$3:S$200, 'Project ASSET'!$B$3:$B$200, $AL46)</f>
        <v>42.503999999999984</v>
      </c>
      <c r="BB46" s="730">
        <f>SUMIFS('Project ASSET'!T$3:T$200, 'Project ASSET'!$B$3:$B$200, $AL46)</f>
        <v>39.311999999999976</v>
      </c>
    </row>
    <row r="47" spans="2:54">
      <c r="B47" s="680" t="s">
        <v>7</v>
      </c>
      <c r="C47" s="729">
        <f>SUMIFS('Project OPEX'!E$3:E$200, 'Project OPEX'!$B$3:$B$200, Dashboard!$B47)</f>
        <v>0</v>
      </c>
      <c r="D47" s="729">
        <f>SUMIFS('Project OPEX'!F$3:F$200, 'Project OPEX'!$B$3:$B$200, Dashboard!$B47)</f>
        <v>0</v>
      </c>
      <c r="E47" s="729">
        <f>SUMIFS('Project OPEX'!G$3:G$200, 'Project OPEX'!$B$3:$B$200, Dashboard!$B47)</f>
        <v>0.26</v>
      </c>
      <c r="F47" s="729">
        <f>SUMIFS('Project OPEX'!H$3:H$200, 'Project OPEX'!$B$3:$B$200, Dashboard!$B47)</f>
        <v>0.26780000000000004</v>
      </c>
      <c r="G47" s="729">
        <f>SUMIFS('Project OPEX'!I$3:I$200, 'Project OPEX'!$B$3:$B$200, Dashboard!$B47)</f>
        <v>0.27583400000000002</v>
      </c>
      <c r="H47" s="729">
        <f>SUMIFS('Project OPEX'!J$3:J$200, 'Project OPEX'!$B$3:$B$200, Dashboard!$B47)</f>
        <v>0.28410901999999999</v>
      </c>
      <c r="I47" s="729">
        <f>SUMIFS('Project OPEX'!K$3:K$200, 'Project OPEX'!$B$3:$B$200, Dashboard!$B47)</f>
        <v>0.29263229060000001</v>
      </c>
      <c r="J47" s="729">
        <f>SUMIFS('Project OPEX'!L$3:L$200, 'Project OPEX'!$B$3:$B$200, Dashboard!$B47)</f>
        <v>0.30141125931799995</v>
      </c>
      <c r="K47" s="729">
        <f>SUMIFS('Project OPEX'!M$3:M$200, 'Project OPEX'!$B$3:$B$200, Dashboard!$B47)</f>
        <v>0.31045359709754</v>
      </c>
      <c r="L47" s="729">
        <f>SUMIFS('Project OPEX'!N$3:N$200, 'Project OPEX'!$B$3:$B$200, Dashboard!$B47)</f>
        <v>0.31976720501046618</v>
      </c>
      <c r="M47" s="729">
        <f>SUMIFS('Project OPEX'!O$3:O$200, 'Project OPEX'!$B$3:$B$200, Dashboard!$B47)</f>
        <v>0.32936022116078018</v>
      </c>
      <c r="N47" s="729">
        <f>SUMIFS('Project OPEX'!P$3:P$200, 'Project OPEX'!$B$3:$B$200, Dashboard!$B47)</f>
        <v>0.33924102779560356</v>
      </c>
      <c r="O47" s="729">
        <f>SUMIFS('Project OPEX'!Q$3:Q$200, 'Project OPEX'!$B$3:$B$200, Dashboard!$B47)</f>
        <v>0.34941825862947168</v>
      </c>
      <c r="P47" s="729">
        <f>SUMIFS('Project OPEX'!R$3:R$200, 'Project OPEX'!$B$3:$B$200, Dashboard!$B47)</f>
        <v>0.35990080638835587</v>
      </c>
      <c r="Q47" s="729">
        <f>SUMIFS('Project OPEX'!S$3:S$200, 'Project OPEX'!$B$3:$B$200, Dashboard!$B47)</f>
        <v>0.37069783058000644</v>
      </c>
      <c r="R47" s="730">
        <f>SUMIFS('Project OPEX'!T$3:T$200, 'Project OPEX'!$B$3:$B$200, Dashboard!$B47)</f>
        <v>0.38181876549740662</v>
      </c>
      <c r="T47" s="680" t="s">
        <v>7</v>
      </c>
      <c r="U47" s="729">
        <f>SUMIFS('Project NET'!E$3:E$200, 'Project NET'!$B$3:$B$200, Dashboard!$T47)</f>
        <v>0</v>
      </c>
      <c r="V47" s="729">
        <f>SUMIFS('Project NET'!F$3:F$200, 'Project NET'!$B$3:$B$200, Dashboard!$T47)</f>
        <v>0</v>
      </c>
      <c r="W47" s="729">
        <f>SUMIFS('Project NET'!G$3:G$200, 'Project NET'!$B$3:$B$200, Dashboard!$T47)</f>
        <v>2.4622440000000001</v>
      </c>
      <c r="X47" s="729">
        <f>SUMIFS('Project NET'!H$3:H$200, 'Project NET'!$B$3:$B$200, Dashboard!$T47)</f>
        <v>3.0531567999999991</v>
      </c>
      <c r="Y47" s="729">
        <f>SUMIFS('Project NET'!I$3:I$200, 'Project NET'!$B$3:$B$200, Dashboard!$T47)</f>
        <v>3.1115419359999996</v>
      </c>
      <c r="Z47" s="729">
        <f>SUMIFS('Project NET'!J$3:J$200, 'Project NET'!$B$3:$B$200, Dashboard!$T47)</f>
        <v>3.1710144347200004</v>
      </c>
      <c r="AA47" s="729">
        <f>SUMIFS('Project NET'!K$3:K$200, 'Project NET'!$B$3:$B$200, Dashboard!$T47)</f>
        <v>3.2315936332144006</v>
      </c>
      <c r="AB47" s="729">
        <f>SUMIFS('Project NET'!L$3:L$200, 'Project NET'!$B$3:$B$200, Dashboard!$T47)</f>
        <v>3.2932991829726888</v>
      </c>
      <c r="AC47" s="729">
        <f>SUMIFS('Project NET'!M$3:M$200, 'Project NET'!$B$3:$B$200, Dashboard!$T47)</f>
        <v>3.3561510540389614</v>
      </c>
      <c r="AD47" s="729">
        <f>SUMIFS('Project NET'!N$3:N$200, 'Project NET'!$B$3:$B$200, Dashboard!$T47)</f>
        <v>3.4201695391487652</v>
      </c>
      <c r="AE47" s="729">
        <f>SUMIFS('Project NET'!O$3:O$200, 'Project NET'!$B$3:$B$200, Dashboard!$T47)</f>
        <v>3.4853752578816364</v>
      </c>
      <c r="AF47" s="729">
        <f>SUMIFS('Project NET'!P$3:P$200, 'Project NET'!$B$3:$B$200, Dashboard!$T47)</f>
        <v>3.5517891608276608</v>
      </c>
      <c r="AG47" s="729">
        <f>SUMIFS('Project NET'!Q$3:Q$200, 'Project NET'!$B$3:$B$200, Dashboard!$T47)</f>
        <v>3.6194325337662576</v>
      </c>
      <c r="AH47" s="729">
        <f>SUMIFS('Project NET'!R$3:R$200, 'Project NET'!$B$3:$B$200, Dashboard!$T47)</f>
        <v>3.6883270018552885</v>
      </c>
      <c r="AI47" s="729">
        <f>SUMIFS('Project NET'!S$3:S$200, 'Project NET'!$B$3:$B$200, Dashboard!$T47)</f>
        <v>3.758494533828511</v>
      </c>
      <c r="AJ47" s="730">
        <f>SUMIFS('Project NET'!T$3:T$200, 'Project NET'!$B$3:$B$200, Dashboard!$T47)</f>
        <v>3.8299574461992814</v>
      </c>
      <c r="AL47" s="680" t="s">
        <v>7</v>
      </c>
      <c r="AM47" s="729">
        <f>SUMIFS('Project ASSET'!E$3:E$200, 'Project ASSET'!$B$3:$B$200, $AL47)</f>
        <v>0</v>
      </c>
      <c r="AN47" s="729">
        <f>SUMIFS('Project ASSET'!F$3:F$200, 'Project ASSET'!$B$3:$B$200, $AL47)</f>
        <v>52.708333333333321</v>
      </c>
      <c r="AO47" s="729">
        <f>SUMIFS('Project ASSET'!G$3:G$200, 'Project ASSET'!$B$3:$B$200, $AL47)</f>
        <v>57.499999999999993</v>
      </c>
      <c r="AP47" s="729">
        <f>SUMIFS('Project ASSET'!H$3:H$200, 'Project ASSET'!$B$3:$B$200, $AL47)</f>
        <v>55.314999999999991</v>
      </c>
      <c r="AQ47" s="729">
        <f>SUMIFS('Project ASSET'!I$3:I$200, 'Project ASSET'!$B$3:$B$200, $AL47)</f>
        <v>53.129999999999988</v>
      </c>
      <c r="AR47" s="729">
        <f>SUMIFS('Project ASSET'!J$3:J$200, 'Project ASSET'!$B$3:$B$200, $AL47)</f>
        <v>50.944999999999986</v>
      </c>
      <c r="AS47" s="729">
        <f>SUMIFS('Project ASSET'!K$3:K$200, 'Project ASSET'!$B$3:$B$200, $AL47)</f>
        <v>48.759999999999984</v>
      </c>
      <c r="AT47" s="729">
        <f>SUMIFS('Project ASSET'!L$3:L$200, 'Project ASSET'!$B$3:$B$200, $AL47)</f>
        <v>46.574999999999982</v>
      </c>
      <c r="AU47" s="729">
        <f>SUMIFS('Project ASSET'!M$3:M$200, 'Project ASSET'!$B$3:$B$200, $AL47)</f>
        <v>44.389999999999979</v>
      </c>
      <c r="AV47" s="729">
        <f>SUMIFS('Project ASSET'!N$3:N$200, 'Project ASSET'!$B$3:$B$200, $AL47)</f>
        <v>42.204999999999977</v>
      </c>
      <c r="AW47" s="729">
        <f>SUMIFS('Project ASSET'!O$3:O$200, 'Project ASSET'!$B$3:$B$200, $AL47)</f>
        <v>40.019999999999975</v>
      </c>
      <c r="AX47" s="729">
        <f>SUMIFS('Project ASSET'!P$3:P$200, 'Project ASSET'!$B$3:$B$200, $AL47)</f>
        <v>37.834999999999972</v>
      </c>
      <c r="AY47" s="729">
        <f>SUMIFS('Project ASSET'!Q$3:Q$200, 'Project ASSET'!$B$3:$B$200, $AL47)</f>
        <v>35.64999999999997</v>
      </c>
      <c r="AZ47" s="729">
        <f>SUMIFS('Project ASSET'!R$3:R$200, 'Project ASSET'!$B$3:$B$200, $AL47)</f>
        <v>33.464999999999968</v>
      </c>
      <c r="BA47" s="729">
        <f>SUMIFS('Project ASSET'!S$3:S$200, 'Project ASSET'!$B$3:$B$200, $AL47)</f>
        <v>31.279999999999969</v>
      </c>
      <c r="BB47" s="730">
        <f>SUMIFS('Project ASSET'!T$3:T$200, 'Project ASSET'!$B$3:$B$200, $AL47)</f>
        <v>29.09499999999997</v>
      </c>
    </row>
    <row r="48" spans="2:54">
      <c r="B48" s="680" t="s">
        <v>9</v>
      </c>
      <c r="C48" s="729">
        <f>SUMIFS('Project OPEX'!E$3:E$200, 'Project OPEX'!$B$3:$B$200, Dashboard!$B48)</f>
        <v>0</v>
      </c>
      <c r="D48" s="729">
        <f>SUMIFS('Project OPEX'!F$3:F$200, 'Project OPEX'!$B$3:$B$200, Dashboard!$B48)</f>
        <v>0</v>
      </c>
      <c r="E48" s="729">
        <f>SUMIFS('Project OPEX'!G$3:G$200, 'Project OPEX'!$B$3:$B$200, Dashboard!$B48)</f>
        <v>0</v>
      </c>
      <c r="F48" s="729">
        <f>SUMIFS('Project OPEX'!H$3:H$200, 'Project OPEX'!$B$3:$B$200, Dashboard!$B48)</f>
        <v>0</v>
      </c>
      <c r="G48" s="729">
        <f>SUMIFS('Project OPEX'!I$3:I$200, 'Project OPEX'!$B$3:$B$200, Dashboard!$B48)</f>
        <v>0</v>
      </c>
      <c r="H48" s="729">
        <f>SUMIFS('Project OPEX'!J$3:J$200, 'Project OPEX'!$B$3:$B$200, Dashboard!$B48)</f>
        <v>49.169243363855756</v>
      </c>
      <c r="I48" s="729">
        <f>SUMIFS('Project OPEX'!K$3:K$200, 'Project OPEX'!$B$3:$B$200, Dashboard!$B48)</f>
        <v>59.527068475043421</v>
      </c>
      <c r="J48" s="729">
        <f>SUMIFS('Project OPEX'!L$3:L$200, 'Project OPEX'!$B$3:$B$200, Dashboard!$B48)</f>
        <v>60.18165080385581</v>
      </c>
      <c r="K48" s="729">
        <f>SUMIFS('Project OPEX'!M$3:M$200, 'Project OPEX'!$B$3:$B$200, Dashboard!$B48)</f>
        <v>60.858698676846181</v>
      </c>
      <c r="L48" s="729">
        <f>SUMIFS('Project OPEX'!N$3:N$200, 'Project OPEX'!$B$3:$B$200, Dashboard!$B48)</f>
        <v>61.558878990154078</v>
      </c>
      <c r="M48" s="729">
        <f>SUMIFS('Project OPEX'!O$3:O$200, 'Project OPEX'!$B$3:$B$200, Dashboard!$B48)</f>
        <v>62.28287866447868</v>
      </c>
      <c r="N48" s="729">
        <f>SUMIFS('Project OPEX'!P$3:P$200, 'Project OPEX'!$B$3:$B$200, Dashboard!$B48)</f>
        <v>63.031405245771488</v>
      </c>
      <c r="O48" s="729">
        <f>SUMIFS('Project OPEX'!Q$3:Q$200, 'Project OPEX'!$B$3:$B$200, Dashboard!$B48)</f>
        <v>63.805187523949684</v>
      </c>
      <c r="P48" s="729">
        <f>SUMIFS('Project OPEX'!R$3:R$200, 'Project OPEX'!$B$3:$B$200, Dashboard!$B48)</f>
        <v>64.604976170171199</v>
      </c>
      <c r="Q48" s="729">
        <f>SUMIFS('Project OPEX'!S$3:S$200, 'Project OPEX'!$B$3:$B$200, Dashboard!$B48)</f>
        <v>65.431544393228123</v>
      </c>
      <c r="R48" s="730">
        <f>SUMIFS('Project OPEX'!T$3:T$200, 'Project OPEX'!$B$3:$B$200, Dashboard!$B48)</f>
        <v>66.285688615631855</v>
      </c>
      <c r="T48" s="680" t="s">
        <v>9</v>
      </c>
      <c r="U48" s="729">
        <f>SUMIFS('Project NET'!E$3:E$200, 'Project NET'!$B$3:$B$200, Dashboard!$T48)</f>
        <v>0</v>
      </c>
      <c r="V48" s="729">
        <f>SUMIFS('Project NET'!F$3:F$200, 'Project NET'!$B$3:$B$200, Dashboard!$T48)</f>
        <v>0</v>
      </c>
      <c r="W48" s="729">
        <f>SUMIFS('Project NET'!G$3:G$200, 'Project NET'!$B$3:$B$200, Dashboard!$T48)</f>
        <v>0</v>
      </c>
      <c r="X48" s="729">
        <f>SUMIFS('Project NET'!H$3:H$200, 'Project NET'!$B$3:$B$200, Dashboard!$T48)</f>
        <v>0</v>
      </c>
      <c r="Y48" s="729">
        <f>SUMIFS('Project NET'!I$3:I$200, 'Project NET'!$B$3:$B$200, Dashboard!$T48)</f>
        <v>0</v>
      </c>
      <c r="Z48" s="729">
        <f>SUMIFS('Project NET'!J$3:J$200, 'Project NET'!$B$3:$B$200, Dashboard!$T48)</f>
        <v>123.76659579178967</v>
      </c>
      <c r="AA48" s="729">
        <f>SUMIFS('Project NET'!K$3:K$200, 'Project NET'!$B$3:$B$200, Dashboard!$T48)</f>
        <v>151.44316454141173</v>
      </c>
      <c r="AB48" s="729">
        <f>SUMIFS('Project NET'!L$3:L$200, 'Project NET'!$B$3:$B$200, Dashboard!$T48)</f>
        <v>154.47001277873656</v>
      </c>
      <c r="AC48" s="729">
        <f>SUMIFS('Project NET'!M$3:M$200, 'Project NET'!$B$3:$B$200, Dashboard!$T48)</f>
        <v>157.53863643526236</v>
      </c>
      <c r="AD48" s="729">
        <f>SUMIFS('Project NET'!N$3:N$200, 'Project NET'!$B$3:$B$200, Dashboard!$T48)</f>
        <v>160.64948961966076</v>
      </c>
      <c r="AE48" s="729">
        <f>SUMIFS('Project NET'!O$3:O$200, 'Project NET'!$B$3:$B$200, Dashboard!$T48)</f>
        <v>163.80302597757748</v>
      </c>
      <c r="AF48" s="729">
        <f>SUMIFS('Project NET'!P$3:P$200, 'Project NET'!$B$3:$B$200, Dashboard!$T48)</f>
        <v>166.99969843228857</v>
      </c>
      <c r="AG48" s="729">
        <f>SUMIFS('Project NET'!Q$3:Q$200, 'Project NET'!$B$3:$B$200, Dashboard!$T48)</f>
        <v>170.2399589132925</v>
      </c>
      <c r="AH48" s="729">
        <f>SUMIFS('Project NET'!R$3:R$200, 'Project NET'!$B$3:$B$200, Dashboard!$T48)</f>
        <v>173.5242580724009</v>
      </c>
      <c r="AI48" s="729">
        <f>SUMIFS('Project NET'!S$3:S$200, 'Project NET'!$B$3:$B$200, Dashboard!$T48)</f>
        <v>176.85304498687685</v>
      </c>
      <c r="AJ48" s="730">
        <f>SUMIFS('Project NET'!T$3:T$200, 'Project NET'!$B$3:$B$200, Dashboard!$T48)</f>
        <v>180.22676684915598</v>
      </c>
      <c r="AL48" s="680" t="s">
        <v>9</v>
      </c>
      <c r="AM48" s="729">
        <f>SUMIFS('Project ASSET'!E$3:E$200, 'Project ASSET'!$B$3:$B$200, $AL48)</f>
        <v>0</v>
      </c>
      <c r="AN48" s="729">
        <f>SUMIFS('Project ASSET'!F$3:F$200, 'Project ASSET'!$B$3:$B$200, $AL48)</f>
        <v>330</v>
      </c>
      <c r="AO48" s="729">
        <f>SUMIFS('Project ASSET'!G$3:G$200, 'Project ASSET'!$B$3:$B$200, $AL48)</f>
        <v>690</v>
      </c>
      <c r="AP48" s="729">
        <f>SUMIFS('Project ASSET'!H$3:H$200, 'Project ASSET'!$B$3:$B$200, $AL48)</f>
        <v>1050</v>
      </c>
      <c r="AQ48" s="729">
        <f>SUMIFS('Project ASSET'!I$3:I$200, 'Project ASSET'!$B$3:$B$200, $AL48)</f>
        <v>1410</v>
      </c>
      <c r="AR48" s="729">
        <f>SUMIFS('Project ASSET'!J$3:J$200, 'Project ASSET'!$B$3:$B$200, $AL48)</f>
        <v>1440</v>
      </c>
      <c r="AS48" s="729">
        <f>SUMIFS('Project ASSET'!K$3:K$200, 'Project ASSET'!$B$3:$B$200, $AL48)</f>
        <v>1385.28</v>
      </c>
      <c r="AT48" s="729">
        <f>SUMIFS('Project ASSET'!L$3:L$200, 'Project ASSET'!$B$3:$B$200, $AL48)</f>
        <v>1330.56</v>
      </c>
      <c r="AU48" s="729">
        <f>SUMIFS('Project ASSET'!M$3:M$200, 'Project ASSET'!$B$3:$B$200, $AL48)</f>
        <v>1275.8399999999999</v>
      </c>
      <c r="AV48" s="729">
        <f>SUMIFS('Project ASSET'!N$3:N$200, 'Project ASSET'!$B$3:$B$200, $AL48)</f>
        <v>1221.1199999999999</v>
      </c>
      <c r="AW48" s="729">
        <f>SUMIFS('Project ASSET'!O$3:O$200, 'Project ASSET'!$B$3:$B$200, $AL48)</f>
        <v>1166.3999999999999</v>
      </c>
      <c r="AX48" s="729">
        <f>SUMIFS('Project ASSET'!P$3:P$200, 'Project ASSET'!$B$3:$B$200, $AL48)</f>
        <v>1111.6799999999998</v>
      </c>
      <c r="AY48" s="729">
        <f>SUMIFS('Project ASSET'!Q$3:Q$200, 'Project ASSET'!$B$3:$B$200, $AL48)</f>
        <v>1056.9599999999998</v>
      </c>
      <c r="AZ48" s="729">
        <f>SUMIFS('Project ASSET'!R$3:R$200, 'Project ASSET'!$B$3:$B$200, $AL48)</f>
        <v>1002.2399999999998</v>
      </c>
      <c r="BA48" s="729">
        <f>SUMIFS('Project ASSET'!S$3:S$200, 'Project ASSET'!$B$3:$B$200, $AL48)</f>
        <v>947.51999999999975</v>
      </c>
      <c r="BB48" s="730">
        <f>SUMIFS('Project ASSET'!T$3:T$200, 'Project ASSET'!$B$3:$B$200, $AL48)</f>
        <v>892.79999999999973</v>
      </c>
    </row>
    <row r="49" spans="2:54">
      <c r="B49" s="680" t="s">
        <v>11</v>
      </c>
      <c r="C49" s="729">
        <f>SUMIFS('Project OPEX'!E$3:E$200, 'Project OPEX'!$B$3:$B$200, Dashboard!$B49)</f>
        <v>0</v>
      </c>
      <c r="D49" s="729">
        <f>SUMIFS('Project OPEX'!F$3:F$200, 'Project OPEX'!$B$3:$B$200, Dashboard!$B49)</f>
        <v>0</v>
      </c>
      <c r="E49" s="729">
        <f>SUMIFS('Project OPEX'!G$3:G$200, 'Project OPEX'!$B$3:$B$200, Dashboard!$B49)</f>
        <v>0</v>
      </c>
      <c r="F49" s="729">
        <f>SUMIFS('Project OPEX'!H$3:H$200, 'Project OPEX'!$B$3:$B$200, Dashboard!$B49)</f>
        <v>104.19707151535633</v>
      </c>
      <c r="G49" s="729">
        <f>SUMIFS('Project OPEX'!I$3:I$200, 'Project OPEX'!$B$3:$B$200, Dashboard!$B49)</f>
        <v>139.57764712449122</v>
      </c>
      <c r="H49" s="729">
        <f>SUMIFS('Project OPEX'!J$3:J$200, 'Project OPEX'!$B$3:$B$200, Dashboard!$B49)</f>
        <v>140.21238296114271</v>
      </c>
      <c r="I49" s="729">
        <f>SUMIFS('Project OPEX'!K$3:K$200, 'Project OPEX'!$B$3:$B$200, Dashboard!$B49)</f>
        <v>141.53955434994202</v>
      </c>
      <c r="J49" s="729">
        <f>SUMIFS('Project OPEX'!L$3:L$200, 'Project OPEX'!$B$3:$B$200, Dashboard!$B49)</f>
        <v>142.38937064577613</v>
      </c>
      <c r="K49" s="729">
        <f>SUMIFS('Project OPEX'!M$3:M$200, 'Project OPEX'!$B$3:$B$200, Dashboard!$B49)</f>
        <v>143.09579133944194</v>
      </c>
      <c r="L49" s="729">
        <f>SUMIFS('Project OPEX'!N$3:N$200, 'Project OPEX'!$B$3:$B$200, Dashboard!$B49)</f>
        <v>143.81640347507306</v>
      </c>
      <c r="M49" s="729">
        <f>SUMIFS('Project OPEX'!O$3:O$200, 'Project OPEX'!$B$3:$B$200, Dashboard!$B49)</f>
        <v>144.55149084705911</v>
      </c>
      <c r="N49" s="729">
        <f>SUMIFS('Project OPEX'!P$3:P$200, 'Project OPEX'!$B$3:$B$200, Dashboard!$B49)</f>
        <v>145.30134292776972</v>
      </c>
      <c r="O49" s="729">
        <f>SUMIFS('Project OPEX'!Q$3:Q$200, 'Project OPEX'!$B$3:$B$200, Dashboard!$B49)</f>
        <v>146.06625498114198</v>
      </c>
      <c r="P49" s="729">
        <f>SUMIFS('Project OPEX'!R$3:R$200, 'Project OPEX'!$B$3:$B$200, Dashboard!$B49)</f>
        <v>146.84652817854004</v>
      </c>
      <c r="Q49" s="729">
        <f>SUMIFS('Project OPEX'!S$3:S$200, 'Project OPEX'!$B$3:$B$200, Dashboard!$B49)</f>
        <v>147.64246971693265</v>
      </c>
      <c r="R49" s="730">
        <f>SUMIFS('Project OPEX'!T$3:T$200, 'Project OPEX'!$B$3:$B$200, Dashboard!$B49)</f>
        <v>148.45439293943448</v>
      </c>
      <c r="T49" s="680" t="s">
        <v>11</v>
      </c>
      <c r="U49" s="729">
        <f>SUMIFS('Project NET'!E$3:E$200, 'Project NET'!$B$3:$B$200, Dashboard!$T49)</f>
        <v>0</v>
      </c>
      <c r="V49" s="729">
        <f>SUMIFS('Project NET'!F$3:F$200, 'Project NET'!$B$3:$B$200, Dashboard!$T49)</f>
        <v>0</v>
      </c>
      <c r="W49" s="729" t="s">
        <v>33</v>
      </c>
      <c r="X49" s="729">
        <f>SUMIFS('Project NET'!H$3:H$200, 'Project NET'!$B$3:$B$200, Dashboard!$T49)</f>
        <v>636.41913996483174</v>
      </c>
      <c r="Y49" s="729">
        <f>SUMIFS('Project NET'!I$3:I$200, 'Project NET'!$B$3:$B$200, Dashboard!$T49)</f>
        <v>867.40451309170589</v>
      </c>
      <c r="Z49" s="729">
        <f>SUMIFS('Project NET'!J$3:J$200, 'Project NET'!$B$3:$B$200, Dashboard!$T49)</f>
        <v>886.65353306251961</v>
      </c>
      <c r="AA49" s="729">
        <f>SUMIFS('Project NET'!K$3:K$200, 'Project NET'!$B$3:$B$200, Dashboard!$T49)</f>
        <v>976.66310151323171</v>
      </c>
      <c r="AB49" s="729">
        <f>SUMIFS('Project NET'!L$3:L$200, 'Project NET'!$B$3:$B$200, Dashboard!$T49)</f>
        <v>1012.9359960776599</v>
      </c>
      <c r="AC49" s="729">
        <f>SUMIFS('Project NET'!M$3:M$200, 'Project NET'!$B$3:$B$200, Dashboard!$T49)</f>
        <v>1033.0796627917305</v>
      </c>
      <c r="AD49" s="729">
        <f>SUMIFS('Project NET'!N$3:N$200, 'Project NET'!$B$3:$B$200, Dashboard!$T49)</f>
        <v>1053.6317808618066</v>
      </c>
      <c r="AE49" s="729">
        <f>SUMIFS('Project NET'!O$3:O$200, 'Project NET'!$B$3:$B$200, Dashboard!$T49)</f>
        <v>1074.6005052468349</v>
      </c>
      <c r="AF49" s="729">
        <f>SUMIFS('Project NET'!P$3:P$200, 'Project NET'!$B$3:$B$200, Dashboard!$T49)</f>
        <v>1095.9941540381033</v>
      </c>
      <c r="AG49" s="729">
        <f>SUMIFS('Project NET'!Q$3:Q$200, 'Project NET'!$B$3:$B$200, Dashboard!$T49)</f>
        <v>1117.8212117217738</v>
      </c>
      <c r="AH49" s="729">
        <f>SUMIFS('Project NET'!R$3:R$200, 'Project NET'!$B$3:$B$200, Dashboard!$T49)</f>
        <v>1140.0903325066654</v>
      </c>
      <c r="AI49" s="729">
        <f>SUMIFS('Project NET'!S$3:S$200, 'Project NET'!$B$3:$B$200, Dashboard!$T49)</f>
        <v>1162.8103437185873</v>
      </c>
      <c r="AJ49" s="730">
        <f>SUMIFS('Project NET'!T$3:T$200, 'Project NET'!$B$3:$B$200, Dashboard!$T49)</f>
        <v>1185.9902492625652</v>
      </c>
      <c r="AL49" s="680" t="s">
        <v>11</v>
      </c>
      <c r="AM49" s="729">
        <f>SUMIFS('Project ASSET'!E$3:E$200, 'Project ASSET'!$B$3:$B$200, $AL49)</f>
        <v>0</v>
      </c>
      <c r="AN49" s="729">
        <f>SUMIFS('Project ASSET'!F$3:F$200, 'Project ASSET'!$B$3:$B$200, $AL49)</f>
        <v>0</v>
      </c>
      <c r="AO49" s="729">
        <f>SUMIFS('Project ASSET'!G$3:G$200, 'Project ASSET'!$B$3:$B$200, $AL49)</f>
        <v>660</v>
      </c>
      <c r="AP49" s="729">
        <f>SUMIFS('Project ASSET'!H$3:H$200, 'Project ASSET'!$B$3:$B$200, $AL49)</f>
        <v>720</v>
      </c>
      <c r="AQ49" s="729">
        <f>SUMIFS('Project ASSET'!I$3:I$200, 'Project ASSET'!$B$3:$B$200, $AL49)</f>
        <v>692.64</v>
      </c>
      <c r="AR49" s="729">
        <f>SUMIFS('Project ASSET'!J$3:J$200, 'Project ASSET'!$B$3:$B$200, $AL49)</f>
        <v>665.28</v>
      </c>
      <c r="AS49" s="729">
        <f>SUMIFS('Project ASSET'!K$3:K$200, 'Project ASSET'!$B$3:$B$200, $AL49)</f>
        <v>637.91999999999996</v>
      </c>
      <c r="AT49" s="729">
        <f>SUMIFS('Project ASSET'!L$3:L$200, 'Project ASSET'!$B$3:$B$200, $AL49)</f>
        <v>610.55999999999995</v>
      </c>
      <c r="AU49" s="729">
        <f>SUMIFS('Project ASSET'!M$3:M$200, 'Project ASSET'!$B$3:$B$200, $AL49)</f>
        <v>583.19999999999993</v>
      </c>
      <c r="AV49" s="729">
        <f>SUMIFS('Project ASSET'!N$3:N$200, 'Project ASSET'!$B$3:$B$200, $AL49)</f>
        <v>555.83999999999992</v>
      </c>
      <c r="AW49" s="729">
        <f>SUMIFS('Project ASSET'!O$3:O$200, 'Project ASSET'!$B$3:$B$200, $AL49)</f>
        <v>528.4799999999999</v>
      </c>
      <c r="AX49" s="729">
        <f>SUMIFS('Project ASSET'!P$3:P$200, 'Project ASSET'!$B$3:$B$200, $AL49)</f>
        <v>501.11999999999989</v>
      </c>
      <c r="AY49" s="729">
        <f>SUMIFS('Project ASSET'!Q$3:Q$200, 'Project ASSET'!$B$3:$B$200, $AL49)</f>
        <v>473.75999999999988</v>
      </c>
      <c r="AZ49" s="729">
        <f>SUMIFS('Project ASSET'!R$3:R$200, 'Project ASSET'!$B$3:$B$200, $AL49)</f>
        <v>446.39999999999986</v>
      </c>
      <c r="BA49" s="729">
        <f>SUMIFS('Project ASSET'!S$3:S$200, 'Project ASSET'!$B$3:$B$200, $AL49)</f>
        <v>419.03999999999985</v>
      </c>
      <c r="BB49" s="730">
        <f>SUMIFS('Project ASSET'!T$3:T$200, 'Project ASSET'!$B$3:$B$200, $AL49)</f>
        <v>391.67999999999984</v>
      </c>
    </row>
    <row r="50" spans="2:54" ht="16" thickBot="1">
      <c r="B50" s="681" t="s">
        <v>13</v>
      </c>
      <c r="C50" s="731">
        <f>SUMIFS('Project OPEX'!E$3:E$200, 'Project OPEX'!$B$3:$B$200, Dashboard!$B50)</f>
        <v>0</v>
      </c>
      <c r="D50" s="731">
        <f>SUMIFS('Project OPEX'!F$3:F$200, 'Project OPEX'!$B$3:$B$200, Dashboard!$B50)</f>
        <v>19.150496365034201</v>
      </c>
      <c r="E50" s="731">
        <f>SUMIFS('Project OPEX'!G$3:G$200, 'Project OPEX'!$B$3:$B$200, Dashboard!$B50)</f>
        <v>25.676104107118714</v>
      </c>
      <c r="F50" s="731">
        <f>SUMIFS('Project OPEX'!H$3:H$200, 'Project OPEX'!$B$3:$B$200, Dashboard!$B50)</f>
        <v>25.799434842412083</v>
      </c>
      <c r="G50" s="731">
        <f>SUMIFS('Project OPEX'!I$3:I$200, 'Project OPEX'!$B$3:$B$200, Dashboard!$B50)</f>
        <v>25.900043174975465</v>
      </c>
      <c r="H50" s="731">
        <f>SUMIFS('Project OPEX'!J$3:J$200, 'Project OPEX'!$B$3:$B$200, Dashboard!$B50)</f>
        <v>26.04885987735328</v>
      </c>
      <c r="I50" s="731">
        <f>SUMIFS('Project OPEX'!K$3:K$200, 'Project OPEX'!$B$3:$B$200, Dashboard!$B50)</f>
        <v>26.208630772519271</v>
      </c>
      <c r="J50" s="731">
        <f>SUMIFS('Project OPEX'!L$3:L$200, 'Project OPEX'!$B$3:$B$200, Dashboard!$B50)</f>
        <v>26.371602495471514</v>
      </c>
      <c r="K50" s="731">
        <f>SUMIFS('Project OPEX'!M$3:M$200, 'Project OPEX'!$B$3:$B$200, Dashboard!$B50)</f>
        <v>26.537839149892093</v>
      </c>
      <c r="L50" s="731">
        <f>SUMIFS('Project OPEX'!N$3:N$200, 'Project OPEX'!$B$3:$B$200, Dashboard!$B50)</f>
        <v>26.707406122958879</v>
      </c>
      <c r="M50" s="731">
        <f>SUMIFS('Project OPEX'!O$3:O$200, 'Project OPEX'!$B$3:$B$200, Dashboard!$B50)</f>
        <v>26.880370111038935</v>
      </c>
      <c r="N50" s="731">
        <f>SUMIFS('Project OPEX'!P$3:P$200, 'Project OPEX'!$B$3:$B$200, Dashboard!$B50)</f>
        <v>27.056799145896179</v>
      </c>
      <c r="O50" s="731">
        <f>SUMIFS('Project OPEX'!Q$3:Q$200, 'Project OPEX'!$B$3:$B$200, Dashboard!$B50)</f>
        <v>27.236762621423651</v>
      </c>
      <c r="P50" s="731">
        <f>SUMIFS('Project OPEX'!R$3:R$200, 'Project OPEX'!$B$3:$B$200, Dashboard!$B50)</f>
        <v>27.420331320910773</v>
      </c>
      <c r="Q50" s="731">
        <f>SUMIFS('Project OPEX'!S$3:S$200, 'Project OPEX'!$B$3:$B$200, Dashboard!$B50)</f>
        <v>27.60757744485641</v>
      </c>
      <c r="R50" s="732">
        <f>SUMIFS('Project OPEX'!T$3:T$200, 'Project OPEX'!$B$3:$B$200, Dashboard!$B50)</f>
        <v>27.798574639338568</v>
      </c>
      <c r="T50" s="681" t="s">
        <v>13</v>
      </c>
      <c r="U50" s="731">
        <f>SUMIFS('Project NET'!E$3:E$200, 'Project NET'!$B$3:$B$200, Dashboard!$T50)</f>
        <v>0</v>
      </c>
      <c r="V50" s="731">
        <f>SUMIFS('Project NET'!F$3:F$200, 'Project NET'!$B$3:$B$200, Dashboard!$T50)</f>
        <v>93.198656643058285</v>
      </c>
      <c r="W50" s="731">
        <f>SUMIFS('Project NET'!G$3:G$200, 'Project NET'!$B$3:$B$200, Dashboard!$T50)</f>
        <v>126.28437015433791</v>
      </c>
      <c r="X50" s="731">
        <f>SUMIFS('Project NET'!H$3:H$200, 'Project NET'!$B$3:$B$200, Dashboard!$T50)</f>
        <v>128.36587507472456</v>
      </c>
      <c r="Y50" s="731">
        <f>SUMIFS('Project NET'!I$3:I$200, 'Project NET'!$B$3:$B$200, Dashboard!$T50)</f>
        <v>130.51419911095479</v>
      </c>
      <c r="Z50" s="731">
        <f>SUMIFS('Project NET'!J$3:J$200, 'Project NET'!$B$3:$B$200, Dashboard!$T50)</f>
        <v>132.65929342474641</v>
      </c>
      <c r="AA50" s="731">
        <f>SUMIFS('Project NET'!K$3:K$200, 'Project NET'!$B$3:$B$200, Dashboard!$T50)</f>
        <v>134.83931176607331</v>
      </c>
      <c r="AB50" s="731">
        <f>SUMIFS('Project NET'!L$3:L$200, 'Project NET'!$B$3:$B$200, Dashboard!$T50)</f>
        <v>137.06292506434374</v>
      </c>
      <c r="AC50" s="731">
        <f>SUMIFS('Project NET'!M$3:M$200, 'Project NET'!$B$3:$B$200, Dashboard!$T50)</f>
        <v>139.33100513157035</v>
      </c>
      <c r="AD50" s="731">
        <f>SUMIFS('Project NET'!N$3:N$200, 'Project NET'!$B$3:$B$200, Dashboard!$T50)</f>
        <v>141.64444121458368</v>
      </c>
      <c r="AE50" s="731">
        <f>SUMIFS('Project NET'!O$3:O$200, 'Project NET'!$B$3:$B$200, Dashboard!$T50)</f>
        <v>144.00414034370536</v>
      </c>
      <c r="AF50" s="731">
        <f>SUMIFS('Project NET'!P$3:P$200, 'Project NET'!$B$3:$B$200, Dashboard!$T50)</f>
        <v>146.41102768839383</v>
      </c>
      <c r="AG50" s="731">
        <f>SUMIFS('Project NET'!Q$3:Q$200, 'Project NET'!$B$3:$B$200, Dashboard!$T50)</f>
        <v>148.86604692000304</v>
      </c>
      <c r="AH50" s="731">
        <f>SUMIFS('Project NET'!R$3:R$200, 'Project NET'!$B$3:$B$200, Dashboard!$T50)</f>
        <v>151.37016058179532</v>
      </c>
      <c r="AI50" s="731">
        <f>SUMIFS('Project NET'!S$3:S$200, 'Project NET'!$B$3:$B$200, Dashboard!$T50)</f>
        <v>153.9243504663547</v>
      </c>
      <c r="AJ50" s="732">
        <f>SUMIFS('Project NET'!T$3:T$200, 'Project NET'!$B$3:$B$200, Dashboard!$T50)</f>
        <v>156.52961800054757</v>
      </c>
      <c r="AL50" s="681" t="s">
        <v>13</v>
      </c>
      <c r="AM50" s="731">
        <f>SUMIFS('Project ASSET'!E$3:E$200, 'Project ASSET'!$B$3:$B$200, $AL50)</f>
        <v>103.125</v>
      </c>
      <c r="AN50" s="731">
        <f>SUMIFS('Project ASSET'!F$3:F$200, 'Project ASSET'!$B$3:$B$200, $AL50)</f>
        <v>112.5</v>
      </c>
      <c r="AO50" s="731">
        <f>SUMIFS('Project ASSET'!G$3:G$200, 'Project ASSET'!$B$3:$B$200, $AL50)</f>
        <v>108.22499999999999</v>
      </c>
      <c r="AP50" s="731">
        <f>SUMIFS('Project ASSET'!H$3:H$200, 'Project ASSET'!$B$3:$B$200, $AL50)</f>
        <v>103.94999999999999</v>
      </c>
      <c r="AQ50" s="731">
        <f>SUMIFS('Project ASSET'!I$3:I$200, 'Project ASSET'!$B$3:$B$200, $AL50)</f>
        <v>99.674999999999983</v>
      </c>
      <c r="AR50" s="731">
        <f>SUMIFS('Project ASSET'!J$3:J$200, 'Project ASSET'!$B$3:$B$200, $AL50)</f>
        <v>95.399999999999977</v>
      </c>
      <c r="AS50" s="731">
        <f>SUMIFS('Project ASSET'!K$3:K$200, 'Project ASSET'!$B$3:$B$200, $AL50)</f>
        <v>91.124999999999972</v>
      </c>
      <c r="AT50" s="731">
        <f>SUMIFS('Project ASSET'!L$3:L$200, 'Project ASSET'!$B$3:$B$200, $AL50)</f>
        <v>86.849999999999966</v>
      </c>
      <c r="AU50" s="731">
        <f>SUMIFS('Project ASSET'!M$3:M$200, 'Project ASSET'!$B$3:$B$200, $AL50)</f>
        <v>82.57499999999996</v>
      </c>
      <c r="AV50" s="731">
        <f>SUMIFS('Project ASSET'!N$3:N$200, 'Project ASSET'!$B$3:$B$200, $AL50)</f>
        <v>78.299999999999955</v>
      </c>
      <c r="AW50" s="731">
        <f>SUMIFS('Project ASSET'!O$3:O$200, 'Project ASSET'!$B$3:$B$200, $AL50)</f>
        <v>74.024999999999949</v>
      </c>
      <c r="AX50" s="731">
        <f>SUMIFS('Project ASSET'!P$3:P$200, 'Project ASSET'!$B$3:$B$200, $AL50)</f>
        <v>69.749999999999943</v>
      </c>
      <c r="AY50" s="731">
        <f>SUMIFS('Project ASSET'!Q$3:Q$200, 'Project ASSET'!$B$3:$B$200, $AL50)</f>
        <v>65.474999999999937</v>
      </c>
      <c r="AZ50" s="731">
        <f>SUMIFS('Project ASSET'!R$3:R$200, 'Project ASSET'!$B$3:$B$200, $AL50)</f>
        <v>61.199999999999946</v>
      </c>
      <c r="BA50" s="731">
        <f>SUMIFS('Project ASSET'!S$3:S$200, 'Project ASSET'!$B$3:$B$200, $AL50)</f>
        <v>56.92499999999994</v>
      </c>
      <c r="BB50" s="732">
        <f>SUMIFS('Project ASSET'!T$3:T$200, 'Project ASSET'!$B$3:$B$200, $AL50)</f>
        <v>52.649999999999935</v>
      </c>
    </row>
    <row r="51" spans="2:54">
      <c r="AL51" s="713"/>
      <c r="AM51" s="713"/>
      <c r="AN51" s="713"/>
      <c r="AO51" s="713"/>
      <c r="AP51" s="713"/>
      <c r="AQ51" s="713"/>
      <c r="AR51" s="713"/>
      <c r="AS51" s="713"/>
      <c r="AT51" s="713"/>
      <c r="AU51" s="713"/>
      <c r="AV51" s="713"/>
      <c r="AW51" s="713"/>
      <c r="AX51" s="713"/>
      <c r="AY51" s="713"/>
      <c r="AZ51" s="713"/>
      <c r="BA51" s="713"/>
      <c r="BB51" s="713"/>
    </row>
    <row r="52" spans="2:54">
      <c r="AL52" s="713"/>
      <c r="AM52" s="713"/>
      <c r="AN52" s="713"/>
      <c r="AO52" s="713"/>
      <c r="AP52" s="713"/>
      <c r="AQ52" s="713"/>
      <c r="AR52" s="713"/>
      <c r="AS52" s="713"/>
      <c r="AT52" s="713"/>
      <c r="AU52" s="713"/>
      <c r="AV52" s="713"/>
      <c r="AW52" s="713"/>
      <c r="AX52" s="713"/>
      <c r="AY52" s="713"/>
      <c r="AZ52" s="713"/>
      <c r="BA52" s="713"/>
      <c r="BB52" s="713"/>
    </row>
    <row r="53" spans="2:54">
      <c r="B53" s="671"/>
      <c r="C53" s="769" t="s">
        <v>34</v>
      </c>
      <c r="D53" s="769"/>
      <c r="E53" s="769"/>
      <c r="F53" s="769"/>
      <c r="G53" s="769"/>
      <c r="H53" s="769"/>
      <c r="I53" s="769"/>
      <c r="J53" s="769"/>
      <c r="K53" s="769"/>
      <c r="L53" s="769"/>
      <c r="M53" s="769"/>
      <c r="N53" s="769"/>
      <c r="O53" s="769"/>
      <c r="P53" s="769"/>
      <c r="Q53" s="769"/>
      <c r="R53" s="770"/>
      <c r="T53" s="671"/>
      <c r="U53" s="769" t="s">
        <v>35</v>
      </c>
      <c r="V53" s="769"/>
      <c r="W53" s="769"/>
      <c r="X53" s="769"/>
      <c r="Y53" s="769"/>
      <c r="Z53" s="769"/>
      <c r="AA53" s="769"/>
      <c r="AB53" s="769"/>
      <c r="AC53" s="769"/>
      <c r="AD53" s="769"/>
      <c r="AE53" s="769"/>
      <c r="AF53" s="769"/>
      <c r="AG53" s="769"/>
      <c r="AH53" s="769"/>
      <c r="AI53" s="769"/>
      <c r="AJ53" s="770"/>
      <c r="AL53" s="671"/>
      <c r="AM53" s="722" t="s">
        <v>36</v>
      </c>
      <c r="AN53" s="722"/>
      <c r="AO53" s="722"/>
      <c r="AP53" s="722"/>
      <c r="AQ53" s="722"/>
      <c r="AR53" s="722"/>
      <c r="AS53" s="722"/>
      <c r="AT53" s="722"/>
      <c r="AU53" s="722"/>
      <c r="AV53" s="722"/>
      <c r="AW53" s="722"/>
      <c r="AX53" s="722"/>
      <c r="AY53" s="722"/>
      <c r="AZ53" s="722"/>
      <c r="BA53" s="722"/>
      <c r="BB53" s="723"/>
    </row>
    <row r="54" spans="2:54">
      <c r="B54" s="674"/>
      <c r="C54" s="768"/>
      <c r="D54" s="768"/>
      <c r="E54" s="768"/>
      <c r="F54" s="768"/>
      <c r="G54" s="768"/>
      <c r="H54" s="768"/>
      <c r="I54" s="768"/>
      <c r="J54" s="768"/>
      <c r="K54" s="768"/>
      <c r="L54" s="768"/>
      <c r="M54" s="768"/>
      <c r="N54" s="768"/>
      <c r="O54" s="768"/>
      <c r="P54" s="768"/>
      <c r="Q54" s="768"/>
      <c r="R54" s="771"/>
      <c r="T54" s="674"/>
      <c r="U54" s="768"/>
      <c r="V54" s="768"/>
      <c r="W54" s="768"/>
      <c r="X54" s="768"/>
      <c r="Y54" s="768"/>
      <c r="Z54" s="768"/>
      <c r="AA54" s="768"/>
      <c r="AB54" s="768"/>
      <c r="AC54" s="768"/>
      <c r="AD54" s="768"/>
      <c r="AE54" s="768"/>
      <c r="AF54" s="768"/>
      <c r="AG54" s="768"/>
      <c r="AH54" s="768"/>
      <c r="AI54" s="768"/>
      <c r="AJ54" s="771"/>
      <c r="AL54" s="674"/>
      <c r="AM54" s="724"/>
      <c r="AN54" s="724"/>
      <c r="AO54" s="724"/>
      <c r="AP54" s="724"/>
      <c r="AQ54" s="724"/>
      <c r="AR54" s="724"/>
      <c r="AS54" s="724"/>
      <c r="AT54" s="724"/>
      <c r="AU54" s="724"/>
      <c r="AV54" s="724"/>
      <c r="AW54" s="724"/>
      <c r="AX54" s="724"/>
      <c r="AY54" s="724"/>
      <c r="AZ54" s="724"/>
      <c r="BA54" s="724"/>
      <c r="BB54" s="725"/>
    </row>
    <row r="55" spans="2:54">
      <c r="B55" s="674"/>
      <c r="C55" s="768"/>
      <c r="D55" s="768"/>
      <c r="E55" s="768"/>
      <c r="F55" s="768"/>
      <c r="G55" s="768"/>
      <c r="H55" s="768"/>
      <c r="I55" s="768"/>
      <c r="J55" s="768"/>
      <c r="K55" s="768"/>
      <c r="L55" s="768"/>
      <c r="M55" s="768"/>
      <c r="N55" s="768"/>
      <c r="O55" s="768"/>
      <c r="P55" s="768"/>
      <c r="Q55" s="768"/>
      <c r="R55" s="771"/>
      <c r="T55" s="674"/>
      <c r="U55" s="768"/>
      <c r="V55" s="768"/>
      <c r="W55" s="768"/>
      <c r="X55" s="768"/>
      <c r="Y55" s="768"/>
      <c r="Z55" s="768"/>
      <c r="AA55" s="768"/>
      <c r="AB55" s="768"/>
      <c r="AC55" s="768"/>
      <c r="AD55" s="768"/>
      <c r="AE55" s="768"/>
      <c r="AF55" s="768"/>
      <c r="AG55" s="768"/>
      <c r="AH55" s="768"/>
      <c r="AI55" s="768"/>
      <c r="AJ55" s="771"/>
      <c r="AL55" s="674"/>
      <c r="AM55" s="724"/>
      <c r="AN55" s="724"/>
      <c r="AO55" s="724"/>
      <c r="AP55" s="724"/>
      <c r="AQ55" s="724"/>
      <c r="AR55" s="724"/>
      <c r="AS55" s="724"/>
      <c r="AT55" s="724"/>
      <c r="AU55" s="724"/>
      <c r="AV55" s="724"/>
      <c r="AW55" s="724"/>
      <c r="AX55" s="724"/>
      <c r="AY55" s="724"/>
      <c r="AZ55" s="724"/>
      <c r="BA55" s="724"/>
      <c r="BB55" s="725"/>
    </row>
    <row r="56" spans="2:54">
      <c r="B56" s="674"/>
      <c r="C56" s="768"/>
      <c r="D56" s="768"/>
      <c r="E56" s="768"/>
      <c r="F56" s="768"/>
      <c r="G56" s="768"/>
      <c r="H56" s="768"/>
      <c r="I56" s="768"/>
      <c r="J56" s="768"/>
      <c r="K56" s="768"/>
      <c r="L56" s="768"/>
      <c r="M56" s="768"/>
      <c r="N56" s="768"/>
      <c r="O56" s="768"/>
      <c r="P56" s="768"/>
      <c r="Q56" s="768"/>
      <c r="R56" s="771"/>
      <c r="T56" s="674"/>
      <c r="U56" s="768"/>
      <c r="V56" s="768"/>
      <c r="W56" s="768"/>
      <c r="X56" s="768"/>
      <c r="Y56" s="768"/>
      <c r="Z56" s="768"/>
      <c r="AA56" s="768"/>
      <c r="AB56" s="768"/>
      <c r="AC56" s="768"/>
      <c r="AD56" s="768"/>
      <c r="AE56" s="768"/>
      <c r="AF56" s="768"/>
      <c r="AG56" s="768"/>
      <c r="AH56" s="768"/>
      <c r="AI56" s="768"/>
      <c r="AJ56" s="771"/>
      <c r="AL56" s="674"/>
      <c r="AM56" s="724"/>
      <c r="AN56" s="724"/>
      <c r="AO56" s="724"/>
      <c r="AP56" s="724"/>
      <c r="AQ56" s="724"/>
      <c r="AR56" s="724"/>
      <c r="AS56" s="724"/>
      <c r="AT56" s="724"/>
      <c r="AU56" s="724"/>
      <c r="AV56" s="724"/>
      <c r="AW56" s="724"/>
      <c r="AX56" s="724"/>
      <c r="AY56" s="724"/>
      <c r="AZ56" s="724"/>
      <c r="BA56" s="724"/>
      <c r="BB56" s="725"/>
    </row>
    <row r="57" spans="2:54">
      <c r="B57" s="674"/>
      <c r="C57" s="768"/>
      <c r="D57" s="768"/>
      <c r="E57" s="768"/>
      <c r="F57" s="768"/>
      <c r="G57" s="768"/>
      <c r="H57" s="768"/>
      <c r="I57" s="768"/>
      <c r="J57" s="768"/>
      <c r="K57" s="768"/>
      <c r="L57" s="768"/>
      <c r="M57" s="768"/>
      <c r="N57" s="768"/>
      <c r="O57" s="768"/>
      <c r="P57" s="768"/>
      <c r="Q57" s="768"/>
      <c r="R57" s="771"/>
      <c r="T57" s="674"/>
      <c r="U57" s="768"/>
      <c r="V57" s="768"/>
      <c r="W57" s="768"/>
      <c r="X57" s="768"/>
      <c r="Y57" s="768"/>
      <c r="Z57" s="768"/>
      <c r="AA57" s="768"/>
      <c r="AB57" s="768"/>
      <c r="AC57" s="768"/>
      <c r="AD57" s="768"/>
      <c r="AE57" s="768"/>
      <c r="AF57" s="768"/>
      <c r="AG57" s="768"/>
      <c r="AH57" s="768"/>
      <c r="AI57" s="768"/>
      <c r="AJ57" s="771"/>
      <c r="AL57" s="674"/>
      <c r="AM57" s="724"/>
      <c r="AN57" s="724"/>
      <c r="AO57" s="724"/>
      <c r="AP57" s="724"/>
      <c r="AQ57" s="724"/>
      <c r="AR57" s="724"/>
      <c r="AS57" s="724"/>
      <c r="AT57" s="724"/>
      <c r="AU57" s="724"/>
      <c r="AV57" s="724"/>
      <c r="AW57" s="724"/>
      <c r="AX57" s="724"/>
      <c r="AY57" s="724"/>
      <c r="AZ57" s="724"/>
      <c r="BA57" s="724"/>
      <c r="BB57" s="725"/>
    </row>
    <row r="58" spans="2:54">
      <c r="B58" s="674"/>
      <c r="C58" s="768"/>
      <c r="D58" s="768"/>
      <c r="E58" s="768"/>
      <c r="F58" s="768"/>
      <c r="G58" s="768"/>
      <c r="H58" s="768"/>
      <c r="I58" s="768"/>
      <c r="J58" s="768"/>
      <c r="K58" s="768"/>
      <c r="L58" s="768"/>
      <c r="M58" s="768"/>
      <c r="N58" s="768"/>
      <c r="O58" s="768"/>
      <c r="P58" s="768"/>
      <c r="Q58" s="768"/>
      <c r="R58" s="771"/>
      <c r="T58" s="674"/>
      <c r="U58" s="768"/>
      <c r="V58" s="768"/>
      <c r="W58" s="768"/>
      <c r="X58" s="768"/>
      <c r="Y58" s="768"/>
      <c r="Z58" s="768"/>
      <c r="AA58" s="768"/>
      <c r="AB58" s="768"/>
      <c r="AC58" s="768"/>
      <c r="AD58" s="768"/>
      <c r="AE58" s="768"/>
      <c r="AF58" s="768"/>
      <c r="AG58" s="768"/>
      <c r="AH58" s="768"/>
      <c r="AI58" s="768"/>
      <c r="AJ58" s="771"/>
      <c r="AL58" s="674"/>
      <c r="AM58" s="724"/>
      <c r="AN58" s="724"/>
      <c r="AO58" s="724"/>
      <c r="AP58" s="724"/>
      <c r="AQ58" s="724"/>
      <c r="AR58" s="724"/>
      <c r="AS58" s="724"/>
      <c r="AT58" s="724"/>
      <c r="AU58" s="724"/>
      <c r="AV58" s="724"/>
      <c r="AW58" s="724"/>
      <c r="AX58" s="724"/>
      <c r="AY58" s="724"/>
      <c r="AZ58" s="724"/>
      <c r="BA58" s="724"/>
      <c r="BB58" s="725"/>
    </row>
    <row r="59" spans="2:54">
      <c r="B59" s="674"/>
      <c r="C59" s="768"/>
      <c r="D59" s="768"/>
      <c r="E59" s="768"/>
      <c r="F59" s="768"/>
      <c r="G59" s="768"/>
      <c r="H59" s="768"/>
      <c r="I59" s="768"/>
      <c r="J59" s="768"/>
      <c r="K59" s="768"/>
      <c r="L59" s="768"/>
      <c r="M59" s="768"/>
      <c r="N59" s="768"/>
      <c r="O59" s="768"/>
      <c r="P59" s="768"/>
      <c r="Q59" s="768"/>
      <c r="R59" s="771"/>
      <c r="T59" s="674"/>
      <c r="U59" s="768"/>
      <c r="V59" s="768"/>
      <c r="W59" s="768"/>
      <c r="X59" s="768"/>
      <c r="Y59" s="768"/>
      <c r="Z59" s="768"/>
      <c r="AA59" s="768"/>
      <c r="AB59" s="768"/>
      <c r="AC59" s="768"/>
      <c r="AD59" s="768"/>
      <c r="AE59" s="768"/>
      <c r="AF59" s="768"/>
      <c r="AG59" s="768"/>
      <c r="AH59" s="768"/>
      <c r="AI59" s="768"/>
      <c r="AJ59" s="771"/>
      <c r="AL59" s="674"/>
      <c r="AM59" s="724"/>
      <c r="AN59" s="724"/>
      <c r="AO59" s="724"/>
      <c r="AP59" s="724"/>
      <c r="AQ59" s="724"/>
      <c r="AR59" s="724"/>
      <c r="AS59" s="724"/>
      <c r="AT59" s="724"/>
      <c r="AU59" s="724"/>
      <c r="AV59" s="724"/>
      <c r="AW59" s="724"/>
      <c r="AX59" s="724"/>
      <c r="AY59" s="724"/>
      <c r="AZ59" s="724"/>
      <c r="BA59" s="724"/>
      <c r="BB59" s="725"/>
    </row>
    <row r="60" spans="2:54">
      <c r="B60" s="674"/>
      <c r="C60" s="768"/>
      <c r="D60" s="768"/>
      <c r="E60" s="768"/>
      <c r="F60" s="768"/>
      <c r="G60" s="768"/>
      <c r="H60" s="768"/>
      <c r="I60" s="768"/>
      <c r="J60" s="768"/>
      <c r="K60" s="768"/>
      <c r="L60" s="768"/>
      <c r="M60" s="768"/>
      <c r="N60" s="768"/>
      <c r="O60" s="768"/>
      <c r="P60" s="768"/>
      <c r="Q60" s="768"/>
      <c r="R60" s="771"/>
      <c r="T60" s="674"/>
      <c r="U60" s="768"/>
      <c r="V60" s="768"/>
      <c r="W60" s="768"/>
      <c r="X60" s="768"/>
      <c r="Y60" s="768"/>
      <c r="Z60" s="768"/>
      <c r="AA60" s="768"/>
      <c r="AB60" s="768"/>
      <c r="AC60" s="768"/>
      <c r="AD60" s="768"/>
      <c r="AE60" s="768"/>
      <c r="AF60" s="768"/>
      <c r="AG60" s="768"/>
      <c r="AH60" s="768"/>
      <c r="AI60" s="768"/>
      <c r="AJ60" s="771"/>
      <c r="AL60" s="674"/>
      <c r="AM60" s="724"/>
      <c r="AN60" s="724"/>
      <c r="AO60" s="724"/>
      <c r="AP60" s="724"/>
      <c r="AQ60" s="724"/>
      <c r="AR60" s="724"/>
      <c r="AS60" s="724"/>
      <c r="AT60" s="724"/>
      <c r="AU60" s="724"/>
      <c r="AV60" s="724"/>
      <c r="AW60" s="724"/>
      <c r="AX60" s="724"/>
      <c r="AY60" s="724"/>
      <c r="AZ60" s="724"/>
      <c r="BA60" s="724"/>
      <c r="BB60" s="725"/>
    </row>
    <row r="61" spans="2:54">
      <c r="B61" s="674"/>
      <c r="C61" s="768"/>
      <c r="D61" s="768"/>
      <c r="E61" s="768"/>
      <c r="F61" s="768"/>
      <c r="G61" s="768"/>
      <c r="H61" s="768"/>
      <c r="I61" s="768"/>
      <c r="J61" s="768"/>
      <c r="K61" s="768"/>
      <c r="L61" s="768"/>
      <c r="M61" s="768"/>
      <c r="N61" s="768"/>
      <c r="O61" s="768"/>
      <c r="P61" s="768"/>
      <c r="Q61" s="768"/>
      <c r="R61" s="771"/>
      <c r="T61" s="674"/>
      <c r="U61" s="768"/>
      <c r="V61" s="768"/>
      <c r="W61" s="768"/>
      <c r="X61" s="768"/>
      <c r="Y61" s="768"/>
      <c r="Z61" s="768"/>
      <c r="AA61" s="768"/>
      <c r="AB61" s="768"/>
      <c r="AC61" s="768"/>
      <c r="AD61" s="768"/>
      <c r="AE61" s="768"/>
      <c r="AF61" s="768"/>
      <c r="AG61" s="768"/>
      <c r="AH61" s="768"/>
      <c r="AI61" s="768"/>
      <c r="AJ61" s="771"/>
      <c r="AL61" s="674"/>
      <c r="AM61" s="724"/>
      <c r="AN61" s="724"/>
      <c r="AO61" s="724"/>
      <c r="AP61" s="724"/>
      <c r="AQ61" s="724"/>
      <c r="AR61" s="724"/>
      <c r="AS61" s="724"/>
      <c r="AT61" s="724"/>
      <c r="AU61" s="724"/>
      <c r="AV61" s="724"/>
      <c r="AW61" s="724"/>
      <c r="AX61" s="724"/>
      <c r="AY61" s="724"/>
      <c r="AZ61" s="724"/>
      <c r="BA61" s="724"/>
      <c r="BB61" s="725"/>
    </row>
    <row r="62" spans="2:54">
      <c r="B62" s="674"/>
      <c r="C62" s="768"/>
      <c r="D62" s="768"/>
      <c r="E62" s="768"/>
      <c r="F62" s="768"/>
      <c r="G62" s="768"/>
      <c r="H62" s="768"/>
      <c r="I62" s="768"/>
      <c r="J62" s="768"/>
      <c r="K62" s="768"/>
      <c r="L62" s="768"/>
      <c r="M62" s="768"/>
      <c r="N62" s="768"/>
      <c r="O62" s="768"/>
      <c r="P62" s="768"/>
      <c r="Q62" s="768"/>
      <c r="R62" s="771"/>
      <c r="T62" s="674"/>
      <c r="U62" s="768"/>
      <c r="V62" s="768"/>
      <c r="W62" s="768"/>
      <c r="X62" s="768"/>
      <c r="Y62" s="768"/>
      <c r="Z62" s="768"/>
      <c r="AA62" s="768"/>
      <c r="AB62" s="768"/>
      <c r="AC62" s="768"/>
      <c r="AD62" s="768"/>
      <c r="AE62" s="768"/>
      <c r="AF62" s="768"/>
      <c r="AG62" s="768"/>
      <c r="AH62" s="768"/>
      <c r="AI62" s="768"/>
      <c r="AJ62" s="771"/>
      <c r="AL62" s="674"/>
      <c r="AM62" s="724"/>
      <c r="AN62" s="724"/>
      <c r="AO62" s="724"/>
      <c r="AP62" s="724"/>
      <c r="AQ62" s="724"/>
      <c r="AR62" s="724"/>
      <c r="AS62" s="724"/>
      <c r="AT62" s="724"/>
      <c r="AU62" s="724"/>
      <c r="AV62" s="724"/>
      <c r="AW62" s="724"/>
      <c r="AX62" s="724"/>
      <c r="AY62" s="724"/>
      <c r="AZ62" s="724"/>
      <c r="BA62" s="724"/>
      <c r="BB62" s="725"/>
    </row>
    <row r="63" spans="2:54">
      <c r="B63" s="674"/>
      <c r="C63" s="768"/>
      <c r="D63" s="768"/>
      <c r="E63" s="768"/>
      <c r="F63" s="768"/>
      <c r="G63" s="768"/>
      <c r="H63" s="768"/>
      <c r="I63" s="768"/>
      <c r="J63" s="768"/>
      <c r="K63" s="768"/>
      <c r="L63" s="768"/>
      <c r="M63" s="768"/>
      <c r="N63" s="768"/>
      <c r="O63" s="768"/>
      <c r="P63" s="768"/>
      <c r="Q63" s="768"/>
      <c r="R63" s="771"/>
      <c r="T63" s="674"/>
      <c r="U63" s="768"/>
      <c r="V63" s="768"/>
      <c r="W63" s="768"/>
      <c r="X63" s="768"/>
      <c r="Y63" s="768"/>
      <c r="Z63" s="768"/>
      <c r="AA63" s="768"/>
      <c r="AB63" s="768"/>
      <c r="AC63" s="768"/>
      <c r="AD63" s="768"/>
      <c r="AE63" s="768"/>
      <c r="AF63" s="768"/>
      <c r="AG63" s="768"/>
      <c r="AH63" s="768"/>
      <c r="AI63" s="768"/>
      <c r="AJ63" s="771"/>
      <c r="AL63" s="674"/>
      <c r="AM63" s="724"/>
      <c r="AN63" s="724"/>
      <c r="AO63" s="724"/>
      <c r="AP63" s="724"/>
      <c r="AQ63" s="724"/>
      <c r="AR63" s="724"/>
      <c r="AS63" s="724"/>
      <c r="AT63" s="724"/>
      <c r="AU63" s="724"/>
      <c r="AV63" s="724"/>
      <c r="AW63" s="724"/>
      <c r="AX63" s="724"/>
      <c r="AY63" s="724"/>
      <c r="AZ63" s="724"/>
      <c r="BA63" s="724"/>
      <c r="BB63" s="725"/>
    </row>
    <row r="64" spans="2:54">
      <c r="B64" s="674"/>
      <c r="C64" s="768"/>
      <c r="D64" s="768"/>
      <c r="E64" s="768"/>
      <c r="F64" s="768"/>
      <c r="G64" s="768"/>
      <c r="H64" s="768"/>
      <c r="I64" s="768"/>
      <c r="J64" s="768"/>
      <c r="K64" s="768"/>
      <c r="L64" s="768"/>
      <c r="M64" s="768"/>
      <c r="N64" s="768"/>
      <c r="O64" s="768"/>
      <c r="P64" s="768"/>
      <c r="Q64" s="768"/>
      <c r="R64" s="771"/>
      <c r="T64" s="676"/>
      <c r="U64" s="772"/>
      <c r="V64" s="772"/>
      <c r="W64" s="772"/>
      <c r="X64" s="772"/>
      <c r="Y64" s="772"/>
      <c r="Z64" s="772"/>
      <c r="AA64" s="772"/>
      <c r="AB64" s="772"/>
      <c r="AC64" s="772"/>
      <c r="AD64" s="772"/>
      <c r="AE64" s="772"/>
      <c r="AF64" s="772"/>
      <c r="AG64" s="772"/>
      <c r="AH64" s="772"/>
      <c r="AI64" s="772"/>
      <c r="AJ64" s="773"/>
      <c r="AL64" s="676"/>
      <c r="AM64" s="726"/>
      <c r="AN64" s="726"/>
      <c r="AO64" s="726"/>
      <c r="AP64" s="726"/>
      <c r="AQ64" s="726"/>
      <c r="AR64" s="726"/>
      <c r="AS64" s="726"/>
      <c r="AT64" s="726"/>
      <c r="AU64" s="726"/>
      <c r="AV64" s="726"/>
      <c r="AW64" s="726"/>
      <c r="AX64" s="726"/>
      <c r="AY64" s="726"/>
      <c r="AZ64" s="726"/>
      <c r="BA64" s="726"/>
      <c r="BB64" s="727"/>
    </row>
    <row r="65" spans="2:54">
      <c r="B65" s="677"/>
      <c r="C65" s="678">
        <v>0</v>
      </c>
      <c r="D65" s="678">
        <f>1+C65</f>
        <v>1</v>
      </c>
      <c r="E65" s="678">
        <f t="shared" ref="E65:R65" si="13">1+D65</f>
        <v>2</v>
      </c>
      <c r="F65" s="678">
        <f t="shared" si="13"/>
        <v>3</v>
      </c>
      <c r="G65" s="678">
        <f t="shared" si="13"/>
        <v>4</v>
      </c>
      <c r="H65" s="678">
        <f t="shared" si="13"/>
        <v>5</v>
      </c>
      <c r="I65" s="678">
        <f t="shared" si="13"/>
        <v>6</v>
      </c>
      <c r="J65" s="678">
        <f t="shared" si="13"/>
        <v>7</v>
      </c>
      <c r="K65" s="678">
        <f t="shared" si="13"/>
        <v>8</v>
      </c>
      <c r="L65" s="678">
        <f t="shared" si="13"/>
        <v>9</v>
      </c>
      <c r="M65" s="678">
        <f t="shared" si="13"/>
        <v>10</v>
      </c>
      <c r="N65" s="678">
        <f t="shared" si="13"/>
        <v>11</v>
      </c>
      <c r="O65" s="678">
        <f t="shared" si="13"/>
        <v>12</v>
      </c>
      <c r="P65" s="678">
        <f t="shared" si="13"/>
        <v>13</v>
      </c>
      <c r="Q65" s="678">
        <f t="shared" si="13"/>
        <v>14</v>
      </c>
      <c r="R65" s="679">
        <f t="shared" si="13"/>
        <v>15</v>
      </c>
      <c r="T65" s="705"/>
      <c r="U65" s="700">
        <v>0</v>
      </c>
      <c r="V65" s="700">
        <f>1+U65</f>
        <v>1</v>
      </c>
      <c r="W65" s="700">
        <f t="shared" ref="W65:AJ65" si="14">1+V65</f>
        <v>2</v>
      </c>
      <c r="X65" s="700">
        <f t="shared" si="14"/>
        <v>3</v>
      </c>
      <c r="Y65" s="700">
        <f t="shared" si="14"/>
        <v>4</v>
      </c>
      <c r="Z65" s="700">
        <f t="shared" si="14"/>
        <v>5</v>
      </c>
      <c r="AA65" s="700">
        <f t="shared" si="14"/>
        <v>6</v>
      </c>
      <c r="AB65" s="700">
        <f t="shared" si="14"/>
        <v>7</v>
      </c>
      <c r="AC65" s="700">
        <f t="shared" si="14"/>
        <v>8</v>
      </c>
      <c r="AD65" s="700">
        <f t="shared" si="14"/>
        <v>9</v>
      </c>
      <c r="AE65" s="700">
        <f t="shared" si="14"/>
        <v>10</v>
      </c>
      <c r="AF65" s="700">
        <f t="shared" si="14"/>
        <v>11</v>
      </c>
      <c r="AG65" s="700">
        <f t="shared" si="14"/>
        <v>12</v>
      </c>
      <c r="AH65" s="700">
        <f t="shared" si="14"/>
        <v>13</v>
      </c>
      <c r="AI65" s="700">
        <f t="shared" si="14"/>
        <v>14</v>
      </c>
      <c r="AJ65" s="701">
        <f t="shared" si="14"/>
        <v>15</v>
      </c>
      <c r="AL65" s="705"/>
      <c r="AM65" s="700">
        <v>0</v>
      </c>
      <c r="AN65" s="700">
        <f>1+AM65</f>
        <v>1</v>
      </c>
      <c r="AO65" s="700">
        <f t="shared" ref="AO65:BB65" si="15">1+AN65</f>
        <v>2</v>
      </c>
      <c r="AP65" s="700">
        <f t="shared" si="15"/>
        <v>3</v>
      </c>
      <c r="AQ65" s="700">
        <f t="shared" si="15"/>
        <v>4</v>
      </c>
      <c r="AR65" s="700">
        <f t="shared" si="15"/>
        <v>5</v>
      </c>
      <c r="AS65" s="700">
        <f t="shared" si="15"/>
        <v>6</v>
      </c>
      <c r="AT65" s="700">
        <f t="shared" si="15"/>
        <v>7</v>
      </c>
      <c r="AU65" s="700">
        <f t="shared" si="15"/>
        <v>8</v>
      </c>
      <c r="AV65" s="700">
        <f t="shared" si="15"/>
        <v>9</v>
      </c>
      <c r="AW65" s="700">
        <f t="shared" si="15"/>
        <v>10</v>
      </c>
      <c r="AX65" s="700">
        <f t="shared" si="15"/>
        <v>11</v>
      </c>
      <c r="AY65" s="700">
        <f t="shared" si="15"/>
        <v>12</v>
      </c>
      <c r="AZ65" s="700">
        <f t="shared" si="15"/>
        <v>13</v>
      </c>
      <c r="BA65" s="700">
        <f t="shared" si="15"/>
        <v>14</v>
      </c>
      <c r="BB65" s="701">
        <f t="shared" si="15"/>
        <v>15</v>
      </c>
    </row>
    <row r="66" spans="2:54">
      <c r="B66" s="680" t="s">
        <v>11</v>
      </c>
      <c r="C66" s="735">
        <f>SUMIFS('Project SVOL'!E$3:E$200, 'Project SVOL'!$B$3:$B$200, Dashboard!$T66)</f>
        <v>0</v>
      </c>
      <c r="D66" s="735">
        <f>SUMIFS('Project SVOL'!F$3:F$200, 'Project SVOL'!$B$3:$B$200, Dashboard!$T66)</f>
        <v>0</v>
      </c>
      <c r="E66" s="735">
        <f>SUMIFS('Project SVOL'!G$3:G$200, 'Project SVOL'!$B$3:$B$200, Dashboard!$T66)</f>
        <v>0</v>
      </c>
      <c r="F66" s="735">
        <f>SUMIFS('Project SVOL'!H$3:H$200, 'Project SVOL'!$B$3:$B$200, Dashboard!$T66)</f>
        <v>3.9735359999999997</v>
      </c>
      <c r="G66" s="735">
        <f>SUMIFS('Project SVOL'!I$3:I$200, 'Project SVOL'!$B$3:$B$200, Dashboard!$T66)</f>
        <v>5.2980479999999996</v>
      </c>
      <c r="H66" s="735">
        <f>SUMIFS('Project SVOL'!J$3:J$200, 'Project SVOL'!$B$3:$B$200, Dashboard!$T66)</f>
        <v>5.2980479999999996</v>
      </c>
      <c r="I66" s="735">
        <f>SUMIFS('Project SVOL'!K$3:K$200, 'Project SVOL'!$B$3:$B$200, Dashboard!$T66)</f>
        <v>5.2980479999999996</v>
      </c>
      <c r="J66" s="735">
        <f>SUMIFS('Project SVOL'!L$3:L$200, 'Project SVOL'!$B$3:$B$200, Dashboard!$T66)</f>
        <v>5.2980479999999996</v>
      </c>
      <c r="K66" s="735">
        <f>SUMIFS('Project SVOL'!M$3:M$200, 'Project SVOL'!$B$3:$B$200, Dashboard!$T66)</f>
        <v>5.2980479999999996</v>
      </c>
      <c r="L66" s="735">
        <f>SUMIFS('Project SVOL'!N$3:N$200, 'Project SVOL'!$B$3:$B$200, Dashboard!$T66)</f>
        <v>5.2980479999999996</v>
      </c>
      <c r="M66" s="735">
        <f>SUMIFS('Project SVOL'!O$3:O$200, 'Project SVOL'!$B$3:$B$200, Dashboard!$T66)</f>
        <v>5.2980479999999996</v>
      </c>
      <c r="N66" s="735">
        <f>SUMIFS('Project SVOL'!P$3:P$200, 'Project SVOL'!$B$3:$B$200, Dashboard!$T66)</f>
        <v>5.2980479999999996</v>
      </c>
      <c r="O66" s="735">
        <f>SUMIFS('Project SVOL'!Q$3:Q$200, 'Project SVOL'!$B$3:$B$200, Dashboard!$T66)</f>
        <v>5.2980479999999996</v>
      </c>
      <c r="P66" s="735">
        <f>SUMIFS('Project SVOL'!R$3:R$200, 'Project SVOL'!$B$3:$B$200, Dashboard!$T66)</f>
        <v>5.2980479999999996</v>
      </c>
      <c r="Q66" s="735">
        <f>SUMIFS('Project SVOL'!S$3:S$200, 'Project SVOL'!$B$3:$B$200, Dashboard!$T66)</f>
        <v>5.2980479999999996</v>
      </c>
      <c r="R66" s="736">
        <f>SUMIFS('Project SVOL'!T$3:T$200, 'Project SVOL'!$B$3:$B$200, Dashboard!$T66)</f>
        <v>5.2980479999999996</v>
      </c>
      <c r="T66" s="680" t="s">
        <v>11</v>
      </c>
      <c r="U66" s="737">
        <f>SUMIFS('Project SMACH'!E$3:E$200, 'Project SMACH'!$B$3:$B$200, Dashboard!$T66)</f>
        <v>0</v>
      </c>
      <c r="V66" s="737">
        <f>SUMIFS('Project SMACH'!F$3:F$200, 'Project SMACH'!$B$3:$B$200, Dashboard!$T66)</f>
        <v>0</v>
      </c>
      <c r="W66" s="737">
        <f>SUMIFS('Project SMACH'!G$3:G$200, 'Project SMACH'!$B$3:$B$200, Dashboard!$T66)</f>
        <v>0</v>
      </c>
      <c r="X66" s="737">
        <f>SUMIFS('Project SMACH'!H$3:H$200, 'Project SMACH'!$B$3:$B$200, Dashboard!$T66)</f>
        <v>36</v>
      </c>
      <c r="Y66" s="737">
        <f>SUMIFS('Project SMACH'!I$3:I$200, 'Project SMACH'!$B$3:$B$200, Dashboard!$T66)</f>
        <v>36</v>
      </c>
      <c r="Z66" s="737">
        <f>SUMIFS('Project SMACH'!J$3:J$200, 'Project SMACH'!$B$3:$B$200, Dashboard!$T66)</f>
        <v>36</v>
      </c>
      <c r="AA66" s="737">
        <f>SUMIFS('Project SMACH'!K$3:K$200, 'Project SMACH'!$B$3:$B$200, Dashboard!$T66)</f>
        <v>36</v>
      </c>
      <c r="AB66" s="737">
        <f>SUMIFS('Project SMACH'!L$3:L$200, 'Project SMACH'!$B$3:$B$200, Dashboard!$T66)</f>
        <v>36</v>
      </c>
      <c r="AC66" s="737">
        <f>SUMIFS('Project SMACH'!M$3:M$200, 'Project SMACH'!$B$3:$B$200, Dashboard!$T66)</f>
        <v>36</v>
      </c>
      <c r="AD66" s="737">
        <f>SUMIFS('Project SMACH'!N$3:N$200, 'Project SMACH'!$B$3:$B$200, Dashboard!$T66)</f>
        <v>36</v>
      </c>
      <c r="AE66" s="737">
        <f>SUMIFS('Project SMACH'!O$3:O$200, 'Project SMACH'!$B$3:$B$200, Dashboard!$T66)</f>
        <v>36</v>
      </c>
      <c r="AF66" s="737">
        <f>SUMIFS('Project SMACH'!P$3:P$200, 'Project SMACH'!$B$3:$B$200, Dashboard!$T66)</f>
        <v>36</v>
      </c>
      <c r="AG66" s="737">
        <f>SUMIFS('Project SMACH'!Q$3:Q$200, 'Project SMACH'!$B$3:$B$200, Dashboard!$T66)</f>
        <v>36</v>
      </c>
      <c r="AH66" s="737">
        <f>SUMIFS('Project SMACH'!R$3:R$200, 'Project SMACH'!$B$3:$B$200, Dashboard!$T66)</f>
        <v>36</v>
      </c>
      <c r="AI66" s="737">
        <f>SUMIFS('Project SMACH'!S$3:S$200, 'Project SMACH'!$B$3:$B$200, Dashboard!$T66)</f>
        <v>36</v>
      </c>
      <c r="AJ66" s="738">
        <f>SUMIFS('Project SMACH'!T$3:T$200, 'Project SMACH'!$B$3:$B$200, Dashboard!$T66)</f>
        <v>36</v>
      </c>
      <c r="AL66" s="680" t="s">
        <v>4</v>
      </c>
      <c r="AM66" s="737">
        <f>SUMIFS('Project PGEN'!E:E, 'Project PGEN'!$B:$B, Dashboard!$AL66)/1000</f>
        <v>0</v>
      </c>
      <c r="AN66" s="737">
        <f>SUMIFS('Project PGEN'!F:F, 'Project PGEN'!$B:$B, Dashboard!$AL66)/1000</f>
        <v>0</v>
      </c>
      <c r="AO66" s="737">
        <f>SUMIFS('Project PGEN'!G:G, 'Project PGEN'!$B:$B, Dashboard!$AL66)/1000</f>
        <v>0</v>
      </c>
      <c r="AP66" s="737">
        <f>SUMIFS('Project PGEN'!H:H, 'Project PGEN'!$B:$B, Dashboard!$AL66)/1000</f>
        <v>0</v>
      </c>
      <c r="AQ66" s="737">
        <f>SUMIFS('Project PGEN'!I:I, 'Project PGEN'!$B:$B, Dashboard!$AL66)/1000</f>
        <v>496.95359999999999</v>
      </c>
      <c r="AR66" s="737">
        <f>SUMIFS('Project PGEN'!J:J, 'Project PGEN'!$B:$B, Dashboard!$AL66)/1000</f>
        <v>745.43040000000008</v>
      </c>
      <c r="AS66" s="737">
        <f>SUMIFS('Project PGEN'!K:K, 'Project PGEN'!$B:$B, Dashboard!$AL66)/1000</f>
        <v>743.566824</v>
      </c>
      <c r="AT66" s="737">
        <f>SUMIFS('Project PGEN'!L:L, 'Project PGEN'!$B:$B, Dashboard!$AL66)/1000</f>
        <v>741.70790694000016</v>
      </c>
      <c r="AU66" s="737">
        <f>SUMIFS('Project PGEN'!M:M, 'Project PGEN'!$B:$B, Dashboard!$AL66)/1000</f>
        <v>739.85363717265011</v>
      </c>
      <c r="AV66" s="737">
        <f>SUMIFS('Project PGEN'!N:N, 'Project PGEN'!$B:$B, Dashboard!$AL66)/1000</f>
        <v>738.00400307971847</v>
      </c>
      <c r="AW66" s="737">
        <f>SUMIFS('Project PGEN'!O:O, 'Project PGEN'!$B:$B, Dashboard!$AL66)/1000</f>
        <v>736.15899307201926</v>
      </c>
      <c r="AX66" s="737">
        <f>SUMIFS('Project PGEN'!P:P, 'Project PGEN'!$B:$B, Dashboard!$AL66)/1000</f>
        <v>734.31859558933922</v>
      </c>
      <c r="AY66" s="737">
        <f>SUMIFS('Project PGEN'!Q:Q, 'Project PGEN'!$B:$B, Dashboard!$AL66)/1000</f>
        <v>732.48279910036592</v>
      </c>
      <c r="AZ66" s="737">
        <f>SUMIFS('Project PGEN'!R:R, 'Project PGEN'!$B:$B, Dashboard!$AL66)/1000</f>
        <v>730.65159210261504</v>
      </c>
      <c r="BA66" s="737">
        <f>SUMIFS('Project PGEN'!S:S, 'Project PGEN'!$B:$B, Dashboard!$AL66)/1000</f>
        <v>728.82496312235855</v>
      </c>
      <c r="BB66" s="738">
        <f>SUMIFS('Project PGEN'!T:T, 'Project PGEN'!$B:$B, Dashboard!$AL66)/1000</f>
        <v>727.00290071455265</v>
      </c>
    </row>
    <row r="67" spans="2:54">
      <c r="B67" s="680" t="s">
        <v>13</v>
      </c>
      <c r="C67" s="735">
        <f>SUMIFS('Project SVOL'!E$3:E$200, 'Project SVOL'!$B$3:$B$200, Dashboard!$T67)</f>
        <v>0</v>
      </c>
      <c r="D67" s="735">
        <f>SUMIFS('Project SVOL'!F$3:F$200, 'Project SVOL'!$B$3:$B$200, Dashboard!$T67)</f>
        <v>6.6225599999999996E-2</v>
      </c>
      <c r="E67" s="735">
        <f>SUMIFS('Project SVOL'!G$3:G$200, 'Project SVOL'!$B$3:$B$200, Dashboard!$T67)</f>
        <v>8.8300799999999985E-2</v>
      </c>
      <c r="F67" s="735">
        <f>SUMIFS('Project SVOL'!H$3:H$200, 'Project SVOL'!$B$3:$B$200, Dashboard!$T67)</f>
        <v>8.8300799999999985E-2</v>
      </c>
      <c r="G67" s="735">
        <f>SUMIFS('Project SVOL'!I$3:I$200, 'Project SVOL'!$B$3:$B$200, Dashboard!$T67)</f>
        <v>8.8300799999999985E-2</v>
      </c>
      <c r="H67" s="735">
        <f>SUMIFS('Project SVOL'!J$3:J$200, 'Project SVOL'!$B$3:$B$200, Dashboard!$T67)</f>
        <v>8.8300799999999985E-2</v>
      </c>
      <c r="I67" s="735">
        <f>SUMIFS('Project SVOL'!K$3:K$200, 'Project SVOL'!$B$3:$B$200, Dashboard!$T67)</f>
        <v>8.8300799999999985E-2</v>
      </c>
      <c r="J67" s="735">
        <f>SUMIFS('Project SVOL'!L$3:L$200, 'Project SVOL'!$B$3:$B$200, Dashboard!$T67)</f>
        <v>8.8300799999999985E-2</v>
      </c>
      <c r="K67" s="735">
        <f>SUMIFS('Project SVOL'!M$3:M$200, 'Project SVOL'!$B$3:$B$200, Dashboard!$T67)</f>
        <v>8.8300799999999985E-2</v>
      </c>
      <c r="L67" s="735">
        <f>SUMIFS('Project SVOL'!N$3:N$200, 'Project SVOL'!$B$3:$B$200, Dashboard!$T67)</f>
        <v>8.8300799999999985E-2</v>
      </c>
      <c r="M67" s="735">
        <f>SUMIFS('Project SVOL'!O$3:O$200, 'Project SVOL'!$B$3:$B$200, Dashboard!$T67)</f>
        <v>8.8300799999999985E-2</v>
      </c>
      <c r="N67" s="735">
        <f>SUMIFS('Project SVOL'!P$3:P$200, 'Project SVOL'!$B$3:$B$200, Dashboard!$T67)</f>
        <v>8.8300799999999985E-2</v>
      </c>
      <c r="O67" s="735">
        <f>SUMIFS('Project SVOL'!Q$3:Q$200, 'Project SVOL'!$B$3:$B$200, Dashboard!$T67)</f>
        <v>8.8300799999999985E-2</v>
      </c>
      <c r="P67" s="735">
        <f>SUMIFS('Project SVOL'!R$3:R$200, 'Project SVOL'!$B$3:$B$200, Dashboard!$T67)</f>
        <v>8.8300799999999985E-2</v>
      </c>
      <c r="Q67" s="735">
        <f>SUMIFS('Project SVOL'!S$3:S$200, 'Project SVOL'!$B$3:$B$200, Dashboard!$T67)</f>
        <v>8.8300799999999985E-2</v>
      </c>
      <c r="R67" s="736">
        <f>SUMIFS('Project SVOL'!T$3:T$200, 'Project SVOL'!$B$3:$B$200, Dashboard!$T67)</f>
        <v>8.8300799999999985E-2</v>
      </c>
      <c r="T67" s="680" t="s">
        <v>13</v>
      </c>
      <c r="U67" s="737">
        <f>SUMIFS('Project SMACH'!E$3:E$200, 'Project SMACH'!$B$3:$B$200, Dashboard!$T67)</f>
        <v>0</v>
      </c>
      <c r="V67" s="737">
        <f>SUMIFS('Project SMACH'!F$3:F$200, 'Project SMACH'!$B$3:$B$200, Dashboard!$T67)</f>
        <v>6</v>
      </c>
      <c r="W67" s="737">
        <f>SUMIFS('Project SMACH'!G$3:G$200, 'Project SMACH'!$B$3:$B$200, Dashboard!$T67)</f>
        <v>6</v>
      </c>
      <c r="X67" s="737">
        <f>SUMIFS('Project SMACH'!H$3:H$200, 'Project SMACH'!$B$3:$B$200, Dashboard!$T67)</f>
        <v>6</v>
      </c>
      <c r="Y67" s="737">
        <f>SUMIFS('Project SMACH'!I$3:I$200, 'Project SMACH'!$B$3:$B$200, Dashboard!$T67)</f>
        <v>6</v>
      </c>
      <c r="Z67" s="737">
        <f>SUMIFS('Project SMACH'!J$3:J$200, 'Project SMACH'!$B$3:$B$200, Dashboard!$T67)</f>
        <v>6</v>
      </c>
      <c r="AA67" s="737">
        <f>SUMIFS('Project SMACH'!K$3:K$200, 'Project SMACH'!$B$3:$B$200, Dashboard!$T67)</f>
        <v>6</v>
      </c>
      <c r="AB67" s="737">
        <f>SUMIFS('Project SMACH'!L$3:L$200, 'Project SMACH'!$B$3:$B$200, Dashboard!$T67)</f>
        <v>6</v>
      </c>
      <c r="AC67" s="737">
        <f>SUMIFS('Project SMACH'!M$3:M$200, 'Project SMACH'!$B$3:$B$200, Dashboard!$T67)</f>
        <v>6</v>
      </c>
      <c r="AD67" s="737">
        <f>SUMIFS('Project SMACH'!N$3:N$200, 'Project SMACH'!$B$3:$B$200, Dashboard!$T67)</f>
        <v>6</v>
      </c>
      <c r="AE67" s="737">
        <f>SUMIFS('Project SMACH'!O$3:O$200, 'Project SMACH'!$B$3:$B$200, Dashboard!$T67)</f>
        <v>6</v>
      </c>
      <c r="AF67" s="737">
        <f>SUMIFS('Project SMACH'!P$3:P$200, 'Project SMACH'!$B$3:$B$200, Dashboard!$T67)</f>
        <v>6</v>
      </c>
      <c r="AG67" s="737">
        <f>SUMIFS('Project SMACH'!Q$3:Q$200, 'Project SMACH'!$B$3:$B$200, Dashboard!$T67)</f>
        <v>6</v>
      </c>
      <c r="AH67" s="737">
        <f>SUMIFS('Project SMACH'!R$3:R$200, 'Project SMACH'!$B$3:$B$200, Dashboard!$T67)</f>
        <v>6</v>
      </c>
      <c r="AI67" s="737">
        <f>SUMIFS('Project SMACH'!S$3:S$200, 'Project SMACH'!$B$3:$B$200, Dashboard!$T67)</f>
        <v>6</v>
      </c>
      <c r="AJ67" s="738">
        <f>SUMIFS('Project SMACH'!T$3:T$200, 'Project SMACH'!$B$3:$B$200, Dashboard!$T67)</f>
        <v>6</v>
      </c>
      <c r="AL67" s="680" t="s">
        <v>6</v>
      </c>
      <c r="AM67" s="737">
        <f>SUMIFS('Project PGEN'!E:E, 'Project PGEN'!$B:$B, Dashboard!$AL67)/1000</f>
        <v>0</v>
      </c>
      <c r="AN67" s="737">
        <f>SUMIFS('Project PGEN'!F:F, 'Project PGEN'!$B:$B, Dashboard!$AL67)/1000</f>
        <v>40.880000000000003</v>
      </c>
      <c r="AO67" s="737">
        <f>SUMIFS('Project PGEN'!G:G, 'Project PGEN'!$B:$B, Dashboard!$AL67)/1000</f>
        <v>121.72135070992599</v>
      </c>
      <c r="AP67" s="737">
        <f>SUMIFS('Project PGEN'!H:H, 'Project PGEN'!$B:$B, Dashboard!$AL67)/1000</f>
        <v>120.50413720282673</v>
      </c>
      <c r="AQ67" s="737">
        <f>SUMIFS('Project PGEN'!I:I, 'Project PGEN'!$B:$B, Dashboard!$AL67)/1000</f>
        <v>119.29605279703071</v>
      </c>
      <c r="AR67" s="737">
        <f>SUMIFS('Project PGEN'!J:J, 'Project PGEN'!$B:$B, Dashboard!$AL67)/1000</f>
        <v>118.09703663186258</v>
      </c>
      <c r="AS67" s="737">
        <f>SUMIFS('Project PGEN'!K:K, 'Project PGEN'!$B:$B, Dashboard!$AL67)/1000</f>
        <v>116.90702822702623</v>
      </c>
      <c r="AT67" s="737">
        <f>SUMIFS('Project PGEN'!L:L, 'Project PGEN'!$B:$B, Dashboard!$AL67)/1000</f>
        <v>115.72596748032244</v>
      </c>
      <c r="AU67" s="737">
        <f>SUMIFS('Project PGEN'!M:M, 'Project PGEN'!$B:$B, Dashboard!$AL67)/1000</f>
        <v>114.55379466537995</v>
      </c>
      <c r="AV67" s="737">
        <f>SUMIFS('Project PGEN'!N:N, 'Project PGEN'!$B:$B, Dashboard!$AL67)/1000</f>
        <v>113.39045042939995</v>
      </c>
      <c r="AW67" s="737">
        <f>SUMIFS('Project PGEN'!O:O, 'Project PGEN'!$B:$B, Dashboard!$AL67)/1000</f>
        <v>112.23587579091308</v>
      </c>
      <c r="AX67" s="737">
        <f>SUMIFS('Project PGEN'!P:P, 'Project PGEN'!$B:$B, Dashboard!$AL67)/1000</f>
        <v>111.09001213755035</v>
      </c>
      <c r="AY67" s="737">
        <f>SUMIFS('Project PGEN'!Q:Q, 'Project PGEN'!$B:$B, Dashboard!$AL67)/1000</f>
        <v>109.9528012238265</v>
      </c>
      <c r="AZ67" s="737">
        <f>SUMIFS('Project PGEN'!R:R, 'Project PGEN'!$B:$B, Dashboard!$AL67)/1000</f>
        <v>108.82418516893641</v>
      </c>
      <c r="BA67" s="737">
        <f>SUMIFS('Project PGEN'!S:S, 'Project PGEN'!$B:$B, Dashboard!$AL67)/1000</f>
        <v>107.70410645456467</v>
      </c>
      <c r="BB67" s="738">
        <f>SUMIFS('Project PGEN'!T:T, 'Project PGEN'!$B:$B, Dashboard!$AL67)/1000</f>
        <v>106.59250792270738</v>
      </c>
    </row>
    <row r="68" spans="2:54" ht="16" thickBot="1">
      <c r="B68" s="680" t="s">
        <v>9</v>
      </c>
      <c r="C68" s="735">
        <f>SUMIFS('Project SVOL'!E$3:E$200, 'Project SVOL'!$B$3:$B$200, $B68)</f>
        <v>0</v>
      </c>
      <c r="D68" s="735">
        <f>SUMIFS('Project SVOL'!F$3:F$200, 'Project SVOL'!$B$3:$B$200, $B68)</f>
        <v>0</v>
      </c>
      <c r="E68" s="735">
        <f>SUMIFS('Project SVOL'!G$3:G$200, 'Project SVOL'!$B$3:$B$200, $B68)</f>
        <v>0</v>
      </c>
      <c r="F68" s="735">
        <f>SUMIFS('Project SVOL'!H$3:H$200, 'Project SVOL'!$B$3:$B$200, $B68)</f>
        <v>0</v>
      </c>
      <c r="G68" s="735">
        <f>SUMIFS('Project SVOL'!I$3:I$200, 'Project SVOL'!$B$3:$B$200, $B68)</f>
        <v>0</v>
      </c>
      <c r="H68" s="735">
        <f>SUMIFS('Project SVOL'!J$3:J$200, 'Project SVOL'!$B$3:$B$200, $B68)</f>
        <v>5.2257992217794422</v>
      </c>
      <c r="I68" s="735">
        <f>SUMIFS('Project SVOL'!K$3:K$200, 'Project SVOL'!$B$3:$B$200, $B68)</f>
        <v>5.2257992217794422</v>
      </c>
      <c r="J68" s="735">
        <f>SUMIFS('Project SVOL'!L$3:L$200, 'Project SVOL'!$B$3:$B$200, $B68)</f>
        <v>5.2257992217794422</v>
      </c>
      <c r="K68" s="735">
        <f>SUMIFS('Project SVOL'!M$3:M$200, 'Project SVOL'!$B$3:$B$200, $B68)</f>
        <v>5.2257992217794422</v>
      </c>
      <c r="L68" s="735">
        <f>SUMIFS('Project SVOL'!N$3:N$200, 'Project SVOL'!$B$3:$B$200, $B68)</f>
        <v>5.2257992217794422</v>
      </c>
      <c r="M68" s="735">
        <f>SUMIFS('Project SVOL'!O$3:O$200, 'Project SVOL'!$B$3:$B$200, $B68)</f>
        <v>5.2257992217794422</v>
      </c>
      <c r="N68" s="735">
        <f>SUMIFS('Project SVOL'!P$3:P$200, 'Project SVOL'!$B$3:$B$200, $B68)</f>
        <v>5.2257992217794422</v>
      </c>
      <c r="O68" s="735">
        <f>SUMIFS('Project SVOL'!Q$3:Q$200, 'Project SVOL'!$B$3:$B$200, $B68)</f>
        <v>5.2257992217794422</v>
      </c>
      <c r="P68" s="735">
        <f>SUMIFS('Project SVOL'!R$3:R$200, 'Project SVOL'!$B$3:$B$200, $B68)</f>
        <v>5.2257992217794422</v>
      </c>
      <c r="Q68" s="735">
        <f>SUMIFS('Project SVOL'!S$3:S$200, 'Project SVOL'!$B$3:$B$200, $B68)</f>
        <v>5.2257992217794422</v>
      </c>
      <c r="R68" s="736">
        <f>SUMIFS('Project SVOL'!T$3:T$200, 'Project SVOL'!$B$3:$B$200, $B68)</f>
        <v>5.2257992217794422</v>
      </c>
      <c r="T68" s="681" t="s">
        <v>37</v>
      </c>
      <c r="U68" s="739">
        <f>IF(C69&lt;0, ROUNDUP(-C69/('Assumptions &amp; Inputs'!$L$109/1000000), 0), 0)</f>
        <v>0</v>
      </c>
      <c r="V68" s="739">
        <f>IF(D69&lt;0, ROUNDUP(-D69/('Assumptions &amp; Inputs'!$L$109/1000000), 0), 0)</f>
        <v>0</v>
      </c>
      <c r="W68" s="739">
        <f>IF(E69&lt;0, ROUNDUP(-E69/('Assumptions &amp; Inputs'!$L$109/1000000), 0), 0)</f>
        <v>0</v>
      </c>
      <c r="X68" s="739">
        <f>IF(F69&lt;0, ROUNDUP(-F69/('Assumptions &amp; Inputs'!$L$109/1000000), 0), 0)</f>
        <v>0</v>
      </c>
      <c r="Y68" s="739">
        <f>IF(G69&lt;0, ROUNDUP(-G69/('Assumptions &amp; Inputs'!$L$109/1000000), 0), 0)</f>
        <v>0</v>
      </c>
      <c r="Z68" s="739">
        <f>IF(H69&lt;0, ROUNDUP(-H69/('Assumptions &amp; Inputs'!$L$109/1000000), 0), 0)</f>
        <v>0</v>
      </c>
      <c r="AA68" s="739">
        <f>IF(I69&lt;0, ROUNDUP(-I69/('Assumptions &amp; Inputs'!$L$109/1000000), 0), 0)</f>
        <v>0</v>
      </c>
      <c r="AB68" s="739">
        <f>IF(J69&lt;0, ROUNDUP(-J69/('Assumptions &amp; Inputs'!$L$109/1000000), 0), 0)</f>
        <v>0</v>
      </c>
      <c r="AC68" s="739">
        <f>IF(K69&lt;0, ROUNDUP(-K69/('Assumptions &amp; Inputs'!$L$109/1000000), 0), 0)</f>
        <v>0</v>
      </c>
      <c r="AD68" s="739">
        <f>IF(L69&lt;0, ROUNDUP(-L69/('Assumptions &amp; Inputs'!$L$109/1000000), 0), 0)</f>
        <v>0</v>
      </c>
      <c r="AE68" s="739">
        <f>IF(M69&lt;0, ROUNDUP(-M69/('Assumptions &amp; Inputs'!$L$109/1000000), 0), 0)</f>
        <v>0</v>
      </c>
      <c r="AF68" s="739">
        <f>IF(N69&lt;0, ROUNDUP(-N69/('Assumptions &amp; Inputs'!$L$109/1000000), 0), 0)</f>
        <v>0</v>
      </c>
      <c r="AG68" s="739">
        <f>IF(O69&lt;0, ROUNDUP(-O69/('Assumptions &amp; Inputs'!$L$109/1000000), 0), 0)</f>
        <v>0</v>
      </c>
      <c r="AH68" s="739">
        <f>IF(P69&lt;0, ROUNDUP(-P69/('Assumptions &amp; Inputs'!$L$109/1000000), 0), 0)</f>
        <v>0</v>
      </c>
      <c r="AI68" s="739">
        <f>IF(Q69&lt;0, ROUNDUP(-Q69/('Assumptions &amp; Inputs'!$L$109/1000000), 0), 0)</f>
        <v>0</v>
      </c>
      <c r="AJ68" s="740">
        <f>IF(R69&lt;0, ROUNDUP(-R69/('Assumptions &amp; Inputs'!$L$109/1000000), 0), 0)</f>
        <v>0</v>
      </c>
      <c r="AL68" s="680" t="s">
        <v>7</v>
      </c>
      <c r="AM68" s="737">
        <f>SUMIFS('Project PGEN'!E:E, 'Project PGEN'!$B:$B, Dashboard!$AL68)/1000</f>
        <v>0</v>
      </c>
      <c r="AN68" s="737">
        <f>SUMIFS('Project PGEN'!F:F, 'Project PGEN'!$B:$B, Dashboard!$AL68)/1000</f>
        <v>0</v>
      </c>
      <c r="AO68" s="737">
        <f>SUMIFS('Project PGEN'!G:G, 'Project PGEN'!$B:$B, Dashboard!$AL68)/1000</f>
        <v>44.481111111111112</v>
      </c>
      <c r="AP68" s="737">
        <f>SUMIFS('Project PGEN'!H:H, 'Project PGEN'!$B:$B, Dashboard!$AL68)/1000</f>
        <v>53.2</v>
      </c>
      <c r="AQ68" s="737">
        <f>SUMIFS('Project PGEN'!I:I, 'Project PGEN'!$B:$B, Dashboard!$AL68)/1000</f>
        <v>53.2</v>
      </c>
      <c r="AR68" s="737">
        <f>SUMIFS('Project PGEN'!J:J, 'Project PGEN'!$B:$B, Dashboard!$AL68)/1000</f>
        <v>53.2</v>
      </c>
      <c r="AS68" s="737">
        <f>SUMIFS('Project PGEN'!K:K, 'Project PGEN'!$B:$B, Dashboard!$AL68)/1000</f>
        <v>53.2</v>
      </c>
      <c r="AT68" s="737">
        <f>SUMIFS('Project PGEN'!L:L, 'Project PGEN'!$B:$B, Dashboard!$AL68)/1000</f>
        <v>53.2</v>
      </c>
      <c r="AU68" s="737">
        <f>SUMIFS('Project PGEN'!M:M, 'Project PGEN'!$B:$B, Dashboard!$AL68)/1000</f>
        <v>53.2</v>
      </c>
      <c r="AV68" s="737">
        <f>SUMIFS('Project PGEN'!N:N, 'Project PGEN'!$B:$B, Dashboard!$AL68)/1000</f>
        <v>53.2</v>
      </c>
      <c r="AW68" s="737">
        <f>SUMIFS('Project PGEN'!O:O, 'Project PGEN'!$B:$B, Dashboard!$AL68)/1000</f>
        <v>53.2</v>
      </c>
      <c r="AX68" s="737">
        <f>SUMIFS('Project PGEN'!P:P, 'Project PGEN'!$B:$B, Dashboard!$AL68)/1000</f>
        <v>53.2</v>
      </c>
      <c r="AY68" s="737">
        <f>SUMIFS('Project PGEN'!Q:Q, 'Project PGEN'!$B:$B, Dashboard!$AL68)/1000</f>
        <v>53.2</v>
      </c>
      <c r="AZ68" s="737">
        <f>SUMIFS('Project PGEN'!R:R, 'Project PGEN'!$B:$B, Dashboard!$AL68)/1000</f>
        <v>53.2</v>
      </c>
      <c r="BA68" s="737">
        <f>SUMIFS('Project PGEN'!S:S, 'Project PGEN'!$B:$B, Dashboard!$AL68)/1000</f>
        <v>53.2</v>
      </c>
      <c r="BB68" s="738">
        <f>SUMIFS('Project PGEN'!T:T, 'Project PGEN'!$B:$B, Dashboard!$AL68)/1000</f>
        <v>53.2</v>
      </c>
    </row>
    <row r="69" spans="2:54" ht="16" thickBot="1">
      <c r="B69" s="681" t="s">
        <v>38</v>
      </c>
      <c r="C69" s="741">
        <f>C66-C68</f>
        <v>0</v>
      </c>
      <c r="D69" s="741">
        <f t="shared" ref="D69:R69" si="16">D66-D68</f>
        <v>0</v>
      </c>
      <c r="E69" s="741">
        <f t="shared" si="16"/>
        <v>0</v>
      </c>
      <c r="F69" s="741">
        <f t="shared" si="16"/>
        <v>3.9735359999999997</v>
      </c>
      <c r="G69" s="741">
        <f t="shared" si="16"/>
        <v>5.2980479999999996</v>
      </c>
      <c r="H69" s="741">
        <f t="shared" si="16"/>
        <v>7.2248778220557419E-2</v>
      </c>
      <c r="I69" s="741">
        <f t="shared" si="16"/>
        <v>7.2248778220557419E-2</v>
      </c>
      <c r="J69" s="741">
        <f t="shared" si="16"/>
        <v>7.2248778220557419E-2</v>
      </c>
      <c r="K69" s="741">
        <f t="shared" si="16"/>
        <v>7.2248778220557419E-2</v>
      </c>
      <c r="L69" s="741">
        <f t="shared" si="16"/>
        <v>7.2248778220557419E-2</v>
      </c>
      <c r="M69" s="741">
        <f t="shared" si="16"/>
        <v>7.2248778220557419E-2</v>
      </c>
      <c r="N69" s="741">
        <f t="shared" si="16"/>
        <v>7.2248778220557419E-2</v>
      </c>
      <c r="O69" s="741">
        <f t="shared" si="16"/>
        <v>7.2248778220557419E-2</v>
      </c>
      <c r="P69" s="741">
        <f t="shared" si="16"/>
        <v>7.2248778220557419E-2</v>
      </c>
      <c r="Q69" s="741">
        <f t="shared" si="16"/>
        <v>7.2248778220557419E-2</v>
      </c>
      <c r="R69" s="742">
        <f t="shared" si="16"/>
        <v>7.2248778220557419E-2</v>
      </c>
      <c r="AL69" s="681" t="s">
        <v>9</v>
      </c>
      <c r="AM69" s="739">
        <f>SUMIFS('Project PGEN'!E:E, 'Project PGEN'!$B:$B, Dashboard!$AL69)/1000</f>
        <v>0</v>
      </c>
      <c r="AN69" s="739">
        <f>SUMIFS('Project PGEN'!F:F, 'Project PGEN'!$B:$B, Dashboard!$AL69)/1000</f>
        <v>0</v>
      </c>
      <c r="AO69" s="739">
        <f>SUMIFS('Project PGEN'!G:G, 'Project PGEN'!$B:$B, Dashboard!$AL69)/1000</f>
        <v>0</v>
      </c>
      <c r="AP69" s="739">
        <f>SUMIFS('Project PGEN'!H:H, 'Project PGEN'!$B:$B, Dashboard!$AL69)/1000</f>
        <v>0</v>
      </c>
      <c r="AQ69" s="739">
        <f>SUMIFS('Project PGEN'!I:I, 'Project PGEN'!$B:$B, Dashboard!$AL69)/1000</f>
        <v>0</v>
      </c>
      <c r="AR69" s="739">
        <f>SUMIFS('Project PGEN'!J:J, 'Project PGEN'!$B:$B, Dashboard!$AL69)/1000</f>
        <v>2662.7664</v>
      </c>
      <c r="AS69" s="739">
        <f>SUMIFS('Project PGEN'!K:K, 'Project PGEN'!$B:$B, Dashboard!$AL69)/1000</f>
        <v>3184.7040000000002</v>
      </c>
      <c r="AT69" s="739">
        <f>SUMIFS('Project PGEN'!L:L, 'Project PGEN'!$B:$B, Dashboard!$AL69)/1000</f>
        <v>3176.7422399999996</v>
      </c>
      <c r="AU69" s="739">
        <f>SUMIFS('Project PGEN'!M:M, 'Project PGEN'!$B:$B, Dashboard!$AL69)/1000</f>
        <v>3168.8003844000004</v>
      </c>
      <c r="AV69" s="739">
        <f>SUMIFS('Project PGEN'!N:N, 'Project PGEN'!$B:$B, Dashboard!$AL69)/1000</f>
        <v>3160.8783834390006</v>
      </c>
      <c r="AW69" s="739">
        <f>SUMIFS('Project PGEN'!O:O, 'Project PGEN'!$B:$B, Dashboard!$AL69)/1000</f>
        <v>3152.976187480403</v>
      </c>
      <c r="AX69" s="739">
        <f>SUMIFS('Project PGEN'!P:P, 'Project PGEN'!$B:$B, Dashboard!$AL69)/1000</f>
        <v>3145.0937470117024</v>
      </c>
      <c r="AY69" s="739">
        <f>SUMIFS('Project PGEN'!Q:Q, 'Project PGEN'!$B:$B, Dashboard!$AL69)/1000</f>
        <v>3137.231012644173</v>
      </c>
      <c r="AZ69" s="739">
        <f>SUMIFS('Project PGEN'!R:R, 'Project PGEN'!$B:$B, Dashboard!$AL69)/1000</f>
        <v>3129.3879351125629</v>
      </c>
      <c r="BA69" s="739">
        <f>SUMIFS('Project PGEN'!S:S, 'Project PGEN'!$B:$B, Dashboard!$AL69)/1000</f>
        <v>3121.5644652747815</v>
      </c>
      <c r="BB69" s="740">
        <f>SUMIFS('Project PGEN'!T:T, 'Project PGEN'!$B:$B, Dashboard!$AL69)/1000</f>
        <v>3113.7605541115945</v>
      </c>
    </row>
    <row r="70" spans="2:54" ht="16" thickBot="1">
      <c r="AL70" s="718"/>
      <c r="AM70" s="713"/>
      <c r="AN70" s="713"/>
      <c r="AO70" s="713"/>
      <c r="AP70" s="713"/>
      <c r="AQ70" s="713"/>
      <c r="AR70" s="713"/>
      <c r="AS70" s="713"/>
      <c r="AT70" s="713"/>
      <c r="AU70" s="713"/>
      <c r="AV70" s="713"/>
      <c r="AW70" s="713"/>
      <c r="AX70" s="713"/>
      <c r="AY70" s="713"/>
      <c r="AZ70" s="713"/>
      <c r="BA70" s="713"/>
      <c r="BB70" s="713"/>
    </row>
    <row r="71" spans="2:54">
      <c r="AL71" s="708"/>
      <c r="AM71" s="672"/>
      <c r="AN71" s="672"/>
      <c r="AO71" s="672"/>
      <c r="AP71" s="672"/>
      <c r="AQ71" s="672"/>
      <c r="AR71" s="672"/>
      <c r="AS71" s="672"/>
      <c r="AT71" s="672"/>
      <c r="AU71" s="672"/>
      <c r="AV71" s="672"/>
      <c r="AW71" s="672"/>
      <c r="AX71" s="672"/>
      <c r="AY71" s="672"/>
      <c r="AZ71" s="672"/>
      <c r="BA71" s="672"/>
      <c r="BB71" s="673"/>
    </row>
    <row r="72" spans="2:54">
      <c r="B72" s="671"/>
      <c r="C72" s="672"/>
      <c r="D72" s="672"/>
      <c r="E72" s="672"/>
      <c r="F72" s="672"/>
      <c r="G72" s="672"/>
      <c r="H72" s="672"/>
      <c r="I72" s="672"/>
      <c r="J72" s="672"/>
      <c r="K72" s="672"/>
      <c r="L72" s="672"/>
      <c r="M72" s="672"/>
      <c r="N72" s="672"/>
      <c r="O72" s="672"/>
      <c r="P72" s="672"/>
      <c r="Q72" s="672"/>
      <c r="R72" s="673"/>
      <c r="AL72" s="707"/>
      <c r="AM72" s="667"/>
      <c r="AN72" s="667"/>
      <c r="AO72" s="667"/>
      <c r="AP72" s="667"/>
      <c r="AQ72" s="667"/>
      <c r="AR72" s="667"/>
      <c r="AS72" s="667"/>
      <c r="AT72" s="667"/>
      <c r="AU72" s="667"/>
      <c r="AV72" s="667"/>
      <c r="AW72" s="667"/>
      <c r="AX72" s="667"/>
      <c r="AY72" s="667"/>
      <c r="AZ72" s="667"/>
      <c r="BA72" s="667"/>
      <c r="BB72" s="709"/>
    </row>
    <row r="73" spans="2:54">
      <c r="B73" s="674"/>
      <c r="C73" s="655"/>
      <c r="D73" s="655"/>
      <c r="E73" s="655"/>
      <c r="F73" s="655"/>
      <c r="G73" s="655"/>
      <c r="H73" s="655"/>
      <c r="I73" s="655"/>
      <c r="J73" s="655"/>
      <c r="K73" s="655"/>
      <c r="L73" s="655"/>
      <c r="M73" s="655"/>
      <c r="N73" s="655"/>
      <c r="O73" s="655"/>
      <c r="P73" s="655"/>
      <c r="Q73" s="655"/>
      <c r="R73" s="675"/>
      <c r="AL73" s="707"/>
      <c r="AM73" s="667"/>
      <c r="AN73" s="667"/>
      <c r="AO73" s="667"/>
      <c r="AP73" s="667"/>
      <c r="AQ73" s="667"/>
      <c r="AR73" s="667"/>
      <c r="AS73" s="667"/>
      <c r="AT73" s="667"/>
      <c r="AU73" s="667"/>
      <c r="AV73" s="667"/>
      <c r="AW73" s="667"/>
      <c r="AX73" s="667"/>
      <c r="AY73" s="667"/>
      <c r="AZ73" s="667"/>
      <c r="BA73" s="667"/>
      <c r="BB73" s="709"/>
    </row>
    <row r="74" spans="2:54">
      <c r="B74" s="674"/>
      <c r="C74" s="655"/>
      <c r="D74" s="655"/>
      <c r="E74" s="655"/>
      <c r="F74" s="655"/>
      <c r="G74" s="655"/>
      <c r="H74" s="655"/>
      <c r="I74" s="655"/>
      <c r="J74" s="655"/>
      <c r="K74" s="655"/>
      <c r="L74" s="655"/>
      <c r="M74" s="655"/>
      <c r="N74" s="655"/>
      <c r="O74" s="655"/>
      <c r="P74" s="655"/>
      <c r="Q74" s="655"/>
      <c r="R74" s="675"/>
      <c r="AL74" s="707"/>
      <c r="AM74" s="667"/>
      <c r="AN74" s="667"/>
      <c r="AO74" s="667"/>
      <c r="AP74" s="667"/>
      <c r="AQ74" s="667"/>
      <c r="AR74" s="667"/>
      <c r="AS74" s="667"/>
      <c r="AT74" s="667"/>
      <c r="AU74" s="667"/>
      <c r="AV74" s="667"/>
      <c r="AW74" s="667"/>
      <c r="AX74" s="667"/>
      <c r="AY74" s="667"/>
      <c r="AZ74" s="667"/>
      <c r="BA74" s="667"/>
      <c r="BB74" s="709"/>
    </row>
    <row r="75" spans="2:54">
      <c r="B75" s="674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5"/>
      <c r="P75" s="655"/>
      <c r="Q75" s="655"/>
      <c r="R75" s="675"/>
      <c r="AL75" s="707"/>
      <c r="AM75" s="667"/>
      <c r="AN75" s="667"/>
      <c r="AO75" s="667"/>
      <c r="AP75" s="667"/>
      <c r="AQ75" s="667"/>
      <c r="AR75" s="667"/>
      <c r="AS75" s="667"/>
      <c r="AT75" s="667"/>
      <c r="AU75" s="667"/>
      <c r="AV75" s="667"/>
      <c r="AW75" s="667"/>
      <c r="AX75" s="667"/>
      <c r="AY75" s="667"/>
      <c r="AZ75" s="667"/>
      <c r="BA75" s="667"/>
      <c r="BB75" s="709"/>
    </row>
    <row r="76" spans="2:54">
      <c r="B76" s="674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5"/>
      <c r="P76" s="655"/>
      <c r="Q76" s="655"/>
      <c r="R76" s="675"/>
      <c r="AL76" s="707"/>
      <c r="AM76" s="667"/>
      <c r="AN76" s="667"/>
      <c r="AO76" s="667"/>
      <c r="AP76" s="667"/>
      <c r="AQ76" s="667"/>
      <c r="AR76" s="667"/>
      <c r="AS76" s="667"/>
      <c r="AT76" s="667"/>
      <c r="AU76" s="667"/>
      <c r="AV76" s="667"/>
      <c r="AW76" s="667"/>
      <c r="AX76" s="667"/>
      <c r="AY76" s="667"/>
      <c r="AZ76" s="667"/>
      <c r="BA76" s="667"/>
      <c r="BB76" s="709"/>
    </row>
    <row r="77" spans="2:54">
      <c r="B77" s="674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5"/>
      <c r="P77" s="655"/>
      <c r="Q77" s="655"/>
      <c r="R77" s="675"/>
      <c r="AL77" s="707"/>
      <c r="AM77" s="667"/>
      <c r="AN77" s="667"/>
      <c r="AO77" s="667"/>
      <c r="AP77" s="667"/>
      <c r="AQ77" s="667"/>
      <c r="AR77" s="667"/>
      <c r="AS77" s="667"/>
      <c r="AT77" s="667"/>
      <c r="AU77" s="667"/>
      <c r="AV77" s="667"/>
      <c r="AW77" s="667"/>
      <c r="AX77" s="667"/>
      <c r="AY77" s="667"/>
      <c r="AZ77" s="667"/>
      <c r="BA77" s="667"/>
      <c r="BB77" s="709"/>
    </row>
    <row r="78" spans="2:54">
      <c r="B78" s="674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5"/>
      <c r="P78" s="655"/>
      <c r="Q78" s="655"/>
      <c r="R78" s="675"/>
      <c r="AI78" s="718" t="s">
        <v>39</v>
      </c>
      <c r="AL78" s="707"/>
      <c r="AM78" s="667"/>
      <c r="AN78" s="667"/>
      <c r="AO78" s="667"/>
      <c r="AP78" s="667"/>
      <c r="AQ78" s="667"/>
      <c r="AR78" s="667"/>
      <c r="AS78" s="667"/>
      <c r="AT78" s="667"/>
      <c r="AU78" s="667"/>
      <c r="AV78" s="667"/>
      <c r="AW78" s="667"/>
      <c r="AX78" s="667"/>
      <c r="AY78" s="667"/>
      <c r="AZ78" s="667"/>
      <c r="BA78" s="667"/>
      <c r="BB78" s="709"/>
    </row>
    <row r="79" spans="2:54">
      <c r="B79" s="674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75"/>
      <c r="AL79" s="707"/>
      <c r="AM79" s="667"/>
      <c r="AN79" s="667"/>
      <c r="AO79" s="667"/>
      <c r="AP79" s="667"/>
      <c r="AQ79" s="667"/>
      <c r="AR79" s="667"/>
      <c r="AS79" s="667"/>
      <c r="AT79" s="667"/>
      <c r="AU79" s="667"/>
      <c r="AV79" s="667"/>
      <c r="AW79" s="667"/>
      <c r="AX79" s="667"/>
      <c r="AY79" s="667"/>
      <c r="AZ79" s="667"/>
      <c r="BA79" s="667"/>
      <c r="BB79" s="709"/>
    </row>
    <row r="80" spans="2:54">
      <c r="B80" s="674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5"/>
      <c r="P80" s="655"/>
      <c r="Q80" s="655"/>
      <c r="R80" s="675"/>
      <c r="AL80" s="707"/>
      <c r="AM80" s="667"/>
      <c r="AN80" s="667"/>
      <c r="AO80" s="667"/>
      <c r="AP80" s="667"/>
      <c r="AQ80" s="667"/>
      <c r="AR80" s="667"/>
      <c r="AS80" s="667"/>
      <c r="AT80" s="667"/>
      <c r="AU80" s="667"/>
      <c r="AV80" s="667"/>
      <c r="AW80" s="667"/>
      <c r="AX80" s="667"/>
      <c r="AY80" s="667"/>
      <c r="AZ80" s="667"/>
      <c r="BA80" s="667"/>
      <c r="BB80" s="709"/>
    </row>
    <row r="81" spans="2:54">
      <c r="B81" s="674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5"/>
      <c r="P81" s="655"/>
      <c r="Q81" s="655"/>
      <c r="R81" s="675"/>
      <c r="AL81" s="707"/>
      <c r="AM81" s="667"/>
      <c r="AN81" s="667"/>
      <c r="AO81" s="667"/>
      <c r="AP81" s="667"/>
      <c r="AQ81" s="667"/>
      <c r="AR81" s="667"/>
      <c r="AS81" s="667"/>
      <c r="AT81" s="667"/>
      <c r="AU81" s="667"/>
      <c r="AV81" s="667"/>
      <c r="AW81" s="667"/>
      <c r="AX81" s="667"/>
      <c r="AY81" s="667"/>
      <c r="AZ81" s="667"/>
      <c r="BA81" s="667"/>
      <c r="BB81" s="709"/>
    </row>
    <row r="82" spans="2:54">
      <c r="B82" s="674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655"/>
      <c r="Q82" s="655"/>
      <c r="R82" s="675"/>
      <c r="AL82" s="710"/>
      <c r="AM82" s="711"/>
      <c r="AN82" s="711"/>
      <c r="AO82" s="711"/>
      <c r="AP82" s="711"/>
      <c r="AQ82" s="711"/>
      <c r="AR82" s="711"/>
      <c r="AS82" s="711"/>
      <c r="AT82" s="711"/>
      <c r="AU82" s="711"/>
      <c r="AV82" s="711"/>
      <c r="AW82" s="711"/>
      <c r="AX82" s="711"/>
      <c r="AY82" s="711"/>
      <c r="AZ82" s="711"/>
      <c r="BA82" s="711"/>
      <c r="BB82" s="712"/>
    </row>
    <row r="83" spans="2:54">
      <c r="B83" s="674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5"/>
      <c r="P83" s="655"/>
      <c r="Q83" s="655"/>
      <c r="R83" s="675"/>
      <c r="AL83" s="677"/>
      <c r="AM83" s="678">
        <v>0</v>
      </c>
      <c r="AN83" s="678">
        <f>1+AM83</f>
        <v>1</v>
      </c>
      <c r="AO83" s="678">
        <f t="shared" ref="AO83:BB83" si="17">1+AN83</f>
        <v>2</v>
      </c>
      <c r="AP83" s="678">
        <f t="shared" si="17"/>
        <v>3</v>
      </c>
      <c r="AQ83" s="678">
        <f t="shared" si="17"/>
        <v>4</v>
      </c>
      <c r="AR83" s="678">
        <f t="shared" si="17"/>
        <v>5</v>
      </c>
      <c r="AS83" s="678">
        <f t="shared" si="17"/>
        <v>6</v>
      </c>
      <c r="AT83" s="678">
        <f t="shared" si="17"/>
        <v>7</v>
      </c>
      <c r="AU83" s="678">
        <f t="shared" si="17"/>
        <v>8</v>
      </c>
      <c r="AV83" s="678">
        <f t="shared" si="17"/>
        <v>9</v>
      </c>
      <c r="AW83" s="678">
        <f t="shared" si="17"/>
        <v>10</v>
      </c>
      <c r="AX83" s="678">
        <f t="shared" si="17"/>
        <v>11</v>
      </c>
      <c r="AY83" s="678">
        <f t="shared" si="17"/>
        <v>12</v>
      </c>
      <c r="AZ83" s="678">
        <f t="shared" si="17"/>
        <v>13</v>
      </c>
      <c r="BA83" s="678">
        <f t="shared" si="17"/>
        <v>14</v>
      </c>
      <c r="BB83" s="679">
        <f t="shared" si="17"/>
        <v>15</v>
      </c>
    </row>
    <row r="84" spans="2:54">
      <c r="B84" s="674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55"/>
      <c r="P84" s="655"/>
      <c r="Q84" s="655"/>
      <c r="R84" s="675"/>
      <c r="AL84" s="680" t="s">
        <v>4</v>
      </c>
      <c r="AM84" s="737">
        <f>SUMIFS('Project Master Sheet'!$E:$E, 'Project Master Sheet'!$D:$D, Dashboard!$AL84, 'Project Master Sheet'!$I:$I, "&lt;="&amp;Dashboard!AM$83)</f>
        <v>0</v>
      </c>
      <c r="AN84" s="737">
        <f>SUMIFS('Project Master Sheet'!$E:$E, 'Project Master Sheet'!$D:$D, Dashboard!$AL84, 'Project Master Sheet'!$I:$I, "&lt;="&amp;Dashboard!AN$83)</f>
        <v>100</v>
      </c>
      <c r="AO84" s="737">
        <f>SUMIFS('Project Master Sheet'!$E:$E, 'Project Master Sheet'!$D:$D, Dashboard!$AL84, 'Project Master Sheet'!$I:$I, "&lt;="&amp;Dashboard!AO$83)</f>
        <v>100</v>
      </c>
      <c r="AP84" s="737">
        <f>SUMIFS('Project Master Sheet'!$E:$E, 'Project Master Sheet'!$D:$D, Dashboard!$AL84, 'Project Master Sheet'!$I:$I, "&lt;="&amp;Dashboard!AP$83)</f>
        <v>100</v>
      </c>
      <c r="AQ84" s="737">
        <f>SUMIFS('Project Master Sheet'!$E:$E, 'Project Master Sheet'!$D:$D, Dashboard!$AL84, 'Project Master Sheet'!$I:$I, "&lt;="&amp;Dashboard!AQ$83)</f>
        <v>100</v>
      </c>
      <c r="AR84" s="737">
        <f>SUMIFS('Project Master Sheet'!$E:$E, 'Project Master Sheet'!$D:$D, Dashboard!$AL84, 'Project Master Sheet'!$I:$I, "&lt;="&amp;Dashboard!AR$83)</f>
        <v>100</v>
      </c>
      <c r="AS84" s="737">
        <f>SUMIFS('Project Master Sheet'!$E:$E, 'Project Master Sheet'!$D:$D, Dashboard!$AL84, 'Project Master Sheet'!$I:$I, "&lt;="&amp;Dashboard!AS$83)</f>
        <v>100</v>
      </c>
      <c r="AT84" s="737">
        <f>SUMIFS('Project Master Sheet'!$E:$E, 'Project Master Sheet'!$D:$D, Dashboard!$AL84, 'Project Master Sheet'!$I:$I, "&lt;="&amp;Dashboard!AT$83)</f>
        <v>100</v>
      </c>
      <c r="AU84" s="737">
        <f>SUMIFS('Project Master Sheet'!$E:$E, 'Project Master Sheet'!$D:$D, Dashboard!$AL84, 'Project Master Sheet'!$I:$I, "&lt;="&amp;Dashboard!AU$83)</f>
        <v>100</v>
      </c>
      <c r="AV84" s="737">
        <f>SUMIFS('Project Master Sheet'!$E:$E, 'Project Master Sheet'!$D:$D, Dashboard!$AL84, 'Project Master Sheet'!$I:$I, "&lt;="&amp;Dashboard!AV$83)</f>
        <v>100</v>
      </c>
      <c r="AW84" s="737">
        <f>SUMIFS('Project Master Sheet'!$E:$E, 'Project Master Sheet'!$D:$D, Dashboard!$AL84, 'Project Master Sheet'!$I:$I, "&lt;="&amp;Dashboard!AW$83)</f>
        <v>100</v>
      </c>
      <c r="AX84" s="737">
        <f>SUMIFS('Project Master Sheet'!$E:$E, 'Project Master Sheet'!$D:$D, Dashboard!$AL84, 'Project Master Sheet'!$I:$I, "&lt;="&amp;Dashboard!AX$83)</f>
        <v>100</v>
      </c>
      <c r="AY84" s="737">
        <f>SUMIFS('Project Master Sheet'!$E:$E, 'Project Master Sheet'!$D:$D, Dashboard!$AL84, 'Project Master Sheet'!$I:$I, "&lt;="&amp;Dashboard!AY$83)</f>
        <v>100</v>
      </c>
      <c r="AZ84" s="737">
        <f>SUMIFS('Project Master Sheet'!$E:$E, 'Project Master Sheet'!$D:$D, Dashboard!$AL84, 'Project Master Sheet'!$I:$I, "&lt;="&amp;Dashboard!AZ$83)</f>
        <v>100</v>
      </c>
      <c r="BA84" s="737">
        <f>SUMIFS('Project Master Sheet'!$E:$E, 'Project Master Sheet'!$D:$D, Dashboard!$AL84, 'Project Master Sheet'!$I:$I, "&lt;="&amp;Dashboard!BA$83)</f>
        <v>100</v>
      </c>
      <c r="BB84" s="737">
        <f>SUMIFS('Project Master Sheet'!$E:$E, 'Project Master Sheet'!$D:$D, Dashboard!$AL84, 'Project Master Sheet'!$I:$I, "&lt;="&amp;Dashboard!BB$83)</f>
        <v>100</v>
      </c>
    </row>
    <row r="85" spans="2:54">
      <c r="B85" s="680"/>
      <c r="C85" s="700">
        <v>0</v>
      </c>
      <c r="D85" s="700">
        <f t="shared" ref="D85:R85" si="18">1+C85</f>
        <v>1</v>
      </c>
      <c r="E85" s="700">
        <f t="shared" si="18"/>
        <v>2</v>
      </c>
      <c r="F85" s="700">
        <f t="shared" si="18"/>
        <v>3</v>
      </c>
      <c r="G85" s="700">
        <f t="shared" si="18"/>
        <v>4</v>
      </c>
      <c r="H85" s="700">
        <f t="shared" si="18"/>
        <v>5</v>
      </c>
      <c r="I85" s="700">
        <f t="shared" si="18"/>
        <v>6</v>
      </c>
      <c r="J85" s="700">
        <f t="shared" si="18"/>
        <v>7</v>
      </c>
      <c r="K85" s="700">
        <f t="shared" si="18"/>
        <v>8</v>
      </c>
      <c r="L85" s="700">
        <f t="shared" si="18"/>
        <v>9</v>
      </c>
      <c r="M85" s="700">
        <f t="shared" si="18"/>
        <v>10</v>
      </c>
      <c r="N85" s="700">
        <f t="shared" si="18"/>
        <v>11</v>
      </c>
      <c r="O85" s="700">
        <f t="shared" si="18"/>
        <v>12</v>
      </c>
      <c r="P85" s="700">
        <f t="shared" si="18"/>
        <v>13</v>
      </c>
      <c r="Q85" s="700">
        <f t="shared" si="18"/>
        <v>14</v>
      </c>
      <c r="R85" s="701">
        <f t="shared" si="18"/>
        <v>15</v>
      </c>
      <c r="AL85" s="680" t="s">
        <v>6</v>
      </c>
      <c r="AM85" s="737">
        <f>SUMIFS('Project Master Sheet'!$E:$E, 'Project Master Sheet'!$D:$D, Dashboard!$AL85, 'Project Master Sheet'!$I:$I, "&lt;="&amp;Dashboard!AM$83)</f>
        <v>70</v>
      </c>
      <c r="AN85" s="737">
        <f>SUMIFS('Project Master Sheet'!$E:$E, 'Project Master Sheet'!$D:$D, Dashboard!$AL85, 'Project Master Sheet'!$I:$I, "&lt;="&amp;Dashboard!AN$83)</f>
        <v>70</v>
      </c>
      <c r="AO85" s="737">
        <f>SUMIFS('Project Master Sheet'!$E:$E, 'Project Master Sheet'!$D:$D, Dashboard!$AL85, 'Project Master Sheet'!$I:$I, "&lt;="&amp;Dashboard!AO$83)</f>
        <v>70</v>
      </c>
      <c r="AP85" s="737">
        <f>SUMIFS('Project Master Sheet'!$E:$E, 'Project Master Sheet'!$D:$D, Dashboard!$AL85, 'Project Master Sheet'!$I:$I, "&lt;="&amp;Dashboard!AP$83)</f>
        <v>70</v>
      </c>
      <c r="AQ85" s="737">
        <f>SUMIFS('Project Master Sheet'!$E:$E, 'Project Master Sheet'!$D:$D, Dashboard!$AL85, 'Project Master Sheet'!$I:$I, "&lt;="&amp;Dashboard!AQ$83)</f>
        <v>70</v>
      </c>
      <c r="AR85" s="737">
        <f>SUMIFS('Project Master Sheet'!$E:$E, 'Project Master Sheet'!$D:$D, Dashboard!$AL85, 'Project Master Sheet'!$I:$I, "&lt;="&amp;Dashboard!AR$83)</f>
        <v>70</v>
      </c>
      <c r="AS85" s="737">
        <f>SUMIFS('Project Master Sheet'!$E:$E, 'Project Master Sheet'!$D:$D, Dashboard!$AL85, 'Project Master Sheet'!$I:$I, "&lt;="&amp;Dashboard!AS$83)</f>
        <v>70</v>
      </c>
      <c r="AT85" s="737">
        <f>SUMIFS('Project Master Sheet'!$E:$E, 'Project Master Sheet'!$D:$D, Dashboard!$AL85, 'Project Master Sheet'!$I:$I, "&lt;="&amp;Dashboard!AT$83)</f>
        <v>70</v>
      </c>
      <c r="AU85" s="737">
        <f>SUMIFS('Project Master Sheet'!$E:$E, 'Project Master Sheet'!$D:$D, Dashboard!$AL85, 'Project Master Sheet'!$I:$I, "&lt;="&amp;Dashboard!AU$83)</f>
        <v>70</v>
      </c>
      <c r="AV85" s="737">
        <f>SUMIFS('Project Master Sheet'!$E:$E, 'Project Master Sheet'!$D:$D, Dashboard!$AL85, 'Project Master Sheet'!$I:$I, "&lt;="&amp;Dashboard!AV$83)</f>
        <v>70</v>
      </c>
      <c r="AW85" s="737">
        <f>SUMIFS('Project Master Sheet'!$E:$E, 'Project Master Sheet'!$D:$D, Dashboard!$AL85, 'Project Master Sheet'!$I:$I, "&lt;="&amp;Dashboard!AW$83)</f>
        <v>70</v>
      </c>
      <c r="AX85" s="737">
        <f>SUMIFS('Project Master Sheet'!$E:$E, 'Project Master Sheet'!$D:$D, Dashboard!$AL85, 'Project Master Sheet'!$I:$I, "&lt;="&amp;Dashboard!AX$83)</f>
        <v>70</v>
      </c>
      <c r="AY85" s="737">
        <f>SUMIFS('Project Master Sheet'!$E:$E, 'Project Master Sheet'!$D:$D, Dashboard!$AL85, 'Project Master Sheet'!$I:$I, "&lt;="&amp;Dashboard!AY$83)</f>
        <v>70</v>
      </c>
      <c r="AZ85" s="737">
        <f>SUMIFS('Project Master Sheet'!$E:$E, 'Project Master Sheet'!$D:$D, Dashboard!$AL85, 'Project Master Sheet'!$I:$I, "&lt;="&amp;Dashboard!AZ$83)</f>
        <v>70</v>
      </c>
      <c r="BA85" s="737">
        <f>SUMIFS('Project Master Sheet'!$E:$E, 'Project Master Sheet'!$D:$D, Dashboard!$AL85, 'Project Master Sheet'!$I:$I, "&lt;="&amp;Dashboard!BA$83)</f>
        <v>70</v>
      </c>
      <c r="BB85" s="737">
        <f>SUMIFS('Project Master Sheet'!$E:$E, 'Project Master Sheet'!$D:$D, Dashboard!$AL85, 'Project Master Sheet'!$I:$I, "&lt;="&amp;Dashboard!BB$83)</f>
        <v>70</v>
      </c>
    </row>
    <row r="86" spans="2:54">
      <c r="B86" s="680" t="s">
        <v>4</v>
      </c>
      <c r="C86" s="758">
        <f>SUMIFS('Project LAND'!E:E, 'Project LAND'!$B:$B, Dashboard!$B86)</f>
        <v>0</v>
      </c>
      <c r="D86" s="758">
        <f>SUMIFS('Project LAND'!F:F, 'Project LAND'!$B:$B, Dashboard!$B86)</f>
        <v>1.1478420569329659</v>
      </c>
      <c r="E86" s="758">
        <f>SUMIFS('Project LAND'!G:G, 'Project LAND'!$B:$B, Dashboard!$B86)</f>
        <v>1.1478420569329659</v>
      </c>
      <c r="F86" s="758">
        <f>SUMIFS('Project LAND'!H:H, 'Project LAND'!$B:$B, Dashboard!$B86)</f>
        <v>1.1478420569329659</v>
      </c>
      <c r="G86" s="758">
        <f>SUMIFS('Project LAND'!I:I, 'Project LAND'!$B:$B, Dashboard!$B86)</f>
        <v>1.1478420569329659</v>
      </c>
      <c r="H86" s="758">
        <f>SUMIFS('Project LAND'!J:J, 'Project LAND'!$B:$B, Dashboard!$B86)</f>
        <v>1.1478420569329659</v>
      </c>
      <c r="I86" s="758">
        <f>SUMIFS('Project LAND'!K:K, 'Project LAND'!$B:$B, Dashboard!$B86)</f>
        <v>1.1478420569329659</v>
      </c>
      <c r="J86" s="758">
        <f>SUMIFS('Project LAND'!L:L, 'Project LAND'!$B:$B, Dashboard!$B86)</f>
        <v>1.1478420569329659</v>
      </c>
      <c r="K86" s="758">
        <f>SUMIFS('Project LAND'!M:M, 'Project LAND'!$B:$B, Dashboard!$B86)</f>
        <v>1.1478420569329659</v>
      </c>
      <c r="L86" s="758">
        <f>SUMIFS('Project LAND'!N:N, 'Project LAND'!$B:$B, Dashboard!$B86)</f>
        <v>1.1478420569329659</v>
      </c>
      <c r="M86" s="758">
        <f>SUMIFS('Project LAND'!O:O, 'Project LAND'!$B:$B, Dashboard!$B86)</f>
        <v>1.1478420569329659</v>
      </c>
      <c r="N86" s="758">
        <f>SUMIFS('Project LAND'!P:P, 'Project LAND'!$B:$B, Dashboard!$B86)</f>
        <v>1.1478420569329659</v>
      </c>
      <c r="O86" s="758">
        <f>SUMIFS('Project LAND'!Q:Q, 'Project LAND'!$B:$B, Dashboard!$B86)</f>
        <v>1.1478420569329659</v>
      </c>
      <c r="P86" s="758">
        <f>SUMIFS('Project LAND'!R:R, 'Project LAND'!$B:$B, Dashboard!$B86)</f>
        <v>1.1478420569329659</v>
      </c>
      <c r="Q86" s="758">
        <f>SUMIFS('Project LAND'!S:S, 'Project LAND'!$B:$B, Dashboard!$B86)</f>
        <v>1.1478420569329659</v>
      </c>
      <c r="R86" s="759">
        <f>SUMIFS('Project LAND'!T:T, 'Project LAND'!$B:$B, Dashboard!$B86)</f>
        <v>1.1478420569329659</v>
      </c>
      <c r="AL86" s="680" t="s">
        <v>7</v>
      </c>
      <c r="AM86" s="737">
        <f>SUMIFS('Project Master Sheet'!$E:$E, 'Project Master Sheet'!$D:$D, Dashboard!$AL86, 'Project Master Sheet'!$I:$I, "&lt;="&amp;Dashboard!AM$83)</f>
        <v>0</v>
      </c>
      <c r="AN86" s="737">
        <f>SUMIFS('Project Master Sheet'!$E:$E, 'Project Master Sheet'!$D:$D, Dashboard!$AL86, 'Project Master Sheet'!$I:$I, "&lt;="&amp;Dashboard!AN$83)</f>
        <v>50</v>
      </c>
      <c r="AO86" s="737">
        <f>SUMIFS('Project Master Sheet'!$E:$E, 'Project Master Sheet'!$D:$D, Dashboard!$AL86, 'Project Master Sheet'!$I:$I, "&lt;="&amp;Dashboard!AO$83)</f>
        <v>50</v>
      </c>
      <c r="AP86" s="737">
        <f>SUMIFS('Project Master Sheet'!$E:$E, 'Project Master Sheet'!$D:$D, Dashboard!$AL86, 'Project Master Sheet'!$I:$I, "&lt;="&amp;Dashboard!AP$83)</f>
        <v>50</v>
      </c>
      <c r="AQ86" s="737">
        <f>SUMIFS('Project Master Sheet'!$E:$E, 'Project Master Sheet'!$D:$D, Dashboard!$AL86, 'Project Master Sheet'!$I:$I, "&lt;="&amp;Dashboard!AQ$83)</f>
        <v>50</v>
      </c>
      <c r="AR86" s="737">
        <f>SUMIFS('Project Master Sheet'!$E:$E, 'Project Master Sheet'!$D:$D, Dashboard!$AL86, 'Project Master Sheet'!$I:$I, "&lt;="&amp;Dashboard!AR$83)</f>
        <v>50</v>
      </c>
      <c r="AS86" s="737">
        <f>SUMIFS('Project Master Sheet'!$E:$E, 'Project Master Sheet'!$D:$D, Dashboard!$AL86, 'Project Master Sheet'!$I:$I, "&lt;="&amp;Dashboard!AS$83)</f>
        <v>50</v>
      </c>
      <c r="AT86" s="737">
        <f>SUMIFS('Project Master Sheet'!$E:$E, 'Project Master Sheet'!$D:$D, Dashboard!$AL86, 'Project Master Sheet'!$I:$I, "&lt;="&amp;Dashboard!AT$83)</f>
        <v>50</v>
      </c>
      <c r="AU86" s="737">
        <f>SUMIFS('Project Master Sheet'!$E:$E, 'Project Master Sheet'!$D:$D, Dashboard!$AL86, 'Project Master Sheet'!$I:$I, "&lt;="&amp;Dashboard!AU$83)</f>
        <v>50</v>
      </c>
      <c r="AV86" s="737">
        <f>SUMIFS('Project Master Sheet'!$E:$E, 'Project Master Sheet'!$D:$D, Dashboard!$AL86, 'Project Master Sheet'!$I:$I, "&lt;="&amp;Dashboard!AV$83)</f>
        <v>50</v>
      </c>
      <c r="AW86" s="737">
        <f>SUMIFS('Project Master Sheet'!$E:$E, 'Project Master Sheet'!$D:$D, Dashboard!$AL86, 'Project Master Sheet'!$I:$I, "&lt;="&amp;Dashboard!AW$83)</f>
        <v>50</v>
      </c>
      <c r="AX86" s="737">
        <f>SUMIFS('Project Master Sheet'!$E:$E, 'Project Master Sheet'!$D:$D, Dashboard!$AL86, 'Project Master Sheet'!$I:$I, "&lt;="&amp;Dashboard!AX$83)</f>
        <v>50</v>
      </c>
      <c r="AY86" s="737">
        <f>SUMIFS('Project Master Sheet'!$E:$E, 'Project Master Sheet'!$D:$D, Dashboard!$AL86, 'Project Master Sheet'!$I:$I, "&lt;="&amp;Dashboard!AY$83)</f>
        <v>50</v>
      </c>
      <c r="AZ86" s="737">
        <f>SUMIFS('Project Master Sheet'!$E:$E, 'Project Master Sheet'!$D:$D, Dashboard!$AL86, 'Project Master Sheet'!$I:$I, "&lt;="&amp;Dashboard!AZ$83)</f>
        <v>50</v>
      </c>
      <c r="BA86" s="737">
        <f>SUMIFS('Project Master Sheet'!$E:$E, 'Project Master Sheet'!$D:$D, Dashboard!$AL86, 'Project Master Sheet'!$I:$I, "&lt;="&amp;Dashboard!BA$83)</f>
        <v>50</v>
      </c>
      <c r="BB86" s="737">
        <f>SUMIFS('Project Master Sheet'!$E:$E, 'Project Master Sheet'!$D:$D, Dashboard!$AL86, 'Project Master Sheet'!$I:$I, "&lt;="&amp;Dashboard!BB$83)</f>
        <v>50</v>
      </c>
    </row>
    <row r="87" spans="2:54" ht="16" thickBot="1">
      <c r="B87" s="680" t="s">
        <v>6</v>
      </c>
      <c r="C87" s="758">
        <f>SUMIFS('Project LAND'!E:E, 'Project LAND'!$B:$B, Dashboard!$B87)</f>
        <v>700</v>
      </c>
      <c r="D87" s="758">
        <f>SUMIFS('Project LAND'!F:F, 'Project LAND'!$B:$B, Dashboard!$B87)</f>
        <v>700</v>
      </c>
      <c r="E87" s="758">
        <f>SUMIFS('Project LAND'!G:G, 'Project LAND'!$B:$B, Dashboard!$B87)</f>
        <v>700</v>
      </c>
      <c r="F87" s="758">
        <f>SUMIFS('Project LAND'!H:H, 'Project LAND'!$B:$B, Dashboard!$B87)</f>
        <v>700</v>
      </c>
      <c r="G87" s="758">
        <f>SUMIFS('Project LAND'!I:I, 'Project LAND'!$B:$B, Dashboard!$B87)</f>
        <v>700</v>
      </c>
      <c r="H87" s="758">
        <f>SUMIFS('Project LAND'!J:J, 'Project LAND'!$B:$B, Dashboard!$B87)</f>
        <v>700</v>
      </c>
      <c r="I87" s="758">
        <f>SUMIFS('Project LAND'!K:K, 'Project LAND'!$B:$B, Dashboard!$B87)</f>
        <v>700</v>
      </c>
      <c r="J87" s="758">
        <f>SUMIFS('Project LAND'!L:L, 'Project LAND'!$B:$B, Dashboard!$B87)</f>
        <v>700</v>
      </c>
      <c r="K87" s="758">
        <f>SUMIFS('Project LAND'!M:M, 'Project LAND'!$B:$B, Dashboard!$B87)</f>
        <v>700</v>
      </c>
      <c r="L87" s="758">
        <f>SUMIFS('Project LAND'!N:N, 'Project LAND'!$B:$B, Dashboard!$B87)</f>
        <v>700</v>
      </c>
      <c r="M87" s="758">
        <f>SUMIFS('Project LAND'!O:O, 'Project LAND'!$B:$B, Dashboard!$B87)</f>
        <v>700</v>
      </c>
      <c r="N87" s="758">
        <f>SUMIFS('Project LAND'!P:P, 'Project LAND'!$B:$B, Dashboard!$B87)</f>
        <v>700</v>
      </c>
      <c r="O87" s="758">
        <f>SUMIFS('Project LAND'!Q:Q, 'Project LAND'!$B:$B, Dashboard!$B87)</f>
        <v>700</v>
      </c>
      <c r="P87" s="758">
        <f>SUMIFS('Project LAND'!R:R, 'Project LAND'!$B:$B, Dashboard!$B87)</f>
        <v>700</v>
      </c>
      <c r="Q87" s="758">
        <f>SUMIFS('Project LAND'!S:S, 'Project LAND'!$B:$B, Dashboard!$B87)</f>
        <v>700</v>
      </c>
      <c r="R87" s="759">
        <f>SUMIFS('Project LAND'!T:T, 'Project LAND'!$B:$B, Dashboard!$B87)</f>
        <v>700</v>
      </c>
      <c r="AL87" s="681" t="s">
        <v>9</v>
      </c>
      <c r="AM87" s="737">
        <f>SUMIFS('Project Master Sheet'!$E:$E, 'Project Master Sheet'!$D:$D, Dashboard!$AL87, 'Project Master Sheet'!$I:$I, "&lt;="&amp;Dashboard!AM$83)</f>
        <v>0</v>
      </c>
      <c r="AN87" s="737">
        <f>SUMIFS('Project Master Sheet'!$E:$E, 'Project Master Sheet'!$D:$D, Dashboard!$AL87, 'Project Master Sheet'!$I:$I, "&lt;="&amp;Dashboard!AN$83)</f>
        <v>400</v>
      </c>
      <c r="AO87" s="737">
        <f>SUMIFS('Project Master Sheet'!$E:$E, 'Project Master Sheet'!$D:$D, Dashboard!$AL87, 'Project Master Sheet'!$I:$I, "&lt;="&amp;Dashboard!AO$83)</f>
        <v>400</v>
      </c>
      <c r="AP87" s="737">
        <f>SUMIFS('Project Master Sheet'!$E:$E, 'Project Master Sheet'!$D:$D, Dashboard!$AL87, 'Project Master Sheet'!$I:$I, "&lt;="&amp;Dashboard!AP$83)</f>
        <v>400</v>
      </c>
      <c r="AQ87" s="737">
        <f>SUMIFS('Project Master Sheet'!$E:$E, 'Project Master Sheet'!$D:$D, Dashboard!$AL87, 'Project Master Sheet'!$I:$I, "&lt;="&amp;Dashboard!AQ$83)</f>
        <v>400</v>
      </c>
      <c r="AR87" s="737">
        <f>SUMIFS('Project Master Sheet'!$E:$E, 'Project Master Sheet'!$D:$D, Dashboard!$AL87, 'Project Master Sheet'!$I:$I, "&lt;="&amp;Dashboard!AR$83)</f>
        <v>400</v>
      </c>
      <c r="AS87" s="737">
        <f>SUMIFS('Project Master Sheet'!$E:$E, 'Project Master Sheet'!$D:$D, Dashboard!$AL87, 'Project Master Sheet'!$I:$I, "&lt;="&amp;Dashboard!AS$83)</f>
        <v>400</v>
      </c>
      <c r="AT87" s="737">
        <f>SUMIFS('Project Master Sheet'!$E:$E, 'Project Master Sheet'!$D:$D, Dashboard!$AL87, 'Project Master Sheet'!$I:$I, "&lt;="&amp;Dashboard!AT$83)</f>
        <v>400</v>
      </c>
      <c r="AU87" s="737">
        <f>SUMIFS('Project Master Sheet'!$E:$E, 'Project Master Sheet'!$D:$D, Dashboard!$AL87, 'Project Master Sheet'!$I:$I, "&lt;="&amp;Dashboard!AU$83)</f>
        <v>400</v>
      </c>
      <c r="AV87" s="737">
        <f>SUMIFS('Project Master Sheet'!$E:$E, 'Project Master Sheet'!$D:$D, Dashboard!$AL87, 'Project Master Sheet'!$I:$I, "&lt;="&amp;Dashboard!AV$83)</f>
        <v>400</v>
      </c>
      <c r="AW87" s="737">
        <f>SUMIFS('Project Master Sheet'!$E:$E, 'Project Master Sheet'!$D:$D, Dashboard!$AL87, 'Project Master Sheet'!$I:$I, "&lt;="&amp;Dashboard!AW$83)</f>
        <v>400</v>
      </c>
      <c r="AX87" s="737">
        <f>SUMIFS('Project Master Sheet'!$E:$E, 'Project Master Sheet'!$D:$D, Dashboard!$AL87, 'Project Master Sheet'!$I:$I, "&lt;="&amp;Dashboard!AX$83)</f>
        <v>400</v>
      </c>
      <c r="AY87" s="737">
        <f>SUMIFS('Project Master Sheet'!$E:$E, 'Project Master Sheet'!$D:$D, Dashboard!$AL87, 'Project Master Sheet'!$I:$I, "&lt;="&amp;Dashboard!AY$83)</f>
        <v>400</v>
      </c>
      <c r="AZ87" s="737">
        <f>SUMIFS('Project Master Sheet'!$E:$E, 'Project Master Sheet'!$D:$D, Dashboard!$AL87, 'Project Master Sheet'!$I:$I, "&lt;="&amp;Dashboard!AZ$83)</f>
        <v>400</v>
      </c>
      <c r="BA87" s="737">
        <f>SUMIFS('Project Master Sheet'!$E:$E, 'Project Master Sheet'!$D:$D, Dashboard!$AL87, 'Project Master Sheet'!$I:$I, "&lt;="&amp;Dashboard!BA$83)</f>
        <v>400</v>
      </c>
      <c r="BB87" s="737">
        <f>SUMIFS('Project Master Sheet'!$E:$E, 'Project Master Sheet'!$D:$D, Dashboard!$AL87, 'Project Master Sheet'!$I:$I, "&lt;="&amp;Dashboard!BB$83)</f>
        <v>400</v>
      </c>
    </row>
    <row r="88" spans="2:54">
      <c r="B88" s="680" t="s">
        <v>7</v>
      </c>
      <c r="C88" s="758">
        <f>SUMIFS('Project LAND'!E:E, 'Project LAND'!$B:$B, Dashboard!$B88)</f>
        <v>0</v>
      </c>
      <c r="D88" s="758">
        <f>SUMIFS('Project LAND'!F:F, 'Project LAND'!$B:$B, Dashboard!$B88)</f>
        <v>0.60240963855421692</v>
      </c>
      <c r="E88" s="758">
        <f>SUMIFS('Project LAND'!G:G, 'Project LAND'!$B:$B, Dashboard!$B88)</f>
        <v>0.60240963855421692</v>
      </c>
      <c r="F88" s="758">
        <f>SUMIFS('Project LAND'!H:H, 'Project LAND'!$B:$B, Dashboard!$B88)</f>
        <v>0.60240963855421692</v>
      </c>
      <c r="G88" s="758">
        <f>SUMIFS('Project LAND'!I:I, 'Project LAND'!$B:$B, Dashboard!$B88)</f>
        <v>0.60240963855421692</v>
      </c>
      <c r="H88" s="758">
        <f>SUMIFS('Project LAND'!J:J, 'Project LAND'!$B:$B, Dashboard!$B88)</f>
        <v>0.60240963855421692</v>
      </c>
      <c r="I88" s="758">
        <f>SUMIFS('Project LAND'!K:K, 'Project LAND'!$B:$B, Dashboard!$B88)</f>
        <v>0.60240963855421692</v>
      </c>
      <c r="J88" s="758">
        <f>SUMIFS('Project LAND'!L:L, 'Project LAND'!$B:$B, Dashboard!$B88)</f>
        <v>0.60240963855421692</v>
      </c>
      <c r="K88" s="758">
        <f>SUMIFS('Project LAND'!M:M, 'Project LAND'!$B:$B, Dashboard!$B88)</f>
        <v>0.60240963855421692</v>
      </c>
      <c r="L88" s="758">
        <f>SUMIFS('Project LAND'!N:N, 'Project LAND'!$B:$B, Dashboard!$B88)</f>
        <v>0.60240963855421692</v>
      </c>
      <c r="M88" s="758">
        <f>SUMIFS('Project LAND'!O:O, 'Project LAND'!$B:$B, Dashboard!$B88)</f>
        <v>0.60240963855421692</v>
      </c>
      <c r="N88" s="758">
        <f>SUMIFS('Project LAND'!P:P, 'Project LAND'!$B:$B, Dashboard!$B88)</f>
        <v>0.60240963855421692</v>
      </c>
      <c r="O88" s="758">
        <f>SUMIFS('Project LAND'!Q:Q, 'Project LAND'!$B:$B, Dashboard!$B88)</f>
        <v>0.60240963855421692</v>
      </c>
      <c r="P88" s="758">
        <f>SUMIFS('Project LAND'!R:R, 'Project LAND'!$B:$B, Dashboard!$B88)</f>
        <v>0.60240963855421692</v>
      </c>
      <c r="Q88" s="758">
        <f>SUMIFS('Project LAND'!S:S, 'Project LAND'!$B:$B, Dashboard!$B88)</f>
        <v>0.60240963855421692</v>
      </c>
      <c r="R88" s="759">
        <f>SUMIFS('Project LAND'!T:T, 'Project LAND'!$B:$B, Dashboard!$B88)</f>
        <v>0.60240963855421692</v>
      </c>
      <c r="AL88" s="713"/>
      <c r="AM88" s="713"/>
      <c r="AN88" s="713"/>
      <c r="AO88" s="713"/>
      <c r="AP88" s="713"/>
      <c r="AQ88" s="713"/>
      <c r="AR88" s="713"/>
      <c r="AS88" s="713"/>
      <c r="AT88" s="713"/>
      <c r="AU88" s="713"/>
      <c r="AV88" s="713"/>
      <c r="AW88" s="713"/>
      <c r="AX88" s="713"/>
      <c r="AY88" s="713"/>
      <c r="AZ88" s="713"/>
      <c r="BA88" s="713"/>
      <c r="BB88" s="713"/>
    </row>
    <row r="89" spans="2:54">
      <c r="B89" s="680" t="s">
        <v>9</v>
      </c>
      <c r="C89" s="758">
        <f>SUMIFS('Project LAND'!E:E, 'Project LAND'!$B:$B, Dashboard!$B89)</f>
        <v>0</v>
      </c>
      <c r="D89" s="758">
        <f>SUMIFS('Project LAND'!F:F, 'Project LAND'!$B:$B, Dashboard!$B89)</f>
        <v>200</v>
      </c>
      <c r="E89" s="758">
        <f>SUMIFS('Project LAND'!G:G, 'Project LAND'!$B:$B, Dashboard!$B89)</f>
        <v>200</v>
      </c>
      <c r="F89" s="758">
        <f>SUMIFS('Project LAND'!H:H, 'Project LAND'!$B:$B, Dashboard!$B89)</f>
        <v>200</v>
      </c>
      <c r="G89" s="758">
        <f>SUMIFS('Project LAND'!I:I, 'Project LAND'!$B:$B, Dashboard!$B89)</f>
        <v>200</v>
      </c>
      <c r="H89" s="758">
        <f>SUMIFS('Project LAND'!J:J, 'Project LAND'!$B:$B, Dashboard!$B89)</f>
        <v>200</v>
      </c>
      <c r="I89" s="758">
        <f>SUMIFS('Project LAND'!K:K, 'Project LAND'!$B:$B, Dashboard!$B89)</f>
        <v>200</v>
      </c>
      <c r="J89" s="758">
        <f>SUMIFS('Project LAND'!L:L, 'Project LAND'!$B:$B, Dashboard!$B89)</f>
        <v>200</v>
      </c>
      <c r="K89" s="758">
        <f>SUMIFS('Project LAND'!M:M, 'Project LAND'!$B:$B, Dashboard!$B89)</f>
        <v>200</v>
      </c>
      <c r="L89" s="758">
        <f>SUMIFS('Project LAND'!N:N, 'Project LAND'!$B:$B, Dashboard!$B89)</f>
        <v>200</v>
      </c>
      <c r="M89" s="758">
        <f>SUMIFS('Project LAND'!O:O, 'Project LAND'!$B:$B, Dashboard!$B89)</f>
        <v>200</v>
      </c>
      <c r="N89" s="758">
        <f>SUMIFS('Project LAND'!P:P, 'Project LAND'!$B:$B, Dashboard!$B89)</f>
        <v>200</v>
      </c>
      <c r="O89" s="758">
        <f>SUMIFS('Project LAND'!Q:Q, 'Project LAND'!$B:$B, Dashboard!$B89)</f>
        <v>200</v>
      </c>
      <c r="P89" s="758">
        <f>SUMIFS('Project LAND'!R:R, 'Project LAND'!$B:$B, Dashboard!$B89)</f>
        <v>200</v>
      </c>
      <c r="Q89" s="758">
        <f>SUMIFS('Project LAND'!S:S, 'Project LAND'!$B:$B, Dashboard!$B89)</f>
        <v>200</v>
      </c>
      <c r="R89" s="759">
        <f>SUMIFS('Project LAND'!T:T, 'Project LAND'!$B:$B, Dashboard!$B89)</f>
        <v>200</v>
      </c>
      <c r="AL89" s="713"/>
      <c r="AM89" s="713"/>
      <c r="AN89" s="713"/>
      <c r="AO89" s="713"/>
      <c r="AP89" s="713"/>
      <c r="AQ89" s="713"/>
      <c r="AR89" s="713"/>
      <c r="AS89" s="713"/>
      <c r="AT89" s="713"/>
      <c r="AU89" s="713"/>
      <c r="AV89" s="713"/>
      <c r="AW89" s="713"/>
      <c r="AX89" s="713"/>
      <c r="AY89" s="713"/>
      <c r="AZ89" s="713"/>
      <c r="BA89" s="713"/>
      <c r="BB89" s="713"/>
    </row>
    <row r="90" spans="2:54">
      <c r="B90" s="680" t="s">
        <v>11</v>
      </c>
      <c r="C90" s="758">
        <f>SUMIFS('Project LAND'!E:E, 'Project LAND'!$B:$B, Dashboard!$B90)</f>
        <v>0</v>
      </c>
      <c r="D90" s="758">
        <f>SUMIFS('Project LAND'!F:F, 'Project LAND'!$B:$B, Dashboard!$B90)</f>
        <v>0</v>
      </c>
      <c r="E90" s="758">
        <f>SUMIFS('Project LAND'!G:G, 'Project LAND'!$B:$B, Dashboard!$B90)</f>
        <v>36</v>
      </c>
      <c r="F90" s="758">
        <f>SUMIFS('Project LAND'!H:H, 'Project LAND'!$B:$B, Dashboard!$B90)</f>
        <v>36</v>
      </c>
      <c r="G90" s="758">
        <f>SUMIFS('Project LAND'!I:I, 'Project LAND'!$B:$B, Dashboard!$B90)</f>
        <v>36</v>
      </c>
      <c r="H90" s="758">
        <f>SUMIFS('Project LAND'!J:J, 'Project LAND'!$B:$B, Dashboard!$B90)</f>
        <v>36</v>
      </c>
      <c r="I90" s="758">
        <f>SUMIFS('Project LAND'!K:K, 'Project LAND'!$B:$B, Dashboard!$B90)</f>
        <v>36</v>
      </c>
      <c r="J90" s="758">
        <f>SUMIFS('Project LAND'!L:L, 'Project LAND'!$B:$B, Dashboard!$B90)</f>
        <v>36</v>
      </c>
      <c r="K90" s="758">
        <f>SUMIFS('Project LAND'!M:M, 'Project LAND'!$B:$B, Dashboard!$B90)</f>
        <v>36</v>
      </c>
      <c r="L90" s="758">
        <f>SUMIFS('Project LAND'!N:N, 'Project LAND'!$B:$B, Dashboard!$B90)</f>
        <v>36</v>
      </c>
      <c r="M90" s="758">
        <f>SUMIFS('Project LAND'!O:O, 'Project LAND'!$B:$B, Dashboard!$B90)</f>
        <v>36</v>
      </c>
      <c r="N90" s="758">
        <f>SUMIFS('Project LAND'!P:P, 'Project LAND'!$B:$B, Dashboard!$B90)</f>
        <v>36</v>
      </c>
      <c r="O90" s="758">
        <f>SUMIFS('Project LAND'!Q:Q, 'Project LAND'!$B:$B, Dashboard!$B90)</f>
        <v>36</v>
      </c>
      <c r="P90" s="758">
        <f>SUMIFS('Project LAND'!R:R, 'Project LAND'!$B:$B, Dashboard!$B90)</f>
        <v>36</v>
      </c>
      <c r="Q90" s="758">
        <f>SUMIFS('Project LAND'!S:S, 'Project LAND'!$B:$B, Dashboard!$B90)</f>
        <v>36</v>
      </c>
      <c r="R90" s="759">
        <f>SUMIFS('Project LAND'!T:T, 'Project LAND'!$B:$B, Dashboard!$B90)</f>
        <v>36</v>
      </c>
      <c r="AL90" s="713"/>
      <c r="AM90" s="713"/>
      <c r="AN90" s="713"/>
      <c r="AO90" s="713"/>
      <c r="AP90" s="713"/>
      <c r="AQ90" s="713"/>
      <c r="AR90" s="713"/>
      <c r="AS90" s="713"/>
      <c r="AT90" s="713"/>
      <c r="AU90" s="713"/>
      <c r="AV90" s="713"/>
      <c r="AW90" s="713"/>
      <c r="AX90" s="713"/>
      <c r="AY90" s="713"/>
      <c r="AZ90" s="713"/>
      <c r="BA90" s="713"/>
      <c r="BB90" s="713"/>
    </row>
    <row r="91" spans="2:54">
      <c r="B91" s="681" t="s">
        <v>13</v>
      </c>
      <c r="C91" s="760">
        <f>SUMIFS('Project LAND'!E:E, 'Project LAND'!$B:$B, Dashboard!$B91)</f>
        <v>6</v>
      </c>
      <c r="D91" s="760">
        <f>SUMIFS('Project LAND'!F:F, 'Project LAND'!$B:$B, Dashboard!$B91)</f>
        <v>6</v>
      </c>
      <c r="E91" s="760">
        <f>SUMIFS('Project LAND'!G:G, 'Project LAND'!$B:$B, Dashboard!$B91)</f>
        <v>6</v>
      </c>
      <c r="F91" s="760">
        <f>SUMIFS('Project LAND'!H:H, 'Project LAND'!$B:$B, Dashboard!$B91)</f>
        <v>6</v>
      </c>
      <c r="G91" s="760">
        <f>SUMIFS('Project LAND'!I:I, 'Project LAND'!$B:$B, Dashboard!$B91)</f>
        <v>6</v>
      </c>
      <c r="H91" s="760">
        <f>SUMIFS('Project LAND'!J:J, 'Project LAND'!$B:$B, Dashboard!$B91)</f>
        <v>6</v>
      </c>
      <c r="I91" s="760">
        <f>SUMIFS('Project LAND'!K:K, 'Project LAND'!$B:$B, Dashboard!$B91)</f>
        <v>6</v>
      </c>
      <c r="J91" s="760">
        <f>SUMIFS('Project LAND'!L:L, 'Project LAND'!$B:$B, Dashboard!$B91)</f>
        <v>6</v>
      </c>
      <c r="K91" s="760">
        <f>SUMIFS('Project LAND'!M:M, 'Project LAND'!$B:$B, Dashboard!$B91)</f>
        <v>6</v>
      </c>
      <c r="L91" s="760">
        <f>SUMIFS('Project LAND'!N:N, 'Project LAND'!$B:$B, Dashboard!$B91)</f>
        <v>6</v>
      </c>
      <c r="M91" s="760">
        <f>SUMIFS('Project LAND'!O:O, 'Project LAND'!$B:$B, Dashboard!$B91)</f>
        <v>6</v>
      </c>
      <c r="N91" s="760">
        <f>SUMIFS('Project LAND'!P:P, 'Project LAND'!$B:$B, Dashboard!$B91)</f>
        <v>6</v>
      </c>
      <c r="O91" s="760">
        <f>SUMIFS('Project LAND'!Q:Q, 'Project LAND'!$B:$B, Dashboard!$B91)</f>
        <v>6</v>
      </c>
      <c r="P91" s="760">
        <f>SUMIFS('Project LAND'!R:R, 'Project LAND'!$B:$B, Dashboard!$B91)</f>
        <v>6</v>
      </c>
      <c r="Q91" s="760">
        <f>SUMIFS('Project LAND'!S:S, 'Project LAND'!$B:$B, Dashboard!$B91)</f>
        <v>6</v>
      </c>
      <c r="R91" s="761">
        <f>SUMIFS('Project LAND'!T:T, 'Project LAND'!$B:$B, Dashboard!$B91)</f>
        <v>6</v>
      </c>
      <c r="AL91" s="713"/>
      <c r="AM91" s="713"/>
      <c r="AN91" s="713"/>
      <c r="AO91" s="713"/>
      <c r="AP91" s="713"/>
      <c r="AQ91" s="713"/>
      <c r="AR91" s="713"/>
      <c r="AS91" s="713"/>
      <c r="AT91" s="713"/>
      <c r="AU91" s="713"/>
      <c r="AV91" s="713"/>
      <c r="AW91" s="713"/>
      <c r="AX91" s="713"/>
      <c r="AY91" s="713"/>
      <c r="AZ91" s="713"/>
      <c r="BA91" s="713"/>
      <c r="BB91" s="713"/>
    </row>
    <row r="92" spans="2:54">
      <c r="C92" s="717"/>
      <c r="AL92" s="713"/>
      <c r="AM92" s="713"/>
      <c r="AN92" s="713"/>
      <c r="AO92" s="713"/>
      <c r="AP92" s="713"/>
      <c r="AQ92" s="713"/>
      <c r="AR92" s="713"/>
      <c r="AS92" s="713"/>
      <c r="AT92" s="713"/>
      <c r="AU92" s="713"/>
      <c r="AV92" s="713"/>
      <c r="AW92" s="713"/>
      <c r="AX92" s="713"/>
      <c r="AY92" s="713"/>
      <c r="AZ92" s="713"/>
      <c r="BA92" s="713"/>
      <c r="BB92" s="713"/>
    </row>
    <row r="93" spans="2:54">
      <c r="AL93" s="713"/>
      <c r="AM93" s="713"/>
      <c r="AN93" s="713"/>
      <c r="AO93" s="713"/>
      <c r="AP93" s="713"/>
      <c r="AQ93" s="713"/>
      <c r="AR93" s="713"/>
      <c r="AS93" s="713"/>
      <c r="AT93" s="713"/>
      <c r="AU93" s="713"/>
      <c r="AV93" s="713"/>
      <c r="AW93" s="713"/>
      <c r="AX93" s="713"/>
      <c r="AY93" s="713"/>
      <c r="AZ93" s="713"/>
      <c r="BA93" s="713"/>
      <c r="BB93" s="713"/>
    </row>
    <row r="94" spans="2:54">
      <c r="AL94" s="713"/>
      <c r="AM94" s="713"/>
      <c r="AN94" s="713"/>
      <c r="AO94" s="713"/>
      <c r="AP94" s="713"/>
      <c r="AQ94" s="713"/>
      <c r="AR94" s="713"/>
      <c r="AS94" s="713"/>
      <c r="AT94" s="713"/>
      <c r="AU94" s="713"/>
      <c r="AV94" s="713"/>
      <c r="AW94" s="713"/>
      <c r="AX94" s="713"/>
      <c r="AY94" s="713"/>
      <c r="AZ94" s="713"/>
      <c r="BA94" s="713"/>
      <c r="BB94" s="713"/>
    </row>
    <row r="95" spans="2:54">
      <c r="AL95" s="713"/>
      <c r="AM95" s="713"/>
      <c r="AN95" s="713"/>
      <c r="AO95" s="713"/>
      <c r="AP95" s="713"/>
      <c r="AQ95" s="713"/>
      <c r="AR95" s="713"/>
      <c r="AS95" s="713"/>
      <c r="AT95" s="713"/>
      <c r="AU95" s="713"/>
      <c r="AV95" s="713"/>
      <c r="AW95" s="713"/>
      <c r="AX95" s="713"/>
      <c r="AY95" s="713"/>
      <c r="AZ95" s="713"/>
      <c r="BA95" s="713"/>
      <c r="BB95" s="713"/>
    </row>
    <row r="96" spans="2:54">
      <c r="AL96" s="713"/>
      <c r="AM96" s="713"/>
      <c r="AN96" s="713"/>
      <c r="AO96" s="713"/>
      <c r="AP96" s="713"/>
      <c r="AQ96" s="713"/>
      <c r="AR96" s="713"/>
      <c r="AS96" s="713"/>
      <c r="AT96" s="713"/>
      <c r="AU96" s="713"/>
      <c r="AV96" s="713"/>
      <c r="AW96" s="713"/>
      <c r="AX96" s="713"/>
      <c r="AY96" s="713"/>
      <c r="AZ96" s="713"/>
      <c r="BA96" s="713"/>
      <c r="BB96" s="713"/>
    </row>
    <row r="97" spans="38:54">
      <c r="AL97" s="713"/>
      <c r="AM97" s="713"/>
      <c r="AN97" s="713"/>
      <c r="AO97" s="713"/>
      <c r="AP97" s="713"/>
      <c r="AQ97" s="713"/>
      <c r="AR97" s="713"/>
      <c r="AS97" s="713"/>
      <c r="AT97" s="713"/>
      <c r="AU97" s="713"/>
      <c r="AV97" s="713"/>
      <c r="AW97" s="713"/>
      <c r="AX97" s="713"/>
      <c r="AY97" s="713"/>
      <c r="AZ97" s="713"/>
      <c r="BA97" s="713"/>
      <c r="BB97" s="713"/>
    </row>
    <row r="98" spans="38:54">
      <c r="AL98" s="713"/>
      <c r="AM98" s="713"/>
      <c r="AN98" s="713"/>
      <c r="AO98" s="713"/>
      <c r="AP98" s="713"/>
      <c r="AQ98" s="713"/>
      <c r="AR98" s="713"/>
      <c r="AS98" s="713"/>
      <c r="AT98" s="713"/>
      <c r="AU98" s="713"/>
      <c r="AV98" s="713"/>
      <c r="AW98" s="713"/>
      <c r="AX98" s="713"/>
      <c r="AY98" s="713"/>
      <c r="AZ98" s="713"/>
      <c r="BA98" s="713"/>
      <c r="BB98" s="713"/>
    </row>
    <row r="99" spans="38:54">
      <c r="AL99" s="713"/>
      <c r="AM99" s="713"/>
      <c r="AN99" s="713"/>
      <c r="AO99" s="713"/>
      <c r="AP99" s="713"/>
      <c r="AQ99" s="713"/>
      <c r="AR99" s="713"/>
      <c r="AS99" s="713"/>
      <c r="AT99" s="713"/>
      <c r="AU99" s="713"/>
      <c r="AV99" s="713"/>
      <c r="AW99" s="713"/>
      <c r="AX99" s="713"/>
      <c r="AY99" s="713"/>
      <c r="AZ99" s="713"/>
      <c r="BA99" s="713"/>
      <c r="BB99" s="713"/>
    </row>
    <row r="100" spans="38:54">
      <c r="AL100" s="713"/>
      <c r="AM100" s="713"/>
      <c r="AN100" s="713"/>
      <c r="AO100" s="713"/>
      <c r="AP100" s="713"/>
      <c r="AQ100" s="713"/>
      <c r="AR100" s="713"/>
      <c r="AS100" s="713"/>
      <c r="AT100" s="713"/>
      <c r="AU100" s="713"/>
      <c r="AV100" s="713"/>
      <c r="AW100" s="713"/>
      <c r="AX100" s="713"/>
      <c r="AY100" s="713"/>
      <c r="AZ100" s="713"/>
      <c r="BA100" s="713"/>
      <c r="BB100" s="713"/>
    </row>
    <row r="101" spans="38:54">
      <c r="AL101" s="713"/>
      <c r="AM101" s="713"/>
      <c r="AN101" s="713"/>
      <c r="AO101" s="713"/>
      <c r="AP101" s="713"/>
      <c r="AQ101" s="713"/>
      <c r="AR101" s="713"/>
      <c r="AS101" s="713"/>
      <c r="AT101" s="713"/>
      <c r="AU101" s="713"/>
      <c r="AV101" s="713"/>
      <c r="AW101" s="713"/>
      <c r="AX101" s="713"/>
      <c r="AY101" s="713"/>
      <c r="AZ101" s="713"/>
      <c r="BA101" s="713"/>
      <c r="BB101" s="713"/>
    </row>
    <row r="102" spans="38:54">
      <c r="AL102" s="713"/>
      <c r="AM102" s="713"/>
      <c r="AN102" s="713"/>
      <c r="AO102" s="713"/>
      <c r="AP102" s="713"/>
      <c r="AQ102" s="713"/>
      <c r="AR102" s="713"/>
      <c r="AS102" s="713"/>
      <c r="AT102" s="713"/>
      <c r="AU102" s="713"/>
      <c r="AV102" s="713"/>
      <c r="AW102" s="713"/>
      <c r="AX102" s="713"/>
      <c r="AY102" s="713"/>
      <c r="AZ102" s="713"/>
      <c r="BA102" s="713"/>
      <c r="BB102" s="713"/>
    </row>
    <row r="103" spans="38:54">
      <c r="AL103" s="713"/>
      <c r="AM103" s="713"/>
      <c r="AN103" s="713"/>
      <c r="AO103" s="713"/>
      <c r="AP103" s="713"/>
      <c r="AQ103" s="713"/>
      <c r="AR103" s="713"/>
      <c r="AS103" s="713"/>
      <c r="AT103" s="713"/>
      <c r="AU103" s="713"/>
      <c r="AV103" s="713"/>
      <c r="AW103" s="713"/>
      <c r="AX103" s="713"/>
      <c r="AY103" s="713"/>
      <c r="AZ103" s="713"/>
      <c r="BA103" s="713"/>
      <c r="BB103" s="713"/>
    </row>
    <row r="104" spans="38:54">
      <c r="AL104" s="713"/>
      <c r="AM104" s="713"/>
      <c r="AN104" s="713"/>
      <c r="AO104" s="713"/>
      <c r="AP104" s="713"/>
      <c r="AQ104" s="713"/>
      <c r="AR104" s="713"/>
      <c r="AS104" s="713"/>
      <c r="AT104" s="713"/>
      <c r="AU104" s="713"/>
      <c r="AV104" s="713"/>
      <c r="AW104" s="713"/>
      <c r="AX104" s="713"/>
      <c r="AY104" s="713"/>
      <c r="AZ104" s="713"/>
      <c r="BA104" s="713"/>
      <c r="BB104" s="713"/>
    </row>
    <row r="105" spans="38:54">
      <c r="AL105" s="713"/>
      <c r="AM105" s="713"/>
      <c r="AN105" s="713"/>
      <c r="AO105" s="713"/>
      <c r="AP105" s="713"/>
      <c r="AQ105" s="713"/>
      <c r="AR105" s="713"/>
      <c r="AS105" s="713"/>
      <c r="AT105" s="713"/>
      <c r="AU105" s="713"/>
      <c r="AV105" s="713"/>
      <c r="AW105" s="713"/>
      <c r="AX105" s="713"/>
      <c r="AY105" s="713"/>
      <c r="AZ105" s="713"/>
      <c r="BA105" s="713"/>
      <c r="BB105" s="713"/>
    </row>
    <row r="106" spans="38:54">
      <c r="AL106" s="713"/>
      <c r="AM106" s="713"/>
      <c r="AN106" s="713"/>
      <c r="AO106" s="713"/>
      <c r="AP106" s="713"/>
      <c r="AQ106" s="713"/>
      <c r="AR106" s="713"/>
      <c r="AS106" s="713"/>
      <c r="AT106" s="713"/>
      <c r="AU106" s="713"/>
      <c r="AV106" s="713"/>
      <c r="AW106" s="713"/>
      <c r="AX106" s="713"/>
      <c r="AY106" s="713"/>
      <c r="AZ106" s="713"/>
      <c r="BA106" s="713"/>
      <c r="BB106" s="713"/>
    </row>
  </sheetData>
  <mergeCells count="28">
    <mergeCell ref="I24:K25"/>
    <mergeCell ref="L26:N26"/>
    <mergeCell ref="L27:N28"/>
    <mergeCell ref="U53:AJ64"/>
    <mergeCell ref="C53:R64"/>
    <mergeCell ref="O27:Q28"/>
    <mergeCell ref="F26:H26"/>
    <mergeCell ref="C26:E26"/>
    <mergeCell ref="C27:E28"/>
    <mergeCell ref="F27:H28"/>
    <mergeCell ref="I26:K26"/>
    <mergeCell ref="I27:K28"/>
    <mergeCell ref="C3:R14"/>
    <mergeCell ref="C32:R43"/>
    <mergeCell ref="U3:AJ14"/>
    <mergeCell ref="AM3:BB14"/>
    <mergeCell ref="U32:AJ43"/>
    <mergeCell ref="AM34:BB43"/>
    <mergeCell ref="L23:N23"/>
    <mergeCell ref="L24:N25"/>
    <mergeCell ref="O23:Q23"/>
    <mergeCell ref="O24:Q25"/>
    <mergeCell ref="O26:Q26"/>
    <mergeCell ref="C23:E23"/>
    <mergeCell ref="F23:H23"/>
    <mergeCell ref="C24:E25"/>
    <mergeCell ref="F24:H25"/>
    <mergeCell ref="I23:K2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71FBB4-46AB-4827-8602-35AF753599CA}">
          <x14:formula1>
            <xm:f>'Project List References'!$B$16:$B$17</xm:f>
          </x14:formula1>
          <xm:sqref>U26:AJ26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9B91-A53D-4B2D-9694-15C63A62E383}">
  <sheetPr>
    <tabColor rgb="FFC00000"/>
  </sheetPr>
  <dimension ref="A1:Y64"/>
  <sheetViews>
    <sheetView workbookViewId="0">
      <selection activeCell="D14" sqref="D14"/>
    </sheetView>
  </sheetViews>
  <sheetFormatPr baseColWidth="10" defaultColWidth="9.1640625" defaultRowHeight="15"/>
  <cols>
    <col min="1" max="1" width="30.1640625" style="655" customWidth="1"/>
    <col min="2" max="4" width="23" style="655" customWidth="1"/>
    <col min="5" max="6" width="18.5" style="655" customWidth="1"/>
    <col min="7" max="7" width="20.83203125" style="655" hidden="1" customWidth="1"/>
    <col min="8" max="8" width="24.1640625" style="655" hidden="1" customWidth="1"/>
    <col min="9" max="9" width="13.83203125" style="655" customWidth="1"/>
    <col min="10" max="16384" width="9.1640625" style="655"/>
  </cols>
  <sheetData>
    <row r="1" spans="1:25" ht="27">
      <c r="A1" s="656" t="s">
        <v>40</v>
      </c>
      <c r="B1" s="656"/>
      <c r="C1" s="656"/>
      <c r="D1" s="656"/>
      <c r="E1" s="656"/>
      <c r="F1" s="656"/>
      <c r="G1" s="656"/>
      <c r="H1" s="656"/>
      <c r="I1" s="656"/>
      <c r="J1" s="801" t="s">
        <v>41</v>
      </c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</row>
    <row r="2" spans="1:25">
      <c r="A2" s="655" t="s">
        <v>42</v>
      </c>
      <c r="B2" s="756" t="s">
        <v>43</v>
      </c>
      <c r="C2" s="756" t="s">
        <v>44</v>
      </c>
      <c r="D2" s="655" t="s">
        <v>45</v>
      </c>
      <c r="E2" s="655" t="s">
        <v>46</v>
      </c>
      <c r="F2" s="655" t="s">
        <v>47</v>
      </c>
      <c r="G2" s="655" t="s">
        <v>48</v>
      </c>
      <c r="H2" s="655" t="s">
        <v>49</v>
      </c>
      <c r="I2" s="655" t="s">
        <v>50</v>
      </c>
      <c r="J2" s="655">
        <v>0</v>
      </c>
      <c r="K2" s="655">
        <v>1</v>
      </c>
      <c r="L2" s="655">
        <v>2</v>
      </c>
      <c r="M2" s="655">
        <v>3</v>
      </c>
      <c r="N2" s="655">
        <v>4</v>
      </c>
      <c r="O2" s="655">
        <v>5</v>
      </c>
      <c r="P2" s="655">
        <v>6</v>
      </c>
      <c r="Q2" s="655">
        <v>7</v>
      </c>
      <c r="R2" s="655">
        <v>8</v>
      </c>
      <c r="S2" s="655">
        <v>9</v>
      </c>
      <c r="T2" s="655">
        <v>10</v>
      </c>
      <c r="U2" s="655">
        <v>11</v>
      </c>
      <c r="V2" s="655">
        <v>12</v>
      </c>
      <c r="W2" s="655">
        <v>13</v>
      </c>
      <c r="X2" s="655">
        <v>14</v>
      </c>
      <c r="Y2" s="655">
        <v>15</v>
      </c>
    </row>
    <row r="3" spans="1:25">
      <c r="A3" s="655">
        <v>1</v>
      </c>
      <c r="D3" s="655" t="s">
        <v>9</v>
      </c>
      <c r="E3" s="655">
        <v>400</v>
      </c>
      <c r="G3" s="659">
        <v>0</v>
      </c>
      <c r="H3" s="659">
        <f>1-G3</f>
        <v>1</v>
      </c>
      <c r="I3" s="655">
        <v>1</v>
      </c>
      <c r="J3" s="655">
        <f>IF($I3&gt;J$2, 0, 1)</f>
        <v>0</v>
      </c>
      <c r="K3" s="655">
        <f t="shared" ref="K3:Y18" si="0">IF($I3&gt;K$2, 0, 1)</f>
        <v>1</v>
      </c>
      <c r="L3" s="655">
        <f t="shared" si="0"/>
        <v>1</v>
      </c>
      <c r="M3" s="655">
        <f t="shared" si="0"/>
        <v>1</v>
      </c>
      <c r="N3" s="655">
        <f t="shared" si="0"/>
        <v>1</v>
      </c>
      <c r="O3" s="655">
        <f t="shared" si="0"/>
        <v>1</v>
      </c>
      <c r="P3" s="655">
        <f t="shared" si="0"/>
        <v>1</v>
      </c>
      <c r="Q3" s="655">
        <f t="shared" si="0"/>
        <v>1</v>
      </c>
      <c r="R3" s="655">
        <f t="shared" si="0"/>
        <v>1</v>
      </c>
      <c r="S3" s="655">
        <f t="shared" si="0"/>
        <v>1</v>
      </c>
      <c r="T3" s="655">
        <f t="shared" si="0"/>
        <v>1</v>
      </c>
      <c r="U3" s="655">
        <f t="shared" si="0"/>
        <v>1</v>
      </c>
      <c r="V3" s="655">
        <f t="shared" si="0"/>
        <v>1</v>
      </c>
      <c r="W3" s="655">
        <f t="shared" si="0"/>
        <v>1</v>
      </c>
      <c r="X3" s="655">
        <f t="shared" si="0"/>
        <v>1</v>
      </c>
      <c r="Y3" s="655">
        <f t="shared" si="0"/>
        <v>1</v>
      </c>
    </row>
    <row r="4" spans="1:25">
      <c r="A4" s="655">
        <v>2</v>
      </c>
      <c r="D4" s="655" t="s">
        <v>7</v>
      </c>
      <c r="E4" s="655">
        <v>50</v>
      </c>
      <c r="G4" s="659">
        <v>0</v>
      </c>
      <c r="H4" s="659">
        <f t="shared" ref="H4:H22" si="1">1-G4</f>
        <v>1</v>
      </c>
      <c r="I4" s="655">
        <v>1</v>
      </c>
      <c r="J4" s="655">
        <f t="shared" ref="J4:Y22" si="2">IF($I4&gt;J$2, 0, 1)</f>
        <v>0</v>
      </c>
      <c r="K4" s="655">
        <f t="shared" si="0"/>
        <v>1</v>
      </c>
      <c r="L4" s="655">
        <f t="shared" si="0"/>
        <v>1</v>
      </c>
      <c r="M4" s="655">
        <f t="shared" si="0"/>
        <v>1</v>
      </c>
      <c r="N4" s="655">
        <f t="shared" si="0"/>
        <v>1</v>
      </c>
      <c r="O4" s="655">
        <f t="shared" si="0"/>
        <v>1</v>
      </c>
      <c r="P4" s="655">
        <f t="shared" si="0"/>
        <v>1</v>
      </c>
      <c r="Q4" s="655">
        <f t="shared" si="0"/>
        <v>1</v>
      </c>
      <c r="R4" s="655">
        <f t="shared" si="0"/>
        <v>1</v>
      </c>
      <c r="S4" s="655">
        <f t="shared" si="0"/>
        <v>1</v>
      </c>
      <c r="T4" s="655">
        <f t="shared" si="0"/>
        <v>1</v>
      </c>
      <c r="U4" s="655">
        <f t="shared" si="0"/>
        <v>1</v>
      </c>
      <c r="V4" s="655">
        <f t="shared" si="0"/>
        <v>1</v>
      </c>
      <c r="W4" s="655">
        <f t="shared" si="0"/>
        <v>1</v>
      </c>
      <c r="X4" s="655">
        <f t="shared" si="0"/>
        <v>1</v>
      </c>
      <c r="Y4" s="655">
        <f t="shared" si="0"/>
        <v>1</v>
      </c>
    </row>
    <row r="5" spans="1:25">
      <c r="A5" s="655">
        <v>3</v>
      </c>
      <c r="D5" s="655" t="s">
        <v>11</v>
      </c>
      <c r="F5" s="655">
        <v>36</v>
      </c>
      <c r="G5" s="659">
        <v>0</v>
      </c>
      <c r="H5" s="659">
        <f t="shared" si="1"/>
        <v>1</v>
      </c>
      <c r="I5" s="655">
        <v>2</v>
      </c>
      <c r="J5" s="655">
        <f t="shared" si="2"/>
        <v>0</v>
      </c>
      <c r="K5" s="655">
        <f t="shared" si="0"/>
        <v>0</v>
      </c>
      <c r="L5" s="655">
        <f t="shared" si="0"/>
        <v>1</v>
      </c>
      <c r="M5" s="655">
        <f t="shared" si="0"/>
        <v>1</v>
      </c>
      <c r="N5" s="655">
        <f t="shared" si="0"/>
        <v>1</v>
      </c>
      <c r="O5" s="655">
        <f t="shared" si="0"/>
        <v>1</v>
      </c>
      <c r="P5" s="655">
        <f t="shared" si="0"/>
        <v>1</v>
      </c>
      <c r="Q5" s="655">
        <f t="shared" si="0"/>
        <v>1</v>
      </c>
      <c r="R5" s="655">
        <f t="shared" si="0"/>
        <v>1</v>
      </c>
      <c r="S5" s="655">
        <f t="shared" si="0"/>
        <v>1</v>
      </c>
      <c r="T5" s="655">
        <f t="shared" si="0"/>
        <v>1</v>
      </c>
      <c r="U5" s="655">
        <f t="shared" si="0"/>
        <v>1</v>
      </c>
      <c r="V5" s="655">
        <f t="shared" si="0"/>
        <v>1</v>
      </c>
      <c r="W5" s="655">
        <f t="shared" si="0"/>
        <v>1</v>
      </c>
      <c r="X5" s="655">
        <f t="shared" si="0"/>
        <v>1</v>
      </c>
      <c r="Y5" s="655">
        <f t="shared" si="0"/>
        <v>1</v>
      </c>
    </row>
    <row r="6" spans="1:25">
      <c r="A6" s="655">
        <v>4</v>
      </c>
      <c r="D6" s="655" t="s">
        <v>13</v>
      </c>
      <c r="F6" s="655">
        <v>6</v>
      </c>
      <c r="G6" s="659">
        <v>0</v>
      </c>
      <c r="H6" s="659">
        <f t="shared" si="1"/>
        <v>1</v>
      </c>
      <c r="I6" s="655">
        <v>0</v>
      </c>
      <c r="J6" s="655">
        <f t="shared" si="2"/>
        <v>1</v>
      </c>
      <c r="K6" s="655">
        <f t="shared" si="0"/>
        <v>1</v>
      </c>
      <c r="L6" s="655">
        <v>1</v>
      </c>
      <c r="M6" s="655">
        <v>1</v>
      </c>
      <c r="N6" s="655">
        <f t="shared" si="0"/>
        <v>1</v>
      </c>
      <c r="O6" s="655">
        <f t="shared" si="0"/>
        <v>1</v>
      </c>
      <c r="P6" s="655">
        <f t="shared" si="0"/>
        <v>1</v>
      </c>
      <c r="Q6" s="655">
        <f t="shared" si="0"/>
        <v>1</v>
      </c>
      <c r="R6" s="655">
        <f t="shared" si="0"/>
        <v>1</v>
      </c>
      <c r="S6" s="655">
        <f t="shared" si="0"/>
        <v>1</v>
      </c>
      <c r="T6" s="655">
        <f t="shared" si="0"/>
        <v>1</v>
      </c>
      <c r="U6" s="655">
        <f t="shared" si="0"/>
        <v>1</v>
      </c>
      <c r="V6" s="655">
        <f t="shared" si="0"/>
        <v>1</v>
      </c>
      <c r="W6" s="655">
        <f t="shared" si="0"/>
        <v>1</v>
      </c>
      <c r="X6" s="655">
        <f t="shared" si="0"/>
        <v>1</v>
      </c>
      <c r="Y6" s="655">
        <f t="shared" si="0"/>
        <v>1</v>
      </c>
    </row>
    <row r="7" spans="1:25">
      <c r="A7" s="655">
        <v>5</v>
      </c>
      <c r="D7" s="655" t="s">
        <v>6</v>
      </c>
      <c r="E7" s="655">
        <v>70</v>
      </c>
      <c r="G7" s="659">
        <v>0</v>
      </c>
      <c r="H7" s="659">
        <f t="shared" si="1"/>
        <v>1</v>
      </c>
      <c r="I7" s="655">
        <v>0</v>
      </c>
      <c r="J7" s="655">
        <f t="shared" si="2"/>
        <v>1</v>
      </c>
      <c r="K7" s="655">
        <f t="shared" si="0"/>
        <v>1</v>
      </c>
      <c r="L7" s="655">
        <f t="shared" si="0"/>
        <v>1</v>
      </c>
      <c r="M7" s="655">
        <f t="shared" si="0"/>
        <v>1</v>
      </c>
      <c r="N7" s="655">
        <f t="shared" si="0"/>
        <v>1</v>
      </c>
      <c r="O7" s="655">
        <f t="shared" si="0"/>
        <v>1</v>
      </c>
      <c r="P7" s="655">
        <f t="shared" si="0"/>
        <v>1</v>
      </c>
      <c r="Q7" s="655">
        <f t="shared" si="0"/>
        <v>1</v>
      </c>
      <c r="R7" s="655">
        <f t="shared" si="0"/>
        <v>1</v>
      </c>
      <c r="S7" s="655">
        <f t="shared" si="0"/>
        <v>1</v>
      </c>
      <c r="T7" s="655">
        <f t="shared" si="0"/>
        <v>1</v>
      </c>
      <c r="U7" s="655">
        <f t="shared" si="0"/>
        <v>1</v>
      </c>
      <c r="V7" s="655">
        <f t="shared" si="0"/>
        <v>1</v>
      </c>
      <c r="W7" s="655">
        <f t="shared" si="0"/>
        <v>1</v>
      </c>
      <c r="X7" s="655">
        <f t="shared" si="0"/>
        <v>1</v>
      </c>
      <c r="Y7" s="655">
        <f t="shared" si="0"/>
        <v>1</v>
      </c>
    </row>
    <row r="8" spans="1:25">
      <c r="G8" s="659"/>
      <c r="H8" s="659"/>
      <c r="J8" s="655">
        <f t="shared" si="2"/>
        <v>1</v>
      </c>
      <c r="K8" s="655">
        <f t="shared" si="0"/>
        <v>1</v>
      </c>
      <c r="L8" s="655">
        <f t="shared" si="0"/>
        <v>1</v>
      </c>
      <c r="M8" s="655">
        <f t="shared" si="0"/>
        <v>1</v>
      </c>
      <c r="N8" s="655">
        <f t="shared" si="0"/>
        <v>1</v>
      </c>
      <c r="O8" s="655">
        <f t="shared" si="0"/>
        <v>1</v>
      </c>
      <c r="P8" s="655">
        <f t="shared" si="0"/>
        <v>1</v>
      </c>
      <c r="Q8" s="655">
        <f t="shared" si="0"/>
        <v>1</v>
      </c>
      <c r="R8" s="655">
        <f t="shared" si="0"/>
        <v>1</v>
      </c>
      <c r="S8" s="655">
        <f t="shared" si="0"/>
        <v>1</v>
      </c>
      <c r="T8" s="655">
        <f t="shared" si="0"/>
        <v>1</v>
      </c>
      <c r="U8" s="655">
        <f t="shared" si="0"/>
        <v>1</v>
      </c>
      <c r="V8" s="655">
        <f t="shared" si="0"/>
        <v>1</v>
      </c>
      <c r="W8" s="655">
        <f t="shared" si="0"/>
        <v>1</v>
      </c>
      <c r="X8" s="655">
        <f t="shared" si="0"/>
        <v>1</v>
      </c>
      <c r="Y8" s="655">
        <f t="shared" si="0"/>
        <v>1</v>
      </c>
    </row>
    <row r="9" spans="1:25">
      <c r="A9" s="655">
        <v>7</v>
      </c>
      <c r="D9" s="655" t="s">
        <v>4</v>
      </c>
      <c r="E9" s="655">
        <v>100</v>
      </c>
      <c r="G9" s="659">
        <v>0</v>
      </c>
      <c r="H9" s="659">
        <f t="shared" si="1"/>
        <v>1</v>
      </c>
      <c r="I9" s="655">
        <v>1</v>
      </c>
      <c r="J9" s="655">
        <f t="shared" si="2"/>
        <v>0</v>
      </c>
      <c r="K9" s="655">
        <f t="shared" si="0"/>
        <v>1</v>
      </c>
      <c r="L9" s="655">
        <f t="shared" si="0"/>
        <v>1</v>
      </c>
      <c r="M9" s="655">
        <f t="shared" si="0"/>
        <v>1</v>
      </c>
      <c r="N9" s="655">
        <f t="shared" si="0"/>
        <v>1</v>
      </c>
      <c r="O9" s="655">
        <f t="shared" si="0"/>
        <v>1</v>
      </c>
      <c r="P9" s="655">
        <f t="shared" si="0"/>
        <v>1</v>
      </c>
      <c r="Q9" s="655">
        <f t="shared" si="0"/>
        <v>1</v>
      </c>
      <c r="R9" s="655">
        <f t="shared" si="0"/>
        <v>1</v>
      </c>
      <c r="S9" s="655">
        <f t="shared" si="0"/>
        <v>1</v>
      </c>
      <c r="T9" s="655">
        <f t="shared" si="0"/>
        <v>1</v>
      </c>
      <c r="U9" s="655">
        <f t="shared" si="0"/>
        <v>1</v>
      </c>
      <c r="V9" s="655">
        <f t="shared" si="0"/>
        <v>1</v>
      </c>
      <c r="W9" s="655">
        <f t="shared" si="0"/>
        <v>1</v>
      </c>
      <c r="X9" s="655">
        <f t="shared" si="0"/>
        <v>1</v>
      </c>
      <c r="Y9" s="655">
        <f t="shared" si="0"/>
        <v>1</v>
      </c>
    </row>
    <row r="10" spans="1:25">
      <c r="G10" s="659">
        <v>0</v>
      </c>
      <c r="H10" s="659">
        <f t="shared" si="1"/>
        <v>1</v>
      </c>
      <c r="J10" s="655">
        <f t="shared" si="2"/>
        <v>1</v>
      </c>
      <c r="K10" s="655">
        <f t="shared" si="0"/>
        <v>1</v>
      </c>
      <c r="L10" s="655">
        <f t="shared" si="0"/>
        <v>1</v>
      </c>
      <c r="M10" s="655">
        <f t="shared" si="0"/>
        <v>1</v>
      </c>
      <c r="N10" s="655">
        <f t="shared" si="0"/>
        <v>1</v>
      </c>
      <c r="O10" s="655">
        <f t="shared" si="0"/>
        <v>1</v>
      </c>
      <c r="P10" s="655">
        <f t="shared" si="0"/>
        <v>1</v>
      </c>
      <c r="Q10" s="655">
        <f t="shared" si="0"/>
        <v>1</v>
      </c>
      <c r="R10" s="655">
        <f t="shared" si="0"/>
        <v>1</v>
      </c>
      <c r="S10" s="655">
        <f t="shared" si="0"/>
        <v>1</v>
      </c>
      <c r="T10" s="655">
        <f t="shared" si="0"/>
        <v>1</v>
      </c>
      <c r="U10" s="655">
        <f t="shared" si="0"/>
        <v>1</v>
      </c>
      <c r="V10" s="655">
        <f t="shared" si="0"/>
        <v>1</v>
      </c>
      <c r="W10" s="655">
        <f t="shared" si="0"/>
        <v>1</v>
      </c>
      <c r="X10" s="655">
        <f t="shared" si="0"/>
        <v>1</v>
      </c>
      <c r="Y10" s="655">
        <f t="shared" si="0"/>
        <v>1</v>
      </c>
    </row>
    <row r="11" spans="1:25">
      <c r="G11" s="659">
        <v>0</v>
      </c>
      <c r="H11" s="659">
        <f t="shared" ref="H11:H12" si="3">1-G11</f>
        <v>1</v>
      </c>
      <c r="J11" s="655">
        <f t="shared" si="2"/>
        <v>1</v>
      </c>
      <c r="K11" s="655">
        <f t="shared" si="0"/>
        <v>1</v>
      </c>
      <c r="L11" s="655">
        <f t="shared" si="0"/>
        <v>1</v>
      </c>
      <c r="M11" s="655">
        <f t="shared" si="0"/>
        <v>1</v>
      </c>
      <c r="N11" s="655">
        <f t="shared" si="0"/>
        <v>1</v>
      </c>
      <c r="O11" s="655">
        <f t="shared" si="0"/>
        <v>1</v>
      </c>
      <c r="P11" s="655">
        <f t="shared" si="0"/>
        <v>1</v>
      </c>
      <c r="Q11" s="655">
        <f t="shared" si="0"/>
        <v>1</v>
      </c>
      <c r="R11" s="655">
        <f t="shared" si="0"/>
        <v>1</v>
      </c>
      <c r="S11" s="655">
        <f t="shared" si="0"/>
        <v>1</v>
      </c>
      <c r="T11" s="655">
        <f t="shared" si="0"/>
        <v>1</v>
      </c>
      <c r="U11" s="655">
        <f t="shared" si="0"/>
        <v>1</v>
      </c>
      <c r="V11" s="655">
        <f t="shared" si="0"/>
        <v>1</v>
      </c>
      <c r="W11" s="655">
        <f t="shared" si="0"/>
        <v>1</v>
      </c>
      <c r="X11" s="655">
        <f t="shared" si="0"/>
        <v>1</v>
      </c>
      <c r="Y11" s="655">
        <f t="shared" si="0"/>
        <v>1</v>
      </c>
    </row>
    <row r="12" spans="1:25">
      <c r="G12" s="659">
        <v>0</v>
      </c>
      <c r="H12" s="659">
        <f t="shared" si="3"/>
        <v>1</v>
      </c>
      <c r="J12" s="655">
        <f t="shared" si="2"/>
        <v>1</v>
      </c>
      <c r="K12" s="655">
        <f t="shared" si="0"/>
        <v>1</v>
      </c>
      <c r="L12" s="655">
        <f t="shared" si="0"/>
        <v>1</v>
      </c>
      <c r="M12" s="655">
        <f t="shared" si="0"/>
        <v>1</v>
      </c>
      <c r="N12" s="655">
        <f t="shared" si="0"/>
        <v>1</v>
      </c>
      <c r="O12" s="655">
        <f t="shared" si="0"/>
        <v>1</v>
      </c>
      <c r="P12" s="655">
        <f t="shared" si="0"/>
        <v>1</v>
      </c>
      <c r="Q12" s="655">
        <f t="shared" si="0"/>
        <v>1</v>
      </c>
      <c r="R12" s="655">
        <f t="shared" si="0"/>
        <v>1</v>
      </c>
      <c r="S12" s="655">
        <f t="shared" si="0"/>
        <v>1</v>
      </c>
      <c r="T12" s="655">
        <f t="shared" si="0"/>
        <v>1</v>
      </c>
      <c r="U12" s="655">
        <f t="shared" si="0"/>
        <v>1</v>
      </c>
      <c r="V12" s="655">
        <f t="shared" si="0"/>
        <v>1</v>
      </c>
      <c r="W12" s="655">
        <f t="shared" si="0"/>
        <v>1</v>
      </c>
      <c r="X12" s="655">
        <f t="shared" si="0"/>
        <v>1</v>
      </c>
      <c r="Y12" s="655">
        <f t="shared" si="0"/>
        <v>1</v>
      </c>
    </row>
    <row r="13" spans="1:25">
      <c r="G13" s="659">
        <v>0</v>
      </c>
      <c r="H13" s="659">
        <f t="shared" ref="H13" si="4">1-G13</f>
        <v>1</v>
      </c>
      <c r="J13" s="655">
        <f t="shared" si="2"/>
        <v>1</v>
      </c>
      <c r="K13" s="655">
        <f t="shared" si="0"/>
        <v>1</v>
      </c>
      <c r="L13" s="655">
        <f t="shared" si="0"/>
        <v>1</v>
      </c>
      <c r="M13" s="655">
        <f t="shared" si="0"/>
        <v>1</v>
      </c>
      <c r="N13" s="655">
        <f t="shared" si="0"/>
        <v>1</v>
      </c>
      <c r="O13" s="655">
        <f t="shared" si="0"/>
        <v>1</v>
      </c>
      <c r="P13" s="655">
        <f t="shared" si="0"/>
        <v>1</v>
      </c>
      <c r="Q13" s="655">
        <f t="shared" si="0"/>
        <v>1</v>
      </c>
      <c r="R13" s="655">
        <f t="shared" si="0"/>
        <v>1</v>
      </c>
      <c r="S13" s="655">
        <f t="shared" si="0"/>
        <v>1</v>
      </c>
      <c r="T13" s="655">
        <f t="shared" si="0"/>
        <v>1</v>
      </c>
      <c r="U13" s="655">
        <f t="shared" si="0"/>
        <v>1</v>
      </c>
      <c r="V13" s="655">
        <f t="shared" si="0"/>
        <v>1</v>
      </c>
      <c r="W13" s="655">
        <f t="shared" si="0"/>
        <v>1</v>
      </c>
      <c r="X13" s="655">
        <f t="shared" si="0"/>
        <v>1</v>
      </c>
      <c r="Y13" s="655">
        <f t="shared" si="0"/>
        <v>1</v>
      </c>
    </row>
    <row r="14" spans="1:25">
      <c r="G14" s="659"/>
      <c r="H14" s="659"/>
      <c r="J14" s="655">
        <f t="shared" si="2"/>
        <v>1</v>
      </c>
      <c r="K14" s="655">
        <f t="shared" si="0"/>
        <v>1</v>
      </c>
      <c r="L14" s="655">
        <f t="shared" si="0"/>
        <v>1</v>
      </c>
      <c r="M14" s="655">
        <f t="shared" si="0"/>
        <v>1</v>
      </c>
      <c r="N14" s="655">
        <f t="shared" si="0"/>
        <v>1</v>
      </c>
      <c r="O14" s="655">
        <f t="shared" si="0"/>
        <v>1</v>
      </c>
      <c r="P14" s="655">
        <f t="shared" si="0"/>
        <v>1</v>
      </c>
      <c r="Q14" s="655">
        <f t="shared" si="0"/>
        <v>1</v>
      </c>
      <c r="R14" s="655">
        <f t="shared" si="0"/>
        <v>1</v>
      </c>
      <c r="S14" s="655">
        <f t="shared" si="0"/>
        <v>1</v>
      </c>
      <c r="T14" s="655">
        <f t="shared" si="0"/>
        <v>1</v>
      </c>
      <c r="U14" s="655">
        <f t="shared" si="0"/>
        <v>1</v>
      </c>
      <c r="V14" s="655">
        <f t="shared" si="0"/>
        <v>1</v>
      </c>
      <c r="W14" s="655">
        <f t="shared" si="0"/>
        <v>1</v>
      </c>
      <c r="X14" s="655">
        <f t="shared" si="0"/>
        <v>1</v>
      </c>
      <c r="Y14" s="655">
        <f t="shared" si="0"/>
        <v>1</v>
      </c>
    </row>
    <row r="15" spans="1:25">
      <c r="G15" s="659"/>
      <c r="H15" s="659"/>
      <c r="J15" s="655">
        <f t="shared" si="2"/>
        <v>1</v>
      </c>
      <c r="K15" s="655">
        <f t="shared" si="0"/>
        <v>1</v>
      </c>
      <c r="L15" s="655">
        <f t="shared" si="0"/>
        <v>1</v>
      </c>
      <c r="M15" s="655">
        <f t="shared" si="0"/>
        <v>1</v>
      </c>
      <c r="N15" s="655">
        <f t="shared" si="0"/>
        <v>1</v>
      </c>
      <c r="O15" s="655">
        <f t="shared" si="0"/>
        <v>1</v>
      </c>
      <c r="P15" s="655">
        <f t="shared" si="0"/>
        <v>1</v>
      </c>
      <c r="Q15" s="655">
        <f t="shared" si="0"/>
        <v>1</v>
      </c>
      <c r="R15" s="655">
        <f t="shared" si="0"/>
        <v>1</v>
      </c>
      <c r="S15" s="655">
        <f t="shared" si="0"/>
        <v>1</v>
      </c>
      <c r="T15" s="655">
        <f t="shared" si="0"/>
        <v>1</v>
      </c>
      <c r="U15" s="655">
        <f t="shared" si="0"/>
        <v>1</v>
      </c>
      <c r="V15" s="655">
        <f t="shared" si="0"/>
        <v>1</v>
      </c>
      <c r="W15" s="655">
        <f t="shared" si="0"/>
        <v>1</v>
      </c>
      <c r="X15" s="655">
        <f t="shared" si="0"/>
        <v>1</v>
      </c>
      <c r="Y15" s="655">
        <f t="shared" si="0"/>
        <v>1</v>
      </c>
    </row>
    <row r="16" spans="1:25">
      <c r="G16" s="659"/>
      <c r="H16" s="659"/>
      <c r="J16" s="655">
        <f t="shared" si="2"/>
        <v>1</v>
      </c>
      <c r="K16" s="655">
        <f t="shared" si="0"/>
        <v>1</v>
      </c>
      <c r="L16" s="655">
        <f t="shared" si="0"/>
        <v>1</v>
      </c>
      <c r="M16" s="655">
        <f t="shared" si="0"/>
        <v>1</v>
      </c>
      <c r="N16" s="655">
        <f t="shared" si="0"/>
        <v>1</v>
      </c>
      <c r="O16" s="655">
        <f t="shared" si="0"/>
        <v>1</v>
      </c>
      <c r="P16" s="655">
        <f t="shared" si="0"/>
        <v>1</v>
      </c>
      <c r="Q16" s="655">
        <f t="shared" si="0"/>
        <v>1</v>
      </c>
      <c r="R16" s="655">
        <f t="shared" si="0"/>
        <v>1</v>
      </c>
      <c r="S16" s="655">
        <f t="shared" si="0"/>
        <v>1</v>
      </c>
      <c r="T16" s="655">
        <f t="shared" si="0"/>
        <v>1</v>
      </c>
      <c r="U16" s="655">
        <f t="shared" si="0"/>
        <v>1</v>
      </c>
      <c r="V16" s="655">
        <f t="shared" si="0"/>
        <v>1</v>
      </c>
      <c r="W16" s="655">
        <f t="shared" si="0"/>
        <v>1</v>
      </c>
      <c r="X16" s="655">
        <f t="shared" si="0"/>
        <v>1</v>
      </c>
      <c r="Y16" s="655">
        <f t="shared" si="0"/>
        <v>1</v>
      </c>
    </row>
    <row r="17" spans="7:25">
      <c r="G17" s="659"/>
      <c r="H17" s="659"/>
      <c r="J17" s="655">
        <f t="shared" si="2"/>
        <v>1</v>
      </c>
      <c r="K17" s="655">
        <f t="shared" si="0"/>
        <v>1</v>
      </c>
      <c r="L17" s="655">
        <f t="shared" si="0"/>
        <v>1</v>
      </c>
      <c r="M17" s="655">
        <f t="shared" si="0"/>
        <v>1</v>
      </c>
      <c r="N17" s="655">
        <f t="shared" si="0"/>
        <v>1</v>
      </c>
      <c r="O17" s="655">
        <f t="shared" si="0"/>
        <v>1</v>
      </c>
      <c r="P17" s="655">
        <f t="shared" si="0"/>
        <v>1</v>
      </c>
      <c r="Q17" s="655">
        <f t="shared" si="0"/>
        <v>1</v>
      </c>
      <c r="R17" s="655">
        <f t="shared" si="0"/>
        <v>1</v>
      </c>
      <c r="S17" s="655">
        <f t="shared" si="0"/>
        <v>1</v>
      </c>
      <c r="T17" s="655">
        <f t="shared" si="0"/>
        <v>1</v>
      </c>
      <c r="U17" s="655">
        <f t="shared" si="0"/>
        <v>1</v>
      </c>
      <c r="V17" s="655">
        <f t="shared" si="0"/>
        <v>1</v>
      </c>
      <c r="W17" s="655">
        <f t="shared" si="0"/>
        <v>1</v>
      </c>
      <c r="X17" s="655">
        <f t="shared" si="0"/>
        <v>1</v>
      </c>
      <c r="Y17" s="655">
        <f t="shared" si="0"/>
        <v>1</v>
      </c>
    </row>
    <row r="18" spans="7:25">
      <c r="G18" s="659"/>
      <c r="H18" s="659"/>
      <c r="J18" s="655">
        <f t="shared" si="2"/>
        <v>1</v>
      </c>
      <c r="K18" s="655">
        <f t="shared" si="0"/>
        <v>1</v>
      </c>
      <c r="L18" s="655">
        <f t="shared" si="0"/>
        <v>1</v>
      </c>
      <c r="M18" s="655">
        <f t="shared" si="0"/>
        <v>1</v>
      </c>
      <c r="N18" s="655">
        <f t="shared" si="0"/>
        <v>1</v>
      </c>
      <c r="O18" s="655">
        <f t="shared" si="0"/>
        <v>1</v>
      </c>
      <c r="P18" s="655">
        <f t="shared" si="0"/>
        <v>1</v>
      </c>
      <c r="Q18" s="655">
        <f t="shared" si="0"/>
        <v>1</v>
      </c>
      <c r="R18" s="655">
        <f t="shared" si="0"/>
        <v>1</v>
      </c>
      <c r="S18" s="655">
        <f t="shared" si="0"/>
        <v>1</v>
      </c>
      <c r="T18" s="655">
        <f t="shared" si="0"/>
        <v>1</v>
      </c>
      <c r="U18" s="655">
        <f t="shared" si="0"/>
        <v>1</v>
      </c>
      <c r="V18" s="655">
        <f t="shared" si="0"/>
        <v>1</v>
      </c>
      <c r="W18" s="655">
        <f t="shared" si="0"/>
        <v>1</v>
      </c>
      <c r="X18" s="655">
        <f t="shared" si="0"/>
        <v>1</v>
      </c>
      <c r="Y18" s="655">
        <f t="shared" si="0"/>
        <v>1</v>
      </c>
    </row>
    <row r="19" spans="7:25">
      <c r="G19" s="659"/>
      <c r="H19" s="659"/>
      <c r="J19" s="655">
        <f t="shared" si="2"/>
        <v>1</v>
      </c>
      <c r="K19" s="655">
        <f t="shared" si="2"/>
        <v>1</v>
      </c>
      <c r="L19" s="655">
        <f t="shared" si="2"/>
        <v>1</v>
      </c>
      <c r="M19" s="655">
        <f t="shared" si="2"/>
        <v>1</v>
      </c>
      <c r="N19" s="655">
        <f t="shared" si="2"/>
        <v>1</v>
      </c>
      <c r="O19" s="655">
        <f t="shared" si="2"/>
        <v>1</v>
      </c>
      <c r="P19" s="655">
        <f t="shared" si="2"/>
        <v>1</v>
      </c>
      <c r="Q19" s="655">
        <f t="shared" si="2"/>
        <v>1</v>
      </c>
      <c r="R19" s="655">
        <f t="shared" si="2"/>
        <v>1</v>
      </c>
      <c r="S19" s="655">
        <f t="shared" si="2"/>
        <v>1</v>
      </c>
      <c r="T19" s="655">
        <f t="shared" si="2"/>
        <v>1</v>
      </c>
      <c r="U19" s="655">
        <f t="shared" si="2"/>
        <v>1</v>
      </c>
      <c r="V19" s="655">
        <f t="shared" si="2"/>
        <v>1</v>
      </c>
      <c r="W19" s="655">
        <f t="shared" si="2"/>
        <v>1</v>
      </c>
      <c r="X19" s="655">
        <f t="shared" si="2"/>
        <v>1</v>
      </c>
      <c r="Y19" s="655">
        <f t="shared" si="2"/>
        <v>1</v>
      </c>
    </row>
    <row r="20" spans="7:25">
      <c r="G20" s="659"/>
      <c r="H20" s="659"/>
      <c r="J20" s="655">
        <f t="shared" si="2"/>
        <v>1</v>
      </c>
      <c r="K20" s="655">
        <f t="shared" si="2"/>
        <v>1</v>
      </c>
      <c r="L20" s="655">
        <f t="shared" si="2"/>
        <v>1</v>
      </c>
      <c r="M20" s="655">
        <f t="shared" si="2"/>
        <v>1</v>
      </c>
      <c r="N20" s="655">
        <f t="shared" si="2"/>
        <v>1</v>
      </c>
      <c r="O20" s="655">
        <f t="shared" si="2"/>
        <v>1</v>
      </c>
      <c r="P20" s="655">
        <f t="shared" si="2"/>
        <v>1</v>
      </c>
      <c r="Q20" s="655">
        <f t="shared" si="2"/>
        <v>1</v>
      </c>
      <c r="R20" s="655">
        <f t="shared" si="2"/>
        <v>1</v>
      </c>
      <c r="S20" s="655">
        <f t="shared" si="2"/>
        <v>1</v>
      </c>
      <c r="T20" s="655">
        <f t="shared" si="2"/>
        <v>1</v>
      </c>
      <c r="U20" s="655">
        <f t="shared" si="2"/>
        <v>1</v>
      </c>
      <c r="V20" s="655">
        <f t="shared" si="2"/>
        <v>1</v>
      </c>
      <c r="W20" s="655">
        <f t="shared" si="2"/>
        <v>1</v>
      </c>
      <c r="X20" s="655">
        <f t="shared" si="2"/>
        <v>1</v>
      </c>
      <c r="Y20" s="655">
        <f t="shared" si="2"/>
        <v>1</v>
      </c>
    </row>
    <row r="21" spans="7:25">
      <c r="G21" s="659"/>
      <c r="H21" s="659"/>
      <c r="J21" s="655">
        <f t="shared" si="2"/>
        <v>1</v>
      </c>
      <c r="K21" s="655">
        <f t="shared" si="2"/>
        <v>1</v>
      </c>
      <c r="L21" s="655">
        <f t="shared" si="2"/>
        <v>1</v>
      </c>
      <c r="M21" s="655">
        <f t="shared" si="2"/>
        <v>1</v>
      </c>
      <c r="N21" s="655">
        <f t="shared" si="2"/>
        <v>1</v>
      </c>
      <c r="O21" s="655">
        <f t="shared" si="2"/>
        <v>1</v>
      </c>
      <c r="P21" s="655">
        <f t="shared" si="2"/>
        <v>1</v>
      </c>
      <c r="Q21" s="655">
        <f t="shared" si="2"/>
        <v>1</v>
      </c>
      <c r="R21" s="655">
        <f t="shared" si="2"/>
        <v>1</v>
      </c>
      <c r="S21" s="655">
        <f t="shared" si="2"/>
        <v>1</v>
      </c>
      <c r="T21" s="655">
        <f t="shared" si="2"/>
        <v>1</v>
      </c>
      <c r="U21" s="655">
        <f t="shared" si="2"/>
        <v>1</v>
      </c>
      <c r="V21" s="655">
        <f t="shared" si="2"/>
        <v>1</v>
      </c>
      <c r="W21" s="655">
        <f t="shared" si="2"/>
        <v>1</v>
      </c>
      <c r="X21" s="655">
        <f t="shared" si="2"/>
        <v>1</v>
      </c>
      <c r="Y21" s="655">
        <f t="shared" si="2"/>
        <v>1</v>
      </c>
    </row>
    <row r="22" spans="7:25">
      <c r="G22" s="659">
        <v>0</v>
      </c>
      <c r="H22" s="659">
        <f t="shared" si="1"/>
        <v>1</v>
      </c>
      <c r="J22" s="655">
        <f t="shared" si="2"/>
        <v>1</v>
      </c>
      <c r="K22" s="655">
        <f t="shared" si="2"/>
        <v>1</v>
      </c>
      <c r="L22" s="655">
        <f t="shared" si="2"/>
        <v>1</v>
      </c>
      <c r="M22" s="655">
        <f t="shared" si="2"/>
        <v>1</v>
      </c>
      <c r="N22" s="655">
        <f t="shared" si="2"/>
        <v>1</v>
      </c>
      <c r="O22" s="655">
        <f t="shared" si="2"/>
        <v>1</v>
      </c>
      <c r="P22" s="655">
        <f t="shared" si="2"/>
        <v>1</v>
      </c>
      <c r="Q22" s="655">
        <f t="shared" si="2"/>
        <v>1</v>
      </c>
      <c r="R22" s="655">
        <f t="shared" si="2"/>
        <v>1</v>
      </c>
      <c r="S22" s="655">
        <f t="shared" si="2"/>
        <v>1</v>
      </c>
      <c r="T22" s="655">
        <f t="shared" si="2"/>
        <v>1</v>
      </c>
      <c r="U22" s="655">
        <f t="shared" si="2"/>
        <v>1</v>
      </c>
      <c r="V22" s="655">
        <f t="shared" si="2"/>
        <v>1</v>
      </c>
      <c r="W22" s="655">
        <f t="shared" si="2"/>
        <v>1</v>
      </c>
      <c r="X22" s="655">
        <f t="shared" si="2"/>
        <v>1</v>
      </c>
      <c r="Y22" s="655">
        <f t="shared" si="2"/>
        <v>1</v>
      </c>
    </row>
    <row r="23" spans="7:25">
      <c r="J23" s="655">
        <f t="shared" ref="J23:Y38" si="5">IF($I23&gt;J$2, 0, 1)</f>
        <v>1</v>
      </c>
      <c r="K23" s="655">
        <f t="shared" si="5"/>
        <v>1</v>
      </c>
      <c r="L23" s="655">
        <f t="shared" si="5"/>
        <v>1</v>
      </c>
      <c r="M23" s="655">
        <f t="shared" si="5"/>
        <v>1</v>
      </c>
      <c r="N23" s="655">
        <f t="shared" si="5"/>
        <v>1</v>
      </c>
      <c r="O23" s="655">
        <f t="shared" si="5"/>
        <v>1</v>
      </c>
      <c r="P23" s="655">
        <f t="shared" si="5"/>
        <v>1</v>
      </c>
      <c r="Q23" s="655">
        <f t="shared" si="5"/>
        <v>1</v>
      </c>
      <c r="R23" s="655">
        <f t="shared" si="5"/>
        <v>1</v>
      </c>
      <c r="S23" s="655">
        <f t="shared" si="5"/>
        <v>1</v>
      </c>
      <c r="T23" s="655">
        <f t="shared" si="5"/>
        <v>1</v>
      </c>
      <c r="U23" s="655">
        <f t="shared" si="5"/>
        <v>1</v>
      </c>
      <c r="V23" s="655">
        <f t="shared" si="5"/>
        <v>1</v>
      </c>
      <c r="W23" s="655">
        <f t="shared" si="5"/>
        <v>1</v>
      </c>
      <c r="X23" s="655">
        <f t="shared" si="5"/>
        <v>1</v>
      </c>
      <c r="Y23" s="655">
        <f t="shared" si="5"/>
        <v>1</v>
      </c>
    </row>
    <row r="24" spans="7:25">
      <c r="J24" s="655">
        <f t="shared" si="5"/>
        <v>1</v>
      </c>
      <c r="K24" s="655">
        <f t="shared" si="5"/>
        <v>1</v>
      </c>
      <c r="L24" s="655">
        <f t="shared" si="5"/>
        <v>1</v>
      </c>
      <c r="M24" s="655">
        <f t="shared" si="5"/>
        <v>1</v>
      </c>
      <c r="N24" s="655">
        <f t="shared" si="5"/>
        <v>1</v>
      </c>
      <c r="O24" s="655">
        <f t="shared" si="5"/>
        <v>1</v>
      </c>
      <c r="P24" s="655">
        <f t="shared" si="5"/>
        <v>1</v>
      </c>
      <c r="Q24" s="655">
        <f t="shared" si="5"/>
        <v>1</v>
      </c>
      <c r="R24" s="655">
        <f t="shared" si="5"/>
        <v>1</v>
      </c>
      <c r="S24" s="655">
        <f t="shared" si="5"/>
        <v>1</v>
      </c>
      <c r="T24" s="655">
        <f t="shared" si="5"/>
        <v>1</v>
      </c>
      <c r="U24" s="655">
        <f t="shared" si="5"/>
        <v>1</v>
      </c>
      <c r="V24" s="655">
        <f t="shared" si="5"/>
        <v>1</v>
      </c>
      <c r="W24" s="655">
        <f t="shared" si="5"/>
        <v>1</v>
      </c>
      <c r="X24" s="655">
        <f t="shared" si="5"/>
        <v>1</v>
      </c>
      <c r="Y24" s="655">
        <f t="shared" si="5"/>
        <v>1</v>
      </c>
    </row>
    <row r="25" spans="7:25">
      <c r="J25" s="655">
        <f t="shared" si="5"/>
        <v>1</v>
      </c>
      <c r="K25" s="655">
        <f t="shared" si="5"/>
        <v>1</v>
      </c>
      <c r="L25" s="655">
        <f t="shared" si="5"/>
        <v>1</v>
      </c>
      <c r="M25" s="655">
        <f t="shared" si="5"/>
        <v>1</v>
      </c>
      <c r="N25" s="655">
        <f t="shared" si="5"/>
        <v>1</v>
      </c>
      <c r="O25" s="655">
        <f t="shared" si="5"/>
        <v>1</v>
      </c>
      <c r="P25" s="655">
        <f t="shared" si="5"/>
        <v>1</v>
      </c>
      <c r="Q25" s="655">
        <f t="shared" si="5"/>
        <v>1</v>
      </c>
      <c r="R25" s="655">
        <f t="shared" si="5"/>
        <v>1</v>
      </c>
      <c r="S25" s="655">
        <f t="shared" si="5"/>
        <v>1</v>
      </c>
      <c r="T25" s="655">
        <f t="shared" si="5"/>
        <v>1</v>
      </c>
      <c r="U25" s="655">
        <f t="shared" si="5"/>
        <v>1</v>
      </c>
      <c r="V25" s="655">
        <f t="shared" si="5"/>
        <v>1</v>
      </c>
      <c r="W25" s="655">
        <f t="shared" si="5"/>
        <v>1</v>
      </c>
      <c r="X25" s="655">
        <f t="shared" si="5"/>
        <v>1</v>
      </c>
      <c r="Y25" s="655">
        <f t="shared" si="5"/>
        <v>1</v>
      </c>
    </row>
    <row r="26" spans="7:25">
      <c r="J26" s="655">
        <f t="shared" si="5"/>
        <v>1</v>
      </c>
      <c r="K26" s="655">
        <f t="shared" si="5"/>
        <v>1</v>
      </c>
      <c r="L26" s="655">
        <f t="shared" si="5"/>
        <v>1</v>
      </c>
      <c r="M26" s="655">
        <f t="shared" si="5"/>
        <v>1</v>
      </c>
      <c r="N26" s="655">
        <f t="shared" si="5"/>
        <v>1</v>
      </c>
      <c r="O26" s="655">
        <f t="shared" si="5"/>
        <v>1</v>
      </c>
      <c r="P26" s="655">
        <f t="shared" si="5"/>
        <v>1</v>
      </c>
      <c r="Q26" s="655">
        <f t="shared" si="5"/>
        <v>1</v>
      </c>
      <c r="R26" s="655">
        <f t="shared" si="5"/>
        <v>1</v>
      </c>
      <c r="S26" s="655">
        <f t="shared" si="5"/>
        <v>1</v>
      </c>
      <c r="T26" s="655">
        <f t="shared" si="5"/>
        <v>1</v>
      </c>
      <c r="U26" s="655">
        <f t="shared" si="5"/>
        <v>1</v>
      </c>
      <c r="V26" s="655">
        <f t="shared" si="5"/>
        <v>1</v>
      </c>
      <c r="W26" s="655">
        <f t="shared" si="5"/>
        <v>1</v>
      </c>
      <c r="X26" s="655">
        <f t="shared" si="5"/>
        <v>1</v>
      </c>
      <c r="Y26" s="655">
        <f t="shared" si="5"/>
        <v>1</v>
      </c>
    </row>
    <row r="27" spans="7:25">
      <c r="J27" s="655">
        <f t="shared" si="5"/>
        <v>1</v>
      </c>
      <c r="K27" s="655">
        <f t="shared" si="5"/>
        <v>1</v>
      </c>
      <c r="L27" s="655">
        <f t="shared" si="5"/>
        <v>1</v>
      </c>
      <c r="M27" s="655">
        <f t="shared" si="5"/>
        <v>1</v>
      </c>
      <c r="N27" s="655">
        <f t="shared" si="5"/>
        <v>1</v>
      </c>
      <c r="O27" s="655">
        <f t="shared" si="5"/>
        <v>1</v>
      </c>
      <c r="P27" s="655">
        <f t="shared" si="5"/>
        <v>1</v>
      </c>
      <c r="Q27" s="655">
        <f t="shared" si="5"/>
        <v>1</v>
      </c>
      <c r="R27" s="655">
        <f t="shared" si="5"/>
        <v>1</v>
      </c>
      <c r="S27" s="655">
        <f t="shared" si="5"/>
        <v>1</v>
      </c>
      <c r="T27" s="655">
        <f t="shared" si="5"/>
        <v>1</v>
      </c>
      <c r="U27" s="655">
        <f t="shared" si="5"/>
        <v>1</v>
      </c>
      <c r="V27" s="655">
        <f t="shared" si="5"/>
        <v>1</v>
      </c>
      <c r="W27" s="655">
        <f t="shared" si="5"/>
        <v>1</v>
      </c>
      <c r="X27" s="655">
        <f t="shared" si="5"/>
        <v>1</v>
      </c>
      <c r="Y27" s="655">
        <f t="shared" si="5"/>
        <v>1</v>
      </c>
    </row>
    <row r="28" spans="7:25">
      <c r="J28" s="655">
        <f t="shared" si="5"/>
        <v>1</v>
      </c>
      <c r="K28" s="655">
        <f t="shared" si="5"/>
        <v>1</v>
      </c>
      <c r="L28" s="655">
        <f t="shared" si="5"/>
        <v>1</v>
      </c>
      <c r="M28" s="655">
        <f t="shared" si="5"/>
        <v>1</v>
      </c>
      <c r="N28" s="655">
        <f t="shared" si="5"/>
        <v>1</v>
      </c>
      <c r="O28" s="655">
        <f t="shared" si="5"/>
        <v>1</v>
      </c>
      <c r="P28" s="655">
        <f t="shared" si="5"/>
        <v>1</v>
      </c>
      <c r="Q28" s="655">
        <f t="shared" si="5"/>
        <v>1</v>
      </c>
      <c r="R28" s="655">
        <f t="shared" si="5"/>
        <v>1</v>
      </c>
      <c r="S28" s="655">
        <f t="shared" si="5"/>
        <v>1</v>
      </c>
      <c r="T28" s="655">
        <f t="shared" si="5"/>
        <v>1</v>
      </c>
      <c r="U28" s="655">
        <f t="shared" si="5"/>
        <v>1</v>
      </c>
      <c r="V28" s="655">
        <f t="shared" si="5"/>
        <v>1</v>
      </c>
      <c r="W28" s="655">
        <f t="shared" si="5"/>
        <v>1</v>
      </c>
      <c r="X28" s="655">
        <f t="shared" si="5"/>
        <v>1</v>
      </c>
      <c r="Y28" s="655">
        <f t="shared" si="5"/>
        <v>1</v>
      </c>
    </row>
    <row r="29" spans="7:25">
      <c r="J29" s="655">
        <f t="shared" si="5"/>
        <v>1</v>
      </c>
      <c r="K29" s="655">
        <f t="shared" si="5"/>
        <v>1</v>
      </c>
      <c r="L29" s="655">
        <f t="shared" si="5"/>
        <v>1</v>
      </c>
      <c r="M29" s="655">
        <f t="shared" si="5"/>
        <v>1</v>
      </c>
      <c r="N29" s="655">
        <f t="shared" si="5"/>
        <v>1</v>
      </c>
      <c r="O29" s="655">
        <f t="shared" si="5"/>
        <v>1</v>
      </c>
      <c r="P29" s="655">
        <f t="shared" si="5"/>
        <v>1</v>
      </c>
      <c r="Q29" s="655">
        <f t="shared" si="5"/>
        <v>1</v>
      </c>
      <c r="R29" s="655">
        <f t="shared" si="5"/>
        <v>1</v>
      </c>
      <c r="S29" s="655">
        <f t="shared" si="5"/>
        <v>1</v>
      </c>
      <c r="T29" s="655">
        <f t="shared" si="5"/>
        <v>1</v>
      </c>
      <c r="U29" s="655">
        <f t="shared" si="5"/>
        <v>1</v>
      </c>
      <c r="V29" s="655">
        <f t="shared" si="5"/>
        <v>1</v>
      </c>
      <c r="W29" s="655">
        <f t="shared" si="5"/>
        <v>1</v>
      </c>
      <c r="X29" s="655">
        <f t="shared" si="5"/>
        <v>1</v>
      </c>
      <c r="Y29" s="655">
        <f t="shared" si="5"/>
        <v>1</v>
      </c>
    </row>
    <row r="30" spans="7:25">
      <c r="J30" s="655">
        <f t="shared" si="5"/>
        <v>1</v>
      </c>
      <c r="K30" s="655">
        <f t="shared" si="5"/>
        <v>1</v>
      </c>
      <c r="L30" s="655">
        <f t="shared" si="5"/>
        <v>1</v>
      </c>
      <c r="M30" s="655">
        <f t="shared" si="5"/>
        <v>1</v>
      </c>
      <c r="N30" s="655">
        <f t="shared" si="5"/>
        <v>1</v>
      </c>
      <c r="O30" s="655">
        <f t="shared" si="5"/>
        <v>1</v>
      </c>
      <c r="P30" s="655">
        <f t="shared" si="5"/>
        <v>1</v>
      </c>
      <c r="Q30" s="655">
        <f t="shared" si="5"/>
        <v>1</v>
      </c>
      <c r="R30" s="655">
        <f t="shared" si="5"/>
        <v>1</v>
      </c>
      <c r="S30" s="655">
        <f t="shared" si="5"/>
        <v>1</v>
      </c>
      <c r="T30" s="655">
        <f t="shared" si="5"/>
        <v>1</v>
      </c>
      <c r="U30" s="655">
        <f t="shared" si="5"/>
        <v>1</v>
      </c>
      <c r="V30" s="655">
        <f t="shared" si="5"/>
        <v>1</v>
      </c>
      <c r="W30" s="655">
        <f t="shared" si="5"/>
        <v>1</v>
      </c>
      <c r="X30" s="655">
        <f t="shared" si="5"/>
        <v>1</v>
      </c>
      <c r="Y30" s="655">
        <f t="shared" si="5"/>
        <v>1</v>
      </c>
    </row>
    <row r="31" spans="7:25">
      <c r="J31" s="655">
        <f t="shared" si="5"/>
        <v>1</v>
      </c>
      <c r="K31" s="655">
        <f t="shared" si="5"/>
        <v>1</v>
      </c>
      <c r="L31" s="655">
        <f t="shared" si="5"/>
        <v>1</v>
      </c>
      <c r="M31" s="655">
        <f t="shared" si="5"/>
        <v>1</v>
      </c>
      <c r="N31" s="655">
        <f t="shared" si="5"/>
        <v>1</v>
      </c>
      <c r="O31" s="655">
        <f t="shared" si="5"/>
        <v>1</v>
      </c>
      <c r="P31" s="655">
        <f t="shared" si="5"/>
        <v>1</v>
      </c>
      <c r="Q31" s="655">
        <f t="shared" si="5"/>
        <v>1</v>
      </c>
      <c r="R31" s="655">
        <f t="shared" si="5"/>
        <v>1</v>
      </c>
      <c r="S31" s="655">
        <f t="shared" si="5"/>
        <v>1</v>
      </c>
      <c r="T31" s="655">
        <f t="shared" si="5"/>
        <v>1</v>
      </c>
      <c r="U31" s="655">
        <f t="shared" si="5"/>
        <v>1</v>
      </c>
      <c r="V31" s="655">
        <f t="shared" si="5"/>
        <v>1</v>
      </c>
      <c r="W31" s="655">
        <f t="shared" si="5"/>
        <v>1</v>
      </c>
      <c r="X31" s="655">
        <f t="shared" si="5"/>
        <v>1</v>
      </c>
      <c r="Y31" s="655">
        <f t="shared" si="5"/>
        <v>1</v>
      </c>
    </row>
    <row r="32" spans="7:25">
      <c r="J32" s="655">
        <f t="shared" si="5"/>
        <v>1</v>
      </c>
      <c r="K32" s="655">
        <f t="shared" si="5"/>
        <v>1</v>
      </c>
      <c r="L32" s="655">
        <f t="shared" si="5"/>
        <v>1</v>
      </c>
      <c r="M32" s="655">
        <f t="shared" si="5"/>
        <v>1</v>
      </c>
      <c r="N32" s="655">
        <f t="shared" si="5"/>
        <v>1</v>
      </c>
      <c r="O32" s="655">
        <f t="shared" si="5"/>
        <v>1</v>
      </c>
      <c r="P32" s="655">
        <f t="shared" si="5"/>
        <v>1</v>
      </c>
      <c r="Q32" s="655">
        <f t="shared" si="5"/>
        <v>1</v>
      </c>
      <c r="R32" s="655">
        <f t="shared" si="5"/>
        <v>1</v>
      </c>
      <c r="S32" s="655">
        <f t="shared" si="5"/>
        <v>1</v>
      </c>
      <c r="T32" s="655">
        <f t="shared" si="5"/>
        <v>1</v>
      </c>
      <c r="U32" s="655">
        <f t="shared" si="5"/>
        <v>1</v>
      </c>
      <c r="V32" s="655">
        <f t="shared" si="5"/>
        <v>1</v>
      </c>
      <c r="W32" s="655">
        <f t="shared" si="5"/>
        <v>1</v>
      </c>
      <c r="X32" s="655">
        <f t="shared" si="5"/>
        <v>1</v>
      </c>
      <c r="Y32" s="655">
        <f t="shared" si="5"/>
        <v>1</v>
      </c>
    </row>
    <row r="33" spans="10:25">
      <c r="J33" s="655">
        <f t="shared" si="5"/>
        <v>1</v>
      </c>
      <c r="K33" s="655">
        <f t="shared" si="5"/>
        <v>1</v>
      </c>
      <c r="L33" s="655">
        <f t="shared" si="5"/>
        <v>1</v>
      </c>
      <c r="M33" s="655">
        <f t="shared" si="5"/>
        <v>1</v>
      </c>
      <c r="N33" s="655">
        <f t="shared" si="5"/>
        <v>1</v>
      </c>
      <c r="O33" s="655">
        <f t="shared" si="5"/>
        <v>1</v>
      </c>
      <c r="P33" s="655">
        <f t="shared" si="5"/>
        <v>1</v>
      </c>
      <c r="Q33" s="655">
        <f t="shared" si="5"/>
        <v>1</v>
      </c>
      <c r="R33" s="655">
        <f t="shared" si="5"/>
        <v>1</v>
      </c>
      <c r="S33" s="655">
        <f t="shared" si="5"/>
        <v>1</v>
      </c>
      <c r="T33" s="655">
        <f t="shared" si="5"/>
        <v>1</v>
      </c>
      <c r="U33" s="655">
        <f t="shared" si="5"/>
        <v>1</v>
      </c>
      <c r="V33" s="655">
        <f t="shared" si="5"/>
        <v>1</v>
      </c>
      <c r="W33" s="655">
        <f t="shared" si="5"/>
        <v>1</v>
      </c>
      <c r="X33" s="655">
        <f t="shared" si="5"/>
        <v>1</v>
      </c>
      <c r="Y33" s="655">
        <f t="shared" si="5"/>
        <v>1</v>
      </c>
    </row>
    <row r="34" spans="10:25">
      <c r="J34" s="655">
        <f t="shared" si="5"/>
        <v>1</v>
      </c>
      <c r="K34" s="655">
        <f t="shared" si="5"/>
        <v>1</v>
      </c>
      <c r="L34" s="655">
        <f t="shared" si="5"/>
        <v>1</v>
      </c>
      <c r="M34" s="655">
        <f t="shared" si="5"/>
        <v>1</v>
      </c>
      <c r="N34" s="655">
        <f t="shared" si="5"/>
        <v>1</v>
      </c>
      <c r="O34" s="655">
        <f t="shared" si="5"/>
        <v>1</v>
      </c>
      <c r="P34" s="655">
        <f t="shared" si="5"/>
        <v>1</v>
      </c>
      <c r="Q34" s="655">
        <f t="shared" si="5"/>
        <v>1</v>
      </c>
      <c r="R34" s="655">
        <f t="shared" si="5"/>
        <v>1</v>
      </c>
      <c r="S34" s="655">
        <f t="shared" si="5"/>
        <v>1</v>
      </c>
      <c r="T34" s="655">
        <f t="shared" si="5"/>
        <v>1</v>
      </c>
      <c r="U34" s="655">
        <f t="shared" si="5"/>
        <v>1</v>
      </c>
      <c r="V34" s="655">
        <f t="shared" si="5"/>
        <v>1</v>
      </c>
      <c r="W34" s="655">
        <f t="shared" si="5"/>
        <v>1</v>
      </c>
      <c r="X34" s="655">
        <f t="shared" si="5"/>
        <v>1</v>
      </c>
      <c r="Y34" s="655">
        <f t="shared" si="5"/>
        <v>1</v>
      </c>
    </row>
    <row r="35" spans="10:25">
      <c r="J35" s="655">
        <f t="shared" si="5"/>
        <v>1</v>
      </c>
      <c r="K35" s="655">
        <f t="shared" si="5"/>
        <v>1</v>
      </c>
      <c r="L35" s="655">
        <f t="shared" si="5"/>
        <v>1</v>
      </c>
      <c r="M35" s="655">
        <f t="shared" si="5"/>
        <v>1</v>
      </c>
      <c r="N35" s="655">
        <f t="shared" si="5"/>
        <v>1</v>
      </c>
      <c r="O35" s="655">
        <f t="shared" si="5"/>
        <v>1</v>
      </c>
      <c r="P35" s="655">
        <f t="shared" si="5"/>
        <v>1</v>
      </c>
      <c r="Q35" s="655">
        <f t="shared" si="5"/>
        <v>1</v>
      </c>
      <c r="R35" s="655">
        <f t="shared" si="5"/>
        <v>1</v>
      </c>
      <c r="S35" s="655">
        <f t="shared" si="5"/>
        <v>1</v>
      </c>
      <c r="T35" s="655">
        <f t="shared" si="5"/>
        <v>1</v>
      </c>
      <c r="U35" s="655">
        <f t="shared" si="5"/>
        <v>1</v>
      </c>
      <c r="V35" s="655">
        <f t="shared" si="5"/>
        <v>1</v>
      </c>
      <c r="W35" s="655">
        <f t="shared" si="5"/>
        <v>1</v>
      </c>
      <c r="X35" s="655">
        <f t="shared" si="5"/>
        <v>1</v>
      </c>
      <c r="Y35" s="655">
        <f t="shared" si="5"/>
        <v>1</v>
      </c>
    </row>
    <row r="36" spans="10:25">
      <c r="J36" s="655">
        <f t="shared" si="5"/>
        <v>1</v>
      </c>
      <c r="K36" s="655">
        <f t="shared" si="5"/>
        <v>1</v>
      </c>
      <c r="L36" s="655">
        <f t="shared" si="5"/>
        <v>1</v>
      </c>
      <c r="M36" s="655">
        <f t="shared" si="5"/>
        <v>1</v>
      </c>
      <c r="N36" s="655">
        <f t="shared" si="5"/>
        <v>1</v>
      </c>
      <c r="O36" s="655">
        <f t="shared" si="5"/>
        <v>1</v>
      </c>
      <c r="P36" s="655">
        <f t="shared" si="5"/>
        <v>1</v>
      </c>
      <c r="Q36" s="655">
        <f t="shared" si="5"/>
        <v>1</v>
      </c>
      <c r="R36" s="655">
        <f t="shared" si="5"/>
        <v>1</v>
      </c>
      <c r="S36" s="655">
        <f t="shared" si="5"/>
        <v>1</v>
      </c>
      <c r="T36" s="655">
        <f t="shared" si="5"/>
        <v>1</v>
      </c>
      <c r="U36" s="655">
        <f t="shared" si="5"/>
        <v>1</v>
      </c>
      <c r="V36" s="655">
        <f t="shared" si="5"/>
        <v>1</v>
      </c>
      <c r="W36" s="655">
        <f t="shared" si="5"/>
        <v>1</v>
      </c>
      <c r="X36" s="655">
        <f t="shared" si="5"/>
        <v>1</v>
      </c>
      <c r="Y36" s="655">
        <f t="shared" si="5"/>
        <v>1</v>
      </c>
    </row>
    <row r="37" spans="10:25">
      <c r="J37" s="655">
        <f t="shared" si="5"/>
        <v>1</v>
      </c>
      <c r="K37" s="655">
        <f t="shared" si="5"/>
        <v>1</v>
      </c>
      <c r="L37" s="655">
        <f t="shared" si="5"/>
        <v>1</v>
      </c>
      <c r="M37" s="655">
        <f t="shared" si="5"/>
        <v>1</v>
      </c>
      <c r="N37" s="655">
        <f t="shared" si="5"/>
        <v>1</v>
      </c>
      <c r="O37" s="655">
        <f t="shared" si="5"/>
        <v>1</v>
      </c>
      <c r="P37" s="655">
        <f t="shared" si="5"/>
        <v>1</v>
      </c>
      <c r="Q37" s="655">
        <f t="shared" si="5"/>
        <v>1</v>
      </c>
      <c r="R37" s="655">
        <f t="shared" si="5"/>
        <v>1</v>
      </c>
      <c r="S37" s="655">
        <f t="shared" si="5"/>
        <v>1</v>
      </c>
      <c r="T37" s="655">
        <f t="shared" si="5"/>
        <v>1</v>
      </c>
      <c r="U37" s="655">
        <f t="shared" si="5"/>
        <v>1</v>
      </c>
      <c r="V37" s="655">
        <f t="shared" si="5"/>
        <v>1</v>
      </c>
      <c r="W37" s="655">
        <f t="shared" si="5"/>
        <v>1</v>
      </c>
      <c r="X37" s="655">
        <f t="shared" si="5"/>
        <v>1</v>
      </c>
      <c r="Y37" s="655">
        <f t="shared" si="5"/>
        <v>1</v>
      </c>
    </row>
    <row r="38" spans="10:25">
      <c r="J38" s="655">
        <f t="shared" si="5"/>
        <v>1</v>
      </c>
      <c r="K38" s="655">
        <f t="shared" si="5"/>
        <v>1</v>
      </c>
      <c r="L38" s="655">
        <f t="shared" si="5"/>
        <v>1</v>
      </c>
      <c r="M38" s="655">
        <f t="shared" si="5"/>
        <v>1</v>
      </c>
      <c r="N38" s="655">
        <f t="shared" si="5"/>
        <v>1</v>
      </c>
      <c r="O38" s="655">
        <f t="shared" si="5"/>
        <v>1</v>
      </c>
      <c r="P38" s="655">
        <f t="shared" si="5"/>
        <v>1</v>
      </c>
      <c r="Q38" s="655">
        <f t="shared" si="5"/>
        <v>1</v>
      </c>
      <c r="R38" s="655">
        <f t="shared" si="5"/>
        <v>1</v>
      </c>
      <c r="S38" s="655">
        <f t="shared" si="5"/>
        <v>1</v>
      </c>
      <c r="T38" s="655">
        <f t="shared" si="5"/>
        <v>1</v>
      </c>
      <c r="U38" s="655">
        <f t="shared" si="5"/>
        <v>1</v>
      </c>
      <c r="V38" s="655">
        <f t="shared" si="5"/>
        <v>1</v>
      </c>
      <c r="W38" s="655">
        <f t="shared" si="5"/>
        <v>1</v>
      </c>
      <c r="X38" s="655">
        <f t="shared" si="5"/>
        <v>1</v>
      </c>
      <c r="Y38" s="655">
        <f t="shared" ref="K38:Y55" si="6">IF($I38&gt;Y$2, 0, 1)</f>
        <v>1</v>
      </c>
    </row>
    <row r="39" spans="10:25">
      <c r="J39" s="655">
        <f t="shared" ref="J39:J64" si="7">IF($I39&gt;J$2, 0, 1)</f>
        <v>1</v>
      </c>
      <c r="K39" s="655">
        <f t="shared" si="6"/>
        <v>1</v>
      </c>
      <c r="L39" s="655">
        <f t="shared" si="6"/>
        <v>1</v>
      </c>
      <c r="M39" s="655">
        <f t="shared" si="6"/>
        <v>1</v>
      </c>
      <c r="N39" s="655">
        <f t="shared" si="6"/>
        <v>1</v>
      </c>
      <c r="O39" s="655">
        <f t="shared" si="6"/>
        <v>1</v>
      </c>
      <c r="P39" s="655">
        <f t="shared" si="6"/>
        <v>1</v>
      </c>
      <c r="Q39" s="655">
        <f t="shared" si="6"/>
        <v>1</v>
      </c>
      <c r="R39" s="655">
        <f t="shared" si="6"/>
        <v>1</v>
      </c>
      <c r="S39" s="655">
        <f t="shared" si="6"/>
        <v>1</v>
      </c>
      <c r="T39" s="655">
        <f t="shared" si="6"/>
        <v>1</v>
      </c>
      <c r="U39" s="655">
        <f t="shared" si="6"/>
        <v>1</v>
      </c>
      <c r="V39" s="655">
        <f t="shared" si="6"/>
        <v>1</v>
      </c>
      <c r="W39" s="655">
        <f t="shared" si="6"/>
        <v>1</v>
      </c>
      <c r="X39" s="655">
        <f t="shared" si="6"/>
        <v>1</v>
      </c>
      <c r="Y39" s="655">
        <f t="shared" si="6"/>
        <v>1</v>
      </c>
    </row>
    <row r="40" spans="10:25">
      <c r="J40" s="655">
        <f t="shared" si="7"/>
        <v>1</v>
      </c>
      <c r="K40" s="655">
        <f t="shared" si="6"/>
        <v>1</v>
      </c>
      <c r="L40" s="655">
        <f t="shared" si="6"/>
        <v>1</v>
      </c>
      <c r="M40" s="655">
        <f t="shared" si="6"/>
        <v>1</v>
      </c>
      <c r="N40" s="655">
        <f t="shared" si="6"/>
        <v>1</v>
      </c>
      <c r="O40" s="655">
        <f t="shared" si="6"/>
        <v>1</v>
      </c>
      <c r="P40" s="655">
        <f t="shared" si="6"/>
        <v>1</v>
      </c>
      <c r="Q40" s="655">
        <f t="shared" si="6"/>
        <v>1</v>
      </c>
      <c r="R40" s="655">
        <f t="shared" si="6"/>
        <v>1</v>
      </c>
      <c r="S40" s="655">
        <f t="shared" si="6"/>
        <v>1</v>
      </c>
      <c r="T40" s="655">
        <f t="shared" si="6"/>
        <v>1</v>
      </c>
      <c r="U40" s="655">
        <f t="shared" si="6"/>
        <v>1</v>
      </c>
      <c r="V40" s="655">
        <f t="shared" si="6"/>
        <v>1</v>
      </c>
      <c r="W40" s="655">
        <f t="shared" si="6"/>
        <v>1</v>
      </c>
      <c r="X40" s="655">
        <f t="shared" si="6"/>
        <v>1</v>
      </c>
      <c r="Y40" s="655">
        <f t="shared" si="6"/>
        <v>1</v>
      </c>
    </row>
    <row r="41" spans="10:25">
      <c r="J41" s="655">
        <f t="shared" si="7"/>
        <v>1</v>
      </c>
      <c r="K41" s="655">
        <f t="shared" si="6"/>
        <v>1</v>
      </c>
      <c r="L41" s="655">
        <f t="shared" si="6"/>
        <v>1</v>
      </c>
      <c r="M41" s="655">
        <f t="shared" si="6"/>
        <v>1</v>
      </c>
      <c r="N41" s="655">
        <f t="shared" si="6"/>
        <v>1</v>
      </c>
      <c r="O41" s="655">
        <f t="shared" si="6"/>
        <v>1</v>
      </c>
      <c r="P41" s="655">
        <f t="shared" si="6"/>
        <v>1</v>
      </c>
      <c r="Q41" s="655">
        <f t="shared" si="6"/>
        <v>1</v>
      </c>
      <c r="R41" s="655">
        <f t="shared" si="6"/>
        <v>1</v>
      </c>
      <c r="S41" s="655">
        <f t="shared" si="6"/>
        <v>1</v>
      </c>
      <c r="T41" s="655">
        <f t="shared" si="6"/>
        <v>1</v>
      </c>
      <c r="U41" s="655">
        <f t="shared" si="6"/>
        <v>1</v>
      </c>
      <c r="V41" s="655">
        <f t="shared" si="6"/>
        <v>1</v>
      </c>
      <c r="W41" s="655">
        <f t="shared" si="6"/>
        <v>1</v>
      </c>
      <c r="X41" s="655">
        <f t="shared" si="6"/>
        <v>1</v>
      </c>
      <c r="Y41" s="655">
        <f t="shared" si="6"/>
        <v>1</v>
      </c>
    </row>
    <row r="42" spans="10:25">
      <c r="J42" s="655">
        <f t="shared" si="7"/>
        <v>1</v>
      </c>
      <c r="K42" s="655">
        <f t="shared" si="6"/>
        <v>1</v>
      </c>
      <c r="L42" s="655">
        <f t="shared" si="6"/>
        <v>1</v>
      </c>
      <c r="M42" s="655">
        <f t="shared" si="6"/>
        <v>1</v>
      </c>
      <c r="N42" s="655">
        <f t="shared" si="6"/>
        <v>1</v>
      </c>
      <c r="O42" s="655">
        <f t="shared" si="6"/>
        <v>1</v>
      </c>
      <c r="P42" s="655">
        <f t="shared" si="6"/>
        <v>1</v>
      </c>
      <c r="Q42" s="655">
        <f t="shared" si="6"/>
        <v>1</v>
      </c>
      <c r="R42" s="655">
        <f t="shared" si="6"/>
        <v>1</v>
      </c>
      <c r="S42" s="655">
        <f t="shared" si="6"/>
        <v>1</v>
      </c>
      <c r="T42" s="655">
        <f t="shared" si="6"/>
        <v>1</v>
      </c>
      <c r="U42" s="655">
        <f t="shared" si="6"/>
        <v>1</v>
      </c>
      <c r="V42" s="655">
        <f t="shared" si="6"/>
        <v>1</v>
      </c>
      <c r="W42" s="655">
        <f t="shared" si="6"/>
        <v>1</v>
      </c>
      <c r="X42" s="655">
        <f t="shared" si="6"/>
        <v>1</v>
      </c>
      <c r="Y42" s="655">
        <f t="shared" si="6"/>
        <v>1</v>
      </c>
    </row>
    <row r="43" spans="10:25">
      <c r="J43" s="655">
        <f t="shared" si="7"/>
        <v>1</v>
      </c>
      <c r="K43" s="655">
        <f t="shared" si="6"/>
        <v>1</v>
      </c>
      <c r="L43" s="655">
        <f t="shared" si="6"/>
        <v>1</v>
      </c>
      <c r="M43" s="655">
        <f t="shared" si="6"/>
        <v>1</v>
      </c>
      <c r="N43" s="655">
        <f t="shared" si="6"/>
        <v>1</v>
      </c>
      <c r="O43" s="655">
        <f t="shared" si="6"/>
        <v>1</v>
      </c>
      <c r="P43" s="655">
        <f t="shared" si="6"/>
        <v>1</v>
      </c>
      <c r="Q43" s="655">
        <f t="shared" si="6"/>
        <v>1</v>
      </c>
      <c r="R43" s="655">
        <f t="shared" si="6"/>
        <v>1</v>
      </c>
      <c r="S43" s="655">
        <f t="shared" si="6"/>
        <v>1</v>
      </c>
      <c r="T43" s="655">
        <f t="shared" si="6"/>
        <v>1</v>
      </c>
      <c r="U43" s="655">
        <f t="shared" si="6"/>
        <v>1</v>
      </c>
      <c r="V43" s="655">
        <f t="shared" si="6"/>
        <v>1</v>
      </c>
      <c r="W43" s="655">
        <f t="shared" si="6"/>
        <v>1</v>
      </c>
      <c r="X43" s="655">
        <f t="shared" si="6"/>
        <v>1</v>
      </c>
      <c r="Y43" s="655">
        <f t="shared" si="6"/>
        <v>1</v>
      </c>
    </row>
    <row r="44" spans="10:25">
      <c r="J44" s="655">
        <f t="shared" si="7"/>
        <v>1</v>
      </c>
      <c r="K44" s="655">
        <f t="shared" si="6"/>
        <v>1</v>
      </c>
      <c r="L44" s="655">
        <f t="shared" si="6"/>
        <v>1</v>
      </c>
      <c r="M44" s="655">
        <f t="shared" si="6"/>
        <v>1</v>
      </c>
      <c r="N44" s="655">
        <f t="shared" si="6"/>
        <v>1</v>
      </c>
      <c r="O44" s="655">
        <f t="shared" si="6"/>
        <v>1</v>
      </c>
      <c r="P44" s="655">
        <f t="shared" si="6"/>
        <v>1</v>
      </c>
      <c r="Q44" s="655">
        <f t="shared" si="6"/>
        <v>1</v>
      </c>
      <c r="R44" s="655">
        <f t="shared" si="6"/>
        <v>1</v>
      </c>
      <c r="S44" s="655">
        <f t="shared" si="6"/>
        <v>1</v>
      </c>
      <c r="T44" s="655">
        <f t="shared" si="6"/>
        <v>1</v>
      </c>
      <c r="U44" s="655">
        <f t="shared" si="6"/>
        <v>1</v>
      </c>
      <c r="V44" s="655">
        <f t="shared" si="6"/>
        <v>1</v>
      </c>
      <c r="W44" s="655">
        <f t="shared" si="6"/>
        <v>1</v>
      </c>
      <c r="X44" s="655">
        <f t="shared" si="6"/>
        <v>1</v>
      </c>
      <c r="Y44" s="655">
        <f t="shared" si="6"/>
        <v>1</v>
      </c>
    </row>
    <row r="45" spans="10:25">
      <c r="J45" s="655">
        <f t="shared" si="7"/>
        <v>1</v>
      </c>
      <c r="K45" s="655">
        <f t="shared" si="6"/>
        <v>1</v>
      </c>
      <c r="L45" s="655">
        <f t="shared" si="6"/>
        <v>1</v>
      </c>
      <c r="M45" s="655">
        <f t="shared" si="6"/>
        <v>1</v>
      </c>
      <c r="N45" s="655">
        <f t="shared" si="6"/>
        <v>1</v>
      </c>
      <c r="O45" s="655">
        <f t="shared" si="6"/>
        <v>1</v>
      </c>
      <c r="P45" s="655">
        <f t="shared" si="6"/>
        <v>1</v>
      </c>
      <c r="Q45" s="655">
        <f t="shared" si="6"/>
        <v>1</v>
      </c>
      <c r="R45" s="655">
        <f t="shared" si="6"/>
        <v>1</v>
      </c>
      <c r="S45" s="655">
        <f t="shared" si="6"/>
        <v>1</v>
      </c>
      <c r="T45" s="655">
        <f t="shared" si="6"/>
        <v>1</v>
      </c>
      <c r="U45" s="655">
        <f t="shared" si="6"/>
        <v>1</v>
      </c>
      <c r="V45" s="655">
        <f t="shared" si="6"/>
        <v>1</v>
      </c>
      <c r="W45" s="655">
        <f t="shared" si="6"/>
        <v>1</v>
      </c>
      <c r="X45" s="655">
        <f t="shared" si="6"/>
        <v>1</v>
      </c>
      <c r="Y45" s="655">
        <f t="shared" si="6"/>
        <v>1</v>
      </c>
    </row>
    <row r="46" spans="10:25">
      <c r="J46" s="655">
        <f t="shared" si="7"/>
        <v>1</v>
      </c>
      <c r="K46" s="655">
        <f t="shared" si="6"/>
        <v>1</v>
      </c>
      <c r="L46" s="655">
        <f t="shared" si="6"/>
        <v>1</v>
      </c>
      <c r="M46" s="655">
        <f t="shared" si="6"/>
        <v>1</v>
      </c>
      <c r="N46" s="655">
        <f t="shared" si="6"/>
        <v>1</v>
      </c>
      <c r="O46" s="655">
        <f t="shared" si="6"/>
        <v>1</v>
      </c>
      <c r="P46" s="655">
        <f t="shared" si="6"/>
        <v>1</v>
      </c>
      <c r="Q46" s="655">
        <f t="shared" si="6"/>
        <v>1</v>
      </c>
      <c r="R46" s="655">
        <f t="shared" si="6"/>
        <v>1</v>
      </c>
      <c r="S46" s="655">
        <f t="shared" si="6"/>
        <v>1</v>
      </c>
      <c r="T46" s="655">
        <f t="shared" si="6"/>
        <v>1</v>
      </c>
      <c r="U46" s="655">
        <f t="shared" si="6"/>
        <v>1</v>
      </c>
      <c r="V46" s="655">
        <f t="shared" si="6"/>
        <v>1</v>
      </c>
      <c r="W46" s="655">
        <f t="shared" si="6"/>
        <v>1</v>
      </c>
      <c r="X46" s="655">
        <f t="shared" si="6"/>
        <v>1</v>
      </c>
      <c r="Y46" s="655">
        <f t="shared" si="6"/>
        <v>1</v>
      </c>
    </row>
    <row r="47" spans="10:25">
      <c r="J47" s="655">
        <f t="shared" si="7"/>
        <v>1</v>
      </c>
      <c r="K47" s="655">
        <f t="shared" si="6"/>
        <v>1</v>
      </c>
      <c r="L47" s="655">
        <f t="shared" si="6"/>
        <v>1</v>
      </c>
      <c r="M47" s="655">
        <f t="shared" si="6"/>
        <v>1</v>
      </c>
      <c r="N47" s="655">
        <f t="shared" si="6"/>
        <v>1</v>
      </c>
      <c r="O47" s="655">
        <f t="shared" si="6"/>
        <v>1</v>
      </c>
      <c r="P47" s="655">
        <f t="shared" si="6"/>
        <v>1</v>
      </c>
      <c r="Q47" s="655">
        <f t="shared" si="6"/>
        <v>1</v>
      </c>
      <c r="R47" s="655">
        <f t="shared" si="6"/>
        <v>1</v>
      </c>
      <c r="S47" s="655">
        <f t="shared" si="6"/>
        <v>1</v>
      </c>
      <c r="T47" s="655">
        <f t="shared" si="6"/>
        <v>1</v>
      </c>
      <c r="U47" s="655">
        <f t="shared" si="6"/>
        <v>1</v>
      </c>
      <c r="V47" s="655">
        <f t="shared" si="6"/>
        <v>1</v>
      </c>
      <c r="W47" s="655">
        <f t="shared" si="6"/>
        <v>1</v>
      </c>
      <c r="X47" s="655">
        <f t="shared" si="6"/>
        <v>1</v>
      </c>
      <c r="Y47" s="655">
        <f t="shared" si="6"/>
        <v>1</v>
      </c>
    </row>
    <row r="48" spans="10:25">
      <c r="J48" s="655">
        <f t="shared" si="7"/>
        <v>1</v>
      </c>
      <c r="K48" s="655">
        <f t="shared" si="6"/>
        <v>1</v>
      </c>
      <c r="L48" s="655">
        <f t="shared" si="6"/>
        <v>1</v>
      </c>
      <c r="M48" s="655">
        <f t="shared" si="6"/>
        <v>1</v>
      </c>
      <c r="N48" s="655">
        <f t="shared" si="6"/>
        <v>1</v>
      </c>
      <c r="O48" s="655">
        <f t="shared" si="6"/>
        <v>1</v>
      </c>
      <c r="P48" s="655">
        <f t="shared" si="6"/>
        <v>1</v>
      </c>
      <c r="Q48" s="655">
        <f t="shared" si="6"/>
        <v>1</v>
      </c>
      <c r="R48" s="655">
        <f t="shared" si="6"/>
        <v>1</v>
      </c>
      <c r="S48" s="655">
        <f t="shared" si="6"/>
        <v>1</v>
      </c>
      <c r="T48" s="655">
        <f t="shared" si="6"/>
        <v>1</v>
      </c>
      <c r="U48" s="655">
        <f t="shared" si="6"/>
        <v>1</v>
      </c>
      <c r="V48" s="655">
        <f t="shared" si="6"/>
        <v>1</v>
      </c>
      <c r="W48" s="655">
        <f t="shared" si="6"/>
        <v>1</v>
      </c>
      <c r="X48" s="655">
        <f t="shared" si="6"/>
        <v>1</v>
      </c>
      <c r="Y48" s="655">
        <f t="shared" si="6"/>
        <v>1</v>
      </c>
    </row>
    <row r="49" spans="10:25">
      <c r="J49" s="655">
        <f t="shared" si="7"/>
        <v>1</v>
      </c>
      <c r="K49" s="655">
        <f t="shared" si="6"/>
        <v>1</v>
      </c>
      <c r="L49" s="655">
        <f t="shared" si="6"/>
        <v>1</v>
      </c>
      <c r="M49" s="655">
        <f t="shared" si="6"/>
        <v>1</v>
      </c>
      <c r="N49" s="655">
        <f t="shared" si="6"/>
        <v>1</v>
      </c>
      <c r="O49" s="655">
        <f t="shared" si="6"/>
        <v>1</v>
      </c>
      <c r="P49" s="655">
        <f t="shared" si="6"/>
        <v>1</v>
      </c>
      <c r="Q49" s="655">
        <f t="shared" si="6"/>
        <v>1</v>
      </c>
      <c r="R49" s="655">
        <f t="shared" si="6"/>
        <v>1</v>
      </c>
      <c r="S49" s="655">
        <f t="shared" si="6"/>
        <v>1</v>
      </c>
      <c r="T49" s="655">
        <f t="shared" si="6"/>
        <v>1</v>
      </c>
      <c r="U49" s="655">
        <f t="shared" si="6"/>
        <v>1</v>
      </c>
      <c r="V49" s="655">
        <f t="shared" si="6"/>
        <v>1</v>
      </c>
      <c r="W49" s="655">
        <f t="shared" si="6"/>
        <v>1</v>
      </c>
      <c r="X49" s="655">
        <f t="shared" si="6"/>
        <v>1</v>
      </c>
      <c r="Y49" s="655">
        <f t="shared" si="6"/>
        <v>1</v>
      </c>
    </row>
    <row r="50" spans="10:25">
      <c r="J50" s="655">
        <f t="shared" si="7"/>
        <v>1</v>
      </c>
      <c r="K50" s="655">
        <f t="shared" si="6"/>
        <v>1</v>
      </c>
      <c r="L50" s="655">
        <f t="shared" si="6"/>
        <v>1</v>
      </c>
      <c r="M50" s="655">
        <f t="shared" si="6"/>
        <v>1</v>
      </c>
      <c r="N50" s="655">
        <f t="shared" si="6"/>
        <v>1</v>
      </c>
      <c r="O50" s="655">
        <f t="shared" si="6"/>
        <v>1</v>
      </c>
      <c r="P50" s="655">
        <f t="shared" si="6"/>
        <v>1</v>
      </c>
      <c r="Q50" s="655">
        <f t="shared" si="6"/>
        <v>1</v>
      </c>
      <c r="R50" s="655">
        <f t="shared" si="6"/>
        <v>1</v>
      </c>
      <c r="S50" s="655">
        <f t="shared" si="6"/>
        <v>1</v>
      </c>
      <c r="T50" s="655">
        <f t="shared" si="6"/>
        <v>1</v>
      </c>
      <c r="U50" s="655">
        <f t="shared" si="6"/>
        <v>1</v>
      </c>
      <c r="V50" s="655">
        <f t="shared" si="6"/>
        <v>1</v>
      </c>
      <c r="W50" s="655">
        <f t="shared" si="6"/>
        <v>1</v>
      </c>
      <c r="X50" s="655">
        <f t="shared" si="6"/>
        <v>1</v>
      </c>
      <c r="Y50" s="655">
        <f t="shared" si="6"/>
        <v>1</v>
      </c>
    </row>
    <row r="51" spans="10:25">
      <c r="J51" s="655">
        <f t="shared" si="7"/>
        <v>1</v>
      </c>
      <c r="K51" s="655">
        <f t="shared" si="6"/>
        <v>1</v>
      </c>
      <c r="L51" s="655">
        <f t="shared" si="6"/>
        <v>1</v>
      </c>
      <c r="M51" s="655">
        <f t="shared" si="6"/>
        <v>1</v>
      </c>
      <c r="N51" s="655">
        <f t="shared" si="6"/>
        <v>1</v>
      </c>
      <c r="O51" s="655">
        <f t="shared" si="6"/>
        <v>1</v>
      </c>
      <c r="P51" s="655">
        <f t="shared" si="6"/>
        <v>1</v>
      </c>
      <c r="Q51" s="655">
        <f t="shared" si="6"/>
        <v>1</v>
      </c>
      <c r="R51" s="655">
        <f t="shared" si="6"/>
        <v>1</v>
      </c>
      <c r="S51" s="655">
        <f t="shared" si="6"/>
        <v>1</v>
      </c>
      <c r="T51" s="655">
        <f t="shared" si="6"/>
        <v>1</v>
      </c>
      <c r="U51" s="655">
        <f t="shared" si="6"/>
        <v>1</v>
      </c>
      <c r="V51" s="655">
        <f t="shared" si="6"/>
        <v>1</v>
      </c>
      <c r="W51" s="655">
        <f t="shared" si="6"/>
        <v>1</v>
      </c>
      <c r="X51" s="655">
        <f t="shared" si="6"/>
        <v>1</v>
      </c>
      <c r="Y51" s="655">
        <f t="shared" si="6"/>
        <v>1</v>
      </c>
    </row>
    <row r="52" spans="10:25">
      <c r="J52" s="655">
        <f t="shared" si="7"/>
        <v>1</v>
      </c>
      <c r="K52" s="655">
        <f t="shared" si="6"/>
        <v>1</v>
      </c>
      <c r="L52" s="655">
        <f t="shared" si="6"/>
        <v>1</v>
      </c>
      <c r="M52" s="655">
        <f t="shared" si="6"/>
        <v>1</v>
      </c>
      <c r="N52" s="655">
        <f t="shared" si="6"/>
        <v>1</v>
      </c>
      <c r="O52" s="655">
        <f t="shared" si="6"/>
        <v>1</v>
      </c>
      <c r="P52" s="655">
        <f t="shared" si="6"/>
        <v>1</v>
      </c>
      <c r="Q52" s="655">
        <f t="shared" si="6"/>
        <v>1</v>
      </c>
      <c r="R52" s="655">
        <f t="shared" si="6"/>
        <v>1</v>
      </c>
      <c r="S52" s="655">
        <f t="shared" si="6"/>
        <v>1</v>
      </c>
      <c r="T52" s="655">
        <f t="shared" si="6"/>
        <v>1</v>
      </c>
      <c r="U52" s="655">
        <f t="shared" si="6"/>
        <v>1</v>
      </c>
      <c r="V52" s="655">
        <f t="shared" si="6"/>
        <v>1</v>
      </c>
      <c r="W52" s="655">
        <f t="shared" si="6"/>
        <v>1</v>
      </c>
      <c r="X52" s="655">
        <f t="shared" si="6"/>
        <v>1</v>
      </c>
      <c r="Y52" s="655">
        <f t="shared" si="6"/>
        <v>1</v>
      </c>
    </row>
    <row r="53" spans="10:25">
      <c r="J53" s="655">
        <f t="shared" si="7"/>
        <v>1</v>
      </c>
      <c r="K53" s="655">
        <f t="shared" si="6"/>
        <v>1</v>
      </c>
      <c r="L53" s="655">
        <f t="shared" si="6"/>
        <v>1</v>
      </c>
      <c r="M53" s="655">
        <f t="shared" si="6"/>
        <v>1</v>
      </c>
      <c r="N53" s="655">
        <f t="shared" si="6"/>
        <v>1</v>
      </c>
      <c r="O53" s="655">
        <f t="shared" si="6"/>
        <v>1</v>
      </c>
      <c r="P53" s="655">
        <f t="shared" si="6"/>
        <v>1</v>
      </c>
      <c r="Q53" s="655">
        <f t="shared" si="6"/>
        <v>1</v>
      </c>
      <c r="R53" s="655">
        <f t="shared" si="6"/>
        <v>1</v>
      </c>
      <c r="S53" s="655">
        <f t="shared" si="6"/>
        <v>1</v>
      </c>
      <c r="T53" s="655">
        <f t="shared" si="6"/>
        <v>1</v>
      </c>
      <c r="U53" s="655">
        <f t="shared" si="6"/>
        <v>1</v>
      </c>
      <c r="V53" s="655">
        <f t="shared" si="6"/>
        <v>1</v>
      </c>
      <c r="W53" s="655">
        <f t="shared" si="6"/>
        <v>1</v>
      </c>
      <c r="X53" s="655">
        <f t="shared" si="6"/>
        <v>1</v>
      </c>
      <c r="Y53" s="655">
        <f t="shared" si="6"/>
        <v>1</v>
      </c>
    </row>
    <row r="54" spans="10:25">
      <c r="J54" s="655">
        <f t="shared" si="7"/>
        <v>1</v>
      </c>
      <c r="K54" s="655">
        <f t="shared" si="6"/>
        <v>1</v>
      </c>
      <c r="L54" s="655">
        <f t="shared" si="6"/>
        <v>1</v>
      </c>
      <c r="M54" s="655">
        <f t="shared" si="6"/>
        <v>1</v>
      </c>
      <c r="N54" s="655">
        <f t="shared" si="6"/>
        <v>1</v>
      </c>
      <c r="O54" s="655">
        <f t="shared" si="6"/>
        <v>1</v>
      </c>
      <c r="P54" s="655">
        <f t="shared" si="6"/>
        <v>1</v>
      </c>
      <c r="Q54" s="655">
        <f t="shared" si="6"/>
        <v>1</v>
      </c>
      <c r="R54" s="655">
        <f t="shared" si="6"/>
        <v>1</v>
      </c>
      <c r="S54" s="655">
        <f t="shared" si="6"/>
        <v>1</v>
      </c>
      <c r="T54" s="655">
        <f t="shared" si="6"/>
        <v>1</v>
      </c>
      <c r="U54" s="655">
        <f t="shared" si="6"/>
        <v>1</v>
      </c>
      <c r="V54" s="655">
        <f t="shared" si="6"/>
        <v>1</v>
      </c>
      <c r="W54" s="655">
        <f t="shared" si="6"/>
        <v>1</v>
      </c>
      <c r="X54" s="655">
        <f t="shared" si="6"/>
        <v>1</v>
      </c>
      <c r="Y54" s="655">
        <f t="shared" si="6"/>
        <v>1</v>
      </c>
    </row>
    <row r="55" spans="10:25">
      <c r="J55" s="655">
        <f t="shared" si="7"/>
        <v>1</v>
      </c>
      <c r="K55" s="655">
        <f t="shared" si="6"/>
        <v>1</v>
      </c>
      <c r="L55" s="655">
        <f t="shared" si="6"/>
        <v>1</v>
      </c>
      <c r="M55" s="655">
        <f t="shared" si="6"/>
        <v>1</v>
      </c>
      <c r="N55" s="655">
        <f t="shared" si="6"/>
        <v>1</v>
      </c>
      <c r="O55" s="655">
        <f t="shared" si="6"/>
        <v>1</v>
      </c>
      <c r="P55" s="655">
        <f t="shared" si="6"/>
        <v>1</v>
      </c>
      <c r="Q55" s="655">
        <f t="shared" si="6"/>
        <v>1</v>
      </c>
      <c r="R55" s="655">
        <f t="shared" si="6"/>
        <v>1</v>
      </c>
      <c r="S55" s="655">
        <f t="shared" si="6"/>
        <v>1</v>
      </c>
      <c r="T55" s="655">
        <f t="shared" si="6"/>
        <v>1</v>
      </c>
      <c r="U55" s="655">
        <f t="shared" si="6"/>
        <v>1</v>
      </c>
      <c r="V55" s="655">
        <f t="shared" si="6"/>
        <v>1</v>
      </c>
      <c r="W55" s="655">
        <f t="shared" si="6"/>
        <v>1</v>
      </c>
      <c r="X55" s="655">
        <f t="shared" si="6"/>
        <v>1</v>
      </c>
      <c r="Y55" s="655">
        <f t="shared" ref="K55:Y64" si="8">IF($I55&gt;Y$2, 0, 1)</f>
        <v>1</v>
      </c>
    </row>
    <row r="56" spans="10:25">
      <c r="J56" s="655">
        <f t="shared" si="7"/>
        <v>1</v>
      </c>
      <c r="K56" s="655">
        <f t="shared" si="8"/>
        <v>1</v>
      </c>
      <c r="L56" s="655">
        <f t="shared" si="8"/>
        <v>1</v>
      </c>
      <c r="M56" s="655">
        <f t="shared" si="8"/>
        <v>1</v>
      </c>
      <c r="N56" s="655">
        <f t="shared" si="8"/>
        <v>1</v>
      </c>
      <c r="O56" s="655">
        <f t="shared" si="8"/>
        <v>1</v>
      </c>
      <c r="P56" s="655">
        <f t="shared" si="8"/>
        <v>1</v>
      </c>
      <c r="Q56" s="655">
        <f t="shared" si="8"/>
        <v>1</v>
      </c>
      <c r="R56" s="655">
        <f t="shared" si="8"/>
        <v>1</v>
      </c>
      <c r="S56" s="655">
        <f t="shared" si="8"/>
        <v>1</v>
      </c>
      <c r="T56" s="655">
        <f t="shared" si="8"/>
        <v>1</v>
      </c>
      <c r="U56" s="655">
        <f t="shared" si="8"/>
        <v>1</v>
      </c>
      <c r="V56" s="655">
        <f t="shared" si="8"/>
        <v>1</v>
      </c>
      <c r="W56" s="655">
        <f t="shared" si="8"/>
        <v>1</v>
      </c>
      <c r="X56" s="655">
        <f t="shared" si="8"/>
        <v>1</v>
      </c>
      <c r="Y56" s="655">
        <f t="shared" si="8"/>
        <v>1</v>
      </c>
    </row>
    <row r="57" spans="10:25">
      <c r="J57" s="655">
        <f t="shared" si="7"/>
        <v>1</v>
      </c>
      <c r="K57" s="655">
        <f t="shared" si="8"/>
        <v>1</v>
      </c>
      <c r="L57" s="655">
        <f t="shared" si="8"/>
        <v>1</v>
      </c>
      <c r="M57" s="655">
        <f t="shared" si="8"/>
        <v>1</v>
      </c>
      <c r="N57" s="655">
        <f t="shared" si="8"/>
        <v>1</v>
      </c>
      <c r="O57" s="655">
        <f t="shared" si="8"/>
        <v>1</v>
      </c>
      <c r="P57" s="655">
        <f t="shared" si="8"/>
        <v>1</v>
      </c>
      <c r="Q57" s="655">
        <f t="shared" si="8"/>
        <v>1</v>
      </c>
      <c r="R57" s="655">
        <f t="shared" si="8"/>
        <v>1</v>
      </c>
      <c r="S57" s="655">
        <f t="shared" si="8"/>
        <v>1</v>
      </c>
      <c r="T57" s="655">
        <f t="shared" si="8"/>
        <v>1</v>
      </c>
      <c r="U57" s="655">
        <f t="shared" si="8"/>
        <v>1</v>
      </c>
      <c r="V57" s="655">
        <f t="shared" si="8"/>
        <v>1</v>
      </c>
      <c r="W57" s="655">
        <f t="shared" si="8"/>
        <v>1</v>
      </c>
      <c r="X57" s="655">
        <f t="shared" si="8"/>
        <v>1</v>
      </c>
      <c r="Y57" s="655">
        <f t="shared" si="8"/>
        <v>1</v>
      </c>
    </row>
    <row r="58" spans="10:25">
      <c r="J58" s="655">
        <f t="shared" si="7"/>
        <v>1</v>
      </c>
      <c r="K58" s="655">
        <f t="shared" si="8"/>
        <v>1</v>
      </c>
      <c r="L58" s="655">
        <f t="shared" si="8"/>
        <v>1</v>
      </c>
      <c r="M58" s="655">
        <f t="shared" si="8"/>
        <v>1</v>
      </c>
      <c r="N58" s="655">
        <f t="shared" si="8"/>
        <v>1</v>
      </c>
      <c r="O58" s="655">
        <f t="shared" si="8"/>
        <v>1</v>
      </c>
      <c r="P58" s="655">
        <f t="shared" si="8"/>
        <v>1</v>
      </c>
      <c r="Q58" s="655">
        <f t="shared" si="8"/>
        <v>1</v>
      </c>
      <c r="R58" s="655">
        <f t="shared" si="8"/>
        <v>1</v>
      </c>
      <c r="S58" s="655">
        <f t="shared" si="8"/>
        <v>1</v>
      </c>
      <c r="T58" s="655">
        <f t="shared" si="8"/>
        <v>1</v>
      </c>
      <c r="U58" s="655">
        <f t="shared" si="8"/>
        <v>1</v>
      </c>
      <c r="V58" s="655">
        <f t="shared" si="8"/>
        <v>1</v>
      </c>
      <c r="W58" s="655">
        <f t="shared" si="8"/>
        <v>1</v>
      </c>
      <c r="X58" s="655">
        <f t="shared" si="8"/>
        <v>1</v>
      </c>
      <c r="Y58" s="655">
        <f t="shared" si="8"/>
        <v>1</v>
      </c>
    </row>
    <row r="59" spans="10:25">
      <c r="J59" s="655">
        <f t="shared" si="7"/>
        <v>1</v>
      </c>
      <c r="K59" s="655">
        <f t="shared" si="8"/>
        <v>1</v>
      </c>
      <c r="L59" s="655">
        <f t="shared" si="8"/>
        <v>1</v>
      </c>
      <c r="M59" s="655">
        <f t="shared" si="8"/>
        <v>1</v>
      </c>
      <c r="N59" s="655">
        <f t="shared" si="8"/>
        <v>1</v>
      </c>
      <c r="O59" s="655">
        <f t="shared" si="8"/>
        <v>1</v>
      </c>
      <c r="P59" s="655">
        <f t="shared" si="8"/>
        <v>1</v>
      </c>
      <c r="Q59" s="655">
        <f t="shared" si="8"/>
        <v>1</v>
      </c>
      <c r="R59" s="655">
        <f t="shared" si="8"/>
        <v>1</v>
      </c>
      <c r="S59" s="655">
        <f t="shared" si="8"/>
        <v>1</v>
      </c>
      <c r="T59" s="655">
        <f t="shared" si="8"/>
        <v>1</v>
      </c>
      <c r="U59" s="655">
        <f t="shared" si="8"/>
        <v>1</v>
      </c>
      <c r="V59" s="655">
        <f t="shared" si="8"/>
        <v>1</v>
      </c>
      <c r="W59" s="655">
        <f t="shared" si="8"/>
        <v>1</v>
      </c>
      <c r="X59" s="655">
        <f t="shared" si="8"/>
        <v>1</v>
      </c>
      <c r="Y59" s="655">
        <f t="shared" si="8"/>
        <v>1</v>
      </c>
    </row>
    <row r="60" spans="10:25">
      <c r="J60" s="655">
        <f t="shared" si="7"/>
        <v>1</v>
      </c>
      <c r="K60" s="655">
        <f t="shared" si="8"/>
        <v>1</v>
      </c>
      <c r="L60" s="655">
        <f t="shared" si="8"/>
        <v>1</v>
      </c>
      <c r="M60" s="655">
        <f t="shared" si="8"/>
        <v>1</v>
      </c>
      <c r="N60" s="655">
        <f t="shared" si="8"/>
        <v>1</v>
      </c>
      <c r="O60" s="655">
        <f t="shared" si="8"/>
        <v>1</v>
      </c>
      <c r="P60" s="655">
        <f t="shared" si="8"/>
        <v>1</v>
      </c>
      <c r="Q60" s="655">
        <f t="shared" si="8"/>
        <v>1</v>
      </c>
      <c r="R60" s="655">
        <f t="shared" si="8"/>
        <v>1</v>
      </c>
      <c r="S60" s="655">
        <f t="shared" si="8"/>
        <v>1</v>
      </c>
      <c r="T60" s="655">
        <f t="shared" si="8"/>
        <v>1</v>
      </c>
      <c r="U60" s="655">
        <f t="shared" si="8"/>
        <v>1</v>
      </c>
      <c r="V60" s="655">
        <f t="shared" si="8"/>
        <v>1</v>
      </c>
      <c r="W60" s="655">
        <f t="shared" si="8"/>
        <v>1</v>
      </c>
      <c r="X60" s="655">
        <f t="shared" si="8"/>
        <v>1</v>
      </c>
      <c r="Y60" s="655">
        <f t="shared" si="8"/>
        <v>1</v>
      </c>
    </row>
    <row r="61" spans="10:25">
      <c r="J61" s="655">
        <f t="shared" si="7"/>
        <v>1</v>
      </c>
      <c r="K61" s="655">
        <f t="shared" si="8"/>
        <v>1</v>
      </c>
      <c r="L61" s="655">
        <f t="shared" si="8"/>
        <v>1</v>
      </c>
      <c r="M61" s="655">
        <f t="shared" si="8"/>
        <v>1</v>
      </c>
      <c r="N61" s="655">
        <f t="shared" si="8"/>
        <v>1</v>
      </c>
      <c r="O61" s="655">
        <f t="shared" si="8"/>
        <v>1</v>
      </c>
      <c r="P61" s="655">
        <f t="shared" si="8"/>
        <v>1</v>
      </c>
      <c r="Q61" s="655">
        <f t="shared" si="8"/>
        <v>1</v>
      </c>
      <c r="R61" s="655">
        <f t="shared" si="8"/>
        <v>1</v>
      </c>
      <c r="S61" s="655">
        <f t="shared" si="8"/>
        <v>1</v>
      </c>
      <c r="T61" s="655">
        <f t="shared" si="8"/>
        <v>1</v>
      </c>
      <c r="U61" s="655">
        <f t="shared" si="8"/>
        <v>1</v>
      </c>
      <c r="V61" s="655">
        <f t="shared" si="8"/>
        <v>1</v>
      </c>
      <c r="W61" s="655">
        <f t="shared" si="8"/>
        <v>1</v>
      </c>
      <c r="X61" s="655">
        <f t="shared" si="8"/>
        <v>1</v>
      </c>
      <c r="Y61" s="655">
        <f t="shared" si="8"/>
        <v>1</v>
      </c>
    </row>
    <row r="62" spans="10:25">
      <c r="J62" s="655">
        <f t="shared" si="7"/>
        <v>1</v>
      </c>
      <c r="K62" s="655">
        <f t="shared" si="8"/>
        <v>1</v>
      </c>
      <c r="L62" s="655">
        <f t="shared" si="8"/>
        <v>1</v>
      </c>
      <c r="M62" s="655">
        <f t="shared" si="8"/>
        <v>1</v>
      </c>
      <c r="N62" s="655">
        <f t="shared" si="8"/>
        <v>1</v>
      </c>
      <c r="O62" s="655">
        <f t="shared" si="8"/>
        <v>1</v>
      </c>
      <c r="P62" s="655">
        <f t="shared" si="8"/>
        <v>1</v>
      </c>
      <c r="Q62" s="655">
        <f t="shared" si="8"/>
        <v>1</v>
      </c>
      <c r="R62" s="655">
        <f t="shared" si="8"/>
        <v>1</v>
      </c>
      <c r="S62" s="655">
        <f t="shared" si="8"/>
        <v>1</v>
      </c>
      <c r="T62" s="655">
        <f t="shared" si="8"/>
        <v>1</v>
      </c>
      <c r="U62" s="655">
        <f t="shared" si="8"/>
        <v>1</v>
      </c>
      <c r="V62" s="655">
        <f t="shared" si="8"/>
        <v>1</v>
      </c>
      <c r="W62" s="655">
        <f t="shared" si="8"/>
        <v>1</v>
      </c>
      <c r="X62" s="655">
        <f t="shared" si="8"/>
        <v>1</v>
      </c>
      <c r="Y62" s="655">
        <f t="shared" si="8"/>
        <v>1</v>
      </c>
    </row>
    <row r="63" spans="10:25">
      <c r="J63" s="655">
        <f t="shared" si="7"/>
        <v>1</v>
      </c>
      <c r="K63" s="655">
        <f t="shared" si="8"/>
        <v>1</v>
      </c>
      <c r="L63" s="655">
        <f t="shared" si="8"/>
        <v>1</v>
      </c>
      <c r="M63" s="655">
        <f t="shared" si="8"/>
        <v>1</v>
      </c>
      <c r="N63" s="655">
        <f t="shared" si="8"/>
        <v>1</v>
      </c>
      <c r="O63" s="655">
        <f t="shared" si="8"/>
        <v>1</v>
      </c>
      <c r="P63" s="655">
        <f t="shared" si="8"/>
        <v>1</v>
      </c>
      <c r="Q63" s="655">
        <f t="shared" si="8"/>
        <v>1</v>
      </c>
      <c r="R63" s="655">
        <f t="shared" si="8"/>
        <v>1</v>
      </c>
      <c r="S63" s="655">
        <f t="shared" si="8"/>
        <v>1</v>
      </c>
      <c r="T63" s="655">
        <f t="shared" si="8"/>
        <v>1</v>
      </c>
      <c r="U63" s="655">
        <f t="shared" si="8"/>
        <v>1</v>
      </c>
      <c r="V63" s="655">
        <f t="shared" si="8"/>
        <v>1</v>
      </c>
      <c r="W63" s="655">
        <f t="shared" si="8"/>
        <v>1</v>
      </c>
      <c r="X63" s="655">
        <f t="shared" si="8"/>
        <v>1</v>
      </c>
      <c r="Y63" s="655">
        <f t="shared" si="8"/>
        <v>1</v>
      </c>
    </row>
    <row r="64" spans="10:25">
      <c r="J64" s="655">
        <f t="shared" si="7"/>
        <v>1</v>
      </c>
      <c r="K64" s="655">
        <f t="shared" si="8"/>
        <v>1</v>
      </c>
      <c r="L64" s="655">
        <f t="shared" si="8"/>
        <v>1</v>
      </c>
      <c r="M64" s="655">
        <f t="shared" si="8"/>
        <v>1</v>
      </c>
      <c r="N64" s="655">
        <f t="shared" si="8"/>
        <v>1</v>
      </c>
      <c r="O64" s="655">
        <f t="shared" si="8"/>
        <v>1</v>
      </c>
      <c r="P64" s="655">
        <f t="shared" si="8"/>
        <v>1</v>
      </c>
      <c r="Q64" s="655">
        <f t="shared" si="8"/>
        <v>1</v>
      </c>
      <c r="R64" s="655">
        <f t="shared" si="8"/>
        <v>1</v>
      </c>
      <c r="S64" s="655">
        <f t="shared" si="8"/>
        <v>1</v>
      </c>
      <c r="T64" s="655">
        <f t="shared" si="8"/>
        <v>1</v>
      </c>
      <c r="U64" s="655">
        <f t="shared" si="8"/>
        <v>1</v>
      </c>
      <c r="V64" s="655">
        <f t="shared" si="8"/>
        <v>1</v>
      </c>
      <c r="W64" s="655">
        <f t="shared" si="8"/>
        <v>1</v>
      </c>
      <c r="X64" s="655">
        <f t="shared" si="8"/>
        <v>1</v>
      </c>
      <c r="Y64" s="655">
        <f t="shared" si="8"/>
        <v>1</v>
      </c>
    </row>
  </sheetData>
  <mergeCells count="1">
    <mergeCell ref="J1:Y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FDE83C1B-9572-48A8-8807-D59CF302F9F6}">
            <xm:f>D3='Project List References'!$B$3</xm:f>
            <x14:dxf>
              <fill>
                <patternFill>
                  <bgColor rgb="FF92D050"/>
                </patternFill>
              </fill>
            </x14:dxf>
          </x14:cfRule>
          <x14:cfRule type="expression" priority="14" id="{4AC6CD6E-8ADE-4A69-8ADF-37BFC1BF4C0D}">
            <xm:f>D3='Project List References'!$B$4</xm:f>
            <x14:dxf>
              <fill>
                <patternFill>
                  <bgColor rgb="FF92D050"/>
                </patternFill>
              </fill>
            </x14:dxf>
          </x14:cfRule>
          <x14:cfRule type="expression" priority="15" id="{FE2ACBCD-5886-4E8F-B1DE-F31132E2970C}">
            <xm:f>D3='Project List References'!$B$5</xm:f>
            <x14:dxf>
              <fill>
                <patternFill>
                  <bgColor rgb="FF92D050"/>
                </patternFill>
              </fill>
            </x14:dxf>
          </x14:cfRule>
          <x14:cfRule type="expression" priority="16" id="{1919B615-0200-48CE-8242-1508D2B962C1}">
            <xm:f>D3='Project List References'!$B$6</xm:f>
            <x14:dxf>
              <fill>
                <patternFill>
                  <bgColor rgb="FF92D050"/>
                </patternFill>
              </fill>
            </x14:dxf>
          </x14:cfRule>
          <x14:cfRule type="expression" priority="17" id="{F9263CFB-784C-4B36-96F1-BB303FA5F63E}">
            <xm:f>D3='Project List References'!$B$7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FDA32C3B-FE54-4670-833D-9DC314370037}">
            <xm:f>D3='Project List References'!$B$8</xm:f>
            <x14:dxf>
              <fill>
                <patternFill>
                  <bgColor rgb="FFFF0000"/>
                </patternFill>
              </fill>
            </x14:dxf>
          </x14:cfRule>
          <xm:sqref>E3:E22</xm:sqref>
        </x14:conditionalFormatting>
        <x14:conditionalFormatting xmlns:xm="http://schemas.microsoft.com/office/excel/2006/main">
          <x14:cfRule type="expression" priority="19" id="{00E79122-D26A-4101-B38D-1FB40BBE9A52}">
            <xm:f>D3='Project List References'!$B$7</xm:f>
            <x14:dxf>
              <fill>
                <patternFill>
                  <bgColor rgb="FF92D050"/>
                </patternFill>
              </fill>
            </x14:dxf>
          </x14:cfRule>
          <x14:cfRule type="expression" priority="20" id="{ACD10E32-EB53-4597-ABA9-C3282BC7B0E9}">
            <xm:f>D3='Project List References'!$B$8</xm:f>
            <x14:dxf>
              <fill>
                <patternFill>
                  <bgColor rgb="FF92D050"/>
                </patternFill>
              </fill>
            </x14:dxf>
          </x14:cfRule>
          <x14:cfRule type="expression" priority="21" id="{F0AC92CA-6A92-4EAA-B0E8-C5E938488154}">
            <xm:f>D3='Project List References'!$B$3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D5465D04-6876-4C7E-9804-B67003AE5078}">
            <xm:f>D3='Project List References'!$B$4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06781E57-131E-4FB1-87F0-78B61DE8C905}">
            <xm:f>D3='Project List References'!$B$5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6475CF5D-BB86-40E5-B106-2CDA51DD521F}">
            <xm:f>D3='Project List References'!$B$6</xm:f>
            <x14:dxf>
              <fill>
                <patternFill>
                  <bgColor rgb="FFFF0000"/>
                </patternFill>
              </fill>
            </x14:dxf>
          </x14:cfRule>
          <xm:sqref>F3:F22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046C14-4623-4CD5-8993-5E18F95DCE0F}">
          <x14:formula1>
            <xm:f>'Project List References'!$B$3:$B$8</xm:f>
          </x14:formula1>
          <xm:sqref>F27:F30 D3:D22 C10:C22</xm:sqref>
        </x14:dataValidation>
        <x14:dataValidation type="list" allowBlank="1" showInputMessage="1" showErrorMessage="1" xr:uid="{28A28781-C31B-46FB-8FFE-5DB9B703AF37}">
          <x14:formula1>
            <xm:f>'Project List References'!$H$3:$H$52</xm:f>
          </x14:formula1>
          <xm:sqref>C3:C9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30CC-1E36-4343-9C69-D8AD13E1A465}">
  <dimension ref="A1:DG60"/>
  <sheetViews>
    <sheetView workbookViewId="0">
      <selection activeCell="A10" sqref="A10"/>
    </sheetView>
  </sheetViews>
  <sheetFormatPr baseColWidth="10" defaultColWidth="9.1640625" defaultRowHeight="15"/>
  <cols>
    <col min="1" max="1" width="30.1640625" style="655" customWidth="1"/>
    <col min="2" max="2" width="23" style="655" customWidth="1"/>
    <col min="3" max="3" width="18.1640625" style="655" customWidth="1"/>
    <col min="4" max="4" width="5.6640625" style="655" customWidth="1"/>
    <col min="5" max="20" width="12.6640625" style="655" customWidth="1"/>
    <col min="21" max="16384" width="9.1640625" style="655"/>
  </cols>
  <sheetData>
    <row r="1" spans="1:111" ht="27">
      <c r="A1" s="656" t="s">
        <v>51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8"/>
      <c r="AI1" s="658"/>
      <c r="AJ1" s="658"/>
      <c r="AK1" s="658"/>
      <c r="AL1" s="658"/>
      <c r="AM1" s="658"/>
      <c r="AN1" s="658"/>
      <c r="AO1" s="658"/>
      <c r="AP1" s="658"/>
      <c r="AQ1" s="658"/>
      <c r="AR1" s="658"/>
      <c r="AS1" s="658"/>
      <c r="AT1" s="658"/>
      <c r="AU1" s="658"/>
      <c r="AV1" s="658"/>
      <c r="AW1" s="658"/>
      <c r="AX1" s="658"/>
      <c r="AY1" s="658"/>
      <c r="AZ1" s="658"/>
      <c r="BA1" s="658"/>
      <c r="BB1" s="658"/>
      <c r="BC1" s="658"/>
      <c r="BD1" s="658"/>
      <c r="BE1" s="658"/>
      <c r="BF1" s="658"/>
      <c r="BG1" s="658"/>
      <c r="BH1" s="658"/>
      <c r="BI1" s="658"/>
      <c r="BJ1" s="658"/>
      <c r="BK1" s="658"/>
      <c r="BL1" s="658"/>
      <c r="BM1" s="658"/>
      <c r="BN1" s="658"/>
      <c r="BO1" s="658"/>
      <c r="BP1" s="658"/>
      <c r="BQ1" s="658"/>
      <c r="BR1" s="658"/>
      <c r="BS1" s="658"/>
      <c r="BT1" s="658"/>
      <c r="BU1" s="658"/>
      <c r="BV1" s="658"/>
      <c r="BW1" s="658"/>
      <c r="BX1" s="658"/>
      <c r="BY1" s="658"/>
      <c r="BZ1" s="658"/>
      <c r="CA1" s="658"/>
      <c r="CB1" s="658"/>
      <c r="CC1" s="658"/>
      <c r="CD1" s="658"/>
      <c r="CE1" s="658"/>
      <c r="CF1" s="658"/>
      <c r="CG1" s="658"/>
      <c r="CH1" s="658"/>
      <c r="CI1" s="658"/>
      <c r="CJ1" s="658"/>
      <c r="CK1" s="658"/>
      <c r="CL1" s="658"/>
      <c r="CM1" s="658"/>
      <c r="CN1" s="658"/>
      <c r="CO1" s="658"/>
      <c r="CP1" s="658"/>
      <c r="CQ1" s="658"/>
      <c r="CR1" s="658"/>
      <c r="CS1" s="658"/>
      <c r="CT1" s="658"/>
      <c r="CU1" s="658"/>
      <c r="CV1" s="658"/>
      <c r="CW1" s="658"/>
      <c r="CX1" s="658"/>
      <c r="CY1" s="658"/>
      <c r="CZ1" s="658"/>
      <c r="DA1" s="658"/>
      <c r="DB1" s="658"/>
      <c r="DC1" s="658"/>
      <c r="DD1" s="658"/>
      <c r="DE1" s="658"/>
      <c r="DF1" s="658"/>
      <c r="DG1" s="658"/>
    </row>
    <row r="2" spans="1:111">
      <c r="A2" s="655" t="s">
        <v>52</v>
      </c>
      <c r="B2" s="655" t="s">
        <v>45</v>
      </c>
      <c r="C2" s="655" t="s">
        <v>53</v>
      </c>
      <c r="E2" s="655">
        <v>0</v>
      </c>
      <c r="F2" s="655">
        <f>E2+1</f>
        <v>1</v>
      </c>
      <c r="G2" s="655">
        <f t="shared" ref="G2:T2" si="0">F2+1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111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_xlfn.XLOOKUP(A3, 'Project Master Sheet'!A:A, 'Project Master Sheet'!I:I)</f>
        <v>1</v>
      </c>
      <c r="E3" s="661">
        <f>IF($B3='Project List References'!$B$3, _xlfn.IFNA(_xlfn.XLOOKUP(E$2-$C3, 'GEN-CCGT'!$D$7:$AW$7, 'GEN-CCGT'!$D$24:$AW$24), 0), IF($B3='Project List References'!$B$4, _xlfn.IFNA(_xlfn.XLOOKUP(E$2-$C3, 'GEN-SOLAR'!$D$7:$AW$7, 'GEN-SOLAR'!$D$24:$AW$24), 0), IF($B3='Project List References'!$B$5, _xlfn.IFNA(_xlfn.XLOOKUP(E$2-$C3, 'GEN-BESS'!$D$7:$AW$7, 'GEN-BESS'!$D$24:$AW$24), 0), IF($B3='Project List References'!$B$6, _xlfn.IFNA(_xlfn.XLOOKUP(E$2-$C3, 'GEN-CARBON'!$D$7:$AW$7, 'GEN-CARBON'!$D$24:$AW$24), 0), IF($B3='Project List References'!$B$7, _xlfn.IFNA(_xlfn.XLOOKUP(E$2-$C3, 'SENS Coal'!$D$7:$AW$7, 'SENS Coal'!$D$24:$AW$24), 0), IF($B3='Project List References'!$B$8, _xlfn.IFNA(_xlfn.XLOOKUP(E$2-$C3,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F3" s="661">
        <f>IF($B3='Project List References'!$B$3, _xlfn.IFNA(_xlfn.XLOOKUP(F$2-$C3, 'GEN-CCGT'!$D$7:$AW$7, 'GEN-CCGT'!$D$24:$AW$24), 0), IF($B3='Project List References'!$B$4, _xlfn.IFNA(_xlfn.XLOOKUP(F$2-$C3, 'GEN-SOLAR'!$D$7:$AW$7, 'GEN-SOLAR'!$D$24:$AW$24), 0), IF($B3='Project List References'!$B$5, _xlfn.IFNA(_xlfn.XLOOKUP(F$2-$C3, 'GEN-BESS'!$D$7:$AW$7, 'GEN-BESS'!$D$24:$AW$24), 0), IF($B3='Project List References'!$B$6, _xlfn.IFNA(_xlfn.XLOOKUP(F$2-$C3, 'GEN-CARBON'!$D$7:$AW$7, 'GEN-CARBON'!$D$24:$AW$24), 0), IF($B3='Project List References'!$B$7, _xlfn.IFNA(_xlfn.XLOOKUP(F$2-$C3, 'SENS Coal'!$D$7:$AW$7, 'SENS Coal'!$D$24:$AW$24), 0), IF($B3='Project List References'!$B$8, _xlfn.IFNA(_xlfn.XLOOKUP(F$2-$C3,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-330</v>
      </c>
      <c r="G3" s="661">
        <f>IF($B3='Project List References'!$B$3, _xlfn.IFNA(_xlfn.XLOOKUP(G$2-$C3, 'GEN-CCGT'!$D$7:$AW$7, 'GEN-CCGT'!$D$24:$AW$24), 0), IF($B3='Project List References'!$B$4, _xlfn.IFNA(_xlfn.XLOOKUP(G$2-$C3, 'GEN-SOLAR'!$D$7:$AW$7, 'GEN-SOLAR'!$D$24:$AW$24), 0), IF($B3='Project List References'!$B$5, _xlfn.IFNA(_xlfn.XLOOKUP(G$2-$C3, 'GEN-BESS'!$D$7:$AW$7, 'GEN-BESS'!$D$24:$AW$24), 0), IF($B3='Project List References'!$B$6, _xlfn.IFNA(_xlfn.XLOOKUP(G$2-$C3, 'GEN-CARBON'!$D$7:$AW$7, 'GEN-CARBON'!$D$24:$AW$24), 0), IF($B3='Project List References'!$B$7, _xlfn.IFNA(_xlfn.XLOOKUP(G$2-$C3, 'SENS Coal'!$D$7:$AW$7, 'SENS Coal'!$D$24:$AW$24), 0), IF($B3='Project List References'!$B$8, _xlfn.IFNA(_xlfn.XLOOKUP(G$2-$C3,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-360</v>
      </c>
      <c r="H3" s="661">
        <f>IF($B3='Project List References'!$B$3, _xlfn.IFNA(_xlfn.XLOOKUP(H$2-$C3, 'GEN-CCGT'!$D$7:$AW$7, 'GEN-CCGT'!$D$24:$AW$24), 0), IF($B3='Project List References'!$B$4, _xlfn.IFNA(_xlfn.XLOOKUP(H$2-$C3, 'GEN-SOLAR'!$D$7:$AW$7, 'GEN-SOLAR'!$D$24:$AW$24), 0), IF($B3='Project List References'!$B$5, _xlfn.IFNA(_xlfn.XLOOKUP(H$2-$C3, 'GEN-BESS'!$D$7:$AW$7, 'GEN-BESS'!$D$24:$AW$24), 0), IF($B3='Project List References'!$B$6, _xlfn.IFNA(_xlfn.XLOOKUP(H$2-$C3, 'GEN-CARBON'!$D$7:$AW$7, 'GEN-CARBON'!$D$24:$AW$24), 0), IF($B3='Project List References'!$B$7, _xlfn.IFNA(_xlfn.XLOOKUP(H$2-$C3, 'SENS Coal'!$D$7:$AW$7, 'SENS Coal'!$D$24:$AW$24), 0), IF($B3='Project List References'!$B$8, _xlfn.IFNA(_xlfn.XLOOKUP(H$2-$C3,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-360</v>
      </c>
      <c r="I3" s="661">
        <f>IF($B3='Project List References'!$B$3, _xlfn.IFNA(_xlfn.XLOOKUP(I$2-$C3, 'GEN-CCGT'!$D$7:$AW$7, 'GEN-CCGT'!$D$24:$AW$24), 0), IF($B3='Project List References'!$B$4, _xlfn.IFNA(_xlfn.XLOOKUP(I$2-$C3, 'GEN-SOLAR'!$D$7:$AW$7, 'GEN-SOLAR'!$D$24:$AW$24), 0), IF($B3='Project List References'!$B$5, _xlfn.IFNA(_xlfn.XLOOKUP(I$2-$C3, 'GEN-BESS'!$D$7:$AW$7, 'GEN-BESS'!$D$24:$AW$24), 0), IF($B3='Project List References'!$B$6, _xlfn.IFNA(_xlfn.XLOOKUP(I$2-$C3, 'GEN-CARBON'!$D$7:$AW$7, 'GEN-CARBON'!$D$24:$AW$24), 0), IF($B3='Project List References'!$B$7, _xlfn.IFNA(_xlfn.XLOOKUP(I$2-$C3, 'SENS Coal'!$D$7:$AW$7, 'SENS Coal'!$D$24:$AW$24), 0), IF($B3='Project List References'!$B$8, _xlfn.IFNA(_xlfn.XLOOKUP(I$2-$C3,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-360</v>
      </c>
      <c r="J3" s="661">
        <f>IF($B3='Project List References'!$B$3, _xlfn.IFNA(_xlfn.XLOOKUP(J$2-$C3, 'GEN-CCGT'!$D$7:$AW$7, 'GEN-CCGT'!$D$24:$AW$24), 0), IF($B3='Project List References'!$B$4, _xlfn.IFNA(_xlfn.XLOOKUP(J$2-$C3, 'GEN-SOLAR'!$D$7:$AW$7, 'GEN-SOLAR'!$D$24:$AW$24), 0), IF($B3='Project List References'!$B$5, _xlfn.IFNA(_xlfn.XLOOKUP(J$2-$C3, 'GEN-BESS'!$D$7:$AW$7, 'GEN-BESS'!$D$24:$AW$24), 0), IF($B3='Project List References'!$B$6, _xlfn.IFNA(_xlfn.XLOOKUP(J$2-$C3, 'GEN-CARBON'!$D$7:$AW$7, 'GEN-CARBON'!$D$24:$AW$24), 0), IF($B3='Project List References'!$B$7, _xlfn.IFNA(_xlfn.XLOOKUP(J$2-$C3, 'SENS Coal'!$D$7:$AW$7, 'SENS Coal'!$D$24:$AW$24), 0), IF($B3='Project List References'!$B$8, _xlfn.IFNA(_xlfn.XLOOKUP(J$2-$C3,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-30</v>
      </c>
      <c r="K3" s="661">
        <f>IF($B3='Project List References'!$B$3, _xlfn.IFNA(_xlfn.XLOOKUP(K$2-$C3, 'GEN-CCGT'!$D$7:$AW$7, 'GEN-CCGT'!$D$24:$AW$24), 0), IF($B3='Project List References'!$B$4, _xlfn.IFNA(_xlfn.XLOOKUP(K$2-$C3, 'GEN-SOLAR'!$D$7:$AW$7, 'GEN-SOLAR'!$D$24:$AW$24), 0), IF($B3='Project List References'!$B$5, _xlfn.IFNA(_xlfn.XLOOKUP(K$2-$C3, 'GEN-BESS'!$D$7:$AW$7, 'GEN-BESS'!$D$24:$AW$24), 0), IF($B3='Project List References'!$B$6, _xlfn.IFNA(_xlfn.XLOOKUP(K$2-$C3, 'GEN-CARBON'!$D$7:$AW$7, 'GEN-CARBON'!$D$24:$AW$24), 0), IF($B3='Project List References'!$B$7, _xlfn.IFNA(_xlfn.XLOOKUP(K$2-$C3, 'SENS Coal'!$D$7:$AW$7, 'SENS Coal'!$D$24:$AW$24), 0), IF($B3='Project List References'!$B$8, _xlfn.IFNA(_xlfn.XLOOKUP(K$2-$C3,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L3" s="661">
        <f>IF($B3='Project List References'!$B$3, _xlfn.IFNA(_xlfn.XLOOKUP(L$2-$C3, 'GEN-CCGT'!$D$7:$AW$7, 'GEN-CCGT'!$D$24:$AW$24), 0), IF($B3='Project List References'!$B$4, _xlfn.IFNA(_xlfn.XLOOKUP(L$2-$C3, 'GEN-SOLAR'!$D$7:$AW$7, 'GEN-SOLAR'!$D$24:$AW$24), 0), IF($B3='Project List References'!$B$5, _xlfn.IFNA(_xlfn.XLOOKUP(L$2-$C3, 'GEN-BESS'!$D$7:$AW$7, 'GEN-BESS'!$D$24:$AW$24), 0), IF($B3='Project List References'!$B$6, _xlfn.IFNA(_xlfn.XLOOKUP(L$2-$C3, 'GEN-CARBON'!$D$7:$AW$7, 'GEN-CARBON'!$D$24:$AW$24), 0), IF($B3='Project List References'!$B$7, _xlfn.IFNA(_xlfn.XLOOKUP(L$2-$C3, 'SENS Coal'!$D$7:$AW$7, 'SENS Coal'!$D$24:$AW$24), 0), IF($B3='Project List References'!$B$8, _xlfn.IFNA(_xlfn.XLOOKUP(L$2-$C3,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M3" s="661">
        <f>IF($B3='Project List References'!$B$3, _xlfn.IFNA(_xlfn.XLOOKUP(M$2-$C3, 'GEN-CCGT'!$D$7:$AW$7, 'GEN-CCGT'!$D$24:$AW$24), 0), IF($B3='Project List References'!$B$4, _xlfn.IFNA(_xlfn.XLOOKUP(M$2-$C3, 'GEN-SOLAR'!$D$7:$AW$7, 'GEN-SOLAR'!$D$24:$AW$24), 0), IF($B3='Project List References'!$B$5, _xlfn.IFNA(_xlfn.XLOOKUP(M$2-$C3, 'GEN-BESS'!$D$7:$AW$7, 'GEN-BESS'!$D$24:$AW$24), 0), IF($B3='Project List References'!$B$6, _xlfn.IFNA(_xlfn.XLOOKUP(M$2-$C3, 'GEN-CARBON'!$D$7:$AW$7, 'GEN-CARBON'!$D$24:$AW$24), 0), IF($B3='Project List References'!$B$7, _xlfn.IFNA(_xlfn.XLOOKUP(M$2-$C3, 'SENS Coal'!$D$7:$AW$7, 'SENS Coal'!$D$24:$AW$24), 0), IF($B3='Project List References'!$B$8, _xlfn.IFNA(_xlfn.XLOOKUP(M$2-$C3,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N3" s="661">
        <f>IF($B3='Project List References'!$B$3, _xlfn.IFNA(_xlfn.XLOOKUP(N$2-$C3, 'GEN-CCGT'!$D$7:$AW$7, 'GEN-CCGT'!$D$24:$AW$24), 0), IF($B3='Project List References'!$B$4, _xlfn.IFNA(_xlfn.XLOOKUP(N$2-$C3, 'GEN-SOLAR'!$D$7:$AW$7, 'GEN-SOLAR'!$D$24:$AW$24), 0), IF($B3='Project List References'!$B$5, _xlfn.IFNA(_xlfn.XLOOKUP(N$2-$C3, 'GEN-BESS'!$D$7:$AW$7, 'GEN-BESS'!$D$24:$AW$24), 0), IF($B3='Project List References'!$B$6, _xlfn.IFNA(_xlfn.XLOOKUP(N$2-$C3, 'GEN-CARBON'!$D$7:$AW$7, 'GEN-CARBON'!$D$24:$AW$24), 0), IF($B3='Project List References'!$B$7, _xlfn.IFNA(_xlfn.XLOOKUP(N$2-$C3, 'SENS Coal'!$D$7:$AW$7, 'SENS Coal'!$D$24:$AW$24), 0), IF($B3='Project List References'!$B$8, _xlfn.IFNA(_xlfn.XLOOKUP(N$2-$C3,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O3" s="661">
        <f>IF($B3='Project List References'!$B$3, _xlfn.IFNA(_xlfn.XLOOKUP(O$2-$C3, 'GEN-CCGT'!$D$7:$AW$7, 'GEN-CCGT'!$D$24:$AW$24), 0), IF($B3='Project List References'!$B$4, _xlfn.IFNA(_xlfn.XLOOKUP(O$2-$C3, 'GEN-SOLAR'!$D$7:$AW$7, 'GEN-SOLAR'!$D$24:$AW$24), 0), IF($B3='Project List References'!$B$5, _xlfn.IFNA(_xlfn.XLOOKUP(O$2-$C3, 'GEN-BESS'!$D$7:$AW$7, 'GEN-BESS'!$D$24:$AW$24), 0), IF($B3='Project List References'!$B$6, _xlfn.IFNA(_xlfn.XLOOKUP(O$2-$C3, 'GEN-CARBON'!$D$7:$AW$7, 'GEN-CARBON'!$D$24:$AW$24), 0), IF($B3='Project List References'!$B$7, _xlfn.IFNA(_xlfn.XLOOKUP(O$2-$C3, 'SENS Coal'!$D$7:$AW$7, 'SENS Coal'!$D$24:$AW$24), 0), IF($B3='Project List References'!$B$8, _xlfn.IFNA(_xlfn.XLOOKUP(O$2-$C3,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P3" s="661">
        <f>IF($B3='Project List References'!$B$3, _xlfn.IFNA(_xlfn.XLOOKUP(P$2-$C3, 'GEN-CCGT'!$D$7:$AW$7, 'GEN-CCGT'!$D$24:$AW$24), 0), IF($B3='Project List References'!$B$4, _xlfn.IFNA(_xlfn.XLOOKUP(P$2-$C3, 'GEN-SOLAR'!$D$7:$AW$7, 'GEN-SOLAR'!$D$24:$AW$24), 0), IF($B3='Project List References'!$B$5, _xlfn.IFNA(_xlfn.XLOOKUP(P$2-$C3, 'GEN-BESS'!$D$7:$AW$7, 'GEN-BESS'!$D$24:$AW$24), 0), IF($B3='Project List References'!$B$6, _xlfn.IFNA(_xlfn.XLOOKUP(P$2-$C3, 'GEN-CARBON'!$D$7:$AW$7, 'GEN-CARBON'!$D$24:$AW$24), 0), IF($B3='Project List References'!$B$7, _xlfn.IFNA(_xlfn.XLOOKUP(P$2-$C3, 'SENS Coal'!$D$7:$AW$7, 'SENS Coal'!$D$24:$AW$24), 0), IF($B3='Project List References'!$B$8, _xlfn.IFNA(_xlfn.XLOOKUP(P$2-$C3,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Q3" s="661">
        <f>IF($B3='Project List References'!$B$3, _xlfn.IFNA(_xlfn.XLOOKUP(Q$2-$C3, 'GEN-CCGT'!$D$7:$AW$7, 'GEN-CCGT'!$D$24:$AW$24), 0), IF($B3='Project List References'!$B$4, _xlfn.IFNA(_xlfn.XLOOKUP(Q$2-$C3, 'GEN-SOLAR'!$D$7:$AW$7, 'GEN-SOLAR'!$D$24:$AW$24), 0), IF($B3='Project List References'!$B$5, _xlfn.IFNA(_xlfn.XLOOKUP(Q$2-$C3, 'GEN-BESS'!$D$7:$AW$7, 'GEN-BESS'!$D$24:$AW$24), 0), IF($B3='Project List References'!$B$6, _xlfn.IFNA(_xlfn.XLOOKUP(Q$2-$C3, 'GEN-CARBON'!$D$7:$AW$7, 'GEN-CARBON'!$D$24:$AW$24), 0), IF($B3='Project List References'!$B$7, _xlfn.IFNA(_xlfn.XLOOKUP(Q$2-$C3, 'SENS Coal'!$D$7:$AW$7, 'SENS Coal'!$D$24:$AW$24), 0), IF($B3='Project List References'!$B$8, _xlfn.IFNA(_xlfn.XLOOKUP(Q$2-$C3,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R3" s="661">
        <f>IF($B3='Project List References'!$B$3, _xlfn.IFNA(_xlfn.XLOOKUP(R$2-$C3, 'GEN-CCGT'!$D$7:$AW$7, 'GEN-CCGT'!$D$24:$AW$24), 0), IF($B3='Project List References'!$B$4, _xlfn.IFNA(_xlfn.XLOOKUP(R$2-$C3, 'GEN-SOLAR'!$D$7:$AW$7, 'GEN-SOLAR'!$D$24:$AW$24), 0), IF($B3='Project List References'!$B$5, _xlfn.IFNA(_xlfn.XLOOKUP(R$2-$C3, 'GEN-BESS'!$D$7:$AW$7, 'GEN-BESS'!$D$24:$AW$24), 0), IF($B3='Project List References'!$B$6, _xlfn.IFNA(_xlfn.XLOOKUP(R$2-$C3, 'GEN-CARBON'!$D$7:$AW$7, 'GEN-CARBON'!$D$24:$AW$24), 0), IF($B3='Project List References'!$B$7, _xlfn.IFNA(_xlfn.XLOOKUP(R$2-$C3, 'SENS Coal'!$D$7:$AW$7, 'SENS Coal'!$D$24:$AW$24), 0), IF($B3='Project List References'!$B$8, _xlfn.IFNA(_xlfn.XLOOKUP(R$2-$C3,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S3" s="661">
        <f>IF($B3='Project List References'!$B$3, _xlfn.IFNA(_xlfn.XLOOKUP(S$2-$C3, 'GEN-CCGT'!$D$7:$AW$7, 'GEN-CCGT'!$D$24:$AW$24), 0), IF($B3='Project List References'!$B$4, _xlfn.IFNA(_xlfn.XLOOKUP(S$2-$C3, 'GEN-SOLAR'!$D$7:$AW$7, 'GEN-SOLAR'!$D$24:$AW$24), 0), IF($B3='Project List References'!$B$5, _xlfn.IFNA(_xlfn.XLOOKUP(S$2-$C3, 'GEN-BESS'!$D$7:$AW$7, 'GEN-BESS'!$D$24:$AW$24), 0), IF($B3='Project List References'!$B$6, _xlfn.IFNA(_xlfn.XLOOKUP(S$2-$C3, 'GEN-CARBON'!$D$7:$AW$7, 'GEN-CARBON'!$D$24:$AW$24), 0), IF($B3='Project List References'!$B$7, _xlfn.IFNA(_xlfn.XLOOKUP(S$2-$C3, 'SENS Coal'!$D$7:$AW$7, 'SENS Coal'!$D$24:$AW$24), 0), IF($B3='Project List References'!$B$8, _xlfn.IFNA(_xlfn.XLOOKUP(S$2-$C3,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T3" s="661">
        <f>IF($B3='Project List References'!$B$3, _xlfn.IFNA(_xlfn.XLOOKUP(T$2-$C3, 'GEN-CCGT'!$D$7:$AW$7, 'GEN-CCGT'!$D$24:$AW$24), 0), IF($B3='Project List References'!$B$4, _xlfn.IFNA(_xlfn.XLOOKUP(T$2-$C3, 'GEN-SOLAR'!$D$7:$AW$7, 'GEN-SOLAR'!$D$24:$AW$24), 0), IF($B3='Project List References'!$B$5, _xlfn.IFNA(_xlfn.XLOOKUP(T$2-$C3, 'GEN-BESS'!$D$7:$AW$7, 'GEN-BESS'!$D$24:$AW$24), 0), IF($B3='Project List References'!$B$6, _xlfn.IFNA(_xlfn.XLOOKUP(T$2-$C3, 'GEN-CARBON'!$D$7:$AW$7, 'GEN-CARBON'!$D$24:$AW$24), 0), IF($B3='Project List References'!$B$7, _xlfn.IFNA(_xlfn.XLOOKUP(T$2-$C3, 'SENS Coal'!$D$7:$AW$7, 'SENS Coal'!$D$24:$AW$24), 0), IF($B3='Project List References'!$B$8, _xlfn.IFNA(_xlfn.XLOOKUP(T$2-$C3, 'SENS Tires'!$D$7:$AW$7, 'SENS Tires'!$D$24:$AW$24),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</row>
    <row r="4" spans="1:111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_xlfn.XLOOKUP(A4, 'Project Master Sheet'!A:A, 'Project Master Sheet'!I:I)</f>
        <v>1</v>
      </c>
      <c r="E4" s="661">
        <f>IF($B4='Project List References'!$B$3, _xlfn.IFNA(_xlfn.XLOOKUP(E$2-$C4, 'GEN-CCGT'!$D$7:$AW$7, 'GEN-CCGT'!$D$24:$AW$24), 0), IF($B4='Project List References'!$B$4, _xlfn.IFNA(_xlfn.XLOOKUP(E$2-$C4, 'GEN-SOLAR'!$D$7:$AW$7, 'GEN-SOLAR'!$D$24:$AW$24), 0), IF($B4='Project List References'!$B$5, _xlfn.IFNA(_xlfn.XLOOKUP(E$2-$C4, 'GEN-BESS'!$D$7:$AW$7, 'GEN-BESS'!$D$24:$AW$24), 0), IF($B4='Project List References'!$B$6, _xlfn.IFNA(_xlfn.XLOOKUP(E$2-$C4, 'GEN-CARBON'!$D$7:$AW$7, 'GEN-CARBON'!$D$24:$AW$24), 0), IF($B4='Project List References'!$B$7, _xlfn.IFNA(_xlfn.XLOOKUP(E$2-$C4, 'SENS Coal'!$D$7:$AW$7, 'SENS Coal'!$D$24:$AW$24), 0), IF($B4='Project List References'!$B$8, _xlfn.IFNA(_xlfn.XLOOKUP(E$2-$C4,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F4" s="661">
        <f>IF($B4='Project List References'!$B$3, _xlfn.IFNA(_xlfn.XLOOKUP(F$2-$C4, 'GEN-CCGT'!$D$7:$AW$7, 'GEN-CCGT'!$D$24:$AW$24), 0), IF($B4='Project List References'!$B$4, _xlfn.IFNA(_xlfn.XLOOKUP(F$2-$C4, 'GEN-SOLAR'!$D$7:$AW$7, 'GEN-SOLAR'!$D$24:$AW$24), 0), IF($B4='Project List References'!$B$5, _xlfn.IFNA(_xlfn.XLOOKUP(F$2-$C4, 'GEN-BESS'!$D$7:$AW$7, 'GEN-BESS'!$D$24:$AW$24), 0), IF($B4='Project List References'!$B$6, _xlfn.IFNA(_xlfn.XLOOKUP(F$2-$C4, 'GEN-CARBON'!$D$7:$AW$7, 'GEN-CARBON'!$D$24:$AW$24), 0), IF($B4='Project List References'!$B$7, _xlfn.IFNA(_xlfn.XLOOKUP(F$2-$C4, 'SENS Coal'!$D$7:$AW$7, 'SENS Coal'!$D$24:$AW$24), 0), IF($B4='Project List References'!$B$8, _xlfn.IFNA(_xlfn.XLOOKUP(F$2-$C4,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-52.708333333333321</v>
      </c>
      <c r="G4" s="661">
        <f>IF($B4='Project List References'!$B$3, _xlfn.IFNA(_xlfn.XLOOKUP(G$2-$C4, 'GEN-CCGT'!$D$7:$AW$7, 'GEN-CCGT'!$D$24:$AW$24), 0), IF($B4='Project List References'!$B$4, _xlfn.IFNA(_xlfn.XLOOKUP(G$2-$C4, 'GEN-SOLAR'!$D$7:$AW$7, 'GEN-SOLAR'!$D$24:$AW$24), 0), IF($B4='Project List References'!$B$5, _xlfn.IFNA(_xlfn.XLOOKUP(G$2-$C4, 'GEN-BESS'!$D$7:$AW$7, 'GEN-BESS'!$D$24:$AW$24), 0), IF($B4='Project List References'!$B$6, _xlfn.IFNA(_xlfn.XLOOKUP(G$2-$C4, 'GEN-CARBON'!$D$7:$AW$7, 'GEN-CARBON'!$D$24:$AW$24), 0), IF($B4='Project List References'!$B$7, _xlfn.IFNA(_xlfn.XLOOKUP(G$2-$C4, 'SENS Coal'!$D$7:$AW$7, 'SENS Coal'!$D$24:$AW$24), 0), IF($B4='Project List References'!$B$8, _xlfn.IFNA(_xlfn.XLOOKUP(G$2-$C4,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-4.7916666666666661</v>
      </c>
      <c r="H4" s="661">
        <f>IF($B4='Project List References'!$B$3, _xlfn.IFNA(_xlfn.XLOOKUP(H$2-$C4, 'GEN-CCGT'!$D$7:$AW$7, 'GEN-CCGT'!$D$24:$AW$24), 0), IF($B4='Project List References'!$B$4, _xlfn.IFNA(_xlfn.XLOOKUP(H$2-$C4, 'GEN-SOLAR'!$D$7:$AW$7, 'GEN-SOLAR'!$D$24:$AW$24), 0), IF($B4='Project List References'!$B$5, _xlfn.IFNA(_xlfn.XLOOKUP(H$2-$C4, 'GEN-BESS'!$D$7:$AW$7, 'GEN-BESS'!$D$24:$AW$24), 0), IF($B4='Project List References'!$B$6, _xlfn.IFNA(_xlfn.XLOOKUP(H$2-$C4, 'GEN-CARBON'!$D$7:$AW$7, 'GEN-CARBON'!$D$24:$AW$24), 0), IF($B4='Project List References'!$B$7, _xlfn.IFNA(_xlfn.XLOOKUP(H$2-$C4, 'SENS Coal'!$D$7:$AW$7, 'SENS Coal'!$D$24:$AW$24), 0), IF($B4='Project List References'!$B$8, _xlfn.IFNA(_xlfn.XLOOKUP(H$2-$C4,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I4" s="661">
        <f>IF($B4='Project List References'!$B$3, _xlfn.IFNA(_xlfn.XLOOKUP(I$2-$C4, 'GEN-CCGT'!$D$7:$AW$7, 'GEN-CCGT'!$D$24:$AW$24), 0), IF($B4='Project List References'!$B$4, _xlfn.IFNA(_xlfn.XLOOKUP(I$2-$C4, 'GEN-SOLAR'!$D$7:$AW$7, 'GEN-SOLAR'!$D$24:$AW$24), 0), IF($B4='Project List References'!$B$5, _xlfn.IFNA(_xlfn.XLOOKUP(I$2-$C4, 'GEN-BESS'!$D$7:$AW$7, 'GEN-BESS'!$D$24:$AW$24), 0), IF($B4='Project List References'!$B$6, _xlfn.IFNA(_xlfn.XLOOKUP(I$2-$C4, 'GEN-CARBON'!$D$7:$AW$7, 'GEN-CARBON'!$D$24:$AW$24), 0), IF($B4='Project List References'!$B$7, _xlfn.IFNA(_xlfn.XLOOKUP(I$2-$C4, 'SENS Coal'!$D$7:$AW$7, 'SENS Coal'!$D$24:$AW$24), 0), IF($B4='Project List References'!$B$8, _xlfn.IFNA(_xlfn.XLOOKUP(I$2-$C4,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J4" s="661">
        <f>IF($B4='Project List References'!$B$3, _xlfn.IFNA(_xlfn.XLOOKUP(J$2-$C4, 'GEN-CCGT'!$D$7:$AW$7, 'GEN-CCGT'!$D$24:$AW$24), 0), IF($B4='Project List References'!$B$4, _xlfn.IFNA(_xlfn.XLOOKUP(J$2-$C4, 'GEN-SOLAR'!$D$7:$AW$7, 'GEN-SOLAR'!$D$24:$AW$24), 0), IF($B4='Project List References'!$B$5, _xlfn.IFNA(_xlfn.XLOOKUP(J$2-$C4, 'GEN-BESS'!$D$7:$AW$7, 'GEN-BESS'!$D$24:$AW$24), 0), IF($B4='Project List References'!$B$6, _xlfn.IFNA(_xlfn.XLOOKUP(J$2-$C4, 'GEN-CARBON'!$D$7:$AW$7, 'GEN-CARBON'!$D$24:$AW$24), 0), IF($B4='Project List References'!$B$7, _xlfn.IFNA(_xlfn.XLOOKUP(J$2-$C4, 'SENS Coal'!$D$7:$AW$7, 'SENS Coal'!$D$24:$AW$24), 0), IF($B4='Project List References'!$B$8, _xlfn.IFNA(_xlfn.XLOOKUP(J$2-$C4,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K4" s="661">
        <f>IF($B4='Project List References'!$B$3, _xlfn.IFNA(_xlfn.XLOOKUP(K$2-$C4, 'GEN-CCGT'!$D$7:$AW$7, 'GEN-CCGT'!$D$24:$AW$24), 0), IF($B4='Project List References'!$B$4, _xlfn.IFNA(_xlfn.XLOOKUP(K$2-$C4, 'GEN-SOLAR'!$D$7:$AW$7, 'GEN-SOLAR'!$D$24:$AW$24), 0), IF($B4='Project List References'!$B$5, _xlfn.IFNA(_xlfn.XLOOKUP(K$2-$C4, 'GEN-BESS'!$D$7:$AW$7, 'GEN-BESS'!$D$24:$AW$24), 0), IF($B4='Project List References'!$B$6, _xlfn.IFNA(_xlfn.XLOOKUP(K$2-$C4, 'GEN-CARBON'!$D$7:$AW$7, 'GEN-CARBON'!$D$24:$AW$24), 0), IF($B4='Project List References'!$B$7, _xlfn.IFNA(_xlfn.XLOOKUP(K$2-$C4, 'SENS Coal'!$D$7:$AW$7, 'SENS Coal'!$D$24:$AW$24), 0), IF($B4='Project List References'!$B$8, _xlfn.IFNA(_xlfn.XLOOKUP(K$2-$C4,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L4" s="661">
        <f>IF($B4='Project List References'!$B$3, _xlfn.IFNA(_xlfn.XLOOKUP(L$2-$C4, 'GEN-CCGT'!$D$7:$AW$7, 'GEN-CCGT'!$D$24:$AW$24), 0), IF($B4='Project List References'!$B$4, _xlfn.IFNA(_xlfn.XLOOKUP(L$2-$C4, 'GEN-SOLAR'!$D$7:$AW$7, 'GEN-SOLAR'!$D$24:$AW$24), 0), IF($B4='Project List References'!$B$5, _xlfn.IFNA(_xlfn.XLOOKUP(L$2-$C4, 'GEN-BESS'!$D$7:$AW$7, 'GEN-BESS'!$D$24:$AW$24), 0), IF($B4='Project List References'!$B$6, _xlfn.IFNA(_xlfn.XLOOKUP(L$2-$C4, 'GEN-CARBON'!$D$7:$AW$7, 'GEN-CARBON'!$D$24:$AW$24), 0), IF($B4='Project List References'!$B$7, _xlfn.IFNA(_xlfn.XLOOKUP(L$2-$C4, 'SENS Coal'!$D$7:$AW$7, 'SENS Coal'!$D$24:$AW$24), 0), IF($B4='Project List References'!$B$8, _xlfn.IFNA(_xlfn.XLOOKUP(L$2-$C4,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M4" s="661">
        <f>IF($B4='Project List References'!$B$3, _xlfn.IFNA(_xlfn.XLOOKUP(M$2-$C4, 'GEN-CCGT'!$D$7:$AW$7, 'GEN-CCGT'!$D$24:$AW$24), 0), IF($B4='Project List References'!$B$4, _xlfn.IFNA(_xlfn.XLOOKUP(M$2-$C4, 'GEN-SOLAR'!$D$7:$AW$7, 'GEN-SOLAR'!$D$24:$AW$24), 0), IF($B4='Project List References'!$B$5, _xlfn.IFNA(_xlfn.XLOOKUP(M$2-$C4, 'GEN-BESS'!$D$7:$AW$7, 'GEN-BESS'!$D$24:$AW$24), 0), IF($B4='Project List References'!$B$6, _xlfn.IFNA(_xlfn.XLOOKUP(M$2-$C4, 'GEN-CARBON'!$D$7:$AW$7, 'GEN-CARBON'!$D$24:$AW$24), 0), IF($B4='Project List References'!$B$7, _xlfn.IFNA(_xlfn.XLOOKUP(M$2-$C4, 'SENS Coal'!$D$7:$AW$7, 'SENS Coal'!$D$24:$AW$24), 0), IF($B4='Project List References'!$B$8, _xlfn.IFNA(_xlfn.XLOOKUP(M$2-$C4,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N4" s="661">
        <f>IF($B4='Project List References'!$B$3, _xlfn.IFNA(_xlfn.XLOOKUP(N$2-$C4, 'GEN-CCGT'!$D$7:$AW$7, 'GEN-CCGT'!$D$24:$AW$24), 0), IF($B4='Project List References'!$B$4, _xlfn.IFNA(_xlfn.XLOOKUP(N$2-$C4, 'GEN-SOLAR'!$D$7:$AW$7, 'GEN-SOLAR'!$D$24:$AW$24), 0), IF($B4='Project List References'!$B$5, _xlfn.IFNA(_xlfn.XLOOKUP(N$2-$C4, 'GEN-BESS'!$D$7:$AW$7, 'GEN-BESS'!$D$24:$AW$24), 0), IF($B4='Project List References'!$B$6, _xlfn.IFNA(_xlfn.XLOOKUP(N$2-$C4, 'GEN-CARBON'!$D$7:$AW$7, 'GEN-CARBON'!$D$24:$AW$24), 0), IF($B4='Project List References'!$B$7, _xlfn.IFNA(_xlfn.XLOOKUP(N$2-$C4, 'SENS Coal'!$D$7:$AW$7, 'SENS Coal'!$D$24:$AW$24), 0), IF($B4='Project List References'!$B$8, _xlfn.IFNA(_xlfn.XLOOKUP(N$2-$C4,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O4" s="661">
        <f>IF($B4='Project List References'!$B$3, _xlfn.IFNA(_xlfn.XLOOKUP(O$2-$C4, 'GEN-CCGT'!$D$7:$AW$7, 'GEN-CCGT'!$D$24:$AW$24), 0), IF($B4='Project List References'!$B$4, _xlfn.IFNA(_xlfn.XLOOKUP(O$2-$C4, 'GEN-SOLAR'!$D$7:$AW$7, 'GEN-SOLAR'!$D$24:$AW$24), 0), IF($B4='Project List References'!$B$5, _xlfn.IFNA(_xlfn.XLOOKUP(O$2-$C4, 'GEN-BESS'!$D$7:$AW$7, 'GEN-BESS'!$D$24:$AW$24), 0), IF($B4='Project List References'!$B$6, _xlfn.IFNA(_xlfn.XLOOKUP(O$2-$C4, 'GEN-CARBON'!$D$7:$AW$7, 'GEN-CARBON'!$D$24:$AW$24), 0), IF($B4='Project List References'!$B$7, _xlfn.IFNA(_xlfn.XLOOKUP(O$2-$C4, 'SENS Coal'!$D$7:$AW$7, 'SENS Coal'!$D$24:$AW$24), 0), IF($B4='Project List References'!$B$8, _xlfn.IFNA(_xlfn.XLOOKUP(O$2-$C4,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P4" s="661">
        <f>IF($B4='Project List References'!$B$3, _xlfn.IFNA(_xlfn.XLOOKUP(P$2-$C4, 'GEN-CCGT'!$D$7:$AW$7, 'GEN-CCGT'!$D$24:$AW$24), 0), IF($B4='Project List References'!$B$4, _xlfn.IFNA(_xlfn.XLOOKUP(P$2-$C4, 'GEN-SOLAR'!$D$7:$AW$7, 'GEN-SOLAR'!$D$24:$AW$24), 0), IF($B4='Project List References'!$B$5, _xlfn.IFNA(_xlfn.XLOOKUP(P$2-$C4, 'GEN-BESS'!$D$7:$AW$7, 'GEN-BESS'!$D$24:$AW$24), 0), IF($B4='Project List References'!$B$6, _xlfn.IFNA(_xlfn.XLOOKUP(P$2-$C4, 'GEN-CARBON'!$D$7:$AW$7, 'GEN-CARBON'!$D$24:$AW$24), 0), IF($B4='Project List References'!$B$7, _xlfn.IFNA(_xlfn.XLOOKUP(P$2-$C4, 'SENS Coal'!$D$7:$AW$7, 'SENS Coal'!$D$24:$AW$24), 0), IF($B4='Project List References'!$B$8, _xlfn.IFNA(_xlfn.XLOOKUP(P$2-$C4,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Q4" s="661">
        <f>IF($B4='Project List References'!$B$3, _xlfn.IFNA(_xlfn.XLOOKUP(Q$2-$C4, 'GEN-CCGT'!$D$7:$AW$7, 'GEN-CCGT'!$D$24:$AW$24), 0), IF($B4='Project List References'!$B$4, _xlfn.IFNA(_xlfn.XLOOKUP(Q$2-$C4, 'GEN-SOLAR'!$D$7:$AW$7, 'GEN-SOLAR'!$D$24:$AW$24), 0), IF($B4='Project List References'!$B$5, _xlfn.IFNA(_xlfn.XLOOKUP(Q$2-$C4, 'GEN-BESS'!$D$7:$AW$7, 'GEN-BESS'!$D$24:$AW$24), 0), IF($B4='Project List References'!$B$6, _xlfn.IFNA(_xlfn.XLOOKUP(Q$2-$C4, 'GEN-CARBON'!$D$7:$AW$7, 'GEN-CARBON'!$D$24:$AW$24), 0), IF($B4='Project List References'!$B$7, _xlfn.IFNA(_xlfn.XLOOKUP(Q$2-$C4, 'SENS Coal'!$D$7:$AW$7, 'SENS Coal'!$D$24:$AW$24), 0), IF($B4='Project List References'!$B$8, _xlfn.IFNA(_xlfn.XLOOKUP(Q$2-$C4,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R4" s="661">
        <f>IF($B4='Project List References'!$B$3, _xlfn.IFNA(_xlfn.XLOOKUP(R$2-$C4, 'GEN-CCGT'!$D$7:$AW$7, 'GEN-CCGT'!$D$24:$AW$24), 0), IF($B4='Project List References'!$B$4, _xlfn.IFNA(_xlfn.XLOOKUP(R$2-$C4, 'GEN-SOLAR'!$D$7:$AW$7, 'GEN-SOLAR'!$D$24:$AW$24), 0), IF($B4='Project List References'!$B$5, _xlfn.IFNA(_xlfn.XLOOKUP(R$2-$C4, 'GEN-BESS'!$D$7:$AW$7, 'GEN-BESS'!$D$24:$AW$24), 0), IF($B4='Project List References'!$B$6, _xlfn.IFNA(_xlfn.XLOOKUP(R$2-$C4, 'GEN-CARBON'!$D$7:$AW$7, 'GEN-CARBON'!$D$24:$AW$24), 0), IF($B4='Project List References'!$B$7, _xlfn.IFNA(_xlfn.XLOOKUP(R$2-$C4, 'SENS Coal'!$D$7:$AW$7, 'SENS Coal'!$D$24:$AW$24), 0), IF($B4='Project List References'!$B$8, _xlfn.IFNA(_xlfn.XLOOKUP(R$2-$C4,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S4" s="661">
        <f>IF($B4='Project List References'!$B$3, _xlfn.IFNA(_xlfn.XLOOKUP(S$2-$C4, 'GEN-CCGT'!$D$7:$AW$7, 'GEN-CCGT'!$D$24:$AW$24), 0), IF($B4='Project List References'!$B$4, _xlfn.IFNA(_xlfn.XLOOKUP(S$2-$C4, 'GEN-SOLAR'!$D$7:$AW$7, 'GEN-SOLAR'!$D$24:$AW$24), 0), IF($B4='Project List References'!$B$5, _xlfn.IFNA(_xlfn.XLOOKUP(S$2-$C4, 'GEN-BESS'!$D$7:$AW$7, 'GEN-BESS'!$D$24:$AW$24), 0), IF($B4='Project List References'!$B$6, _xlfn.IFNA(_xlfn.XLOOKUP(S$2-$C4, 'GEN-CARBON'!$D$7:$AW$7, 'GEN-CARBON'!$D$24:$AW$24), 0), IF($B4='Project List References'!$B$7, _xlfn.IFNA(_xlfn.XLOOKUP(S$2-$C4, 'SENS Coal'!$D$7:$AW$7, 'SENS Coal'!$D$24:$AW$24), 0), IF($B4='Project List References'!$B$8, _xlfn.IFNA(_xlfn.XLOOKUP(S$2-$C4,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T4" s="661">
        <f>IF($B4='Project List References'!$B$3, _xlfn.IFNA(_xlfn.XLOOKUP(T$2-$C4, 'GEN-CCGT'!$D$7:$AW$7, 'GEN-CCGT'!$D$24:$AW$24), 0), IF($B4='Project List References'!$B$4, _xlfn.IFNA(_xlfn.XLOOKUP(T$2-$C4, 'GEN-SOLAR'!$D$7:$AW$7, 'GEN-SOLAR'!$D$24:$AW$24), 0), IF($B4='Project List References'!$B$5, _xlfn.IFNA(_xlfn.XLOOKUP(T$2-$C4, 'GEN-BESS'!$D$7:$AW$7, 'GEN-BESS'!$D$24:$AW$24), 0), IF($B4='Project List References'!$B$6, _xlfn.IFNA(_xlfn.XLOOKUP(T$2-$C4, 'GEN-CARBON'!$D$7:$AW$7, 'GEN-CARBON'!$D$24:$AW$24), 0), IF($B4='Project List References'!$B$7, _xlfn.IFNA(_xlfn.XLOOKUP(T$2-$C4, 'SENS Coal'!$D$7:$AW$7, 'SENS Coal'!$D$24:$AW$24), 0), IF($B4='Project List References'!$B$8, _xlfn.IFNA(_xlfn.XLOOKUP(T$2-$C4, 'SENS Tires'!$D$7:$AW$7, 'SENS Tires'!$D$24:$AW$24),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</row>
    <row r="5" spans="1:111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_xlfn.XLOOKUP(A5, 'Project Master Sheet'!A:A, 'Project Master Sheet'!I:I)</f>
        <v>2</v>
      </c>
      <c r="E5" s="661">
        <f>IF($B5='Project List References'!$B$3, _xlfn.IFNA(_xlfn.XLOOKUP(E$2-$C5, 'GEN-CCGT'!$D$7:$AW$7, 'GEN-CCGT'!$D$24:$AW$24), 0), IF($B5='Project List References'!$B$4, _xlfn.IFNA(_xlfn.XLOOKUP(E$2-$C5, 'GEN-SOLAR'!$D$7:$AW$7, 'GEN-SOLAR'!$D$24:$AW$24), 0), IF($B5='Project List References'!$B$5, _xlfn.IFNA(_xlfn.XLOOKUP(E$2-$C5, 'GEN-BESS'!$D$7:$AW$7, 'GEN-BESS'!$D$24:$AW$24), 0), IF($B5='Project List References'!$B$6, _xlfn.IFNA(_xlfn.XLOOKUP(E$2-$C5, 'GEN-CARBON'!$D$7:$AW$7, 'GEN-CARBON'!$D$24:$AW$24), 0), IF($B5='Project List References'!$B$7, _xlfn.IFNA(_xlfn.XLOOKUP(E$2-$C5, 'SENS Coal'!$D$7:$AW$7, 'SENS Coal'!$D$24:$AW$24), 0), IF($B5='Project List References'!$B$8, _xlfn.IFNA(_xlfn.XLOOKUP(E$2-$C5,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F5" s="661">
        <f>IF($B5='Project List References'!$B$3, _xlfn.IFNA(_xlfn.XLOOKUP(F$2-$C5, 'GEN-CCGT'!$D$7:$AW$7, 'GEN-CCGT'!$D$24:$AW$24), 0), IF($B5='Project List References'!$B$4, _xlfn.IFNA(_xlfn.XLOOKUP(F$2-$C5, 'GEN-SOLAR'!$D$7:$AW$7, 'GEN-SOLAR'!$D$24:$AW$24), 0), IF($B5='Project List References'!$B$5, _xlfn.IFNA(_xlfn.XLOOKUP(F$2-$C5, 'GEN-BESS'!$D$7:$AW$7, 'GEN-BESS'!$D$24:$AW$24), 0), IF($B5='Project List References'!$B$6, _xlfn.IFNA(_xlfn.XLOOKUP(F$2-$C5, 'GEN-CARBON'!$D$7:$AW$7, 'GEN-CARBON'!$D$24:$AW$24), 0), IF($B5='Project List References'!$B$7, _xlfn.IFNA(_xlfn.XLOOKUP(F$2-$C5, 'SENS Coal'!$D$7:$AW$7, 'SENS Coal'!$D$24:$AW$24), 0), IF($B5='Project List References'!$B$8, _xlfn.IFNA(_xlfn.XLOOKUP(F$2-$C5,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G5" s="661">
        <f>IF($B5='Project List References'!$B$3, _xlfn.IFNA(_xlfn.XLOOKUP(G$2-$C5, 'GEN-CCGT'!$D$7:$AW$7, 'GEN-CCGT'!$D$24:$AW$24), 0), IF($B5='Project List References'!$B$4, _xlfn.IFNA(_xlfn.XLOOKUP(G$2-$C5, 'GEN-SOLAR'!$D$7:$AW$7, 'GEN-SOLAR'!$D$24:$AW$24), 0), IF($B5='Project List References'!$B$5, _xlfn.IFNA(_xlfn.XLOOKUP(G$2-$C5, 'GEN-BESS'!$D$7:$AW$7, 'GEN-BESS'!$D$24:$AW$24), 0), IF($B5='Project List References'!$B$6, _xlfn.IFNA(_xlfn.XLOOKUP(G$2-$C5, 'GEN-CARBON'!$D$7:$AW$7, 'GEN-CARBON'!$D$24:$AW$24), 0), IF($B5='Project List References'!$B$7, _xlfn.IFNA(_xlfn.XLOOKUP(G$2-$C5, 'SENS Coal'!$D$7:$AW$7, 'SENS Coal'!$D$24:$AW$24), 0), IF($B5='Project List References'!$B$8, _xlfn.IFNA(_xlfn.XLOOKUP(G$2-$C5,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-660</v>
      </c>
      <c r="H5" s="661">
        <f>IF($B5='Project List References'!$B$3, _xlfn.IFNA(_xlfn.XLOOKUP(H$2-$C5, 'GEN-CCGT'!$D$7:$AW$7, 'GEN-CCGT'!$D$24:$AW$24), 0), IF($B5='Project List References'!$B$4, _xlfn.IFNA(_xlfn.XLOOKUP(H$2-$C5, 'GEN-SOLAR'!$D$7:$AW$7, 'GEN-SOLAR'!$D$24:$AW$24), 0), IF($B5='Project List References'!$B$5, _xlfn.IFNA(_xlfn.XLOOKUP(H$2-$C5, 'GEN-BESS'!$D$7:$AW$7, 'GEN-BESS'!$D$24:$AW$24), 0), IF($B5='Project List References'!$B$6, _xlfn.IFNA(_xlfn.XLOOKUP(H$2-$C5, 'GEN-CARBON'!$D$7:$AW$7, 'GEN-CARBON'!$D$24:$AW$24), 0), IF($B5='Project List References'!$B$7, _xlfn.IFNA(_xlfn.XLOOKUP(H$2-$C5, 'SENS Coal'!$D$7:$AW$7, 'SENS Coal'!$D$24:$AW$24), 0), IF($B5='Project List References'!$B$8, _xlfn.IFNA(_xlfn.XLOOKUP(H$2-$C5,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-60</v>
      </c>
      <c r="I5" s="661">
        <f>IF($B5='Project List References'!$B$3, _xlfn.IFNA(_xlfn.XLOOKUP(I$2-$C5, 'GEN-CCGT'!$D$7:$AW$7, 'GEN-CCGT'!$D$24:$AW$24), 0), IF($B5='Project List References'!$B$4, _xlfn.IFNA(_xlfn.XLOOKUP(I$2-$C5, 'GEN-SOLAR'!$D$7:$AW$7, 'GEN-SOLAR'!$D$24:$AW$24), 0), IF($B5='Project List References'!$B$5, _xlfn.IFNA(_xlfn.XLOOKUP(I$2-$C5, 'GEN-BESS'!$D$7:$AW$7, 'GEN-BESS'!$D$24:$AW$24), 0), IF($B5='Project List References'!$B$6, _xlfn.IFNA(_xlfn.XLOOKUP(I$2-$C5, 'GEN-CARBON'!$D$7:$AW$7, 'GEN-CARBON'!$D$24:$AW$24), 0), IF($B5='Project List References'!$B$7, _xlfn.IFNA(_xlfn.XLOOKUP(I$2-$C5, 'SENS Coal'!$D$7:$AW$7, 'SENS Coal'!$D$24:$AW$24), 0), IF($B5='Project List References'!$B$8, _xlfn.IFNA(_xlfn.XLOOKUP(I$2-$C5,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J5" s="661">
        <f>IF($B5='Project List References'!$B$3, _xlfn.IFNA(_xlfn.XLOOKUP(J$2-$C5, 'GEN-CCGT'!$D$7:$AW$7, 'GEN-CCGT'!$D$24:$AW$24), 0), IF($B5='Project List References'!$B$4, _xlfn.IFNA(_xlfn.XLOOKUP(J$2-$C5, 'GEN-SOLAR'!$D$7:$AW$7, 'GEN-SOLAR'!$D$24:$AW$24), 0), IF($B5='Project List References'!$B$5, _xlfn.IFNA(_xlfn.XLOOKUP(J$2-$C5, 'GEN-BESS'!$D$7:$AW$7, 'GEN-BESS'!$D$24:$AW$24), 0), IF($B5='Project List References'!$B$6, _xlfn.IFNA(_xlfn.XLOOKUP(J$2-$C5, 'GEN-CARBON'!$D$7:$AW$7, 'GEN-CARBON'!$D$24:$AW$24), 0), IF($B5='Project List References'!$B$7, _xlfn.IFNA(_xlfn.XLOOKUP(J$2-$C5, 'SENS Coal'!$D$7:$AW$7, 'SENS Coal'!$D$24:$AW$24), 0), IF($B5='Project List References'!$B$8, _xlfn.IFNA(_xlfn.XLOOKUP(J$2-$C5,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K5" s="661">
        <f>IF($B5='Project List References'!$B$3, _xlfn.IFNA(_xlfn.XLOOKUP(K$2-$C5, 'GEN-CCGT'!$D$7:$AW$7, 'GEN-CCGT'!$D$24:$AW$24), 0), IF($B5='Project List References'!$B$4, _xlfn.IFNA(_xlfn.XLOOKUP(K$2-$C5, 'GEN-SOLAR'!$D$7:$AW$7, 'GEN-SOLAR'!$D$24:$AW$24), 0), IF($B5='Project List References'!$B$5, _xlfn.IFNA(_xlfn.XLOOKUP(K$2-$C5, 'GEN-BESS'!$D$7:$AW$7, 'GEN-BESS'!$D$24:$AW$24), 0), IF($B5='Project List References'!$B$6, _xlfn.IFNA(_xlfn.XLOOKUP(K$2-$C5, 'GEN-CARBON'!$D$7:$AW$7, 'GEN-CARBON'!$D$24:$AW$24), 0), IF($B5='Project List References'!$B$7, _xlfn.IFNA(_xlfn.XLOOKUP(K$2-$C5, 'SENS Coal'!$D$7:$AW$7, 'SENS Coal'!$D$24:$AW$24), 0), IF($B5='Project List References'!$B$8, _xlfn.IFNA(_xlfn.XLOOKUP(K$2-$C5,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L5" s="661">
        <f>IF($B5='Project List References'!$B$3, _xlfn.IFNA(_xlfn.XLOOKUP(L$2-$C5, 'GEN-CCGT'!$D$7:$AW$7, 'GEN-CCGT'!$D$24:$AW$24), 0), IF($B5='Project List References'!$B$4, _xlfn.IFNA(_xlfn.XLOOKUP(L$2-$C5, 'GEN-SOLAR'!$D$7:$AW$7, 'GEN-SOLAR'!$D$24:$AW$24), 0), IF($B5='Project List References'!$B$5, _xlfn.IFNA(_xlfn.XLOOKUP(L$2-$C5, 'GEN-BESS'!$D$7:$AW$7, 'GEN-BESS'!$D$24:$AW$24), 0), IF($B5='Project List References'!$B$6, _xlfn.IFNA(_xlfn.XLOOKUP(L$2-$C5, 'GEN-CARBON'!$D$7:$AW$7, 'GEN-CARBON'!$D$24:$AW$24), 0), IF($B5='Project List References'!$B$7, _xlfn.IFNA(_xlfn.XLOOKUP(L$2-$C5, 'SENS Coal'!$D$7:$AW$7, 'SENS Coal'!$D$24:$AW$24), 0), IF($B5='Project List References'!$B$8, _xlfn.IFNA(_xlfn.XLOOKUP(L$2-$C5,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M5" s="661">
        <f>IF($B5='Project List References'!$B$3, _xlfn.IFNA(_xlfn.XLOOKUP(M$2-$C5, 'GEN-CCGT'!$D$7:$AW$7, 'GEN-CCGT'!$D$24:$AW$24), 0), IF($B5='Project List References'!$B$4, _xlfn.IFNA(_xlfn.XLOOKUP(M$2-$C5, 'GEN-SOLAR'!$D$7:$AW$7, 'GEN-SOLAR'!$D$24:$AW$24), 0), IF($B5='Project List References'!$B$5, _xlfn.IFNA(_xlfn.XLOOKUP(M$2-$C5, 'GEN-BESS'!$D$7:$AW$7, 'GEN-BESS'!$D$24:$AW$24), 0), IF($B5='Project List References'!$B$6, _xlfn.IFNA(_xlfn.XLOOKUP(M$2-$C5, 'GEN-CARBON'!$D$7:$AW$7, 'GEN-CARBON'!$D$24:$AW$24), 0), IF($B5='Project List References'!$B$7, _xlfn.IFNA(_xlfn.XLOOKUP(M$2-$C5, 'SENS Coal'!$D$7:$AW$7, 'SENS Coal'!$D$24:$AW$24), 0), IF($B5='Project List References'!$B$8, _xlfn.IFNA(_xlfn.XLOOKUP(M$2-$C5,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N5" s="661">
        <f>IF($B5='Project List References'!$B$3, _xlfn.IFNA(_xlfn.XLOOKUP(N$2-$C5, 'GEN-CCGT'!$D$7:$AW$7, 'GEN-CCGT'!$D$24:$AW$24), 0), IF($B5='Project List References'!$B$4, _xlfn.IFNA(_xlfn.XLOOKUP(N$2-$C5, 'GEN-SOLAR'!$D$7:$AW$7, 'GEN-SOLAR'!$D$24:$AW$24), 0), IF($B5='Project List References'!$B$5, _xlfn.IFNA(_xlfn.XLOOKUP(N$2-$C5, 'GEN-BESS'!$D$7:$AW$7, 'GEN-BESS'!$D$24:$AW$24), 0), IF($B5='Project List References'!$B$6, _xlfn.IFNA(_xlfn.XLOOKUP(N$2-$C5, 'GEN-CARBON'!$D$7:$AW$7, 'GEN-CARBON'!$D$24:$AW$24), 0), IF($B5='Project List References'!$B$7, _xlfn.IFNA(_xlfn.XLOOKUP(N$2-$C5, 'SENS Coal'!$D$7:$AW$7, 'SENS Coal'!$D$24:$AW$24), 0), IF($B5='Project List References'!$B$8, _xlfn.IFNA(_xlfn.XLOOKUP(N$2-$C5,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O5" s="661">
        <f>IF($B5='Project List References'!$B$3, _xlfn.IFNA(_xlfn.XLOOKUP(O$2-$C5, 'GEN-CCGT'!$D$7:$AW$7, 'GEN-CCGT'!$D$24:$AW$24), 0), IF($B5='Project List References'!$B$4, _xlfn.IFNA(_xlfn.XLOOKUP(O$2-$C5, 'GEN-SOLAR'!$D$7:$AW$7, 'GEN-SOLAR'!$D$24:$AW$24), 0), IF($B5='Project List References'!$B$5, _xlfn.IFNA(_xlfn.XLOOKUP(O$2-$C5, 'GEN-BESS'!$D$7:$AW$7, 'GEN-BESS'!$D$24:$AW$24), 0), IF($B5='Project List References'!$B$6, _xlfn.IFNA(_xlfn.XLOOKUP(O$2-$C5, 'GEN-CARBON'!$D$7:$AW$7, 'GEN-CARBON'!$D$24:$AW$24), 0), IF($B5='Project List References'!$B$7, _xlfn.IFNA(_xlfn.XLOOKUP(O$2-$C5, 'SENS Coal'!$D$7:$AW$7, 'SENS Coal'!$D$24:$AW$24), 0), IF($B5='Project List References'!$B$8, _xlfn.IFNA(_xlfn.XLOOKUP(O$2-$C5,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P5" s="661">
        <f>IF($B5='Project List References'!$B$3, _xlfn.IFNA(_xlfn.XLOOKUP(P$2-$C5, 'GEN-CCGT'!$D$7:$AW$7, 'GEN-CCGT'!$D$24:$AW$24), 0), IF($B5='Project List References'!$B$4, _xlfn.IFNA(_xlfn.XLOOKUP(P$2-$C5, 'GEN-SOLAR'!$D$7:$AW$7, 'GEN-SOLAR'!$D$24:$AW$24), 0), IF($B5='Project List References'!$B$5, _xlfn.IFNA(_xlfn.XLOOKUP(P$2-$C5, 'GEN-BESS'!$D$7:$AW$7, 'GEN-BESS'!$D$24:$AW$24), 0), IF($B5='Project List References'!$B$6, _xlfn.IFNA(_xlfn.XLOOKUP(P$2-$C5, 'GEN-CARBON'!$D$7:$AW$7, 'GEN-CARBON'!$D$24:$AW$24), 0), IF($B5='Project List References'!$B$7, _xlfn.IFNA(_xlfn.XLOOKUP(P$2-$C5, 'SENS Coal'!$D$7:$AW$7, 'SENS Coal'!$D$24:$AW$24), 0), IF($B5='Project List References'!$B$8, _xlfn.IFNA(_xlfn.XLOOKUP(P$2-$C5,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Q5" s="661">
        <f>IF($B5='Project List References'!$B$3, _xlfn.IFNA(_xlfn.XLOOKUP(Q$2-$C5, 'GEN-CCGT'!$D$7:$AW$7, 'GEN-CCGT'!$D$24:$AW$24), 0), IF($B5='Project List References'!$B$4, _xlfn.IFNA(_xlfn.XLOOKUP(Q$2-$C5, 'GEN-SOLAR'!$D$7:$AW$7, 'GEN-SOLAR'!$D$24:$AW$24), 0), IF($B5='Project List References'!$B$5, _xlfn.IFNA(_xlfn.XLOOKUP(Q$2-$C5, 'GEN-BESS'!$D$7:$AW$7, 'GEN-BESS'!$D$24:$AW$24), 0), IF($B5='Project List References'!$B$6, _xlfn.IFNA(_xlfn.XLOOKUP(Q$2-$C5, 'GEN-CARBON'!$D$7:$AW$7, 'GEN-CARBON'!$D$24:$AW$24), 0), IF($B5='Project List References'!$B$7, _xlfn.IFNA(_xlfn.XLOOKUP(Q$2-$C5, 'SENS Coal'!$D$7:$AW$7, 'SENS Coal'!$D$24:$AW$24), 0), IF($B5='Project List References'!$B$8, _xlfn.IFNA(_xlfn.XLOOKUP(Q$2-$C5,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R5" s="661">
        <f>IF($B5='Project List References'!$B$3, _xlfn.IFNA(_xlfn.XLOOKUP(R$2-$C5, 'GEN-CCGT'!$D$7:$AW$7, 'GEN-CCGT'!$D$24:$AW$24), 0), IF($B5='Project List References'!$B$4, _xlfn.IFNA(_xlfn.XLOOKUP(R$2-$C5, 'GEN-SOLAR'!$D$7:$AW$7, 'GEN-SOLAR'!$D$24:$AW$24), 0), IF($B5='Project List References'!$B$5, _xlfn.IFNA(_xlfn.XLOOKUP(R$2-$C5, 'GEN-BESS'!$D$7:$AW$7, 'GEN-BESS'!$D$24:$AW$24), 0), IF($B5='Project List References'!$B$6, _xlfn.IFNA(_xlfn.XLOOKUP(R$2-$C5, 'GEN-CARBON'!$D$7:$AW$7, 'GEN-CARBON'!$D$24:$AW$24), 0), IF($B5='Project List References'!$B$7, _xlfn.IFNA(_xlfn.XLOOKUP(R$2-$C5, 'SENS Coal'!$D$7:$AW$7, 'SENS Coal'!$D$24:$AW$24), 0), IF($B5='Project List References'!$B$8, _xlfn.IFNA(_xlfn.XLOOKUP(R$2-$C5,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S5" s="661">
        <f>IF($B5='Project List References'!$B$3, _xlfn.IFNA(_xlfn.XLOOKUP(S$2-$C5, 'GEN-CCGT'!$D$7:$AW$7, 'GEN-CCGT'!$D$24:$AW$24), 0), IF($B5='Project List References'!$B$4, _xlfn.IFNA(_xlfn.XLOOKUP(S$2-$C5, 'GEN-SOLAR'!$D$7:$AW$7, 'GEN-SOLAR'!$D$24:$AW$24), 0), IF($B5='Project List References'!$B$5, _xlfn.IFNA(_xlfn.XLOOKUP(S$2-$C5, 'GEN-BESS'!$D$7:$AW$7, 'GEN-BESS'!$D$24:$AW$24), 0), IF($B5='Project List References'!$B$6, _xlfn.IFNA(_xlfn.XLOOKUP(S$2-$C5, 'GEN-CARBON'!$D$7:$AW$7, 'GEN-CARBON'!$D$24:$AW$24), 0), IF($B5='Project List References'!$B$7, _xlfn.IFNA(_xlfn.XLOOKUP(S$2-$C5, 'SENS Coal'!$D$7:$AW$7, 'SENS Coal'!$D$24:$AW$24), 0), IF($B5='Project List References'!$B$8, _xlfn.IFNA(_xlfn.XLOOKUP(S$2-$C5,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T5" s="661">
        <f>IF($B5='Project List References'!$B$3, _xlfn.IFNA(_xlfn.XLOOKUP(T$2-$C5, 'GEN-CCGT'!$D$7:$AW$7, 'GEN-CCGT'!$D$24:$AW$24), 0), IF($B5='Project List References'!$B$4, _xlfn.IFNA(_xlfn.XLOOKUP(T$2-$C5, 'GEN-SOLAR'!$D$7:$AW$7, 'GEN-SOLAR'!$D$24:$AW$24), 0), IF($B5='Project List References'!$B$5, _xlfn.IFNA(_xlfn.XLOOKUP(T$2-$C5, 'GEN-BESS'!$D$7:$AW$7, 'GEN-BESS'!$D$24:$AW$24), 0), IF($B5='Project List References'!$B$6, _xlfn.IFNA(_xlfn.XLOOKUP(T$2-$C5, 'GEN-CARBON'!$D$7:$AW$7, 'GEN-CARBON'!$D$24:$AW$24), 0), IF($B5='Project List References'!$B$7, _xlfn.IFNA(_xlfn.XLOOKUP(T$2-$C5, 'SENS Coal'!$D$7:$AW$7, 'SENS Coal'!$D$24:$AW$24), 0), IF($B5='Project List References'!$B$8, _xlfn.IFNA(_xlfn.XLOOKUP(T$2-$C5, 'SENS Tires'!$D$7:$AW$7, 'SENS Tires'!$D$24:$AW$24),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</row>
    <row r="6" spans="1:111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_xlfn.XLOOKUP(A6, 'Project Master Sheet'!A:A, 'Project Master Sheet'!I:I)</f>
        <v>0</v>
      </c>
      <c r="E6" s="661">
        <f>IF($B6='Project List References'!$B$3, _xlfn.IFNA(_xlfn.XLOOKUP(E$2-$C6, 'GEN-CCGT'!$D$7:$AW$7, 'GEN-CCGT'!$D$24:$AW$24), 0), IF($B6='Project List References'!$B$4, _xlfn.IFNA(_xlfn.XLOOKUP(E$2-$C6, 'GEN-SOLAR'!$D$7:$AW$7, 'GEN-SOLAR'!$D$24:$AW$24), 0), IF($B6='Project List References'!$B$5, _xlfn.IFNA(_xlfn.XLOOKUP(E$2-$C6, 'GEN-BESS'!$D$7:$AW$7, 'GEN-BESS'!$D$24:$AW$24), 0), IF($B6='Project List References'!$B$6, _xlfn.IFNA(_xlfn.XLOOKUP(E$2-$C6, 'GEN-CARBON'!$D$7:$AW$7, 'GEN-CARBON'!$D$24:$AW$24), 0), IF($B6='Project List References'!$B$7, _xlfn.IFNA(_xlfn.XLOOKUP(E$2-$C6, 'SENS Coal'!$D$7:$AW$7, 'SENS Coal'!$D$24:$AW$24), 0), IF($B6='Project List References'!$B$8, _xlfn.IFNA(_xlfn.XLOOKUP(E$2-$C6,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-103.125</v>
      </c>
      <c r="F6" s="661">
        <f>IF($B6='Project List References'!$B$3, _xlfn.IFNA(_xlfn.XLOOKUP(F$2-$C6, 'GEN-CCGT'!$D$7:$AW$7, 'GEN-CCGT'!$D$24:$AW$24), 0), IF($B6='Project List References'!$B$4, _xlfn.IFNA(_xlfn.XLOOKUP(F$2-$C6, 'GEN-SOLAR'!$D$7:$AW$7, 'GEN-SOLAR'!$D$24:$AW$24), 0), IF($B6='Project List References'!$B$5, _xlfn.IFNA(_xlfn.XLOOKUP(F$2-$C6, 'GEN-BESS'!$D$7:$AW$7, 'GEN-BESS'!$D$24:$AW$24), 0), IF($B6='Project List References'!$B$6, _xlfn.IFNA(_xlfn.XLOOKUP(F$2-$C6, 'GEN-CARBON'!$D$7:$AW$7, 'GEN-CARBON'!$D$24:$AW$24), 0), IF($B6='Project List References'!$B$7, _xlfn.IFNA(_xlfn.XLOOKUP(F$2-$C6, 'SENS Coal'!$D$7:$AW$7, 'SENS Coal'!$D$24:$AW$24), 0), IF($B6='Project List References'!$B$8, _xlfn.IFNA(_xlfn.XLOOKUP(F$2-$C6,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-9.375</v>
      </c>
      <c r="G6" s="661">
        <f>IF($B6='Project List References'!$B$3, _xlfn.IFNA(_xlfn.XLOOKUP(G$2-$C6, 'GEN-CCGT'!$D$7:$AW$7, 'GEN-CCGT'!$D$24:$AW$24), 0), IF($B6='Project List References'!$B$4, _xlfn.IFNA(_xlfn.XLOOKUP(G$2-$C6, 'GEN-SOLAR'!$D$7:$AW$7, 'GEN-SOLAR'!$D$24:$AW$24), 0), IF($B6='Project List References'!$B$5, _xlfn.IFNA(_xlfn.XLOOKUP(G$2-$C6, 'GEN-BESS'!$D$7:$AW$7, 'GEN-BESS'!$D$24:$AW$24), 0), IF($B6='Project List References'!$B$6, _xlfn.IFNA(_xlfn.XLOOKUP(G$2-$C6, 'GEN-CARBON'!$D$7:$AW$7, 'GEN-CARBON'!$D$24:$AW$24), 0), IF($B6='Project List References'!$B$7, _xlfn.IFNA(_xlfn.XLOOKUP(G$2-$C6, 'SENS Coal'!$D$7:$AW$7, 'SENS Coal'!$D$24:$AW$24), 0), IF($B6='Project List References'!$B$8, _xlfn.IFNA(_xlfn.XLOOKUP(G$2-$C6,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H6" s="661">
        <f>IF($B6='Project List References'!$B$3, _xlfn.IFNA(_xlfn.XLOOKUP(H$2-$C6, 'GEN-CCGT'!$D$7:$AW$7, 'GEN-CCGT'!$D$24:$AW$24), 0), IF($B6='Project List References'!$B$4, _xlfn.IFNA(_xlfn.XLOOKUP(H$2-$C6, 'GEN-SOLAR'!$D$7:$AW$7, 'GEN-SOLAR'!$D$24:$AW$24), 0), IF($B6='Project List References'!$B$5, _xlfn.IFNA(_xlfn.XLOOKUP(H$2-$C6, 'GEN-BESS'!$D$7:$AW$7, 'GEN-BESS'!$D$24:$AW$24), 0), IF($B6='Project List References'!$B$6, _xlfn.IFNA(_xlfn.XLOOKUP(H$2-$C6, 'GEN-CARBON'!$D$7:$AW$7, 'GEN-CARBON'!$D$24:$AW$24), 0), IF($B6='Project List References'!$B$7, _xlfn.IFNA(_xlfn.XLOOKUP(H$2-$C6, 'SENS Coal'!$D$7:$AW$7, 'SENS Coal'!$D$24:$AW$24), 0), IF($B6='Project List References'!$B$8, _xlfn.IFNA(_xlfn.XLOOKUP(H$2-$C6,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I6" s="661">
        <f>IF($B6='Project List References'!$B$3, _xlfn.IFNA(_xlfn.XLOOKUP(I$2-$C6, 'GEN-CCGT'!$D$7:$AW$7, 'GEN-CCGT'!$D$24:$AW$24), 0), IF($B6='Project List References'!$B$4, _xlfn.IFNA(_xlfn.XLOOKUP(I$2-$C6, 'GEN-SOLAR'!$D$7:$AW$7, 'GEN-SOLAR'!$D$24:$AW$24), 0), IF($B6='Project List References'!$B$5, _xlfn.IFNA(_xlfn.XLOOKUP(I$2-$C6, 'GEN-BESS'!$D$7:$AW$7, 'GEN-BESS'!$D$24:$AW$24), 0), IF($B6='Project List References'!$B$6, _xlfn.IFNA(_xlfn.XLOOKUP(I$2-$C6, 'GEN-CARBON'!$D$7:$AW$7, 'GEN-CARBON'!$D$24:$AW$24), 0), IF($B6='Project List References'!$B$7, _xlfn.IFNA(_xlfn.XLOOKUP(I$2-$C6, 'SENS Coal'!$D$7:$AW$7, 'SENS Coal'!$D$24:$AW$24), 0), IF($B6='Project List References'!$B$8, _xlfn.IFNA(_xlfn.XLOOKUP(I$2-$C6,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J6" s="661">
        <f>IF($B6='Project List References'!$B$3, _xlfn.IFNA(_xlfn.XLOOKUP(J$2-$C6, 'GEN-CCGT'!$D$7:$AW$7, 'GEN-CCGT'!$D$24:$AW$24), 0), IF($B6='Project List References'!$B$4, _xlfn.IFNA(_xlfn.XLOOKUP(J$2-$C6, 'GEN-SOLAR'!$D$7:$AW$7, 'GEN-SOLAR'!$D$24:$AW$24), 0), IF($B6='Project List References'!$B$5, _xlfn.IFNA(_xlfn.XLOOKUP(J$2-$C6, 'GEN-BESS'!$D$7:$AW$7, 'GEN-BESS'!$D$24:$AW$24), 0), IF($B6='Project List References'!$B$6, _xlfn.IFNA(_xlfn.XLOOKUP(J$2-$C6, 'GEN-CARBON'!$D$7:$AW$7, 'GEN-CARBON'!$D$24:$AW$24), 0), IF($B6='Project List References'!$B$7, _xlfn.IFNA(_xlfn.XLOOKUP(J$2-$C6, 'SENS Coal'!$D$7:$AW$7, 'SENS Coal'!$D$24:$AW$24), 0), IF($B6='Project List References'!$B$8, _xlfn.IFNA(_xlfn.XLOOKUP(J$2-$C6,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K6" s="661">
        <f>IF($B6='Project List References'!$B$3, _xlfn.IFNA(_xlfn.XLOOKUP(K$2-$C6, 'GEN-CCGT'!$D$7:$AW$7, 'GEN-CCGT'!$D$24:$AW$24), 0), IF($B6='Project List References'!$B$4, _xlfn.IFNA(_xlfn.XLOOKUP(K$2-$C6, 'GEN-SOLAR'!$D$7:$AW$7, 'GEN-SOLAR'!$D$24:$AW$24), 0), IF($B6='Project List References'!$B$5, _xlfn.IFNA(_xlfn.XLOOKUP(K$2-$C6, 'GEN-BESS'!$D$7:$AW$7, 'GEN-BESS'!$D$24:$AW$24), 0), IF($B6='Project List References'!$B$6, _xlfn.IFNA(_xlfn.XLOOKUP(K$2-$C6, 'GEN-CARBON'!$D$7:$AW$7, 'GEN-CARBON'!$D$24:$AW$24), 0), IF($B6='Project List References'!$B$7, _xlfn.IFNA(_xlfn.XLOOKUP(K$2-$C6, 'SENS Coal'!$D$7:$AW$7, 'SENS Coal'!$D$24:$AW$24), 0), IF($B6='Project List References'!$B$8, _xlfn.IFNA(_xlfn.XLOOKUP(K$2-$C6,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L6" s="661">
        <f>IF($B6='Project List References'!$B$3, _xlfn.IFNA(_xlfn.XLOOKUP(L$2-$C6, 'GEN-CCGT'!$D$7:$AW$7, 'GEN-CCGT'!$D$24:$AW$24), 0), IF($B6='Project List References'!$B$4, _xlfn.IFNA(_xlfn.XLOOKUP(L$2-$C6, 'GEN-SOLAR'!$D$7:$AW$7, 'GEN-SOLAR'!$D$24:$AW$24), 0), IF($B6='Project List References'!$B$5, _xlfn.IFNA(_xlfn.XLOOKUP(L$2-$C6, 'GEN-BESS'!$D$7:$AW$7, 'GEN-BESS'!$D$24:$AW$24), 0), IF($B6='Project List References'!$B$6, _xlfn.IFNA(_xlfn.XLOOKUP(L$2-$C6, 'GEN-CARBON'!$D$7:$AW$7, 'GEN-CARBON'!$D$24:$AW$24), 0), IF($B6='Project List References'!$B$7, _xlfn.IFNA(_xlfn.XLOOKUP(L$2-$C6, 'SENS Coal'!$D$7:$AW$7, 'SENS Coal'!$D$24:$AW$24), 0), IF($B6='Project List References'!$B$8, _xlfn.IFNA(_xlfn.XLOOKUP(L$2-$C6,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M6" s="661">
        <f>IF($B6='Project List References'!$B$3, _xlfn.IFNA(_xlfn.XLOOKUP(M$2-$C6, 'GEN-CCGT'!$D$7:$AW$7, 'GEN-CCGT'!$D$24:$AW$24), 0), IF($B6='Project List References'!$B$4, _xlfn.IFNA(_xlfn.XLOOKUP(M$2-$C6, 'GEN-SOLAR'!$D$7:$AW$7, 'GEN-SOLAR'!$D$24:$AW$24), 0), IF($B6='Project List References'!$B$5, _xlfn.IFNA(_xlfn.XLOOKUP(M$2-$C6, 'GEN-BESS'!$D$7:$AW$7, 'GEN-BESS'!$D$24:$AW$24), 0), IF($B6='Project List References'!$B$6, _xlfn.IFNA(_xlfn.XLOOKUP(M$2-$C6, 'GEN-CARBON'!$D$7:$AW$7, 'GEN-CARBON'!$D$24:$AW$24), 0), IF($B6='Project List References'!$B$7, _xlfn.IFNA(_xlfn.XLOOKUP(M$2-$C6, 'SENS Coal'!$D$7:$AW$7, 'SENS Coal'!$D$24:$AW$24), 0), IF($B6='Project List References'!$B$8, _xlfn.IFNA(_xlfn.XLOOKUP(M$2-$C6,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N6" s="661">
        <f>IF($B6='Project List References'!$B$3, _xlfn.IFNA(_xlfn.XLOOKUP(N$2-$C6, 'GEN-CCGT'!$D$7:$AW$7, 'GEN-CCGT'!$D$24:$AW$24), 0), IF($B6='Project List References'!$B$4, _xlfn.IFNA(_xlfn.XLOOKUP(N$2-$C6, 'GEN-SOLAR'!$D$7:$AW$7, 'GEN-SOLAR'!$D$24:$AW$24), 0), IF($B6='Project List References'!$B$5, _xlfn.IFNA(_xlfn.XLOOKUP(N$2-$C6, 'GEN-BESS'!$D$7:$AW$7, 'GEN-BESS'!$D$24:$AW$24), 0), IF($B6='Project List References'!$B$6, _xlfn.IFNA(_xlfn.XLOOKUP(N$2-$C6, 'GEN-CARBON'!$D$7:$AW$7, 'GEN-CARBON'!$D$24:$AW$24), 0), IF($B6='Project List References'!$B$7, _xlfn.IFNA(_xlfn.XLOOKUP(N$2-$C6, 'SENS Coal'!$D$7:$AW$7, 'SENS Coal'!$D$24:$AW$24), 0), IF($B6='Project List References'!$B$8, _xlfn.IFNA(_xlfn.XLOOKUP(N$2-$C6,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O6" s="661">
        <f>IF($B6='Project List References'!$B$3, _xlfn.IFNA(_xlfn.XLOOKUP(O$2-$C6, 'GEN-CCGT'!$D$7:$AW$7, 'GEN-CCGT'!$D$24:$AW$24), 0), IF($B6='Project List References'!$B$4, _xlfn.IFNA(_xlfn.XLOOKUP(O$2-$C6, 'GEN-SOLAR'!$D$7:$AW$7, 'GEN-SOLAR'!$D$24:$AW$24), 0), IF($B6='Project List References'!$B$5, _xlfn.IFNA(_xlfn.XLOOKUP(O$2-$C6, 'GEN-BESS'!$D$7:$AW$7, 'GEN-BESS'!$D$24:$AW$24), 0), IF($B6='Project List References'!$B$6, _xlfn.IFNA(_xlfn.XLOOKUP(O$2-$C6, 'GEN-CARBON'!$D$7:$AW$7, 'GEN-CARBON'!$D$24:$AW$24), 0), IF($B6='Project List References'!$B$7, _xlfn.IFNA(_xlfn.XLOOKUP(O$2-$C6, 'SENS Coal'!$D$7:$AW$7, 'SENS Coal'!$D$24:$AW$24), 0), IF($B6='Project List References'!$B$8, _xlfn.IFNA(_xlfn.XLOOKUP(O$2-$C6,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P6" s="661">
        <f>IF($B6='Project List References'!$B$3, _xlfn.IFNA(_xlfn.XLOOKUP(P$2-$C6, 'GEN-CCGT'!$D$7:$AW$7, 'GEN-CCGT'!$D$24:$AW$24), 0), IF($B6='Project List References'!$B$4, _xlfn.IFNA(_xlfn.XLOOKUP(P$2-$C6, 'GEN-SOLAR'!$D$7:$AW$7, 'GEN-SOLAR'!$D$24:$AW$24), 0), IF($B6='Project List References'!$B$5, _xlfn.IFNA(_xlfn.XLOOKUP(P$2-$C6, 'GEN-BESS'!$D$7:$AW$7, 'GEN-BESS'!$D$24:$AW$24), 0), IF($B6='Project List References'!$B$6, _xlfn.IFNA(_xlfn.XLOOKUP(P$2-$C6, 'GEN-CARBON'!$D$7:$AW$7, 'GEN-CARBON'!$D$24:$AW$24), 0), IF($B6='Project List References'!$B$7, _xlfn.IFNA(_xlfn.XLOOKUP(P$2-$C6, 'SENS Coal'!$D$7:$AW$7, 'SENS Coal'!$D$24:$AW$24), 0), IF($B6='Project List References'!$B$8, _xlfn.IFNA(_xlfn.XLOOKUP(P$2-$C6,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Q6" s="661">
        <f>IF($B6='Project List References'!$B$3, _xlfn.IFNA(_xlfn.XLOOKUP(Q$2-$C6, 'GEN-CCGT'!$D$7:$AW$7, 'GEN-CCGT'!$D$24:$AW$24), 0), IF($B6='Project List References'!$B$4, _xlfn.IFNA(_xlfn.XLOOKUP(Q$2-$C6, 'GEN-SOLAR'!$D$7:$AW$7, 'GEN-SOLAR'!$D$24:$AW$24), 0), IF($B6='Project List References'!$B$5, _xlfn.IFNA(_xlfn.XLOOKUP(Q$2-$C6, 'GEN-BESS'!$D$7:$AW$7, 'GEN-BESS'!$D$24:$AW$24), 0), IF($B6='Project List References'!$B$6, _xlfn.IFNA(_xlfn.XLOOKUP(Q$2-$C6, 'GEN-CARBON'!$D$7:$AW$7, 'GEN-CARBON'!$D$24:$AW$24), 0), IF($B6='Project List References'!$B$7, _xlfn.IFNA(_xlfn.XLOOKUP(Q$2-$C6, 'SENS Coal'!$D$7:$AW$7, 'SENS Coal'!$D$24:$AW$24), 0), IF($B6='Project List References'!$B$8, _xlfn.IFNA(_xlfn.XLOOKUP(Q$2-$C6,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R6" s="661">
        <f>IF($B6='Project List References'!$B$3, _xlfn.IFNA(_xlfn.XLOOKUP(R$2-$C6, 'GEN-CCGT'!$D$7:$AW$7, 'GEN-CCGT'!$D$24:$AW$24), 0), IF($B6='Project List References'!$B$4, _xlfn.IFNA(_xlfn.XLOOKUP(R$2-$C6, 'GEN-SOLAR'!$D$7:$AW$7, 'GEN-SOLAR'!$D$24:$AW$24), 0), IF($B6='Project List References'!$B$5, _xlfn.IFNA(_xlfn.XLOOKUP(R$2-$C6, 'GEN-BESS'!$D$7:$AW$7, 'GEN-BESS'!$D$24:$AW$24), 0), IF($B6='Project List References'!$B$6, _xlfn.IFNA(_xlfn.XLOOKUP(R$2-$C6, 'GEN-CARBON'!$D$7:$AW$7, 'GEN-CARBON'!$D$24:$AW$24), 0), IF($B6='Project List References'!$B$7, _xlfn.IFNA(_xlfn.XLOOKUP(R$2-$C6, 'SENS Coal'!$D$7:$AW$7, 'SENS Coal'!$D$24:$AW$24), 0), IF($B6='Project List References'!$B$8, _xlfn.IFNA(_xlfn.XLOOKUP(R$2-$C6,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S6" s="661">
        <f>IF($B6='Project List References'!$B$3, _xlfn.IFNA(_xlfn.XLOOKUP(S$2-$C6, 'GEN-CCGT'!$D$7:$AW$7, 'GEN-CCGT'!$D$24:$AW$24), 0), IF($B6='Project List References'!$B$4, _xlfn.IFNA(_xlfn.XLOOKUP(S$2-$C6, 'GEN-SOLAR'!$D$7:$AW$7, 'GEN-SOLAR'!$D$24:$AW$24), 0), IF($B6='Project List References'!$B$5, _xlfn.IFNA(_xlfn.XLOOKUP(S$2-$C6, 'GEN-BESS'!$D$7:$AW$7, 'GEN-BESS'!$D$24:$AW$24), 0), IF($B6='Project List References'!$B$6, _xlfn.IFNA(_xlfn.XLOOKUP(S$2-$C6, 'GEN-CARBON'!$D$7:$AW$7, 'GEN-CARBON'!$D$24:$AW$24), 0), IF($B6='Project List References'!$B$7, _xlfn.IFNA(_xlfn.XLOOKUP(S$2-$C6, 'SENS Coal'!$D$7:$AW$7, 'SENS Coal'!$D$24:$AW$24), 0), IF($B6='Project List References'!$B$8, _xlfn.IFNA(_xlfn.XLOOKUP(S$2-$C6,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T6" s="661">
        <f>IF($B6='Project List References'!$B$3, _xlfn.IFNA(_xlfn.XLOOKUP(T$2-$C6, 'GEN-CCGT'!$D$7:$AW$7, 'GEN-CCGT'!$D$24:$AW$24), 0), IF($B6='Project List References'!$B$4, _xlfn.IFNA(_xlfn.XLOOKUP(T$2-$C6, 'GEN-SOLAR'!$D$7:$AW$7, 'GEN-SOLAR'!$D$24:$AW$24), 0), IF($B6='Project List References'!$B$5, _xlfn.IFNA(_xlfn.XLOOKUP(T$2-$C6, 'GEN-BESS'!$D$7:$AW$7, 'GEN-BESS'!$D$24:$AW$24), 0), IF($B6='Project List References'!$B$6, _xlfn.IFNA(_xlfn.XLOOKUP(T$2-$C6, 'GEN-CARBON'!$D$7:$AW$7, 'GEN-CARBON'!$D$24:$AW$24), 0), IF($B6='Project List References'!$B$7, _xlfn.IFNA(_xlfn.XLOOKUP(T$2-$C6, 'SENS Coal'!$D$7:$AW$7, 'SENS Coal'!$D$24:$AW$24), 0), IF($B6='Project List References'!$B$8, _xlfn.IFNA(_xlfn.XLOOKUP(T$2-$C6, 'SENS Tires'!$D$7:$AW$7, 'SENS Tires'!$D$24:$AW$24),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</row>
    <row r="7" spans="1:111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_xlfn.XLOOKUP(A7, 'Project Master Sheet'!A:A, 'Project Master Sheet'!I:I)</f>
        <v>0</v>
      </c>
      <c r="E7" s="661">
        <f>IF($B7='Project List References'!$B$3, _xlfn.IFNA(_xlfn.XLOOKUP(E$2-$C7, 'GEN-CCGT'!$D$7:$AW$7, 'GEN-CCGT'!$D$24:$AW$24), 0), IF($B7='Project List References'!$B$4, _xlfn.IFNA(_xlfn.XLOOKUP(E$2-$C7, 'GEN-SOLAR'!$D$7:$AW$7, 'GEN-SOLAR'!$D$24:$AW$24), 0), IF($B7='Project List References'!$B$5, _xlfn.IFNA(_xlfn.XLOOKUP(E$2-$C7, 'GEN-BESS'!$D$7:$AW$7, 'GEN-BESS'!$D$24:$AW$24), 0), IF($B7='Project List References'!$B$6, _xlfn.IFNA(_xlfn.XLOOKUP(E$2-$C7, 'GEN-CARBON'!$D$7:$AW$7, 'GEN-CARBON'!$D$24:$AW$24), 0), IF($B7='Project List References'!$B$7, _xlfn.IFNA(_xlfn.XLOOKUP(E$2-$C7, 'SENS Coal'!$D$7:$AW$7, 'SENS Coal'!$D$24:$AW$24), 0), IF($B7='Project List References'!$B$8, _xlfn.IFNA(_xlfn.XLOOKUP(E$2-$C7,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-51.333333333333336</v>
      </c>
      <c r="F7" s="661">
        <f>IF($B7='Project List References'!$B$3, _xlfn.IFNA(_xlfn.XLOOKUP(F$2-$C7, 'GEN-CCGT'!$D$7:$AW$7, 'GEN-CCGT'!$D$24:$AW$24), 0), IF($B7='Project List References'!$B$4, _xlfn.IFNA(_xlfn.XLOOKUP(F$2-$C7, 'GEN-SOLAR'!$D$7:$AW$7, 'GEN-SOLAR'!$D$24:$AW$24), 0), IF($B7='Project List References'!$B$5, _xlfn.IFNA(_xlfn.XLOOKUP(F$2-$C7, 'GEN-BESS'!$D$7:$AW$7, 'GEN-BESS'!$D$24:$AW$24), 0), IF($B7='Project List References'!$B$6, _xlfn.IFNA(_xlfn.XLOOKUP(F$2-$C7, 'GEN-CARBON'!$D$7:$AW$7, 'GEN-CARBON'!$D$24:$AW$24), 0), IF($B7='Project List References'!$B$7, _xlfn.IFNA(_xlfn.XLOOKUP(F$2-$C7, 'SENS Coal'!$D$7:$AW$7, 'SENS Coal'!$D$24:$AW$24), 0), IF($B7='Project List References'!$B$8, _xlfn.IFNA(_xlfn.XLOOKUP(F$2-$C7,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-32.666666666666664</v>
      </c>
      <c r="G7" s="661">
        <f>IF($B7='Project List References'!$B$3, _xlfn.IFNA(_xlfn.XLOOKUP(G$2-$C7, 'GEN-CCGT'!$D$7:$AW$7, 'GEN-CCGT'!$D$24:$AW$24), 0), IF($B7='Project List References'!$B$4, _xlfn.IFNA(_xlfn.XLOOKUP(G$2-$C7, 'GEN-SOLAR'!$D$7:$AW$7, 'GEN-SOLAR'!$D$24:$AW$24), 0), IF($B7='Project List References'!$B$5, _xlfn.IFNA(_xlfn.XLOOKUP(G$2-$C7, 'GEN-BESS'!$D$7:$AW$7, 'GEN-BESS'!$D$24:$AW$24), 0), IF($B7='Project List References'!$B$6, _xlfn.IFNA(_xlfn.XLOOKUP(G$2-$C7, 'GEN-CARBON'!$D$7:$AW$7, 'GEN-CARBON'!$D$24:$AW$24), 0), IF($B7='Project List References'!$B$7, _xlfn.IFNA(_xlfn.XLOOKUP(G$2-$C7, 'SENS Coal'!$D$7:$AW$7, 'SENS Coal'!$D$24:$AW$24), 0), IF($B7='Project List References'!$B$8, _xlfn.IFNA(_xlfn.XLOOKUP(G$2-$C7,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H7" s="661">
        <f>IF($B7='Project List References'!$B$3, _xlfn.IFNA(_xlfn.XLOOKUP(H$2-$C7, 'GEN-CCGT'!$D$7:$AW$7, 'GEN-CCGT'!$D$24:$AW$24), 0), IF($B7='Project List References'!$B$4, _xlfn.IFNA(_xlfn.XLOOKUP(H$2-$C7, 'GEN-SOLAR'!$D$7:$AW$7, 'GEN-SOLAR'!$D$24:$AW$24), 0), IF($B7='Project List References'!$B$5, _xlfn.IFNA(_xlfn.XLOOKUP(H$2-$C7, 'GEN-BESS'!$D$7:$AW$7, 'GEN-BESS'!$D$24:$AW$24), 0), IF($B7='Project List References'!$B$6, _xlfn.IFNA(_xlfn.XLOOKUP(H$2-$C7, 'GEN-CARBON'!$D$7:$AW$7, 'GEN-CARBON'!$D$24:$AW$24), 0), IF($B7='Project List References'!$B$7, _xlfn.IFNA(_xlfn.XLOOKUP(H$2-$C7, 'SENS Coal'!$D$7:$AW$7, 'SENS Coal'!$D$24:$AW$24), 0), IF($B7='Project List References'!$B$8, _xlfn.IFNA(_xlfn.XLOOKUP(H$2-$C7,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I7" s="661">
        <f>IF($B7='Project List References'!$B$3, _xlfn.IFNA(_xlfn.XLOOKUP(I$2-$C7, 'GEN-CCGT'!$D$7:$AW$7, 'GEN-CCGT'!$D$24:$AW$24), 0), IF($B7='Project List References'!$B$4, _xlfn.IFNA(_xlfn.XLOOKUP(I$2-$C7, 'GEN-SOLAR'!$D$7:$AW$7, 'GEN-SOLAR'!$D$24:$AW$24), 0), IF($B7='Project List References'!$B$5, _xlfn.IFNA(_xlfn.XLOOKUP(I$2-$C7, 'GEN-BESS'!$D$7:$AW$7, 'GEN-BESS'!$D$24:$AW$24), 0), IF($B7='Project List References'!$B$6, _xlfn.IFNA(_xlfn.XLOOKUP(I$2-$C7, 'GEN-CARBON'!$D$7:$AW$7, 'GEN-CARBON'!$D$24:$AW$24), 0), IF($B7='Project List References'!$B$7, _xlfn.IFNA(_xlfn.XLOOKUP(I$2-$C7, 'SENS Coal'!$D$7:$AW$7, 'SENS Coal'!$D$24:$AW$24), 0), IF($B7='Project List References'!$B$8, _xlfn.IFNA(_xlfn.XLOOKUP(I$2-$C7,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J7" s="661">
        <f>IF($B7='Project List References'!$B$3, _xlfn.IFNA(_xlfn.XLOOKUP(J$2-$C7, 'GEN-CCGT'!$D$7:$AW$7, 'GEN-CCGT'!$D$24:$AW$24), 0), IF($B7='Project List References'!$B$4, _xlfn.IFNA(_xlfn.XLOOKUP(J$2-$C7, 'GEN-SOLAR'!$D$7:$AW$7, 'GEN-SOLAR'!$D$24:$AW$24), 0), IF($B7='Project List References'!$B$5, _xlfn.IFNA(_xlfn.XLOOKUP(J$2-$C7, 'GEN-BESS'!$D$7:$AW$7, 'GEN-BESS'!$D$24:$AW$24), 0), IF($B7='Project List References'!$B$6, _xlfn.IFNA(_xlfn.XLOOKUP(J$2-$C7, 'GEN-CARBON'!$D$7:$AW$7, 'GEN-CARBON'!$D$24:$AW$24), 0), IF($B7='Project List References'!$B$7, _xlfn.IFNA(_xlfn.XLOOKUP(J$2-$C7, 'SENS Coal'!$D$7:$AW$7, 'SENS Coal'!$D$24:$AW$24), 0), IF($B7='Project List References'!$B$8, _xlfn.IFNA(_xlfn.XLOOKUP(J$2-$C7,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K7" s="661">
        <f>IF($B7='Project List References'!$B$3, _xlfn.IFNA(_xlfn.XLOOKUP(K$2-$C7, 'GEN-CCGT'!$D$7:$AW$7, 'GEN-CCGT'!$D$24:$AW$24), 0), IF($B7='Project List References'!$B$4, _xlfn.IFNA(_xlfn.XLOOKUP(K$2-$C7, 'GEN-SOLAR'!$D$7:$AW$7, 'GEN-SOLAR'!$D$24:$AW$24), 0), IF($B7='Project List References'!$B$5, _xlfn.IFNA(_xlfn.XLOOKUP(K$2-$C7, 'GEN-BESS'!$D$7:$AW$7, 'GEN-BESS'!$D$24:$AW$24), 0), IF($B7='Project List References'!$B$6, _xlfn.IFNA(_xlfn.XLOOKUP(K$2-$C7, 'GEN-CARBON'!$D$7:$AW$7, 'GEN-CARBON'!$D$24:$AW$24), 0), IF($B7='Project List References'!$B$7, _xlfn.IFNA(_xlfn.XLOOKUP(K$2-$C7, 'SENS Coal'!$D$7:$AW$7, 'SENS Coal'!$D$24:$AW$24), 0), IF($B7='Project List References'!$B$8, _xlfn.IFNA(_xlfn.XLOOKUP(K$2-$C7,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L7" s="661">
        <f>IF($B7='Project List References'!$B$3, _xlfn.IFNA(_xlfn.XLOOKUP(L$2-$C7, 'GEN-CCGT'!$D$7:$AW$7, 'GEN-CCGT'!$D$24:$AW$24), 0), IF($B7='Project List References'!$B$4, _xlfn.IFNA(_xlfn.XLOOKUP(L$2-$C7, 'GEN-SOLAR'!$D$7:$AW$7, 'GEN-SOLAR'!$D$24:$AW$24), 0), IF($B7='Project List References'!$B$5, _xlfn.IFNA(_xlfn.XLOOKUP(L$2-$C7, 'GEN-BESS'!$D$7:$AW$7, 'GEN-BESS'!$D$24:$AW$24), 0), IF($B7='Project List References'!$B$6, _xlfn.IFNA(_xlfn.XLOOKUP(L$2-$C7, 'GEN-CARBON'!$D$7:$AW$7, 'GEN-CARBON'!$D$24:$AW$24), 0), IF($B7='Project List References'!$B$7, _xlfn.IFNA(_xlfn.XLOOKUP(L$2-$C7, 'SENS Coal'!$D$7:$AW$7, 'SENS Coal'!$D$24:$AW$24), 0), IF($B7='Project List References'!$B$8, _xlfn.IFNA(_xlfn.XLOOKUP(L$2-$C7,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M7" s="661">
        <f>IF($B7='Project List References'!$B$3, _xlfn.IFNA(_xlfn.XLOOKUP(M$2-$C7, 'GEN-CCGT'!$D$7:$AW$7, 'GEN-CCGT'!$D$24:$AW$24), 0), IF($B7='Project List References'!$B$4, _xlfn.IFNA(_xlfn.XLOOKUP(M$2-$C7, 'GEN-SOLAR'!$D$7:$AW$7, 'GEN-SOLAR'!$D$24:$AW$24), 0), IF($B7='Project List References'!$B$5, _xlfn.IFNA(_xlfn.XLOOKUP(M$2-$C7, 'GEN-BESS'!$D$7:$AW$7, 'GEN-BESS'!$D$24:$AW$24), 0), IF($B7='Project List References'!$B$6, _xlfn.IFNA(_xlfn.XLOOKUP(M$2-$C7, 'GEN-CARBON'!$D$7:$AW$7, 'GEN-CARBON'!$D$24:$AW$24), 0), IF($B7='Project List References'!$B$7, _xlfn.IFNA(_xlfn.XLOOKUP(M$2-$C7, 'SENS Coal'!$D$7:$AW$7, 'SENS Coal'!$D$24:$AW$24), 0), IF($B7='Project List References'!$B$8, _xlfn.IFNA(_xlfn.XLOOKUP(M$2-$C7,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N7" s="661">
        <f>IF($B7='Project List References'!$B$3, _xlfn.IFNA(_xlfn.XLOOKUP(N$2-$C7, 'GEN-CCGT'!$D$7:$AW$7, 'GEN-CCGT'!$D$24:$AW$24), 0), IF($B7='Project List References'!$B$4, _xlfn.IFNA(_xlfn.XLOOKUP(N$2-$C7, 'GEN-SOLAR'!$D$7:$AW$7, 'GEN-SOLAR'!$D$24:$AW$24), 0), IF($B7='Project List References'!$B$5, _xlfn.IFNA(_xlfn.XLOOKUP(N$2-$C7, 'GEN-BESS'!$D$7:$AW$7, 'GEN-BESS'!$D$24:$AW$24), 0), IF($B7='Project List References'!$B$6, _xlfn.IFNA(_xlfn.XLOOKUP(N$2-$C7, 'GEN-CARBON'!$D$7:$AW$7, 'GEN-CARBON'!$D$24:$AW$24), 0), IF($B7='Project List References'!$B$7, _xlfn.IFNA(_xlfn.XLOOKUP(N$2-$C7, 'SENS Coal'!$D$7:$AW$7, 'SENS Coal'!$D$24:$AW$24), 0), IF($B7='Project List References'!$B$8, _xlfn.IFNA(_xlfn.XLOOKUP(N$2-$C7,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O7" s="661">
        <f>IF($B7='Project List References'!$B$3, _xlfn.IFNA(_xlfn.XLOOKUP(O$2-$C7, 'GEN-CCGT'!$D$7:$AW$7, 'GEN-CCGT'!$D$24:$AW$24), 0), IF($B7='Project List References'!$B$4, _xlfn.IFNA(_xlfn.XLOOKUP(O$2-$C7, 'GEN-SOLAR'!$D$7:$AW$7, 'GEN-SOLAR'!$D$24:$AW$24), 0), IF($B7='Project List References'!$B$5, _xlfn.IFNA(_xlfn.XLOOKUP(O$2-$C7, 'GEN-BESS'!$D$7:$AW$7, 'GEN-BESS'!$D$24:$AW$24), 0), IF($B7='Project List References'!$B$6, _xlfn.IFNA(_xlfn.XLOOKUP(O$2-$C7, 'GEN-CARBON'!$D$7:$AW$7, 'GEN-CARBON'!$D$24:$AW$24), 0), IF($B7='Project List References'!$B$7, _xlfn.IFNA(_xlfn.XLOOKUP(O$2-$C7, 'SENS Coal'!$D$7:$AW$7, 'SENS Coal'!$D$24:$AW$24), 0), IF($B7='Project List References'!$B$8, _xlfn.IFNA(_xlfn.XLOOKUP(O$2-$C7,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P7" s="661">
        <f>IF($B7='Project List References'!$B$3, _xlfn.IFNA(_xlfn.XLOOKUP(P$2-$C7, 'GEN-CCGT'!$D$7:$AW$7, 'GEN-CCGT'!$D$24:$AW$24), 0), IF($B7='Project List References'!$B$4, _xlfn.IFNA(_xlfn.XLOOKUP(P$2-$C7, 'GEN-SOLAR'!$D$7:$AW$7, 'GEN-SOLAR'!$D$24:$AW$24), 0), IF($B7='Project List References'!$B$5, _xlfn.IFNA(_xlfn.XLOOKUP(P$2-$C7, 'GEN-BESS'!$D$7:$AW$7, 'GEN-BESS'!$D$24:$AW$24), 0), IF($B7='Project List References'!$B$6, _xlfn.IFNA(_xlfn.XLOOKUP(P$2-$C7, 'GEN-CARBON'!$D$7:$AW$7, 'GEN-CARBON'!$D$24:$AW$24), 0), IF($B7='Project List References'!$B$7, _xlfn.IFNA(_xlfn.XLOOKUP(P$2-$C7, 'SENS Coal'!$D$7:$AW$7, 'SENS Coal'!$D$24:$AW$24), 0), IF($B7='Project List References'!$B$8, _xlfn.IFNA(_xlfn.XLOOKUP(P$2-$C7,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Q7" s="661">
        <f>IF($B7='Project List References'!$B$3, _xlfn.IFNA(_xlfn.XLOOKUP(Q$2-$C7, 'GEN-CCGT'!$D$7:$AW$7, 'GEN-CCGT'!$D$24:$AW$24), 0), IF($B7='Project List References'!$B$4, _xlfn.IFNA(_xlfn.XLOOKUP(Q$2-$C7, 'GEN-SOLAR'!$D$7:$AW$7, 'GEN-SOLAR'!$D$24:$AW$24), 0), IF($B7='Project List References'!$B$5, _xlfn.IFNA(_xlfn.XLOOKUP(Q$2-$C7, 'GEN-BESS'!$D$7:$AW$7, 'GEN-BESS'!$D$24:$AW$24), 0), IF($B7='Project List References'!$B$6, _xlfn.IFNA(_xlfn.XLOOKUP(Q$2-$C7, 'GEN-CARBON'!$D$7:$AW$7, 'GEN-CARBON'!$D$24:$AW$24), 0), IF($B7='Project List References'!$B$7, _xlfn.IFNA(_xlfn.XLOOKUP(Q$2-$C7, 'SENS Coal'!$D$7:$AW$7, 'SENS Coal'!$D$24:$AW$24), 0), IF($B7='Project List References'!$B$8, _xlfn.IFNA(_xlfn.XLOOKUP(Q$2-$C7,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R7" s="661">
        <f>IF($B7='Project List References'!$B$3, _xlfn.IFNA(_xlfn.XLOOKUP(R$2-$C7, 'GEN-CCGT'!$D$7:$AW$7, 'GEN-CCGT'!$D$24:$AW$24), 0), IF($B7='Project List References'!$B$4, _xlfn.IFNA(_xlfn.XLOOKUP(R$2-$C7, 'GEN-SOLAR'!$D$7:$AW$7, 'GEN-SOLAR'!$D$24:$AW$24), 0), IF($B7='Project List References'!$B$5, _xlfn.IFNA(_xlfn.XLOOKUP(R$2-$C7, 'GEN-BESS'!$D$7:$AW$7, 'GEN-BESS'!$D$24:$AW$24), 0), IF($B7='Project List References'!$B$6, _xlfn.IFNA(_xlfn.XLOOKUP(R$2-$C7, 'GEN-CARBON'!$D$7:$AW$7, 'GEN-CARBON'!$D$24:$AW$24), 0), IF($B7='Project List References'!$B$7, _xlfn.IFNA(_xlfn.XLOOKUP(R$2-$C7, 'SENS Coal'!$D$7:$AW$7, 'SENS Coal'!$D$24:$AW$24), 0), IF($B7='Project List References'!$B$8, _xlfn.IFNA(_xlfn.XLOOKUP(R$2-$C7,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S7" s="661">
        <f>IF($B7='Project List References'!$B$3, _xlfn.IFNA(_xlfn.XLOOKUP(S$2-$C7, 'GEN-CCGT'!$D$7:$AW$7, 'GEN-CCGT'!$D$24:$AW$24), 0), IF($B7='Project List References'!$B$4, _xlfn.IFNA(_xlfn.XLOOKUP(S$2-$C7, 'GEN-SOLAR'!$D$7:$AW$7, 'GEN-SOLAR'!$D$24:$AW$24), 0), IF($B7='Project List References'!$B$5, _xlfn.IFNA(_xlfn.XLOOKUP(S$2-$C7, 'GEN-BESS'!$D$7:$AW$7, 'GEN-BESS'!$D$24:$AW$24), 0), IF($B7='Project List References'!$B$6, _xlfn.IFNA(_xlfn.XLOOKUP(S$2-$C7, 'GEN-CARBON'!$D$7:$AW$7, 'GEN-CARBON'!$D$24:$AW$24), 0), IF($B7='Project List References'!$B$7, _xlfn.IFNA(_xlfn.XLOOKUP(S$2-$C7, 'SENS Coal'!$D$7:$AW$7, 'SENS Coal'!$D$24:$AW$24), 0), IF($B7='Project List References'!$B$8, _xlfn.IFNA(_xlfn.XLOOKUP(S$2-$C7,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T7" s="661">
        <f>IF($B7='Project List References'!$B$3, _xlfn.IFNA(_xlfn.XLOOKUP(T$2-$C7, 'GEN-CCGT'!$D$7:$AW$7, 'GEN-CCGT'!$D$24:$AW$24), 0), IF($B7='Project List References'!$B$4, _xlfn.IFNA(_xlfn.XLOOKUP(T$2-$C7, 'GEN-SOLAR'!$D$7:$AW$7, 'GEN-SOLAR'!$D$24:$AW$24), 0), IF($B7='Project List References'!$B$5, _xlfn.IFNA(_xlfn.XLOOKUP(T$2-$C7, 'GEN-BESS'!$D$7:$AW$7, 'GEN-BESS'!$D$24:$AW$24), 0), IF($B7='Project List References'!$B$6, _xlfn.IFNA(_xlfn.XLOOKUP(T$2-$C7, 'GEN-CARBON'!$D$7:$AW$7, 'GEN-CARBON'!$D$24:$AW$24), 0), IF($B7='Project List References'!$B$7, _xlfn.IFNA(_xlfn.XLOOKUP(T$2-$C7, 'SENS Coal'!$D$7:$AW$7, 'SENS Coal'!$D$24:$AW$24), 0), IF($B7='Project List References'!$B$8, _xlfn.IFNA(_xlfn.XLOOKUP(T$2-$C7, 'SENS Tires'!$D$7:$AW$7, 'SENS Tires'!$D$24:$AW$24),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</row>
    <row r="8" spans="1:111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_xlfn.XLOOKUP(A8, 'Project Master Sheet'!A:A, 'Project Master Sheet'!I:I)</f>
        <v>#N/A</v>
      </c>
      <c r="E8" s="661" t="e">
        <f>IF($B8='Project List References'!$B$3, _xlfn.IFNA(_xlfn.XLOOKUP(E$2-$C8, 'GEN-CCGT'!$D$7:$AW$7, 'GEN-CCGT'!$D$24:$AW$24), 0), IF($B8='Project List References'!$B$4, _xlfn.IFNA(_xlfn.XLOOKUP(E$2-$C8, 'GEN-SOLAR'!$D$7:$AW$7, 'GEN-SOLAR'!$D$24:$AW$24), 0), IF($B8='Project List References'!$B$5, _xlfn.IFNA(_xlfn.XLOOKUP(E$2-$C8, 'GEN-BESS'!$D$7:$AW$7, 'GEN-BESS'!$D$24:$AW$24), 0), IF($B8='Project List References'!$B$6, _xlfn.IFNA(_xlfn.XLOOKUP(E$2-$C8, 'GEN-CARBON'!$D$7:$AW$7, 'GEN-CARBON'!$D$24:$AW$24), 0), IF($B8='Project List References'!$B$7, _xlfn.IFNA(_xlfn.XLOOKUP(E$2-$C8, 'SENS Coal'!$D$7:$AW$7, 'SENS Coal'!$D$24:$AW$24), 0), IF($B8='Project List References'!$B$8, _xlfn.IFNA(_xlfn.XLOOKUP(E$2-$C8,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F8" s="661" t="e">
        <f>IF($B8='Project List References'!$B$3, _xlfn.IFNA(_xlfn.XLOOKUP(F$2-$C8, 'GEN-CCGT'!$D$7:$AW$7, 'GEN-CCGT'!$D$24:$AW$24), 0), IF($B8='Project List References'!$B$4, _xlfn.IFNA(_xlfn.XLOOKUP(F$2-$C8, 'GEN-SOLAR'!$D$7:$AW$7, 'GEN-SOLAR'!$D$24:$AW$24), 0), IF($B8='Project List References'!$B$5, _xlfn.IFNA(_xlfn.XLOOKUP(F$2-$C8, 'GEN-BESS'!$D$7:$AW$7, 'GEN-BESS'!$D$24:$AW$24), 0), IF($B8='Project List References'!$B$6, _xlfn.IFNA(_xlfn.XLOOKUP(F$2-$C8, 'GEN-CARBON'!$D$7:$AW$7, 'GEN-CARBON'!$D$24:$AW$24), 0), IF($B8='Project List References'!$B$7, _xlfn.IFNA(_xlfn.XLOOKUP(F$2-$C8, 'SENS Coal'!$D$7:$AW$7, 'SENS Coal'!$D$24:$AW$24), 0), IF($B8='Project List References'!$B$8, _xlfn.IFNA(_xlfn.XLOOKUP(F$2-$C8,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G8" s="661" t="e">
        <f>IF($B8='Project List References'!$B$3, _xlfn.IFNA(_xlfn.XLOOKUP(G$2-$C8, 'GEN-CCGT'!$D$7:$AW$7, 'GEN-CCGT'!$D$24:$AW$24), 0), IF($B8='Project List References'!$B$4, _xlfn.IFNA(_xlfn.XLOOKUP(G$2-$C8, 'GEN-SOLAR'!$D$7:$AW$7, 'GEN-SOLAR'!$D$24:$AW$24), 0), IF($B8='Project List References'!$B$5, _xlfn.IFNA(_xlfn.XLOOKUP(G$2-$C8, 'GEN-BESS'!$D$7:$AW$7, 'GEN-BESS'!$D$24:$AW$24), 0), IF($B8='Project List References'!$B$6, _xlfn.IFNA(_xlfn.XLOOKUP(G$2-$C8, 'GEN-CARBON'!$D$7:$AW$7, 'GEN-CARBON'!$D$24:$AW$24), 0), IF($B8='Project List References'!$B$7, _xlfn.IFNA(_xlfn.XLOOKUP(G$2-$C8, 'SENS Coal'!$D$7:$AW$7, 'SENS Coal'!$D$24:$AW$24), 0), IF($B8='Project List References'!$B$8, _xlfn.IFNA(_xlfn.XLOOKUP(G$2-$C8,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H8" s="661" t="e">
        <f>IF($B8='Project List References'!$B$3, _xlfn.IFNA(_xlfn.XLOOKUP(H$2-$C8, 'GEN-CCGT'!$D$7:$AW$7, 'GEN-CCGT'!$D$24:$AW$24), 0), IF($B8='Project List References'!$B$4, _xlfn.IFNA(_xlfn.XLOOKUP(H$2-$C8, 'GEN-SOLAR'!$D$7:$AW$7, 'GEN-SOLAR'!$D$24:$AW$24), 0), IF($B8='Project List References'!$B$5, _xlfn.IFNA(_xlfn.XLOOKUP(H$2-$C8, 'GEN-BESS'!$D$7:$AW$7, 'GEN-BESS'!$D$24:$AW$24), 0), IF($B8='Project List References'!$B$6, _xlfn.IFNA(_xlfn.XLOOKUP(H$2-$C8, 'GEN-CARBON'!$D$7:$AW$7, 'GEN-CARBON'!$D$24:$AW$24), 0), IF($B8='Project List References'!$B$7, _xlfn.IFNA(_xlfn.XLOOKUP(H$2-$C8, 'SENS Coal'!$D$7:$AW$7, 'SENS Coal'!$D$24:$AW$24), 0), IF($B8='Project List References'!$B$8, _xlfn.IFNA(_xlfn.XLOOKUP(H$2-$C8,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I8" s="661" t="e">
        <f>IF($B8='Project List References'!$B$3, _xlfn.IFNA(_xlfn.XLOOKUP(I$2-$C8, 'GEN-CCGT'!$D$7:$AW$7, 'GEN-CCGT'!$D$24:$AW$24), 0), IF($B8='Project List References'!$B$4, _xlfn.IFNA(_xlfn.XLOOKUP(I$2-$C8, 'GEN-SOLAR'!$D$7:$AW$7, 'GEN-SOLAR'!$D$24:$AW$24), 0), IF($B8='Project List References'!$B$5, _xlfn.IFNA(_xlfn.XLOOKUP(I$2-$C8, 'GEN-BESS'!$D$7:$AW$7, 'GEN-BESS'!$D$24:$AW$24), 0), IF($B8='Project List References'!$B$6, _xlfn.IFNA(_xlfn.XLOOKUP(I$2-$C8, 'GEN-CARBON'!$D$7:$AW$7, 'GEN-CARBON'!$D$24:$AW$24), 0), IF($B8='Project List References'!$B$7, _xlfn.IFNA(_xlfn.XLOOKUP(I$2-$C8, 'SENS Coal'!$D$7:$AW$7, 'SENS Coal'!$D$24:$AW$24), 0), IF($B8='Project List References'!$B$8, _xlfn.IFNA(_xlfn.XLOOKUP(I$2-$C8,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J8" s="661" t="e">
        <f>IF($B8='Project List References'!$B$3, _xlfn.IFNA(_xlfn.XLOOKUP(J$2-$C8, 'GEN-CCGT'!$D$7:$AW$7, 'GEN-CCGT'!$D$24:$AW$24), 0), IF($B8='Project List References'!$B$4, _xlfn.IFNA(_xlfn.XLOOKUP(J$2-$C8, 'GEN-SOLAR'!$D$7:$AW$7, 'GEN-SOLAR'!$D$24:$AW$24), 0), IF($B8='Project List References'!$B$5, _xlfn.IFNA(_xlfn.XLOOKUP(J$2-$C8, 'GEN-BESS'!$D$7:$AW$7, 'GEN-BESS'!$D$24:$AW$24), 0), IF($B8='Project List References'!$B$6, _xlfn.IFNA(_xlfn.XLOOKUP(J$2-$C8, 'GEN-CARBON'!$D$7:$AW$7, 'GEN-CARBON'!$D$24:$AW$24), 0), IF($B8='Project List References'!$B$7, _xlfn.IFNA(_xlfn.XLOOKUP(J$2-$C8, 'SENS Coal'!$D$7:$AW$7, 'SENS Coal'!$D$24:$AW$24), 0), IF($B8='Project List References'!$B$8, _xlfn.IFNA(_xlfn.XLOOKUP(J$2-$C8,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K8" s="661" t="e">
        <f>IF($B8='Project List References'!$B$3, _xlfn.IFNA(_xlfn.XLOOKUP(K$2-$C8, 'GEN-CCGT'!$D$7:$AW$7, 'GEN-CCGT'!$D$24:$AW$24), 0), IF($B8='Project List References'!$B$4, _xlfn.IFNA(_xlfn.XLOOKUP(K$2-$C8, 'GEN-SOLAR'!$D$7:$AW$7, 'GEN-SOLAR'!$D$24:$AW$24), 0), IF($B8='Project List References'!$B$5, _xlfn.IFNA(_xlfn.XLOOKUP(K$2-$C8, 'GEN-BESS'!$D$7:$AW$7, 'GEN-BESS'!$D$24:$AW$24), 0), IF($B8='Project List References'!$B$6, _xlfn.IFNA(_xlfn.XLOOKUP(K$2-$C8, 'GEN-CARBON'!$D$7:$AW$7, 'GEN-CARBON'!$D$24:$AW$24), 0), IF($B8='Project List References'!$B$7, _xlfn.IFNA(_xlfn.XLOOKUP(K$2-$C8, 'SENS Coal'!$D$7:$AW$7, 'SENS Coal'!$D$24:$AW$24), 0), IF($B8='Project List References'!$B$8, _xlfn.IFNA(_xlfn.XLOOKUP(K$2-$C8,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L8" s="661" t="e">
        <f>IF($B8='Project List References'!$B$3, _xlfn.IFNA(_xlfn.XLOOKUP(L$2-$C8, 'GEN-CCGT'!$D$7:$AW$7, 'GEN-CCGT'!$D$24:$AW$24), 0), IF($B8='Project List References'!$B$4, _xlfn.IFNA(_xlfn.XLOOKUP(L$2-$C8, 'GEN-SOLAR'!$D$7:$AW$7, 'GEN-SOLAR'!$D$24:$AW$24), 0), IF($B8='Project List References'!$B$5, _xlfn.IFNA(_xlfn.XLOOKUP(L$2-$C8, 'GEN-BESS'!$D$7:$AW$7, 'GEN-BESS'!$D$24:$AW$24), 0), IF($B8='Project List References'!$B$6, _xlfn.IFNA(_xlfn.XLOOKUP(L$2-$C8, 'GEN-CARBON'!$D$7:$AW$7, 'GEN-CARBON'!$D$24:$AW$24), 0), IF($B8='Project List References'!$B$7, _xlfn.IFNA(_xlfn.XLOOKUP(L$2-$C8, 'SENS Coal'!$D$7:$AW$7, 'SENS Coal'!$D$24:$AW$24), 0), IF($B8='Project List References'!$B$8, _xlfn.IFNA(_xlfn.XLOOKUP(L$2-$C8,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M8" s="661" t="e">
        <f>IF($B8='Project List References'!$B$3, _xlfn.IFNA(_xlfn.XLOOKUP(M$2-$C8, 'GEN-CCGT'!$D$7:$AW$7, 'GEN-CCGT'!$D$24:$AW$24), 0), IF($B8='Project List References'!$B$4, _xlfn.IFNA(_xlfn.XLOOKUP(M$2-$C8, 'GEN-SOLAR'!$D$7:$AW$7, 'GEN-SOLAR'!$D$24:$AW$24), 0), IF($B8='Project List References'!$B$5, _xlfn.IFNA(_xlfn.XLOOKUP(M$2-$C8, 'GEN-BESS'!$D$7:$AW$7, 'GEN-BESS'!$D$24:$AW$24), 0), IF($B8='Project List References'!$B$6, _xlfn.IFNA(_xlfn.XLOOKUP(M$2-$C8, 'GEN-CARBON'!$D$7:$AW$7, 'GEN-CARBON'!$D$24:$AW$24), 0), IF($B8='Project List References'!$B$7, _xlfn.IFNA(_xlfn.XLOOKUP(M$2-$C8, 'SENS Coal'!$D$7:$AW$7, 'SENS Coal'!$D$24:$AW$24), 0), IF($B8='Project List References'!$B$8, _xlfn.IFNA(_xlfn.XLOOKUP(M$2-$C8,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N8" s="661" t="e">
        <f>IF($B8='Project List References'!$B$3, _xlfn.IFNA(_xlfn.XLOOKUP(N$2-$C8, 'GEN-CCGT'!$D$7:$AW$7, 'GEN-CCGT'!$D$24:$AW$24), 0), IF($B8='Project List References'!$B$4, _xlfn.IFNA(_xlfn.XLOOKUP(N$2-$C8, 'GEN-SOLAR'!$D$7:$AW$7, 'GEN-SOLAR'!$D$24:$AW$24), 0), IF($B8='Project List References'!$B$5, _xlfn.IFNA(_xlfn.XLOOKUP(N$2-$C8, 'GEN-BESS'!$D$7:$AW$7, 'GEN-BESS'!$D$24:$AW$24), 0), IF($B8='Project List References'!$B$6, _xlfn.IFNA(_xlfn.XLOOKUP(N$2-$C8, 'GEN-CARBON'!$D$7:$AW$7, 'GEN-CARBON'!$D$24:$AW$24), 0), IF($B8='Project List References'!$B$7, _xlfn.IFNA(_xlfn.XLOOKUP(N$2-$C8, 'SENS Coal'!$D$7:$AW$7, 'SENS Coal'!$D$24:$AW$24), 0), IF($B8='Project List References'!$B$8, _xlfn.IFNA(_xlfn.XLOOKUP(N$2-$C8,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O8" s="661" t="e">
        <f>IF($B8='Project List References'!$B$3, _xlfn.IFNA(_xlfn.XLOOKUP(O$2-$C8, 'GEN-CCGT'!$D$7:$AW$7, 'GEN-CCGT'!$D$24:$AW$24), 0), IF($B8='Project List References'!$B$4, _xlfn.IFNA(_xlfn.XLOOKUP(O$2-$C8, 'GEN-SOLAR'!$D$7:$AW$7, 'GEN-SOLAR'!$D$24:$AW$24), 0), IF($B8='Project List References'!$B$5, _xlfn.IFNA(_xlfn.XLOOKUP(O$2-$C8, 'GEN-BESS'!$D$7:$AW$7, 'GEN-BESS'!$D$24:$AW$24), 0), IF($B8='Project List References'!$B$6, _xlfn.IFNA(_xlfn.XLOOKUP(O$2-$C8, 'GEN-CARBON'!$D$7:$AW$7, 'GEN-CARBON'!$D$24:$AW$24), 0), IF($B8='Project List References'!$B$7, _xlfn.IFNA(_xlfn.XLOOKUP(O$2-$C8, 'SENS Coal'!$D$7:$AW$7, 'SENS Coal'!$D$24:$AW$24), 0), IF($B8='Project List References'!$B$8, _xlfn.IFNA(_xlfn.XLOOKUP(O$2-$C8,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P8" s="661" t="e">
        <f>IF($B8='Project List References'!$B$3, _xlfn.IFNA(_xlfn.XLOOKUP(P$2-$C8, 'GEN-CCGT'!$D$7:$AW$7, 'GEN-CCGT'!$D$24:$AW$24), 0), IF($B8='Project List References'!$B$4, _xlfn.IFNA(_xlfn.XLOOKUP(P$2-$C8, 'GEN-SOLAR'!$D$7:$AW$7, 'GEN-SOLAR'!$D$24:$AW$24), 0), IF($B8='Project List References'!$B$5, _xlfn.IFNA(_xlfn.XLOOKUP(P$2-$C8, 'GEN-BESS'!$D$7:$AW$7, 'GEN-BESS'!$D$24:$AW$24), 0), IF($B8='Project List References'!$B$6, _xlfn.IFNA(_xlfn.XLOOKUP(P$2-$C8, 'GEN-CARBON'!$D$7:$AW$7, 'GEN-CARBON'!$D$24:$AW$24), 0), IF($B8='Project List References'!$B$7, _xlfn.IFNA(_xlfn.XLOOKUP(P$2-$C8, 'SENS Coal'!$D$7:$AW$7, 'SENS Coal'!$D$24:$AW$24), 0), IF($B8='Project List References'!$B$8, _xlfn.IFNA(_xlfn.XLOOKUP(P$2-$C8,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Q8" s="661" t="e">
        <f>IF($B8='Project List References'!$B$3, _xlfn.IFNA(_xlfn.XLOOKUP(Q$2-$C8, 'GEN-CCGT'!$D$7:$AW$7, 'GEN-CCGT'!$D$24:$AW$24), 0), IF($B8='Project List References'!$B$4, _xlfn.IFNA(_xlfn.XLOOKUP(Q$2-$C8, 'GEN-SOLAR'!$D$7:$AW$7, 'GEN-SOLAR'!$D$24:$AW$24), 0), IF($B8='Project List References'!$B$5, _xlfn.IFNA(_xlfn.XLOOKUP(Q$2-$C8, 'GEN-BESS'!$D$7:$AW$7, 'GEN-BESS'!$D$24:$AW$24), 0), IF($B8='Project List References'!$B$6, _xlfn.IFNA(_xlfn.XLOOKUP(Q$2-$C8, 'GEN-CARBON'!$D$7:$AW$7, 'GEN-CARBON'!$D$24:$AW$24), 0), IF($B8='Project List References'!$B$7, _xlfn.IFNA(_xlfn.XLOOKUP(Q$2-$C8, 'SENS Coal'!$D$7:$AW$7, 'SENS Coal'!$D$24:$AW$24), 0), IF($B8='Project List References'!$B$8, _xlfn.IFNA(_xlfn.XLOOKUP(Q$2-$C8,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R8" s="661" t="e">
        <f>IF($B8='Project List References'!$B$3, _xlfn.IFNA(_xlfn.XLOOKUP(R$2-$C8, 'GEN-CCGT'!$D$7:$AW$7, 'GEN-CCGT'!$D$24:$AW$24), 0), IF($B8='Project List References'!$B$4, _xlfn.IFNA(_xlfn.XLOOKUP(R$2-$C8, 'GEN-SOLAR'!$D$7:$AW$7, 'GEN-SOLAR'!$D$24:$AW$24), 0), IF($B8='Project List References'!$B$5, _xlfn.IFNA(_xlfn.XLOOKUP(R$2-$C8, 'GEN-BESS'!$D$7:$AW$7, 'GEN-BESS'!$D$24:$AW$24), 0), IF($B8='Project List References'!$B$6, _xlfn.IFNA(_xlfn.XLOOKUP(R$2-$C8, 'GEN-CARBON'!$D$7:$AW$7, 'GEN-CARBON'!$D$24:$AW$24), 0), IF($B8='Project List References'!$B$7, _xlfn.IFNA(_xlfn.XLOOKUP(R$2-$C8, 'SENS Coal'!$D$7:$AW$7, 'SENS Coal'!$D$24:$AW$24), 0), IF($B8='Project List References'!$B$8, _xlfn.IFNA(_xlfn.XLOOKUP(R$2-$C8,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S8" s="661" t="e">
        <f>IF($B8='Project List References'!$B$3, _xlfn.IFNA(_xlfn.XLOOKUP(S$2-$C8, 'GEN-CCGT'!$D$7:$AW$7, 'GEN-CCGT'!$D$24:$AW$24), 0), IF($B8='Project List References'!$B$4, _xlfn.IFNA(_xlfn.XLOOKUP(S$2-$C8, 'GEN-SOLAR'!$D$7:$AW$7, 'GEN-SOLAR'!$D$24:$AW$24), 0), IF($B8='Project List References'!$B$5, _xlfn.IFNA(_xlfn.XLOOKUP(S$2-$C8, 'GEN-BESS'!$D$7:$AW$7, 'GEN-BESS'!$D$24:$AW$24), 0), IF($B8='Project List References'!$B$6, _xlfn.IFNA(_xlfn.XLOOKUP(S$2-$C8, 'GEN-CARBON'!$D$7:$AW$7, 'GEN-CARBON'!$D$24:$AW$24), 0), IF($B8='Project List References'!$B$7, _xlfn.IFNA(_xlfn.XLOOKUP(S$2-$C8, 'SENS Coal'!$D$7:$AW$7, 'SENS Coal'!$D$24:$AW$24), 0), IF($B8='Project List References'!$B$8, _xlfn.IFNA(_xlfn.XLOOKUP(S$2-$C8,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T8" s="661" t="e">
        <f>IF($B8='Project List References'!$B$3, _xlfn.IFNA(_xlfn.XLOOKUP(T$2-$C8, 'GEN-CCGT'!$D$7:$AW$7, 'GEN-CCGT'!$D$24:$AW$24), 0), IF($B8='Project List References'!$B$4, _xlfn.IFNA(_xlfn.XLOOKUP(T$2-$C8, 'GEN-SOLAR'!$D$7:$AW$7, 'GEN-SOLAR'!$D$24:$AW$24), 0), IF($B8='Project List References'!$B$5, _xlfn.IFNA(_xlfn.XLOOKUP(T$2-$C8, 'GEN-BESS'!$D$7:$AW$7, 'GEN-BESS'!$D$24:$AW$24), 0), IF($B8='Project List References'!$B$6, _xlfn.IFNA(_xlfn.XLOOKUP(T$2-$C8, 'GEN-CARBON'!$D$7:$AW$7, 'GEN-CARBON'!$D$24:$AW$24), 0), IF($B8='Project List References'!$B$7, _xlfn.IFNA(_xlfn.XLOOKUP(T$2-$C8, 'SENS Coal'!$D$7:$AW$7, 'SENS Coal'!$D$24:$AW$24), 0), IF($B8='Project List References'!$B$8, _xlfn.IFNA(_xlfn.XLOOKUP(T$2-$C8, 'SENS Tires'!$D$7:$AW$7, 'SENS Tires'!$D$24:$AW$24),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</row>
    <row r="9" spans="1:111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_xlfn.XLOOKUP(A9, 'Project Master Sheet'!A:A, 'Project Master Sheet'!I:I)</f>
        <v>1</v>
      </c>
      <c r="E9" s="661">
        <f>IF($B9='Project List References'!$B$3, _xlfn.IFNA(_xlfn.XLOOKUP(E$2-$C9, 'GEN-CCGT'!$D$7:$AW$7, 'GEN-CCGT'!$D$24:$AW$24), 0), IF($B9='Project List References'!$B$4, _xlfn.IFNA(_xlfn.XLOOKUP(E$2-$C9, 'GEN-SOLAR'!$D$7:$AW$7, 'GEN-SOLAR'!$D$24:$AW$24), 0), IF($B9='Project List References'!$B$5, _xlfn.IFNA(_xlfn.XLOOKUP(E$2-$C9, 'GEN-BESS'!$D$7:$AW$7, 'GEN-BESS'!$D$24:$AW$24), 0), IF($B9='Project List References'!$B$6, _xlfn.IFNA(_xlfn.XLOOKUP(E$2-$C9, 'GEN-CARBON'!$D$7:$AW$7, 'GEN-CARBON'!$D$24:$AW$24), 0), IF($B9='Project List References'!$B$7, _xlfn.IFNA(_xlfn.XLOOKUP(E$2-$C9, 'SENS Coal'!$D$7:$AW$7, 'SENS Coal'!$D$24:$AW$24), 0), IF($B9='Project List References'!$B$8, _xlfn.IFNA(_xlfn.XLOOKUP(E$2-$C9,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F9" s="661">
        <f>IF($B9='Project List References'!$B$3, _xlfn.IFNA(_xlfn.XLOOKUP(F$2-$C9, 'GEN-CCGT'!$D$7:$AW$7, 'GEN-CCGT'!$D$24:$AW$24), 0), IF($B9='Project List References'!$B$4, _xlfn.IFNA(_xlfn.XLOOKUP(F$2-$C9, 'GEN-SOLAR'!$D$7:$AW$7, 'GEN-SOLAR'!$D$24:$AW$24), 0), IF($B9='Project List References'!$B$5, _xlfn.IFNA(_xlfn.XLOOKUP(F$2-$C9, 'GEN-BESS'!$D$7:$AW$7, 'GEN-BESS'!$D$24:$AW$24), 0), IF($B9='Project List References'!$B$6, _xlfn.IFNA(_xlfn.XLOOKUP(F$2-$C9, 'GEN-CARBON'!$D$7:$AW$7, 'GEN-CARBON'!$D$24:$AW$24), 0), IF($B9='Project List References'!$B$7, _xlfn.IFNA(_xlfn.XLOOKUP(F$2-$C9, 'SENS Coal'!$D$7:$AW$7, 'SENS Coal'!$D$24:$AW$24), 0), IF($B9='Project List References'!$B$8, _xlfn.IFNA(_xlfn.XLOOKUP(F$2-$C9,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-33.611111111111114</v>
      </c>
      <c r="G9" s="661">
        <f>IF($B9='Project List References'!$B$3, _xlfn.IFNA(_xlfn.XLOOKUP(G$2-$C9, 'GEN-CCGT'!$D$7:$AW$7, 'GEN-CCGT'!$D$24:$AW$24), 0), IF($B9='Project List References'!$B$4, _xlfn.IFNA(_xlfn.XLOOKUP(G$2-$C9, 'GEN-SOLAR'!$D$7:$AW$7, 'GEN-SOLAR'!$D$24:$AW$24), 0), IF($B9='Project List References'!$B$5, _xlfn.IFNA(_xlfn.XLOOKUP(G$2-$C9, 'GEN-BESS'!$D$7:$AW$7, 'GEN-BESS'!$D$24:$AW$24), 0), IF($B9='Project List References'!$B$6, _xlfn.IFNA(_xlfn.XLOOKUP(G$2-$C9, 'GEN-CARBON'!$D$7:$AW$7, 'GEN-CARBON'!$D$24:$AW$24), 0), IF($B9='Project List References'!$B$7, _xlfn.IFNA(_xlfn.XLOOKUP(G$2-$C9, 'SENS Coal'!$D$7:$AW$7, 'SENS Coal'!$D$24:$AW$24), 0), IF($B9='Project List References'!$B$8, _xlfn.IFNA(_xlfn.XLOOKUP(G$2-$C9,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-36.666666666666664</v>
      </c>
      <c r="H9" s="661">
        <f>IF($B9='Project List References'!$B$3, _xlfn.IFNA(_xlfn.XLOOKUP(H$2-$C9, 'GEN-CCGT'!$D$7:$AW$7, 'GEN-CCGT'!$D$24:$AW$24), 0), IF($B9='Project List References'!$B$4, _xlfn.IFNA(_xlfn.XLOOKUP(H$2-$C9, 'GEN-SOLAR'!$D$7:$AW$7, 'GEN-SOLAR'!$D$24:$AW$24), 0), IF($B9='Project List References'!$B$5, _xlfn.IFNA(_xlfn.XLOOKUP(H$2-$C9, 'GEN-BESS'!$D$7:$AW$7, 'GEN-BESS'!$D$24:$AW$24), 0), IF($B9='Project List References'!$B$6, _xlfn.IFNA(_xlfn.XLOOKUP(H$2-$C9, 'GEN-CARBON'!$D$7:$AW$7, 'GEN-CARBON'!$D$24:$AW$24), 0), IF($B9='Project List References'!$B$7, _xlfn.IFNA(_xlfn.XLOOKUP(H$2-$C9, 'SENS Coal'!$D$7:$AW$7, 'SENS Coal'!$D$24:$AW$24), 0), IF($B9='Project List References'!$B$8, _xlfn.IFNA(_xlfn.XLOOKUP(H$2-$C9,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-36.666666666666664</v>
      </c>
      <c r="I9" s="661">
        <f>IF($B9='Project List References'!$B$3, _xlfn.IFNA(_xlfn.XLOOKUP(I$2-$C9, 'GEN-CCGT'!$D$7:$AW$7, 'GEN-CCGT'!$D$24:$AW$24), 0), IF($B9='Project List References'!$B$4, _xlfn.IFNA(_xlfn.XLOOKUP(I$2-$C9, 'GEN-SOLAR'!$D$7:$AW$7, 'GEN-SOLAR'!$D$24:$AW$24), 0), IF($B9='Project List References'!$B$5, _xlfn.IFNA(_xlfn.XLOOKUP(I$2-$C9, 'GEN-BESS'!$D$7:$AW$7, 'GEN-BESS'!$D$24:$AW$24), 0), IF($B9='Project List References'!$B$6, _xlfn.IFNA(_xlfn.XLOOKUP(I$2-$C9, 'GEN-CARBON'!$D$7:$AW$7, 'GEN-CARBON'!$D$24:$AW$24), 0), IF($B9='Project List References'!$B$7, _xlfn.IFNA(_xlfn.XLOOKUP(I$2-$C9, 'SENS Coal'!$D$7:$AW$7, 'SENS Coal'!$D$24:$AW$24), 0), IF($B9='Project List References'!$B$8, _xlfn.IFNA(_xlfn.XLOOKUP(I$2-$C9,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-3.0555555555555554</v>
      </c>
      <c r="J9" s="661">
        <f>IF($B9='Project List References'!$B$3, _xlfn.IFNA(_xlfn.XLOOKUP(J$2-$C9, 'GEN-CCGT'!$D$7:$AW$7, 'GEN-CCGT'!$D$24:$AW$24), 0), IF($B9='Project List References'!$B$4, _xlfn.IFNA(_xlfn.XLOOKUP(J$2-$C9, 'GEN-SOLAR'!$D$7:$AW$7, 'GEN-SOLAR'!$D$24:$AW$24), 0), IF($B9='Project List References'!$B$5, _xlfn.IFNA(_xlfn.XLOOKUP(J$2-$C9, 'GEN-BESS'!$D$7:$AW$7, 'GEN-BESS'!$D$24:$AW$24), 0), IF($B9='Project List References'!$B$6, _xlfn.IFNA(_xlfn.XLOOKUP(J$2-$C9, 'GEN-CARBON'!$D$7:$AW$7, 'GEN-CARBON'!$D$24:$AW$24), 0), IF($B9='Project List References'!$B$7, _xlfn.IFNA(_xlfn.XLOOKUP(J$2-$C9, 'SENS Coal'!$D$7:$AW$7, 'SENS Coal'!$D$24:$AW$24), 0), IF($B9='Project List References'!$B$8, _xlfn.IFNA(_xlfn.XLOOKUP(J$2-$C9,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K9" s="661">
        <f>IF($B9='Project List References'!$B$3, _xlfn.IFNA(_xlfn.XLOOKUP(K$2-$C9, 'GEN-CCGT'!$D$7:$AW$7, 'GEN-CCGT'!$D$24:$AW$24), 0), IF($B9='Project List References'!$B$4, _xlfn.IFNA(_xlfn.XLOOKUP(K$2-$C9, 'GEN-SOLAR'!$D$7:$AW$7, 'GEN-SOLAR'!$D$24:$AW$24), 0), IF($B9='Project List References'!$B$5, _xlfn.IFNA(_xlfn.XLOOKUP(K$2-$C9, 'GEN-BESS'!$D$7:$AW$7, 'GEN-BESS'!$D$24:$AW$24), 0), IF($B9='Project List References'!$B$6, _xlfn.IFNA(_xlfn.XLOOKUP(K$2-$C9, 'GEN-CARBON'!$D$7:$AW$7, 'GEN-CARBON'!$D$24:$AW$24), 0), IF($B9='Project List References'!$B$7, _xlfn.IFNA(_xlfn.XLOOKUP(K$2-$C9, 'SENS Coal'!$D$7:$AW$7, 'SENS Coal'!$D$24:$AW$24), 0), IF($B9='Project List References'!$B$8, _xlfn.IFNA(_xlfn.XLOOKUP(K$2-$C9,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L9" s="661">
        <f>IF($B9='Project List References'!$B$3, _xlfn.IFNA(_xlfn.XLOOKUP(L$2-$C9, 'GEN-CCGT'!$D$7:$AW$7, 'GEN-CCGT'!$D$24:$AW$24), 0), IF($B9='Project List References'!$B$4, _xlfn.IFNA(_xlfn.XLOOKUP(L$2-$C9, 'GEN-SOLAR'!$D$7:$AW$7, 'GEN-SOLAR'!$D$24:$AW$24), 0), IF($B9='Project List References'!$B$5, _xlfn.IFNA(_xlfn.XLOOKUP(L$2-$C9, 'GEN-BESS'!$D$7:$AW$7, 'GEN-BESS'!$D$24:$AW$24), 0), IF($B9='Project List References'!$B$6, _xlfn.IFNA(_xlfn.XLOOKUP(L$2-$C9, 'GEN-CARBON'!$D$7:$AW$7, 'GEN-CARBON'!$D$24:$AW$24), 0), IF($B9='Project List References'!$B$7, _xlfn.IFNA(_xlfn.XLOOKUP(L$2-$C9, 'SENS Coal'!$D$7:$AW$7, 'SENS Coal'!$D$24:$AW$24), 0), IF($B9='Project List References'!$B$8, _xlfn.IFNA(_xlfn.XLOOKUP(L$2-$C9,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M9" s="661">
        <f>IF($B9='Project List References'!$B$3, _xlfn.IFNA(_xlfn.XLOOKUP(M$2-$C9, 'GEN-CCGT'!$D$7:$AW$7, 'GEN-CCGT'!$D$24:$AW$24), 0), IF($B9='Project List References'!$B$4, _xlfn.IFNA(_xlfn.XLOOKUP(M$2-$C9, 'GEN-SOLAR'!$D$7:$AW$7, 'GEN-SOLAR'!$D$24:$AW$24), 0), IF($B9='Project List References'!$B$5, _xlfn.IFNA(_xlfn.XLOOKUP(M$2-$C9, 'GEN-BESS'!$D$7:$AW$7, 'GEN-BESS'!$D$24:$AW$24), 0), IF($B9='Project List References'!$B$6, _xlfn.IFNA(_xlfn.XLOOKUP(M$2-$C9, 'GEN-CARBON'!$D$7:$AW$7, 'GEN-CARBON'!$D$24:$AW$24), 0), IF($B9='Project List References'!$B$7, _xlfn.IFNA(_xlfn.XLOOKUP(M$2-$C9, 'SENS Coal'!$D$7:$AW$7, 'SENS Coal'!$D$24:$AW$24), 0), IF($B9='Project List References'!$B$8, _xlfn.IFNA(_xlfn.XLOOKUP(M$2-$C9,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N9" s="661">
        <f>IF($B9='Project List References'!$B$3, _xlfn.IFNA(_xlfn.XLOOKUP(N$2-$C9, 'GEN-CCGT'!$D$7:$AW$7, 'GEN-CCGT'!$D$24:$AW$24), 0), IF($B9='Project List References'!$B$4, _xlfn.IFNA(_xlfn.XLOOKUP(N$2-$C9, 'GEN-SOLAR'!$D$7:$AW$7, 'GEN-SOLAR'!$D$24:$AW$24), 0), IF($B9='Project List References'!$B$5, _xlfn.IFNA(_xlfn.XLOOKUP(N$2-$C9, 'GEN-BESS'!$D$7:$AW$7, 'GEN-BESS'!$D$24:$AW$24), 0), IF($B9='Project List References'!$B$6, _xlfn.IFNA(_xlfn.XLOOKUP(N$2-$C9, 'GEN-CARBON'!$D$7:$AW$7, 'GEN-CARBON'!$D$24:$AW$24), 0), IF($B9='Project List References'!$B$7, _xlfn.IFNA(_xlfn.XLOOKUP(N$2-$C9, 'SENS Coal'!$D$7:$AW$7, 'SENS Coal'!$D$24:$AW$24), 0), IF($B9='Project List References'!$B$8, _xlfn.IFNA(_xlfn.XLOOKUP(N$2-$C9,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O9" s="661">
        <f>IF($B9='Project List References'!$B$3, _xlfn.IFNA(_xlfn.XLOOKUP(O$2-$C9, 'GEN-CCGT'!$D$7:$AW$7, 'GEN-CCGT'!$D$24:$AW$24), 0), IF($B9='Project List References'!$B$4, _xlfn.IFNA(_xlfn.XLOOKUP(O$2-$C9, 'GEN-SOLAR'!$D$7:$AW$7, 'GEN-SOLAR'!$D$24:$AW$24), 0), IF($B9='Project List References'!$B$5, _xlfn.IFNA(_xlfn.XLOOKUP(O$2-$C9, 'GEN-BESS'!$D$7:$AW$7, 'GEN-BESS'!$D$24:$AW$24), 0), IF($B9='Project List References'!$B$6, _xlfn.IFNA(_xlfn.XLOOKUP(O$2-$C9, 'GEN-CARBON'!$D$7:$AW$7, 'GEN-CARBON'!$D$24:$AW$24), 0), IF($B9='Project List References'!$B$7, _xlfn.IFNA(_xlfn.XLOOKUP(O$2-$C9, 'SENS Coal'!$D$7:$AW$7, 'SENS Coal'!$D$24:$AW$24), 0), IF($B9='Project List References'!$B$8, _xlfn.IFNA(_xlfn.XLOOKUP(O$2-$C9,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P9" s="661">
        <f>IF($B9='Project List References'!$B$3, _xlfn.IFNA(_xlfn.XLOOKUP(P$2-$C9, 'GEN-CCGT'!$D$7:$AW$7, 'GEN-CCGT'!$D$24:$AW$24), 0), IF($B9='Project List References'!$B$4, _xlfn.IFNA(_xlfn.XLOOKUP(P$2-$C9, 'GEN-SOLAR'!$D$7:$AW$7, 'GEN-SOLAR'!$D$24:$AW$24), 0), IF($B9='Project List References'!$B$5, _xlfn.IFNA(_xlfn.XLOOKUP(P$2-$C9, 'GEN-BESS'!$D$7:$AW$7, 'GEN-BESS'!$D$24:$AW$24), 0), IF($B9='Project List References'!$B$6, _xlfn.IFNA(_xlfn.XLOOKUP(P$2-$C9, 'GEN-CARBON'!$D$7:$AW$7, 'GEN-CARBON'!$D$24:$AW$24), 0), IF($B9='Project List References'!$B$7, _xlfn.IFNA(_xlfn.XLOOKUP(P$2-$C9, 'SENS Coal'!$D$7:$AW$7, 'SENS Coal'!$D$24:$AW$24), 0), IF($B9='Project List References'!$B$8, _xlfn.IFNA(_xlfn.XLOOKUP(P$2-$C9,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Q9" s="661">
        <f>IF($B9='Project List References'!$B$3, _xlfn.IFNA(_xlfn.XLOOKUP(Q$2-$C9, 'GEN-CCGT'!$D$7:$AW$7, 'GEN-CCGT'!$D$24:$AW$24), 0), IF($B9='Project List References'!$B$4, _xlfn.IFNA(_xlfn.XLOOKUP(Q$2-$C9, 'GEN-SOLAR'!$D$7:$AW$7, 'GEN-SOLAR'!$D$24:$AW$24), 0), IF($B9='Project List References'!$B$5, _xlfn.IFNA(_xlfn.XLOOKUP(Q$2-$C9, 'GEN-BESS'!$D$7:$AW$7, 'GEN-BESS'!$D$24:$AW$24), 0), IF($B9='Project List References'!$B$6, _xlfn.IFNA(_xlfn.XLOOKUP(Q$2-$C9, 'GEN-CARBON'!$D$7:$AW$7, 'GEN-CARBON'!$D$24:$AW$24), 0), IF($B9='Project List References'!$B$7, _xlfn.IFNA(_xlfn.XLOOKUP(Q$2-$C9, 'SENS Coal'!$D$7:$AW$7, 'SENS Coal'!$D$24:$AW$24), 0), IF($B9='Project List References'!$B$8, _xlfn.IFNA(_xlfn.XLOOKUP(Q$2-$C9,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R9" s="661">
        <f>IF($B9='Project List References'!$B$3, _xlfn.IFNA(_xlfn.XLOOKUP(R$2-$C9, 'GEN-CCGT'!$D$7:$AW$7, 'GEN-CCGT'!$D$24:$AW$24), 0), IF($B9='Project List References'!$B$4, _xlfn.IFNA(_xlfn.XLOOKUP(R$2-$C9, 'GEN-SOLAR'!$D$7:$AW$7, 'GEN-SOLAR'!$D$24:$AW$24), 0), IF($B9='Project List References'!$B$5, _xlfn.IFNA(_xlfn.XLOOKUP(R$2-$C9, 'GEN-BESS'!$D$7:$AW$7, 'GEN-BESS'!$D$24:$AW$24), 0), IF($B9='Project List References'!$B$6, _xlfn.IFNA(_xlfn.XLOOKUP(R$2-$C9, 'GEN-CARBON'!$D$7:$AW$7, 'GEN-CARBON'!$D$24:$AW$24), 0), IF($B9='Project List References'!$B$7, _xlfn.IFNA(_xlfn.XLOOKUP(R$2-$C9, 'SENS Coal'!$D$7:$AW$7, 'SENS Coal'!$D$24:$AW$24), 0), IF($B9='Project List References'!$B$8, _xlfn.IFNA(_xlfn.XLOOKUP(R$2-$C9,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S9" s="661">
        <f>IF($B9='Project List References'!$B$3, _xlfn.IFNA(_xlfn.XLOOKUP(S$2-$C9, 'GEN-CCGT'!$D$7:$AW$7, 'GEN-CCGT'!$D$24:$AW$24), 0), IF($B9='Project List References'!$B$4, _xlfn.IFNA(_xlfn.XLOOKUP(S$2-$C9, 'GEN-SOLAR'!$D$7:$AW$7, 'GEN-SOLAR'!$D$24:$AW$24), 0), IF($B9='Project List References'!$B$5, _xlfn.IFNA(_xlfn.XLOOKUP(S$2-$C9, 'GEN-BESS'!$D$7:$AW$7, 'GEN-BESS'!$D$24:$AW$24), 0), IF($B9='Project List References'!$B$6, _xlfn.IFNA(_xlfn.XLOOKUP(S$2-$C9, 'GEN-CARBON'!$D$7:$AW$7, 'GEN-CARBON'!$D$24:$AW$24), 0), IF($B9='Project List References'!$B$7, _xlfn.IFNA(_xlfn.XLOOKUP(S$2-$C9, 'SENS Coal'!$D$7:$AW$7, 'SENS Coal'!$D$24:$AW$24), 0), IF($B9='Project List References'!$B$8, _xlfn.IFNA(_xlfn.XLOOKUP(S$2-$C9,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T9" s="661">
        <f>IF($B9='Project List References'!$B$3, _xlfn.IFNA(_xlfn.XLOOKUP(T$2-$C9, 'GEN-CCGT'!$D$7:$AW$7, 'GEN-CCGT'!$D$24:$AW$24), 0), IF($B9='Project List References'!$B$4, _xlfn.IFNA(_xlfn.XLOOKUP(T$2-$C9, 'GEN-SOLAR'!$D$7:$AW$7, 'GEN-SOLAR'!$D$24:$AW$24), 0), IF($B9='Project List References'!$B$5, _xlfn.IFNA(_xlfn.XLOOKUP(T$2-$C9, 'GEN-BESS'!$D$7:$AW$7, 'GEN-BESS'!$D$24:$AW$24), 0), IF($B9='Project List References'!$B$6, _xlfn.IFNA(_xlfn.XLOOKUP(T$2-$C9, 'GEN-CARBON'!$D$7:$AW$7, 'GEN-CARBON'!$D$24:$AW$24), 0), IF($B9='Project List References'!$B$7, _xlfn.IFNA(_xlfn.XLOOKUP(T$2-$C9, 'SENS Coal'!$D$7:$AW$7, 'SENS Coal'!$D$24:$AW$24), 0), IF($B9='Project List References'!$B$8, _xlfn.IFNA(_xlfn.XLOOKUP(T$2-$C9, 'SENS Tires'!$D$7:$AW$7, 'SENS Tires'!$D$24:$AW$24),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</row>
    <row r="10" spans="1:111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_xlfn.XLOOKUP(A10, 'Project Master Sheet'!A:A, 'Project Master Sheet'!I:I)</f>
        <v>#N/A</v>
      </c>
      <c r="E10" s="661" t="e">
        <f>IF($B10='Project List References'!$B$3, _xlfn.IFNA(_xlfn.XLOOKUP(E$2-$C10, 'GEN-CCGT'!$D$7:$AW$7, 'GEN-CCGT'!$D$24:$AW$24), 0), IF($B10='Project List References'!$B$4, _xlfn.IFNA(_xlfn.XLOOKUP(E$2-$C10, 'GEN-SOLAR'!$D$7:$AW$7, 'GEN-SOLAR'!$D$24:$AW$24), 0), IF($B10='Project List References'!$B$5, _xlfn.IFNA(_xlfn.XLOOKUP(E$2-$C10, 'GEN-BESS'!$D$7:$AW$7, 'GEN-BESS'!$D$24:$AW$24), 0), IF($B10='Project List References'!$B$6, _xlfn.IFNA(_xlfn.XLOOKUP(E$2-$C10, 'GEN-CARBON'!$D$7:$AW$7, 'GEN-CARBON'!$D$24:$AW$24), 0), IF($B10='Project List References'!$B$7, _xlfn.IFNA(_xlfn.XLOOKUP(E$2-$C10, 'SENS Coal'!$D$7:$AW$7, 'SENS Coal'!$D$24:$AW$24), 0), IF($B10='Project List References'!$B$8, _xlfn.IFNA(_xlfn.XLOOKUP(E$2-$C10,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F10" s="661" t="e">
        <f>IF($B10='Project List References'!$B$3, _xlfn.IFNA(_xlfn.XLOOKUP(F$2-$C10, 'GEN-CCGT'!$D$7:$AW$7, 'GEN-CCGT'!$D$24:$AW$24), 0), IF($B10='Project List References'!$B$4, _xlfn.IFNA(_xlfn.XLOOKUP(F$2-$C10, 'GEN-SOLAR'!$D$7:$AW$7, 'GEN-SOLAR'!$D$24:$AW$24), 0), IF($B10='Project List References'!$B$5, _xlfn.IFNA(_xlfn.XLOOKUP(F$2-$C10, 'GEN-BESS'!$D$7:$AW$7, 'GEN-BESS'!$D$24:$AW$24), 0), IF($B10='Project List References'!$B$6, _xlfn.IFNA(_xlfn.XLOOKUP(F$2-$C10, 'GEN-CARBON'!$D$7:$AW$7, 'GEN-CARBON'!$D$24:$AW$24), 0), IF($B10='Project List References'!$B$7, _xlfn.IFNA(_xlfn.XLOOKUP(F$2-$C10, 'SENS Coal'!$D$7:$AW$7, 'SENS Coal'!$D$24:$AW$24), 0), IF($B10='Project List References'!$B$8, _xlfn.IFNA(_xlfn.XLOOKUP(F$2-$C10,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G10" s="661" t="e">
        <f>IF($B10='Project List References'!$B$3, _xlfn.IFNA(_xlfn.XLOOKUP(G$2-$C10, 'GEN-CCGT'!$D$7:$AW$7, 'GEN-CCGT'!$D$24:$AW$24), 0), IF($B10='Project List References'!$B$4, _xlfn.IFNA(_xlfn.XLOOKUP(G$2-$C10, 'GEN-SOLAR'!$D$7:$AW$7, 'GEN-SOLAR'!$D$24:$AW$24), 0), IF($B10='Project List References'!$B$5, _xlfn.IFNA(_xlfn.XLOOKUP(G$2-$C10, 'GEN-BESS'!$D$7:$AW$7, 'GEN-BESS'!$D$24:$AW$24), 0), IF($B10='Project List References'!$B$6, _xlfn.IFNA(_xlfn.XLOOKUP(G$2-$C10, 'GEN-CARBON'!$D$7:$AW$7, 'GEN-CARBON'!$D$24:$AW$24), 0), IF($B10='Project List References'!$B$7, _xlfn.IFNA(_xlfn.XLOOKUP(G$2-$C10, 'SENS Coal'!$D$7:$AW$7, 'SENS Coal'!$D$24:$AW$24), 0), IF($B10='Project List References'!$B$8, _xlfn.IFNA(_xlfn.XLOOKUP(G$2-$C10,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H10" s="661" t="e">
        <f>IF($B10='Project List References'!$B$3, _xlfn.IFNA(_xlfn.XLOOKUP(H$2-$C10, 'GEN-CCGT'!$D$7:$AW$7, 'GEN-CCGT'!$D$24:$AW$24), 0), IF($B10='Project List References'!$B$4, _xlfn.IFNA(_xlfn.XLOOKUP(H$2-$C10, 'GEN-SOLAR'!$D$7:$AW$7, 'GEN-SOLAR'!$D$24:$AW$24), 0), IF($B10='Project List References'!$B$5, _xlfn.IFNA(_xlfn.XLOOKUP(H$2-$C10, 'GEN-BESS'!$D$7:$AW$7, 'GEN-BESS'!$D$24:$AW$24), 0), IF($B10='Project List References'!$B$6, _xlfn.IFNA(_xlfn.XLOOKUP(H$2-$C10, 'GEN-CARBON'!$D$7:$AW$7, 'GEN-CARBON'!$D$24:$AW$24), 0), IF($B10='Project List References'!$B$7, _xlfn.IFNA(_xlfn.XLOOKUP(H$2-$C10, 'SENS Coal'!$D$7:$AW$7, 'SENS Coal'!$D$24:$AW$24), 0), IF($B10='Project List References'!$B$8, _xlfn.IFNA(_xlfn.XLOOKUP(H$2-$C10,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I10" s="661" t="e">
        <f>IF($B10='Project List References'!$B$3, _xlfn.IFNA(_xlfn.XLOOKUP(I$2-$C10, 'GEN-CCGT'!$D$7:$AW$7, 'GEN-CCGT'!$D$24:$AW$24), 0), IF($B10='Project List References'!$B$4, _xlfn.IFNA(_xlfn.XLOOKUP(I$2-$C10, 'GEN-SOLAR'!$D$7:$AW$7, 'GEN-SOLAR'!$D$24:$AW$24), 0), IF($B10='Project List References'!$B$5, _xlfn.IFNA(_xlfn.XLOOKUP(I$2-$C10, 'GEN-BESS'!$D$7:$AW$7, 'GEN-BESS'!$D$24:$AW$24), 0), IF($B10='Project List References'!$B$6, _xlfn.IFNA(_xlfn.XLOOKUP(I$2-$C10, 'GEN-CARBON'!$D$7:$AW$7, 'GEN-CARBON'!$D$24:$AW$24), 0), IF($B10='Project List References'!$B$7, _xlfn.IFNA(_xlfn.XLOOKUP(I$2-$C10, 'SENS Coal'!$D$7:$AW$7, 'SENS Coal'!$D$24:$AW$24), 0), IF($B10='Project List References'!$B$8, _xlfn.IFNA(_xlfn.XLOOKUP(I$2-$C10,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J10" s="661" t="e">
        <f>IF($B10='Project List References'!$B$3, _xlfn.IFNA(_xlfn.XLOOKUP(J$2-$C10, 'GEN-CCGT'!$D$7:$AW$7, 'GEN-CCGT'!$D$24:$AW$24), 0), IF($B10='Project List References'!$B$4, _xlfn.IFNA(_xlfn.XLOOKUP(J$2-$C10, 'GEN-SOLAR'!$D$7:$AW$7, 'GEN-SOLAR'!$D$24:$AW$24), 0), IF($B10='Project List References'!$B$5, _xlfn.IFNA(_xlfn.XLOOKUP(J$2-$C10, 'GEN-BESS'!$D$7:$AW$7, 'GEN-BESS'!$D$24:$AW$24), 0), IF($B10='Project List References'!$B$6, _xlfn.IFNA(_xlfn.XLOOKUP(J$2-$C10, 'GEN-CARBON'!$D$7:$AW$7, 'GEN-CARBON'!$D$24:$AW$24), 0), IF($B10='Project List References'!$B$7, _xlfn.IFNA(_xlfn.XLOOKUP(J$2-$C10, 'SENS Coal'!$D$7:$AW$7, 'SENS Coal'!$D$24:$AW$24), 0), IF($B10='Project List References'!$B$8, _xlfn.IFNA(_xlfn.XLOOKUP(J$2-$C10,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K10" s="661" t="e">
        <f>IF($B10='Project List References'!$B$3, _xlfn.IFNA(_xlfn.XLOOKUP(K$2-$C10, 'GEN-CCGT'!$D$7:$AW$7, 'GEN-CCGT'!$D$24:$AW$24), 0), IF($B10='Project List References'!$B$4, _xlfn.IFNA(_xlfn.XLOOKUP(K$2-$C10, 'GEN-SOLAR'!$D$7:$AW$7, 'GEN-SOLAR'!$D$24:$AW$24), 0), IF($B10='Project List References'!$B$5, _xlfn.IFNA(_xlfn.XLOOKUP(K$2-$C10, 'GEN-BESS'!$D$7:$AW$7, 'GEN-BESS'!$D$24:$AW$24), 0), IF($B10='Project List References'!$B$6, _xlfn.IFNA(_xlfn.XLOOKUP(K$2-$C10, 'GEN-CARBON'!$D$7:$AW$7, 'GEN-CARBON'!$D$24:$AW$24), 0), IF($B10='Project List References'!$B$7, _xlfn.IFNA(_xlfn.XLOOKUP(K$2-$C10, 'SENS Coal'!$D$7:$AW$7, 'SENS Coal'!$D$24:$AW$24), 0), IF($B10='Project List References'!$B$8, _xlfn.IFNA(_xlfn.XLOOKUP(K$2-$C10,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L10" s="661" t="e">
        <f>IF($B10='Project List References'!$B$3, _xlfn.IFNA(_xlfn.XLOOKUP(L$2-$C10, 'GEN-CCGT'!$D$7:$AW$7, 'GEN-CCGT'!$D$24:$AW$24), 0), IF($B10='Project List References'!$B$4, _xlfn.IFNA(_xlfn.XLOOKUP(L$2-$C10, 'GEN-SOLAR'!$D$7:$AW$7, 'GEN-SOLAR'!$D$24:$AW$24), 0), IF($B10='Project List References'!$B$5, _xlfn.IFNA(_xlfn.XLOOKUP(L$2-$C10, 'GEN-BESS'!$D$7:$AW$7, 'GEN-BESS'!$D$24:$AW$24), 0), IF($B10='Project List References'!$B$6, _xlfn.IFNA(_xlfn.XLOOKUP(L$2-$C10, 'GEN-CARBON'!$D$7:$AW$7, 'GEN-CARBON'!$D$24:$AW$24), 0), IF($B10='Project List References'!$B$7, _xlfn.IFNA(_xlfn.XLOOKUP(L$2-$C10, 'SENS Coal'!$D$7:$AW$7, 'SENS Coal'!$D$24:$AW$24), 0), IF($B10='Project List References'!$B$8, _xlfn.IFNA(_xlfn.XLOOKUP(L$2-$C10,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M10" s="661" t="e">
        <f>IF($B10='Project List References'!$B$3, _xlfn.IFNA(_xlfn.XLOOKUP(M$2-$C10, 'GEN-CCGT'!$D$7:$AW$7, 'GEN-CCGT'!$D$24:$AW$24), 0), IF($B10='Project List References'!$B$4, _xlfn.IFNA(_xlfn.XLOOKUP(M$2-$C10, 'GEN-SOLAR'!$D$7:$AW$7, 'GEN-SOLAR'!$D$24:$AW$24), 0), IF($B10='Project List References'!$B$5, _xlfn.IFNA(_xlfn.XLOOKUP(M$2-$C10, 'GEN-BESS'!$D$7:$AW$7, 'GEN-BESS'!$D$24:$AW$24), 0), IF($B10='Project List References'!$B$6, _xlfn.IFNA(_xlfn.XLOOKUP(M$2-$C10, 'GEN-CARBON'!$D$7:$AW$7, 'GEN-CARBON'!$D$24:$AW$24), 0), IF($B10='Project List References'!$B$7, _xlfn.IFNA(_xlfn.XLOOKUP(M$2-$C10, 'SENS Coal'!$D$7:$AW$7, 'SENS Coal'!$D$24:$AW$24), 0), IF($B10='Project List References'!$B$8, _xlfn.IFNA(_xlfn.XLOOKUP(M$2-$C10,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N10" s="661" t="e">
        <f>IF($B10='Project List References'!$B$3, _xlfn.IFNA(_xlfn.XLOOKUP(N$2-$C10, 'GEN-CCGT'!$D$7:$AW$7, 'GEN-CCGT'!$D$24:$AW$24), 0), IF($B10='Project List References'!$B$4, _xlfn.IFNA(_xlfn.XLOOKUP(N$2-$C10, 'GEN-SOLAR'!$D$7:$AW$7, 'GEN-SOLAR'!$D$24:$AW$24), 0), IF($B10='Project List References'!$B$5, _xlfn.IFNA(_xlfn.XLOOKUP(N$2-$C10, 'GEN-BESS'!$D$7:$AW$7, 'GEN-BESS'!$D$24:$AW$24), 0), IF($B10='Project List References'!$B$6, _xlfn.IFNA(_xlfn.XLOOKUP(N$2-$C10, 'GEN-CARBON'!$D$7:$AW$7, 'GEN-CARBON'!$D$24:$AW$24), 0), IF($B10='Project List References'!$B$7, _xlfn.IFNA(_xlfn.XLOOKUP(N$2-$C10, 'SENS Coal'!$D$7:$AW$7, 'SENS Coal'!$D$24:$AW$24), 0), IF($B10='Project List References'!$B$8, _xlfn.IFNA(_xlfn.XLOOKUP(N$2-$C10,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O10" s="661" t="e">
        <f>IF($B10='Project List References'!$B$3, _xlfn.IFNA(_xlfn.XLOOKUP(O$2-$C10, 'GEN-CCGT'!$D$7:$AW$7, 'GEN-CCGT'!$D$24:$AW$24), 0), IF($B10='Project List References'!$B$4, _xlfn.IFNA(_xlfn.XLOOKUP(O$2-$C10, 'GEN-SOLAR'!$D$7:$AW$7, 'GEN-SOLAR'!$D$24:$AW$24), 0), IF($B10='Project List References'!$B$5, _xlfn.IFNA(_xlfn.XLOOKUP(O$2-$C10, 'GEN-BESS'!$D$7:$AW$7, 'GEN-BESS'!$D$24:$AW$24), 0), IF($B10='Project List References'!$B$6, _xlfn.IFNA(_xlfn.XLOOKUP(O$2-$C10, 'GEN-CARBON'!$D$7:$AW$7, 'GEN-CARBON'!$D$24:$AW$24), 0), IF($B10='Project List References'!$B$7, _xlfn.IFNA(_xlfn.XLOOKUP(O$2-$C10, 'SENS Coal'!$D$7:$AW$7, 'SENS Coal'!$D$24:$AW$24), 0), IF($B10='Project List References'!$B$8, _xlfn.IFNA(_xlfn.XLOOKUP(O$2-$C10,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P10" s="661" t="e">
        <f>IF($B10='Project List References'!$B$3, _xlfn.IFNA(_xlfn.XLOOKUP(P$2-$C10, 'GEN-CCGT'!$D$7:$AW$7, 'GEN-CCGT'!$D$24:$AW$24), 0), IF($B10='Project List References'!$B$4, _xlfn.IFNA(_xlfn.XLOOKUP(P$2-$C10, 'GEN-SOLAR'!$D$7:$AW$7, 'GEN-SOLAR'!$D$24:$AW$24), 0), IF($B10='Project List References'!$B$5, _xlfn.IFNA(_xlfn.XLOOKUP(P$2-$C10, 'GEN-BESS'!$D$7:$AW$7, 'GEN-BESS'!$D$24:$AW$24), 0), IF($B10='Project List References'!$B$6, _xlfn.IFNA(_xlfn.XLOOKUP(P$2-$C10, 'GEN-CARBON'!$D$7:$AW$7, 'GEN-CARBON'!$D$24:$AW$24), 0), IF($B10='Project List References'!$B$7, _xlfn.IFNA(_xlfn.XLOOKUP(P$2-$C10, 'SENS Coal'!$D$7:$AW$7, 'SENS Coal'!$D$24:$AW$24), 0), IF($B10='Project List References'!$B$8, _xlfn.IFNA(_xlfn.XLOOKUP(P$2-$C10,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Q10" s="661" t="e">
        <f>IF($B10='Project List References'!$B$3, _xlfn.IFNA(_xlfn.XLOOKUP(Q$2-$C10, 'GEN-CCGT'!$D$7:$AW$7, 'GEN-CCGT'!$D$24:$AW$24), 0), IF($B10='Project List References'!$B$4, _xlfn.IFNA(_xlfn.XLOOKUP(Q$2-$C10, 'GEN-SOLAR'!$D$7:$AW$7, 'GEN-SOLAR'!$D$24:$AW$24), 0), IF($B10='Project List References'!$B$5, _xlfn.IFNA(_xlfn.XLOOKUP(Q$2-$C10, 'GEN-BESS'!$D$7:$AW$7, 'GEN-BESS'!$D$24:$AW$24), 0), IF($B10='Project List References'!$B$6, _xlfn.IFNA(_xlfn.XLOOKUP(Q$2-$C10, 'GEN-CARBON'!$D$7:$AW$7, 'GEN-CARBON'!$D$24:$AW$24), 0), IF($B10='Project List References'!$B$7, _xlfn.IFNA(_xlfn.XLOOKUP(Q$2-$C10, 'SENS Coal'!$D$7:$AW$7, 'SENS Coal'!$D$24:$AW$24), 0), IF($B10='Project List References'!$B$8, _xlfn.IFNA(_xlfn.XLOOKUP(Q$2-$C10,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R10" s="661" t="e">
        <f>IF($B10='Project List References'!$B$3, _xlfn.IFNA(_xlfn.XLOOKUP(R$2-$C10, 'GEN-CCGT'!$D$7:$AW$7, 'GEN-CCGT'!$D$24:$AW$24), 0), IF($B10='Project List References'!$B$4, _xlfn.IFNA(_xlfn.XLOOKUP(R$2-$C10, 'GEN-SOLAR'!$D$7:$AW$7, 'GEN-SOLAR'!$D$24:$AW$24), 0), IF($B10='Project List References'!$B$5, _xlfn.IFNA(_xlfn.XLOOKUP(R$2-$C10, 'GEN-BESS'!$D$7:$AW$7, 'GEN-BESS'!$D$24:$AW$24), 0), IF($B10='Project List References'!$B$6, _xlfn.IFNA(_xlfn.XLOOKUP(R$2-$C10, 'GEN-CARBON'!$D$7:$AW$7, 'GEN-CARBON'!$D$24:$AW$24), 0), IF($B10='Project List References'!$B$7, _xlfn.IFNA(_xlfn.XLOOKUP(R$2-$C10, 'SENS Coal'!$D$7:$AW$7, 'SENS Coal'!$D$24:$AW$24), 0), IF($B10='Project List References'!$B$8, _xlfn.IFNA(_xlfn.XLOOKUP(R$2-$C10,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S10" s="661" t="e">
        <f>IF($B10='Project List References'!$B$3, _xlfn.IFNA(_xlfn.XLOOKUP(S$2-$C10, 'GEN-CCGT'!$D$7:$AW$7, 'GEN-CCGT'!$D$24:$AW$24), 0), IF($B10='Project List References'!$B$4, _xlfn.IFNA(_xlfn.XLOOKUP(S$2-$C10, 'GEN-SOLAR'!$D$7:$AW$7, 'GEN-SOLAR'!$D$24:$AW$24), 0), IF($B10='Project List References'!$B$5, _xlfn.IFNA(_xlfn.XLOOKUP(S$2-$C10, 'GEN-BESS'!$D$7:$AW$7, 'GEN-BESS'!$D$24:$AW$24), 0), IF($B10='Project List References'!$B$6, _xlfn.IFNA(_xlfn.XLOOKUP(S$2-$C10, 'GEN-CARBON'!$D$7:$AW$7, 'GEN-CARBON'!$D$24:$AW$24), 0), IF($B10='Project List References'!$B$7, _xlfn.IFNA(_xlfn.XLOOKUP(S$2-$C10, 'SENS Coal'!$D$7:$AW$7, 'SENS Coal'!$D$24:$AW$24), 0), IF($B10='Project List References'!$B$8, _xlfn.IFNA(_xlfn.XLOOKUP(S$2-$C10,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T10" s="661" t="e">
        <f>IF($B10='Project List References'!$B$3, _xlfn.IFNA(_xlfn.XLOOKUP(T$2-$C10, 'GEN-CCGT'!$D$7:$AW$7, 'GEN-CCGT'!$D$24:$AW$24), 0), IF($B10='Project List References'!$B$4, _xlfn.IFNA(_xlfn.XLOOKUP(T$2-$C10, 'GEN-SOLAR'!$D$7:$AW$7, 'GEN-SOLAR'!$D$24:$AW$24), 0), IF($B10='Project List References'!$B$5, _xlfn.IFNA(_xlfn.XLOOKUP(T$2-$C10, 'GEN-BESS'!$D$7:$AW$7, 'GEN-BESS'!$D$24:$AW$24), 0), IF($B10='Project List References'!$B$6, _xlfn.IFNA(_xlfn.XLOOKUP(T$2-$C10, 'GEN-CARBON'!$D$7:$AW$7, 'GEN-CARBON'!$D$24:$AW$24), 0), IF($B10='Project List References'!$B$7, _xlfn.IFNA(_xlfn.XLOOKUP(T$2-$C10, 'SENS Coal'!$D$7:$AW$7, 'SENS Coal'!$D$24:$AW$24), 0), IF($B10='Project List References'!$B$8, _xlfn.IFNA(_xlfn.XLOOKUP(T$2-$C10, 'SENS Tires'!$D$7:$AW$7, 'SENS Tires'!$D$24:$AW$24),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</row>
    <row r="11" spans="1:111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_xlfn.XLOOKUP(A11, 'Project Master Sheet'!A:A, 'Project Master Sheet'!I:I)</f>
        <v>#N/A</v>
      </c>
      <c r="E11" s="661" t="e">
        <f>IF($B11='Project List References'!$B$3, _xlfn.IFNA(_xlfn.XLOOKUP(E$2-$C11, 'GEN-CCGT'!$D$7:$AW$7, 'GEN-CCGT'!$D$24:$AW$24), 0), IF($B11='Project List References'!$B$4, _xlfn.IFNA(_xlfn.XLOOKUP(E$2-$C11, 'GEN-SOLAR'!$D$7:$AW$7, 'GEN-SOLAR'!$D$24:$AW$24), 0), IF($B11='Project List References'!$B$5, _xlfn.IFNA(_xlfn.XLOOKUP(E$2-$C11, 'GEN-BESS'!$D$7:$AW$7, 'GEN-BESS'!$D$24:$AW$24), 0), IF($B11='Project List References'!$B$6, _xlfn.IFNA(_xlfn.XLOOKUP(E$2-$C11, 'GEN-CARBON'!$D$7:$AW$7, 'GEN-CARBON'!$D$24:$AW$24), 0), IF($B11='Project List References'!$B$7, _xlfn.IFNA(_xlfn.XLOOKUP(E$2-$C11, 'SENS Coal'!$D$7:$AW$7, 'SENS Coal'!$D$24:$AW$24), 0), IF($B11='Project List References'!$B$8, _xlfn.IFNA(_xlfn.XLOOKUP(E$2-$C11,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F11" s="661" t="e">
        <f>IF($B11='Project List References'!$B$3, _xlfn.IFNA(_xlfn.XLOOKUP(F$2-$C11, 'GEN-CCGT'!$D$7:$AW$7, 'GEN-CCGT'!$D$24:$AW$24), 0), IF($B11='Project List References'!$B$4, _xlfn.IFNA(_xlfn.XLOOKUP(F$2-$C11, 'GEN-SOLAR'!$D$7:$AW$7, 'GEN-SOLAR'!$D$24:$AW$24), 0), IF($B11='Project List References'!$B$5, _xlfn.IFNA(_xlfn.XLOOKUP(F$2-$C11, 'GEN-BESS'!$D$7:$AW$7, 'GEN-BESS'!$D$24:$AW$24), 0), IF($B11='Project List References'!$B$6, _xlfn.IFNA(_xlfn.XLOOKUP(F$2-$C11, 'GEN-CARBON'!$D$7:$AW$7, 'GEN-CARBON'!$D$24:$AW$24), 0), IF($B11='Project List References'!$B$7, _xlfn.IFNA(_xlfn.XLOOKUP(F$2-$C11, 'SENS Coal'!$D$7:$AW$7, 'SENS Coal'!$D$24:$AW$24), 0), IF($B11='Project List References'!$B$8, _xlfn.IFNA(_xlfn.XLOOKUP(F$2-$C11,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G11" s="661" t="e">
        <f>IF($B11='Project List References'!$B$3, _xlfn.IFNA(_xlfn.XLOOKUP(G$2-$C11, 'GEN-CCGT'!$D$7:$AW$7, 'GEN-CCGT'!$D$24:$AW$24), 0), IF($B11='Project List References'!$B$4, _xlfn.IFNA(_xlfn.XLOOKUP(G$2-$C11, 'GEN-SOLAR'!$D$7:$AW$7, 'GEN-SOLAR'!$D$24:$AW$24), 0), IF($B11='Project List References'!$B$5, _xlfn.IFNA(_xlfn.XLOOKUP(G$2-$C11, 'GEN-BESS'!$D$7:$AW$7, 'GEN-BESS'!$D$24:$AW$24), 0), IF($B11='Project List References'!$B$6, _xlfn.IFNA(_xlfn.XLOOKUP(G$2-$C11, 'GEN-CARBON'!$D$7:$AW$7, 'GEN-CARBON'!$D$24:$AW$24), 0), IF($B11='Project List References'!$B$7, _xlfn.IFNA(_xlfn.XLOOKUP(G$2-$C11, 'SENS Coal'!$D$7:$AW$7, 'SENS Coal'!$D$24:$AW$24), 0), IF($B11='Project List References'!$B$8, _xlfn.IFNA(_xlfn.XLOOKUP(G$2-$C11,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H11" s="661" t="e">
        <f>IF($B11='Project List References'!$B$3, _xlfn.IFNA(_xlfn.XLOOKUP(H$2-$C11, 'GEN-CCGT'!$D$7:$AW$7, 'GEN-CCGT'!$D$24:$AW$24), 0), IF($B11='Project List References'!$B$4, _xlfn.IFNA(_xlfn.XLOOKUP(H$2-$C11, 'GEN-SOLAR'!$D$7:$AW$7, 'GEN-SOLAR'!$D$24:$AW$24), 0), IF($B11='Project List References'!$B$5, _xlfn.IFNA(_xlfn.XLOOKUP(H$2-$C11, 'GEN-BESS'!$D$7:$AW$7, 'GEN-BESS'!$D$24:$AW$24), 0), IF($B11='Project List References'!$B$6, _xlfn.IFNA(_xlfn.XLOOKUP(H$2-$C11, 'GEN-CARBON'!$D$7:$AW$7, 'GEN-CARBON'!$D$24:$AW$24), 0), IF($B11='Project List References'!$B$7, _xlfn.IFNA(_xlfn.XLOOKUP(H$2-$C11, 'SENS Coal'!$D$7:$AW$7, 'SENS Coal'!$D$24:$AW$24), 0), IF($B11='Project List References'!$B$8, _xlfn.IFNA(_xlfn.XLOOKUP(H$2-$C11,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I11" s="661" t="e">
        <f>IF($B11='Project List References'!$B$3, _xlfn.IFNA(_xlfn.XLOOKUP(I$2-$C11, 'GEN-CCGT'!$D$7:$AW$7, 'GEN-CCGT'!$D$24:$AW$24), 0), IF($B11='Project List References'!$B$4, _xlfn.IFNA(_xlfn.XLOOKUP(I$2-$C11, 'GEN-SOLAR'!$D$7:$AW$7, 'GEN-SOLAR'!$D$24:$AW$24), 0), IF($B11='Project List References'!$B$5, _xlfn.IFNA(_xlfn.XLOOKUP(I$2-$C11, 'GEN-BESS'!$D$7:$AW$7, 'GEN-BESS'!$D$24:$AW$24), 0), IF($B11='Project List References'!$B$6, _xlfn.IFNA(_xlfn.XLOOKUP(I$2-$C11, 'GEN-CARBON'!$D$7:$AW$7, 'GEN-CARBON'!$D$24:$AW$24), 0), IF($B11='Project List References'!$B$7, _xlfn.IFNA(_xlfn.XLOOKUP(I$2-$C11, 'SENS Coal'!$D$7:$AW$7, 'SENS Coal'!$D$24:$AW$24), 0), IF($B11='Project List References'!$B$8, _xlfn.IFNA(_xlfn.XLOOKUP(I$2-$C11,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J11" s="661" t="e">
        <f>IF($B11='Project List References'!$B$3, _xlfn.IFNA(_xlfn.XLOOKUP(J$2-$C11, 'GEN-CCGT'!$D$7:$AW$7, 'GEN-CCGT'!$D$24:$AW$24), 0), IF($B11='Project List References'!$B$4, _xlfn.IFNA(_xlfn.XLOOKUP(J$2-$C11, 'GEN-SOLAR'!$D$7:$AW$7, 'GEN-SOLAR'!$D$24:$AW$24), 0), IF($B11='Project List References'!$B$5, _xlfn.IFNA(_xlfn.XLOOKUP(J$2-$C11, 'GEN-BESS'!$D$7:$AW$7, 'GEN-BESS'!$D$24:$AW$24), 0), IF($B11='Project List References'!$B$6, _xlfn.IFNA(_xlfn.XLOOKUP(J$2-$C11, 'GEN-CARBON'!$D$7:$AW$7, 'GEN-CARBON'!$D$24:$AW$24), 0), IF($B11='Project List References'!$B$7, _xlfn.IFNA(_xlfn.XLOOKUP(J$2-$C11, 'SENS Coal'!$D$7:$AW$7, 'SENS Coal'!$D$24:$AW$24), 0), IF($B11='Project List References'!$B$8, _xlfn.IFNA(_xlfn.XLOOKUP(J$2-$C11,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K11" s="661" t="e">
        <f>IF($B11='Project List References'!$B$3, _xlfn.IFNA(_xlfn.XLOOKUP(K$2-$C11, 'GEN-CCGT'!$D$7:$AW$7, 'GEN-CCGT'!$D$24:$AW$24), 0), IF($B11='Project List References'!$B$4, _xlfn.IFNA(_xlfn.XLOOKUP(K$2-$C11, 'GEN-SOLAR'!$D$7:$AW$7, 'GEN-SOLAR'!$D$24:$AW$24), 0), IF($B11='Project List References'!$B$5, _xlfn.IFNA(_xlfn.XLOOKUP(K$2-$C11, 'GEN-BESS'!$D$7:$AW$7, 'GEN-BESS'!$D$24:$AW$24), 0), IF($B11='Project List References'!$B$6, _xlfn.IFNA(_xlfn.XLOOKUP(K$2-$C11, 'GEN-CARBON'!$D$7:$AW$7, 'GEN-CARBON'!$D$24:$AW$24), 0), IF($B11='Project List References'!$B$7, _xlfn.IFNA(_xlfn.XLOOKUP(K$2-$C11, 'SENS Coal'!$D$7:$AW$7, 'SENS Coal'!$D$24:$AW$24), 0), IF($B11='Project List References'!$B$8, _xlfn.IFNA(_xlfn.XLOOKUP(K$2-$C11,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L11" s="661" t="e">
        <f>IF($B11='Project List References'!$B$3, _xlfn.IFNA(_xlfn.XLOOKUP(L$2-$C11, 'GEN-CCGT'!$D$7:$AW$7, 'GEN-CCGT'!$D$24:$AW$24), 0), IF($B11='Project List References'!$B$4, _xlfn.IFNA(_xlfn.XLOOKUP(L$2-$C11, 'GEN-SOLAR'!$D$7:$AW$7, 'GEN-SOLAR'!$D$24:$AW$24), 0), IF($B11='Project List References'!$B$5, _xlfn.IFNA(_xlfn.XLOOKUP(L$2-$C11, 'GEN-BESS'!$D$7:$AW$7, 'GEN-BESS'!$D$24:$AW$24), 0), IF($B11='Project List References'!$B$6, _xlfn.IFNA(_xlfn.XLOOKUP(L$2-$C11, 'GEN-CARBON'!$D$7:$AW$7, 'GEN-CARBON'!$D$24:$AW$24), 0), IF($B11='Project List References'!$B$7, _xlfn.IFNA(_xlfn.XLOOKUP(L$2-$C11, 'SENS Coal'!$D$7:$AW$7, 'SENS Coal'!$D$24:$AW$24), 0), IF($B11='Project List References'!$B$8, _xlfn.IFNA(_xlfn.XLOOKUP(L$2-$C11,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M11" s="661" t="e">
        <f>IF($B11='Project List References'!$B$3, _xlfn.IFNA(_xlfn.XLOOKUP(M$2-$C11, 'GEN-CCGT'!$D$7:$AW$7, 'GEN-CCGT'!$D$24:$AW$24), 0), IF($B11='Project List References'!$B$4, _xlfn.IFNA(_xlfn.XLOOKUP(M$2-$C11, 'GEN-SOLAR'!$D$7:$AW$7, 'GEN-SOLAR'!$D$24:$AW$24), 0), IF($B11='Project List References'!$B$5, _xlfn.IFNA(_xlfn.XLOOKUP(M$2-$C11, 'GEN-BESS'!$D$7:$AW$7, 'GEN-BESS'!$D$24:$AW$24), 0), IF($B11='Project List References'!$B$6, _xlfn.IFNA(_xlfn.XLOOKUP(M$2-$C11, 'GEN-CARBON'!$D$7:$AW$7, 'GEN-CARBON'!$D$24:$AW$24), 0), IF($B11='Project List References'!$B$7, _xlfn.IFNA(_xlfn.XLOOKUP(M$2-$C11, 'SENS Coal'!$D$7:$AW$7, 'SENS Coal'!$D$24:$AW$24), 0), IF($B11='Project List References'!$B$8, _xlfn.IFNA(_xlfn.XLOOKUP(M$2-$C11,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N11" s="661" t="e">
        <f>IF($B11='Project List References'!$B$3, _xlfn.IFNA(_xlfn.XLOOKUP(N$2-$C11, 'GEN-CCGT'!$D$7:$AW$7, 'GEN-CCGT'!$D$24:$AW$24), 0), IF($B11='Project List References'!$B$4, _xlfn.IFNA(_xlfn.XLOOKUP(N$2-$C11, 'GEN-SOLAR'!$D$7:$AW$7, 'GEN-SOLAR'!$D$24:$AW$24), 0), IF($B11='Project List References'!$B$5, _xlfn.IFNA(_xlfn.XLOOKUP(N$2-$C11, 'GEN-BESS'!$D$7:$AW$7, 'GEN-BESS'!$D$24:$AW$24), 0), IF($B11='Project List References'!$B$6, _xlfn.IFNA(_xlfn.XLOOKUP(N$2-$C11, 'GEN-CARBON'!$D$7:$AW$7, 'GEN-CARBON'!$D$24:$AW$24), 0), IF($B11='Project List References'!$B$7, _xlfn.IFNA(_xlfn.XLOOKUP(N$2-$C11, 'SENS Coal'!$D$7:$AW$7, 'SENS Coal'!$D$24:$AW$24), 0), IF($B11='Project List References'!$B$8, _xlfn.IFNA(_xlfn.XLOOKUP(N$2-$C11,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O11" s="661" t="e">
        <f>IF($B11='Project List References'!$B$3, _xlfn.IFNA(_xlfn.XLOOKUP(O$2-$C11, 'GEN-CCGT'!$D$7:$AW$7, 'GEN-CCGT'!$D$24:$AW$24), 0), IF($B11='Project List References'!$B$4, _xlfn.IFNA(_xlfn.XLOOKUP(O$2-$C11, 'GEN-SOLAR'!$D$7:$AW$7, 'GEN-SOLAR'!$D$24:$AW$24), 0), IF($B11='Project List References'!$B$5, _xlfn.IFNA(_xlfn.XLOOKUP(O$2-$C11, 'GEN-BESS'!$D$7:$AW$7, 'GEN-BESS'!$D$24:$AW$24), 0), IF($B11='Project List References'!$B$6, _xlfn.IFNA(_xlfn.XLOOKUP(O$2-$C11, 'GEN-CARBON'!$D$7:$AW$7, 'GEN-CARBON'!$D$24:$AW$24), 0), IF($B11='Project List References'!$B$7, _xlfn.IFNA(_xlfn.XLOOKUP(O$2-$C11, 'SENS Coal'!$D$7:$AW$7, 'SENS Coal'!$D$24:$AW$24), 0), IF($B11='Project List References'!$B$8, _xlfn.IFNA(_xlfn.XLOOKUP(O$2-$C11,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P11" s="661" t="e">
        <f>IF($B11='Project List References'!$B$3, _xlfn.IFNA(_xlfn.XLOOKUP(P$2-$C11, 'GEN-CCGT'!$D$7:$AW$7, 'GEN-CCGT'!$D$24:$AW$24), 0), IF($B11='Project List References'!$B$4, _xlfn.IFNA(_xlfn.XLOOKUP(P$2-$C11, 'GEN-SOLAR'!$D$7:$AW$7, 'GEN-SOLAR'!$D$24:$AW$24), 0), IF($B11='Project List References'!$B$5, _xlfn.IFNA(_xlfn.XLOOKUP(P$2-$C11, 'GEN-BESS'!$D$7:$AW$7, 'GEN-BESS'!$D$24:$AW$24), 0), IF($B11='Project List References'!$B$6, _xlfn.IFNA(_xlfn.XLOOKUP(P$2-$C11, 'GEN-CARBON'!$D$7:$AW$7, 'GEN-CARBON'!$D$24:$AW$24), 0), IF($B11='Project List References'!$B$7, _xlfn.IFNA(_xlfn.XLOOKUP(P$2-$C11, 'SENS Coal'!$D$7:$AW$7, 'SENS Coal'!$D$24:$AW$24), 0), IF($B11='Project List References'!$B$8, _xlfn.IFNA(_xlfn.XLOOKUP(P$2-$C11,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Q11" s="661" t="e">
        <f>IF($B11='Project List References'!$B$3, _xlfn.IFNA(_xlfn.XLOOKUP(Q$2-$C11, 'GEN-CCGT'!$D$7:$AW$7, 'GEN-CCGT'!$D$24:$AW$24), 0), IF($B11='Project List References'!$B$4, _xlfn.IFNA(_xlfn.XLOOKUP(Q$2-$C11, 'GEN-SOLAR'!$D$7:$AW$7, 'GEN-SOLAR'!$D$24:$AW$24), 0), IF($B11='Project List References'!$B$5, _xlfn.IFNA(_xlfn.XLOOKUP(Q$2-$C11, 'GEN-BESS'!$D$7:$AW$7, 'GEN-BESS'!$D$24:$AW$24), 0), IF($B11='Project List References'!$B$6, _xlfn.IFNA(_xlfn.XLOOKUP(Q$2-$C11, 'GEN-CARBON'!$D$7:$AW$7, 'GEN-CARBON'!$D$24:$AW$24), 0), IF($B11='Project List References'!$B$7, _xlfn.IFNA(_xlfn.XLOOKUP(Q$2-$C11, 'SENS Coal'!$D$7:$AW$7, 'SENS Coal'!$D$24:$AW$24), 0), IF($B11='Project List References'!$B$8, _xlfn.IFNA(_xlfn.XLOOKUP(Q$2-$C11,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R11" s="661" t="e">
        <f>IF($B11='Project List References'!$B$3, _xlfn.IFNA(_xlfn.XLOOKUP(R$2-$C11, 'GEN-CCGT'!$D$7:$AW$7, 'GEN-CCGT'!$D$24:$AW$24), 0), IF($B11='Project List References'!$B$4, _xlfn.IFNA(_xlfn.XLOOKUP(R$2-$C11, 'GEN-SOLAR'!$D$7:$AW$7, 'GEN-SOLAR'!$D$24:$AW$24), 0), IF($B11='Project List References'!$B$5, _xlfn.IFNA(_xlfn.XLOOKUP(R$2-$C11, 'GEN-BESS'!$D$7:$AW$7, 'GEN-BESS'!$D$24:$AW$24), 0), IF($B11='Project List References'!$B$6, _xlfn.IFNA(_xlfn.XLOOKUP(R$2-$C11, 'GEN-CARBON'!$D$7:$AW$7, 'GEN-CARBON'!$D$24:$AW$24), 0), IF($B11='Project List References'!$B$7, _xlfn.IFNA(_xlfn.XLOOKUP(R$2-$C11, 'SENS Coal'!$D$7:$AW$7, 'SENS Coal'!$D$24:$AW$24), 0), IF($B11='Project List References'!$B$8, _xlfn.IFNA(_xlfn.XLOOKUP(R$2-$C11,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S11" s="661" t="e">
        <f>IF($B11='Project List References'!$B$3, _xlfn.IFNA(_xlfn.XLOOKUP(S$2-$C11, 'GEN-CCGT'!$D$7:$AW$7, 'GEN-CCGT'!$D$24:$AW$24), 0), IF($B11='Project List References'!$B$4, _xlfn.IFNA(_xlfn.XLOOKUP(S$2-$C11, 'GEN-SOLAR'!$D$7:$AW$7, 'GEN-SOLAR'!$D$24:$AW$24), 0), IF($B11='Project List References'!$B$5, _xlfn.IFNA(_xlfn.XLOOKUP(S$2-$C11, 'GEN-BESS'!$D$7:$AW$7, 'GEN-BESS'!$D$24:$AW$24), 0), IF($B11='Project List References'!$B$6, _xlfn.IFNA(_xlfn.XLOOKUP(S$2-$C11, 'GEN-CARBON'!$D$7:$AW$7, 'GEN-CARBON'!$D$24:$AW$24), 0), IF($B11='Project List References'!$B$7, _xlfn.IFNA(_xlfn.XLOOKUP(S$2-$C11, 'SENS Coal'!$D$7:$AW$7, 'SENS Coal'!$D$24:$AW$24), 0), IF($B11='Project List References'!$B$8, _xlfn.IFNA(_xlfn.XLOOKUP(S$2-$C11,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T11" s="661" t="e">
        <f>IF($B11='Project List References'!$B$3, _xlfn.IFNA(_xlfn.XLOOKUP(T$2-$C11, 'GEN-CCGT'!$D$7:$AW$7, 'GEN-CCGT'!$D$24:$AW$24), 0), IF($B11='Project List References'!$B$4, _xlfn.IFNA(_xlfn.XLOOKUP(T$2-$C11, 'GEN-SOLAR'!$D$7:$AW$7, 'GEN-SOLAR'!$D$24:$AW$24), 0), IF($B11='Project List References'!$B$5, _xlfn.IFNA(_xlfn.XLOOKUP(T$2-$C11, 'GEN-BESS'!$D$7:$AW$7, 'GEN-BESS'!$D$24:$AW$24), 0), IF($B11='Project List References'!$B$6, _xlfn.IFNA(_xlfn.XLOOKUP(T$2-$C11, 'GEN-CARBON'!$D$7:$AW$7, 'GEN-CARBON'!$D$24:$AW$24), 0), IF($B11='Project List References'!$B$7, _xlfn.IFNA(_xlfn.XLOOKUP(T$2-$C11, 'SENS Coal'!$D$7:$AW$7, 'SENS Coal'!$D$24:$AW$24), 0), IF($B11='Project List References'!$B$8, _xlfn.IFNA(_xlfn.XLOOKUP(T$2-$C11, 'SENS Tires'!$D$7:$AW$7, 'SENS Tires'!$D$24:$AW$24),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</row>
    <row r="12" spans="1:111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_xlfn.XLOOKUP(A12, 'Project Master Sheet'!A:A, 'Project Master Sheet'!I:I)</f>
        <v>#N/A</v>
      </c>
      <c r="E12" s="661" t="e">
        <f>IF($B12='Project List References'!$B$3, _xlfn.IFNA(_xlfn.XLOOKUP(E$2-$C12, 'GEN-CCGT'!$D$7:$AW$7, 'GEN-CCGT'!$D$24:$AW$24), 0), IF($B12='Project List References'!$B$4, _xlfn.IFNA(_xlfn.XLOOKUP(E$2-$C12, 'GEN-SOLAR'!$D$7:$AW$7, 'GEN-SOLAR'!$D$24:$AW$24), 0), IF($B12='Project List References'!$B$5, _xlfn.IFNA(_xlfn.XLOOKUP(E$2-$C12, 'GEN-BESS'!$D$7:$AW$7, 'GEN-BESS'!$D$24:$AW$24), 0), IF($B12='Project List References'!$B$6, _xlfn.IFNA(_xlfn.XLOOKUP(E$2-$C12, 'GEN-CARBON'!$D$7:$AW$7, 'GEN-CARBON'!$D$24:$AW$24), 0), IF($B12='Project List References'!$B$7, _xlfn.IFNA(_xlfn.XLOOKUP(E$2-$C12, 'SENS Coal'!$D$7:$AW$7, 'SENS Coal'!$D$24:$AW$24), 0), IF($B12='Project List References'!$B$8, _xlfn.IFNA(_xlfn.XLOOKUP(E$2-$C12,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F12" s="661" t="e">
        <f>IF($B12='Project List References'!$B$3, _xlfn.IFNA(_xlfn.XLOOKUP(F$2-$C12, 'GEN-CCGT'!$D$7:$AW$7, 'GEN-CCGT'!$D$24:$AW$24), 0), IF($B12='Project List References'!$B$4, _xlfn.IFNA(_xlfn.XLOOKUP(F$2-$C12, 'GEN-SOLAR'!$D$7:$AW$7, 'GEN-SOLAR'!$D$24:$AW$24), 0), IF($B12='Project List References'!$B$5, _xlfn.IFNA(_xlfn.XLOOKUP(F$2-$C12, 'GEN-BESS'!$D$7:$AW$7, 'GEN-BESS'!$D$24:$AW$24), 0), IF($B12='Project List References'!$B$6, _xlfn.IFNA(_xlfn.XLOOKUP(F$2-$C12, 'GEN-CARBON'!$D$7:$AW$7, 'GEN-CARBON'!$D$24:$AW$24), 0), IF($B12='Project List References'!$B$7, _xlfn.IFNA(_xlfn.XLOOKUP(F$2-$C12, 'SENS Coal'!$D$7:$AW$7, 'SENS Coal'!$D$24:$AW$24), 0), IF($B12='Project List References'!$B$8, _xlfn.IFNA(_xlfn.XLOOKUP(F$2-$C12,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G12" s="661" t="e">
        <f>IF($B12='Project List References'!$B$3, _xlfn.IFNA(_xlfn.XLOOKUP(G$2-$C12, 'GEN-CCGT'!$D$7:$AW$7, 'GEN-CCGT'!$D$24:$AW$24), 0), IF($B12='Project List References'!$B$4, _xlfn.IFNA(_xlfn.XLOOKUP(G$2-$C12, 'GEN-SOLAR'!$D$7:$AW$7, 'GEN-SOLAR'!$D$24:$AW$24), 0), IF($B12='Project List References'!$B$5, _xlfn.IFNA(_xlfn.XLOOKUP(G$2-$C12, 'GEN-BESS'!$D$7:$AW$7, 'GEN-BESS'!$D$24:$AW$24), 0), IF($B12='Project List References'!$B$6, _xlfn.IFNA(_xlfn.XLOOKUP(G$2-$C12, 'GEN-CARBON'!$D$7:$AW$7, 'GEN-CARBON'!$D$24:$AW$24), 0), IF($B12='Project List References'!$B$7, _xlfn.IFNA(_xlfn.XLOOKUP(G$2-$C12, 'SENS Coal'!$D$7:$AW$7, 'SENS Coal'!$D$24:$AW$24), 0), IF($B12='Project List References'!$B$8, _xlfn.IFNA(_xlfn.XLOOKUP(G$2-$C12,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H12" s="661" t="e">
        <f>IF($B12='Project List References'!$B$3, _xlfn.IFNA(_xlfn.XLOOKUP(H$2-$C12, 'GEN-CCGT'!$D$7:$AW$7, 'GEN-CCGT'!$D$24:$AW$24), 0), IF($B12='Project List References'!$B$4, _xlfn.IFNA(_xlfn.XLOOKUP(H$2-$C12, 'GEN-SOLAR'!$D$7:$AW$7, 'GEN-SOLAR'!$D$24:$AW$24), 0), IF($B12='Project List References'!$B$5, _xlfn.IFNA(_xlfn.XLOOKUP(H$2-$C12, 'GEN-BESS'!$D$7:$AW$7, 'GEN-BESS'!$D$24:$AW$24), 0), IF($B12='Project List References'!$B$6, _xlfn.IFNA(_xlfn.XLOOKUP(H$2-$C12, 'GEN-CARBON'!$D$7:$AW$7, 'GEN-CARBON'!$D$24:$AW$24), 0), IF($B12='Project List References'!$B$7, _xlfn.IFNA(_xlfn.XLOOKUP(H$2-$C12, 'SENS Coal'!$D$7:$AW$7, 'SENS Coal'!$D$24:$AW$24), 0), IF($B12='Project List References'!$B$8, _xlfn.IFNA(_xlfn.XLOOKUP(H$2-$C12,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I12" s="661" t="e">
        <f>IF($B12='Project List References'!$B$3, _xlfn.IFNA(_xlfn.XLOOKUP(I$2-$C12, 'GEN-CCGT'!$D$7:$AW$7, 'GEN-CCGT'!$D$24:$AW$24), 0), IF($B12='Project List References'!$B$4, _xlfn.IFNA(_xlfn.XLOOKUP(I$2-$C12, 'GEN-SOLAR'!$D$7:$AW$7, 'GEN-SOLAR'!$D$24:$AW$24), 0), IF($B12='Project List References'!$B$5, _xlfn.IFNA(_xlfn.XLOOKUP(I$2-$C12, 'GEN-BESS'!$D$7:$AW$7, 'GEN-BESS'!$D$24:$AW$24), 0), IF($B12='Project List References'!$B$6, _xlfn.IFNA(_xlfn.XLOOKUP(I$2-$C12, 'GEN-CARBON'!$D$7:$AW$7, 'GEN-CARBON'!$D$24:$AW$24), 0), IF($B12='Project List References'!$B$7, _xlfn.IFNA(_xlfn.XLOOKUP(I$2-$C12, 'SENS Coal'!$D$7:$AW$7, 'SENS Coal'!$D$24:$AW$24), 0), IF($B12='Project List References'!$B$8, _xlfn.IFNA(_xlfn.XLOOKUP(I$2-$C12,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J12" s="661" t="e">
        <f>IF($B12='Project List References'!$B$3, _xlfn.IFNA(_xlfn.XLOOKUP(J$2-$C12, 'GEN-CCGT'!$D$7:$AW$7, 'GEN-CCGT'!$D$24:$AW$24), 0), IF($B12='Project List References'!$B$4, _xlfn.IFNA(_xlfn.XLOOKUP(J$2-$C12, 'GEN-SOLAR'!$D$7:$AW$7, 'GEN-SOLAR'!$D$24:$AW$24), 0), IF($B12='Project List References'!$B$5, _xlfn.IFNA(_xlfn.XLOOKUP(J$2-$C12, 'GEN-BESS'!$D$7:$AW$7, 'GEN-BESS'!$D$24:$AW$24), 0), IF($B12='Project List References'!$B$6, _xlfn.IFNA(_xlfn.XLOOKUP(J$2-$C12, 'GEN-CARBON'!$D$7:$AW$7, 'GEN-CARBON'!$D$24:$AW$24), 0), IF($B12='Project List References'!$B$7, _xlfn.IFNA(_xlfn.XLOOKUP(J$2-$C12, 'SENS Coal'!$D$7:$AW$7, 'SENS Coal'!$D$24:$AW$24), 0), IF($B12='Project List References'!$B$8, _xlfn.IFNA(_xlfn.XLOOKUP(J$2-$C12,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K12" s="661" t="e">
        <f>IF($B12='Project List References'!$B$3, _xlfn.IFNA(_xlfn.XLOOKUP(K$2-$C12, 'GEN-CCGT'!$D$7:$AW$7, 'GEN-CCGT'!$D$24:$AW$24), 0), IF($B12='Project List References'!$B$4, _xlfn.IFNA(_xlfn.XLOOKUP(K$2-$C12, 'GEN-SOLAR'!$D$7:$AW$7, 'GEN-SOLAR'!$D$24:$AW$24), 0), IF($B12='Project List References'!$B$5, _xlfn.IFNA(_xlfn.XLOOKUP(K$2-$C12, 'GEN-BESS'!$D$7:$AW$7, 'GEN-BESS'!$D$24:$AW$24), 0), IF($B12='Project List References'!$B$6, _xlfn.IFNA(_xlfn.XLOOKUP(K$2-$C12, 'GEN-CARBON'!$D$7:$AW$7, 'GEN-CARBON'!$D$24:$AW$24), 0), IF($B12='Project List References'!$B$7, _xlfn.IFNA(_xlfn.XLOOKUP(K$2-$C12, 'SENS Coal'!$D$7:$AW$7, 'SENS Coal'!$D$24:$AW$24), 0), IF($B12='Project List References'!$B$8, _xlfn.IFNA(_xlfn.XLOOKUP(K$2-$C12,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L12" s="661" t="e">
        <f>IF($B12='Project List References'!$B$3, _xlfn.IFNA(_xlfn.XLOOKUP(L$2-$C12, 'GEN-CCGT'!$D$7:$AW$7, 'GEN-CCGT'!$D$24:$AW$24), 0), IF($B12='Project List References'!$B$4, _xlfn.IFNA(_xlfn.XLOOKUP(L$2-$C12, 'GEN-SOLAR'!$D$7:$AW$7, 'GEN-SOLAR'!$D$24:$AW$24), 0), IF($B12='Project List References'!$B$5, _xlfn.IFNA(_xlfn.XLOOKUP(L$2-$C12, 'GEN-BESS'!$D$7:$AW$7, 'GEN-BESS'!$D$24:$AW$24), 0), IF($B12='Project List References'!$B$6, _xlfn.IFNA(_xlfn.XLOOKUP(L$2-$C12, 'GEN-CARBON'!$D$7:$AW$7, 'GEN-CARBON'!$D$24:$AW$24), 0), IF($B12='Project List References'!$B$7, _xlfn.IFNA(_xlfn.XLOOKUP(L$2-$C12, 'SENS Coal'!$D$7:$AW$7, 'SENS Coal'!$D$24:$AW$24), 0), IF($B12='Project List References'!$B$8, _xlfn.IFNA(_xlfn.XLOOKUP(L$2-$C12,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M12" s="661" t="e">
        <f>IF($B12='Project List References'!$B$3, _xlfn.IFNA(_xlfn.XLOOKUP(M$2-$C12, 'GEN-CCGT'!$D$7:$AW$7, 'GEN-CCGT'!$D$24:$AW$24), 0), IF($B12='Project List References'!$B$4, _xlfn.IFNA(_xlfn.XLOOKUP(M$2-$C12, 'GEN-SOLAR'!$D$7:$AW$7, 'GEN-SOLAR'!$D$24:$AW$24), 0), IF($B12='Project List References'!$B$5, _xlfn.IFNA(_xlfn.XLOOKUP(M$2-$C12, 'GEN-BESS'!$D$7:$AW$7, 'GEN-BESS'!$D$24:$AW$24), 0), IF($B12='Project List References'!$B$6, _xlfn.IFNA(_xlfn.XLOOKUP(M$2-$C12, 'GEN-CARBON'!$D$7:$AW$7, 'GEN-CARBON'!$D$24:$AW$24), 0), IF($B12='Project List References'!$B$7, _xlfn.IFNA(_xlfn.XLOOKUP(M$2-$C12, 'SENS Coal'!$D$7:$AW$7, 'SENS Coal'!$D$24:$AW$24), 0), IF($B12='Project List References'!$B$8, _xlfn.IFNA(_xlfn.XLOOKUP(M$2-$C12,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N12" s="661" t="e">
        <f>IF($B12='Project List References'!$B$3, _xlfn.IFNA(_xlfn.XLOOKUP(N$2-$C12, 'GEN-CCGT'!$D$7:$AW$7, 'GEN-CCGT'!$D$24:$AW$24), 0), IF($B12='Project List References'!$B$4, _xlfn.IFNA(_xlfn.XLOOKUP(N$2-$C12, 'GEN-SOLAR'!$D$7:$AW$7, 'GEN-SOLAR'!$D$24:$AW$24), 0), IF($B12='Project List References'!$B$5, _xlfn.IFNA(_xlfn.XLOOKUP(N$2-$C12, 'GEN-BESS'!$D$7:$AW$7, 'GEN-BESS'!$D$24:$AW$24), 0), IF($B12='Project List References'!$B$6, _xlfn.IFNA(_xlfn.XLOOKUP(N$2-$C12, 'GEN-CARBON'!$D$7:$AW$7, 'GEN-CARBON'!$D$24:$AW$24), 0), IF($B12='Project List References'!$B$7, _xlfn.IFNA(_xlfn.XLOOKUP(N$2-$C12, 'SENS Coal'!$D$7:$AW$7, 'SENS Coal'!$D$24:$AW$24), 0), IF($B12='Project List References'!$B$8, _xlfn.IFNA(_xlfn.XLOOKUP(N$2-$C12,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O12" s="661" t="e">
        <f>IF($B12='Project List References'!$B$3, _xlfn.IFNA(_xlfn.XLOOKUP(O$2-$C12, 'GEN-CCGT'!$D$7:$AW$7, 'GEN-CCGT'!$D$24:$AW$24), 0), IF($B12='Project List References'!$B$4, _xlfn.IFNA(_xlfn.XLOOKUP(O$2-$C12, 'GEN-SOLAR'!$D$7:$AW$7, 'GEN-SOLAR'!$D$24:$AW$24), 0), IF($B12='Project List References'!$B$5, _xlfn.IFNA(_xlfn.XLOOKUP(O$2-$C12, 'GEN-BESS'!$D$7:$AW$7, 'GEN-BESS'!$D$24:$AW$24), 0), IF($B12='Project List References'!$B$6, _xlfn.IFNA(_xlfn.XLOOKUP(O$2-$C12, 'GEN-CARBON'!$D$7:$AW$7, 'GEN-CARBON'!$D$24:$AW$24), 0), IF($B12='Project List References'!$B$7, _xlfn.IFNA(_xlfn.XLOOKUP(O$2-$C12, 'SENS Coal'!$D$7:$AW$7, 'SENS Coal'!$D$24:$AW$24), 0), IF($B12='Project List References'!$B$8, _xlfn.IFNA(_xlfn.XLOOKUP(O$2-$C12,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P12" s="661" t="e">
        <f>IF($B12='Project List References'!$B$3, _xlfn.IFNA(_xlfn.XLOOKUP(P$2-$C12, 'GEN-CCGT'!$D$7:$AW$7, 'GEN-CCGT'!$D$24:$AW$24), 0), IF($B12='Project List References'!$B$4, _xlfn.IFNA(_xlfn.XLOOKUP(P$2-$C12, 'GEN-SOLAR'!$D$7:$AW$7, 'GEN-SOLAR'!$D$24:$AW$24), 0), IF($B12='Project List References'!$B$5, _xlfn.IFNA(_xlfn.XLOOKUP(P$2-$C12, 'GEN-BESS'!$D$7:$AW$7, 'GEN-BESS'!$D$24:$AW$24), 0), IF($B12='Project List References'!$B$6, _xlfn.IFNA(_xlfn.XLOOKUP(P$2-$C12, 'GEN-CARBON'!$D$7:$AW$7, 'GEN-CARBON'!$D$24:$AW$24), 0), IF($B12='Project List References'!$B$7, _xlfn.IFNA(_xlfn.XLOOKUP(P$2-$C12, 'SENS Coal'!$D$7:$AW$7, 'SENS Coal'!$D$24:$AW$24), 0), IF($B12='Project List References'!$B$8, _xlfn.IFNA(_xlfn.XLOOKUP(P$2-$C12,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Q12" s="661" t="e">
        <f>IF($B12='Project List References'!$B$3, _xlfn.IFNA(_xlfn.XLOOKUP(Q$2-$C12, 'GEN-CCGT'!$D$7:$AW$7, 'GEN-CCGT'!$D$24:$AW$24), 0), IF($B12='Project List References'!$B$4, _xlfn.IFNA(_xlfn.XLOOKUP(Q$2-$C12, 'GEN-SOLAR'!$D$7:$AW$7, 'GEN-SOLAR'!$D$24:$AW$24), 0), IF($B12='Project List References'!$B$5, _xlfn.IFNA(_xlfn.XLOOKUP(Q$2-$C12, 'GEN-BESS'!$D$7:$AW$7, 'GEN-BESS'!$D$24:$AW$24), 0), IF($B12='Project List References'!$B$6, _xlfn.IFNA(_xlfn.XLOOKUP(Q$2-$C12, 'GEN-CARBON'!$D$7:$AW$7, 'GEN-CARBON'!$D$24:$AW$24), 0), IF($B12='Project List References'!$B$7, _xlfn.IFNA(_xlfn.XLOOKUP(Q$2-$C12, 'SENS Coal'!$D$7:$AW$7, 'SENS Coal'!$D$24:$AW$24), 0), IF($B12='Project List References'!$B$8, _xlfn.IFNA(_xlfn.XLOOKUP(Q$2-$C12,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R12" s="661" t="e">
        <f>IF($B12='Project List References'!$B$3, _xlfn.IFNA(_xlfn.XLOOKUP(R$2-$C12, 'GEN-CCGT'!$D$7:$AW$7, 'GEN-CCGT'!$D$24:$AW$24), 0), IF($B12='Project List References'!$B$4, _xlfn.IFNA(_xlfn.XLOOKUP(R$2-$C12, 'GEN-SOLAR'!$D$7:$AW$7, 'GEN-SOLAR'!$D$24:$AW$24), 0), IF($B12='Project List References'!$B$5, _xlfn.IFNA(_xlfn.XLOOKUP(R$2-$C12, 'GEN-BESS'!$D$7:$AW$7, 'GEN-BESS'!$D$24:$AW$24), 0), IF($B12='Project List References'!$B$6, _xlfn.IFNA(_xlfn.XLOOKUP(R$2-$C12, 'GEN-CARBON'!$D$7:$AW$7, 'GEN-CARBON'!$D$24:$AW$24), 0), IF($B12='Project List References'!$B$7, _xlfn.IFNA(_xlfn.XLOOKUP(R$2-$C12, 'SENS Coal'!$D$7:$AW$7, 'SENS Coal'!$D$24:$AW$24), 0), IF($B12='Project List References'!$B$8, _xlfn.IFNA(_xlfn.XLOOKUP(R$2-$C12,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S12" s="661" t="e">
        <f>IF($B12='Project List References'!$B$3, _xlfn.IFNA(_xlfn.XLOOKUP(S$2-$C12, 'GEN-CCGT'!$D$7:$AW$7, 'GEN-CCGT'!$D$24:$AW$24), 0), IF($B12='Project List References'!$B$4, _xlfn.IFNA(_xlfn.XLOOKUP(S$2-$C12, 'GEN-SOLAR'!$D$7:$AW$7, 'GEN-SOLAR'!$D$24:$AW$24), 0), IF($B12='Project List References'!$B$5, _xlfn.IFNA(_xlfn.XLOOKUP(S$2-$C12, 'GEN-BESS'!$D$7:$AW$7, 'GEN-BESS'!$D$24:$AW$24), 0), IF($B12='Project List References'!$B$6, _xlfn.IFNA(_xlfn.XLOOKUP(S$2-$C12, 'GEN-CARBON'!$D$7:$AW$7, 'GEN-CARBON'!$D$24:$AW$24), 0), IF($B12='Project List References'!$B$7, _xlfn.IFNA(_xlfn.XLOOKUP(S$2-$C12, 'SENS Coal'!$D$7:$AW$7, 'SENS Coal'!$D$24:$AW$24), 0), IF($B12='Project List References'!$B$8, _xlfn.IFNA(_xlfn.XLOOKUP(S$2-$C12,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T12" s="661" t="e">
        <f>IF($B12='Project List References'!$B$3, _xlfn.IFNA(_xlfn.XLOOKUP(T$2-$C12, 'GEN-CCGT'!$D$7:$AW$7, 'GEN-CCGT'!$D$24:$AW$24), 0), IF($B12='Project List References'!$B$4, _xlfn.IFNA(_xlfn.XLOOKUP(T$2-$C12, 'GEN-SOLAR'!$D$7:$AW$7, 'GEN-SOLAR'!$D$24:$AW$24), 0), IF($B12='Project List References'!$B$5, _xlfn.IFNA(_xlfn.XLOOKUP(T$2-$C12, 'GEN-BESS'!$D$7:$AW$7, 'GEN-BESS'!$D$24:$AW$24), 0), IF($B12='Project List References'!$B$6, _xlfn.IFNA(_xlfn.XLOOKUP(T$2-$C12, 'GEN-CARBON'!$D$7:$AW$7, 'GEN-CARBON'!$D$24:$AW$24), 0), IF($B12='Project List References'!$B$7, _xlfn.IFNA(_xlfn.XLOOKUP(T$2-$C12, 'SENS Coal'!$D$7:$AW$7, 'SENS Coal'!$D$24:$AW$24), 0), IF($B12='Project List References'!$B$8, _xlfn.IFNA(_xlfn.XLOOKUP(T$2-$C12, 'SENS Tires'!$D$7:$AW$7, 'SENS Tires'!$D$24:$AW$24),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</row>
    <row r="13" spans="1:111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_xlfn.XLOOKUP(A13, 'Project Master Sheet'!A:A, 'Project Master Sheet'!I:I)</f>
        <v>#N/A</v>
      </c>
      <c r="E13" s="661" t="e">
        <f>IF($B13='Project List References'!$B$3, _xlfn.IFNA(_xlfn.XLOOKUP(E$2-$C13, 'GEN-CCGT'!$D$7:$AW$7, 'GEN-CCGT'!$D$24:$AW$24), 0), IF($B13='Project List References'!$B$4, _xlfn.IFNA(_xlfn.XLOOKUP(E$2-$C13, 'GEN-SOLAR'!$D$7:$AW$7, 'GEN-SOLAR'!$D$24:$AW$24), 0), IF($B13='Project List References'!$B$5, _xlfn.IFNA(_xlfn.XLOOKUP(E$2-$C13, 'GEN-BESS'!$D$7:$AW$7, 'GEN-BESS'!$D$24:$AW$24), 0), IF($B13='Project List References'!$B$6, _xlfn.IFNA(_xlfn.XLOOKUP(E$2-$C13, 'GEN-CARBON'!$D$7:$AW$7, 'GEN-CARBON'!$D$24:$AW$24), 0), IF($B13='Project List References'!$B$7, _xlfn.IFNA(_xlfn.XLOOKUP(E$2-$C13, 'SENS Coal'!$D$7:$AW$7, 'SENS Coal'!$D$24:$AW$24), 0), IF($B13='Project List References'!$B$8, _xlfn.IFNA(_xlfn.XLOOKUP(E$2-$C13,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F13" s="661" t="e">
        <f>IF($B13='Project List References'!$B$3, _xlfn.IFNA(_xlfn.XLOOKUP(F$2-$C13, 'GEN-CCGT'!$D$7:$AW$7, 'GEN-CCGT'!$D$24:$AW$24), 0), IF($B13='Project List References'!$B$4, _xlfn.IFNA(_xlfn.XLOOKUP(F$2-$C13, 'GEN-SOLAR'!$D$7:$AW$7, 'GEN-SOLAR'!$D$24:$AW$24), 0), IF($B13='Project List References'!$B$5, _xlfn.IFNA(_xlfn.XLOOKUP(F$2-$C13, 'GEN-BESS'!$D$7:$AW$7, 'GEN-BESS'!$D$24:$AW$24), 0), IF($B13='Project List References'!$B$6, _xlfn.IFNA(_xlfn.XLOOKUP(F$2-$C13, 'GEN-CARBON'!$D$7:$AW$7, 'GEN-CARBON'!$D$24:$AW$24), 0), IF($B13='Project List References'!$B$7, _xlfn.IFNA(_xlfn.XLOOKUP(F$2-$C13, 'SENS Coal'!$D$7:$AW$7, 'SENS Coal'!$D$24:$AW$24), 0), IF($B13='Project List References'!$B$8, _xlfn.IFNA(_xlfn.XLOOKUP(F$2-$C13,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G13" s="661" t="e">
        <f>IF($B13='Project List References'!$B$3, _xlfn.IFNA(_xlfn.XLOOKUP(G$2-$C13, 'GEN-CCGT'!$D$7:$AW$7, 'GEN-CCGT'!$D$24:$AW$24), 0), IF($B13='Project List References'!$B$4, _xlfn.IFNA(_xlfn.XLOOKUP(G$2-$C13, 'GEN-SOLAR'!$D$7:$AW$7, 'GEN-SOLAR'!$D$24:$AW$24), 0), IF($B13='Project List References'!$B$5, _xlfn.IFNA(_xlfn.XLOOKUP(G$2-$C13, 'GEN-BESS'!$D$7:$AW$7, 'GEN-BESS'!$D$24:$AW$24), 0), IF($B13='Project List References'!$B$6, _xlfn.IFNA(_xlfn.XLOOKUP(G$2-$C13, 'GEN-CARBON'!$D$7:$AW$7, 'GEN-CARBON'!$D$24:$AW$24), 0), IF($B13='Project List References'!$B$7, _xlfn.IFNA(_xlfn.XLOOKUP(G$2-$C13, 'SENS Coal'!$D$7:$AW$7, 'SENS Coal'!$D$24:$AW$24), 0), IF($B13='Project List References'!$B$8, _xlfn.IFNA(_xlfn.XLOOKUP(G$2-$C13,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H13" s="661" t="e">
        <f>IF($B13='Project List References'!$B$3, _xlfn.IFNA(_xlfn.XLOOKUP(H$2-$C13, 'GEN-CCGT'!$D$7:$AW$7, 'GEN-CCGT'!$D$24:$AW$24), 0), IF($B13='Project List References'!$B$4, _xlfn.IFNA(_xlfn.XLOOKUP(H$2-$C13, 'GEN-SOLAR'!$D$7:$AW$7, 'GEN-SOLAR'!$D$24:$AW$24), 0), IF($B13='Project List References'!$B$5, _xlfn.IFNA(_xlfn.XLOOKUP(H$2-$C13, 'GEN-BESS'!$D$7:$AW$7, 'GEN-BESS'!$D$24:$AW$24), 0), IF($B13='Project List References'!$B$6, _xlfn.IFNA(_xlfn.XLOOKUP(H$2-$C13, 'GEN-CARBON'!$D$7:$AW$7, 'GEN-CARBON'!$D$24:$AW$24), 0), IF($B13='Project List References'!$B$7, _xlfn.IFNA(_xlfn.XLOOKUP(H$2-$C13, 'SENS Coal'!$D$7:$AW$7, 'SENS Coal'!$D$24:$AW$24), 0), IF($B13='Project List References'!$B$8, _xlfn.IFNA(_xlfn.XLOOKUP(H$2-$C13,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I13" s="661" t="e">
        <f>IF($B13='Project List References'!$B$3, _xlfn.IFNA(_xlfn.XLOOKUP(I$2-$C13, 'GEN-CCGT'!$D$7:$AW$7, 'GEN-CCGT'!$D$24:$AW$24), 0), IF($B13='Project List References'!$B$4, _xlfn.IFNA(_xlfn.XLOOKUP(I$2-$C13, 'GEN-SOLAR'!$D$7:$AW$7, 'GEN-SOLAR'!$D$24:$AW$24), 0), IF($B13='Project List References'!$B$5, _xlfn.IFNA(_xlfn.XLOOKUP(I$2-$C13, 'GEN-BESS'!$D$7:$AW$7, 'GEN-BESS'!$D$24:$AW$24), 0), IF($B13='Project List References'!$B$6, _xlfn.IFNA(_xlfn.XLOOKUP(I$2-$C13, 'GEN-CARBON'!$D$7:$AW$7, 'GEN-CARBON'!$D$24:$AW$24), 0), IF($B13='Project List References'!$B$7, _xlfn.IFNA(_xlfn.XLOOKUP(I$2-$C13, 'SENS Coal'!$D$7:$AW$7, 'SENS Coal'!$D$24:$AW$24), 0), IF($B13='Project List References'!$B$8, _xlfn.IFNA(_xlfn.XLOOKUP(I$2-$C13,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J13" s="661" t="e">
        <f>IF($B13='Project List References'!$B$3, _xlfn.IFNA(_xlfn.XLOOKUP(J$2-$C13, 'GEN-CCGT'!$D$7:$AW$7, 'GEN-CCGT'!$D$24:$AW$24), 0), IF($B13='Project List References'!$B$4, _xlfn.IFNA(_xlfn.XLOOKUP(J$2-$C13, 'GEN-SOLAR'!$D$7:$AW$7, 'GEN-SOLAR'!$D$24:$AW$24), 0), IF($B13='Project List References'!$B$5, _xlfn.IFNA(_xlfn.XLOOKUP(J$2-$C13, 'GEN-BESS'!$D$7:$AW$7, 'GEN-BESS'!$D$24:$AW$24), 0), IF($B13='Project List References'!$B$6, _xlfn.IFNA(_xlfn.XLOOKUP(J$2-$C13, 'GEN-CARBON'!$D$7:$AW$7, 'GEN-CARBON'!$D$24:$AW$24), 0), IF($B13='Project List References'!$B$7, _xlfn.IFNA(_xlfn.XLOOKUP(J$2-$C13, 'SENS Coal'!$D$7:$AW$7, 'SENS Coal'!$D$24:$AW$24), 0), IF($B13='Project List References'!$B$8, _xlfn.IFNA(_xlfn.XLOOKUP(J$2-$C13,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K13" s="661" t="e">
        <f>IF($B13='Project List References'!$B$3, _xlfn.IFNA(_xlfn.XLOOKUP(K$2-$C13, 'GEN-CCGT'!$D$7:$AW$7, 'GEN-CCGT'!$D$24:$AW$24), 0), IF($B13='Project List References'!$B$4, _xlfn.IFNA(_xlfn.XLOOKUP(K$2-$C13, 'GEN-SOLAR'!$D$7:$AW$7, 'GEN-SOLAR'!$D$24:$AW$24), 0), IF($B13='Project List References'!$B$5, _xlfn.IFNA(_xlfn.XLOOKUP(K$2-$C13, 'GEN-BESS'!$D$7:$AW$7, 'GEN-BESS'!$D$24:$AW$24), 0), IF($B13='Project List References'!$B$6, _xlfn.IFNA(_xlfn.XLOOKUP(K$2-$C13, 'GEN-CARBON'!$D$7:$AW$7, 'GEN-CARBON'!$D$24:$AW$24), 0), IF($B13='Project List References'!$B$7, _xlfn.IFNA(_xlfn.XLOOKUP(K$2-$C13, 'SENS Coal'!$D$7:$AW$7, 'SENS Coal'!$D$24:$AW$24), 0), IF($B13='Project List References'!$B$8, _xlfn.IFNA(_xlfn.XLOOKUP(K$2-$C13,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L13" s="661" t="e">
        <f>IF($B13='Project List References'!$B$3, _xlfn.IFNA(_xlfn.XLOOKUP(L$2-$C13, 'GEN-CCGT'!$D$7:$AW$7, 'GEN-CCGT'!$D$24:$AW$24), 0), IF($B13='Project List References'!$B$4, _xlfn.IFNA(_xlfn.XLOOKUP(L$2-$C13, 'GEN-SOLAR'!$D$7:$AW$7, 'GEN-SOLAR'!$D$24:$AW$24), 0), IF($B13='Project List References'!$B$5, _xlfn.IFNA(_xlfn.XLOOKUP(L$2-$C13, 'GEN-BESS'!$D$7:$AW$7, 'GEN-BESS'!$D$24:$AW$24), 0), IF($B13='Project List References'!$B$6, _xlfn.IFNA(_xlfn.XLOOKUP(L$2-$C13, 'GEN-CARBON'!$D$7:$AW$7, 'GEN-CARBON'!$D$24:$AW$24), 0), IF($B13='Project List References'!$B$7, _xlfn.IFNA(_xlfn.XLOOKUP(L$2-$C13, 'SENS Coal'!$D$7:$AW$7, 'SENS Coal'!$D$24:$AW$24), 0), IF($B13='Project List References'!$B$8, _xlfn.IFNA(_xlfn.XLOOKUP(L$2-$C13,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M13" s="661" t="e">
        <f>IF($B13='Project List References'!$B$3, _xlfn.IFNA(_xlfn.XLOOKUP(M$2-$C13, 'GEN-CCGT'!$D$7:$AW$7, 'GEN-CCGT'!$D$24:$AW$24), 0), IF($B13='Project List References'!$B$4, _xlfn.IFNA(_xlfn.XLOOKUP(M$2-$C13, 'GEN-SOLAR'!$D$7:$AW$7, 'GEN-SOLAR'!$D$24:$AW$24), 0), IF($B13='Project List References'!$B$5, _xlfn.IFNA(_xlfn.XLOOKUP(M$2-$C13, 'GEN-BESS'!$D$7:$AW$7, 'GEN-BESS'!$D$24:$AW$24), 0), IF($B13='Project List References'!$B$6, _xlfn.IFNA(_xlfn.XLOOKUP(M$2-$C13, 'GEN-CARBON'!$D$7:$AW$7, 'GEN-CARBON'!$D$24:$AW$24), 0), IF($B13='Project List References'!$B$7, _xlfn.IFNA(_xlfn.XLOOKUP(M$2-$C13, 'SENS Coal'!$D$7:$AW$7, 'SENS Coal'!$D$24:$AW$24), 0), IF($B13='Project List References'!$B$8, _xlfn.IFNA(_xlfn.XLOOKUP(M$2-$C13,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N13" s="661" t="e">
        <f>IF($B13='Project List References'!$B$3, _xlfn.IFNA(_xlfn.XLOOKUP(N$2-$C13, 'GEN-CCGT'!$D$7:$AW$7, 'GEN-CCGT'!$D$24:$AW$24), 0), IF($B13='Project List References'!$B$4, _xlfn.IFNA(_xlfn.XLOOKUP(N$2-$C13, 'GEN-SOLAR'!$D$7:$AW$7, 'GEN-SOLAR'!$D$24:$AW$24), 0), IF($B13='Project List References'!$B$5, _xlfn.IFNA(_xlfn.XLOOKUP(N$2-$C13, 'GEN-BESS'!$D$7:$AW$7, 'GEN-BESS'!$D$24:$AW$24), 0), IF($B13='Project List References'!$B$6, _xlfn.IFNA(_xlfn.XLOOKUP(N$2-$C13, 'GEN-CARBON'!$D$7:$AW$7, 'GEN-CARBON'!$D$24:$AW$24), 0), IF($B13='Project List References'!$B$7, _xlfn.IFNA(_xlfn.XLOOKUP(N$2-$C13, 'SENS Coal'!$D$7:$AW$7, 'SENS Coal'!$D$24:$AW$24), 0), IF($B13='Project List References'!$B$8, _xlfn.IFNA(_xlfn.XLOOKUP(N$2-$C13,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O13" s="661" t="e">
        <f>IF($B13='Project List References'!$B$3, _xlfn.IFNA(_xlfn.XLOOKUP(O$2-$C13, 'GEN-CCGT'!$D$7:$AW$7, 'GEN-CCGT'!$D$24:$AW$24), 0), IF($B13='Project List References'!$B$4, _xlfn.IFNA(_xlfn.XLOOKUP(O$2-$C13, 'GEN-SOLAR'!$D$7:$AW$7, 'GEN-SOLAR'!$D$24:$AW$24), 0), IF($B13='Project List References'!$B$5, _xlfn.IFNA(_xlfn.XLOOKUP(O$2-$C13, 'GEN-BESS'!$D$7:$AW$7, 'GEN-BESS'!$D$24:$AW$24), 0), IF($B13='Project List References'!$B$6, _xlfn.IFNA(_xlfn.XLOOKUP(O$2-$C13, 'GEN-CARBON'!$D$7:$AW$7, 'GEN-CARBON'!$D$24:$AW$24), 0), IF($B13='Project List References'!$B$7, _xlfn.IFNA(_xlfn.XLOOKUP(O$2-$C13, 'SENS Coal'!$D$7:$AW$7, 'SENS Coal'!$D$24:$AW$24), 0), IF($B13='Project List References'!$B$8, _xlfn.IFNA(_xlfn.XLOOKUP(O$2-$C13,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P13" s="661" t="e">
        <f>IF($B13='Project List References'!$B$3, _xlfn.IFNA(_xlfn.XLOOKUP(P$2-$C13, 'GEN-CCGT'!$D$7:$AW$7, 'GEN-CCGT'!$D$24:$AW$24), 0), IF($B13='Project List References'!$B$4, _xlfn.IFNA(_xlfn.XLOOKUP(P$2-$C13, 'GEN-SOLAR'!$D$7:$AW$7, 'GEN-SOLAR'!$D$24:$AW$24), 0), IF($B13='Project List References'!$B$5, _xlfn.IFNA(_xlfn.XLOOKUP(P$2-$C13, 'GEN-BESS'!$D$7:$AW$7, 'GEN-BESS'!$D$24:$AW$24), 0), IF($B13='Project List References'!$B$6, _xlfn.IFNA(_xlfn.XLOOKUP(P$2-$C13, 'GEN-CARBON'!$D$7:$AW$7, 'GEN-CARBON'!$D$24:$AW$24), 0), IF($B13='Project List References'!$B$7, _xlfn.IFNA(_xlfn.XLOOKUP(P$2-$C13, 'SENS Coal'!$D$7:$AW$7, 'SENS Coal'!$D$24:$AW$24), 0), IF($B13='Project List References'!$B$8, _xlfn.IFNA(_xlfn.XLOOKUP(P$2-$C13,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Q13" s="661" t="e">
        <f>IF($B13='Project List References'!$B$3, _xlfn.IFNA(_xlfn.XLOOKUP(Q$2-$C13, 'GEN-CCGT'!$D$7:$AW$7, 'GEN-CCGT'!$D$24:$AW$24), 0), IF($B13='Project List References'!$B$4, _xlfn.IFNA(_xlfn.XLOOKUP(Q$2-$C13, 'GEN-SOLAR'!$D$7:$AW$7, 'GEN-SOLAR'!$D$24:$AW$24), 0), IF($B13='Project List References'!$B$5, _xlfn.IFNA(_xlfn.XLOOKUP(Q$2-$C13, 'GEN-BESS'!$D$7:$AW$7, 'GEN-BESS'!$D$24:$AW$24), 0), IF($B13='Project List References'!$B$6, _xlfn.IFNA(_xlfn.XLOOKUP(Q$2-$C13, 'GEN-CARBON'!$D$7:$AW$7, 'GEN-CARBON'!$D$24:$AW$24), 0), IF($B13='Project List References'!$B$7, _xlfn.IFNA(_xlfn.XLOOKUP(Q$2-$C13, 'SENS Coal'!$D$7:$AW$7, 'SENS Coal'!$D$24:$AW$24), 0), IF($B13='Project List References'!$B$8, _xlfn.IFNA(_xlfn.XLOOKUP(Q$2-$C13,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R13" s="661" t="e">
        <f>IF($B13='Project List References'!$B$3, _xlfn.IFNA(_xlfn.XLOOKUP(R$2-$C13, 'GEN-CCGT'!$D$7:$AW$7, 'GEN-CCGT'!$D$24:$AW$24), 0), IF($B13='Project List References'!$B$4, _xlfn.IFNA(_xlfn.XLOOKUP(R$2-$C13, 'GEN-SOLAR'!$D$7:$AW$7, 'GEN-SOLAR'!$D$24:$AW$24), 0), IF($B13='Project List References'!$B$5, _xlfn.IFNA(_xlfn.XLOOKUP(R$2-$C13, 'GEN-BESS'!$D$7:$AW$7, 'GEN-BESS'!$D$24:$AW$24), 0), IF($B13='Project List References'!$B$6, _xlfn.IFNA(_xlfn.XLOOKUP(R$2-$C13, 'GEN-CARBON'!$D$7:$AW$7, 'GEN-CARBON'!$D$24:$AW$24), 0), IF($B13='Project List References'!$B$7, _xlfn.IFNA(_xlfn.XLOOKUP(R$2-$C13, 'SENS Coal'!$D$7:$AW$7, 'SENS Coal'!$D$24:$AW$24), 0), IF($B13='Project List References'!$B$8, _xlfn.IFNA(_xlfn.XLOOKUP(R$2-$C13,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S13" s="661" t="e">
        <f>IF($B13='Project List References'!$B$3, _xlfn.IFNA(_xlfn.XLOOKUP(S$2-$C13, 'GEN-CCGT'!$D$7:$AW$7, 'GEN-CCGT'!$D$24:$AW$24), 0), IF($B13='Project List References'!$B$4, _xlfn.IFNA(_xlfn.XLOOKUP(S$2-$C13, 'GEN-SOLAR'!$D$7:$AW$7, 'GEN-SOLAR'!$D$24:$AW$24), 0), IF($B13='Project List References'!$B$5, _xlfn.IFNA(_xlfn.XLOOKUP(S$2-$C13, 'GEN-BESS'!$D$7:$AW$7, 'GEN-BESS'!$D$24:$AW$24), 0), IF($B13='Project List References'!$B$6, _xlfn.IFNA(_xlfn.XLOOKUP(S$2-$C13, 'GEN-CARBON'!$D$7:$AW$7, 'GEN-CARBON'!$D$24:$AW$24), 0), IF($B13='Project List References'!$B$7, _xlfn.IFNA(_xlfn.XLOOKUP(S$2-$C13, 'SENS Coal'!$D$7:$AW$7, 'SENS Coal'!$D$24:$AW$24), 0), IF($B13='Project List References'!$B$8, _xlfn.IFNA(_xlfn.XLOOKUP(S$2-$C13,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T13" s="661" t="e">
        <f>IF($B13='Project List References'!$B$3, _xlfn.IFNA(_xlfn.XLOOKUP(T$2-$C13, 'GEN-CCGT'!$D$7:$AW$7, 'GEN-CCGT'!$D$24:$AW$24), 0), IF($B13='Project List References'!$B$4, _xlfn.IFNA(_xlfn.XLOOKUP(T$2-$C13, 'GEN-SOLAR'!$D$7:$AW$7, 'GEN-SOLAR'!$D$24:$AW$24), 0), IF($B13='Project List References'!$B$5, _xlfn.IFNA(_xlfn.XLOOKUP(T$2-$C13, 'GEN-BESS'!$D$7:$AW$7, 'GEN-BESS'!$D$24:$AW$24), 0), IF($B13='Project List References'!$B$6, _xlfn.IFNA(_xlfn.XLOOKUP(T$2-$C13, 'GEN-CARBON'!$D$7:$AW$7, 'GEN-CARBON'!$D$24:$AW$24), 0), IF($B13='Project List References'!$B$7, _xlfn.IFNA(_xlfn.XLOOKUP(T$2-$C13, 'SENS Coal'!$D$7:$AW$7, 'SENS Coal'!$D$24:$AW$24), 0), IF($B13='Project List References'!$B$8, _xlfn.IFNA(_xlfn.XLOOKUP(T$2-$C13, 'SENS Tires'!$D$7:$AW$7, 'SENS Tires'!$D$24:$AW$24),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</row>
    <row r="14" spans="1:111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_xlfn.XLOOKUP(A14, 'Project Master Sheet'!A:A, 'Project Master Sheet'!I:I)</f>
        <v>#N/A</v>
      </c>
      <c r="E14" s="661" t="e">
        <f>IF($B14='Project List References'!$B$3, _xlfn.IFNA(_xlfn.XLOOKUP(E$2-$C14, 'GEN-CCGT'!$D$7:$AW$7, 'GEN-CCGT'!$D$24:$AW$24), 0), IF($B14='Project List References'!$B$4, _xlfn.IFNA(_xlfn.XLOOKUP(E$2-$C14, 'GEN-SOLAR'!$D$7:$AW$7, 'GEN-SOLAR'!$D$24:$AW$24), 0), IF($B14='Project List References'!$B$5, _xlfn.IFNA(_xlfn.XLOOKUP(E$2-$C14, 'GEN-BESS'!$D$7:$AW$7, 'GEN-BESS'!$D$24:$AW$24), 0), IF($B14='Project List References'!$B$6, _xlfn.IFNA(_xlfn.XLOOKUP(E$2-$C14, 'GEN-CARBON'!$D$7:$AW$7, 'GEN-CARBON'!$D$24:$AW$24), 0), IF($B14='Project List References'!$B$7, _xlfn.IFNA(_xlfn.XLOOKUP(E$2-$C14, 'SENS Coal'!$D$7:$AW$7, 'SENS Coal'!$D$24:$AW$24), 0), IF($B14='Project List References'!$B$8, _xlfn.IFNA(_xlfn.XLOOKUP(E$2-$C14,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F14" s="661" t="e">
        <f>IF($B14='Project List References'!$B$3, _xlfn.IFNA(_xlfn.XLOOKUP(F$2-$C14, 'GEN-CCGT'!$D$7:$AW$7, 'GEN-CCGT'!$D$24:$AW$24), 0), IF($B14='Project List References'!$B$4, _xlfn.IFNA(_xlfn.XLOOKUP(F$2-$C14, 'GEN-SOLAR'!$D$7:$AW$7, 'GEN-SOLAR'!$D$24:$AW$24), 0), IF($B14='Project List References'!$B$5, _xlfn.IFNA(_xlfn.XLOOKUP(F$2-$C14, 'GEN-BESS'!$D$7:$AW$7, 'GEN-BESS'!$D$24:$AW$24), 0), IF($B14='Project List References'!$B$6, _xlfn.IFNA(_xlfn.XLOOKUP(F$2-$C14, 'GEN-CARBON'!$D$7:$AW$7, 'GEN-CARBON'!$D$24:$AW$24), 0), IF($B14='Project List References'!$B$7, _xlfn.IFNA(_xlfn.XLOOKUP(F$2-$C14, 'SENS Coal'!$D$7:$AW$7, 'SENS Coal'!$D$24:$AW$24), 0), IF($B14='Project List References'!$B$8, _xlfn.IFNA(_xlfn.XLOOKUP(F$2-$C14,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G14" s="661" t="e">
        <f>IF($B14='Project List References'!$B$3, _xlfn.IFNA(_xlfn.XLOOKUP(G$2-$C14, 'GEN-CCGT'!$D$7:$AW$7, 'GEN-CCGT'!$D$24:$AW$24), 0), IF($B14='Project List References'!$B$4, _xlfn.IFNA(_xlfn.XLOOKUP(G$2-$C14, 'GEN-SOLAR'!$D$7:$AW$7, 'GEN-SOLAR'!$D$24:$AW$24), 0), IF($B14='Project List References'!$B$5, _xlfn.IFNA(_xlfn.XLOOKUP(G$2-$C14, 'GEN-BESS'!$D$7:$AW$7, 'GEN-BESS'!$D$24:$AW$24), 0), IF($B14='Project List References'!$B$6, _xlfn.IFNA(_xlfn.XLOOKUP(G$2-$C14, 'GEN-CARBON'!$D$7:$AW$7, 'GEN-CARBON'!$D$24:$AW$24), 0), IF($B14='Project List References'!$B$7, _xlfn.IFNA(_xlfn.XLOOKUP(G$2-$C14, 'SENS Coal'!$D$7:$AW$7, 'SENS Coal'!$D$24:$AW$24), 0), IF($B14='Project List References'!$B$8, _xlfn.IFNA(_xlfn.XLOOKUP(G$2-$C14,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H14" s="661" t="e">
        <f>IF($B14='Project List References'!$B$3, _xlfn.IFNA(_xlfn.XLOOKUP(H$2-$C14, 'GEN-CCGT'!$D$7:$AW$7, 'GEN-CCGT'!$D$24:$AW$24), 0), IF($B14='Project List References'!$B$4, _xlfn.IFNA(_xlfn.XLOOKUP(H$2-$C14, 'GEN-SOLAR'!$D$7:$AW$7, 'GEN-SOLAR'!$D$24:$AW$24), 0), IF($B14='Project List References'!$B$5, _xlfn.IFNA(_xlfn.XLOOKUP(H$2-$C14, 'GEN-BESS'!$D$7:$AW$7, 'GEN-BESS'!$D$24:$AW$24), 0), IF($B14='Project List References'!$B$6, _xlfn.IFNA(_xlfn.XLOOKUP(H$2-$C14, 'GEN-CARBON'!$D$7:$AW$7, 'GEN-CARBON'!$D$24:$AW$24), 0), IF($B14='Project List References'!$B$7, _xlfn.IFNA(_xlfn.XLOOKUP(H$2-$C14, 'SENS Coal'!$D$7:$AW$7, 'SENS Coal'!$D$24:$AW$24), 0), IF($B14='Project List References'!$B$8, _xlfn.IFNA(_xlfn.XLOOKUP(H$2-$C14,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I14" s="661" t="e">
        <f>IF($B14='Project List References'!$B$3, _xlfn.IFNA(_xlfn.XLOOKUP(I$2-$C14, 'GEN-CCGT'!$D$7:$AW$7, 'GEN-CCGT'!$D$24:$AW$24), 0), IF($B14='Project List References'!$B$4, _xlfn.IFNA(_xlfn.XLOOKUP(I$2-$C14, 'GEN-SOLAR'!$D$7:$AW$7, 'GEN-SOLAR'!$D$24:$AW$24), 0), IF($B14='Project List References'!$B$5, _xlfn.IFNA(_xlfn.XLOOKUP(I$2-$C14, 'GEN-BESS'!$D$7:$AW$7, 'GEN-BESS'!$D$24:$AW$24), 0), IF($B14='Project List References'!$B$6, _xlfn.IFNA(_xlfn.XLOOKUP(I$2-$C14, 'GEN-CARBON'!$D$7:$AW$7, 'GEN-CARBON'!$D$24:$AW$24), 0), IF($B14='Project List References'!$B$7, _xlfn.IFNA(_xlfn.XLOOKUP(I$2-$C14, 'SENS Coal'!$D$7:$AW$7, 'SENS Coal'!$D$24:$AW$24), 0), IF($B14='Project List References'!$B$8, _xlfn.IFNA(_xlfn.XLOOKUP(I$2-$C14,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J14" s="661" t="e">
        <f>IF($B14='Project List References'!$B$3, _xlfn.IFNA(_xlfn.XLOOKUP(J$2-$C14, 'GEN-CCGT'!$D$7:$AW$7, 'GEN-CCGT'!$D$24:$AW$24), 0), IF($B14='Project List References'!$B$4, _xlfn.IFNA(_xlfn.XLOOKUP(J$2-$C14, 'GEN-SOLAR'!$D$7:$AW$7, 'GEN-SOLAR'!$D$24:$AW$24), 0), IF($B14='Project List References'!$B$5, _xlfn.IFNA(_xlfn.XLOOKUP(J$2-$C14, 'GEN-BESS'!$D$7:$AW$7, 'GEN-BESS'!$D$24:$AW$24), 0), IF($B14='Project List References'!$B$6, _xlfn.IFNA(_xlfn.XLOOKUP(J$2-$C14, 'GEN-CARBON'!$D$7:$AW$7, 'GEN-CARBON'!$D$24:$AW$24), 0), IF($B14='Project List References'!$B$7, _xlfn.IFNA(_xlfn.XLOOKUP(J$2-$C14, 'SENS Coal'!$D$7:$AW$7, 'SENS Coal'!$D$24:$AW$24), 0), IF($B14='Project List References'!$B$8, _xlfn.IFNA(_xlfn.XLOOKUP(J$2-$C14,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K14" s="661" t="e">
        <f>IF($B14='Project List References'!$B$3, _xlfn.IFNA(_xlfn.XLOOKUP(K$2-$C14, 'GEN-CCGT'!$D$7:$AW$7, 'GEN-CCGT'!$D$24:$AW$24), 0), IF($B14='Project List References'!$B$4, _xlfn.IFNA(_xlfn.XLOOKUP(K$2-$C14, 'GEN-SOLAR'!$D$7:$AW$7, 'GEN-SOLAR'!$D$24:$AW$24), 0), IF($B14='Project List References'!$B$5, _xlfn.IFNA(_xlfn.XLOOKUP(K$2-$C14, 'GEN-BESS'!$D$7:$AW$7, 'GEN-BESS'!$D$24:$AW$24), 0), IF($B14='Project List References'!$B$6, _xlfn.IFNA(_xlfn.XLOOKUP(K$2-$C14, 'GEN-CARBON'!$D$7:$AW$7, 'GEN-CARBON'!$D$24:$AW$24), 0), IF($B14='Project List References'!$B$7, _xlfn.IFNA(_xlfn.XLOOKUP(K$2-$C14, 'SENS Coal'!$D$7:$AW$7, 'SENS Coal'!$D$24:$AW$24), 0), IF($B14='Project List References'!$B$8, _xlfn.IFNA(_xlfn.XLOOKUP(K$2-$C14,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L14" s="661" t="e">
        <f>IF($B14='Project List References'!$B$3, _xlfn.IFNA(_xlfn.XLOOKUP(L$2-$C14, 'GEN-CCGT'!$D$7:$AW$7, 'GEN-CCGT'!$D$24:$AW$24), 0), IF($B14='Project List References'!$B$4, _xlfn.IFNA(_xlfn.XLOOKUP(L$2-$C14, 'GEN-SOLAR'!$D$7:$AW$7, 'GEN-SOLAR'!$D$24:$AW$24), 0), IF($B14='Project List References'!$B$5, _xlfn.IFNA(_xlfn.XLOOKUP(L$2-$C14, 'GEN-BESS'!$D$7:$AW$7, 'GEN-BESS'!$D$24:$AW$24), 0), IF($B14='Project List References'!$B$6, _xlfn.IFNA(_xlfn.XLOOKUP(L$2-$C14, 'GEN-CARBON'!$D$7:$AW$7, 'GEN-CARBON'!$D$24:$AW$24), 0), IF($B14='Project List References'!$B$7, _xlfn.IFNA(_xlfn.XLOOKUP(L$2-$C14, 'SENS Coal'!$D$7:$AW$7, 'SENS Coal'!$D$24:$AW$24), 0), IF($B14='Project List References'!$B$8, _xlfn.IFNA(_xlfn.XLOOKUP(L$2-$C14,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M14" s="661" t="e">
        <f>IF($B14='Project List References'!$B$3, _xlfn.IFNA(_xlfn.XLOOKUP(M$2-$C14, 'GEN-CCGT'!$D$7:$AW$7, 'GEN-CCGT'!$D$24:$AW$24), 0), IF($B14='Project List References'!$B$4, _xlfn.IFNA(_xlfn.XLOOKUP(M$2-$C14, 'GEN-SOLAR'!$D$7:$AW$7, 'GEN-SOLAR'!$D$24:$AW$24), 0), IF($B14='Project List References'!$B$5, _xlfn.IFNA(_xlfn.XLOOKUP(M$2-$C14, 'GEN-BESS'!$D$7:$AW$7, 'GEN-BESS'!$D$24:$AW$24), 0), IF($B14='Project List References'!$B$6, _xlfn.IFNA(_xlfn.XLOOKUP(M$2-$C14, 'GEN-CARBON'!$D$7:$AW$7, 'GEN-CARBON'!$D$24:$AW$24), 0), IF($B14='Project List References'!$B$7, _xlfn.IFNA(_xlfn.XLOOKUP(M$2-$C14, 'SENS Coal'!$D$7:$AW$7, 'SENS Coal'!$D$24:$AW$24), 0), IF($B14='Project List References'!$B$8, _xlfn.IFNA(_xlfn.XLOOKUP(M$2-$C14,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N14" s="661" t="e">
        <f>IF($B14='Project List References'!$B$3, _xlfn.IFNA(_xlfn.XLOOKUP(N$2-$C14, 'GEN-CCGT'!$D$7:$AW$7, 'GEN-CCGT'!$D$24:$AW$24), 0), IF($B14='Project List References'!$B$4, _xlfn.IFNA(_xlfn.XLOOKUP(N$2-$C14, 'GEN-SOLAR'!$D$7:$AW$7, 'GEN-SOLAR'!$D$24:$AW$24), 0), IF($B14='Project List References'!$B$5, _xlfn.IFNA(_xlfn.XLOOKUP(N$2-$C14, 'GEN-BESS'!$D$7:$AW$7, 'GEN-BESS'!$D$24:$AW$24), 0), IF($B14='Project List References'!$B$6, _xlfn.IFNA(_xlfn.XLOOKUP(N$2-$C14, 'GEN-CARBON'!$D$7:$AW$7, 'GEN-CARBON'!$D$24:$AW$24), 0), IF($B14='Project List References'!$B$7, _xlfn.IFNA(_xlfn.XLOOKUP(N$2-$C14, 'SENS Coal'!$D$7:$AW$7, 'SENS Coal'!$D$24:$AW$24), 0), IF($B14='Project List References'!$B$8, _xlfn.IFNA(_xlfn.XLOOKUP(N$2-$C14,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O14" s="661" t="e">
        <f>IF($B14='Project List References'!$B$3, _xlfn.IFNA(_xlfn.XLOOKUP(O$2-$C14, 'GEN-CCGT'!$D$7:$AW$7, 'GEN-CCGT'!$D$24:$AW$24), 0), IF($B14='Project List References'!$B$4, _xlfn.IFNA(_xlfn.XLOOKUP(O$2-$C14, 'GEN-SOLAR'!$D$7:$AW$7, 'GEN-SOLAR'!$D$24:$AW$24), 0), IF($B14='Project List References'!$B$5, _xlfn.IFNA(_xlfn.XLOOKUP(O$2-$C14, 'GEN-BESS'!$D$7:$AW$7, 'GEN-BESS'!$D$24:$AW$24), 0), IF($B14='Project List References'!$B$6, _xlfn.IFNA(_xlfn.XLOOKUP(O$2-$C14, 'GEN-CARBON'!$D$7:$AW$7, 'GEN-CARBON'!$D$24:$AW$24), 0), IF($B14='Project List References'!$B$7, _xlfn.IFNA(_xlfn.XLOOKUP(O$2-$C14, 'SENS Coal'!$D$7:$AW$7, 'SENS Coal'!$D$24:$AW$24), 0), IF($B14='Project List References'!$B$8, _xlfn.IFNA(_xlfn.XLOOKUP(O$2-$C14,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P14" s="661" t="e">
        <f>IF($B14='Project List References'!$B$3, _xlfn.IFNA(_xlfn.XLOOKUP(P$2-$C14, 'GEN-CCGT'!$D$7:$AW$7, 'GEN-CCGT'!$D$24:$AW$24), 0), IF($B14='Project List References'!$B$4, _xlfn.IFNA(_xlfn.XLOOKUP(P$2-$C14, 'GEN-SOLAR'!$D$7:$AW$7, 'GEN-SOLAR'!$D$24:$AW$24), 0), IF($B14='Project List References'!$B$5, _xlfn.IFNA(_xlfn.XLOOKUP(P$2-$C14, 'GEN-BESS'!$D$7:$AW$7, 'GEN-BESS'!$D$24:$AW$24), 0), IF($B14='Project List References'!$B$6, _xlfn.IFNA(_xlfn.XLOOKUP(P$2-$C14, 'GEN-CARBON'!$D$7:$AW$7, 'GEN-CARBON'!$D$24:$AW$24), 0), IF($B14='Project List References'!$B$7, _xlfn.IFNA(_xlfn.XLOOKUP(P$2-$C14, 'SENS Coal'!$D$7:$AW$7, 'SENS Coal'!$D$24:$AW$24), 0), IF($B14='Project List References'!$B$8, _xlfn.IFNA(_xlfn.XLOOKUP(P$2-$C14,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Q14" s="661" t="e">
        <f>IF($B14='Project List References'!$B$3, _xlfn.IFNA(_xlfn.XLOOKUP(Q$2-$C14, 'GEN-CCGT'!$D$7:$AW$7, 'GEN-CCGT'!$D$24:$AW$24), 0), IF($B14='Project List References'!$B$4, _xlfn.IFNA(_xlfn.XLOOKUP(Q$2-$C14, 'GEN-SOLAR'!$D$7:$AW$7, 'GEN-SOLAR'!$D$24:$AW$24), 0), IF($B14='Project List References'!$B$5, _xlfn.IFNA(_xlfn.XLOOKUP(Q$2-$C14, 'GEN-BESS'!$D$7:$AW$7, 'GEN-BESS'!$D$24:$AW$24), 0), IF($B14='Project List References'!$B$6, _xlfn.IFNA(_xlfn.XLOOKUP(Q$2-$C14, 'GEN-CARBON'!$D$7:$AW$7, 'GEN-CARBON'!$D$24:$AW$24), 0), IF($B14='Project List References'!$B$7, _xlfn.IFNA(_xlfn.XLOOKUP(Q$2-$C14, 'SENS Coal'!$D$7:$AW$7, 'SENS Coal'!$D$24:$AW$24), 0), IF($B14='Project List References'!$B$8, _xlfn.IFNA(_xlfn.XLOOKUP(Q$2-$C14,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R14" s="661" t="e">
        <f>IF($B14='Project List References'!$B$3, _xlfn.IFNA(_xlfn.XLOOKUP(R$2-$C14, 'GEN-CCGT'!$D$7:$AW$7, 'GEN-CCGT'!$D$24:$AW$24), 0), IF($B14='Project List References'!$B$4, _xlfn.IFNA(_xlfn.XLOOKUP(R$2-$C14, 'GEN-SOLAR'!$D$7:$AW$7, 'GEN-SOLAR'!$D$24:$AW$24), 0), IF($B14='Project List References'!$B$5, _xlfn.IFNA(_xlfn.XLOOKUP(R$2-$C14, 'GEN-BESS'!$D$7:$AW$7, 'GEN-BESS'!$D$24:$AW$24), 0), IF($B14='Project List References'!$B$6, _xlfn.IFNA(_xlfn.XLOOKUP(R$2-$C14, 'GEN-CARBON'!$D$7:$AW$7, 'GEN-CARBON'!$D$24:$AW$24), 0), IF($B14='Project List References'!$B$7, _xlfn.IFNA(_xlfn.XLOOKUP(R$2-$C14, 'SENS Coal'!$D$7:$AW$7, 'SENS Coal'!$D$24:$AW$24), 0), IF($B14='Project List References'!$B$8, _xlfn.IFNA(_xlfn.XLOOKUP(R$2-$C14,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S14" s="661" t="e">
        <f>IF($B14='Project List References'!$B$3, _xlfn.IFNA(_xlfn.XLOOKUP(S$2-$C14, 'GEN-CCGT'!$D$7:$AW$7, 'GEN-CCGT'!$D$24:$AW$24), 0), IF($B14='Project List References'!$B$4, _xlfn.IFNA(_xlfn.XLOOKUP(S$2-$C14, 'GEN-SOLAR'!$D$7:$AW$7, 'GEN-SOLAR'!$D$24:$AW$24), 0), IF($B14='Project List References'!$B$5, _xlfn.IFNA(_xlfn.XLOOKUP(S$2-$C14, 'GEN-BESS'!$D$7:$AW$7, 'GEN-BESS'!$D$24:$AW$24), 0), IF($B14='Project List References'!$B$6, _xlfn.IFNA(_xlfn.XLOOKUP(S$2-$C14, 'GEN-CARBON'!$D$7:$AW$7, 'GEN-CARBON'!$D$24:$AW$24), 0), IF($B14='Project List References'!$B$7, _xlfn.IFNA(_xlfn.XLOOKUP(S$2-$C14, 'SENS Coal'!$D$7:$AW$7, 'SENS Coal'!$D$24:$AW$24), 0), IF($B14='Project List References'!$B$8, _xlfn.IFNA(_xlfn.XLOOKUP(S$2-$C14,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T14" s="661" t="e">
        <f>IF($B14='Project List References'!$B$3, _xlfn.IFNA(_xlfn.XLOOKUP(T$2-$C14, 'GEN-CCGT'!$D$7:$AW$7, 'GEN-CCGT'!$D$24:$AW$24), 0), IF($B14='Project List References'!$B$4, _xlfn.IFNA(_xlfn.XLOOKUP(T$2-$C14, 'GEN-SOLAR'!$D$7:$AW$7, 'GEN-SOLAR'!$D$24:$AW$24), 0), IF($B14='Project List References'!$B$5, _xlfn.IFNA(_xlfn.XLOOKUP(T$2-$C14, 'GEN-BESS'!$D$7:$AW$7, 'GEN-BESS'!$D$24:$AW$24), 0), IF($B14='Project List References'!$B$6, _xlfn.IFNA(_xlfn.XLOOKUP(T$2-$C14, 'GEN-CARBON'!$D$7:$AW$7, 'GEN-CARBON'!$D$24:$AW$24), 0), IF($B14='Project List References'!$B$7, _xlfn.IFNA(_xlfn.XLOOKUP(T$2-$C14, 'SENS Coal'!$D$7:$AW$7, 'SENS Coal'!$D$24:$AW$24), 0), IF($B14='Project List References'!$B$8, _xlfn.IFNA(_xlfn.XLOOKUP(T$2-$C14, 'SENS Tires'!$D$7:$AW$7, 'SENS Tires'!$D$24:$AW$24),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</row>
    <row r="15" spans="1:111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_xlfn.XLOOKUP(A15, 'Project Master Sheet'!A:A, 'Project Master Sheet'!I:I)</f>
        <v>#N/A</v>
      </c>
      <c r="E15" s="661" t="e">
        <f>IF($B15='Project List References'!$B$3, _xlfn.IFNA(_xlfn.XLOOKUP(E$2-$C15, 'GEN-CCGT'!$D$7:$AW$7, 'GEN-CCGT'!$D$24:$AW$24), 0), IF($B15='Project List References'!$B$4, _xlfn.IFNA(_xlfn.XLOOKUP(E$2-$C15, 'GEN-SOLAR'!$D$7:$AW$7, 'GEN-SOLAR'!$D$24:$AW$24), 0), IF($B15='Project List References'!$B$5, _xlfn.IFNA(_xlfn.XLOOKUP(E$2-$C15, 'GEN-BESS'!$D$7:$AW$7, 'GEN-BESS'!$D$24:$AW$24), 0), IF($B15='Project List References'!$B$6, _xlfn.IFNA(_xlfn.XLOOKUP(E$2-$C15, 'GEN-CARBON'!$D$7:$AW$7, 'GEN-CARBON'!$D$24:$AW$24), 0), IF($B15='Project List References'!$B$7, _xlfn.IFNA(_xlfn.XLOOKUP(E$2-$C15, 'SENS Coal'!$D$7:$AW$7, 'SENS Coal'!$D$24:$AW$24), 0), IF($B15='Project List References'!$B$8, _xlfn.IFNA(_xlfn.XLOOKUP(E$2-$C15,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F15" s="661" t="e">
        <f>IF($B15='Project List References'!$B$3, _xlfn.IFNA(_xlfn.XLOOKUP(F$2-$C15, 'GEN-CCGT'!$D$7:$AW$7, 'GEN-CCGT'!$D$24:$AW$24), 0), IF($B15='Project List References'!$B$4, _xlfn.IFNA(_xlfn.XLOOKUP(F$2-$C15, 'GEN-SOLAR'!$D$7:$AW$7, 'GEN-SOLAR'!$D$24:$AW$24), 0), IF($B15='Project List References'!$B$5, _xlfn.IFNA(_xlfn.XLOOKUP(F$2-$C15, 'GEN-BESS'!$D$7:$AW$7, 'GEN-BESS'!$D$24:$AW$24), 0), IF($B15='Project List References'!$B$6, _xlfn.IFNA(_xlfn.XLOOKUP(F$2-$C15, 'GEN-CARBON'!$D$7:$AW$7, 'GEN-CARBON'!$D$24:$AW$24), 0), IF($B15='Project List References'!$B$7, _xlfn.IFNA(_xlfn.XLOOKUP(F$2-$C15, 'SENS Coal'!$D$7:$AW$7, 'SENS Coal'!$D$24:$AW$24), 0), IF($B15='Project List References'!$B$8, _xlfn.IFNA(_xlfn.XLOOKUP(F$2-$C15,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G15" s="661" t="e">
        <f>IF($B15='Project List References'!$B$3, _xlfn.IFNA(_xlfn.XLOOKUP(G$2-$C15, 'GEN-CCGT'!$D$7:$AW$7, 'GEN-CCGT'!$D$24:$AW$24), 0), IF($B15='Project List References'!$B$4, _xlfn.IFNA(_xlfn.XLOOKUP(G$2-$C15, 'GEN-SOLAR'!$D$7:$AW$7, 'GEN-SOLAR'!$D$24:$AW$24), 0), IF($B15='Project List References'!$B$5, _xlfn.IFNA(_xlfn.XLOOKUP(G$2-$C15, 'GEN-BESS'!$D$7:$AW$7, 'GEN-BESS'!$D$24:$AW$24), 0), IF($B15='Project List References'!$B$6, _xlfn.IFNA(_xlfn.XLOOKUP(G$2-$C15, 'GEN-CARBON'!$D$7:$AW$7, 'GEN-CARBON'!$D$24:$AW$24), 0), IF($B15='Project List References'!$B$7, _xlfn.IFNA(_xlfn.XLOOKUP(G$2-$C15, 'SENS Coal'!$D$7:$AW$7, 'SENS Coal'!$D$24:$AW$24), 0), IF($B15='Project List References'!$B$8, _xlfn.IFNA(_xlfn.XLOOKUP(G$2-$C15,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H15" s="661" t="e">
        <f>IF($B15='Project List References'!$B$3, _xlfn.IFNA(_xlfn.XLOOKUP(H$2-$C15, 'GEN-CCGT'!$D$7:$AW$7, 'GEN-CCGT'!$D$24:$AW$24), 0), IF($B15='Project List References'!$B$4, _xlfn.IFNA(_xlfn.XLOOKUP(H$2-$C15, 'GEN-SOLAR'!$D$7:$AW$7, 'GEN-SOLAR'!$D$24:$AW$24), 0), IF($B15='Project List References'!$B$5, _xlfn.IFNA(_xlfn.XLOOKUP(H$2-$C15, 'GEN-BESS'!$D$7:$AW$7, 'GEN-BESS'!$D$24:$AW$24), 0), IF($B15='Project List References'!$B$6, _xlfn.IFNA(_xlfn.XLOOKUP(H$2-$C15, 'GEN-CARBON'!$D$7:$AW$7, 'GEN-CARBON'!$D$24:$AW$24), 0), IF($B15='Project List References'!$B$7, _xlfn.IFNA(_xlfn.XLOOKUP(H$2-$C15, 'SENS Coal'!$D$7:$AW$7, 'SENS Coal'!$D$24:$AW$24), 0), IF($B15='Project List References'!$B$8, _xlfn.IFNA(_xlfn.XLOOKUP(H$2-$C15,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I15" s="661" t="e">
        <f>IF($B15='Project List References'!$B$3, _xlfn.IFNA(_xlfn.XLOOKUP(I$2-$C15, 'GEN-CCGT'!$D$7:$AW$7, 'GEN-CCGT'!$D$24:$AW$24), 0), IF($B15='Project List References'!$B$4, _xlfn.IFNA(_xlfn.XLOOKUP(I$2-$C15, 'GEN-SOLAR'!$D$7:$AW$7, 'GEN-SOLAR'!$D$24:$AW$24), 0), IF($B15='Project List References'!$B$5, _xlfn.IFNA(_xlfn.XLOOKUP(I$2-$C15, 'GEN-BESS'!$D$7:$AW$7, 'GEN-BESS'!$D$24:$AW$24), 0), IF($B15='Project List References'!$B$6, _xlfn.IFNA(_xlfn.XLOOKUP(I$2-$C15, 'GEN-CARBON'!$D$7:$AW$7, 'GEN-CARBON'!$D$24:$AW$24), 0), IF($B15='Project List References'!$B$7, _xlfn.IFNA(_xlfn.XLOOKUP(I$2-$C15, 'SENS Coal'!$D$7:$AW$7, 'SENS Coal'!$D$24:$AW$24), 0), IF($B15='Project List References'!$B$8, _xlfn.IFNA(_xlfn.XLOOKUP(I$2-$C15,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J15" s="661" t="e">
        <f>IF($B15='Project List References'!$B$3, _xlfn.IFNA(_xlfn.XLOOKUP(J$2-$C15, 'GEN-CCGT'!$D$7:$AW$7, 'GEN-CCGT'!$D$24:$AW$24), 0), IF($B15='Project List References'!$B$4, _xlfn.IFNA(_xlfn.XLOOKUP(J$2-$C15, 'GEN-SOLAR'!$D$7:$AW$7, 'GEN-SOLAR'!$D$24:$AW$24), 0), IF($B15='Project List References'!$B$5, _xlfn.IFNA(_xlfn.XLOOKUP(J$2-$C15, 'GEN-BESS'!$D$7:$AW$7, 'GEN-BESS'!$D$24:$AW$24), 0), IF($B15='Project List References'!$B$6, _xlfn.IFNA(_xlfn.XLOOKUP(J$2-$C15, 'GEN-CARBON'!$D$7:$AW$7, 'GEN-CARBON'!$D$24:$AW$24), 0), IF($B15='Project List References'!$B$7, _xlfn.IFNA(_xlfn.XLOOKUP(J$2-$C15, 'SENS Coal'!$D$7:$AW$7, 'SENS Coal'!$D$24:$AW$24), 0), IF($B15='Project List References'!$B$8, _xlfn.IFNA(_xlfn.XLOOKUP(J$2-$C15,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K15" s="661" t="e">
        <f>IF($B15='Project List References'!$B$3, _xlfn.IFNA(_xlfn.XLOOKUP(K$2-$C15, 'GEN-CCGT'!$D$7:$AW$7, 'GEN-CCGT'!$D$24:$AW$24), 0), IF($B15='Project List References'!$B$4, _xlfn.IFNA(_xlfn.XLOOKUP(K$2-$C15, 'GEN-SOLAR'!$D$7:$AW$7, 'GEN-SOLAR'!$D$24:$AW$24), 0), IF($B15='Project List References'!$B$5, _xlfn.IFNA(_xlfn.XLOOKUP(K$2-$C15, 'GEN-BESS'!$D$7:$AW$7, 'GEN-BESS'!$D$24:$AW$24), 0), IF($B15='Project List References'!$B$6, _xlfn.IFNA(_xlfn.XLOOKUP(K$2-$C15, 'GEN-CARBON'!$D$7:$AW$7, 'GEN-CARBON'!$D$24:$AW$24), 0), IF($B15='Project List References'!$B$7, _xlfn.IFNA(_xlfn.XLOOKUP(K$2-$C15, 'SENS Coal'!$D$7:$AW$7, 'SENS Coal'!$D$24:$AW$24), 0), IF($B15='Project List References'!$B$8, _xlfn.IFNA(_xlfn.XLOOKUP(K$2-$C15,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L15" s="661" t="e">
        <f>IF($B15='Project List References'!$B$3, _xlfn.IFNA(_xlfn.XLOOKUP(L$2-$C15, 'GEN-CCGT'!$D$7:$AW$7, 'GEN-CCGT'!$D$24:$AW$24), 0), IF($B15='Project List References'!$B$4, _xlfn.IFNA(_xlfn.XLOOKUP(L$2-$C15, 'GEN-SOLAR'!$D$7:$AW$7, 'GEN-SOLAR'!$D$24:$AW$24), 0), IF($B15='Project List References'!$B$5, _xlfn.IFNA(_xlfn.XLOOKUP(L$2-$C15, 'GEN-BESS'!$D$7:$AW$7, 'GEN-BESS'!$D$24:$AW$24), 0), IF($B15='Project List References'!$B$6, _xlfn.IFNA(_xlfn.XLOOKUP(L$2-$C15, 'GEN-CARBON'!$D$7:$AW$7, 'GEN-CARBON'!$D$24:$AW$24), 0), IF($B15='Project List References'!$B$7, _xlfn.IFNA(_xlfn.XLOOKUP(L$2-$C15, 'SENS Coal'!$D$7:$AW$7, 'SENS Coal'!$D$24:$AW$24), 0), IF($B15='Project List References'!$B$8, _xlfn.IFNA(_xlfn.XLOOKUP(L$2-$C15,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M15" s="661" t="e">
        <f>IF($B15='Project List References'!$B$3, _xlfn.IFNA(_xlfn.XLOOKUP(M$2-$C15, 'GEN-CCGT'!$D$7:$AW$7, 'GEN-CCGT'!$D$24:$AW$24), 0), IF($B15='Project List References'!$B$4, _xlfn.IFNA(_xlfn.XLOOKUP(M$2-$C15, 'GEN-SOLAR'!$D$7:$AW$7, 'GEN-SOLAR'!$D$24:$AW$24), 0), IF($B15='Project List References'!$B$5, _xlfn.IFNA(_xlfn.XLOOKUP(M$2-$C15, 'GEN-BESS'!$D$7:$AW$7, 'GEN-BESS'!$D$24:$AW$24), 0), IF($B15='Project List References'!$B$6, _xlfn.IFNA(_xlfn.XLOOKUP(M$2-$C15, 'GEN-CARBON'!$D$7:$AW$7, 'GEN-CARBON'!$D$24:$AW$24), 0), IF($B15='Project List References'!$B$7, _xlfn.IFNA(_xlfn.XLOOKUP(M$2-$C15, 'SENS Coal'!$D$7:$AW$7, 'SENS Coal'!$D$24:$AW$24), 0), IF($B15='Project List References'!$B$8, _xlfn.IFNA(_xlfn.XLOOKUP(M$2-$C15,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N15" s="661" t="e">
        <f>IF($B15='Project List References'!$B$3, _xlfn.IFNA(_xlfn.XLOOKUP(N$2-$C15, 'GEN-CCGT'!$D$7:$AW$7, 'GEN-CCGT'!$D$24:$AW$24), 0), IF($B15='Project List References'!$B$4, _xlfn.IFNA(_xlfn.XLOOKUP(N$2-$C15, 'GEN-SOLAR'!$D$7:$AW$7, 'GEN-SOLAR'!$D$24:$AW$24), 0), IF($B15='Project List References'!$B$5, _xlfn.IFNA(_xlfn.XLOOKUP(N$2-$C15, 'GEN-BESS'!$D$7:$AW$7, 'GEN-BESS'!$D$24:$AW$24), 0), IF($B15='Project List References'!$B$6, _xlfn.IFNA(_xlfn.XLOOKUP(N$2-$C15, 'GEN-CARBON'!$D$7:$AW$7, 'GEN-CARBON'!$D$24:$AW$24), 0), IF($B15='Project List References'!$B$7, _xlfn.IFNA(_xlfn.XLOOKUP(N$2-$C15, 'SENS Coal'!$D$7:$AW$7, 'SENS Coal'!$D$24:$AW$24), 0), IF($B15='Project List References'!$B$8, _xlfn.IFNA(_xlfn.XLOOKUP(N$2-$C15,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O15" s="661" t="e">
        <f>IF($B15='Project List References'!$B$3, _xlfn.IFNA(_xlfn.XLOOKUP(O$2-$C15, 'GEN-CCGT'!$D$7:$AW$7, 'GEN-CCGT'!$D$24:$AW$24), 0), IF($B15='Project List References'!$B$4, _xlfn.IFNA(_xlfn.XLOOKUP(O$2-$C15, 'GEN-SOLAR'!$D$7:$AW$7, 'GEN-SOLAR'!$D$24:$AW$24), 0), IF($B15='Project List References'!$B$5, _xlfn.IFNA(_xlfn.XLOOKUP(O$2-$C15, 'GEN-BESS'!$D$7:$AW$7, 'GEN-BESS'!$D$24:$AW$24), 0), IF($B15='Project List References'!$B$6, _xlfn.IFNA(_xlfn.XLOOKUP(O$2-$C15, 'GEN-CARBON'!$D$7:$AW$7, 'GEN-CARBON'!$D$24:$AW$24), 0), IF($B15='Project List References'!$B$7, _xlfn.IFNA(_xlfn.XLOOKUP(O$2-$C15, 'SENS Coal'!$D$7:$AW$7, 'SENS Coal'!$D$24:$AW$24), 0), IF($B15='Project List References'!$B$8, _xlfn.IFNA(_xlfn.XLOOKUP(O$2-$C15,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P15" s="661" t="e">
        <f>IF($B15='Project List References'!$B$3, _xlfn.IFNA(_xlfn.XLOOKUP(P$2-$C15, 'GEN-CCGT'!$D$7:$AW$7, 'GEN-CCGT'!$D$24:$AW$24), 0), IF($B15='Project List References'!$B$4, _xlfn.IFNA(_xlfn.XLOOKUP(P$2-$C15, 'GEN-SOLAR'!$D$7:$AW$7, 'GEN-SOLAR'!$D$24:$AW$24), 0), IF($B15='Project List References'!$B$5, _xlfn.IFNA(_xlfn.XLOOKUP(P$2-$C15, 'GEN-BESS'!$D$7:$AW$7, 'GEN-BESS'!$D$24:$AW$24), 0), IF($B15='Project List References'!$B$6, _xlfn.IFNA(_xlfn.XLOOKUP(P$2-$C15, 'GEN-CARBON'!$D$7:$AW$7, 'GEN-CARBON'!$D$24:$AW$24), 0), IF($B15='Project List References'!$B$7, _xlfn.IFNA(_xlfn.XLOOKUP(P$2-$C15, 'SENS Coal'!$D$7:$AW$7, 'SENS Coal'!$D$24:$AW$24), 0), IF($B15='Project List References'!$B$8, _xlfn.IFNA(_xlfn.XLOOKUP(P$2-$C15,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Q15" s="661" t="e">
        <f>IF($B15='Project List References'!$B$3, _xlfn.IFNA(_xlfn.XLOOKUP(Q$2-$C15, 'GEN-CCGT'!$D$7:$AW$7, 'GEN-CCGT'!$D$24:$AW$24), 0), IF($B15='Project List References'!$B$4, _xlfn.IFNA(_xlfn.XLOOKUP(Q$2-$C15, 'GEN-SOLAR'!$D$7:$AW$7, 'GEN-SOLAR'!$D$24:$AW$24), 0), IF($B15='Project List References'!$B$5, _xlfn.IFNA(_xlfn.XLOOKUP(Q$2-$C15, 'GEN-BESS'!$D$7:$AW$7, 'GEN-BESS'!$D$24:$AW$24), 0), IF($B15='Project List References'!$B$6, _xlfn.IFNA(_xlfn.XLOOKUP(Q$2-$C15, 'GEN-CARBON'!$D$7:$AW$7, 'GEN-CARBON'!$D$24:$AW$24), 0), IF($B15='Project List References'!$B$7, _xlfn.IFNA(_xlfn.XLOOKUP(Q$2-$C15, 'SENS Coal'!$D$7:$AW$7, 'SENS Coal'!$D$24:$AW$24), 0), IF($B15='Project List References'!$B$8, _xlfn.IFNA(_xlfn.XLOOKUP(Q$2-$C15,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R15" s="661" t="e">
        <f>IF($B15='Project List References'!$B$3, _xlfn.IFNA(_xlfn.XLOOKUP(R$2-$C15, 'GEN-CCGT'!$D$7:$AW$7, 'GEN-CCGT'!$D$24:$AW$24), 0), IF($B15='Project List References'!$B$4, _xlfn.IFNA(_xlfn.XLOOKUP(R$2-$C15, 'GEN-SOLAR'!$D$7:$AW$7, 'GEN-SOLAR'!$D$24:$AW$24), 0), IF($B15='Project List References'!$B$5, _xlfn.IFNA(_xlfn.XLOOKUP(R$2-$C15, 'GEN-BESS'!$D$7:$AW$7, 'GEN-BESS'!$D$24:$AW$24), 0), IF($B15='Project List References'!$B$6, _xlfn.IFNA(_xlfn.XLOOKUP(R$2-$C15, 'GEN-CARBON'!$D$7:$AW$7, 'GEN-CARBON'!$D$24:$AW$24), 0), IF($B15='Project List References'!$B$7, _xlfn.IFNA(_xlfn.XLOOKUP(R$2-$C15, 'SENS Coal'!$D$7:$AW$7, 'SENS Coal'!$D$24:$AW$24), 0), IF($B15='Project List References'!$B$8, _xlfn.IFNA(_xlfn.XLOOKUP(R$2-$C15,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S15" s="661" t="e">
        <f>IF($B15='Project List References'!$B$3, _xlfn.IFNA(_xlfn.XLOOKUP(S$2-$C15, 'GEN-CCGT'!$D$7:$AW$7, 'GEN-CCGT'!$D$24:$AW$24), 0), IF($B15='Project List References'!$B$4, _xlfn.IFNA(_xlfn.XLOOKUP(S$2-$C15, 'GEN-SOLAR'!$D$7:$AW$7, 'GEN-SOLAR'!$D$24:$AW$24), 0), IF($B15='Project List References'!$B$5, _xlfn.IFNA(_xlfn.XLOOKUP(S$2-$C15, 'GEN-BESS'!$D$7:$AW$7, 'GEN-BESS'!$D$24:$AW$24), 0), IF($B15='Project List References'!$B$6, _xlfn.IFNA(_xlfn.XLOOKUP(S$2-$C15, 'GEN-CARBON'!$D$7:$AW$7, 'GEN-CARBON'!$D$24:$AW$24), 0), IF($B15='Project List References'!$B$7, _xlfn.IFNA(_xlfn.XLOOKUP(S$2-$C15, 'SENS Coal'!$D$7:$AW$7, 'SENS Coal'!$D$24:$AW$24), 0), IF($B15='Project List References'!$B$8, _xlfn.IFNA(_xlfn.XLOOKUP(S$2-$C15,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T15" s="661" t="e">
        <f>IF($B15='Project List References'!$B$3, _xlfn.IFNA(_xlfn.XLOOKUP(T$2-$C15, 'GEN-CCGT'!$D$7:$AW$7, 'GEN-CCGT'!$D$24:$AW$24), 0), IF($B15='Project List References'!$B$4, _xlfn.IFNA(_xlfn.XLOOKUP(T$2-$C15, 'GEN-SOLAR'!$D$7:$AW$7, 'GEN-SOLAR'!$D$24:$AW$24), 0), IF($B15='Project List References'!$B$5, _xlfn.IFNA(_xlfn.XLOOKUP(T$2-$C15, 'GEN-BESS'!$D$7:$AW$7, 'GEN-BESS'!$D$24:$AW$24), 0), IF($B15='Project List References'!$B$6, _xlfn.IFNA(_xlfn.XLOOKUP(T$2-$C15, 'GEN-CARBON'!$D$7:$AW$7, 'GEN-CARBON'!$D$24:$AW$24), 0), IF($B15='Project List References'!$B$7, _xlfn.IFNA(_xlfn.XLOOKUP(T$2-$C15, 'SENS Coal'!$D$7:$AW$7, 'SENS Coal'!$D$24:$AW$24), 0), IF($B15='Project List References'!$B$8, _xlfn.IFNA(_xlfn.XLOOKUP(T$2-$C15, 'SENS Tires'!$D$7:$AW$7, 'SENS Tires'!$D$24:$AW$24),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</row>
    <row r="16" spans="1:111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_xlfn.XLOOKUP(A16, 'Project Master Sheet'!A:A, 'Project Master Sheet'!I:I)</f>
        <v>#N/A</v>
      </c>
      <c r="E16" s="661" t="e">
        <f>IF($B16='Project List References'!$B$3, _xlfn.IFNA(_xlfn.XLOOKUP(E$2-$C16, 'GEN-CCGT'!$D$7:$AW$7, 'GEN-CCGT'!$D$24:$AW$24), 0), IF($B16='Project List References'!$B$4, _xlfn.IFNA(_xlfn.XLOOKUP(E$2-$C16, 'GEN-SOLAR'!$D$7:$AW$7, 'GEN-SOLAR'!$D$24:$AW$24), 0), IF($B16='Project List References'!$B$5, _xlfn.IFNA(_xlfn.XLOOKUP(E$2-$C16, 'GEN-BESS'!$D$7:$AW$7, 'GEN-BESS'!$D$24:$AW$24), 0), IF($B16='Project List References'!$B$6, _xlfn.IFNA(_xlfn.XLOOKUP(E$2-$C16, 'GEN-CARBON'!$D$7:$AW$7, 'GEN-CARBON'!$D$24:$AW$24), 0), IF($B16='Project List References'!$B$7, _xlfn.IFNA(_xlfn.XLOOKUP(E$2-$C16, 'SENS Coal'!$D$7:$AW$7, 'SENS Coal'!$D$24:$AW$24), 0), IF($B16='Project List References'!$B$8, _xlfn.IFNA(_xlfn.XLOOKUP(E$2-$C16,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F16" s="661" t="e">
        <f>IF($B16='Project List References'!$B$3, _xlfn.IFNA(_xlfn.XLOOKUP(F$2-$C16, 'GEN-CCGT'!$D$7:$AW$7, 'GEN-CCGT'!$D$24:$AW$24), 0), IF($B16='Project List References'!$B$4, _xlfn.IFNA(_xlfn.XLOOKUP(F$2-$C16, 'GEN-SOLAR'!$D$7:$AW$7, 'GEN-SOLAR'!$D$24:$AW$24), 0), IF($B16='Project List References'!$B$5, _xlfn.IFNA(_xlfn.XLOOKUP(F$2-$C16, 'GEN-BESS'!$D$7:$AW$7, 'GEN-BESS'!$D$24:$AW$24), 0), IF($B16='Project List References'!$B$6, _xlfn.IFNA(_xlfn.XLOOKUP(F$2-$C16, 'GEN-CARBON'!$D$7:$AW$7, 'GEN-CARBON'!$D$24:$AW$24), 0), IF($B16='Project List References'!$B$7, _xlfn.IFNA(_xlfn.XLOOKUP(F$2-$C16, 'SENS Coal'!$D$7:$AW$7, 'SENS Coal'!$D$24:$AW$24), 0), IF($B16='Project List References'!$B$8, _xlfn.IFNA(_xlfn.XLOOKUP(F$2-$C16,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G16" s="661" t="e">
        <f>IF($B16='Project List References'!$B$3, _xlfn.IFNA(_xlfn.XLOOKUP(G$2-$C16, 'GEN-CCGT'!$D$7:$AW$7, 'GEN-CCGT'!$D$24:$AW$24), 0), IF($B16='Project List References'!$B$4, _xlfn.IFNA(_xlfn.XLOOKUP(G$2-$C16, 'GEN-SOLAR'!$D$7:$AW$7, 'GEN-SOLAR'!$D$24:$AW$24), 0), IF($B16='Project List References'!$B$5, _xlfn.IFNA(_xlfn.XLOOKUP(G$2-$C16, 'GEN-BESS'!$D$7:$AW$7, 'GEN-BESS'!$D$24:$AW$24), 0), IF($B16='Project List References'!$B$6, _xlfn.IFNA(_xlfn.XLOOKUP(G$2-$C16, 'GEN-CARBON'!$D$7:$AW$7, 'GEN-CARBON'!$D$24:$AW$24), 0), IF($B16='Project List References'!$B$7, _xlfn.IFNA(_xlfn.XLOOKUP(G$2-$C16, 'SENS Coal'!$D$7:$AW$7, 'SENS Coal'!$D$24:$AW$24), 0), IF($B16='Project List References'!$B$8, _xlfn.IFNA(_xlfn.XLOOKUP(G$2-$C16,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H16" s="661" t="e">
        <f>IF($B16='Project List References'!$B$3, _xlfn.IFNA(_xlfn.XLOOKUP(H$2-$C16, 'GEN-CCGT'!$D$7:$AW$7, 'GEN-CCGT'!$D$24:$AW$24), 0), IF($B16='Project List References'!$B$4, _xlfn.IFNA(_xlfn.XLOOKUP(H$2-$C16, 'GEN-SOLAR'!$D$7:$AW$7, 'GEN-SOLAR'!$D$24:$AW$24), 0), IF($B16='Project List References'!$B$5, _xlfn.IFNA(_xlfn.XLOOKUP(H$2-$C16, 'GEN-BESS'!$D$7:$AW$7, 'GEN-BESS'!$D$24:$AW$24), 0), IF($B16='Project List References'!$B$6, _xlfn.IFNA(_xlfn.XLOOKUP(H$2-$C16, 'GEN-CARBON'!$D$7:$AW$7, 'GEN-CARBON'!$D$24:$AW$24), 0), IF($B16='Project List References'!$B$7, _xlfn.IFNA(_xlfn.XLOOKUP(H$2-$C16, 'SENS Coal'!$D$7:$AW$7, 'SENS Coal'!$D$24:$AW$24), 0), IF($B16='Project List References'!$B$8, _xlfn.IFNA(_xlfn.XLOOKUP(H$2-$C16,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I16" s="661" t="e">
        <f>IF($B16='Project List References'!$B$3, _xlfn.IFNA(_xlfn.XLOOKUP(I$2-$C16, 'GEN-CCGT'!$D$7:$AW$7, 'GEN-CCGT'!$D$24:$AW$24), 0), IF($B16='Project List References'!$B$4, _xlfn.IFNA(_xlfn.XLOOKUP(I$2-$C16, 'GEN-SOLAR'!$D$7:$AW$7, 'GEN-SOLAR'!$D$24:$AW$24), 0), IF($B16='Project List References'!$B$5, _xlfn.IFNA(_xlfn.XLOOKUP(I$2-$C16, 'GEN-BESS'!$D$7:$AW$7, 'GEN-BESS'!$D$24:$AW$24), 0), IF($B16='Project List References'!$B$6, _xlfn.IFNA(_xlfn.XLOOKUP(I$2-$C16, 'GEN-CARBON'!$D$7:$AW$7, 'GEN-CARBON'!$D$24:$AW$24), 0), IF($B16='Project List References'!$B$7, _xlfn.IFNA(_xlfn.XLOOKUP(I$2-$C16, 'SENS Coal'!$D$7:$AW$7, 'SENS Coal'!$D$24:$AW$24), 0), IF($B16='Project List References'!$B$8, _xlfn.IFNA(_xlfn.XLOOKUP(I$2-$C16,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J16" s="661" t="e">
        <f>IF($B16='Project List References'!$B$3, _xlfn.IFNA(_xlfn.XLOOKUP(J$2-$C16, 'GEN-CCGT'!$D$7:$AW$7, 'GEN-CCGT'!$D$24:$AW$24), 0), IF($B16='Project List References'!$B$4, _xlfn.IFNA(_xlfn.XLOOKUP(J$2-$C16, 'GEN-SOLAR'!$D$7:$AW$7, 'GEN-SOLAR'!$D$24:$AW$24), 0), IF($B16='Project List References'!$B$5, _xlfn.IFNA(_xlfn.XLOOKUP(J$2-$C16, 'GEN-BESS'!$D$7:$AW$7, 'GEN-BESS'!$D$24:$AW$24), 0), IF($B16='Project List References'!$B$6, _xlfn.IFNA(_xlfn.XLOOKUP(J$2-$C16, 'GEN-CARBON'!$D$7:$AW$7, 'GEN-CARBON'!$D$24:$AW$24), 0), IF($B16='Project List References'!$B$7, _xlfn.IFNA(_xlfn.XLOOKUP(J$2-$C16, 'SENS Coal'!$D$7:$AW$7, 'SENS Coal'!$D$24:$AW$24), 0), IF($B16='Project List References'!$B$8, _xlfn.IFNA(_xlfn.XLOOKUP(J$2-$C16,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K16" s="661" t="e">
        <f>IF($B16='Project List References'!$B$3, _xlfn.IFNA(_xlfn.XLOOKUP(K$2-$C16, 'GEN-CCGT'!$D$7:$AW$7, 'GEN-CCGT'!$D$24:$AW$24), 0), IF($B16='Project List References'!$B$4, _xlfn.IFNA(_xlfn.XLOOKUP(K$2-$C16, 'GEN-SOLAR'!$D$7:$AW$7, 'GEN-SOLAR'!$D$24:$AW$24), 0), IF($B16='Project List References'!$B$5, _xlfn.IFNA(_xlfn.XLOOKUP(K$2-$C16, 'GEN-BESS'!$D$7:$AW$7, 'GEN-BESS'!$D$24:$AW$24), 0), IF($B16='Project List References'!$B$6, _xlfn.IFNA(_xlfn.XLOOKUP(K$2-$C16, 'GEN-CARBON'!$D$7:$AW$7, 'GEN-CARBON'!$D$24:$AW$24), 0), IF($B16='Project List References'!$B$7, _xlfn.IFNA(_xlfn.XLOOKUP(K$2-$C16, 'SENS Coal'!$D$7:$AW$7, 'SENS Coal'!$D$24:$AW$24), 0), IF($B16='Project List References'!$B$8, _xlfn.IFNA(_xlfn.XLOOKUP(K$2-$C16,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L16" s="661" t="e">
        <f>IF($B16='Project List References'!$B$3, _xlfn.IFNA(_xlfn.XLOOKUP(L$2-$C16, 'GEN-CCGT'!$D$7:$AW$7, 'GEN-CCGT'!$D$24:$AW$24), 0), IF($B16='Project List References'!$B$4, _xlfn.IFNA(_xlfn.XLOOKUP(L$2-$C16, 'GEN-SOLAR'!$D$7:$AW$7, 'GEN-SOLAR'!$D$24:$AW$24), 0), IF($B16='Project List References'!$B$5, _xlfn.IFNA(_xlfn.XLOOKUP(L$2-$C16, 'GEN-BESS'!$D$7:$AW$7, 'GEN-BESS'!$D$24:$AW$24), 0), IF($B16='Project List References'!$B$6, _xlfn.IFNA(_xlfn.XLOOKUP(L$2-$C16, 'GEN-CARBON'!$D$7:$AW$7, 'GEN-CARBON'!$D$24:$AW$24), 0), IF($B16='Project List References'!$B$7, _xlfn.IFNA(_xlfn.XLOOKUP(L$2-$C16, 'SENS Coal'!$D$7:$AW$7, 'SENS Coal'!$D$24:$AW$24), 0), IF($B16='Project List References'!$B$8, _xlfn.IFNA(_xlfn.XLOOKUP(L$2-$C16,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M16" s="661" t="e">
        <f>IF($B16='Project List References'!$B$3, _xlfn.IFNA(_xlfn.XLOOKUP(M$2-$C16, 'GEN-CCGT'!$D$7:$AW$7, 'GEN-CCGT'!$D$24:$AW$24), 0), IF($B16='Project List References'!$B$4, _xlfn.IFNA(_xlfn.XLOOKUP(M$2-$C16, 'GEN-SOLAR'!$D$7:$AW$7, 'GEN-SOLAR'!$D$24:$AW$24), 0), IF($B16='Project List References'!$B$5, _xlfn.IFNA(_xlfn.XLOOKUP(M$2-$C16, 'GEN-BESS'!$D$7:$AW$7, 'GEN-BESS'!$D$24:$AW$24), 0), IF($B16='Project List References'!$B$6, _xlfn.IFNA(_xlfn.XLOOKUP(M$2-$C16, 'GEN-CARBON'!$D$7:$AW$7, 'GEN-CARBON'!$D$24:$AW$24), 0), IF($B16='Project List References'!$B$7, _xlfn.IFNA(_xlfn.XLOOKUP(M$2-$C16, 'SENS Coal'!$D$7:$AW$7, 'SENS Coal'!$D$24:$AW$24), 0), IF($B16='Project List References'!$B$8, _xlfn.IFNA(_xlfn.XLOOKUP(M$2-$C16,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N16" s="661" t="e">
        <f>IF($B16='Project List References'!$B$3, _xlfn.IFNA(_xlfn.XLOOKUP(N$2-$C16, 'GEN-CCGT'!$D$7:$AW$7, 'GEN-CCGT'!$D$24:$AW$24), 0), IF($B16='Project List References'!$B$4, _xlfn.IFNA(_xlfn.XLOOKUP(N$2-$C16, 'GEN-SOLAR'!$D$7:$AW$7, 'GEN-SOLAR'!$D$24:$AW$24), 0), IF($B16='Project List References'!$B$5, _xlfn.IFNA(_xlfn.XLOOKUP(N$2-$C16, 'GEN-BESS'!$D$7:$AW$7, 'GEN-BESS'!$D$24:$AW$24), 0), IF($B16='Project List References'!$B$6, _xlfn.IFNA(_xlfn.XLOOKUP(N$2-$C16, 'GEN-CARBON'!$D$7:$AW$7, 'GEN-CARBON'!$D$24:$AW$24), 0), IF($B16='Project List References'!$B$7, _xlfn.IFNA(_xlfn.XLOOKUP(N$2-$C16, 'SENS Coal'!$D$7:$AW$7, 'SENS Coal'!$D$24:$AW$24), 0), IF($B16='Project List References'!$B$8, _xlfn.IFNA(_xlfn.XLOOKUP(N$2-$C16,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O16" s="661" t="e">
        <f>IF($B16='Project List References'!$B$3, _xlfn.IFNA(_xlfn.XLOOKUP(O$2-$C16, 'GEN-CCGT'!$D$7:$AW$7, 'GEN-CCGT'!$D$24:$AW$24), 0), IF($B16='Project List References'!$B$4, _xlfn.IFNA(_xlfn.XLOOKUP(O$2-$C16, 'GEN-SOLAR'!$D$7:$AW$7, 'GEN-SOLAR'!$D$24:$AW$24), 0), IF($B16='Project List References'!$B$5, _xlfn.IFNA(_xlfn.XLOOKUP(O$2-$C16, 'GEN-BESS'!$D$7:$AW$7, 'GEN-BESS'!$D$24:$AW$24), 0), IF($B16='Project List References'!$B$6, _xlfn.IFNA(_xlfn.XLOOKUP(O$2-$C16, 'GEN-CARBON'!$D$7:$AW$7, 'GEN-CARBON'!$D$24:$AW$24), 0), IF($B16='Project List References'!$B$7, _xlfn.IFNA(_xlfn.XLOOKUP(O$2-$C16, 'SENS Coal'!$D$7:$AW$7, 'SENS Coal'!$D$24:$AW$24), 0), IF($B16='Project List References'!$B$8, _xlfn.IFNA(_xlfn.XLOOKUP(O$2-$C16,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P16" s="661" t="e">
        <f>IF($B16='Project List References'!$B$3, _xlfn.IFNA(_xlfn.XLOOKUP(P$2-$C16, 'GEN-CCGT'!$D$7:$AW$7, 'GEN-CCGT'!$D$24:$AW$24), 0), IF($B16='Project List References'!$B$4, _xlfn.IFNA(_xlfn.XLOOKUP(P$2-$C16, 'GEN-SOLAR'!$D$7:$AW$7, 'GEN-SOLAR'!$D$24:$AW$24), 0), IF($B16='Project List References'!$B$5, _xlfn.IFNA(_xlfn.XLOOKUP(P$2-$C16, 'GEN-BESS'!$D$7:$AW$7, 'GEN-BESS'!$D$24:$AW$24), 0), IF($B16='Project List References'!$B$6, _xlfn.IFNA(_xlfn.XLOOKUP(P$2-$C16, 'GEN-CARBON'!$D$7:$AW$7, 'GEN-CARBON'!$D$24:$AW$24), 0), IF($B16='Project List References'!$B$7, _xlfn.IFNA(_xlfn.XLOOKUP(P$2-$C16, 'SENS Coal'!$D$7:$AW$7, 'SENS Coal'!$D$24:$AW$24), 0), IF($B16='Project List References'!$B$8, _xlfn.IFNA(_xlfn.XLOOKUP(P$2-$C16,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Q16" s="661" t="e">
        <f>IF($B16='Project List References'!$B$3, _xlfn.IFNA(_xlfn.XLOOKUP(Q$2-$C16, 'GEN-CCGT'!$D$7:$AW$7, 'GEN-CCGT'!$D$24:$AW$24), 0), IF($B16='Project List References'!$B$4, _xlfn.IFNA(_xlfn.XLOOKUP(Q$2-$C16, 'GEN-SOLAR'!$D$7:$AW$7, 'GEN-SOLAR'!$D$24:$AW$24), 0), IF($B16='Project List References'!$B$5, _xlfn.IFNA(_xlfn.XLOOKUP(Q$2-$C16, 'GEN-BESS'!$D$7:$AW$7, 'GEN-BESS'!$D$24:$AW$24), 0), IF($B16='Project List References'!$B$6, _xlfn.IFNA(_xlfn.XLOOKUP(Q$2-$C16, 'GEN-CARBON'!$D$7:$AW$7, 'GEN-CARBON'!$D$24:$AW$24), 0), IF($B16='Project List References'!$B$7, _xlfn.IFNA(_xlfn.XLOOKUP(Q$2-$C16, 'SENS Coal'!$D$7:$AW$7, 'SENS Coal'!$D$24:$AW$24), 0), IF($B16='Project List References'!$B$8, _xlfn.IFNA(_xlfn.XLOOKUP(Q$2-$C16,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R16" s="661" t="e">
        <f>IF($B16='Project List References'!$B$3, _xlfn.IFNA(_xlfn.XLOOKUP(R$2-$C16, 'GEN-CCGT'!$D$7:$AW$7, 'GEN-CCGT'!$D$24:$AW$24), 0), IF($B16='Project List References'!$B$4, _xlfn.IFNA(_xlfn.XLOOKUP(R$2-$C16, 'GEN-SOLAR'!$D$7:$AW$7, 'GEN-SOLAR'!$D$24:$AW$24), 0), IF($B16='Project List References'!$B$5, _xlfn.IFNA(_xlfn.XLOOKUP(R$2-$C16, 'GEN-BESS'!$D$7:$AW$7, 'GEN-BESS'!$D$24:$AW$24), 0), IF($B16='Project List References'!$B$6, _xlfn.IFNA(_xlfn.XLOOKUP(R$2-$C16, 'GEN-CARBON'!$D$7:$AW$7, 'GEN-CARBON'!$D$24:$AW$24), 0), IF($B16='Project List References'!$B$7, _xlfn.IFNA(_xlfn.XLOOKUP(R$2-$C16, 'SENS Coal'!$D$7:$AW$7, 'SENS Coal'!$D$24:$AW$24), 0), IF($B16='Project List References'!$B$8, _xlfn.IFNA(_xlfn.XLOOKUP(R$2-$C16,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S16" s="661" t="e">
        <f>IF($B16='Project List References'!$B$3, _xlfn.IFNA(_xlfn.XLOOKUP(S$2-$C16, 'GEN-CCGT'!$D$7:$AW$7, 'GEN-CCGT'!$D$24:$AW$24), 0), IF($B16='Project List References'!$B$4, _xlfn.IFNA(_xlfn.XLOOKUP(S$2-$C16, 'GEN-SOLAR'!$D$7:$AW$7, 'GEN-SOLAR'!$D$24:$AW$24), 0), IF($B16='Project List References'!$B$5, _xlfn.IFNA(_xlfn.XLOOKUP(S$2-$C16, 'GEN-BESS'!$D$7:$AW$7, 'GEN-BESS'!$D$24:$AW$24), 0), IF($B16='Project List References'!$B$6, _xlfn.IFNA(_xlfn.XLOOKUP(S$2-$C16, 'GEN-CARBON'!$D$7:$AW$7, 'GEN-CARBON'!$D$24:$AW$24), 0), IF($B16='Project List References'!$B$7, _xlfn.IFNA(_xlfn.XLOOKUP(S$2-$C16, 'SENS Coal'!$D$7:$AW$7, 'SENS Coal'!$D$24:$AW$24), 0), IF($B16='Project List References'!$B$8, _xlfn.IFNA(_xlfn.XLOOKUP(S$2-$C16,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T16" s="661" t="e">
        <f>IF($B16='Project List References'!$B$3, _xlfn.IFNA(_xlfn.XLOOKUP(T$2-$C16, 'GEN-CCGT'!$D$7:$AW$7, 'GEN-CCGT'!$D$24:$AW$24), 0), IF($B16='Project List References'!$B$4, _xlfn.IFNA(_xlfn.XLOOKUP(T$2-$C16, 'GEN-SOLAR'!$D$7:$AW$7, 'GEN-SOLAR'!$D$24:$AW$24), 0), IF($B16='Project List References'!$B$5, _xlfn.IFNA(_xlfn.XLOOKUP(T$2-$C16, 'GEN-BESS'!$D$7:$AW$7, 'GEN-BESS'!$D$24:$AW$24), 0), IF($B16='Project List References'!$B$6, _xlfn.IFNA(_xlfn.XLOOKUP(T$2-$C16, 'GEN-CARBON'!$D$7:$AW$7, 'GEN-CARBON'!$D$24:$AW$24), 0), IF($B16='Project List References'!$B$7, _xlfn.IFNA(_xlfn.XLOOKUP(T$2-$C16, 'SENS Coal'!$D$7:$AW$7, 'SENS Coal'!$D$24:$AW$24), 0), IF($B16='Project List References'!$B$8, _xlfn.IFNA(_xlfn.XLOOKUP(T$2-$C16, 'SENS Tires'!$D$7:$AW$7, 'SENS Tires'!$D$24:$AW$24),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_xlfn.XLOOKUP(A17, 'Project Master Sheet'!A:A, 'Project Master Sheet'!I:I)</f>
        <v>#N/A</v>
      </c>
      <c r="E17" s="661" t="e">
        <f>IF($B17='Project List References'!$B$3, _xlfn.IFNA(_xlfn.XLOOKUP(E$2-$C17, 'GEN-CCGT'!$D$7:$AW$7, 'GEN-CCGT'!$D$24:$AW$24), 0), IF($B17='Project List References'!$B$4, _xlfn.IFNA(_xlfn.XLOOKUP(E$2-$C17, 'GEN-SOLAR'!$D$7:$AW$7, 'GEN-SOLAR'!$D$24:$AW$24), 0), IF($B17='Project List References'!$B$5, _xlfn.IFNA(_xlfn.XLOOKUP(E$2-$C17, 'GEN-BESS'!$D$7:$AW$7, 'GEN-BESS'!$D$24:$AW$24), 0), IF($B17='Project List References'!$B$6, _xlfn.IFNA(_xlfn.XLOOKUP(E$2-$C17, 'GEN-CARBON'!$D$7:$AW$7, 'GEN-CARBON'!$D$24:$AW$24), 0), IF($B17='Project List References'!$B$7, _xlfn.IFNA(_xlfn.XLOOKUP(E$2-$C17, 'SENS Coal'!$D$7:$AW$7, 'SENS Coal'!$D$24:$AW$24), 0), IF($B17='Project List References'!$B$8, _xlfn.IFNA(_xlfn.XLOOKUP(E$2-$C17,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F17" s="661" t="e">
        <f>IF($B17='Project List References'!$B$3, _xlfn.IFNA(_xlfn.XLOOKUP(F$2-$C17, 'GEN-CCGT'!$D$7:$AW$7, 'GEN-CCGT'!$D$24:$AW$24), 0), IF($B17='Project List References'!$B$4, _xlfn.IFNA(_xlfn.XLOOKUP(F$2-$C17, 'GEN-SOLAR'!$D$7:$AW$7, 'GEN-SOLAR'!$D$24:$AW$24), 0), IF($B17='Project List References'!$B$5, _xlfn.IFNA(_xlfn.XLOOKUP(F$2-$C17, 'GEN-BESS'!$D$7:$AW$7, 'GEN-BESS'!$D$24:$AW$24), 0), IF($B17='Project List References'!$B$6, _xlfn.IFNA(_xlfn.XLOOKUP(F$2-$C17, 'GEN-CARBON'!$D$7:$AW$7, 'GEN-CARBON'!$D$24:$AW$24), 0), IF($B17='Project List References'!$B$7, _xlfn.IFNA(_xlfn.XLOOKUP(F$2-$C17, 'SENS Coal'!$D$7:$AW$7, 'SENS Coal'!$D$24:$AW$24), 0), IF($B17='Project List References'!$B$8, _xlfn.IFNA(_xlfn.XLOOKUP(F$2-$C17,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G17" s="661" t="e">
        <f>IF($B17='Project List References'!$B$3, _xlfn.IFNA(_xlfn.XLOOKUP(G$2-$C17, 'GEN-CCGT'!$D$7:$AW$7, 'GEN-CCGT'!$D$24:$AW$24), 0), IF($B17='Project List References'!$B$4, _xlfn.IFNA(_xlfn.XLOOKUP(G$2-$C17, 'GEN-SOLAR'!$D$7:$AW$7, 'GEN-SOLAR'!$D$24:$AW$24), 0), IF($B17='Project List References'!$B$5, _xlfn.IFNA(_xlfn.XLOOKUP(G$2-$C17, 'GEN-BESS'!$D$7:$AW$7, 'GEN-BESS'!$D$24:$AW$24), 0), IF($B17='Project List References'!$B$6, _xlfn.IFNA(_xlfn.XLOOKUP(G$2-$C17, 'GEN-CARBON'!$D$7:$AW$7, 'GEN-CARBON'!$D$24:$AW$24), 0), IF($B17='Project List References'!$B$7, _xlfn.IFNA(_xlfn.XLOOKUP(G$2-$C17, 'SENS Coal'!$D$7:$AW$7, 'SENS Coal'!$D$24:$AW$24), 0), IF($B17='Project List References'!$B$8, _xlfn.IFNA(_xlfn.XLOOKUP(G$2-$C17,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H17" s="661" t="e">
        <f>IF($B17='Project List References'!$B$3, _xlfn.IFNA(_xlfn.XLOOKUP(H$2-$C17, 'GEN-CCGT'!$D$7:$AW$7, 'GEN-CCGT'!$D$24:$AW$24), 0), IF($B17='Project List References'!$B$4, _xlfn.IFNA(_xlfn.XLOOKUP(H$2-$C17, 'GEN-SOLAR'!$D$7:$AW$7, 'GEN-SOLAR'!$D$24:$AW$24), 0), IF($B17='Project List References'!$B$5, _xlfn.IFNA(_xlfn.XLOOKUP(H$2-$C17, 'GEN-BESS'!$D$7:$AW$7, 'GEN-BESS'!$D$24:$AW$24), 0), IF($B17='Project List References'!$B$6, _xlfn.IFNA(_xlfn.XLOOKUP(H$2-$C17, 'GEN-CARBON'!$D$7:$AW$7, 'GEN-CARBON'!$D$24:$AW$24), 0), IF($B17='Project List References'!$B$7, _xlfn.IFNA(_xlfn.XLOOKUP(H$2-$C17, 'SENS Coal'!$D$7:$AW$7, 'SENS Coal'!$D$24:$AW$24), 0), IF($B17='Project List References'!$B$8, _xlfn.IFNA(_xlfn.XLOOKUP(H$2-$C17,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I17" s="661" t="e">
        <f>IF($B17='Project List References'!$B$3, _xlfn.IFNA(_xlfn.XLOOKUP(I$2-$C17, 'GEN-CCGT'!$D$7:$AW$7, 'GEN-CCGT'!$D$24:$AW$24), 0), IF($B17='Project List References'!$B$4, _xlfn.IFNA(_xlfn.XLOOKUP(I$2-$C17, 'GEN-SOLAR'!$D$7:$AW$7, 'GEN-SOLAR'!$D$24:$AW$24), 0), IF($B17='Project List References'!$B$5, _xlfn.IFNA(_xlfn.XLOOKUP(I$2-$C17, 'GEN-BESS'!$D$7:$AW$7, 'GEN-BESS'!$D$24:$AW$24), 0), IF($B17='Project List References'!$B$6, _xlfn.IFNA(_xlfn.XLOOKUP(I$2-$C17, 'GEN-CARBON'!$D$7:$AW$7, 'GEN-CARBON'!$D$24:$AW$24), 0), IF($B17='Project List References'!$B$7, _xlfn.IFNA(_xlfn.XLOOKUP(I$2-$C17, 'SENS Coal'!$D$7:$AW$7, 'SENS Coal'!$D$24:$AW$24), 0), IF($B17='Project List References'!$B$8, _xlfn.IFNA(_xlfn.XLOOKUP(I$2-$C17,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J17" s="661" t="e">
        <f>IF($B17='Project List References'!$B$3, _xlfn.IFNA(_xlfn.XLOOKUP(J$2-$C17, 'GEN-CCGT'!$D$7:$AW$7, 'GEN-CCGT'!$D$24:$AW$24), 0), IF($B17='Project List References'!$B$4, _xlfn.IFNA(_xlfn.XLOOKUP(J$2-$C17, 'GEN-SOLAR'!$D$7:$AW$7, 'GEN-SOLAR'!$D$24:$AW$24), 0), IF($B17='Project List References'!$B$5, _xlfn.IFNA(_xlfn.XLOOKUP(J$2-$C17, 'GEN-BESS'!$D$7:$AW$7, 'GEN-BESS'!$D$24:$AW$24), 0), IF($B17='Project List References'!$B$6, _xlfn.IFNA(_xlfn.XLOOKUP(J$2-$C17, 'GEN-CARBON'!$D$7:$AW$7, 'GEN-CARBON'!$D$24:$AW$24), 0), IF($B17='Project List References'!$B$7, _xlfn.IFNA(_xlfn.XLOOKUP(J$2-$C17, 'SENS Coal'!$D$7:$AW$7, 'SENS Coal'!$D$24:$AW$24), 0), IF($B17='Project List References'!$B$8, _xlfn.IFNA(_xlfn.XLOOKUP(J$2-$C17,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K17" s="661" t="e">
        <f>IF($B17='Project List References'!$B$3, _xlfn.IFNA(_xlfn.XLOOKUP(K$2-$C17, 'GEN-CCGT'!$D$7:$AW$7, 'GEN-CCGT'!$D$24:$AW$24), 0), IF($B17='Project List References'!$B$4, _xlfn.IFNA(_xlfn.XLOOKUP(K$2-$C17, 'GEN-SOLAR'!$D$7:$AW$7, 'GEN-SOLAR'!$D$24:$AW$24), 0), IF($B17='Project List References'!$B$5, _xlfn.IFNA(_xlfn.XLOOKUP(K$2-$C17, 'GEN-BESS'!$D$7:$AW$7, 'GEN-BESS'!$D$24:$AW$24), 0), IF($B17='Project List References'!$B$6, _xlfn.IFNA(_xlfn.XLOOKUP(K$2-$C17, 'GEN-CARBON'!$D$7:$AW$7, 'GEN-CARBON'!$D$24:$AW$24), 0), IF($B17='Project List References'!$B$7, _xlfn.IFNA(_xlfn.XLOOKUP(K$2-$C17, 'SENS Coal'!$D$7:$AW$7, 'SENS Coal'!$D$24:$AW$24), 0), IF($B17='Project List References'!$B$8, _xlfn.IFNA(_xlfn.XLOOKUP(K$2-$C17,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L17" s="661" t="e">
        <f>IF($B17='Project List References'!$B$3, _xlfn.IFNA(_xlfn.XLOOKUP(L$2-$C17, 'GEN-CCGT'!$D$7:$AW$7, 'GEN-CCGT'!$D$24:$AW$24), 0), IF($B17='Project List References'!$B$4, _xlfn.IFNA(_xlfn.XLOOKUP(L$2-$C17, 'GEN-SOLAR'!$D$7:$AW$7, 'GEN-SOLAR'!$D$24:$AW$24), 0), IF($B17='Project List References'!$B$5, _xlfn.IFNA(_xlfn.XLOOKUP(L$2-$C17, 'GEN-BESS'!$D$7:$AW$7, 'GEN-BESS'!$D$24:$AW$24), 0), IF($B17='Project List References'!$B$6, _xlfn.IFNA(_xlfn.XLOOKUP(L$2-$C17, 'GEN-CARBON'!$D$7:$AW$7, 'GEN-CARBON'!$D$24:$AW$24), 0), IF($B17='Project List References'!$B$7, _xlfn.IFNA(_xlfn.XLOOKUP(L$2-$C17, 'SENS Coal'!$D$7:$AW$7, 'SENS Coal'!$D$24:$AW$24), 0), IF($B17='Project List References'!$B$8, _xlfn.IFNA(_xlfn.XLOOKUP(L$2-$C17,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M17" s="661" t="e">
        <f>IF($B17='Project List References'!$B$3, _xlfn.IFNA(_xlfn.XLOOKUP(M$2-$C17, 'GEN-CCGT'!$D$7:$AW$7, 'GEN-CCGT'!$D$24:$AW$24), 0), IF($B17='Project List References'!$B$4, _xlfn.IFNA(_xlfn.XLOOKUP(M$2-$C17, 'GEN-SOLAR'!$D$7:$AW$7, 'GEN-SOLAR'!$D$24:$AW$24), 0), IF($B17='Project List References'!$B$5, _xlfn.IFNA(_xlfn.XLOOKUP(M$2-$C17, 'GEN-BESS'!$D$7:$AW$7, 'GEN-BESS'!$D$24:$AW$24), 0), IF($B17='Project List References'!$B$6, _xlfn.IFNA(_xlfn.XLOOKUP(M$2-$C17, 'GEN-CARBON'!$D$7:$AW$7, 'GEN-CARBON'!$D$24:$AW$24), 0), IF($B17='Project List References'!$B$7, _xlfn.IFNA(_xlfn.XLOOKUP(M$2-$C17, 'SENS Coal'!$D$7:$AW$7, 'SENS Coal'!$D$24:$AW$24), 0), IF($B17='Project List References'!$B$8, _xlfn.IFNA(_xlfn.XLOOKUP(M$2-$C17,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N17" s="661" t="e">
        <f>IF($B17='Project List References'!$B$3, _xlfn.IFNA(_xlfn.XLOOKUP(N$2-$C17, 'GEN-CCGT'!$D$7:$AW$7, 'GEN-CCGT'!$D$24:$AW$24), 0), IF($B17='Project List References'!$B$4, _xlfn.IFNA(_xlfn.XLOOKUP(N$2-$C17, 'GEN-SOLAR'!$D$7:$AW$7, 'GEN-SOLAR'!$D$24:$AW$24), 0), IF($B17='Project List References'!$B$5, _xlfn.IFNA(_xlfn.XLOOKUP(N$2-$C17, 'GEN-BESS'!$D$7:$AW$7, 'GEN-BESS'!$D$24:$AW$24), 0), IF($B17='Project List References'!$B$6, _xlfn.IFNA(_xlfn.XLOOKUP(N$2-$C17, 'GEN-CARBON'!$D$7:$AW$7, 'GEN-CARBON'!$D$24:$AW$24), 0), IF($B17='Project List References'!$B$7, _xlfn.IFNA(_xlfn.XLOOKUP(N$2-$C17, 'SENS Coal'!$D$7:$AW$7, 'SENS Coal'!$D$24:$AW$24), 0), IF($B17='Project List References'!$B$8, _xlfn.IFNA(_xlfn.XLOOKUP(N$2-$C17,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O17" s="661" t="e">
        <f>IF($B17='Project List References'!$B$3, _xlfn.IFNA(_xlfn.XLOOKUP(O$2-$C17, 'GEN-CCGT'!$D$7:$AW$7, 'GEN-CCGT'!$D$24:$AW$24), 0), IF($B17='Project List References'!$B$4, _xlfn.IFNA(_xlfn.XLOOKUP(O$2-$C17, 'GEN-SOLAR'!$D$7:$AW$7, 'GEN-SOLAR'!$D$24:$AW$24), 0), IF($B17='Project List References'!$B$5, _xlfn.IFNA(_xlfn.XLOOKUP(O$2-$C17, 'GEN-BESS'!$D$7:$AW$7, 'GEN-BESS'!$D$24:$AW$24), 0), IF($B17='Project List References'!$B$6, _xlfn.IFNA(_xlfn.XLOOKUP(O$2-$C17, 'GEN-CARBON'!$D$7:$AW$7, 'GEN-CARBON'!$D$24:$AW$24), 0), IF($B17='Project List References'!$B$7, _xlfn.IFNA(_xlfn.XLOOKUP(O$2-$C17, 'SENS Coal'!$D$7:$AW$7, 'SENS Coal'!$D$24:$AW$24), 0), IF($B17='Project List References'!$B$8, _xlfn.IFNA(_xlfn.XLOOKUP(O$2-$C17,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P17" s="661" t="e">
        <f>IF($B17='Project List References'!$B$3, _xlfn.IFNA(_xlfn.XLOOKUP(P$2-$C17, 'GEN-CCGT'!$D$7:$AW$7, 'GEN-CCGT'!$D$24:$AW$24), 0), IF($B17='Project List References'!$B$4, _xlfn.IFNA(_xlfn.XLOOKUP(P$2-$C17, 'GEN-SOLAR'!$D$7:$AW$7, 'GEN-SOLAR'!$D$24:$AW$24), 0), IF($B17='Project List References'!$B$5, _xlfn.IFNA(_xlfn.XLOOKUP(P$2-$C17, 'GEN-BESS'!$D$7:$AW$7, 'GEN-BESS'!$D$24:$AW$24), 0), IF($B17='Project List References'!$B$6, _xlfn.IFNA(_xlfn.XLOOKUP(P$2-$C17, 'GEN-CARBON'!$D$7:$AW$7, 'GEN-CARBON'!$D$24:$AW$24), 0), IF($B17='Project List References'!$B$7, _xlfn.IFNA(_xlfn.XLOOKUP(P$2-$C17, 'SENS Coal'!$D$7:$AW$7, 'SENS Coal'!$D$24:$AW$24), 0), IF($B17='Project List References'!$B$8, _xlfn.IFNA(_xlfn.XLOOKUP(P$2-$C17,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Q17" s="661" t="e">
        <f>IF($B17='Project List References'!$B$3, _xlfn.IFNA(_xlfn.XLOOKUP(Q$2-$C17, 'GEN-CCGT'!$D$7:$AW$7, 'GEN-CCGT'!$D$24:$AW$24), 0), IF($B17='Project List References'!$B$4, _xlfn.IFNA(_xlfn.XLOOKUP(Q$2-$C17, 'GEN-SOLAR'!$D$7:$AW$7, 'GEN-SOLAR'!$D$24:$AW$24), 0), IF($B17='Project List References'!$B$5, _xlfn.IFNA(_xlfn.XLOOKUP(Q$2-$C17, 'GEN-BESS'!$D$7:$AW$7, 'GEN-BESS'!$D$24:$AW$24), 0), IF($B17='Project List References'!$B$6, _xlfn.IFNA(_xlfn.XLOOKUP(Q$2-$C17, 'GEN-CARBON'!$D$7:$AW$7, 'GEN-CARBON'!$D$24:$AW$24), 0), IF($B17='Project List References'!$B$7, _xlfn.IFNA(_xlfn.XLOOKUP(Q$2-$C17, 'SENS Coal'!$D$7:$AW$7, 'SENS Coal'!$D$24:$AW$24), 0), IF($B17='Project List References'!$B$8, _xlfn.IFNA(_xlfn.XLOOKUP(Q$2-$C17,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R17" s="661" t="e">
        <f>IF($B17='Project List References'!$B$3, _xlfn.IFNA(_xlfn.XLOOKUP(R$2-$C17, 'GEN-CCGT'!$D$7:$AW$7, 'GEN-CCGT'!$D$24:$AW$24), 0), IF($B17='Project List References'!$B$4, _xlfn.IFNA(_xlfn.XLOOKUP(R$2-$C17, 'GEN-SOLAR'!$D$7:$AW$7, 'GEN-SOLAR'!$D$24:$AW$24), 0), IF($B17='Project List References'!$B$5, _xlfn.IFNA(_xlfn.XLOOKUP(R$2-$C17, 'GEN-BESS'!$D$7:$AW$7, 'GEN-BESS'!$D$24:$AW$24), 0), IF($B17='Project List References'!$B$6, _xlfn.IFNA(_xlfn.XLOOKUP(R$2-$C17, 'GEN-CARBON'!$D$7:$AW$7, 'GEN-CARBON'!$D$24:$AW$24), 0), IF($B17='Project List References'!$B$7, _xlfn.IFNA(_xlfn.XLOOKUP(R$2-$C17, 'SENS Coal'!$D$7:$AW$7, 'SENS Coal'!$D$24:$AW$24), 0), IF($B17='Project List References'!$B$8, _xlfn.IFNA(_xlfn.XLOOKUP(R$2-$C17,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S17" s="661" t="e">
        <f>IF($B17='Project List References'!$B$3, _xlfn.IFNA(_xlfn.XLOOKUP(S$2-$C17, 'GEN-CCGT'!$D$7:$AW$7, 'GEN-CCGT'!$D$24:$AW$24), 0), IF($B17='Project List References'!$B$4, _xlfn.IFNA(_xlfn.XLOOKUP(S$2-$C17, 'GEN-SOLAR'!$D$7:$AW$7, 'GEN-SOLAR'!$D$24:$AW$24), 0), IF($B17='Project List References'!$B$5, _xlfn.IFNA(_xlfn.XLOOKUP(S$2-$C17, 'GEN-BESS'!$D$7:$AW$7, 'GEN-BESS'!$D$24:$AW$24), 0), IF($B17='Project List References'!$B$6, _xlfn.IFNA(_xlfn.XLOOKUP(S$2-$C17, 'GEN-CARBON'!$D$7:$AW$7, 'GEN-CARBON'!$D$24:$AW$24), 0), IF($B17='Project List References'!$B$7, _xlfn.IFNA(_xlfn.XLOOKUP(S$2-$C17, 'SENS Coal'!$D$7:$AW$7, 'SENS Coal'!$D$24:$AW$24), 0), IF($B17='Project List References'!$B$8, _xlfn.IFNA(_xlfn.XLOOKUP(S$2-$C17,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T17" s="661" t="e">
        <f>IF($B17='Project List References'!$B$3, _xlfn.IFNA(_xlfn.XLOOKUP(T$2-$C17, 'GEN-CCGT'!$D$7:$AW$7, 'GEN-CCGT'!$D$24:$AW$24), 0), IF($B17='Project List References'!$B$4, _xlfn.IFNA(_xlfn.XLOOKUP(T$2-$C17, 'GEN-SOLAR'!$D$7:$AW$7, 'GEN-SOLAR'!$D$24:$AW$24), 0), IF($B17='Project List References'!$B$5, _xlfn.IFNA(_xlfn.XLOOKUP(T$2-$C17, 'GEN-BESS'!$D$7:$AW$7, 'GEN-BESS'!$D$24:$AW$24), 0), IF($B17='Project List References'!$B$6, _xlfn.IFNA(_xlfn.XLOOKUP(T$2-$C17, 'GEN-CARBON'!$D$7:$AW$7, 'GEN-CARBON'!$D$24:$AW$24), 0), IF($B17='Project List References'!$B$7, _xlfn.IFNA(_xlfn.XLOOKUP(T$2-$C17, 'SENS Coal'!$D$7:$AW$7, 'SENS Coal'!$D$24:$AW$24), 0), IF($B17='Project List References'!$B$8, _xlfn.IFNA(_xlfn.XLOOKUP(T$2-$C17, 'SENS Tires'!$D$7:$AW$7, 'SENS Tires'!$D$24:$AW$24),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</row>
    <row r="18" spans="1:20">
      <c r="A18" s="655" t="str">
        <f>IF(ISBLANK('Project Master Sheet'!A18)=FALSE, 'Project Master Sheet'!A18, "")</f>
        <v/>
      </c>
      <c r="B18" s="655" t="str">
        <f>_xlfn.IFNA(_xlfn.XLOOKUP(A18, 'Project Master Sheet'!A:A, 'Project Master Sheet'!D:D), "")</f>
        <v/>
      </c>
      <c r="C18" s="655" t="e">
        <f>_xlfn.XLOOKUP(A18, 'Project Master Sheet'!A:A, 'Project Master Sheet'!I:I)</f>
        <v>#N/A</v>
      </c>
      <c r="E18" s="661" t="e">
        <f>IF($B18='Project List References'!$B$3, _xlfn.IFNA(_xlfn.XLOOKUP(E$2-$C18, 'GEN-CCGT'!$D$7:$AW$7, 'GEN-CCGT'!$D$24:$AW$24), 0), IF($B18='Project List References'!$B$4, _xlfn.IFNA(_xlfn.XLOOKUP(E$2-$C18, 'GEN-SOLAR'!$D$7:$AW$7, 'GEN-SOLAR'!$D$24:$AW$24), 0), IF($B18='Project List References'!$B$5, _xlfn.IFNA(_xlfn.XLOOKUP(E$2-$C18, 'GEN-BESS'!$D$7:$AW$7, 'GEN-BESS'!$D$24:$AW$24), 0), IF($B18='Project List References'!$B$6, _xlfn.IFNA(_xlfn.XLOOKUP(E$2-$C18, 'GEN-CARBON'!$D$7:$AW$7, 'GEN-CARBON'!$D$24:$AW$24), 0), IF($B18='Project List References'!$B$7, _xlfn.IFNA(_xlfn.XLOOKUP(E$2-$C18, 'SENS Coal'!$D$7:$AW$7, 'SENS Coal'!$D$24:$AW$24), 0), IF($B18='Project List References'!$B$8, _xlfn.IFNA(_xlfn.XLOOKUP(E$2-$C18,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F18" s="661" t="e">
        <f>IF($B18='Project List References'!$B$3, _xlfn.IFNA(_xlfn.XLOOKUP(F$2-$C18, 'GEN-CCGT'!$D$7:$AW$7, 'GEN-CCGT'!$D$24:$AW$24), 0), IF($B18='Project List References'!$B$4, _xlfn.IFNA(_xlfn.XLOOKUP(F$2-$C18, 'GEN-SOLAR'!$D$7:$AW$7, 'GEN-SOLAR'!$D$24:$AW$24), 0), IF($B18='Project List References'!$B$5, _xlfn.IFNA(_xlfn.XLOOKUP(F$2-$C18, 'GEN-BESS'!$D$7:$AW$7, 'GEN-BESS'!$D$24:$AW$24), 0), IF($B18='Project List References'!$B$6, _xlfn.IFNA(_xlfn.XLOOKUP(F$2-$C18, 'GEN-CARBON'!$D$7:$AW$7, 'GEN-CARBON'!$D$24:$AW$24), 0), IF($B18='Project List References'!$B$7, _xlfn.IFNA(_xlfn.XLOOKUP(F$2-$C18, 'SENS Coal'!$D$7:$AW$7, 'SENS Coal'!$D$24:$AW$24), 0), IF($B18='Project List References'!$B$8, _xlfn.IFNA(_xlfn.XLOOKUP(F$2-$C18,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G18" s="661" t="e">
        <f>IF($B18='Project List References'!$B$3, _xlfn.IFNA(_xlfn.XLOOKUP(G$2-$C18, 'GEN-CCGT'!$D$7:$AW$7, 'GEN-CCGT'!$D$24:$AW$24), 0), IF($B18='Project List References'!$B$4, _xlfn.IFNA(_xlfn.XLOOKUP(G$2-$C18, 'GEN-SOLAR'!$D$7:$AW$7, 'GEN-SOLAR'!$D$24:$AW$24), 0), IF($B18='Project List References'!$B$5, _xlfn.IFNA(_xlfn.XLOOKUP(G$2-$C18, 'GEN-BESS'!$D$7:$AW$7, 'GEN-BESS'!$D$24:$AW$24), 0), IF($B18='Project List References'!$B$6, _xlfn.IFNA(_xlfn.XLOOKUP(G$2-$C18, 'GEN-CARBON'!$D$7:$AW$7, 'GEN-CARBON'!$D$24:$AW$24), 0), IF($B18='Project List References'!$B$7, _xlfn.IFNA(_xlfn.XLOOKUP(G$2-$C18, 'SENS Coal'!$D$7:$AW$7, 'SENS Coal'!$D$24:$AW$24), 0), IF($B18='Project List References'!$B$8, _xlfn.IFNA(_xlfn.XLOOKUP(G$2-$C18,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H18" s="661" t="e">
        <f>IF($B18='Project List References'!$B$3, _xlfn.IFNA(_xlfn.XLOOKUP(H$2-$C18, 'GEN-CCGT'!$D$7:$AW$7, 'GEN-CCGT'!$D$24:$AW$24), 0), IF($B18='Project List References'!$B$4, _xlfn.IFNA(_xlfn.XLOOKUP(H$2-$C18, 'GEN-SOLAR'!$D$7:$AW$7, 'GEN-SOLAR'!$D$24:$AW$24), 0), IF($B18='Project List References'!$B$5, _xlfn.IFNA(_xlfn.XLOOKUP(H$2-$C18, 'GEN-BESS'!$D$7:$AW$7, 'GEN-BESS'!$D$24:$AW$24), 0), IF($B18='Project List References'!$B$6, _xlfn.IFNA(_xlfn.XLOOKUP(H$2-$C18, 'GEN-CARBON'!$D$7:$AW$7, 'GEN-CARBON'!$D$24:$AW$24), 0), IF($B18='Project List References'!$B$7, _xlfn.IFNA(_xlfn.XLOOKUP(H$2-$C18, 'SENS Coal'!$D$7:$AW$7, 'SENS Coal'!$D$24:$AW$24), 0), IF($B18='Project List References'!$B$8, _xlfn.IFNA(_xlfn.XLOOKUP(H$2-$C18,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I18" s="661" t="e">
        <f>IF($B18='Project List References'!$B$3, _xlfn.IFNA(_xlfn.XLOOKUP(I$2-$C18, 'GEN-CCGT'!$D$7:$AW$7, 'GEN-CCGT'!$D$24:$AW$24), 0), IF($B18='Project List References'!$B$4, _xlfn.IFNA(_xlfn.XLOOKUP(I$2-$C18, 'GEN-SOLAR'!$D$7:$AW$7, 'GEN-SOLAR'!$D$24:$AW$24), 0), IF($B18='Project List References'!$B$5, _xlfn.IFNA(_xlfn.XLOOKUP(I$2-$C18, 'GEN-BESS'!$D$7:$AW$7, 'GEN-BESS'!$D$24:$AW$24), 0), IF($B18='Project List References'!$B$6, _xlfn.IFNA(_xlfn.XLOOKUP(I$2-$C18, 'GEN-CARBON'!$D$7:$AW$7, 'GEN-CARBON'!$D$24:$AW$24), 0), IF($B18='Project List References'!$B$7, _xlfn.IFNA(_xlfn.XLOOKUP(I$2-$C18, 'SENS Coal'!$D$7:$AW$7, 'SENS Coal'!$D$24:$AW$24), 0), IF($B18='Project List References'!$B$8, _xlfn.IFNA(_xlfn.XLOOKUP(I$2-$C18,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J18" s="661" t="e">
        <f>IF($B18='Project List References'!$B$3, _xlfn.IFNA(_xlfn.XLOOKUP(J$2-$C18, 'GEN-CCGT'!$D$7:$AW$7, 'GEN-CCGT'!$D$24:$AW$24), 0), IF($B18='Project List References'!$B$4, _xlfn.IFNA(_xlfn.XLOOKUP(J$2-$C18, 'GEN-SOLAR'!$D$7:$AW$7, 'GEN-SOLAR'!$D$24:$AW$24), 0), IF($B18='Project List References'!$B$5, _xlfn.IFNA(_xlfn.XLOOKUP(J$2-$C18, 'GEN-BESS'!$D$7:$AW$7, 'GEN-BESS'!$D$24:$AW$24), 0), IF($B18='Project List References'!$B$6, _xlfn.IFNA(_xlfn.XLOOKUP(J$2-$C18, 'GEN-CARBON'!$D$7:$AW$7, 'GEN-CARBON'!$D$24:$AW$24), 0), IF($B18='Project List References'!$B$7, _xlfn.IFNA(_xlfn.XLOOKUP(J$2-$C18, 'SENS Coal'!$D$7:$AW$7, 'SENS Coal'!$D$24:$AW$24), 0), IF($B18='Project List References'!$B$8, _xlfn.IFNA(_xlfn.XLOOKUP(J$2-$C18,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K18" s="661" t="e">
        <f>IF($B18='Project List References'!$B$3, _xlfn.IFNA(_xlfn.XLOOKUP(K$2-$C18, 'GEN-CCGT'!$D$7:$AW$7, 'GEN-CCGT'!$D$24:$AW$24), 0), IF($B18='Project List References'!$B$4, _xlfn.IFNA(_xlfn.XLOOKUP(K$2-$C18, 'GEN-SOLAR'!$D$7:$AW$7, 'GEN-SOLAR'!$D$24:$AW$24), 0), IF($B18='Project List References'!$B$5, _xlfn.IFNA(_xlfn.XLOOKUP(K$2-$C18, 'GEN-BESS'!$D$7:$AW$7, 'GEN-BESS'!$D$24:$AW$24), 0), IF($B18='Project List References'!$B$6, _xlfn.IFNA(_xlfn.XLOOKUP(K$2-$C18, 'GEN-CARBON'!$D$7:$AW$7, 'GEN-CARBON'!$D$24:$AW$24), 0), IF($B18='Project List References'!$B$7, _xlfn.IFNA(_xlfn.XLOOKUP(K$2-$C18, 'SENS Coal'!$D$7:$AW$7, 'SENS Coal'!$D$24:$AW$24), 0), IF($B18='Project List References'!$B$8, _xlfn.IFNA(_xlfn.XLOOKUP(K$2-$C18,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L18" s="661" t="e">
        <f>IF($B18='Project List References'!$B$3, _xlfn.IFNA(_xlfn.XLOOKUP(L$2-$C18, 'GEN-CCGT'!$D$7:$AW$7, 'GEN-CCGT'!$D$24:$AW$24), 0), IF($B18='Project List References'!$B$4, _xlfn.IFNA(_xlfn.XLOOKUP(L$2-$C18, 'GEN-SOLAR'!$D$7:$AW$7, 'GEN-SOLAR'!$D$24:$AW$24), 0), IF($B18='Project List References'!$B$5, _xlfn.IFNA(_xlfn.XLOOKUP(L$2-$C18, 'GEN-BESS'!$D$7:$AW$7, 'GEN-BESS'!$D$24:$AW$24), 0), IF($B18='Project List References'!$B$6, _xlfn.IFNA(_xlfn.XLOOKUP(L$2-$C18, 'GEN-CARBON'!$D$7:$AW$7, 'GEN-CARBON'!$D$24:$AW$24), 0), IF($B18='Project List References'!$B$7, _xlfn.IFNA(_xlfn.XLOOKUP(L$2-$C18, 'SENS Coal'!$D$7:$AW$7, 'SENS Coal'!$D$24:$AW$24), 0), IF($B18='Project List References'!$B$8, _xlfn.IFNA(_xlfn.XLOOKUP(L$2-$C18,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M18" s="661" t="e">
        <f>IF($B18='Project List References'!$B$3, _xlfn.IFNA(_xlfn.XLOOKUP(M$2-$C18, 'GEN-CCGT'!$D$7:$AW$7, 'GEN-CCGT'!$D$24:$AW$24), 0), IF($B18='Project List References'!$B$4, _xlfn.IFNA(_xlfn.XLOOKUP(M$2-$C18, 'GEN-SOLAR'!$D$7:$AW$7, 'GEN-SOLAR'!$D$24:$AW$24), 0), IF($B18='Project List References'!$B$5, _xlfn.IFNA(_xlfn.XLOOKUP(M$2-$C18, 'GEN-BESS'!$D$7:$AW$7, 'GEN-BESS'!$D$24:$AW$24), 0), IF($B18='Project List References'!$B$6, _xlfn.IFNA(_xlfn.XLOOKUP(M$2-$C18, 'GEN-CARBON'!$D$7:$AW$7, 'GEN-CARBON'!$D$24:$AW$24), 0), IF($B18='Project List References'!$B$7, _xlfn.IFNA(_xlfn.XLOOKUP(M$2-$C18, 'SENS Coal'!$D$7:$AW$7, 'SENS Coal'!$D$24:$AW$24), 0), IF($B18='Project List References'!$B$8, _xlfn.IFNA(_xlfn.XLOOKUP(M$2-$C18,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N18" s="661" t="e">
        <f>IF($B18='Project List References'!$B$3, _xlfn.IFNA(_xlfn.XLOOKUP(N$2-$C18, 'GEN-CCGT'!$D$7:$AW$7, 'GEN-CCGT'!$D$24:$AW$24), 0), IF($B18='Project List References'!$B$4, _xlfn.IFNA(_xlfn.XLOOKUP(N$2-$C18, 'GEN-SOLAR'!$D$7:$AW$7, 'GEN-SOLAR'!$D$24:$AW$24), 0), IF($B18='Project List References'!$B$5, _xlfn.IFNA(_xlfn.XLOOKUP(N$2-$C18, 'GEN-BESS'!$D$7:$AW$7, 'GEN-BESS'!$D$24:$AW$24), 0), IF($B18='Project List References'!$B$6, _xlfn.IFNA(_xlfn.XLOOKUP(N$2-$C18, 'GEN-CARBON'!$D$7:$AW$7, 'GEN-CARBON'!$D$24:$AW$24), 0), IF($B18='Project List References'!$B$7, _xlfn.IFNA(_xlfn.XLOOKUP(N$2-$C18, 'SENS Coal'!$D$7:$AW$7, 'SENS Coal'!$D$24:$AW$24), 0), IF($B18='Project List References'!$B$8, _xlfn.IFNA(_xlfn.XLOOKUP(N$2-$C18,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O18" s="661" t="e">
        <f>IF($B18='Project List References'!$B$3, _xlfn.IFNA(_xlfn.XLOOKUP(O$2-$C18, 'GEN-CCGT'!$D$7:$AW$7, 'GEN-CCGT'!$D$24:$AW$24), 0), IF($B18='Project List References'!$B$4, _xlfn.IFNA(_xlfn.XLOOKUP(O$2-$C18, 'GEN-SOLAR'!$D$7:$AW$7, 'GEN-SOLAR'!$D$24:$AW$24), 0), IF($B18='Project List References'!$B$5, _xlfn.IFNA(_xlfn.XLOOKUP(O$2-$C18, 'GEN-BESS'!$D$7:$AW$7, 'GEN-BESS'!$D$24:$AW$24), 0), IF($B18='Project List References'!$B$6, _xlfn.IFNA(_xlfn.XLOOKUP(O$2-$C18, 'GEN-CARBON'!$D$7:$AW$7, 'GEN-CARBON'!$D$24:$AW$24), 0), IF($B18='Project List References'!$B$7, _xlfn.IFNA(_xlfn.XLOOKUP(O$2-$C18, 'SENS Coal'!$D$7:$AW$7, 'SENS Coal'!$D$24:$AW$24), 0), IF($B18='Project List References'!$B$8, _xlfn.IFNA(_xlfn.XLOOKUP(O$2-$C18,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P18" s="661" t="e">
        <f>IF($B18='Project List References'!$B$3, _xlfn.IFNA(_xlfn.XLOOKUP(P$2-$C18, 'GEN-CCGT'!$D$7:$AW$7, 'GEN-CCGT'!$D$24:$AW$24), 0), IF($B18='Project List References'!$B$4, _xlfn.IFNA(_xlfn.XLOOKUP(P$2-$C18, 'GEN-SOLAR'!$D$7:$AW$7, 'GEN-SOLAR'!$D$24:$AW$24), 0), IF($B18='Project List References'!$B$5, _xlfn.IFNA(_xlfn.XLOOKUP(P$2-$C18, 'GEN-BESS'!$D$7:$AW$7, 'GEN-BESS'!$D$24:$AW$24), 0), IF($B18='Project List References'!$B$6, _xlfn.IFNA(_xlfn.XLOOKUP(P$2-$C18, 'GEN-CARBON'!$D$7:$AW$7, 'GEN-CARBON'!$D$24:$AW$24), 0), IF($B18='Project List References'!$B$7, _xlfn.IFNA(_xlfn.XLOOKUP(P$2-$C18, 'SENS Coal'!$D$7:$AW$7, 'SENS Coal'!$D$24:$AW$24), 0), IF($B18='Project List References'!$B$8, _xlfn.IFNA(_xlfn.XLOOKUP(P$2-$C18,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Q18" s="661" t="e">
        <f>IF($B18='Project List References'!$B$3, _xlfn.IFNA(_xlfn.XLOOKUP(Q$2-$C18, 'GEN-CCGT'!$D$7:$AW$7, 'GEN-CCGT'!$D$24:$AW$24), 0), IF($B18='Project List References'!$B$4, _xlfn.IFNA(_xlfn.XLOOKUP(Q$2-$C18, 'GEN-SOLAR'!$D$7:$AW$7, 'GEN-SOLAR'!$D$24:$AW$24), 0), IF($B18='Project List References'!$B$5, _xlfn.IFNA(_xlfn.XLOOKUP(Q$2-$C18, 'GEN-BESS'!$D$7:$AW$7, 'GEN-BESS'!$D$24:$AW$24), 0), IF($B18='Project List References'!$B$6, _xlfn.IFNA(_xlfn.XLOOKUP(Q$2-$C18, 'GEN-CARBON'!$D$7:$AW$7, 'GEN-CARBON'!$D$24:$AW$24), 0), IF($B18='Project List References'!$B$7, _xlfn.IFNA(_xlfn.XLOOKUP(Q$2-$C18, 'SENS Coal'!$D$7:$AW$7, 'SENS Coal'!$D$24:$AW$24), 0), IF($B18='Project List References'!$B$8, _xlfn.IFNA(_xlfn.XLOOKUP(Q$2-$C18,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R18" s="661" t="e">
        <f>IF($B18='Project List References'!$B$3, _xlfn.IFNA(_xlfn.XLOOKUP(R$2-$C18, 'GEN-CCGT'!$D$7:$AW$7, 'GEN-CCGT'!$D$24:$AW$24), 0), IF($B18='Project List References'!$B$4, _xlfn.IFNA(_xlfn.XLOOKUP(R$2-$C18, 'GEN-SOLAR'!$D$7:$AW$7, 'GEN-SOLAR'!$D$24:$AW$24), 0), IF($B18='Project List References'!$B$5, _xlfn.IFNA(_xlfn.XLOOKUP(R$2-$C18, 'GEN-BESS'!$D$7:$AW$7, 'GEN-BESS'!$D$24:$AW$24), 0), IF($B18='Project List References'!$B$6, _xlfn.IFNA(_xlfn.XLOOKUP(R$2-$C18, 'GEN-CARBON'!$D$7:$AW$7, 'GEN-CARBON'!$D$24:$AW$24), 0), IF($B18='Project List References'!$B$7, _xlfn.IFNA(_xlfn.XLOOKUP(R$2-$C18, 'SENS Coal'!$D$7:$AW$7, 'SENS Coal'!$D$24:$AW$24), 0), IF($B18='Project List References'!$B$8, _xlfn.IFNA(_xlfn.XLOOKUP(R$2-$C18,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S18" s="661" t="e">
        <f>IF($B18='Project List References'!$B$3, _xlfn.IFNA(_xlfn.XLOOKUP(S$2-$C18, 'GEN-CCGT'!$D$7:$AW$7, 'GEN-CCGT'!$D$24:$AW$24), 0), IF($B18='Project List References'!$B$4, _xlfn.IFNA(_xlfn.XLOOKUP(S$2-$C18, 'GEN-SOLAR'!$D$7:$AW$7, 'GEN-SOLAR'!$D$24:$AW$24), 0), IF($B18='Project List References'!$B$5, _xlfn.IFNA(_xlfn.XLOOKUP(S$2-$C18, 'GEN-BESS'!$D$7:$AW$7, 'GEN-BESS'!$D$24:$AW$24), 0), IF($B18='Project List References'!$B$6, _xlfn.IFNA(_xlfn.XLOOKUP(S$2-$C18, 'GEN-CARBON'!$D$7:$AW$7, 'GEN-CARBON'!$D$24:$AW$24), 0), IF($B18='Project List References'!$B$7, _xlfn.IFNA(_xlfn.XLOOKUP(S$2-$C18, 'SENS Coal'!$D$7:$AW$7, 'SENS Coal'!$D$24:$AW$24), 0), IF($B18='Project List References'!$B$8, _xlfn.IFNA(_xlfn.XLOOKUP(S$2-$C18,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T18" s="661" t="e">
        <f>IF($B18='Project List References'!$B$3, _xlfn.IFNA(_xlfn.XLOOKUP(T$2-$C18, 'GEN-CCGT'!$D$7:$AW$7, 'GEN-CCGT'!$D$24:$AW$24), 0), IF($B18='Project List References'!$B$4, _xlfn.IFNA(_xlfn.XLOOKUP(T$2-$C18, 'GEN-SOLAR'!$D$7:$AW$7, 'GEN-SOLAR'!$D$24:$AW$24), 0), IF($B18='Project List References'!$B$5, _xlfn.IFNA(_xlfn.XLOOKUP(T$2-$C18, 'GEN-BESS'!$D$7:$AW$7, 'GEN-BESS'!$D$24:$AW$24), 0), IF($B18='Project List References'!$B$6, _xlfn.IFNA(_xlfn.XLOOKUP(T$2-$C18, 'GEN-CARBON'!$D$7:$AW$7, 'GEN-CARBON'!$D$24:$AW$24), 0), IF($B18='Project List References'!$B$7, _xlfn.IFNA(_xlfn.XLOOKUP(T$2-$C18, 'SENS Coal'!$D$7:$AW$7, 'SENS Coal'!$D$24:$AW$24), 0), IF($B18='Project List References'!$B$8, _xlfn.IFNA(_xlfn.XLOOKUP(T$2-$C18, 'SENS Tires'!$D$7:$AW$7, 'SENS Tires'!$D$24:$AW$24),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</row>
    <row r="19" spans="1:20">
      <c r="A19" s="655" t="str">
        <f>IF(ISBLANK('Project Master Sheet'!A19)=FALSE, 'Project Master Sheet'!A19, "")</f>
        <v/>
      </c>
      <c r="B19" s="655" t="str">
        <f>_xlfn.IFNA(_xlfn.XLOOKUP(A19, 'Project Master Sheet'!A:A, 'Project Master Sheet'!D:D), "")</f>
        <v/>
      </c>
      <c r="C19" s="655" t="e">
        <f>_xlfn.XLOOKUP(A19, 'Project Master Sheet'!A:A, 'Project Master Sheet'!I:I)</f>
        <v>#N/A</v>
      </c>
      <c r="E19" s="661" t="e">
        <f>IF($B19='Project List References'!$B$3, _xlfn.IFNA(_xlfn.XLOOKUP(E$2-$C19, 'GEN-CCGT'!$D$7:$AW$7, 'GEN-CCGT'!$D$24:$AW$24), 0), IF($B19='Project List References'!$B$4, _xlfn.IFNA(_xlfn.XLOOKUP(E$2-$C19, 'GEN-SOLAR'!$D$7:$AW$7, 'GEN-SOLAR'!$D$24:$AW$24), 0), IF($B19='Project List References'!$B$5, _xlfn.IFNA(_xlfn.XLOOKUP(E$2-$C19, 'GEN-BESS'!$D$7:$AW$7, 'GEN-BESS'!$D$24:$AW$24), 0), IF($B19='Project List References'!$B$6, _xlfn.IFNA(_xlfn.XLOOKUP(E$2-$C19, 'GEN-CARBON'!$D$7:$AW$7, 'GEN-CARBON'!$D$24:$AW$24), 0), IF($B19='Project List References'!$B$7, _xlfn.IFNA(_xlfn.XLOOKUP(E$2-$C19, 'SENS Coal'!$D$7:$AW$7, 'SENS Coal'!$D$24:$AW$24), 0), IF($B19='Project List References'!$B$8, _xlfn.IFNA(_xlfn.XLOOKUP(E$2-$C19,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F19" s="661" t="e">
        <f>IF($B19='Project List References'!$B$3, _xlfn.IFNA(_xlfn.XLOOKUP(F$2-$C19, 'GEN-CCGT'!$D$7:$AW$7, 'GEN-CCGT'!$D$24:$AW$24), 0), IF($B19='Project List References'!$B$4, _xlfn.IFNA(_xlfn.XLOOKUP(F$2-$C19, 'GEN-SOLAR'!$D$7:$AW$7, 'GEN-SOLAR'!$D$24:$AW$24), 0), IF($B19='Project List References'!$B$5, _xlfn.IFNA(_xlfn.XLOOKUP(F$2-$C19, 'GEN-BESS'!$D$7:$AW$7, 'GEN-BESS'!$D$24:$AW$24), 0), IF($B19='Project List References'!$B$6, _xlfn.IFNA(_xlfn.XLOOKUP(F$2-$C19, 'GEN-CARBON'!$D$7:$AW$7, 'GEN-CARBON'!$D$24:$AW$24), 0), IF($B19='Project List References'!$B$7, _xlfn.IFNA(_xlfn.XLOOKUP(F$2-$C19, 'SENS Coal'!$D$7:$AW$7, 'SENS Coal'!$D$24:$AW$24), 0), IF($B19='Project List References'!$B$8, _xlfn.IFNA(_xlfn.XLOOKUP(F$2-$C19,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G19" s="661" t="e">
        <f>IF($B19='Project List References'!$B$3, _xlfn.IFNA(_xlfn.XLOOKUP(G$2-$C19, 'GEN-CCGT'!$D$7:$AW$7, 'GEN-CCGT'!$D$24:$AW$24), 0), IF($B19='Project List References'!$B$4, _xlfn.IFNA(_xlfn.XLOOKUP(G$2-$C19, 'GEN-SOLAR'!$D$7:$AW$7, 'GEN-SOLAR'!$D$24:$AW$24), 0), IF($B19='Project List References'!$B$5, _xlfn.IFNA(_xlfn.XLOOKUP(G$2-$C19, 'GEN-BESS'!$D$7:$AW$7, 'GEN-BESS'!$D$24:$AW$24), 0), IF($B19='Project List References'!$B$6, _xlfn.IFNA(_xlfn.XLOOKUP(G$2-$C19, 'GEN-CARBON'!$D$7:$AW$7, 'GEN-CARBON'!$D$24:$AW$24), 0), IF($B19='Project List References'!$B$7, _xlfn.IFNA(_xlfn.XLOOKUP(G$2-$C19, 'SENS Coal'!$D$7:$AW$7, 'SENS Coal'!$D$24:$AW$24), 0), IF($B19='Project List References'!$B$8, _xlfn.IFNA(_xlfn.XLOOKUP(G$2-$C19,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H19" s="661" t="e">
        <f>IF($B19='Project List References'!$B$3, _xlfn.IFNA(_xlfn.XLOOKUP(H$2-$C19, 'GEN-CCGT'!$D$7:$AW$7, 'GEN-CCGT'!$D$24:$AW$24), 0), IF($B19='Project List References'!$B$4, _xlfn.IFNA(_xlfn.XLOOKUP(H$2-$C19, 'GEN-SOLAR'!$D$7:$AW$7, 'GEN-SOLAR'!$D$24:$AW$24), 0), IF($B19='Project List References'!$B$5, _xlfn.IFNA(_xlfn.XLOOKUP(H$2-$C19, 'GEN-BESS'!$D$7:$AW$7, 'GEN-BESS'!$D$24:$AW$24), 0), IF($B19='Project List References'!$B$6, _xlfn.IFNA(_xlfn.XLOOKUP(H$2-$C19, 'GEN-CARBON'!$D$7:$AW$7, 'GEN-CARBON'!$D$24:$AW$24), 0), IF($B19='Project List References'!$B$7, _xlfn.IFNA(_xlfn.XLOOKUP(H$2-$C19, 'SENS Coal'!$D$7:$AW$7, 'SENS Coal'!$D$24:$AW$24), 0), IF($B19='Project List References'!$B$8, _xlfn.IFNA(_xlfn.XLOOKUP(H$2-$C19,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I19" s="661" t="e">
        <f>IF($B19='Project List References'!$B$3, _xlfn.IFNA(_xlfn.XLOOKUP(I$2-$C19, 'GEN-CCGT'!$D$7:$AW$7, 'GEN-CCGT'!$D$24:$AW$24), 0), IF($B19='Project List References'!$B$4, _xlfn.IFNA(_xlfn.XLOOKUP(I$2-$C19, 'GEN-SOLAR'!$D$7:$AW$7, 'GEN-SOLAR'!$D$24:$AW$24), 0), IF($B19='Project List References'!$B$5, _xlfn.IFNA(_xlfn.XLOOKUP(I$2-$C19, 'GEN-BESS'!$D$7:$AW$7, 'GEN-BESS'!$D$24:$AW$24), 0), IF($B19='Project List References'!$B$6, _xlfn.IFNA(_xlfn.XLOOKUP(I$2-$C19, 'GEN-CARBON'!$D$7:$AW$7, 'GEN-CARBON'!$D$24:$AW$24), 0), IF($B19='Project List References'!$B$7, _xlfn.IFNA(_xlfn.XLOOKUP(I$2-$C19, 'SENS Coal'!$D$7:$AW$7, 'SENS Coal'!$D$24:$AW$24), 0), IF($B19='Project List References'!$B$8, _xlfn.IFNA(_xlfn.XLOOKUP(I$2-$C19,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J19" s="661" t="e">
        <f>IF($B19='Project List References'!$B$3, _xlfn.IFNA(_xlfn.XLOOKUP(J$2-$C19, 'GEN-CCGT'!$D$7:$AW$7, 'GEN-CCGT'!$D$24:$AW$24), 0), IF($B19='Project List References'!$B$4, _xlfn.IFNA(_xlfn.XLOOKUP(J$2-$C19, 'GEN-SOLAR'!$D$7:$AW$7, 'GEN-SOLAR'!$D$24:$AW$24), 0), IF($B19='Project List References'!$B$5, _xlfn.IFNA(_xlfn.XLOOKUP(J$2-$C19, 'GEN-BESS'!$D$7:$AW$7, 'GEN-BESS'!$D$24:$AW$24), 0), IF($B19='Project List References'!$B$6, _xlfn.IFNA(_xlfn.XLOOKUP(J$2-$C19, 'GEN-CARBON'!$D$7:$AW$7, 'GEN-CARBON'!$D$24:$AW$24), 0), IF($B19='Project List References'!$B$7, _xlfn.IFNA(_xlfn.XLOOKUP(J$2-$C19, 'SENS Coal'!$D$7:$AW$7, 'SENS Coal'!$D$24:$AW$24), 0), IF($B19='Project List References'!$B$8, _xlfn.IFNA(_xlfn.XLOOKUP(J$2-$C19,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K19" s="661" t="e">
        <f>IF($B19='Project List References'!$B$3, _xlfn.IFNA(_xlfn.XLOOKUP(K$2-$C19, 'GEN-CCGT'!$D$7:$AW$7, 'GEN-CCGT'!$D$24:$AW$24), 0), IF($B19='Project List References'!$B$4, _xlfn.IFNA(_xlfn.XLOOKUP(K$2-$C19, 'GEN-SOLAR'!$D$7:$AW$7, 'GEN-SOLAR'!$D$24:$AW$24), 0), IF($B19='Project List References'!$B$5, _xlfn.IFNA(_xlfn.XLOOKUP(K$2-$C19, 'GEN-BESS'!$D$7:$AW$7, 'GEN-BESS'!$D$24:$AW$24), 0), IF($B19='Project List References'!$B$6, _xlfn.IFNA(_xlfn.XLOOKUP(K$2-$C19, 'GEN-CARBON'!$D$7:$AW$7, 'GEN-CARBON'!$D$24:$AW$24), 0), IF($B19='Project List References'!$B$7, _xlfn.IFNA(_xlfn.XLOOKUP(K$2-$C19, 'SENS Coal'!$D$7:$AW$7, 'SENS Coal'!$D$24:$AW$24), 0), IF($B19='Project List References'!$B$8, _xlfn.IFNA(_xlfn.XLOOKUP(K$2-$C19,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L19" s="661" t="e">
        <f>IF($B19='Project List References'!$B$3, _xlfn.IFNA(_xlfn.XLOOKUP(L$2-$C19, 'GEN-CCGT'!$D$7:$AW$7, 'GEN-CCGT'!$D$24:$AW$24), 0), IF($B19='Project List References'!$B$4, _xlfn.IFNA(_xlfn.XLOOKUP(L$2-$C19, 'GEN-SOLAR'!$D$7:$AW$7, 'GEN-SOLAR'!$D$24:$AW$24), 0), IF($B19='Project List References'!$B$5, _xlfn.IFNA(_xlfn.XLOOKUP(L$2-$C19, 'GEN-BESS'!$D$7:$AW$7, 'GEN-BESS'!$D$24:$AW$24), 0), IF($B19='Project List References'!$B$6, _xlfn.IFNA(_xlfn.XLOOKUP(L$2-$C19, 'GEN-CARBON'!$D$7:$AW$7, 'GEN-CARBON'!$D$24:$AW$24), 0), IF($B19='Project List References'!$B$7, _xlfn.IFNA(_xlfn.XLOOKUP(L$2-$C19, 'SENS Coal'!$D$7:$AW$7, 'SENS Coal'!$D$24:$AW$24), 0), IF($B19='Project List References'!$B$8, _xlfn.IFNA(_xlfn.XLOOKUP(L$2-$C19,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M19" s="661" t="e">
        <f>IF($B19='Project List References'!$B$3, _xlfn.IFNA(_xlfn.XLOOKUP(M$2-$C19, 'GEN-CCGT'!$D$7:$AW$7, 'GEN-CCGT'!$D$24:$AW$24), 0), IF($B19='Project List References'!$B$4, _xlfn.IFNA(_xlfn.XLOOKUP(M$2-$C19, 'GEN-SOLAR'!$D$7:$AW$7, 'GEN-SOLAR'!$D$24:$AW$24), 0), IF($B19='Project List References'!$B$5, _xlfn.IFNA(_xlfn.XLOOKUP(M$2-$C19, 'GEN-BESS'!$D$7:$AW$7, 'GEN-BESS'!$D$24:$AW$24), 0), IF($B19='Project List References'!$B$6, _xlfn.IFNA(_xlfn.XLOOKUP(M$2-$C19, 'GEN-CARBON'!$D$7:$AW$7, 'GEN-CARBON'!$D$24:$AW$24), 0), IF($B19='Project List References'!$B$7, _xlfn.IFNA(_xlfn.XLOOKUP(M$2-$C19, 'SENS Coal'!$D$7:$AW$7, 'SENS Coal'!$D$24:$AW$24), 0), IF($B19='Project List References'!$B$8, _xlfn.IFNA(_xlfn.XLOOKUP(M$2-$C19,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N19" s="661" t="e">
        <f>IF($B19='Project List References'!$B$3, _xlfn.IFNA(_xlfn.XLOOKUP(N$2-$C19, 'GEN-CCGT'!$D$7:$AW$7, 'GEN-CCGT'!$D$24:$AW$24), 0), IF($B19='Project List References'!$B$4, _xlfn.IFNA(_xlfn.XLOOKUP(N$2-$C19, 'GEN-SOLAR'!$D$7:$AW$7, 'GEN-SOLAR'!$D$24:$AW$24), 0), IF($B19='Project List References'!$B$5, _xlfn.IFNA(_xlfn.XLOOKUP(N$2-$C19, 'GEN-BESS'!$D$7:$AW$7, 'GEN-BESS'!$D$24:$AW$24), 0), IF($B19='Project List References'!$B$6, _xlfn.IFNA(_xlfn.XLOOKUP(N$2-$C19, 'GEN-CARBON'!$D$7:$AW$7, 'GEN-CARBON'!$D$24:$AW$24), 0), IF($B19='Project List References'!$B$7, _xlfn.IFNA(_xlfn.XLOOKUP(N$2-$C19, 'SENS Coal'!$D$7:$AW$7, 'SENS Coal'!$D$24:$AW$24), 0), IF($B19='Project List References'!$B$8, _xlfn.IFNA(_xlfn.XLOOKUP(N$2-$C19,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O19" s="661" t="e">
        <f>IF($B19='Project List References'!$B$3, _xlfn.IFNA(_xlfn.XLOOKUP(O$2-$C19, 'GEN-CCGT'!$D$7:$AW$7, 'GEN-CCGT'!$D$24:$AW$24), 0), IF($B19='Project List References'!$B$4, _xlfn.IFNA(_xlfn.XLOOKUP(O$2-$C19, 'GEN-SOLAR'!$D$7:$AW$7, 'GEN-SOLAR'!$D$24:$AW$24), 0), IF($B19='Project List References'!$B$5, _xlfn.IFNA(_xlfn.XLOOKUP(O$2-$C19, 'GEN-BESS'!$D$7:$AW$7, 'GEN-BESS'!$D$24:$AW$24), 0), IF($B19='Project List References'!$B$6, _xlfn.IFNA(_xlfn.XLOOKUP(O$2-$C19, 'GEN-CARBON'!$D$7:$AW$7, 'GEN-CARBON'!$D$24:$AW$24), 0), IF($B19='Project List References'!$B$7, _xlfn.IFNA(_xlfn.XLOOKUP(O$2-$C19, 'SENS Coal'!$D$7:$AW$7, 'SENS Coal'!$D$24:$AW$24), 0), IF($B19='Project List References'!$B$8, _xlfn.IFNA(_xlfn.XLOOKUP(O$2-$C19,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P19" s="661" t="e">
        <f>IF($B19='Project List References'!$B$3, _xlfn.IFNA(_xlfn.XLOOKUP(P$2-$C19, 'GEN-CCGT'!$D$7:$AW$7, 'GEN-CCGT'!$D$24:$AW$24), 0), IF($B19='Project List References'!$B$4, _xlfn.IFNA(_xlfn.XLOOKUP(P$2-$C19, 'GEN-SOLAR'!$D$7:$AW$7, 'GEN-SOLAR'!$D$24:$AW$24), 0), IF($B19='Project List References'!$B$5, _xlfn.IFNA(_xlfn.XLOOKUP(P$2-$C19, 'GEN-BESS'!$D$7:$AW$7, 'GEN-BESS'!$D$24:$AW$24), 0), IF($B19='Project List References'!$B$6, _xlfn.IFNA(_xlfn.XLOOKUP(P$2-$C19, 'GEN-CARBON'!$D$7:$AW$7, 'GEN-CARBON'!$D$24:$AW$24), 0), IF($B19='Project List References'!$B$7, _xlfn.IFNA(_xlfn.XLOOKUP(P$2-$C19, 'SENS Coal'!$D$7:$AW$7, 'SENS Coal'!$D$24:$AW$24), 0), IF($B19='Project List References'!$B$8, _xlfn.IFNA(_xlfn.XLOOKUP(P$2-$C19,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Q19" s="661" t="e">
        <f>IF($B19='Project List References'!$B$3, _xlfn.IFNA(_xlfn.XLOOKUP(Q$2-$C19, 'GEN-CCGT'!$D$7:$AW$7, 'GEN-CCGT'!$D$24:$AW$24), 0), IF($B19='Project List References'!$B$4, _xlfn.IFNA(_xlfn.XLOOKUP(Q$2-$C19, 'GEN-SOLAR'!$D$7:$AW$7, 'GEN-SOLAR'!$D$24:$AW$24), 0), IF($B19='Project List References'!$B$5, _xlfn.IFNA(_xlfn.XLOOKUP(Q$2-$C19, 'GEN-BESS'!$D$7:$AW$7, 'GEN-BESS'!$D$24:$AW$24), 0), IF($B19='Project List References'!$B$6, _xlfn.IFNA(_xlfn.XLOOKUP(Q$2-$C19, 'GEN-CARBON'!$D$7:$AW$7, 'GEN-CARBON'!$D$24:$AW$24), 0), IF($B19='Project List References'!$B$7, _xlfn.IFNA(_xlfn.XLOOKUP(Q$2-$C19, 'SENS Coal'!$D$7:$AW$7, 'SENS Coal'!$D$24:$AW$24), 0), IF($B19='Project List References'!$B$8, _xlfn.IFNA(_xlfn.XLOOKUP(Q$2-$C19,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R19" s="661" t="e">
        <f>IF($B19='Project List References'!$B$3, _xlfn.IFNA(_xlfn.XLOOKUP(R$2-$C19, 'GEN-CCGT'!$D$7:$AW$7, 'GEN-CCGT'!$D$24:$AW$24), 0), IF($B19='Project List References'!$B$4, _xlfn.IFNA(_xlfn.XLOOKUP(R$2-$C19, 'GEN-SOLAR'!$D$7:$AW$7, 'GEN-SOLAR'!$D$24:$AW$24), 0), IF($B19='Project List References'!$B$5, _xlfn.IFNA(_xlfn.XLOOKUP(R$2-$C19, 'GEN-BESS'!$D$7:$AW$7, 'GEN-BESS'!$D$24:$AW$24), 0), IF($B19='Project List References'!$B$6, _xlfn.IFNA(_xlfn.XLOOKUP(R$2-$C19, 'GEN-CARBON'!$D$7:$AW$7, 'GEN-CARBON'!$D$24:$AW$24), 0), IF($B19='Project List References'!$B$7, _xlfn.IFNA(_xlfn.XLOOKUP(R$2-$C19, 'SENS Coal'!$D$7:$AW$7, 'SENS Coal'!$D$24:$AW$24), 0), IF($B19='Project List References'!$B$8, _xlfn.IFNA(_xlfn.XLOOKUP(R$2-$C19,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S19" s="661" t="e">
        <f>IF($B19='Project List References'!$B$3, _xlfn.IFNA(_xlfn.XLOOKUP(S$2-$C19, 'GEN-CCGT'!$D$7:$AW$7, 'GEN-CCGT'!$D$24:$AW$24), 0), IF($B19='Project List References'!$B$4, _xlfn.IFNA(_xlfn.XLOOKUP(S$2-$C19, 'GEN-SOLAR'!$D$7:$AW$7, 'GEN-SOLAR'!$D$24:$AW$24), 0), IF($B19='Project List References'!$B$5, _xlfn.IFNA(_xlfn.XLOOKUP(S$2-$C19, 'GEN-BESS'!$D$7:$AW$7, 'GEN-BESS'!$D$24:$AW$24), 0), IF($B19='Project List References'!$B$6, _xlfn.IFNA(_xlfn.XLOOKUP(S$2-$C19, 'GEN-CARBON'!$D$7:$AW$7, 'GEN-CARBON'!$D$24:$AW$24), 0), IF($B19='Project List References'!$B$7, _xlfn.IFNA(_xlfn.XLOOKUP(S$2-$C19, 'SENS Coal'!$D$7:$AW$7, 'SENS Coal'!$D$24:$AW$24), 0), IF($B19='Project List References'!$B$8, _xlfn.IFNA(_xlfn.XLOOKUP(S$2-$C19,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T19" s="661" t="e">
        <f>IF($B19='Project List References'!$B$3, _xlfn.IFNA(_xlfn.XLOOKUP(T$2-$C19, 'GEN-CCGT'!$D$7:$AW$7, 'GEN-CCGT'!$D$24:$AW$24), 0), IF($B19='Project List References'!$B$4, _xlfn.IFNA(_xlfn.XLOOKUP(T$2-$C19, 'GEN-SOLAR'!$D$7:$AW$7, 'GEN-SOLAR'!$D$24:$AW$24), 0), IF($B19='Project List References'!$B$5, _xlfn.IFNA(_xlfn.XLOOKUP(T$2-$C19, 'GEN-BESS'!$D$7:$AW$7, 'GEN-BESS'!$D$24:$AW$24), 0), IF($B19='Project List References'!$B$6, _xlfn.IFNA(_xlfn.XLOOKUP(T$2-$C19, 'GEN-CARBON'!$D$7:$AW$7, 'GEN-CARBON'!$D$24:$AW$24), 0), IF($B19='Project List References'!$B$7, _xlfn.IFNA(_xlfn.XLOOKUP(T$2-$C19, 'SENS Coal'!$D$7:$AW$7, 'SENS Coal'!$D$24:$AW$24), 0), IF($B19='Project List References'!$B$8, _xlfn.IFNA(_xlfn.XLOOKUP(T$2-$C19, 'SENS Tires'!$D$7:$AW$7, 'SENS Tires'!$D$24:$AW$24),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</row>
    <row r="20" spans="1:20">
      <c r="A20" s="655" t="str">
        <f>IF(ISBLANK('Project Master Sheet'!A20)=FALSE, 'Project Master Sheet'!A20, "")</f>
        <v/>
      </c>
      <c r="B20" s="655" t="str">
        <f>_xlfn.IFNA(_xlfn.XLOOKUP(A20, 'Project Master Sheet'!A:A, 'Project Master Sheet'!D:D), "")</f>
        <v/>
      </c>
      <c r="C20" s="655" t="e">
        <f>_xlfn.XLOOKUP(A20, 'Project Master Sheet'!A:A, 'Project Master Sheet'!I:I)</f>
        <v>#N/A</v>
      </c>
      <c r="E20" s="661" t="e">
        <f>IF($B20='Project List References'!$B$3, _xlfn.IFNA(_xlfn.XLOOKUP(E$2-$C20, 'GEN-CCGT'!$D$7:$AW$7, 'GEN-CCGT'!$D$24:$AW$24), 0), IF($B20='Project List References'!$B$4, _xlfn.IFNA(_xlfn.XLOOKUP(E$2-$C20, 'GEN-SOLAR'!$D$7:$AW$7, 'GEN-SOLAR'!$D$24:$AW$24), 0), IF($B20='Project List References'!$B$5, _xlfn.IFNA(_xlfn.XLOOKUP(E$2-$C20, 'GEN-BESS'!$D$7:$AW$7, 'GEN-BESS'!$D$24:$AW$24), 0), IF($B20='Project List References'!$B$6, _xlfn.IFNA(_xlfn.XLOOKUP(E$2-$C20, 'GEN-CARBON'!$D$7:$AW$7, 'GEN-CARBON'!$D$24:$AW$24), 0), IF($B20='Project List References'!$B$7, _xlfn.IFNA(_xlfn.XLOOKUP(E$2-$C20, 'SENS Coal'!$D$7:$AW$7, 'SENS Coal'!$D$24:$AW$24), 0), IF($B20='Project List References'!$B$8, _xlfn.IFNA(_xlfn.XLOOKUP(E$2-$C20,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F20" s="661" t="e">
        <f>IF($B20='Project List References'!$B$3, _xlfn.IFNA(_xlfn.XLOOKUP(F$2-$C20, 'GEN-CCGT'!$D$7:$AW$7, 'GEN-CCGT'!$D$24:$AW$24), 0), IF($B20='Project List References'!$B$4, _xlfn.IFNA(_xlfn.XLOOKUP(F$2-$C20, 'GEN-SOLAR'!$D$7:$AW$7, 'GEN-SOLAR'!$D$24:$AW$24), 0), IF($B20='Project List References'!$B$5, _xlfn.IFNA(_xlfn.XLOOKUP(F$2-$C20, 'GEN-BESS'!$D$7:$AW$7, 'GEN-BESS'!$D$24:$AW$24), 0), IF($B20='Project List References'!$B$6, _xlfn.IFNA(_xlfn.XLOOKUP(F$2-$C20, 'GEN-CARBON'!$D$7:$AW$7, 'GEN-CARBON'!$D$24:$AW$24), 0), IF($B20='Project List References'!$B$7, _xlfn.IFNA(_xlfn.XLOOKUP(F$2-$C20, 'SENS Coal'!$D$7:$AW$7, 'SENS Coal'!$D$24:$AW$24), 0), IF($B20='Project List References'!$B$8, _xlfn.IFNA(_xlfn.XLOOKUP(F$2-$C20,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G20" s="661" t="e">
        <f>IF($B20='Project List References'!$B$3, _xlfn.IFNA(_xlfn.XLOOKUP(G$2-$C20, 'GEN-CCGT'!$D$7:$AW$7, 'GEN-CCGT'!$D$24:$AW$24), 0), IF($B20='Project List References'!$B$4, _xlfn.IFNA(_xlfn.XLOOKUP(G$2-$C20, 'GEN-SOLAR'!$D$7:$AW$7, 'GEN-SOLAR'!$D$24:$AW$24), 0), IF($B20='Project List References'!$B$5, _xlfn.IFNA(_xlfn.XLOOKUP(G$2-$C20, 'GEN-BESS'!$D$7:$AW$7, 'GEN-BESS'!$D$24:$AW$24), 0), IF($B20='Project List References'!$B$6, _xlfn.IFNA(_xlfn.XLOOKUP(G$2-$C20, 'GEN-CARBON'!$D$7:$AW$7, 'GEN-CARBON'!$D$24:$AW$24), 0), IF($B20='Project List References'!$B$7, _xlfn.IFNA(_xlfn.XLOOKUP(G$2-$C20, 'SENS Coal'!$D$7:$AW$7, 'SENS Coal'!$D$24:$AW$24), 0), IF($B20='Project List References'!$B$8, _xlfn.IFNA(_xlfn.XLOOKUP(G$2-$C20,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H20" s="661" t="e">
        <f>IF($B20='Project List References'!$B$3, _xlfn.IFNA(_xlfn.XLOOKUP(H$2-$C20, 'GEN-CCGT'!$D$7:$AW$7, 'GEN-CCGT'!$D$24:$AW$24), 0), IF($B20='Project List References'!$B$4, _xlfn.IFNA(_xlfn.XLOOKUP(H$2-$C20, 'GEN-SOLAR'!$D$7:$AW$7, 'GEN-SOLAR'!$D$24:$AW$24), 0), IF($B20='Project List References'!$B$5, _xlfn.IFNA(_xlfn.XLOOKUP(H$2-$C20, 'GEN-BESS'!$D$7:$AW$7, 'GEN-BESS'!$D$24:$AW$24), 0), IF($B20='Project List References'!$B$6, _xlfn.IFNA(_xlfn.XLOOKUP(H$2-$C20, 'GEN-CARBON'!$D$7:$AW$7, 'GEN-CARBON'!$D$24:$AW$24), 0), IF($B20='Project List References'!$B$7, _xlfn.IFNA(_xlfn.XLOOKUP(H$2-$C20, 'SENS Coal'!$D$7:$AW$7, 'SENS Coal'!$D$24:$AW$24), 0), IF($B20='Project List References'!$B$8, _xlfn.IFNA(_xlfn.XLOOKUP(H$2-$C20,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I20" s="661" t="e">
        <f>IF($B20='Project List References'!$B$3, _xlfn.IFNA(_xlfn.XLOOKUP(I$2-$C20, 'GEN-CCGT'!$D$7:$AW$7, 'GEN-CCGT'!$D$24:$AW$24), 0), IF($B20='Project List References'!$B$4, _xlfn.IFNA(_xlfn.XLOOKUP(I$2-$C20, 'GEN-SOLAR'!$D$7:$AW$7, 'GEN-SOLAR'!$D$24:$AW$24), 0), IF($B20='Project List References'!$B$5, _xlfn.IFNA(_xlfn.XLOOKUP(I$2-$C20, 'GEN-BESS'!$D$7:$AW$7, 'GEN-BESS'!$D$24:$AW$24), 0), IF($B20='Project List References'!$B$6, _xlfn.IFNA(_xlfn.XLOOKUP(I$2-$C20, 'GEN-CARBON'!$D$7:$AW$7, 'GEN-CARBON'!$D$24:$AW$24), 0), IF($B20='Project List References'!$B$7, _xlfn.IFNA(_xlfn.XLOOKUP(I$2-$C20, 'SENS Coal'!$D$7:$AW$7, 'SENS Coal'!$D$24:$AW$24), 0), IF($B20='Project List References'!$B$8, _xlfn.IFNA(_xlfn.XLOOKUP(I$2-$C20,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J20" s="661" t="e">
        <f>IF($B20='Project List References'!$B$3, _xlfn.IFNA(_xlfn.XLOOKUP(J$2-$C20, 'GEN-CCGT'!$D$7:$AW$7, 'GEN-CCGT'!$D$24:$AW$24), 0), IF($B20='Project List References'!$B$4, _xlfn.IFNA(_xlfn.XLOOKUP(J$2-$C20, 'GEN-SOLAR'!$D$7:$AW$7, 'GEN-SOLAR'!$D$24:$AW$24), 0), IF($B20='Project List References'!$B$5, _xlfn.IFNA(_xlfn.XLOOKUP(J$2-$C20, 'GEN-BESS'!$D$7:$AW$7, 'GEN-BESS'!$D$24:$AW$24), 0), IF($B20='Project List References'!$B$6, _xlfn.IFNA(_xlfn.XLOOKUP(J$2-$C20, 'GEN-CARBON'!$D$7:$AW$7, 'GEN-CARBON'!$D$24:$AW$24), 0), IF($B20='Project List References'!$B$7, _xlfn.IFNA(_xlfn.XLOOKUP(J$2-$C20, 'SENS Coal'!$D$7:$AW$7, 'SENS Coal'!$D$24:$AW$24), 0), IF($B20='Project List References'!$B$8, _xlfn.IFNA(_xlfn.XLOOKUP(J$2-$C20,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K20" s="661" t="e">
        <f>IF($B20='Project List References'!$B$3, _xlfn.IFNA(_xlfn.XLOOKUP(K$2-$C20, 'GEN-CCGT'!$D$7:$AW$7, 'GEN-CCGT'!$D$24:$AW$24), 0), IF($B20='Project List References'!$B$4, _xlfn.IFNA(_xlfn.XLOOKUP(K$2-$C20, 'GEN-SOLAR'!$D$7:$AW$7, 'GEN-SOLAR'!$D$24:$AW$24), 0), IF($B20='Project List References'!$B$5, _xlfn.IFNA(_xlfn.XLOOKUP(K$2-$C20, 'GEN-BESS'!$D$7:$AW$7, 'GEN-BESS'!$D$24:$AW$24), 0), IF($B20='Project List References'!$B$6, _xlfn.IFNA(_xlfn.XLOOKUP(K$2-$C20, 'GEN-CARBON'!$D$7:$AW$7, 'GEN-CARBON'!$D$24:$AW$24), 0), IF($B20='Project List References'!$B$7, _xlfn.IFNA(_xlfn.XLOOKUP(K$2-$C20, 'SENS Coal'!$D$7:$AW$7, 'SENS Coal'!$D$24:$AW$24), 0), IF($B20='Project List References'!$B$8, _xlfn.IFNA(_xlfn.XLOOKUP(K$2-$C20,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L20" s="661" t="e">
        <f>IF($B20='Project List References'!$B$3, _xlfn.IFNA(_xlfn.XLOOKUP(L$2-$C20, 'GEN-CCGT'!$D$7:$AW$7, 'GEN-CCGT'!$D$24:$AW$24), 0), IF($B20='Project List References'!$B$4, _xlfn.IFNA(_xlfn.XLOOKUP(L$2-$C20, 'GEN-SOLAR'!$D$7:$AW$7, 'GEN-SOLAR'!$D$24:$AW$24), 0), IF($B20='Project List References'!$B$5, _xlfn.IFNA(_xlfn.XLOOKUP(L$2-$C20, 'GEN-BESS'!$D$7:$AW$7, 'GEN-BESS'!$D$24:$AW$24), 0), IF($B20='Project List References'!$B$6, _xlfn.IFNA(_xlfn.XLOOKUP(L$2-$C20, 'GEN-CARBON'!$D$7:$AW$7, 'GEN-CARBON'!$D$24:$AW$24), 0), IF($B20='Project List References'!$B$7, _xlfn.IFNA(_xlfn.XLOOKUP(L$2-$C20, 'SENS Coal'!$D$7:$AW$7, 'SENS Coal'!$D$24:$AW$24), 0), IF($B20='Project List References'!$B$8, _xlfn.IFNA(_xlfn.XLOOKUP(L$2-$C20,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M20" s="661" t="e">
        <f>IF($B20='Project List References'!$B$3, _xlfn.IFNA(_xlfn.XLOOKUP(M$2-$C20, 'GEN-CCGT'!$D$7:$AW$7, 'GEN-CCGT'!$D$24:$AW$24), 0), IF($B20='Project List References'!$B$4, _xlfn.IFNA(_xlfn.XLOOKUP(M$2-$C20, 'GEN-SOLAR'!$D$7:$AW$7, 'GEN-SOLAR'!$D$24:$AW$24), 0), IF($B20='Project List References'!$B$5, _xlfn.IFNA(_xlfn.XLOOKUP(M$2-$C20, 'GEN-BESS'!$D$7:$AW$7, 'GEN-BESS'!$D$24:$AW$24), 0), IF($B20='Project List References'!$B$6, _xlfn.IFNA(_xlfn.XLOOKUP(M$2-$C20, 'GEN-CARBON'!$D$7:$AW$7, 'GEN-CARBON'!$D$24:$AW$24), 0), IF($B20='Project List References'!$B$7, _xlfn.IFNA(_xlfn.XLOOKUP(M$2-$C20, 'SENS Coal'!$D$7:$AW$7, 'SENS Coal'!$D$24:$AW$24), 0), IF($B20='Project List References'!$B$8, _xlfn.IFNA(_xlfn.XLOOKUP(M$2-$C20,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N20" s="661" t="e">
        <f>IF($B20='Project List References'!$B$3, _xlfn.IFNA(_xlfn.XLOOKUP(N$2-$C20, 'GEN-CCGT'!$D$7:$AW$7, 'GEN-CCGT'!$D$24:$AW$24), 0), IF($B20='Project List References'!$B$4, _xlfn.IFNA(_xlfn.XLOOKUP(N$2-$C20, 'GEN-SOLAR'!$D$7:$AW$7, 'GEN-SOLAR'!$D$24:$AW$24), 0), IF($B20='Project List References'!$B$5, _xlfn.IFNA(_xlfn.XLOOKUP(N$2-$C20, 'GEN-BESS'!$D$7:$AW$7, 'GEN-BESS'!$D$24:$AW$24), 0), IF($B20='Project List References'!$B$6, _xlfn.IFNA(_xlfn.XLOOKUP(N$2-$C20, 'GEN-CARBON'!$D$7:$AW$7, 'GEN-CARBON'!$D$24:$AW$24), 0), IF($B20='Project List References'!$B$7, _xlfn.IFNA(_xlfn.XLOOKUP(N$2-$C20, 'SENS Coal'!$D$7:$AW$7, 'SENS Coal'!$D$24:$AW$24), 0), IF($B20='Project List References'!$B$8, _xlfn.IFNA(_xlfn.XLOOKUP(N$2-$C20,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O20" s="661" t="e">
        <f>IF($B20='Project List References'!$B$3, _xlfn.IFNA(_xlfn.XLOOKUP(O$2-$C20, 'GEN-CCGT'!$D$7:$AW$7, 'GEN-CCGT'!$D$24:$AW$24), 0), IF($B20='Project List References'!$B$4, _xlfn.IFNA(_xlfn.XLOOKUP(O$2-$C20, 'GEN-SOLAR'!$D$7:$AW$7, 'GEN-SOLAR'!$D$24:$AW$24), 0), IF($B20='Project List References'!$B$5, _xlfn.IFNA(_xlfn.XLOOKUP(O$2-$C20, 'GEN-BESS'!$D$7:$AW$7, 'GEN-BESS'!$D$24:$AW$24), 0), IF($B20='Project List References'!$B$6, _xlfn.IFNA(_xlfn.XLOOKUP(O$2-$C20, 'GEN-CARBON'!$D$7:$AW$7, 'GEN-CARBON'!$D$24:$AW$24), 0), IF($B20='Project List References'!$B$7, _xlfn.IFNA(_xlfn.XLOOKUP(O$2-$C20, 'SENS Coal'!$D$7:$AW$7, 'SENS Coal'!$D$24:$AW$24), 0), IF($B20='Project List References'!$B$8, _xlfn.IFNA(_xlfn.XLOOKUP(O$2-$C20,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P20" s="661" t="e">
        <f>IF($B20='Project List References'!$B$3, _xlfn.IFNA(_xlfn.XLOOKUP(P$2-$C20, 'GEN-CCGT'!$D$7:$AW$7, 'GEN-CCGT'!$D$24:$AW$24), 0), IF($B20='Project List References'!$B$4, _xlfn.IFNA(_xlfn.XLOOKUP(P$2-$C20, 'GEN-SOLAR'!$D$7:$AW$7, 'GEN-SOLAR'!$D$24:$AW$24), 0), IF($B20='Project List References'!$B$5, _xlfn.IFNA(_xlfn.XLOOKUP(P$2-$C20, 'GEN-BESS'!$D$7:$AW$7, 'GEN-BESS'!$D$24:$AW$24), 0), IF($B20='Project List References'!$B$6, _xlfn.IFNA(_xlfn.XLOOKUP(P$2-$C20, 'GEN-CARBON'!$D$7:$AW$7, 'GEN-CARBON'!$D$24:$AW$24), 0), IF($B20='Project List References'!$B$7, _xlfn.IFNA(_xlfn.XLOOKUP(P$2-$C20, 'SENS Coal'!$D$7:$AW$7, 'SENS Coal'!$D$24:$AW$24), 0), IF($B20='Project List References'!$B$8, _xlfn.IFNA(_xlfn.XLOOKUP(P$2-$C20,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Q20" s="661" t="e">
        <f>IF($B20='Project List References'!$B$3, _xlfn.IFNA(_xlfn.XLOOKUP(Q$2-$C20, 'GEN-CCGT'!$D$7:$AW$7, 'GEN-CCGT'!$D$24:$AW$24), 0), IF($B20='Project List References'!$B$4, _xlfn.IFNA(_xlfn.XLOOKUP(Q$2-$C20, 'GEN-SOLAR'!$D$7:$AW$7, 'GEN-SOLAR'!$D$24:$AW$24), 0), IF($B20='Project List References'!$B$5, _xlfn.IFNA(_xlfn.XLOOKUP(Q$2-$C20, 'GEN-BESS'!$D$7:$AW$7, 'GEN-BESS'!$D$24:$AW$24), 0), IF($B20='Project List References'!$B$6, _xlfn.IFNA(_xlfn.XLOOKUP(Q$2-$C20, 'GEN-CARBON'!$D$7:$AW$7, 'GEN-CARBON'!$D$24:$AW$24), 0), IF($B20='Project List References'!$B$7, _xlfn.IFNA(_xlfn.XLOOKUP(Q$2-$C20, 'SENS Coal'!$D$7:$AW$7, 'SENS Coal'!$D$24:$AW$24), 0), IF($B20='Project List References'!$B$8, _xlfn.IFNA(_xlfn.XLOOKUP(Q$2-$C20,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R20" s="661" t="e">
        <f>IF($B20='Project List References'!$B$3, _xlfn.IFNA(_xlfn.XLOOKUP(R$2-$C20, 'GEN-CCGT'!$D$7:$AW$7, 'GEN-CCGT'!$D$24:$AW$24), 0), IF($B20='Project List References'!$B$4, _xlfn.IFNA(_xlfn.XLOOKUP(R$2-$C20, 'GEN-SOLAR'!$D$7:$AW$7, 'GEN-SOLAR'!$D$24:$AW$24), 0), IF($B20='Project List References'!$B$5, _xlfn.IFNA(_xlfn.XLOOKUP(R$2-$C20, 'GEN-BESS'!$D$7:$AW$7, 'GEN-BESS'!$D$24:$AW$24), 0), IF($B20='Project List References'!$B$6, _xlfn.IFNA(_xlfn.XLOOKUP(R$2-$C20, 'GEN-CARBON'!$D$7:$AW$7, 'GEN-CARBON'!$D$24:$AW$24), 0), IF($B20='Project List References'!$B$7, _xlfn.IFNA(_xlfn.XLOOKUP(R$2-$C20, 'SENS Coal'!$D$7:$AW$7, 'SENS Coal'!$D$24:$AW$24), 0), IF($B20='Project List References'!$B$8, _xlfn.IFNA(_xlfn.XLOOKUP(R$2-$C20,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S20" s="661" t="e">
        <f>IF($B20='Project List References'!$B$3, _xlfn.IFNA(_xlfn.XLOOKUP(S$2-$C20, 'GEN-CCGT'!$D$7:$AW$7, 'GEN-CCGT'!$D$24:$AW$24), 0), IF($B20='Project List References'!$B$4, _xlfn.IFNA(_xlfn.XLOOKUP(S$2-$C20, 'GEN-SOLAR'!$D$7:$AW$7, 'GEN-SOLAR'!$D$24:$AW$24), 0), IF($B20='Project List References'!$B$5, _xlfn.IFNA(_xlfn.XLOOKUP(S$2-$C20, 'GEN-BESS'!$D$7:$AW$7, 'GEN-BESS'!$D$24:$AW$24), 0), IF($B20='Project List References'!$B$6, _xlfn.IFNA(_xlfn.XLOOKUP(S$2-$C20, 'GEN-CARBON'!$D$7:$AW$7, 'GEN-CARBON'!$D$24:$AW$24), 0), IF($B20='Project List References'!$B$7, _xlfn.IFNA(_xlfn.XLOOKUP(S$2-$C20, 'SENS Coal'!$D$7:$AW$7, 'SENS Coal'!$D$24:$AW$24), 0), IF($B20='Project List References'!$B$8, _xlfn.IFNA(_xlfn.XLOOKUP(S$2-$C20,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T20" s="661" t="e">
        <f>IF($B20='Project List References'!$B$3, _xlfn.IFNA(_xlfn.XLOOKUP(T$2-$C20, 'GEN-CCGT'!$D$7:$AW$7, 'GEN-CCGT'!$D$24:$AW$24), 0), IF($B20='Project List References'!$B$4, _xlfn.IFNA(_xlfn.XLOOKUP(T$2-$C20, 'GEN-SOLAR'!$D$7:$AW$7, 'GEN-SOLAR'!$D$24:$AW$24), 0), IF($B20='Project List References'!$B$5, _xlfn.IFNA(_xlfn.XLOOKUP(T$2-$C20, 'GEN-BESS'!$D$7:$AW$7, 'GEN-BESS'!$D$24:$AW$24), 0), IF($B20='Project List References'!$B$6, _xlfn.IFNA(_xlfn.XLOOKUP(T$2-$C20, 'GEN-CARBON'!$D$7:$AW$7, 'GEN-CARBON'!$D$24:$AW$24), 0), IF($B20='Project List References'!$B$7, _xlfn.IFNA(_xlfn.XLOOKUP(T$2-$C20, 'SENS Coal'!$D$7:$AW$7, 'SENS Coal'!$D$24:$AW$24), 0), IF($B20='Project List References'!$B$8, _xlfn.IFNA(_xlfn.XLOOKUP(T$2-$C20, 'SENS Tires'!$D$7:$AW$7, 'SENS Tires'!$D$24:$AW$24),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</row>
    <row r="21" spans="1:20">
      <c r="A21" s="655" t="str">
        <f>IF(ISBLANK('Project Master Sheet'!A21)=FALSE, 'Project Master Sheet'!A21, "")</f>
        <v/>
      </c>
      <c r="B21" s="655" t="str">
        <f>_xlfn.IFNA(_xlfn.XLOOKUP(A21, 'Project Master Sheet'!A:A, 'Project Master Sheet'!D:D), "")</f>
        <v/>
      </c>
      <c r="C21" s="655" t="e">
        <f>_xlfn.XLOOKUP(A21, 'Project Master Sheet'!A:A, 'Project Master Sheet'!I:I)</f>
        <v>#N/A</v>
      </c>
      <c r="E21" s="661" t="e">
        <f>IF($B21='Project List References'!$B$3, _xlfn.IFNA(_xlfn.XLOOKUP(E$2-$C21, 'GEN-CCGT'!$D$7:$AW$7, 'GEN-CCGT'!$D$24:$AW$24), 0), IF($B21='Project List References'!$B$4, _xlfn.IFNA(_xlfn.XLOOKUP(E$2-$C21, 'GEN-SOLAR'!$D$7:$AW$7, 'GEN-SOLAR'!$D$24:$AW$24), 0), IF($B21='Project List References'!$B$5, _xlfn.IFNA(_xlfn.XLOOKUP(E$2-$C21, 'GEN-BESS'!$D$7:$AW$7, 'GEN-BESS'!$D$24:$AW$24), 0), IF($B21='Project List References'!$B$6, _xlfn.IFNA(_xlfn.XLOOKUP(E$2-$C21, 'GEN-CARBON'!$D$7:$AW$7, 'GEN-CARBON'!$D$24:$AW$24), 0), IF($B21='Project List References'!$B$7, _xlfn.IFNA(_xlfn.XLOOKUP(E$2-$C21, 'SENS Coal'!$D$7:$AW$7, 'SENS Coal'!$D$24:$AW$24), 0), IF($B21='Project List References'!$B$8, _xlfn.IFNA(_xlfn.XLOOKUP(E$2-$C21,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F21" s="661" t="e">
        <f>IF($B21='Project List References'!$B$3, _xlfn.IFNA(_xlfn.XLOOKUP(F$2-$C21, 'GEN-CCGT'!$D$7:$AW$7, 'GEN-CCGT'!$D$24:$AW$24), 0), IF($B21='Project List References'!$B$4, _xlfn.IFNA(_xlfn.XLOOKUP(F$2-$C21, 'GEN-SOLAR'!$D$7:$AW$7, 'GEN-SOLAR'!$D$24:$AW$24), 0), IF($B21='Project List References'!$B$5, _xlfn.IFNA(_xlfn.XLOOKUP(F$2-$C21, 'GEN-BESS'!$D$7:$AW$7, 'GEN-BESS'!$D$24:$AW$24), 0), IF($B21='Project List References'!$B$6, _xlfn.IFNA(_xlfn.XLOOKUP(F$2-$C21, 'GEN-CARBON'!$D$7:$AW$7, 'GEN-CARBON'!$D$24:$AW$24), 0), IF($B21='Project List References'!$B$7, _xlfn.IFNA(_xlfn.XLOOKUP(F$2-$C21, 'SENS Coal'!$D$7:$AW$7, 'SENS Coal'!$D$24:$AW$24), 0), IF($B21='Project List References'!$B$8, _xlfn.IFNA(_xlfn.XLOOKUP(F$2-$C21,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G21" s="661" t="e">
        <f>IF($B21='Project List References'!$B$3, _xlfn.IFNA(_xlfn.XLOOKUP(G$2-$C21, 'GEN-CCGT'!$D$7:$AW$7, 'GEN-CCGT'!$D$24:$AW$24), 0), IF($B21='Project List References'!$B$4, _xlfn.IFNA(_xlfn.XLOOKUP(G$2-$C21, 'GEN-SOLAR'!$D$7:$AW$7, 'GEN-SOLAR'!$D$24:$AW$24), 0), IF($B21='Project List References'!$B$5, _xlfn.IFNA(_xlfn.XLOOKUP(G$2-$C21, 'GEN-BESS'!$D$7:$AW$7, 'GEN-BESS'!$D$24:$AW$24), 0), IF($B21='Project List References'!$B$6, _xlfn.IFNA(_xlfn.XLOOKUP(G$2-$C21, 'GEN-CARBON'!$D$7:$AW$7, 'GEN-CARBON'!$D$24:$AW$24), 0), IF($B21='Project List References'!$B$7, _xlfn.IFNA(_xlfn.XLOOKUP(G$2-$C21, 'SENS Coal'!$D$7:$AW$7, 'SENS Coal'!$D$24:$AW$24), 0), IF($B21='Project List References'!$B$8, _xlfn.IFNA(_xlfn.XLOOKUP(G$2-$C21,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H21" s="661" t="e">
        <f>IF($B21='Project List References'!$B$3, _xlfn.IFNA(_xlfn.XLOOKUP(H$2-$C21, 'GEN-CCGT'!$D$7:$AW$7, 'GEN-CCGT'!$D$24:$AW$24), 0), IF($B21='Project List References'!$B$4, _xlfn.IFNA(_xlfn.XLOOKUP(H$2-$C21, 'GEN-SOLAR'!$D$7:$AW$7, 'GEN-SOLAR'!$D$24:$AW$24), 0), IF($B21='Project List References'!$B$5, _xlfn.IFNA(_xlfn.XLOOKUP(H$2-$C21, 'GEN-BESS'!$D$7:$AW$7, 'GEN-BESS'!$D$24:$AW$24), 0), IF($B21='Project List References'!$B$6, _xlfn.IFNA(_xlfn.XLOOKUP(H$2-$C21, 'GEN-CARBON'!$D$7:$AW$7, 'GEN-CARBON'!$D$24:$AW$24), 0), IF($B21='Project List References'!$B$7, _xlfn.IFNA(_xlfn.XLOOKUP(H$2-$C21, 'SENS Coal'!$D$7:$AW$7, 'SENS Coal'!$D$24:$AW$24), 0), IF($B21='Project List References'!$B$8, _xlfn.IFNA(_xlfn.XLOOKUP(H$2-$C21,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I21" s="661" t="e">
        <f>IF($B21='Project List References'!$B$3, _xlfn.IFNA(_xlfn.XLOOKUP(I$2-$C21, 'GEN-CCGT'!$D$7:$AW$7, 'GEN-CCGT'!$D$24:$AW$24), 0), IF($B21='Project List References'!$B$4, _xlfn.IFNA(_xlfn.XLOOKUP(I$2-$C21, 'GEN-SOLAR'!$D$7:$AW$7, 'GEN-SOLAR'!$D$24:$AW$24), 0), IF($B21='Project List References'!$B$5, _xlfn.IFNA(_xlfn.XLOOKUP(I$2-$C21, 'GEN-BESS'!$D$7:$AW$7, 'GEN-BESS'!$D$24:$AW$24), 0), IF($B21='Project List References'!$B$6, _xlfn.IFNA(_xlfn.XLOOKUP(I$2-$C21, 'GEN-CARBON'!$D$7:$AW$7, 'GEN-CARBON'!$D$24:$AW$24), 0), IF($B21='Project List References'!$B$7, _xlfn.IFNA(_xlfn.XLOOKUP(I$2-$C21, 'SENS Coal'!$D$7:$AW$7, 'SENS Coal'!$D$24:$AW$24), 0), IF($B21='Project List References'!$B$8, _xlfn.IFNA(_xlfn.XLOOKUP(I$2-$C21,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J21" s="661" t="e">
        <f>IF($B21='Project List References'!$B$3, _xlfn.IFNA(_xlfn.XLOOKUP(J$2-$C21, 'GEN-CCGT'!$D$7:$AW$7, 'GEN-CCGT'!$D$24:$AW$24), 0), IF($B21='Project List References'!$B$4, _xlfn.IFNA(_xlfn.XLOOKUP(J$2-$C21, 'GEN-SOLAR'!$D$7:$AW$7, 'GEN-SOLAR'!$D$24:$AW$24), 0), IF($B21='Project List References'!$B$5, _xlfn.IFNA(_xlfn.XLOOKUP(J$2-$C21, 'GEN-BESS'!$D$7:$AW$7, 'GEN-BESS'!$D$24:$AW$24), 0), IF($B21='Project List References'!$B$6, _xlfn.IFNA(_xlfn.XLOOKUP(J$2-$C21, 'GEN-CARBON'!$D$7:$AW$7, 'GEN-CARBON'!$D$24:$AW$24), 0), IF($B21='Project List References'!$B$7, _xlfn.IFNA(_xlfn.XLOOKUP(J$2-$C21, 'SENS Coal'!$D$7:$AW$7, 'SENS Coal'!$D$24:$AW$24), 0), IF($B21='Project List References'!$B$8, _xlfn.IFNA(_xlfn.XLOOKUP(J$2-$C21,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K21" s="661" t="e">
        <f>IF($B21='Project List References'!$B$3, _xlfn.IFNA(_xlfn.XLOOKUP(K$2-$C21, 'GEN-CCGT'!$D$7:$AW$7, 'GEN-CCGT'!$D$24:$AW$24), 0), IF($B21='Project List References'!$B$4, _xlfn.IFNA(_xlfn.XLOOKUP(K$2-$C21, 'GEN-SOLAR'!$D$7:$AW$7, 'GEN-SOLAR'!$D$24:$AW$24), 0), IF($B21='Project List References'!$B$5, _xlfn.IFNA(_xlfn.XLOOKUP(K$2-$C21, 'GEN-BESS'!$D$7:$AW$7, 'GEN-BESS'!$D$24:$AW$24), 0), IF($B21='Project List References'!$B$6, _xlfn.IFNA(_xlfn.XLOOKUP(K$2-$C21, 'GEN-CARBON'!$D$7:$AW$7, 'GEN-CARBON'!$D$24:$AW$24), 0), IF($B21='Project List References'!$B$7, _xlfn.IFNA(_xlfn.XLOOKUP(K$2-$C21, 'SENS Coal'!$D$7:$AW$7, 'SENS Coal'!$D$24:$AW$24), 0), IF($B21='Project List References'!$B$8, _xlfn.IFNA(_xlfn.XLOOKUP(K$2-$C21,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L21" s="661" t="e">
        <f>IF($B21='Project List References'!$B$3, _xlfn.IFNA(_xlfn.XLOOKUP(L$2-$C21, 'GEN-CCGT'!$D$7:$AW$7, 'GEN-CCGT'!$D$24:$AW$24), 0), IF($B21='Project List References'!$B$4, _xlfn.IFNA(_xlfn.XLOOKUP(L$2-$C21, 'GEN-SOLAR'!$D$7:$AW$7, 'GEN-SOLAR'!$D$24:$AW$24), 0), IF($B21='Project List References'!$B$5, _xlfn.IFNA(_xlfn.XLOOKUP(L$2-$C21, 'GEN-BESS'!$D$7:$AW$7, 'GEN-BESS'!$D$24:$AW$24), 0), IF($B21='Project List References'!$B$6, _xlfn.IFNA(_xlfn.XLOOKUP(L$2-$C21, 'GEN-CARBON'!$D$7:$AW$7, 'GEN-CARBON'!$D$24:$AW$24), 0), IF($B21='Project List References'!$B$7, _xlfn.IFNA(_xlfn.XLOOKUP(L$2-$C21, 'SENS Coal'!$D$7:$AW$7, 'SENS Coal'!$D$24:$AW$24), 0), IF($B21='Project List References'!$B$8, _xlfn.IFNA(_xlfn.XLOOKUP(L$2-$C21,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M21" s="661" t="e">
        <f>IF($B21='Project List References'!$B$3, _xlfn.IFNA(_xlfn.XLOOKUP(M$2-$C21, 'GEN-CCGT'!$D$7:$AW$7, 'GEN-CCGT'!$D$24:$AW$24), 0), IF($B21='Project List References'!$B$4, _xlfn.IFNA(_xlfn.XLOOKUP(M$2-$C21, 'GEN-SOLAR'!$D$7:$AW$7, 'GEN-SOLAR'!$D$24:$AW$24), 0), IF($B21='Project List References'!$B$5, _xlfn.IFNA(_xlfn.XLOOKUP(M$2-$C21, 'GEN-BESS'!$D$7:$AW$7, 'GEN-BESS'!$D$24:$AW$24), 0), IF($B21='Project List References'!$B$6, _xlfn.IFNA(_xlfn.XLOOKUP(M$2-$C21, 'GEN-CARBON'!$D$7:$AW$7, 'GEN-CARBON'!$D$24:$AW$24), 0), IF($B21='Project List References'!$B$7, _xlfn.IFNA(_xlfn.XLOOKUP(M$2-$C21, 'SENS Coal'!$D$7:$AW$7, 'SENS Coal'!$D$24:$AW$24), 0), IF($B21='Project List References'!$B$8, _xlfn.IFNA(_xlfn.XLOOKUP(M$2-$C21,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N21" s="661" t="e">
        <f>IF($B21='Project List References'!$B$3, _xlfn.IFNA(_xlfn.XLOOKUP(N$2-$C21, 'GEN-CCGT'!$D$7:$AW$7, 'GEN-CCGT'!$D$24:$AW$24), 0), IF($B21='Project List References'!$B$4, _xlfn.IFNA(_xlfn.XLOOKUP(N$2-$C21, 'GEN-SOLAR'!$D$7:$AW$7, 'GEN-SOLAR'!$D$24:$AW$24), 0), IF($B21='Project List References'!$B$5, _xlfn.IFNA(_xlfn.XLOOKUP(N$2-$C21, 'GEN-BESS'!$D$7:$AW$7, 'GEN-BESS'!$D$24:$AW$24), 0), IF($B21='Project List References'!$B$6, _xlfn.IFNA(_xlfn.XLOOKUP(N$2-$C21, 'GEN-CARBON'!$D$7:$AW$7, 'GEN-CARBON'!$D$24:$AW$24), 0), IF($B21='Project List References'!$B$7, _xlfn.IFNA(_xlfn.XLOOKUP(N$2-$C21, 'SENS Coal'!$D$7:$AW$7, 'SENS Coal'!$D$24:$AW$24), 0), IF($B21='Project List References'!$B$8, _xlfn.IFNA(_xlfn.XLOOKUP(N$2-$C21,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O21" s="661" t="e">
        <f>IF($B21='Project List References'!$B$3, _xlfn.IFNA(_xlfn.XLOOKUP(O$2-$C21, 'GEN-CCGT'!$D$7:$AW$7, 'GEN-CCGT'!$D$24:$AW$24), 0), IF($B21='Project List References'!$B$4, _xlfn.IFNA(_xlfn.XLOOKUP(O$2-$C21, 'GEN-SOLAR'!$D$7:$AW$7, 'GEN-SOLAR'!$D$24:$AW$24), 0), IF($B21='Project List References'!$B$5, _xlfn.IFNA(_xlfn.XLOOKUP(O$2-$C21, 'GEN-BESS'!$D$7:$AW$7, 'GEN-BESS'!$D$24:$AW$24), 0), IF($B21='Project List References'!$B$6, _xlfn.IFNA(_xlfn.XLOOKUP(O$2-$C21, 'GEN-CARBON'!$D$7:$AW$7, 'GEN-CARBON'!$D$24:$AW$24), 0), IF($B21='Project List References'!$B$7, _xlfn.IFNA(_xlfn.XLOOKUP(O$2-$C21, 'SENS Coal'!$D$7:$AW$7, 'SENS Coal'!$D$24:$AW$24), 0), IF($B21='Project List References'!$B$8, _xlfn.IFNA(_xlfn.XLOOKUP(O$2-$C21,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P21" s="661" t="e">
        <f>IF($B21='Project List References'!$B$3, _xlfn.IFNA(_xlfn.XLOOKUP(P$2-$C21, 'GEN-CCGT'!$D$7:$AW$7, 'GEN-CCGT'!$D$24:$AW$24), 0), IF($B21='Project List References'!$B$4, _xlfn.IFNA(_xlfn.XLOOKUP(P$2-$C21, 'GEN-SOLAR'!$D$7:$AW$7, 'GEN-SOLAR'!$D$24:$AW$24), 0), IF($B21='Project List References'!$B$5, _xlfn.IFNA(_xlfn.XLOOKUP(P$2-$C21, 'GEN-BESS'!$D$7:$AW$7, 'GEN-BESS'!$D$24:$AW$24), 0), IF($B21='Project List References'!$B$6, _xlfn.IFNA(_xlfn.XLOOKUP(P$2-$C21, 'GEN-CARBON'!$D$7:$AW$7, 'GEN-CARBON'!$D$24:$AW$24), 0), IF($B21='Project List References'!$B$7, _xlfn.IFNA(_xlfn.XLOOKUP(P$2-$C21, 'SENS Coal'!$D$7:$AW$7, 'SENS Coal'!$D$24:$AW$24), 0), IF($B21='Project List References'!$B$8, _xlfn.IFNA(_xlfn.XLOOKUP(P$2-$C21,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Q21" s="661" t="e">
        <f>IF($B21='Project List References'!$B$3, _xlfn.IFNA(_xlfn.XLOOKUP(Q$2-$C21, 'GEN-CCGT'!$D$7:$AW$7, 'GEN-CCGT'!$D$24:$AW$24), 0), IF($B21='Project List References'!$B$4, _xlfn.IFNA(_xlfn.XLOOKUP(Q$2-$C21, 'GEN-SOLAR'!$D$7:$AW$7, 'GEN-SOLAR'!$D$24:$AW$24), 0), IF($B21='Project List References'!$B$5, _xlfn.IFNA(_xlfn.XLOOKUP(Q$2-$C21, 'GEN-BESS'!$D$7:$AW$7, 'GEN-BESS'!$D$24:$AW$24), 0), IF($B21='Project List References'!$B$6, _xlfn.IFNA(_xlfn.XLOOKUP(Q$2-$C21, 'GEN-CARBON'!$D$7:$AW$7, 'GEN-CARBON'!$D$24:$AW$24), 0), IF($B21='Project List References'!$B$7, _xlfn.IFNA(_xlfn.XLOOKUP(Q$2-$C21, 'SENS Coal'!$D$7:$AW$7, 'SENS Coal'!$D$24:$AW$24), 0), IF($B21='Project List References'!$B$8, _xlfn.IFNA(_xlfn.XLOOKUP(Q$2-$C21,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R21" s="661" t="e">
        <f>IF($B21='Project List References'!$B$3, _xlfn.IFNA(_xlfn.XLOOKUP(R$2-$C21, 'GEN-CCGT'!$D$7:$AW$7, 'GEN-CCGT'!$D$24:$AW$24), 0), IF($B21='Project List References'!$B$4, _xlfn.IFNA(_xlfn.XLOOKUP(R$2-$C21, 'GEN-SOLAR'!$D$7:$AW$7, 'GEN-SOLAR'!$D$24:$AW$24), 0), IF($B21='Project List References'!$B$5, _xlfn.IFNA(_xlfn.XLOOKUP(R$2-$C21, 'GEN-BESS'!$D$7:$AW$7, 'GEN-BESS'!$D$24:$AW$24), 0), IF($B21='Project List References'!$B$6, _xlfn.IFNA(_xlfn.XLOOKUP(R$2-$C21, 'GEN-CARBON'!$D$7:$AW$7, 'GEN-CARBON'!$D$24:$AW$24), 0), IF($B21='Project List References'!$B$7, _xlfn.IFNA(_xlfn.XLOOKUP(R$2-$C21, 'SENS Coal'!$D$7:$AW$7, 'SENS Coal'!$D$24:$AW$24), 0), IF($B21='Project List References'!$B$8, _xlfn.IFNA(_xlfn.XLOOKUP(R$2-$C21,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S21" s="661" t="e">
        <f>IF($B21='Project List References'!$B$3, _xlfn.IFNA(_xlfn.XLOOKUP(S$2-$C21, 'GEN-CCGT'!$D$7:$AW$7, 'GEN-CCGT'!$D$24:$AW$24), 0), IF($B21='Project List References'!$B$4, _xlfn.IFNA(_xlfn.XLOOKUP(S$2-$C21, 'GEN-SOLAR'!$D$7:$AW$7, 'GEN-SOLAR'!$D$24:$AW$24), 0), IF($B21='Project List References'!$B$5, _xlfn.IFNA(_xlfn.XLOOKUP(S$2-$C21, 'GEN-BESS'!$D$7:$AW$7, 'GEN-BESS'!$D$24:$AW$24), 0), IF($B21='Project List References'!$B$6, _xlfn.IFNA(_xlfn.XLOOKUP(S$2-$C21, 'GEN-CARBON'!$D$7:$AW$7, 'GEN-CARBON'!$D$24:$AW$24), 0), IF($B21='Project List References'!$B$7, _xlfn.IFNA(_xlfn.XLOOKUP(S$2-$C21, 'SENS Coal'!$D$7:$AW$7, 'SENS Coal'!$D$24:$AW$24), 0), IF($B21='Project List References'!$B$8, _xlfn.IFNA(_xlfn.XLOOKUP(S$2-$C21,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T21" s="661" t="e">
        <f>IF($B21='Project List References'!$B$3, _xlfn.IFNA(_xlfn.XLOOKUP(T$2-$C21, 'GEN-CCGT'!$D$7:$AW$7, 'GEN-CCGT'!$D$24:$AW$24), 0), IF($B21='Project List References'!$B$4, _xlfn.IFNA(_xlfn.XLOOKUP(T$2-$C21, 'GEN-SOLAR'!$D$7:$AW$7, 'GEN-SOLAR'!$D$24:$AW$24), 0), IF($B21='Project List References'!$B$5, _xlfn.IFNA(_xlfn.XLOOKUP(T$2-$C21, 'GEN-BESS'!$D$7:$AW$7, 'GEN-BESS'!$D$24:$AW$24), 0), IF($B21='Project List References'!$B$6, _xlfn.IFNA(_xlfn.XLOOKUP(T$2-$C21, 'GEN-CARBON'!$D$7:$AW$7, 'GEN-CARBON'!$D$24:$AW$24), 0), IF($B21='Project List References'!$B$7, _xlfn.IFNA(_xlfn.XLOOKUP(T$2-$C21, 'SENS Coal'!$D$7:$AW$7, 'SENS Coal'!$D$24:$AW$24), 0), IF($B21='Project List References'!$B$8, _xlfn.IFNA(_xlfn.XLOOKUP(T$2-$C21, 'SENS Tires'!$D$7:$AW$7, 'SENS Tires'!$D$24:$AW$24),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</row>
    <row r="22" spans="1:20">
      <c r="A22" s="655" t="str">
        <f>IF(ISBLANK('Project Master Sheet'!A22)=FALSE, 'Project Master Sheet'!A22, "")</f>
        <v/>
      </c>
      <c r="B22" s="655" t="str">
        <f>_xlfn.IFNA(_xlfn.XLOOKUP(A22, 'Project Master Sheet'!A:A, 'Project Master Sheet'!D:D), "")</f>
        <v/>
      </c>
      <c r="C22" s="655" t="e">
        <f>_xlfn.XLOOKUP(A22, 'Project Master Sheet'!A:A, 'Project Master Sheet'!I:I)</f>
        <v>#N/A</v>
      </c>
      <c r="E22" s="661" t="e">
        <f>IF($B22='Project List References'!$B$3, _xlfn.IFNA(_xlfn.XLOOKUP(E$2-$C22, 'GEN-CCGT'!$D$7:$AW$7, 'GEN-CCGT'!$D$24:$AW$24), 0), IF($B22='Project List References'!$B$4, _xlfn.IFNA(_xlfn.XLOOKUP(E$2-$C22, 'GEN-SOLAR'!$D$7:$AW$7, 'GEN-SOLAR'!$D$24:$AW$24), 0), IF($B22='Project List References'!$B$5, _xlfn.IFNA(_xlfn.XLOOKUP(E$2-$C22, 'GEN-BESS'!$D$7:$AW$7, 'GEN-BESS'!$D$24:$AW$24), 0), IF($B22='Project List References'!$B$6, _xlfn.IFNA(_xlfn.XLOOKUP(E$2-$C22, 'GEN-CARBON'!$D$7:$AW$7, 'GEN-CARBON'!$D$24:$AW$24), 0), IF($B22='Project List References'!$B$7, _xlfn.IFNA(_xlfn.XLOOKUP(E$2-$C22, 'SENS Coal'!$D$7:$AW$7, 'SENS Coal'!$D$24:$AW$24), 0), IF($B22='Project List References'!$B$8, _xlfn.IFNA(_xlfn.XLOOKUP(E$2-$C22,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F22" s="661" t="e">
        <f>IF($B22='Project List References'!$B$3, _xlfn.IFNA(_xlfn.XLOOKUP(F$2-$C22, 'GEN-CCGT'!$D$7:$AW$7, 'GEN-CCGT'!$D$24:$AW$24), 0), IF($B22='Project List References'!$B$4, _xlfn.IFNA(_xlfn.XLOOKUP(F$2-$C22, 'GEN-SOLAR'!$D$7:$AW$7, 'GEN-SOLAR'!$D$24:$AW$24), 0), IF($B22='Project List References'!$B$5, _xlfn.IFNA(_xlfn.XLOOKUP(F$2-$C22, 'GEN-BESS'!$D$7:$AW$7, 'GEN-BESS'!$D$24:$AW$24), 0), IF($B22='Project List References'!$B$6, _xlfn.IFNA(_xlfn.XLOOKUP(F$2-$C22, 'GEN-CARBON'!$D$7:$AW$7, 'GEN-CARBON'!$D$24:$AW$24), 0), IF($B22='Project List References'!$B$7, _xlfn.IFNA(_xlfn.XLOOKUP(F$2-$C22, 'SENS Coal'!$D$7:$AW$7, 'SENS Coal'!$D$24:$AW$24), 0), IF($B22='Project List References'!$B$8, _xlfn.IFNA(_xlfn.XLOOKUP(F$2-$C22,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G22" s="661" t="e">
        <f>IF($B22='Project List References'!$B$3, _xlfn.IFNA(_xlfn.XLOOKUP(G$2-$C22, 'GEN-CCGT'!$D$7:$AW$7, 'GEN-CCGT'!$D$24:$AW$24), 0), IF($B22='Project List References'!$B$4, _xlfn.IFNA(_xlfn.XLOOKUP(G$2-$C22, 'GEN-SOLAR'!$D$7:$AW$7, 'GEN-SOLAR'!$D$24:$AW$24), 0), IF($B22='Project List References'!$B$5, _xlfn.IFNA(_xlfn.XLOOKUP(G$2-$C22, 'GEN-BESS'!$D$7:$AW$7, 'GEN-BESS'!$D$24:$AW$24), 0), IF($B22='Project List References'!$B$6, _xlfn.IFNA(_xlfn.XLOOKUP(G$2-$C22, 'GEN-CARBON'!$D$7:$AW$7, 'GEN-CARBON'!$D$24:$AW$24), 0), IF($B22='Project List References'!$B$7, _xlfn.IFNA(_xlfn.XLOOKUP(G$2-$C22, 'SENS Coal'!$D$7:$AW$7, 'SENS Coal'!$D$24:$AW$24), 0), IF($B22='Project List References'!$B$8, _xlfn.IFNA(_xlfn.XLOOKUP(G$2-$C22,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H22" s="661" t="e">
        <f>IF($B22='Project List References'!$B$3, _xlfn.IFNA(_xlfn.XLOOKUP(H$2-$C22, 'GEN-CCGT'!$D$7:$AW$7, 'GEN-CCGT'!$D$24:$AW$24), 0), IF($B22='Project List References'!$B$4, _xlfn.IFNA(_xlfn.XLOOKUP(H$2-$C22, 'GEN-SOLAR'!$D$7:$AW$7, 'GEN-SOLAR'!$D$24:$AW$24), 0), IF($B22='Project List References'!$B$5, _xlfn.IFNA(_xlfn.XLOOKUP(H$2-$C22, 'GEN-BESS'!$D$7:$AW$7, 'GEN-BESS'!$D$24:$AW$24), 0), IF($B22='Project List References'!$B$6, _xlfn.IFNA(_xlfn.XLOOKUP(H$2-$C22, 'GEN-CARBON'!$D$7:$AW$7, 'GEN-CARBON'!$D$24:$AW$24), 0), IF($B22='Project List References'!$B$7, _xlfn.IFNA(_xlfn.XLOOKUP(H$2-$C22, 'SENS Coal'!$D$7:$AW$7, 'SENS Coal'!$D$24:$AW$24), 0), IF($B22='Project List References'!$B$8, _xlfn.IFNA(_xlfn.XLOOKUP(H$2-$C22,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I22" s="661" t="e">
        <f>IF($B22='Project List References'!$B$3, _xlfn.IFNA(_xlfn.XLOOKUP(I$2-$C22, 'GEN-CCGT'!$D$7:$AW$7, 'GEN-CCGT'!$D$24:$AW$24), 0), IF($B22='Project List References'!$B$4, _xlfn.IFNA(_xlfn.XLOOKUP(I$2-$C22, 'GEN-SOLAR'!$D$7:$AW$7, 'GEN-SOLAR'!$D$24:$AW$24), 0), IF($B22='Project List References'!$B$5, _xlfn.IFNA(_xlfn.XLOOKUP(I$2-$C22, 'GEN-BESS'!$D$7:$AW$7, 'GEN-BESS'!$D$24:$AW$24), 0), IF($B22='Project List References'!$B$6, _xlfn.IFNA(_xlfn.XLOOKUP(I$2-$C22, 'GEN-CARBON'!$D$7:$AW$7, 'GEN-CARBON'!$D$24:$AW$24), 0), IF($B22='Project List References'!$B$7, _xlfn.IFNA(_xlfn.XLOOKUP(I$2-$C22, 'SENS Coal'!$D$7:$AW$7, 'SENS Coal'!$D$24:$AW$24), 0), IF($B22='Project List References'!$B$8, _xlfn.IFNA(_xlfn.XLOOKUP(I$2-$C22,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J22" s="661" t="e">
        <f>IF($B22='Project List References'!$B$3, _xlfn.IFNA(_xlfn.XLOOKUP(J$2-$C22, 'GEN-CCGT'!$D$7:$AW$7, 'GEN-CCGT'!$D$24:$AW$24), 0), IF($B22='Project List References'!$B$4, _xlfn.IFNA(_xlfn.XLOOKUP(J$2-$C22, 'GEN-SOLAR'!$D$7:$AW$7, 'GEN-SOLAR'!$D$24:$AW$24), 0), IF($B22='Project List References'!$B$5, _xlfn.IFNA(_xlfn.XLOOKUP(J$2-$C22, 'GEN-BESS'!$D$7:$AW$7, 'GEN-BESS'!$D$24:$AW$24), 0), IF($B22='Project List References'!$B$6, _xlfn.IFNA(_xlfn.XLOOKUP(J$2-$C22, 'GEN-CARBON'!$D$7:$AW$7, 'GEN-CARBON'!$D$24:$AW$24), 0), IF($B22='Project List References'!$B$7, _xlfn.IFNA(_xlfn.XLOOKUP(J$2-$C22, 'SENS Coal'!$D$7:$AW$7, 'SENS Coal'!$D$24:$AW$24), 0), IF($B22='Project List References'!$B$8, _xlfn.IFNA(_xlfn.XLOOKUP(J$2-$C22,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K22" s="661" t="e">
        <f>IF($B22='Project List References'!$B$3, _xlfn.IFNA(_xlfn.XLOOKUP(K$2-$C22, 'GEN-CCGT'!$D$7:$AW$7, 'GEN-CCGT'!$D$24:$AW$24), 0), IF($B22='Project List References'!$B$4, _xlfn.IFNA(_xlfn.XLOOKUP(K$2-$C22, 'GEN-SOLAR'!$D$7:$AW$7, 'GEN-SOLAR'!$D$24:$AW$24), 0), IF($B22='Project List References'!$B$5, _xlfn.IFNA(_xlfn.XLOOKUP(K$2-$C22, 'GEN-BESS'!$D$7:$AW$7, 'GEN-BESS'!$D$24:$AW$24), 0), IF($B22='Project List References'!$B$6, _xlfn.IFNA(_xlfn.XLOOKUP(K$2-$C22, 'GEN-CARBON'!$D$7:$AW$7, 'GEN-CARBON'!$D$24:$AW$24), 0), IF($B22='Project List References'!$B$7, _xlfn.IFNA(_xlfn.XLOOKUP(K$2-$C22, 'SENS Coal'!$D$7:$AW$7, 'SENS Coal'!$D$24:$AW$24), 0), IF($B22='Project List References'!$B$8, _xlfn.IFNA(_xlfn.XLOOKUP(K$2-$C22,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L22" s="661" t="e">
        <f>IF($B22='Project List References'!$B$3, _xlfn.IFNA(_xlfn.XLOOKUP(L$2-$C22, 'GEN-CCGT'!$D$7:$AW$7, 'GEN-CCGT'!$D$24:$AW$24), 0), IF($B22='Project List References'!$B$4, _xlfn.IFNA(_xlfn.XLOOKUP(L$2-$C22, 'GEN-SOLAR'!$D$7:$AW$7, 'GEN-SOLAR'!$D$24:$AW$24), 0), IF($B22='Project List References'!$B$5, _xlfn.IFNA(_xlfn.XLOOKUP(L$2-$C22, 'GEN-BESS'!$D$7:$AW$7, 'GEN-BESS'!$D$24:$AW$24), 0), IF($B22='Project List References'!$B$6, _xlfn.IFNA(_xlfn.XLOOKUP(L$2-$C22, 'GEN-CARBON'!$D$7:$AW$7, 'GEN-CARBON'!$D$24:$AW$24), 0), IF($B22='Project List References'!$B$7, _xlfn.IFNA(_xlfn.XLOOKUP(L$2-$C22, 'SENS Coal'!$D$7:$AW$7, 'SENS Coal'!$D$24:$AW$24), 0), IF($B22='Project List References'!$B$8, _xlfn.IFNA(_xlfn.XLOOKUP(L$2-$C22,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M22" s="661" t="e">
        <f>IF($B22='Project List References'!$B$3, _xlfn.IFNA(_xlfn.XLOOKUP(M$2-$C22, 'GEN-CCGT'!$D$7:$AW$7, 'GEN-CCGT'!$D$24:$AW$24), 0), IF($B22='Project List References'!$B$4, _xlfn.IFNA(_xlfn.XLOOKUP(M$2-$C22, 'GEN-SOLAR'!$D$7:$AW$7, 'GEN-SOLAR'!$D$24:$AW$24), 0), IF($B22='Project List References'!$B$5, _xlfn.IFNA(_xlfn.XLOOKUP(M$2-$C22, 'GEN-BESS'!$D$7:$AW$7, 'GEN-BESS'!$D$24:$AW$24), 0), IF($B22='Project List References'!$B$6, _xlfn.IFNA(_xlfn.XLOOKUP(M$2-$C22, 'GEN-CARBON'!$D$7:$AW$7, 'GEN-CARBON'!$D$24:$AW$24), 0), IF($B22='Project List References'!$B$7, _xlfn.IFNA(_xlfn.XLOOKUP(M$2-$C22, 'SENS Coal'!$D$7:$AW$7, 'SENS Coal'!$D$24:$AW$24), 0), IF($B22='Project List References'!$B$8, _xlfn.IFNA(_xlfn.XLOOKUP(M$2-$C22,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N22" s="661" t="e">
        <f>IF($B22='Project List References'!$B$3, _xlfn.IFNA(_xlfn.XLOOKUP(N$2-$C22, 'GEN-CCGT'!$D$7:$AW$7, 'GEN-CCGT'!$D$24:$AW$24), 0), IF($B22='Project List References'!$B$4, _xlfn.IFNA(_xlfn.XLOOKUP(N$2-$C22, 'GEN-SOLAR'!$D$7:$AW$7, 'GEN-SOLAR'!$D$24:$AW$24), 0), IF($B22='Project List References'!$B$5, _xlfn.IFNA(_xlfn.XLOOKUP(N$2-$C22, 'GEN-BESS'!$D$7:$AW$7, 'GEN-BESS'!$D$24:$AW$24), 0), IF($B22='Project List References'!$B$6, _xlfn.IFNA(_xlfn.XLOOKUP(N$2-$C22, 'GEN-CARBON'!$D$7:$AW$7, 'GEN-CARBON'!$D$24:$AW$24), 0), IF($B22='Project List References'!$B$7, _xlfn.IFNA(_xlfn.XLOOKUP(N$2-$C22, 'SENS Coal'!$D$7:$AW$7, 'SENS Coal'!$D$24:$AW$24), 0), IF($B22='Project List References'!$B$8, _xlfn.IFNA(_xlfn.XLOOKUP(N$2-$C22,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O22" s="661" t="e">
        <f>IF($B22='Project List References'!$B$3, _xlfn.IFNA(_xlfn.XLOOKUP(O$2-$C22, 'GEN-CCGT'!$D$7:$AW$7, 'GEN-CCGT'!$D$24:$AW$24), 0), IF($B22='Project List References'!$B$4, _xlfn.IFNA(_xlfn.XLOOKUP(O$2-$C22, 'GEN-SOLAR'!$D$7:$AW$7, 'GEN-SOLAR'!$D$24:$AW$24), 0), IF($B22='Project List References'!$B$5, _xlfn.IFNA(_xlfn.XLOOKUP(O$2-$C22, 'GEN-BESS'!$D$7:$AW$7, 'GEN-BESS'!$D$24:$AW$24), 0), IF($B22='Project List References'!$B$6, _xlfn.IFNA(_xlfn.XLOOKUP(O$2-$C22, 'GEN-CARBON'!$D$7:$AW$7, 'GEN-CARBON'!$D$24:$AW$24), 0), IF($B22='Project List References'!$B$7, _xlfn.IFNA(_xlfn.XLOOKUP(O$2-$C22, 'SENS Coal'!$D$7:$AW$7, 'SENS Coal'!$D$24:$AW$24), 0), IF($B22='Project List References'!$B$8, _xlfn.IFNA(_xlfn.XLOOKUP(O$2-$C22,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P22" s="661" t="e">
        <f>IF($B22='Project List References'!$B$3, _xlfn.IFNA(_xlfn.XLOOKUP(P$2-$C22, 'GEN-CCGT'!$D$7:$AW$7, 'GEN-CCGT'!$D$24:$AW$24), 0), IF($B22='Project List References'!$B$4, _xlfn.IFNA(_xlfn.XLOOKUP(P$2-$C22, 'GEN-SOLAR'!$D$7:$AW$7, 'GEN-SOLAR'!$D$24:$AW$24), 0), IF($B22='Project List References'!$B$5, _xlfn.IFNA(_xlfn.XLOOKUP(P$2-$C22, 'GEN-BESS'!$D$7:$AW$7, 'GEN-BESS'!$D$24:$AW$24), 0), IF($B22='Project List References'!$B$6, _xlfn.IFNA(_xlfn.XLOOKUP(P$2-$C22, 'GEN-CARBON'!$D$7:$AW$7, 'GEN-CARBON'!$D$24:$AW$24), 0), IF($B22='Project List References'!$B$7, _xlfn.IFNA(_xlfn.XLOOKUP(P$2-$C22, 'SENS Coal'!$D$7:$AW$7, 'SENS Coal'!$D$24:$AW$24), 0), IF($B22='Project List References'!$B$8, _xlfn.IFNA(_xlfn.XLOOKUP(P$2-$C22,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Q22" s="661" t="e">
        <f>IF($B22='Project List References'!$B$3, _xlfn.IFNA(_xlfn.XLOOKUP(Q$2-$C22, 'GEN-CCGT'!$D$7:$AW$7, 'GEN-CCGT'!$D$24:$AW$24), 0), IF($B22='Project List References'!$B$4, _xlfn.IFNA(_xlfn.XLOOKUP(Q$2-$C22, 'GEN-SOLAR'!$D$7:$AW$7, 'GEN-SOLAR'!$D$24:$AW$24), 0), IF($B22='Project List References'!$B$5, _xlfn.IFNA(_xlfn.XLOOKUP(Q$2-$C22, 'GEN-BESS'!$D$7:$AW$7, 'GEN-BESS'!$D$24:$AW$24), 0), IF($B22='Project List References'!$B$6, _xlfn.IFNA(_xlfn.XLOOKUP(Q$2-$C22, 'GEN-CARBON'!$D$7:$AW$7, 'GEN-CARBON'!$D$24:$AW$24), 0), IF($B22='Project List References'!$B$7, _xlfn.IFNA(_xlfn.XLOOKUP(Q$2-$C22, 'SENS Coal'!$D$7:$AW$7, 'SENS Coal'!$D$24:$AW$24), 0), IF($B22='Project List References'!$B$8, _xlfn.IFNA(_xlfn.XLOOKUP(Q$2-$C22,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R22" s="661" t="e">
        <f>IF($B22='Project List References'!$B$3, _xlfn.IFNA(_xlfn.XLOOKUP(R$2-$C22, 'GEN-CCGT'!$D$7:$AW$7, 'GEN-CCGT'!$D$24:$AW$24), 0), IF($B22='Project List References'!$B$4, _xlfn.IFNA(_xlfn.XLOOKUP(R$2-$C22, 'GEN-SOLAR'!$D$7:$AW$7, 'GEN-SOLAR'!$D$24:$AW$24), 0), IF($B22='Project List References'!$B$5, _xlfn.IFNA(_xlfn.XLOOKUP(R$2-$C22, 'GEN-BESS'!$D$7:$AW$7, 'GEN-BESS'!$D$24:$AW$24), 0), IF($B22='Project List References'!$B$6, _xlfn.IFNA(_xlfn.XLOOKUP(R$2-$C22, 'GEN-CARBON'!$D$7:$AW$7, 'GEN-CARBON'!$D$24:$AW$24), 0), IF($B22='Project List References'!$B$7, _xlfn.IFNA(_xlfn.XLOOKUP(R$2-$C22, 'SENS Coal'!$D$7:$AW$7, 'SENS Coal'!$D$24:$AW$24), 0), IF($B22='Project List References'!$B$8, _xlfn.IFNA(_xlfn.XLOOKUP(R$2-$C22,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S22" s="661" t="e">
        <f>IF($B22='Project List References'!$B$3, _xlfn.IFNA(_xlfn.XLOOKUP(S$2-$C22, 'GEN-CCGT'!$D$7:$AW$7, 'GEN-CCGT'!$D$24:$AW$24), 0), IF($B22='Project List References'!$B$4, _xlfn.IFNA(_xlfn.XLOOKUP(S$2-$C22, 'GEN-SOLAR'!$D$7:$AW$7, 'GEN-SOLAR'!$D$24:$AW$24), 0), IF($B22='Project List References'!$B$5, _xlfn.IFNA(_xlfn.XLOOKUP(S$2-$C22, 'GEN-BESS'!$D$7:$AW$7, 'GEN-BESS'!$D$24:$AW$24), 0), IF($B22='Project List References'!$B$6, _xlfn.IFNA(_xlfn.XLOOKUP(S$2-$C22, 'GEN-CARBON'!$D$7:$AW$7, 'GEN-CARBON'!$D$24:$AW$24), 0), IF($B22='Project List References'!$B$7, _xlfn.IFNA(_xlfn.XLOOKUP(S$2-$C22, 'SENS Coal'!$D$7:$AW$7, 'SENS Coal'!$D$24:$AW$24), 0), IF($B22='Project List References'!$B$8, _xlfn.IFNA(_xlfn.XLOOKUP(S$2-$C22,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T22" s="661" t="e">
        <f>IF($B22='Project List References'!$B$3, _xlfn.IFNA(_xlfn.XLOOKUP(T$2-$C22, 'GEN-CCGT'!$D$7:$AW$7, 'GEN-CCGT'!$D$24:$AW$24), 0), IF($B22='Project List References'!$B$4, _xlfn.IFNA(_xlfn.XLOOKUP(T$2-$C22, 'GEN-SOLAR'!$D$7:$AW$7, 'GEN-SOLAR'!$D$24:$AW$24), 0), IF($B22='Project List References'!$B$5, _xlfn.IFNA(_xlfn.XLOOKUP(T$2-$C22, 'GEN-BESS'!$D$7:$AW$7, 'GEN-BESS'!$D$24:$AW$24), 0), IF($B22='Project List References'!$B$6, _xlfn.IFNA(_xlfn.XLOOKUP(T$2-$C22, 'GEN-CARBON'!$D$7:$AW$7, 'GEN-CARBON'!$D$24:$AW$24), 0), IF($B22='Project List References'!$B$7, _xlfn.IFNA(_xlfn.XLOOKUP(T$2-$C22, 'SENS Coal'!$D$7:$AW$7, 'SENS Coal'!$D$24:$AW$24), 0), IF($B22='Project List References'!$B$8, _xlfn.IFNA(_xlfn.XLOOKUP(T$2-$C22, 'SENS Tires'!$D$7:$AW$7, 'SENS Tires'!$D$24:$AW$24),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</row>
    <row r="23" spans="1:20">
      <c r="A23" s="655" t="str">
        <f>IF(ISBLANK('Project Master Sheet'!A23)=FALSE, 'Project Master Sheet'!A23, "")</f>
        <v/>
      </c>
      <c r="B23" s="655" t="str">
        <f>_xlfn.IFNA(_xlfn.XLOOKUP(A23, 'Project Master Sheet'!A:A, 'Project Master Sheet'!D:D), "")</f>
        <v/>
      </c>
      <c r="C23" s="655" t="e">
        <f>_xlfn.XLOOKUP(A23, 'Project Master Sheet'!A:A, 'Project Master Sheet'!I:I)</f>
        <v>#N/A</v>
      </c>
      <c r="E23" s="661" t="e">
        <f>IF($B23='Project List References'!$B$3, _xlfn.IFNA(_xlfn.XLOOKUP(E$2-$C23, 'GEN-CCGT'!$D$7:$AW$7, 'GEN-CCGT'!$D$24:$AW$24), 0), IF($B23='Project List References'!$B$4, _xlfn.IFNA(_xlfn.XLOOKUP(E$2-$C23, 'GEN-SOLAR'!$D$7:$AW$7, 'GEN-SOLAR'!$D$24:$AW$24), 0), IF($B23='Project List References'!$B$5, _xlfn.IFNA(_xlfn.XLOOKUP(E$2-$C23, 'GEN-BESS'!$D$7:$AW$7, 'GEN-BESS'!$D$24:$AW$24), 0), IF($B23='Project List References'!$B$6, _xlfn.IFNA(_xlfn.XLOOKUP(E$2-$C23, 'GEN-CARBON'!$D$7:$AW$7, 'GEN-CARBON'!$D$24:$AW$24), 0), IF($B23='Project List References'!$B$7, _xlfn.IFNA(_xlfn.XLOOKUP(E$2-$C23, 'SENS Coal'!$D$7:$AW$7, 'SENS Coal'!$D$24:$AW$24), 0), IF($B23='Project List References'!$B$8, _xlfn.IFNA(_xlfn.XLOOKUP(E$2-$C23,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F23" s="661" t="e">
        <f>IF($B23='Project List References'!$B$3, _xlfn.IFNA(_xlfn.XLOOKUP(F$2-$C23, 'GEN-CCGT'!$D$7:$AW$7, 'GEN-CCGT'!$D$24:$AW$24), 0), IF($B23='Project List References'!$B$4, _xlfn.IFNA(_xlfn.XLOOKUP(F$2-$C23, 'GEN-SOLAR'!$D$7:$AW$7, 'GEN-SOLAR'!$D$24:$AW$24), 0), IF($B23='Project List References'!$B$5, _xlfn.IFNA(_xlfn.XLOOKUP(F$2-$C23, 'GEN-BESS'!$D$7:$AW$7, 'GEN-BESS'!$D$24:$AW$24), 0), IF($B23='Project List References'!$B$6, _xlfn.IFNA(_xlfn.XLOOKUP(F$2-$C23, 'GEN-CARBON'!$D$7:$AW$7, 'GEN-CARBON'!$D$24:$AW$24), 0), IF($B23='Project List References'!$B$7, _xlfn.IFNA(_xlfn.XLOOKUP(F$2-$C23, 'SENS Coal'!$D$7:$AW$7, 'SENS Coal'!$D$24:$AW$24), 0), IF($B23='Project List References'!$B$8, _xlfn.IFNA(_xlfn.XLOOKUP(F$2-$C23,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G23" s="661" t="e">
        <f>IF($B23='Project List References'!$B$3, _xlfn.IFNA(_xlfn.XLOOKUP(G$2-$C23, 'GEN-CCGT'!$D$7:$AW$7, 'GEN-CCGT'!$D$24:$AW$24), 0), IF($B23='Project List References'!$B$4, _xlfn.IFNA(_xlfn.XLOOKUP(G$2-$C23, 'GEN-SOLAR'!$D$7:$AW$7, 'GEN-SOLAR'!$D$24:$AW$24), 0), IF($B23='Project List References'!$B$5, _xlfn.IFNA(_xlfn.XLOOKUP(G$2-$C23, 'GEN-BESS'!$D$7:$AW$7, 'GEN-BESS'!$D$24:$AW$24), 0), IF($B23='Project List References'!$B$6, _xlfn.IFNA(_xlfn.XLOOKUP(G$2-$C23, 'GEN-CARBON'!$D$7:$AW$7, 'GEN-CARBON'!$D$24:$AW$24), 0), IF($B23='Project List References'!$B$7, _xlfn.IFNA(_xlfn.XLOOKUP(G$2-$C23, 'SENS Coal'!$D$7:$AW$7, 'SENS Coal'!$D$24:$AW$24), 0), IF($B23='Project List References'!$B$8, _xlfn.IFNA(_xlfn.XLOOKUP(G$2-$C23,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H23" s="661" t="e">
        <f>IF($B23='Project List References'!$B$3, _xlfn.IFNA(_xlfn.XLOOKUP(H$2-$C23, 'GEN-CCGT'!$D$7:$AW$7, 'GEN-CCGT'!$D$24:$AW$24), 0), IF($B23='Project List References'!$B$4, _xlfn.IFNA(_xlfn.XLOOKUP(H$2-$C23, 'GEN-SOLAR'!$D$7:$AW$7, 'GEN-SOLAR'!$D$24:$AW$24), 0), IF($B23='Project List References'!$B$5, _xlfn.IFNA(_xlfn.XLOOKUP(H$2-$C23, 'GEN-BESS'!$D$7:$AW$7, 'GEN-BESS'!$D$24:$AW$24), 0), IF($B23='Project List References'!$B$6, _xlfn.IFNA(_xlfn.XLOOKUP(H$2-$C23, 'GEN-CARBON'!$D$7:$AW$7, 'GEN-CARBON'!$D$24:$AW$24), 0), IF($B23='Project List References'!$B$7, _xlfn.IFNA(_xlfn.XLOOKUP(H$2-$C23, 'SENS Coal'!$D$7:$AW$7, 'SENS Coal'!$D$24:$AW$24), 0), IF($B23='Project List References'!$B$8, _xlfn.IFNA(_xlfn.XLOOKUP(H$2-$C23,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I23" s="661" t="e">
        <f>IF($B23='Project List References'!$B$3, _xlfn.IFNA(_xlfn.XLOOKUP(I$2-$C23, 'GEN-CCGT'!$D$7:$AW$7, 'GEN-CCGT'!$D$24:$AW$24), 0), IF($B23='Project List References'!$B$4, _xlfn.IFNA(_xlfn.XLOOKUP(I$2-$C23, 'GEN-SOLAR'!$D$7:$AW$7, 'GEN-SOLAR'!$D$24:$AW$24), 0), IF($B23='Project List References'!$B$5, _xlfn.IFNA(_xlfn.XLOOKUP(I$2-$C23, 'GEN-BESS'!$D$7:$AW$7, 'GEN-BESS'!$D$24:$AW$24), 0), IF($B23='Project List References'!$B$6, _xlfn.IFNA(_xlfn.XLOOKUP(I$2-$C23, 'GEN-CARBON'!$D$7:$AW$7, 'GEN-CARBON'!$D$24:$AW$24), 0), IF($B23='Project List References'!$B$7, _xlfn.IFNA(_xlfn.XLOOKUP(I$2-$C23, 'SENS Coal'!$D$7:$AW$7, 'SENS Coal'!$D$24:$AW$24), 0), IF($B23='Project List References'!$B$8, _xlfn.IFNA(_xlfn.XLOOKUP(I$2-$C23,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J23" s="661" t="e">
        <f>IF($B23='Project List References'!$B$3, _xlfn.IFNA(_xlfn.XLOOKUP(J$2-$C23, 'GEN-CCGT'!$D$7:$AW$7, 'GEN-CCGT'!$D$24:$AW$24), 0), IF($B23='Project List References'!$B$4, _xlfn.IFNA(_xlfn.XLOOKUP(J$2-$C23, 'GEN-SOLAR'!$D$7:$AW$7, 'GEN-SOLAR'!$D$24:$AW$24), 0), IF($B23='Project List References'!$B$5, _xlfn.IFNA(_xlfn.XLOOKUP(J$2-$C23, 'GEN-BESS'!$D$7:$AW$7, 'GEN-BESS'!$D$24:$AW$24), 0), IF($B23='Project List References'!$B$6, _xlfn.IFNA(_xlfn.XLOOKUP(J$2-$C23, 'GEN-CARBON'!$D$7:$AW$7, 'GEN-CARBON'!$D$24:$AW$24), 0), IF($B23='Project List References'!$B$7, _xlfn.IFNA(_xlfn.XLOOKUP(J$2-$C23, 'SENS Coal'!$D$7:$AW$7, 'SENS Coal'!$D$24:$AW$24), 0), IF($B23='Project List References'!$B$8, _xlfn.IFNA(_xlfn.XLOOKUP(J$2-$C23,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K23" s="661" t="e">
        <f>IF($B23='Project List References'!$B$3, _xlfn.IFNA(_xlfn.XLOOKUP(K$2-$C23, 'GEN-CCGT'!$D$7:$AW$7, 'GEN-CCGT'!$D$24:$AW$24), 0), IF($B23='Project List References'!$B$4, _xlfn.IFNA(_xlfn.XLOOKUP(K$2-$C23, 'GEN-SOLAR'!$D$7:$AW$7, 'GEN-SOLAR'!$D$24:$AW$24), 0), IF($B23='Project List References'!$B$5, _xlfn.IFNA(_xlfn.XLOOKUP(K$2-$C23, 'GEN-BESS'!$D$7:$AW$7, 'GEN-BESS'!$D$24:$AW$24), 0), IF($B23='Project List References'!$B$6, _xlfn.IFNA(_xlfn.XLOOKUP(K$2-$C23, 'GEN-CARBON'!$D$7:$AW$7, 'GEN-CARBON'!$D$24:$AW$24), 0), IF($B23='Project List References'!$B$7, _xlfn.IFNA(_xlfn.XLOOKUP(K$2-$C23, 'SENS Coal'!$D$7:$AW$7, 'SENS Coal'!$D$24:$AW$24), 0), IF($B23='Project List References'!$B$8, _xlfn.IFNA(_xlfn.XLOOKUP(K$2-$C23,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L23" s="661" t="e">
        <f>IF($B23='Project List References'!$B$3, _xlfn.IFNA(_xlfn.XLOOKUP(L$2-$C23, 'GEN-CCGT'!$D$7:$AW$7, 'GEN-CCGT'!$D$24:$AW$24), 0), IF($B23='Project List References'!$B$4, _xlfn.IFNA(_xlfn.XLOOKUP(L$2-$C23, 'GEN-SOLAR'!$D$7:$AW$7, 'GEN-SOLAR'!$D$24:$AW$24), 0), IF($B23='Project List References'!$B$5, _xlfn.IFNA(_xlfn.XLOOKUP(L$2-$C23, 'GEN-BESS'!$D$7:$AW$7, 'GEN-BESS'!$D$24:$AW$24), 0), IF($B23='Project List References'!$B$6, _xlfn.IFNA(_xlfn.XLOOKUP(L$2-$C23, 'GEN-CARBON'!$D$7:$AW$7, 'GEN-CARBON'!$D$24:$AW$24), 0), IF($B23='Project List References'!$B$7, _xlfn.IFNA(_xlfn.XLOOKUP(L$2-$C23, 'SENS Coal'!$D$7:$AW$7, 'SENS Coal'!$D$24:$AW$24), 0), IF($B23='Project List References'!$B$8, _xlfn.IFNA(_xlfn.XLOOKUP(L$2-$C23,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M23" s="661" t="e">
        <f>IF($B23='Project List References'!$B$3, _xlfn.IFNA(_xlfn.XLOOKUP(M$2-$C23, 'GEN-CCGT'!$D$7:$AW$7, 'GEN-CCGT'!$D$24:$AW$24), 0), IF($B23='Project List References'!$B$4, _xlfn.IFNA(_xlfn.XLOOKUP(M$2-$C23, 'GEN-SOLAR'!$D$7:$AW$7, 'GEN-SOLAR'!$D$24:$AW$24), 0), IF($B23='Project List References'!$B$5, _xlfn.IFNA(_xlfn.XLOOKUP(M$2-$C23, 'GEN-BESS'!$D$7:$AW$7, 'GEN-BESS'!$D$24:$AW$24), 0), IF($B23='Project List References'!$B$6, _xlfn.IFNA(_xlfn.XLOOKUP(M$2-$C23, 'GEN-CARBON'!$D$7:$AW$7, 'GEN-CARBON'!$D$24:$AW$24), 0), IF($B23='Project List References'!$B$7, _xlfn.IFNA(_xlfn.XLOOKUP(M$2-$C23, 'SENS Coal'!$D$7:$AW$7, 'SENS Coal'!$D$24:$AW$24), 0), IF($B23='Project List References'!$B$8, _xlfn.IFNA(_xlfn.XLOOKUP(M$2-$C23,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N23" s="661" t="e">
        <f>IF($B23='Project List References'!$B$3, _xlfn.IFNA(_xlfn.XLOOKUP(N$2-$C23, 'GEN-CCGT'!$D$7:$AW$7, 'GEN-CCGT'!$D$24:$AW$24), 0), IF($B23='Project List References'!$B$4, _xlfn.IFNA(_xlfn.XLOOKUP(N$2-$C23, 'GEN-SOLAR'!$D$7:$AW$7, 'GEN-SOLAR'!$D$24:$AW$24), 0), IF($B23='Project List References'!$B$5, _xlfn.IFNA(_xlfn.XLOOKUP(N$2-$C23, 'GEN-BESS'!$D$7:$AW$7, 'GEN-BESS'!$D$24:$AW$24), 0), IF($B23='Project List References'!$B$6, _xlfn.IFNA(_xlfn.XLOOKUP(N$2-$C23, 'GEN-CARBON'!$D$7:$AW$7, 'GEN-CARBON'!$D$24:$AW$24), 0), IF($B23='Project List References'!$B$7, _xlfn.IFNA(_xlfn.XLOOKUP(N$2-$C23, 'SENS Coal'!$D$7:$AW$7, 'SENS Coal'!$D$24:$AW$24), 0), IF($B23='Project List References'!$B$8, _xlfn.IFNA(_xlfn.XLOOKUP(N$2-$C23,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O23" s="661" t="e">
        <f>IF($B23='Project List References'!$B$3, _xlfn.IFNA(_xlfn.XLOOKUP(O$2-$C23, 'GEN-CCGT'!$D$7:$AW$7, 'GEN-CCGT'!$D$24:$AW$24), 0), IF($B23='Project List References'!$B$4, _xlfn.IFNA(_xlfn.XLOOKUP(O$2-$C23, 'GEN-SOLAR'!$D$7:$AW$7, 'GEN-SOLAR'!$D$24:$AW$24), 0), IF($B23='Project List References'!$B$5, _xlfn.IFNA(_xlfn.XLOOKUP(O$2-$C23, 'GEN-BESS'!$D$7:$AW$7, 'GEN-BESS'!$D$24:$AW$24), 0), IF($B23='Project List References'!$B$6, _xlfn.IFNA(_xlfn.XLOOKUP(O$2-$C23, 'GEN-CARBON'!$D$7:$AW$7, 'GEN-CARBON'!$D$24:$AW$24), 0), IF($B23='Project List References'!$B$7, _xlfn.IFNA(_xlfn.XLOOKUP(O$2-$C23, 'SENS Coal'!$D$7:$AW$7, 'SENS Coal'!$D$24:$AW$24), 0), IF($B23='Project List References'!$B$8, _xlfn.IFNA(_xlfn.XLOOKUP(O$2-$C23,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P23" s="661" t="e">
        <f>IF($B23='Project List References'!$B$3, _xlfn.IFNA(_xlfn.XLOOKUP(P$2-$C23, 'GEN-CCGT'!$D$7:$AW$7, 'GEN-CCGT'!$D$24:$AW$24), 0), IF($B23='Project List References'!$B$4, _xlfn.IFNA(_xlfn.XLOOKUP(P$2-$C23, 'GEN-SOLAR'!$D$7:$AW$7, 'GEN-SOLAR'!$D$24:$AW$24), 0), IF($B23='Project List References'!$B$5, _xlfn.IFNA(_xlfn.XLOOKUP(P$2-$C23, 'GEN-BESS'!$D$7:$AW$7, 'GEN-BESS'!$D$24:$AW$24), 0), IF($B23='Project List References'!$B$6, _xlfn.IFNA(_xlfn.XLOOKUP(P$2-$C23, 'GEN-CARBON'!$D$7:$AW$7, 'GEN-CARBON'!$D$24:$AW$24), 0), IF($B23='Project List References'!$B$7, _xlfn.IFNA(_xlfn.XLOOKUP(P$2-$C23, 'SENS Coal'!$D$7:$AW$7, 'SENS Coal'!$D$24:$AW$24), 0), IF($B23='Project List References'!$B$8, _xlfn.IFNA(_xlfn.XLOOKUP(P$2-$C23,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Q23" s="661" t="e">
        <f>IF($B23='Project List References'!$B$3, _xlfn.IFNA(_xlfn.XLOOKUP(Q$2-$C23, 'GEN-CCGT'!$D$7:$AW$7, 'GEN-CCGT'!$D$24:$AW$24), 0), IF($B23='Project List References'!$B$4, _xlfn.IFNA(_xlfn.XLOOKUP(Q$2-$C23, 'GEN-SOLAR'!$D$7:$AW$7, 'GEN-SOLAR'!$D$24:$AW$24), 0), IF($B23='Project List References'!$B$5, _xlfn.IFNA(_xlfn.XLOOKUP(Q$2-$C23, 'GEN-BESS'!$D$7:$AW$7, 'GEN-BESS'!$D$24:$AW$24), 0), IF($B23='Project List References'!$B$6, _xlfn.IFNA(_xlfn.XLOOKUP(Q$2-$C23, 'GEN-CARBON'!$D$7:$AW$7, 'GEN-CARBON'!$D$24:$AW$24), 0), IF($B23='Project List References'!$B$7, _xlfn.IFNA(_xlfn.XLOOKUP(Q$2-$C23, 'SENS Coal'!$D$7:$AW$7, 'SENS Coal'!$D$24:$AW$24), 0), IF($B23='Project List References'!$B$8, _xlfn.IFNA(_xlfn.XLOOKUP(Q$2-$C23,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R23" s="661" t="e">
        <f>IF($B23='Project List References'!$B$3, _xlfn.IFNA(_xlfn.XLOOKUP(R$2-$C23, 'GEN-CCGT'!$D$7:$AW$7, 'GEN-CCGT'!$D$24:$AW$24), 0), IF($B23='Project List References'!$B$4, _xlfn.IFNA(_xlfn.XLOOKUP(R$2-$C23, 'GEN-SOLAR'!$D$7:$AW$7, 'GEN-SOLAR'!$D$24:$AW$24), 0), IF($B23='Project List References'!$B$5, _xlfn.IFNA(_xlfn.XLOOKUP(R$2-$C23, 'GEN-BESS'!$D$7:$AW$7, 'GEN-BESS'!$D$24:$AW$24), 0), IF($B23='Project List References'!$B$6, _xlfn.IFNA(_xlfn.XLOOKUP(R$2-$C23, 'GEN-CARBON'!$D$7:$AW$7, 'GEN-CARBON'!$D$24:$AW$24), 0), IF($B23='Project List References'!$B$7, _xlfn.IFNA(_xlfn.XLOOKUP(R$2-$C23, 'SENS Coal'!$D$7:$AW$7, 'SENS Coal'!$D$24:$AW$24), 0), IF($B23='Project List References'!$B$8, _xlfn.IFNA(_xlfn.XLOOKUP(R$2-$C23,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S23" s="661" t="e">
        <f>IF($B23='Project List References'!$B$3, _xlfn.IFNA(_xlfn.XLOOKUP(S$2-$C23, 'GEN-CCGT'!$D$7:$AW$7, 'GEN-CCGT'!$D$24:$AW$24), 0), IF($B23='Project List References'!$B$4, _xlfn.IFNA(_xlfn.XLOOKUP(S$2-$C23, 'GEN-SOLAR'!$D$7:$AW$7, 'GEN-SOLAR'!$D$24:$AW$24), 0), IF($B23='Project List References'!$B$5, _xlfn.IFNA(_xlfn.XLOOKUP(S$2-$C23, 'GEN-BESS'!$D$7:$AW$7, 'GEN-BESS'!$D$24:$AW$24), 0), IF($B23='Project List References'!$B$6, _xlfn.IFNA(_xlfn.XLOOKUP(S$2-$C23, 'GEN-CARBON'!$D$7:$AW$7, 'GEN-CARBON'!$D$24:$AW$24), 0), IF($B23='Project List References'!$B$7, _xlfn.IFNA(_xlfn.XLOOKUP(S$2-$C23, 'SENS Coal'!$D$7:$AW$7, 'SENS Coal'!$D$24:$AW$24), 0), IF($B23='Project List References'!$B$8, _xlfn.IFNA(_xlfn.XLOOKUP(S$2-$C23,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T23" s="661" t="e">
        <f>IF($B23='Project List References'!$B$3, _xlfn.IFNA(_xlfn.XLOOKUP(T$2-$C23, 'GEN-CCGT'!$D$7:$AW$7, 'GEN-CCGT'!$D$24:$AW$24), 0), IF($B23='Project List References'!$B$4, _xlfn.IFNA(_xlfn.XLOOKUP(T$2-$C23, 'GEN-SOLAR'!$D$7:$AW$7, 'GEN-SOLAR'!$D$24:$AW$24), 0), IF($B23='Project List References'!$B$5, _xlfn.IFNA(_xlfn.XLOOKUP(T$2-$C23, 'GEN-BESS'!$D$7:$AW$7, 'GEN-BESS'!$D$24:$AW$24), 0), IF($B23='Project List References'!$B$6, _xlfn.IFNA(_xlfn.XLOOKUP(T$2-$C23, 'GEN-CARBON'!$D$7:$AW$7, 'GEN-CARBON'!$D$24:$AW$24), 0), IF($B23='Project List References'!$B$7, _xlfn.IFNA(_xlfn.XLOOKUP(T$2-$C23, 'SENS Coal'!$D$7:$AW$7, 'SENS Coal'!$D$24:$AW$24), 0), IF($B23='Project List References'!$B$8, _xlfn.IFNA(_xlfn.XLOOKUP(T$2-$C23, 'SENS Tires'!$D$7:$AW$7, 'SENS Tires'!$D$24:$AW$24),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</row>
    <row r="24" spans="1:20">
      <c r="A24" s="655" t="str">
        <f>IF(ISBLANK('Project Master Sheet'!A24)=FALSE, 'Project Master Sheet'!A24, "")</f>
        <v/>
      </c>
      <c r="B24" s="655" t="str">
        <f>_xlfn.IFNA(_xlfn.XLOOKUP(A24, 'Project Master Sheet'!A:A, 'Project Master Sheet'!D:D), "")</f>
        <v/>
      </c>
      <c r="C24" s="655" t="e">
        <f>_xlfn.XLOOKUP(A24, 'Project Master Sheet'!A:A, 'Project Master Sheet'!I:I)</f>
        <v>#N/A</v>
      </c>
      <c r="E24" s="661" t="e">
        <f>IF($B24='Project List References'!$B$3, _xlfn.IFNA(_xlfn.XLOOKUP(E$2-$C24, 'GEN-CCGT'!$D$7:$AW$7, 'GEN-CCGT'!$D$24:$AW$24), 0), IF($B24='Project List References'!$B$4, _xlfn.IFNA(_xlfn.XLOOKUP(E$2-$C24, 'GEN-SOLAR'!$D$7:$AW$7, 'GEN-SOLAR'!$D$24:$AW$24), 0), IF($B24='Project List References'!$B$5, _xlfn.IFNA(_xlfn.XLOOKUP(E$2-$C24, 'GEN-BESS'!$D$7:$AW$7, 'GEN-BESS'!$D$24:$AW$24), 0), IF($B24='Project List References'!$B$6, _xlfn.IFNA(_xlfn.XLOOKUP(E$2-$C24, 'GEN-CARBON'!$D$7:$AW$7, 'GEN-CARBON'!$D$24:$AW$24), 0), IF($B24='Project List References'!$B$7, _xlfn.IFNA(_xlfn.XLOOKUP(E$2-$C24, 'SENS Coal'!$D$7:$AW$7, 'SENS Coal'!$D$24:$AW$24), 0), IF($B24='Project List References'!$B$8, _xlfn.IFNA(_xlfn.XLOOKUP(E$2-$C24,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F24" s="661" t="e">
        <f>IF($B24='Project List References'!$B$3, _xlfn.IFNA(_xlfn.XLOOKUP(F$2-$C24, 'GEN-CCGT'!$D$7:$AW$7, 'GEN-CCGT'!$D$24:$AW$24), 0), IF($B24='Project List References'!$B$4, _xlfn.IFNA(_xlfn.XLOOKUP(F$2-$C24, 'GEN-SOLAR'!$D$7:$AW$7, 'GEN-SOLAR'!$D$24:$AW$24), 0), IF($B24='Project List References'!$B$5, _xlfn.IFNA(_xlfn.XLOOKUP(F$2-$C24, 'GEN-BESS'!$D$7:$AW$7, 'GEN-BESS'!$D$24:$AW$24), 0), IF($B24='Project List References'!$B$6, _xlfn.IFNA(_xlfn.XLOOKUP(F$2-$C24, 'GEN-CARBON'!$D$7:$AW$7, 'GEN-CARBON'!$D$24:$AW$24), 0), IF($B24='Project List References'!$B$7, _xlfn.IFNA(_xlfn.XLOOKUP(F$2-$C24, 'SENS Coal'!$D$7:$AW$7, 'SENS Coal'!$D$24:$AW$24), 0), IF($B24='Project List References'!$B$8, _xlfn.IFNA(_xlfn.XLOOKUP(F$2-$C24,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G24" s="661" t="e">
        <f>IF($B24='Project List References'!$B$3, _xlfn.IFNA(_xlfn.XLOOKUP(G$2-$C24, 'GEN-CCGT'!$D$7:$AW$7, 'GEN-CCGT'!$D$24:$AW$24), 0), IF($B24='Project List References'!$B$4, _xlfn.IFNA(_xlfn.XLOOKUP(G$2-$C24, 'GEN-SOLAR'!$D$7:$AW$7, 'GEN-SOLAR'!$D$24:$AW$24), 0), IF($B24='Project List References'!$B$5, _xlfn.IFNA(_xlfn.XLOOKUP(G$2-$C24, 'GEN-BESS'!$D$7:$AW$7, 'GEN-BESS'!$D$24:$AW$24), 0), IF($B24='Project List References'!$B$6, _xlfn.IFNA(_xlfn.XLOOKUP(G$2-$C24, 'GEN-CARBON'!$D$7:$AW$7, 'GEN-CARBON'!$D$24:$AW$24), 0), IF($B24='Project List References'!$B$7, _xlfn.IFNA(_xlfn.XLOOKUP(G$2-$C24, 'SENS Coal'!$D$7:$AW$7, 'SENS Coal'!$D$24:$AW$24), 0), IF($B24='Project List References'!$B$8, _xlfn.IFNA(_xlfn.XLOOKUP(G$2-$C24,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H24" s="661" t="e">
        <f>IF($B24='Project List References'!$B$3, _xlfn.IFNA(_xlfn.XLOOKUP(H$2-$C24, 'GEN-CCGT'!$D$7:$AW$7, 'GEN-CCGT'!$D$24:$AW$24), 0), IF($B24='Project List References'!$B$4, _xlfn.IFNA(_xlfn.XLOOKUP(H$2-$C24, 'GEN-SOLAR'!$D$7:$AW$7, 'GEN-SOLAR'!$D$24:$AW$24), 0), IF($B24='Project List References'!$B$5, _xlfn.IFNA(_xlfn.XLOOKUP(H$2-$C24, 'GEN-BESS'!$D$7:$AW$7, 'GEN-BESS'!$D$24:$AW$24), 0), IF($B24='Project List References'!$B$6, _xlfn.IFNA(_xlfn.XLOOKUP(H$2-$C24, 'GEN-CARBON'!$D$7:$AW$7, 'GEN-CARBON'!$D$24:$AW$24), 0), IF($B24='Project List References'!$B$7, _xlfn.IFNA(_xlfn.XLOOKUP(H$2-$C24, 'SENS Coal'!$D$7:$AW$7, 'SENS Coal'!$D$24:$AW$24), 0), IF($B24='Project List References'!$B$8, _xlfn.IFNA(_xlfn.XLOOKUP(H$2-$C24,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I24" s="661" t="e">
        <f>IF($B24='Project List References'!$B$3, _xlfn.IFNA(_xlfn.XLOOKUP(I$2-$C24, 'GEN-CCGT'!$D$7:$AW$7, 'GEN-CCGT'!$D$24:$AW$24), 0), IF($B24='Project List References'!$B$4, _xlfn.IFNA(_xlfn.XLOOKUP(I$2-$C24, 'GEN-SOLAR'!$D$7:$AW$7, 'GEN-SOLAR'!$D$24:$AW$24), 0), IF($B24='Project List References'!$B$5, _xlfn.IFNA(_xlfn.XLOOKUP(I$2-$C24, 'GEN-BESS'!$D$7:$AW$7, 'GEN-BESS'!$D$24:$AW$24), 0), IF($B24='Project List References'!$B$6, _xlfn.IFNA(_xlfn.XLOOKUP(I$2-$C24, 'GEN-CARBON'!$D$7:$AW$7, 'GEN-CARBON'!$D$24:$AW$24), 0), IF($B24='Project List References'!$B$7, _xlfn.IFNA(_xlfn.XLOOKUP(I$2-$C24, 'SENS Coal'!$D$7:$AW$7, 'SENS Coal'!$D$24:$AW$24), 0), IF($B24='Project List References'!$B$8, _xlfn.IFNA(_xlfn.XLOOKUP(I$2-$C24,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J24" s="661" t="e">
        <f>IF($B24='Project List References'!$B$3, _xlfn.IFNA(_xlfn.XLOOKUP(J$2-$C24, 'GEN-CCGT'!$D$7:$AW$7, 'GEN-CCGT'!$D$24:$AW$24), 0), IF($B24='Project List References'!$B$4, _xlfn.IFNA(_xlfn.XLOOKUP(J$2-$C24, 'GEN-SOLAR'!$D$7:$AW$7, 'GEN-SOLAR'!$D$24:$AW$24), 0), IF($B24='Project List References'!$B$5, _xlfn.IFNA(_xlfn.XLOOKUP(J$2-$C24, 'GEN-BESS'!$D$7:$AW$7, 'GEN-BESS'!$D$24:$AW$24), 0), IF($B24='Project List References'!$B$6, _xlfn.IFNA(_xlfn.XLOOKUP(J$2-$C24, 'GEN-CARBON'!$D$7:$AW$7, 'GEN-CARBON'!$D$24:$AW$24), 0), IF($B24='Project List References'!$B$7, _xlfn.IFNA(_xlfn.XLOOKUP(J$2-$C24, 'SENS Coal'!$D$7:$AW$7, 'SENS Coal'!$D$24:$AW$24), 0), IF($B24='Project List References'!$B$8, _xlfn.IFNA(_xlfn.XLOOKUP(J$2-$C24,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K24" s="661" t="e">
        <f>IF($B24='Project List References'!$B$3, _xlfn.IFNA(_xlfn.XLOOKUP(K$2-$C24, 'GEN-CCGT'!$D$7:$AW$7, 'GEN-CCGT'!$D$24:$AW$24), 0), IF($B24='Project List References'!$B$4, _xlfn.IFNA(_xlfn.XLOOKUP(K$2-$C24, 'GEN-SOLAR'!$D$7:$AW$7, 'GEN-SOLAR'!$D$24:$AW$24), 0), IF($B24='Project List References'!$B$5, _xlfn.IFNA(_xlfn.XLOOKUP(K$2-$C24, 'GEN-BESS'!$D$7:$AW$7, 'GEN-BESS'!$D$24:$AW$24), 0), IF($B24='Project List References'!$B$6, _xlfn.IFNA(_xlfn.XLOOKUP(K$2-$C24, 'GEN-CARBON'!$D$7:$AW$7, 'GEN-CARBON'!$D$24:$AW$24), 0), IF($B24='Project List References'!$B$7, _xlfn.IFNA(_xlfn.XLOOKUP(K$2-$C24, 'SENS Coal'!$D$7:$AW$7, 'SENS Coal'!$D$24:$AW$24), 0), IF($B24='Project List References'!$B$8, _xlfn.IFNA(_xlfn.XLOOKUP(K$2-$C24,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L24" s="661" t="e">
        <f>IF($B24='Project List References'!$B$3, _xlfn.IFNA(_xlfn.XLOOKUP(L$2-$C24, 'GEN-CCGT'!$D$7:$AW$7, 'GEN-CCGT'!$D$24:$AW$24), 0), IF($B24='Project List References'!$B$4, _xlfn.IFNA(_xlfn.XLOOKUP(L$2-$C24, 'GEN-SOLAR'!$D$7:$AW$7, 'GEN-SOLAR'!$D$24:$AW$24), 0), IF($B24='Project List References'!$B$5, _xlfn.IFNA(_xlfn.XLOOKUP(L$2-$C24, 'GEN-BESS'!$D$7:$AW$7, 'GEN-BESS'!$D$24:$AW$24), 0), IF($B24='Project List References'!$B$6, _xlfn.IFNA(_xlfn.XLOOKUP(L$2-$C24, 'GEN-CARBON'!$D$7:$AW$7, 'GEN-CARBON'!$D$24:$AW$24), 0), IF($B24='Project List References'!$B$7, _xlfn.IFNA(_xlfn.XLOOKUP(L$2-$C24, 'SENS Coal'!$D$7:$AW$7, 'SENS Coal'!$D$24:$AW$24), 0), IF($B24='Project List References'!$B$8, _xlfn.IFNA(_xlfn.XLOOKUP(L$2-$C24,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M24" s="661" t="e">
        <f>IF($B24='Project List References'!$B$3, _xlfn.IFNA(_xlfn.XLOOKUP(M$2-$C24, 'GEN-CCGT'!$D$7:$AW$7, 'GEN-CCGT'!$D$24:$AW$24), 0), IF($B24='Project List References'!$B$4, _xlfn.IFNA(_xlfn.XLOOKUP(M$2-$C24, 'GEN-SOLAR'!$D$7:$AW$7, 'GEN-SOLAR'!$D$24:$AW$24), 0), IF($B24='Project List References'!$B$5, _xlfn.IFNA(_xlfn.XLOOKUP(M$2-$C24, 'GEN-BESS'!$D$7:$AW$7, 'GEN-BESS'!$D$24:$AW$24), 0), IF($B24='Project List References'!$B$6, _xlfn.IFNA(_xlfn.XLOOKUP(M$2-$C24, 'GEN-CARBON'!$D$7:$AW$7, 'GEN-CARBON'!$D$24:$AW$24), 0), IF($B24='Project List References'!$B$7, _xlfn.IFNA(_xlfn.XLOOKUP(M$2-$C24, 'SENS Coal'!$D$7:$AW$7, 'SENS Coal'!$D$24:$AW$24), 0), IF($B24='Project List References'!$B$8, _xlfn.IFNA(_xlfn.XLOOKUP(M$2-$C24,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N24" s="661" t="e">
        <f>IF($B24='Project List References'!$B$3, _xlfn.IFNA(_xlfn.XLOOKUP(N$2-$C24, 'GEN-CCGT'!$D$7:$AW$7, 'GEN-CCGT'!$D$24:$AW$24), 0), IF($B24='Project List References'!$B$4, _xlfn.IFNA(_xlfn.XLOOKUP(N$2-$C24, 'GEN-SOLAR'!$D$7:$AW$7, 'GEN-SOLAR'!$D$24:$AW$24), 0), IF($B24='Project List References'!$B$5, _xlfn.IFNA(_xlfn.XLOOKUP(N$2-$C24, 'GEN-BESS'!$D$7:$AW$7, 'GEN-BESS'!$D$24:$AW$24), 0), IF($B24='Project List References'!$B$6, _xlfn.IFNA(_xlfn.XLOOKUP(N$2-$C24, 'GEN-CARBON'!$D$7:$AW$7, 'GEN-CARBON'!$D$24:$AW$24), 0), IF($B24='Project List References'!$B$7, _xlfn.IFNA(_xlfn.XLOOKUP(N$2-$C24, 'SENS Coal'!$D$7:$AW$7, 'SENS Coal'!$D$24:$AW$24), 0), IF($B24='Project List References'!$B$8, _xlfn.IFNA(_xlfn.XLOOKUP(N$2-$C24,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O24" s="661" t="e">
        <f>IF($B24='Project List References'!$B$3, _xlfn.IFNA(_xlfn.XLOOKUP(O$2-$C24, 'GEN-CCGT'!$D$7:$AW$7, 'GEN-CCGT'!$D$24:$AW$24), 0), IF($B24='Project List References'!$B$4, _xlfn.IFNA(_xlfn.XLOOKUP(O$2-$C24, 'GEN-SOLAR'!$D$7:$AW$7, 'GEN-SOLAR'!$D$24:$AW$24), 0), IF($B24='Project List References'!$B$5, _xlfn.IFNA(_xlfn.XLOOKUP(O$2-$C24, 'GEN-BESS'!$D$7:$AW$7, 'GEN-BESS'!$D$24:$AW$24), 0), IF($B24='Project List References'!$B$6, _xlfn.IFNA(_xlfn.XLOOKUP(O$2-$C24, 'GEN-CARBON'!$D$7:$AW$7, 'GEN-CARBON'!$D$24:$AW$24), 0), IF($B24='Project List References'!$B$7, _xlfn.IFNA(_xlfn.XLOOKUP(O$2-$C24, 'SENS Coal'!$D$7:$AW$7, 'SENS Coal'!$D$24:$AW$24), 0), IF($B24='Project List References'!$B$8, _xlfn.IFNA(_xlfn.XLOOKUP(O$2-$C24,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P24" s="661" t="e">
        <f>IF($B24='Project List References'!$B$3, _xlfn.IFNA(_xlfn.XLOOKUP(P$2-$C24, 'GEN-CCGT'!$D$7:$AW$7, 'GEN-CCGT'!$D$24:$AW$24), 0), IF($B24='Project List References'!$B$4, _xlfn.IFNA(_xlfn.XLOOKUP(P$2-$C24, 'GEN-SOLAR'!$D$7:$AW$7, 'GEN-SOLAR'!$D$24:$AW$24), 0), IF($B24='Project List References'!$B$5, _xlfn.IFNA(_xlfn.XLOOKUP(P$2-$C24, 'GEN-BESS'!$D$7:$AW$7, 'GEN-BESS'!$D$24:$AW$24), 0), IF($B24='Project List References'!$B$6, _xlfn.IFNA(_xlfn.XLOOKUP(P$2-$C24, 'GEN-CARBON'!$D$7:$AW$7, 'GEN-CARBON'!$D$24:$AW$24), 0), IF($B24='Project List References'!$B$7, _xlfn.IFNA(_xlfn.XLOOKUP(P$2-$C24, 'SENS Coal'!$D$7:$AW$7, 'SENS Coal'!$D$24:$AW$24), 0), IF($B24='Project List References'!$B$8, _xlfn.IFNA(_xlfn.XLOOKUP(P$2-$C24,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Q24" s="661" t="e">
        <f>IF($B24='Project List References'!$B$3, _xlfn.IFNA(_xlfn.XLOOKUP(Q$2-$C24, 'GEN-CCGT'!$D$7:$AW$7, 'GEN-CCGT'!$D$24:$AW$24), 0), IF($B24='Project List References'!$B$4, _xlfn.IFNA(_xlfn.XLOOKUP(Q$2-$C24, 'GEN-SOLAR'!$D$7:$AW$7, 'GEN-SOLAR'!$D$24:$AW$24), 0), IF($B24='Project List References'!$B$5, _xlfn.IFNA(_xlfn.XLOOKUP(Q$2-$C24, 'GEN-BESS'!$D$7:$AW$7, 'GEN-BESS'!$D$24:$AW$24), 0), IF($B24='Project List References'!$B$6, _xlfn.IFNA(_xlfn.XLOOKUP(Q$2-$C24, 'GEN-CARBON'!$D$7:$AW$7, 'GEN-CARBON'!$D$24:$AW$24), 0), IF($B24='Project List References'!$B$7, _xlfn.IFNA(_xlfn.XLOOKUP(Q$2-$C24, 'SENS Coal'!$D$7:$AW$7, 'SENS Coal'!$D$24:$AW$24), 0), IF($B24='Project List References'!$B$8, _xlfn.IFNA(_xlfn.XLOOKUP(Q$2-$C24,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R24" s="661" t="e">
        <f>IF($B24='Project List References'!$B$3, _xlfn.IFNA(_xlfn.XLOOKUP(R$2-$C24, 'GEN-CCGT'!$D$7:$AW$7, 'GEN-CCGT'!$D$24:$AW$24), 0), IF($B24='Project List References'!$B$4, _xlfn.IFNA(_xlfn.XLOOKUP(R$2-$C24, 'GEN-SOLAR'!$D$7:$AW$7, 'GEN-SOLAR'!$D$24:$AW$24), 0), IF($B24='Project List References'!$B$5, _xlfn.IFNA(_xlfn.XLOOKUP(R$2-$C24, 'GEN-BESS'!$D$7:$AW$7, 'GEN-BESS'!$D$24:$AW$24), 0), IF($B24='Project List References'!$B$6, _xlfn.IFNA(_xlfn.XLOOKUP(R$2-$C24, 'GEN-CARBON'!$D$7:$AW$7, 'GEN-CARBON'!$D$24:$AW$24), 0), IF($B24='Project List References'!$B$7, _xlfn.IFNA(_xlfn.XLOOKUP(R$2-$C24, 'SENS Coal'!$D$7:$AW$7, 'SENS Coal'!$D$24:$AW$24), 0), IF($B24='Project List References'!$B$8, _xlfn.IFNA(_xlfn.XLOOKUP(R$2-$C24,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S24" s="661" t="e">
        <f>IF($B24='Project List References'!$B$3, _xlfn.IFNA(_xlfn.XLOOKUP(S$2-$C24, 'GEN-CCGT'!$D$7:$AW$7, 'GEN-CCGT'!$D$24:$AW$24), 0), IF($B24='Project List References'!$B$4, _xlfn.IFNA(_xlfn.XLOOKUP(S$2-$C24, 'GEN-SOLAR'!$D$7:$AW$7, 'GEN-SOLAR'!$D$24:$AW$24), 0), IF($B24='Project List References'!$B$5, _xlfn.IFNA(_xlfn.XLOOKUP(S$2-$C24, 'GEN-BESS'!$D$7:$AW$7, 'GEN-BESS'!$D$24:$AW$24), 0), IF($B24='Project List References'!$B$6, _xlfn.IFNA(_xlfn.XLOOKUP(S$2-$C24, 'GEN-CARBON'!$D$7:$AW$7, 'GEN-CARBON'!$D$24:$AW$24), 0), IF($B24='Project List References'!$B$7, _xlfn.IFNA(_xlfn.XLOOKUP(S$2-$C24, 'SENS Coal'!$D$7:$AW$7, 'SENS Coal'!$D$24:$AW$24), 0), IF($B24='Project List References'!$B$8, _xlfn.IFNA(_xlfn.XLOOKUP(S$2-$C24,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T24" s="661" t="e">
        <f>IF($B24='Project List References'!$B$3, _xlfn.IFNA(_xlfn.XLOOKUP(T$2-$C24, 'GEN-CCGT'!$D$7:$AW$7, 'GEN-CCGT'!$D$24:$AW$24), 0), IF($B24='Project List References'!$B$4, _xlfn.IFNA(_xlfn.XLOOKUP(T$2-$C24, 'GEN-SOLAR'!$D$7:$AW$7, 'GEN-SOLAR'!$D$24:$AW$24), 0), IF($B24='Project List References'!$B$5, _xlfn.IFNA(_xlfn.XLOOKUP(T$2-$C24, 'GEN-BESS'!$D$7:$AW$7, 'GEN-BESS'!$D$24:$AW$24), 0), IF($B24='Project List References'!$B$6, _xlfn.IFNA(_xlfn.XLOOKUP(T$2-$C24, 'GEN-CARBON'!$D$7:$AW$7, 'GEN-CARBON'!$D$24:$AW$24), 0), IF($B24='Project List References'!$B$7, _xlfn.IFNA(_xlfn.XLOOKUP(T$2-$C24, 'SENS Coal'!$D$7:$AW$7, 'SENS Coal'!$D$24:$AW$24), 0), IF($B24='Project List References'!$B$8, _xlfn.IFNA(_xlfn.XLOOKUP(T$2-$C24, 'SENS Tires'!$D$7:$AW$7, 'SENS Tires'!$D$24:$AW$24),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</row>
    <row r="25" spans="1:20">
      <c r="A25" s="655" t="str">
        <f>IF(ISBLANK('Project Master Sheet'!A25)=FALSE, 'Project Master Sheet'!A25, "")</f>
        <v/>
      </c>
      <c r="B25" s="655" t="str">
        <f>_xlfn.IFNA(_xlfn.XLOOKUP(A25, 'Project Master Sheet'!A:A, 'Project Master Sheet'!D:D), "")</f>
        <v/>
      </c>
      <c r="C25" s="655" t="e">
        <f>_xlfn.XLOOKUP(A25, 'Project Master Sheet'!A:A, 'Project Master Sheet'!I:I)</f>
        <v>#N/A</v>
      </c>
      <c r="E25" s="661" t="e">
        <f>IF($B25='Project List References'!$B$3, _xlfn.IFNA(_xlfn.XLOOKUP(E$2-$C25, 'GEN-CCGT'!$D$7:$AW$7, 'GEN-CCGT'!$D$24:$AW$24), 0), IF($B25='Project List References'!$B$4, _xlfn.IFNA(_xlfn.XLOOKUP(E$2-$C25, 'GEN-SOLAR'!$D$7:$AW$7, 'GEN-SOLAR'!$D$24:$AW$24), 0), IF($B25='Project List References'!$B$5, _xlfn.IFNA(_xlfn.XLOOKUP(E$2-$C25, 'GEN-BESS'!$D$7:$AW$7, 'GEN-BESS'!$D$24:$AW$24), 0), IF($B25='Project List References'!$B$6, _xlfn.IFNA(_xlfn.XLOOKUP(E$2-$C25, 'GEN-CARBON'!$D$7:$AW$7, 'GEN-CARBON'!$D$24:$AW$24), 0), IF($B25='Project List References'!$B$7, _xlfn.IFNA(_xlfn.XLOOKUP(E$2-$C25, 'SENS Coal'!$D$7:$AW$7, 'SENS Coal'!$D$24:$AW$24), 0), IF($B25='Project List References'!$B$8, _xlfn.IFNA(_xlfn.XLOOKUP(E$2-$C25,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F25" s="661" t="e">
        <f>IF($B25='Project List References'!$B$3, _xlfn.IFNA(_xlfn.XLOOKUP(F$2-$C25, 'GEN-CCGT'!$D$7:$AW$7, 'GEN-CCGT'!$D$24:$AW$24), 0), IF($B25='Project List References'!$B$4, _xlfn.IFNA(_xlfn.XLOOKUP(F$2-$C25, 'GEN-SOLAR'!$D$7:$AW$7, 'GEN-SOLAR'!$D$24:$AW$24), 0), IF($B25='Project List References'!$B$5, _xlfn.IFNA(_xlfn.XLOOKUP(F$2-$C25, 'GEN-BESS'!$D$7:$AW$7, 'GEN-BESS'!$D$24:$AW$24), 0), IF($B25='Project List References'!$B$6, _xlfn.IFNA(_xlfn.XLOOKUP(F$2-$C25, 'GEN-CARBON'!$D$7:$AW$7, 'GEN-CARBON'!$D$24:$AW$24), 0), IF($B25='Project List References'!$B$7, _xlfn.IFNA(_xlfn.XLOOKUP(F$2-$C25, 'SENS Coal'!$D$7:$AW$7, 'SENS Coal'!$D$24:$AW$24), 0), IF($B25='Project List References'!$B$8, _xlfn.IFNA(_xlfn.XLOOKUP(F$2-$C25,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G25" s="661" t="e">
        <f>IF($B25='Project List References'!$B$3, _xlfn.IFNA(_xlfn.XLOOKUP(G$2-$C25, 'GEN-CCGT'!$D$7:$AW$7, 'GEN-CCGT'!$D$24:$AW$24), 0), IF($B25='Project List References'!$B$4, _xlfn.IFNA(_xlfn.XLOOKUP(G$2-$C25, 'GEN-SOLAR'!$D$7:$AW$7, 'GEN-SOLAR'!$D$24:$AW$24), 0), IF($B25='Project List References'!$B$5, _xlfn.IFNA(_xlfn.XLOOKUP(G$2-$C25, 'GEN-BESS'!$D$7:$AW$7, 'GEN-BESS'!$D$24:$AW$24), 0), IF($B25='Project List References'!$B$6, _xlfn.IFNA(_xlfn.XLOOKUP(G$2-$C25, 'GEN-CARBON'!$D$7:$AW$7, 'GEN-CARBON'!$D$24:$AW$24), 0), IF($B25='Project List References'!$B$7, _xlfn.IFNA(_xlfn.XLOOKUP(G$2-$C25, 'SENS Coal'!$D$7:$AW$7, 'SENS Coal'!$D$24:$AW$24), 0), IF($B25='Project List References'!$B$8, _xlfn.IFNA(_xlfn.XLOOKUP(G$2-$C25,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H25" s="661" t="e">
        <f>IF($B25='Project List References'!$B$3, _xlfn.IFNA(_xlfn.XLOOKUP(H$2-$C25, 'GEN-CCGT'!$D$7:$AW$7, 'GEN-CCGT'!$D$24:$AW$24), 0), IF($B25='Project List References'!$B$4, _xlfn.IFNA(_xlfn.XLOOKUP(H$2-$C25, 'GEN-SOLAR'!$D$7:$AW$7, 'GEN-SOLAR'!$D$24:$AW$24), 0), IF($B25='Project List References'!$B$5, _xlfn.IFNA(_xlfn.XLOOKUP(H$2-$C25, 'GEN-BESS'!$D$7:$AW$7, 'GEN-BESS'!$D$24:$AW$24), 0), IF($B25='Project List References'!$B$6, _xlfn.IFNA(_xlfn.XLOOKUP(H$2-$C25, 'GEN-CARBON'!$D$7:$AW$7, 'GEN-CARBON'!$D$24:$AW$24), 0), IF($B25='Project List References'!$B$7, _xlfn.IFNA(_xlfn.XLOOKUP(H$2-$C25, 'SENS Coal'!$D$7:$AW$7, 'SENS Coal'!$D$24:$AW$24), 0), IF($B25='Project List References'!$B$8, _xlfn.IFNA(_xlfn.XLOOKUP(H$2-$C25,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I25" s="661" t="e">
        <f>IF($B25='Project List References'!$B$3, _xlfn.IFNA(_xlfn.XLOOKUP(I$2-$C25, 'GEN-CCGT'!$D$7:$AW$7, 'GEN-CCGT'!$D$24:$AW$24), 0), IF($B25='Project List References'!$B$4, _xlfn.IFNA(_xlfn.XLOOKUP(I$2-$C25, 'GEN-SOLAR'!$D$7:$AW$7, 'GEN-SOLAR'!$D$24:$AW$24), 0), IF($B25='Project List References'!$B$5, _xlfn.IFNA(_xlfn.XLOOKUP(I$2-$C25, 'GEN-BESS'!$D$7:$AW$7, 'GEN-BESS'!$D$24:$AW$24), 0), IF($B25='Project List References'!$B$6, _xlfn.IFNA(_xlfn.XLOOKUP(I$2-$C25, 'GEN-CARBON'!$D$7:$AW$7, 'GEN-CARBON'!$D$24:$AW$24), 0), IF($B25='Project List References'!$B$7, _xlfn.IFNA(_xlfn.XLOOKUP(I$2-$C25, 'SENS Coal'!$D$7:$AW$7, 'SENS Coal'!$D$24:$AW$24), 0), IF($B25='Project List References'!$B$8, _xlfn.IFNA(_xlfn.XLOOKUP(I$2-$C25,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J25" s="661" t="e">
        <f>IF($B25='Project List References'!$B$3, _xlfn.IFNA(_xlfn.XLOOKUP(J$2-$C25, 'GEN-CCGT'!$D$7:$AW$7, 'GEN-CCGT'!$D$24:$AW$24), 0), IF($B25='Project List References'!$B$4, _xlfn.IFNA(_xlfn.XLOOKUP(J$2-$C25, 'GEN-SOLAR'!$D$7:$AW$7, 'GEN-SOLAR'!$D$24:$AW$24), 0), IF($B25='Project List References'!$B$5, _xlfn.IFNA(_xlfn.XLOOKUP(J$2-$C25, 'GEN-BESS'!$D$7:$AW$7, 'GEN-BESS'!$D$24:$AW$24), 0), IF($B25='Project List References'!$B$6, _xlfn.IFNA(_xlfn.XLOOKUP(J$2-$C25, 'GEN-CARBON'!$D$7:$AW$7, 'GEN-CARBON'!$D$24:$AW$24), 0), IF($B25='Project List References'!$B$7, _xlfn.IFNA(_xlfn.XLOOKUP(J$2-$C25, 'SENS Coal'!$D$7:$AW$7, 'SENS Coal'!$D$24:$AW$24), 0), IF($B25='Project List References'!$B$8, _xlfn.IFNA(_xlfn.XLOOKUP(J$2-$C25,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K25" s="661" t="e">
        <f>IF($B25='Project List References'!$B$3, _xlfn.IFNA(_xlfn.XLOOKUP(K$2-$C25, 'GEN-CCGT'!$D$7:$AW$7, 'GEN-CCGT'!$D$24:$AW$24), 0), IF($B25='Project List References'!$B$4, _xlfn.IFNA(_xlfn.XLOOKUP(K$2-$C25, 'GEN-SOLAR'!$D$7:$AW$7, 'GEN-SOLAR'!$D$24:$AW$24), 0), IF($B25='Project List References'!$B$5, _xlfn.IFNA(_xlfn.XLOOKUP(K$2-$C25, 'GEN-BESS'!$D$7:$AW$7, 'GEN-BESS'!$D$24:$AW$24), 0), IF($B25='Project List References'!$B$6, _xlfn.IFNA(_xlfn.XLOOKUP(K$2-$C25, 'GEN-CARBON'!$D$7:$AW$7, 'GEN-CARBON'!$D$24:$AW$24), 0), IF($B25='Project List References'!$B$7, _xlfn.IFNA(_xlfn.XLOOKUP(K$2-$C25, 'SENS Coal'!$D$7:$AW$7, 'SENS Coal'!$D$24:$AW$24), 0), IF($B25='Project List References'!$B$8, _xlfn.IFNA(_xlfn.XLOOKUP(K$2-$C25,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L25" s="661" t="e">
        <f>IF($B25='Project List References'!$B$3, _xlfn.IFNA(_xlfn.XLOOKUP(L$2-$C25, 'GEN-CCGT'!$D$7:$AW$7, 'GEN-CCGT'!$D$24:$AW$24), 0), IF($B25='Project List References'!$B$4, _xlfn.IFNA(_xlfn.XLOOKUP(L$2-$C25, 'GEN-SOLAR'!$D$7:$AW$7, 'GEN-SOLAR'!$D$24:$AW$24), 0), IF($B25='Project List References'!$B$5, _xlfn.IFNA(_xlfn.XLOOKUP(L$2-$C25, 'GEN-BESS'!$D$7:$AW$7, 'GEN-BESS'!$D$24:$AW$24), 0), IF($B25='Project List References'!$B$6, _xlfn.IFNA(_xlfn.XLOOKUP(L$2-$C25, 'GEN-CARBON'!$D$7:$AW$7, 'GEN-CARBON'!$D$24:$AW$24), 0), IF($B25='Project List References'!$B$7, _xlfn.IFNA(_xlfn.XLOOKUP(L$2-$C25, 'SENS Coal'!$D$7:$AW$7, 'SENS Coal'!$D$24:$AW$24), 0), IF($B25='Project List References'!$B$8, _xlfn.IFNA(_xlfn.XLOOKUP(L$2-$C25,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M25" s="661" t="e">
        <f>IF($B25='Project List References'!$B$3, _xlfn.IFNA(_xlfn.XLOOKUP(M$2-$C25, 'GEN-CCGT'!$D$7:$AW$7, 'GEN-CCGT'!$D$24:$AW$24), 0), IF($B25='Project List References'!$B$4, _xlfn.IFNA(_xlfn.XLOOKUP(M$2-$C25, 'GEN-SOLAR'!$D$7:$AW$7, 'GEN-SOLAR'!$D$24:$AW$24), 0), IF($B25='Project List References'!$B$5, _xlfn.IFNA(_xlfn.XLOOKUP(M$2-$C25, 'GEN-BESS'!$D$7:$AW$7, 'GEN-BESS'!$D$24:$AW$24), 0), IF($B25='Project List References'!$B$6, _xlfn.IFNA(_xlfn.XLOOKUP(M$2-$C25, 'GEN-CARBON'!$D$7:$AW$7, 'GEN-CARBON'!$D$24:$AW$24), 0), IF($B25='Project List References'!$B$7, _xlfn.IFNA(_xlfn.XLOOKUP(M$2-$C25, 'SENS Coal'!$D$7:$AW$7, 'SENS Coal'!$D$24:$AW$24), 0), IF($B25='Project List References'!$B$8, _xlfn.IFNA(_xlfn.XLOOKUP(M$2-$C25,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N25" s="661" t="e">
        <f>IF($B25='Project List References'!$B$3, _xlfn.IFNA(_xlfn.XLOOKUP(N$2-$C25, 'GEN-CCGT'!$D$7:$AW$7, 'GEN-CCGT'!$D$24:$AW$24), 0), IF($B25='Project List References'!$B$4, _xlfn.IFNA(_xlfn.XLOOKUP(N$2-$C25, 'GEN-SOLAR'!$D$7:$AW$7, 'GEN-SOLAR'!$D$24:$AW$24), 0), IF($B25='Project List References'!$B$5, _xlfn.IFNA(_xlfn.XLOOKUP(N$2-$C25, 'GEN-BESS'!$D$7:$AW$7, 'GEN-BESS'!$D$24:$AW$24), 0), IF($B25='Project List References'!$B$6, _xlfn.IFNA(_xlfn.XLOOKUP(N$2-$C25, 'GEN-CARBON'!$D$7:$AW$7, 'GEN-CARBON'!$D$24:$AW$24), 0), IF($B25='Project List References'!$B$7, _xlfn.IFNA(_xlfn.XLOOKUP(N$2-$C25, 'SENS Coal'!$D$7:$AW$7, 'SENS Coal'!$D$24:$AW$24), 0), IF($B25='Project List References'!$B$8, _xlfn.IFNA(_xlfn.XLOOKUP(N$2-$C25,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O25" s="661" t="e">
        <f>IF($B25='Project List References'!$B$3, _xlfn.IFNA(_xlfn.XLOOKUP(O$2-$C25, 'GEN-CCGT'!$D$7:$AW$7, 'GEN-CCGT'!$D$24:$AW$24), 0), IF($B25='Project List References'!$B$4, _xlfn.IFNA(_xlfn.XLOOKUP(O$2-$C25, 'GEN-SOLAR'!$D$7:$AW$7, 'GEN-SOLAR'!$D$24:$AW$24), 0), IF($B25='Project List References'!$B$5, _xlfn.IFNA(_xlfn.XLOOKUP(O$2-$C25, 'GEN-BESS'!$D$7:$AW$7, 'GEN-BESS'!$D$24:$AW$24), 0), IF($B25='Project List References'!$B$6, _xlfn.IFNA(_xlfn.XLOOKUP(O$2-$C25, 'GEN-CARBON'!$D$7:$AW$7, 'GEN-CARBON'!$D$24:$AW$24), 0), IF($B25='Project List References'!$B$7, _xlfn.IFNA(_xlfn.XLOOKUP(O$2-$C25, 'SENS Coal'!$D$7:$AW$7, 'SENS Coal'!$D$24:$AW$24), 0), IF($B25='Project List References'!$B$8, _xlfn.IFNA(_xlfn.XLOOKUP(O$2-$C25,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P25" s="661" t="e">
        <f>IF($B25='Project List References'!$B$3, _xlfn.IFNA(_xlfn.XLOOKUP(P$2-$C25, 'GEN-CCGT'!$D$7:$AW$7, 'GEN-CCGT'!$D$24:$AW$24), 0), IF($B25='Project List References'!$B$4, _xlfn.IFNA(_xlfn.XLOOKUP(P$2-$C25, 'GEN-SOLAR'!$D$7:$AW$7, 'GEN-SOLAR'!$D$24:$AW$24), 0), IF($B25='Project List References'!$B$5, _xlfn.IFNA(_xlfn.XLOOKUP(P$2-$C25, 'GEN-BESS'!$D$7:$AW$7, 'GEN-BESS'!$D$24:$AW$24), 0), IF($B25='Project List References'!$B$6, _xlfn.IFNA(_xlfn.XLOOKUP(P$2-$C25, 'GEN-CARBON'!$D$7:$AW$7, 'GEN-CARBON'!$D$24:$AW$24), 0), IF($B25='Project List References'!$B$7, _xlfn.IFNA(_xlfn.XLOOKUP(P$2-$C25, 'SENS Coal'!$D$7:$AW$7, 'SENS Coal'!$D$24:$AW$24), 0), IF($B25='Project List References'!$B$8, _xlfn.IFNA(_xlfn.XLOOKUP(P$2-$C25,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Q25" s="661" t="e">
        <f>IF($B25='Project List References'!$B$3, _xlfn.IFNA(_xlfn.XLOOKUP(Q$2-$C25, 'GEN-CCGT'!$D$7:$AW$7, 'GEN-CCGT'!$D$24:$AW$24), 0), IF($B25='Project List References'!$B$4, _xlfn.IFNA(_xlfn.XLOOKUP(Q$2-$C25, 'GEN-SOLAR'!$D$7:$AW$7, 'GEN-SOLAR'!$D$24:$AW$24), 0), IF($B25='Project List References'!$B$5, _xlfn.IFNA(_xlfn.XLOOKUP(Q$2-$C25, 'GEN-BESS'!$D$7:$AW$7, 'GEN-BESS'!$D$24:$AW$24), 0), IF($B25='Project List References'!$B$6, _xlfn.IFNA(_xlfn.XLOOKUP(Q$2-$C25, 'GEN-CARBON'!$D$7:$AW$7, 'GEN-CARBON'!$D$24:$AW$24), 0), IF($B25='Project List References'!$B$7, _xlfn.IFNA(_xlfn.XLOOKUP(Q$2-$C25, 'SENS Coal'!$D$7:$AW$7, 'SENS Coal'!$D$24:$AW$24), 0), IF($B25='Project List References'!$B$8, _xlfn.IFNA(_xlfn.XLOOKUP(Q$2-$C25,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R25" s="661" t="e">
        <f>IF($B25='Project List References'!$B$3, _xlfn.IFNA(_xlfn.XLOOKUP(R$2-$C25, 'GEN-CCGT'!$D$7:$AW$7, 'GEN-CCGT'!$D$24:$AW$24), 0), IF($B25='Project List References'!$B$4, _xlfn.IFNA(_xlfn.XLOOKUP(R$2-$C25, 'GEN-SOLAR'!$D$7:$AW$7, 'GEN-SOLAR'!$D$24:$AW$24), 0), IF($B25='Project List References'!$B$5, _xlfn.IFNA(_xlfn.XLOOKUP(R$2-$C25, 'GEN-BESS'!$D$7:$AW$7, 'GEN-BESS'!$D$24:$AW$24), 0), IF($B25='Project List References'!$B$6, _xlfn.IFNA(_xlfn.XLOOKUP(R$2-$C25, 'GEN-CARBON'!$D$7:$AW$7, 'GEN-CARBON'!$D$24:$AW$24), 0), IF($B25='Project List References'!$B$7, _xlfn.IFNA(_xlfn.XLOOKUP(R$2-$C25, 'SENS Coal'!$D$7:$AW$7, 'SENS Coal'!$D$24:$AW$24), 0), IF($B25='Project List References'!$B$8, _xlfn.IFNA(_xlfn.XLOOKUP(R$2-$C25,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S25" s="661" t="e">
        <f>IF($B25='Project List References'!$B$3, _xlfn.IFNA(_xlfn.XLOOKUP(S$2-$C25, 'GEN-CCGT'!$D$7:$AW$7, 'GEN-CCGT'!$D$24:$AW$24), 0), IF($B25='Project List References'!$B$4, _xlfn.IFNA(_xlfn.XLOOKUP(S$2-$C25, 'GEN-SOLAR'!$D$7:$AW$7, 'GEN-SOLAR'!$D$24:$AW$24), 0), IF($B25='Project List References'!$B$5, _xlfn.IFNA(_xlfn.XLOOKUP(S$2-$C25, 'GEN-BESS'!$D$7:$AW$7, 'GEN-BESS'!$D$24:$AW$24), 0), IF($B25='Project List References'!$B$6, _xlfn.IFNA(_xlfn.XLOOKUP(S$2-$C25, 'GEN-CARBON'!$D$7:$AW$7, 'GEN-CARBON'!$D$24:$AW$24), 0), IF($B25='Project List References'!$B$7, _xlfn.IFNA(_xlfn.XLOOKUP(S$2-$C25, 'SENS Coal'!$D$7:$AW$7, 'SENS Coal'!$D$24:$AW$24), 0), IF($B25='Project List References'!$B$8, _xlfn.IFNA(_xlfn.XLOOKUP(S$2-$C25,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T25" s="661" t="e">
        <f>IF($B25='Project List References'!$B$3, _xlfn.IFNA(_xlfn.XLOOKUP(T$2-$C25, 'GEN-CCGT'!$D$7:$AW$7, 'GEN-CCGT'!$D$24:$AW$24), 0), IF($B25='Project List References'!$B$4, _xlfn.IFNA(_xlfn.XLOOKUP(T$2-$C25, 'GEN-SOLAR'!$D$7:$AW$7, 'GEN-SOLAR'!$D$24:$AW$24), 0), IF($B25='Project List References'!$B$5, _xlfn.IFNA(_xlfn.XLOOKUP(T$2-$C25, 'GEN-BESS'!$D$7:$AW$7, 'GEN-BESS'!$D$24:$AW$24), 0), IF($B25='Project List References'!$B$6, _xlfn.IFNA(_xlfn.XLOOKUP(T$2-$C25, 'GEN-CARBON'!$D$7:$AW$7, 'GEN-CARBON'!$D$24:$AW$24), 0), IF($B25='Project List References'!$B$7, _xlfn.IFNA(_xlfn.XLOOKUP(T$2-$C25, 'SENS Coal'!$D$7:$AW$7, 'SENS Coal'!$D$24:$AW$24), 0), IF($B25='Project List References'!$B$8, _xlfn.IFNA(_xlfn.XLOOKUP(T$2-$C25, 'SENS Tires'!$D$7:$AW$7, 'SENS Tires'!$D$24:$AW$24),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</row>
    <row r="26" spans="1:20">
      <c r="A26" s="655" t="str">
        <f>IF(ISBLANK('Project Master Sheet'!A26)=FALSE, 'Project Master Sheet'!A26, "")</f>
        <v/>
      </c>
      <c r="B26" s="655" t="str">
        <f>_xlfn.IFNA(_xlfn.XLOOKUP(A26, 'Project Master Sheet'!A:A, 'Project Master Sheet'!D:D), "")</f>
        <v/>
      </c>
      <c r="C26" s="655" t="e">
        <f>_xlfn.XLOOKUP(A26, 'Project Master Sheet'!A:A, 'Project Master Sheet'!I:I)</f>
        <v>#N/A</v>
      </c>
      <c r="E26" s="661" t="e">
        <f>IF($B26='Project List References'!$B$3, _xlfn.IFNA(_xlfn.XLOOKUP(E$2-$C26, 'GEN-CCGT'!$D$7:$AW$7, 'GEN-CCGT'!$D$24:$AW$24), 0), IF($B26='Project List References'!$B$4, _xlfn.IFNA(_xlfn.XLOOKUP(E$2-$C26, 'GEN-SOLAR'!$D$7:$AW$7, 'GEN-SOLAR'!$D$24:$AW$24), 0), IF($B26='Project List References'!$B$5, _xlfn.IFNA(_xlfn.XLOOKUP(E$2-$C26, 'GEN-BESS'!$D$7:$AW$7, 'GEN-BESS'!$D$24:$AW$24), 0), IF($B26='Project List References'!$B$6, _xlfn.IFNA(_xlfn.XLOOKUP(E$2-$C26, 'GEN-CARBON'!$D$7:$AW$7, 'GEN-CARBON'!$D$24:$AW$24), 0), IF($B26='Project List References'!$B$7, _xlfn.IFNA(_xlfn.XLOOKUP(E$2-$C26, 'SENS Coal'!$D$7:$AW$7, 'SENS Coal'!$D$24:$AW$24), 0), IF($B26='Project List References'!$B$8, _xlfn.IFNA(_xlfn.XLOOKUP(E$2-$C26,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F26" s="661" t="e">
        <f>IF($B26='Project List References'!$B$3, _xlfn.IFNA(_xlfn.XLOOKUP(F$2-$C26, 'GEN-CCGT'!$D$7:$AW$7, 'GEN-CCGT'!$D$24:$AW$24), 0), IF($B26='Project List References'!$B$4, _xlfn.IFNA(_xlfn.XLOOKUP(F$2-$C26, 'GEN-SOLAR'!$D$7:$AW$7, 'GEN-SOLAR'!$D$24:$AW$24), 0), IF($B26='Project List References'!$B$5, _xlfn.IFNA(_xlfn.XLOOKUP(F$2-$C26, 'GEN-BESS'!$D$7:$AW$7, 'GEN-BESS'!$D$24:$AW$24), 0), IF($B26='Project List References'!$B$6, _xlfn.IFNA(_xlfn.XLOOKUP(F$2-$C26, 'GEN-CARBON'!$D$7:$AW$7, 'GEN-CARBON'!$D$24:$AW$24), 0), IF($B26='Project List References'!$B$7, _xlfn.IFNA(_xlfn.XLOOKUP(F$2-$C26, 'SENS Coal'!$D$7:$AW$7, 'SENS Coal'!$D$24:$AW$24), 0), IF($B26='Project List References'!$B$8, _xlfn.IFNA(_xlfn.XLOOKUP(F$2-$C26,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G26" s="661" t="e">
        <f>IF($B26='Project List References'!$B$3, _xlfn.IFNA(_xlfn.XLOOKUP(G$2-$C26, 'GEN-CCGT'!$D$7:$AW$7, 'GEN-CCGT'!$D$24:$AW$24), 0), IF($B26='Project List References'!$B$4, _xlfn.IFNA(_xlfn.XLOOKUP(G$2-$C26, 'GEN-SOLAR'!$D$7:$AW$7, 'GEN-SOLAR'!$D$24:$AW$24), 0), IF($B26='Project List References'!$B$5, _xlfn.IFNA(_xlfn.XLOOKUP(G$2-$C26, 'GEN-BESS'!$D$7:$AW$7, 'GEN-BESS'!$D$24:$AW$24), 0), IF($B26='Project List References'!$B$6, _xlfn.IFNA(_xlfn.XLOOKUP(G$2-$C26, 'GEN-CARBON'!$D$7:$AW$7, 'GEN-CARBON'!$D$24:$AW$24), 0), IF($B26='Project List References'!$B$7, _xlfn.IFNA(_xlfn.XLOOKUP(G$2-$C26, 'SENS Coal'!$D$7:$AW$7, 'SENS Coal'!$D$24:$AW$24), 0), IF($B26='Project List References'!$B$8, _xlfn.IFNA(_xlfn.XLOOKUP(G$2-$C26,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H26" s="661" t="e">
        <f>IF($B26='Project List References'!$B$3, _xlfn.IFNA(_xlfn.XLOOKUP(H$2-$C26, 'GEN-CCGT'!$D$7:$AW$7, 'GEN-CCGT'!$D$24:$AW$24), 0), IF($B26='Project List References'!$B$4, _xlfn.IFNA(_xlfn.XLOOKUP(H$2-$C26, 'GEN-SOLAR'!$D$7:$AW$7, 'GEN-SOLAR'!$D$24:$AW$24), 0), IF($B26='Project List References'!$B$5, _xlfn.IFNA(_xlfn.XLOOKUP(H$2-$C26, 'GEN-BESS'!$D$7:$AW$7, 'GEN-BESS'!$D$24:$AW$24), 0), IF($B26='Project List References'!$B$6, _xlfn.IFNA(_xlfn.XLOOKUP(H$2-$C26, 'GEN-CARBON'!$D$7:$AW$7, 'GEN-CARBON'!$D$24:$AW$24), 0), IF($B26='Project List References'!$B$7, _xlfn.IFNA(_xlfn.XLOOKUP(H$2-$C26, 'SENS Coal'!$D$7:$AW$7, 'SENS Coal'!$D$24:$AW$24), 0), IF($B26='Project List References'!$B$8, _xlfn.IFNA(_xlfn.XLOOKUP(H$2-$C26,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I26" s="661" t="e">
        <f>IF($B26='Project List References'!$B$3, _xlfn.IFNA(_xlfn.XLOOKUP(I$2-$C26, 'GEN-CCGT'!$D$7:$AW$7, 'GEN-CCGT'!$D$24:$AW$24), 0), IF($B26='Project List References'!$B$4, _xlfn.IFNA(_xlfn.XLOOKUP(I$2-$C26, 'GEN-SOLAR'!$D$7:$AW$7, 'GEN-SOLAR'!$D$24:$AW$24), 0), IF($B26='Project List References'!$B$5, _xlfn.IFNA(_xlfn.XLOOKUP(I$2-$C26, 'GEN-BESS'!$D$7:$AW$7, 'GEN-BESS'!$D$24:$AW$24), 0), IF($B26='Project List References'!$B$6, _xlfn.IFNA(_xlfn.XLOOKUP(I$2-$C26, 'GEN-CARBON'!$D$7:$AW$7, 'GEN-CARBON'!$D$24:$AW$24), 0), IF($B26='Project List References'!$B$7, _xlfn.IFNA(_xlfn.XLOOKUP(I$2-$C26, 'SENS Coal'!$D$7:$AW$7, 'SENS Coal'!$D$24:$AW$24), 0), IF($B26='Project List References'!$B$8, _xlfn.IFNA(_xlfn.XLOOKUP(I$2-$C26,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J26" s="661" t="e">
        <f>IF($B26='Project List References'!$B$3, _xlfn.IFNA(_xlfn.XLOOKUP(J$2-$C26, 'GEN-CCGT'!$D$7:$AW$7, 'GEN-CCGT'!$D$24:$AW$24), 0), IF($B26='Project List References'!$B$4, _xlfn.IFNA(_xlfn.XLOOKUP(J$2-$C26, 'GEN-SOLAR'!$D$7:$AW$7, 'GEN-SOLAR'!$D$24:$AW$24), 0), IF($B26='Project List References'!$B$5, _xlfn.IFNA(_xlfn.XLOOKUP(J$2-$C26, 'GEN-BESS'!$D$7:$AW$7, 'GEN-BESS'!$D$24:$AW$24), 0), IF($B26='Project List References'!$B$6, _xlfn.IFNA(_xlfn.XLOOKUP(J$2-$C26, 'GEN-CARBON'!$D$7:$AW$7, 'GEN-CARBON'!$D$24:$AW$24), 0), IF($B26='Project List References'!$B$7, _xlfn.IFNA(_xlfn.XLOOKUP(J$2-$C26, 'SENS Coal'!$D$7:$AW$7, 'SENS Coal'!$D$24:$AW$24), 0), IF($B26='Project List References'!$B$8, _xlfn.IFNA(_xlfn.XLOOKUP(J$2-$C26,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K26" s="661" t="e">
        <f>IF($B26='Project List References'!$B$3, _xlfn.IFNA(_xlfn.XLOOKUP(K$2-$C26, 'GEN-CCGT'!$D$7:$AW$7, 'GEN-CCGT'!$D$24:$AW$24), 0), IF($B26='Project List References'!$B$4, _xlfn.IFNA(_xlfn.XLOOKUP(K$2-$C26, 'GEN-SOLAR'!$D$7:$AW$7, 'GEN-SOLAR'!$D$24:$AW$24), 0), IF($B26='Project List References'!$B$5, _xlfn.IFNA(_xlfn.XLOOKUP(K$2-$C26, 'GEN-BESS'!$D$7:$AW$7, 'GEN-BESS'!$D$24:$AW$24), 0), IF($B26='Project List References'!$B$6, _xlfn.IFNA(_xlfn.XLOOKUP(K$2-$C26, 'GEN-CARBON'!$D$7:$AW$7, 'GEN-CARBON'!$D$24:$AW$24), 0), IF($B26='Project List References'!$B$7, _xlfn.IFNA(_xlfn.XLOOKUP(K$2-$C26, 'SENS Coal'!$D$7:$AW$7, 'SENS Coal'!$D$24:$AW$24), 0), IF($B26='Project List References'!$B$8, _xlfn.IFNA(_xlfn.XLOOKUP(K$2-$C26,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L26" s="661" t="e">
        <f>IF($B26='Project List References'!$B$3, _xlfn.IFNA(_xlfn.XLOOKUP(L$2-$C26, 'GEN-CCGT'!$D$7:$AW$7, 'GEN-CCGT'!$D$24:$AW$24), 0), IF($B26='Project List References'!$B$4, _xlfn.IFNA(_xlfn.XLOOKUP(L$2-$C26, 'GEN-SOLAR'!$D$7:$AW$7, 'GEN-SOLAR'!$D$24:$AW$24), 0), IF($B26='Project List References'!$B$5, _xlfn.IFNA(_xlfn.XLOOKUP(L$2-$C26, 'GEN-BESS'!$D$7:$AW$7, 'GEN-BESS'!$D$24:$AW$24), 0), IF($B26='Project List References'!$B$6, _xlfn.IFNA(_xlfn.XLOOKUP(L$2-$C26, 'GEN-CARBON'!$D$7:$AW$7, 'GEN-CARBON'!$D$24:$AW$24), 0), IF($B26='Project List References'!$B$7, _xlfn.IFNA(_xlfn.XLOOKUP(L$2-$C26, 'SENS Coal'!$D$7:$AW$7, 'SENS Coal'!$D$24:$AW$24), 0), IF($B26='Project List References'!$B$8, _xlfn.IFNA(_xlfn.XLOOKUP(L$2-$C26,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M26" s="661" t="e">
        <f>IF($B26='Project List References'!$B$3, _xlfn.IFNA(_xlfn.XLOOKUP(M$2-$C26, 'GEN-CCGT'!$D$7:$AW$7, 'GEN-CCGT'!$D$24:$AW$24), 0), IF($B26='Project List References'!$B$4, _xlfn.IFNA(_xlfn.XLOOKUP(M$2-$C26, 'GEN-SOLAR'!$D$7:$AW$7, 'GEN-SOLAR'!$D$24:$AW$24), 0), IF($B26='Project List References'!$B$5, _xlfn.IFNA(_xlfn.XLOOKUP(M$2-$C26, 'GEN-BESS'!$D$7:$AW$7, 'GEN-BESS'!$D$24:$AW$24), 0), IF($B26='Project List References'!$B$6, _xlfn.IFNA(_xlfn.XLOOKUP(M$2-$C26, 'GEN-CARBON'!$D$7:$AW$7, 'GEN-CARBON'!$D$24:$AW$24), 0), IF($B26='Project List References'!$B$7, _xlfn.IFNA(_xlfn.XLOOKUP(M$2-$C26, 'SENS Coal'!$D$7:$AW$7, 'SENS Coal'!$D$24:$AW$24), 0), IF($B26='Project List References'!$B$8, _xlfn.IFNA(_xlfn.XLOOKUP(M$2-$C26,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N26" s="661" t="e">
        <f>IF($B26='Project List References'!$B$3, _xlfn.IFNA(_xlfn.XLOOKUP(N$2-$C26, 'GEN-CCGT'!$D$7:$AW$7, 'GEN-CCGT'!$D$24:$AW$24), 0), IF($B26='Project List References'!$B$4, _xlfn.IFNA(_xlfn.XLOOKUP(N$2-$C26, 'GEN-SOLAR'!$D$7:$AW$7, 'GEN-SOLAR'!$D$24:$AW$24), 0), IF($B26='Project List References'!$B$5, _xlfn.IFNA(_xlfn.XLOOKUP(N$2-$C26, 'GEN-BESS'!$D$7:$AW$7, 'GEN-BESS'!$D$24:$AW$24), 0), IF($B26='Project List References'!$B$6, _xlfn.IFNA(_xlfn.XLOOKUP(N$2-$C26, 'GEN-CARBON'!$D$7:$AW$7, 'GEN-CARBON'!$D$24:$AW$24), 0), IF($B26='Project List References'!$B$7, _xlfn.IFNA(_xlfn.XLOOKUP(N$2-$C26, 'SENS Coal'!$D$7:$AW$7, 'SENS Coal'!$D$24:$AW$24), 0), IF($B26='Project List References'!$B$8, _xlfn.IFNA(_xlfn.XLOOKUP(N$2-$C26,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O26" s="661" t="e">
        <f>IF($B26='Project List References'!$B$3, _xlfn.IFNA(_xlfn.XLOOKUP(O$2-$C26, 'GEN-CCGT'!$D$7:$AW$7, 'GEN-CCGT'!$D$24:$AW$24), 0), IF($B26='Project List References'!$B$4, _xlfn.IFNA(_xlfn.XLOOKUP(O$2-$C26, 'GEN-SOLAR'!$D$7:$AW$7, 'GEN-SOLAR'!$D$24:$AW$24), 0), IF($B26='Project List References'!$B$5, _xlfn.IFNA(_xlfn.XLOOKUP(O$2-$C26, 'GEN-BESS'!$D$7:$AW$7, 'GEN-BESS'!$D$24:$AW$24), 0), IF($B26='Project List References'!$B$6, _xlfn.IFNA(_xlfn.XLOOKUP(O$2-$C26, 'GEN-CARBON'!$D$7:$AW$7, 'GEN-CARBON'!$D$24:$AW$24), 0), IF($B26='Project List References'!$B$7, _xlfn.IFNA(_xlfn.XLOOKUP(O$2-$C26, 'SENS Coal'!$D$7:$AW$7, 'SENS Coal'!$D$24:$AW$24), 0), IF($B26='Project List References'!$B$8, _xlfn.IFNA(_xlfn.XLOOKUP(O$2-$C26,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P26" s="661" t="e">
        <f>IF($B26='Project List References'!$B$3, _xlfn.IFNA(_xlfn.XLOOKUP(P$2-$C26, 'GEN-CCGT'!$D$7:$AW$7, 'GEN-CCGT'!$D$24:$AW$24), 0), IF($B26='Project List References'!$B$4, _xlfn.IFNA(_xlfn.XLOOKUP(P$2-$C26, 'GEN-SOLAR'!$D$7:$AW$7, 'GEN-SOLAR'!$D$24:$AW$24), 0), IF($B26='Project List References'!$B$5, _xlfn.IFNA(_xlfn.XLOOKUP(P$2-$C26, 'GEN-BESS'!$D$7:$AW$7, 'GEN-BESS'!$D$24:$AW$24), 0), IF($B26='Project List References'!$B$6, _xlfn.IFNA(_xlfn.XLOOKUP(P$2-$C26, 'GEN-CARBON'!$D$7:$AW$7, 'GEN-CARBON'!$D$24:$AW$24), 0), IF($B26='Project List References'!$B$7, _xlfn.IFNA(_xlfn.XLOOKUP(P$2-$C26, 'SENS Coal'!$D$7:$AW$7, 'SENS Coal'!$D$24:$AW$24), 0), IF($B26='Project List References'!$B$8, _xlfn.IFNA(_xlfn.XLOOKUP(P$2-$C26,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Q26" s="661" t="e">
        <f>IF($B26='Project List References'!$B$3, _xlfn.IFNA(_xlfn.XLOOKUP(Q$2-$C26, 'GEN-CCGT'!$D$7:$AW$7, 'GEN-CCGT'!$D$24:$AW$24), 0), IF($B26='Project List References'!$B$4, _xlfn.IFNA(_xlfn.XLOOKUP(Q$2-$C26, 'GEN-SOLAR'!$D$7:$AW$7, 'GEN-SOLAR'!$D$24:$AW$24), 0), IF($B26='Project List References'!$B$5, _xlfn.IFNA(_xlfn.XLOOKUP(Q$2-$C26, 'GEN-BESS'!$D$7:$AW$7, 'GEN-BESS'!$D$24:$AW$24), 0), IF($B26='Project List References'!$B$6, _xlfn.IFNA(_xlfn.XLOOKUP(Q$2-$C26, 'GEN-CARBON'!$D$7:$AW$7, 'GEN-CARBON'!$D$24:$AW$24), 0), IF($B26='Project List References'!$B$7, _xlfn.IFNA(_xlfn.XLOOKUP(Q$2-$C26, 'SENS Coal'!$D$7:$AW$7, 'SENS Coal'!$D$24:$AW$24), 0), IF($B26='Project List References'!$B$8, _xlfn.IFNA(_xlfn.XLOOKUP(Q$2-$C26,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R26" s="661" t="e">
        <f>IF($B26='Project List References'!$B$3, _xlfn.IFNA(_xlfn.XLOOKUP(R$2-$C26, 'GEN-CCGT'!$D$7:$AW$7, 'GEN-CCGT'!$D$24:$AW$24), 0), IF($B26='Project List References'!$B$4, _xlfn.IFNA(_xlfn.XLOOKUP(R$2-$C26, 'GEN-SOLAR'!$D$7:$AW$7, 'GEN-SOLAR'!$D$24:$AW$24), 0), IF($B26='Project List References'!$B$5, _xlfn.IFNA(_xlfn.XLOOKUP(R$2-$C26, 'GEN-BESS'!$D$7:$AW$7, 'GEN-BESS'!$D$24:$AW$24), 0), IF($B26='Project List References'!$B$6, _xlfn.IFNA(_xlfn.XLOOKUP(R$2-$C26, 'GEN-CARBON'!$D$7:$AW$7, 'GEN-CARBON'!$D$24:$AW$24), 0), IF($B26='Project List References'!$B$7, _xlfn.IFNA(_xlfn.XLOOKUP(R$2-$C26, 'SENS Coal'!$D$7:$AW$7, 'SENS Coal'!$D$24:$AW$24), 0), IF($B26='Project List References'!$B$8, _xlfn.IFNA(_xlfn.XLOOKUP(R$2-$C26,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S26" s="661" t="e">
        <f>IF($B26='Project List References'!$B$3, _xlfn.IFNA(_xlfn.XLOOKUP(S$2-$C26, 'GEN-CCGT'!$D$7:$AW$7, 'GEN-CCGT'!$D$24:$AW$24), 0), IF($B26='Project List References'!$B$4, _xlfn.IFNA(_xlfn.XLOOKUP(S$2-$C26, 'GEN-SOLAR'!$D$7:$AW$7, 'GEN-SOLAR'!$D$24:$AW$24), 0), IF($B26='Project List References'!$B$5, _xlfn.IFNA(_xlfn.XLOOKUP(S$2-$C26, 'GEN-BESS'!$D$7:$AW$7, 'GEN-BESS'!$D$24:$AW$24), 0), IF($B26='Project List References'!$B$6, _xlfn.IFNA(_xlfn.XLOOKUP(S$2-$C26, 'GEN-CARBON'!$D$7:$AW$7, 'GEN-CARBON'!$D$24:$AW$24), 0), IF($B26='Project List References'!$B$7, _xlfn.IFNA(_xlfn.XLOOKUP(S$2-$C26, 'SENS Coal'!$D$7:$AW$7, 'SENS Coal'!$D$24:$AW$24), 0), IF($B26='Project List References'!$B$8, _xlfn.IFNA(_xlfn.XLOOKUP(S$2-$C26,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T26" s="661" t="e">
        <f>IF($B26='Project List References'!$B$3, _xlfn.IFNA(_xlfn.XLOOKUP(T$2-$C26, 'GEN-CCGT'!$D$7:$AW$7, 'GEN-CCGT'!$D$24:$AW$24), 0), IF($B26='Project List References'!$B$4, _xlfn.IFNA(_xlfn.XLOOKUP(T$2-$C26, 'GEN-SOLAR'!$D$7:$AW$7, 'GEN-SOLAR'!$D$24:$AW$24), 0), IF($B26='Project List References'!$B$5, _xlfn.IFNA(_xlfn.XLOOKUP(T$2-$C26, 'GEN-BESS'!$D$7:$AW$7, 'GEN-BESS'!$D$24:$AW$24), 0), IF($B26='Project List References'!$B$6, _xlfn.IFNA(_xlfn.XLOOKUP(T$2-$C26, 'GEN-CARBON'!$D$7:$AW$7, 'GEN-CARBON'!$D$24:$AW$24), 0), IF($B26='Project List References'!$B$7, _xlfn.IFNA(_xlfn.XLOOKUP(T$2-$C26, 'SENS Coal'!$D$7:$AW$7, 'SENS Coal'!$D$24:$AW$24), 0), IF($B26='Project List References'!$B$8, _xlfn.IFNA(_xlfn.XLOOKUP(T$2-$C26, 'SENS Tires'!$D$7:$AW$7, 'SENS Tires'!$D$24:$AW$24),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</row>
    <row r="27" spans="1:20">
      <c r="A27" s="655" t="str">
        <f>IF(ISBLANK('Project Master Sheet'!A27)=FALSE, 'Project Master Sheet'!A27, "")</f>
        <v/>
      </c>
      <c r="B27" s="655" t="str">
        <f>_xlfn.IFNA(_xlfn.XLOOKUP(A27, 'Project Master Sheet'!A:A, 'Project Master Sheet'!D:D), "")</f>
        <v/>
      </c>
      <c r="C27" s="655" t="e">
        <f>_xlfn.XLOOKUP(A27, 'Project Master Sheet'!A:A, 'Project Master Sheet'!I:I)</f>
        <v>#N/A</v>
      </c>
      <c r="E27" s="661" t="e">
        <f>IF($B27='Project List References'!$B$3, _xlfn.IFNA(_xlfn.XLOOKUP(E$2-$C27, 'GEN-CCGT'!$D$7:$AW$7, 'GEN-CCGT'!$D$24:$AW$24), 0), IF($B27='Project List References'!$B$4, _xlfn.IFNA(_xlfn.XLOOKUP(E$2-$C27, 'GEN-SOLAR'!$D$7:$AW$7, 'GEN-SOLAR'!$D$24:$AW$24), 0), IF($B27='Project List References'!$B$5, _xlfn.IFNA(_xlfn.XLOOKUP(E$2-$C27, 'GEN-BESS'!$D$7:$AW$7, 'GEN-BESS'!$D$24:$AW$24), 0), IF($B27='Project List References'!$B$6, _xlfn.IFNA(_xlfn.XLOOKUP(E$2-$C27, 'GEN-CARBON'!$D$7:$AW$7, 'GEN-CARBON'!$D$24:$AW$24), 0), IF($B27='Project List References'!$B$7, _xlfn.IFNA(_xlfn.XLOOKUP(E$2-$C27, 'SENS Coal'!$D$7:$AW$7, 'SENS Coal'!$D$24:$AW$24), 0), IF($B27='Project List References'!$B$8, _xlfn.IFNA(_xlfn.XLOOKUP(E$2-$C27,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F27" s="661" t="e">
        <f>IF($B27='Project List References'!$B$3, _xlfn.IFNA(_xlfn.XLOOKUP(F$2-$C27, 'GEN-CCGT'!$D$7:$AW$7, 'GEN-CCGT'!$D$24:$AW$24), 0), IF($B27='Project List References'!$B$4, _xlfn.IFNA(_xlfn.XLOOKUP(F$2-$C27, 'GEN-SOLAR'!$D$7:$AW$7, 'GEN-SOLAR'!$D$24:$AW$24), 0), IF($B27='Project List References'!$B$5, _xlfn.IFNA(_xlfn.XLOOKUP(F$2-$C27, 'GEN-BESS'!$D$7:$AW$7, 'GEN-BESS'!$D$24:$AW$24), 0), IF($B27='Project List References'!$B$6, _xlfn.IFNA(_xlfn.XLOOKUP(F$2-$C27, 'GEN-CARBON'!$D$7:$AW$7, 'GEN-CARBON'!$D$24:$AW$24), 0), IF($B27='Project List References'!$B$7, _xlfn.IFNA(_xlfn.XLOOKUP(F$2-$C27, 'SENS Coal'!$D$7:$AW$7, 'SENS Coal'!$D$24:$AW$24), 0), IF($B27='Project List References'!$B$8, _xlfn.IFNA(_xlfn.XLOOKUP(F$2-$C27,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G27" s="661" t="e">
        <f>IF($B27='Project List References'!$B$3, _xlfn.IFNA(_xlfn.XLOOKUP(G$2-$C27, 'GEN-CCGT'!$D$7:$AW$7, 'GEN-CCGT'!$D$24:$AW$24), 0), IF($B27='Project List References'!$B$4, _xlfn.IFNA(_xlfn.XLOOKUP(G$2-$C27, 'GEN-SOLAR'!$D$7:$AW$7, 'GEN-SOLAR'!$D$24:$AW$24), 0), IF($B27='Project List References'!$B$5, _xlfn.IFNA(_xlfn.XLOOKUP(G$2-$C27, 'GEN-BESS'!$D$7:$AW$7, 'GEN-BESS'!$D$24:$AW$24), 0), IF($B27='Project List References'!$B$6, _xlfn.IFNA(_xlfn.XLOOKUP(G$2-$C27, 'GEN-CARBON'!$D$7:$AW$7, 'GEN-CARBON'!$D$24:$AW$24), 0), IF($B27='Project List References'!$B$7, _xlfn.IFNA(_xlfn.XLOOKUP(G$2-$C27, 'SENS Coal'!$D$7:$AW$7, 'SENS Coal'!$D$24:$AW$24), 0), IF($B27='Project List References'!$B$8, _xlfn.IFNA(_xlfn.XLOOKUP(G$2-$C27,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H27" s="661" t="e">
        <f>IF($B27='Project List References'!$B$3, _xlfn.IFNA(_xlfn.XLOOKUP(H$2-$C27, 'GEN-CCGT'!$D$7:$AW$7, 'GEN-CCGT'!$D$24:$AW$24), 0), IF($B27='Project List References'!$B$4, _xlfn.IFNA(_xlfn.XLOOKUP(H$2-$C27, 'GEN-SOLAR'!$D$7:$AW$7, 'GEN-SOLAR'!$D$24:$AW$24), 0), IF($B27='Project List References'!$B$5, _xlfn.IFNA(_xlfn.XLOOKUP(H$2-$C27, 'GEN-BESS'!$D$7:$AW$7, 'GEN-BESS'!$D$24:$AW$24), 0), IF($B27='Project List References'!$B$6, _xlfn.IFNA(_xlfn.XLOOKUP(H$2-$C27, 'GEN-CARBON'!$D$7:$AW$7, 'GEN-CARBON'!$D$24:$AW$24), 0), IF($B27='Project List References'!$B$7, _xlfn.IFNA(_xlfn.XLOOKUP(H$2-$C27, 'SENS Coal'!$D$7:$AW$7, 'SENS Coal'!$D$24:$AW$24), 0), IF($B27='Project List References'!$B$8, _xlfn.IFNA(_xlfn.XLOOKUP(H$2-$C27,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I27" s="661" t="e">
        <f>IF($B27='Project List References'!$B$3, _xlfn.IFNA(_xlfn.XLOOKUP(I$2-$C27, 'GEN-CCGT'!$D$7:$AW$7, 'GEN-CCGT'!$D$24:$AW$24), 0), IF($B27='Project List References'!$B$4, _xlfn.IFNA(_xlfn.XLOOKUP(I$2-$C27, 'GEN-SOLAR'!$D$7:$AW$7, 'GEN-SOLAR'!$D$24:$AW$24), 0), IF($B27='Project List References'!$B$5, _xlfn.IFNA(_xlfn.XLOOKUP(I$2-$C27, 'GEN-BESS'!$D$7:$AW$7, 'GEN-BESS'!$D$24:$AW$24), 0), IF($B27='Project List References'!$B$6, _xlfn.IFNA(_xlfn.XLOOKUP(I$2-$C27, 'GEN-CARBON'!$D$7:$AW$7, 'GEN-CARBON'!$D$24:$AW$24), 0), IF($B27='Project List References'!$B$7, _xlfn.IFNA(_xlfn.XLOOKUP(I$2-$C27, 'SENS Coal'!$D$7:$AW$7, 'SENS Coal'!$D$24:$AW$24), 0), IF($B27='Project List References'!$B$8, _xlfn.IFNA(_xlfn.XLOOKUP(I$2-$C27,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J27" s="661" t="e">
        <f>IF($B27='Project List References'!$B$3, _xlfn.IFNA(_xlfn.XLOOKUP(J$2-$C27, 'GEN-CCGT'!$D$7:$AW$7, 'GEN-CCGT'!$D$24:$AW$24), 0), IF($B27='Project List References'!$B$4, _xlfn.IFNA(_xlfn.XLOOKUP(J$2-$C27, 'GEN-SOLAR'!$D$7:$AW$7, 'GEN-SOLAR'!$D$24:$AW$24), 0), IF($B27='Project List References'!$B$5, _xlfn.IFNA(_xlfn.XLOOKUP(J$2-$C27, 'GEN-BESS'!$D$7:$AW$7, 'GEN-BESS'!$D$24:$AW$24), 0), IF($B27='Project List References'!$B$6, _xlfn.IFNA(_xlfn.XLOOKUP(J$2-$C27, 'GEN-CARBON'!$D$7:$AW$7, 'GEN-CARBON'!$D$24:$AW$24), 0), IF($B27='Project List References'!$B$7, _xlfn.IFNA(_xlfn.XLOOKUP(J$2-$C27, 'SENS Coal'!$D$7:$AW$7, 'SENS Coal'!$D$24:$AW$24), 0), IF($B27='Project List References'!$B$8, _xlfn.IFNA(_xlfn.XLOOKUP(J$2-$C27,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K27" s="661" t="e">
        <f>IF($B27='Project List References'!$B$3, _xlfn.IFNA(_xlfn.XLOOKUP(K$2-$C27, 'GEN-CCGT'!$D$7:$AW$7, 'GEN-CCGT'!$D$24:$AW$24), 0), IF($B27='Project List References'!$B$4, _xlfn.IFNA(_xlfn.XLOOKUP(K$2-$C27, 'GEN-SOLAR'!$D$7:$AW$7, 'GEN-SOLAR'!$D$24:$AW$24), 0), IF($B27='Project List References'!$B$5, _xlfn.IFNA(_xlfn.XLOOKUP(K$2-$C27, 'GEN-BESS'!$D$7:$AW$7, 'GEN-BESS'!$D$24:$AW$24), 0), IF($B27='Project List References'!$B$6, _xlfn.IFNA(_xlfn.XLOOKUP(K$2-$C27, 'GEN-CARBON'!$D$7:$AW$7, 'GEN-CARBON'!$D$24:$AW$24), 0), IF($B27='Project List References'!$B$7, _xlfn.IFNA(_xlfn.XLOOKUP(K$2-$C27, 'SENS Coal'!$D$7:$AW$7, 'SENS Coal'!$D$24:$AW$24), 0), IF($B27='Project List References'!$B$8, _xlfn.IFNA(_xlfn.XLOOKUP(K$2-$C27,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L27" s="661" t="e">
        <f>IF($B27='Project List References'!$B$3, _xlfn.IFNA(_xlfn.XLOOKUP(L$2-$C27, 'GEN-CCGT'!$D$7:$AW$7, 'GEN-CCGT'!$D$24:$AW$24), 0), IF($B27='Project List References'!$B$4, _xlfn.IFNA(_xlfn.XLOOKUP(L$2-$C27, 'GEN-SOLAR'!$D$7:$AW$7, 'GEN-SOLAR'!$D$24:$AW$24), 0), IF($B27='Project List References'!$B$5, _xlfn.IFNA(_xlfn.XLOOKUP(L$2-$C27, 'GEN-BESS'!$D$7:$AW$7, 'GEN-BESS'!$D$24:$AW$24), 0), IF($B27='Project List References'!$B$6, _xlfn.IFNA(_xlfn.XLOOKUP(L$2-$C27, 'GEN-CARBON'!$D$7:$AW$7, 'GEN-CARBON'!$D$24:$AW$24), 0), IF($B27='Project List References'!$B$7, _xlfn.IFNA(_xlfn.XLOOKUP(L$2-$C27, 'SENS Coal'!$D$7:$AW$7, 'SENS Coal'!$D$24:$AW$24), 0), IF($B27='Project List References'!$B$8, _xlfn.IFNA(_xlfn.XLOOKUP(L$2-$C27,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M27" s="661" t="e">
        <f>IF($B27='Project List References'!$B$3, _xlfn.IFNA(_xlfn.XLOOKUP(M$2-$C27, 'GEN-CCGT'!$D$7:$AW$7, 'GEN-CCGT'!$D$24:$AW$24), 0), IF($B27='Project List References'!$B$4, _xlfn.IFNA(_xlfn.XLOOKUP(M$2-$C27, 'GEN-SOLAR'!$D$7:$AW$7, 'GEN-SOLAR'!$D$24:$AW$24), 0), IF($B27='Project List References'!$B$5, _xlfn.IFNA(_xlfn.XLOOKUP(M$2-$C27, 'GEN-BESS'!$D$7:$AW$7, 'GEN-BESS'!$D$24:$AW$24), 0), IF($B27='Project List References'!$B$6, _xlfn.IFNA(_xlfn.XLOOKUP(M$2-$C27, 'GEN-CARBON'!$D$7:$AW$7, 'GEN-CARBON'!$D$24:$AW$24), 0), IF($B27='Project List References'!$B$7, _xlfn.IFNA(_xlfn.XLOOKUP(M$2-$C27, 'SENS Coal'!$D$7:$AW$7, 'SENS Coal'!$D$24:$AW$24), 0), IF($B27='Project List References'!$B$8, _xlfn.IFNA(_xlfn.XLOOKUP(M$2-$C27,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N27" s="661" t="e">
        <f>IF($B27='Project List References'!$B$3, _xlfn.IFNA(_xlfn.XLOOKUP(N$2-$C27, 'GEN-CCGT'!$D$7:$AW$7, 'GEN-CCGT'!$D$24:$AW$24), 0), IF($B27='Project List References'!$B$4, _xlfn.IFNA(_xlfn.XLOOKUP(N$2-$C27, 'GEN-SOLAR'!$D$7:$AW$7, 'GEN-SOLAR'!$D$24:$AW$24), 0), IF($B27='Project List References'!$B$5, _xlfn.IFNA(_xlfn.XLOOKUP(N$2-$C27, 'GEN-BESS'!$D$7:$AW$7, 'GEN-BESS'!$D$24:$AW$24), 0), IF($B27='Project List References'!$B$6, _xlfn.IFNA(_xlfn.XLOOKUP(N$2-$C27, 'GEN-CARBON'!$D$7:$AW$7, 'GEN-CARBON'!$D$24:$AW$24), 0), IF($B27='Project List References'!$B$7, _xlfn.IFNA(_xlfn.XLOOKUP(N$2-$C27, 'SENS Coal'!$D$7:$AW$7, 'SENS Coal'!$D$24:$AW$24), 0), IF($B27='Project List References'!$B$8, _xlfn.IFNA(_xlfn.XLOOKUP(N$2-$C27,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O27" s="661" t="e">
        <f>IF($B27='Project List References'!$B$3, _xlfn.IFNA(_xlfn.XLOOKUP(O$2-$C27, 'GEN-CCGT'!$D$7:$AW$7, 'GEN-CCGT'!$D$24:$AW$24), 0), IF($B27='Project List References'!$B$4, _xlfn.IFNA(_xlfn.XLOOKUP(O$2-$C27, 'GEN-SOLAR'!$D$7:$AW$7, 'GEN-SOLAR'!$D$24:$AW$24), 0), IF($B27='Project List References'!$B$5, _xlfn.IFNA(_xlfn.XLOOKUP(O$2-$C27, 'GEN-BESS'!$D$7:$AW$7, 'GEN-BESS'!$D$24:$AW$24), 0), IF($B27='Project List References'!$B$6, _xlfn.IFNA(_xlfn.XLOOKUP(O$2-$C27, 'GEN-CARBON'!$D$7:$AW$7, 'GEN-CARBON'!$D$24:$AW$24), 0), IF($B27='Project List References'!$B$7, _xlfn.IFNA(_xlfn.XLOOKUP(O$2-$C27, 'SENS Coal'!$D$7:$AW$7, 'SENS Coal'!$D$24:$AW$24), 0), IF($B27='Project List References'!$B$8, _xlfn.IFNA(_xlfn.XLOOKUP(O$2-$C27,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P27" s="661" t="e">
        <f>IF($B27='Project List References'!$B$3, _xlfn.IFNA(_xlfn.XLOOKUP(P$2-$C27, 'GEN-CCGT'!$D$7:$AW$7, 'GEN-CCGT'!$D$24:$AW$24), 0), IF($B27='Project List References'!$B$4, _xlfn.IFNA(_xlfn.XLOOKUP(P$2-$C27, 'GEN-SOLAR'!$D$7:$AW$7, 'GEN-SOLAR'!$D$24:$AW$24), 0), IF($B27='Project List References'!$B$5, _xlfn.IFNA(_xlfn.XLOOKUP(P$2-$C27, 'GEN-BESS'!$D$7:$AW$7, 'GEN-BESS'!$D$24:$AW$24), 0), IF($B27='Project List References'!$B$6, _xlfn.IFNA(_xlfn.XLOOKUP(P$2-$C27, 'GEN-CARBON'!$D$7:$AW$7, 'GEN-CARBON'!$D$24:$AW$24), 0), IF($B27='Project List References'!$B$7, _xlfn.IFNA(_xlfn.XLOOKUP(P$2-$C27, 'SENS Coal'!$D$7:$AW$7, 'SENS Coal'!$D$24:$AW$24), 0), IF($B27='Project List References'!$B$8, _xlfn.IFNA(_xlfn.XLOOKUP(P$2-$C27,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Q27" s="661" t="e">
        <f>IF($B27='Project List References'!$B$3, _xlfn.IFNA(_xlfn.XLOOKUP(Q$2-$C27, 'GEN-CCGT'!$D$7:$AW$7, 'GEN-CCGT'!$D$24:$AW$24), 0), IF($B27='Project List References'!$B$4, _xlfn.IFNA(_xlfn.XLOOKUP(Q$2-$C27, 'GEN-SOLAR'!$D$7:$AW$7, 'GEN-SOLAR'!$D$24:$AW$24), 0), IF($B27='Project List References'!$B$5, _xlfn.IFNA(_xlfn.XLOOKUP(Q$2-$C27, 'GEN-BESS'!$D$7:$AW$7, 'GEN-BESS'!$D$24:$AW$24), 0), IF($B27='Project List References'!$B$6, _xlfn.IFNA(_xlfn.XLOOKUP(Q$2-$C27, 'GEN-CARBON'!$D$7:$AW$7, 'GEN-CARBON'!$D$24:$AW$24), 0), IF($B27='Project List References'!$B$7, _xlfn.IFNA(_xlfn.XLOOKUP(Q$2-$C27, 'SENS Coal'!$D$7:$AW$7, 'SENS Coal'!$D$24:$AW$24), 0), IF($B27='Project List References'!$B$8, _xlfn.IFNA(_xlfn.XLOOKUP(Q$2-$C27,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R27" s="661" t="e">
        <f>IF($B27='Project List References'!$B$3, _xlfn.IFNA(_xlfn.XLOOKUP(R$2-$C27, 'GEN-CCGT'!$D$7:$AW$7, 'GEN-CCGT'!$D$24:$AW$24), 0), IF($B27='Project List References'!$B$4, _xlfn.IFNA(_xlfn.XLOOKUP(R$2-$C27, 'GEN-SOLAR'!$D$7:$AW$7, 'GEN-SOLAR'!$D$24:$AW$24), 0), IF($B27='Project List References'!$B$5, _xlfn.IFNA(_xlfn.XLOOKUP(R$2-$C27, 'GEN-BESS'!$D$7:$AW$7, 'GEN-BESS'!$D$24:$AW$24), 0), IF($B27='Project List References'!$B$6, _xlfn.IFNA(_xlfn.XLOOKUP(R$2-$C27, 'GEN-CARBON'!$D$7:$AW$7, 'GEN-CARBON'!$D$24:$AW$24), 0), IF($B27='Project List References'!$B$7, _xlfn.IFNA(_xlfn.XLOOKUP(R$2-$C27, 'SENS Coal'!$D$7:$AW$7, 'SENS Coal'!$D$24:$AW$24), 0), IF($B27='Project List References'!$B$8, _xlfn.IFNA(_xlfn.XLOOKUP(R$2-$C27,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S27" s="661" t="e">
        <f>IF($B27='Project List References'!$B$3, _xlfn.IFNA(_xlfn.XLOOKUP(S$2-$C27, 'GEN-CCGT'!$D$7:$AW$7, 'GEN-CCGT'!$D$24:$AW$24), 0), IF($B27='Project List References'!$B$4, _xlfn.IFNA(_xlfn.XLOOKUP(S$2-$C27, 'GEN-SOLAR'!$D$7:$AW$7, 'GEN-SOLAR'!$D$24:$AW$24), 0), IF($B27='Project List References'!$B$5, _xlfn.IFNA(_xlfn.XLOOKUP(S$2-$C27, 'GEN-BESS'!$D$7:$AW$7, 'GEN-BESS'!$D$24:$AW$24), 0), IF($B27='Project List References'!$B$6, _xlfn.IFNA(_xlfn.XLOOKUP(S$2-$C27, 'GEN-CARBON'!$D$7:$AW$7, 'GEN-CARBON'!$D$24:$AW$24), 0), IF($B27='Project List References'!$B$7, _xlfn.IFNA(_xlfn.XLOOKUP(S$2-$C27, 'SENS Coal'!$D$7:$AW$7, 'SENS Coal'!$D$24:$AW$24), 0), IF($B27='Project List References'!$B$8, _xlfn.IFNA(_xlfn.XLOOKUP(S$2-$C27,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T27" s="661" t="e">
        <f>IF($B27='Project List References'!$B$3, _xlfn.IFNA(_xlfn.XLOOKUP(T$2-$C27, 'GEN-CCGT'!$D$7:$AW$7, 'GEN-CCGT'!$D$24:$AW$24), 0), IF($B27='Project List References'!$B$4, _xlfn.IFNA(_xlfn.XLOOKUP(T$2-$C27, 'GEN-SOLAR'!$D$7:$AW$7, 'GEN-SOLAR'!$D$24:$AW$24), 0), IF($B27='Project List References'!$B$5, _xlfn.IFNA(_xlfn.XLOOKUP(T$2-$C27, 'GEN-BESS'!$D$7:$AW$7, 'GEN-BESS'!$D$24:$AW$24), 0), IF($B27='Project List References'!$B$6, _xlfn.IFNA(_xlfn.XLOOKUP(T$2-$C27, 'GEN-CARBON'!$D$7:$AW$7, 'GEN-CARBON'!$D$24:$AW$24), 0), IF($B27='Project List References'!$B$7, _xlfn.IFNA(_xlfn.XLOOKUP(T$2-$C27, 'SENS Coal'!$D$7:$AW$7, 'SENS Coal'!$D$24:$AW$24), 0), IF($B27='Project List References'!$B$8, _xlfn.IFNA(_xlfn.XLOOKUP(T$2-$C27, 'SENS Tires'!$D$7:$AW$7, 'SENS Tires'!$D$24:$AW$24),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</row>
    <row r="28" spans="1:20">
      <c r="A28" s="655" t="str">
        <f>IF(ISBLANK('Project Master Sheet'!A28)=FALSE, 'Project Master Sheet'!A28, "")</f>
        <v/>
      </c>
      <c r="B28" s="655" t="str">
        <f>_xlfn.IFNA(_xlfn.XLOOKUP(A28, 'Project Master Sheet'!A:A, 'Project Master Sheet'!D:D), "")</f>
        <v/>
      </c>
      <c r="C28" s="655" t="e">
        <f>_xlfn.XLOOKUP(A28, 'Project Master Sheet'!A:A, 'Project Master Sheet'!I:I)</f>
        <v>#N/A</v>
      </c>
      <c r="E28" s="661" t="e">
        <f>IF($B28='Project List References'!$B$3, _xlfn.IFNA(_xlfn.XLOOKUP(E$2-$C28, 'GEN-CCGT'!$D$7:$AW$7, 'GEN-CCGT'!$D$24:$AW$24), 0), IF($B28='Project List References'!$B$4, _xlfn.IFNA(_xlfn.XLOOKUP(E$2-$C28, 'GEN-SOLAR'!$D$7:$AW$7, 'GEN-SOLAR'!$D$24:$AW$24), 0), IF($B28='Project List References'!$B$5, _xlfn.IFNA(_xlfn.XLOOKUP(E$2-$C28, 'GEN-BESS'!$D$7:$AW$7, 'GEN-BESS'!$D$24:$AW$24), 0), IF($B28='Project List References'!$B$6, _xlfn.IFNA(_xlfn.XLOOKUP(E$2-$C28, 'GEN-CARBON'!$D$7:$AW$7, 'GEN-CARBON'!$D$24:$AW$24), 0), IF($B28='Project List References'!$B$7, _xlfn.IFNA(_xlfn.XLOOKUP(E$2-$C28, 'SENS Coal'!$D$7:$AW$7, 'SENS Coal'!$D$24:$AW$24), 0), IF($B28='Project List References'!$B$8, _xlfn.IFNA(_xlfn.XLOOKUP(E$2-$C28,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F28" s="661" t="e">
        <f>IF($B28='Project List References'!$B$3, _xlfn.IFNA(_xlfn.XLOOKUP(F$2-$C28, 'GEN-CCGT'!$D$7:$AW$7, 'GEN-CCGT'!$D$24:$AW$24), 0), IF($B28='Project List References'!$B$4, _xlfn.IFNA(_xlfn.XLOOKUP(F$2-$C28, 'GEN-SOLAR'!$D$7:$AW$7, 'GEN-SOLAR'!$D$24:$AW$24), 0), IF($B28='Project List References'!$B$5, _xlfn.IFNA(_xlfn.XLOOKUP(F$2-$C28, 'GEN-BESS'!$D$7:$AW$7, 'GEN-BESS'!$D$24:$AW$24), 0), IF($B28='Project List References'!$B$6, _xlfn.IFNA(_xlfn.XLOOKUP(F$2-$C28, 'GEN-CARBON'!$D$7:$AW$7, 'GEN-CARBON'!$D$24:$AW$24), 0), IF($B28='Project List References'!$B$7, _xlfn.IFNA(_xlfn.XLOOKUP(F$2-$C28, 'SENS Coal'!$D$7:$AW$7, 'SENS Coal'!$D$24:$AW$24), 0), IF($B28='Project List References'!$B$8, _xlfn.IFNA(_xlfn.XLOOKUP(F$2-$C28,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G28" s="661" t="e">
        <f>IF($B28='Project List References'!$B$3, _xlfn.IFNA(_xlfn.XLOOKUP(G$2-$C28, 'GEN-CCGT'!$D$7:$AW$7, 'GEN-CCGT'!$D$24:$AW$24), 0), IF($B28='Project List References'!$B$4, _xlfn.IFNA(_xlfn.XLOOKUP(G$2-$C28, 'GEN-SOLAR'!$D$7:$AW$7, 'GEN-SOLAR'!$D$24:$AW$24), 0), IF($B28='Project List References'!$B$5, _xlfn.IFNA(_xlfn.XLOOKUP(G$2-$C28, 'GEN-BESS'!$D$7:$AW$7, 'GEN-BESS'!$D$24:$AW$24), 0), IF($B28='Project List References'!$B$6, _xlfn.IFNA(_xlfn.XLOOKUP(G$2-$C28, 'GEN-CARBON'!$D$7:$AW$7, 'GEN-CARBON'!$D$24:$AW$24), 0), IF($B28='Project List References'!$B$7, _xlfn.IFNA(_xlfn.XLOOKUP(G$2-$C28, 'SENS Coal'!$D$7:$AW$7, 'SENS Coal'!$D$24:$AW$24), 0), IF($B28='Project List References'!$B$8, _xlfn.IFNA(_xlfn.XLOOKUP(G$2-$C28,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H28" s="661" t="e">
        <f>IF($B28='Project List References'!$B$3, _xlfn.IFNA(_xlfn.XLOOKUP(H$2-$C28, 'GEN-CCGT'!$D$7:$AW$7, 'GEN-CCGT'!$D$24:$AW$24), 0), IF($B28='Project List References'!$B$4, _xlfn.IFNA(_xlfn.XLOOKUP(H$2-$C28, 'GEN-SOLAR'!$D$7:$AW$7, 'GEN-SOLAR'!$D$24:$AW$24), 0), IF($B28='Project List References'!$B$5, _xlfn.IFNA(_xlfn.XLOOKUP(H$2-$C28, 'GEN-BESS'!$D$7:$AW$7, 'GEN-BESS'!$D$24:$AW$24), 0), IF($B28='Project List References'!$B$6, _xlfn.IFNA(_xlfn.XLOOKUP(H$2-$C28, 'GEN-CARBON'!$D$7:$AW$7, 'GEN-CARBON'!$D$24:$AW$24), 0), IF($B28='Project List References'!$B$7, _xlfn.IFNA(_xlfn.XLOOKUP(H$2-$C28, 'SENS Coal'!$D$7:$AW$7, 'SENS Coal'!$D$24:$AW$24), 0), IF($B28='Project List References'!$B$8, _xlfn.IFNA(_xlfn.XLOOKUP(H$2-$C28,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I28" s="661" t="e">
        <f>IF($B28='Project List References'!$B$3, _xlfn.IFNA(_xlfn.XLOOKUP(I$2-$C28, 'GEN-CCGT'!$D$7:$AW$7, 'GEN-CCGT'!$D$24:$AW$24), 0), IF($B28='Project List References'!$B$4, _xlfn.IFNA(_xlfn.XLOOKUP(I$2-$C28, 'GEN-SOLAR'!$D$7:$AW$7, 'GEN-SOLAR'!$D$24:$AW$24), 0), IF($B28='Project List References'!$B$5, _xlfn.IFNA(_xlfn.XLOOKUP(I$2-$C28, 'GEN-BESS'!$D$7:$AW$7, 'GEN-BESS'!$D$24:$AW$24), 0), IF($B28='Project List References'!$B$6, _xlfn.IFNA(_xlfn.XLOOKUP(I$2-$C28, 'GEN-CARBON'!$D$7:$AW$7, 'GEN-CARBON'!$D$24:$AW$24), 0), IF($B28='Project List References'!$B$7, _xlfn.IFNA(_xlfn.XLOOKUP(I$2-$C28, 'SENS Coal'!$D$7:$AW$7, 'SENS Coal'!$D$24:$AW$24), 0), IF($B28='Project List References'!$B$8, _xlfn.IFNA(_xlfn.XLOOKUP(I$2-$C28,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J28" s="661" t="e">
        <f>IF($B28='Project List References'!$B$3, _xlfn.IFNA(_xlfn.XLOOKUP(J$2-$C28, 'GEN-CCGT'!$D$7:$AW$7, 'GEN-CCGT'!$D$24:$AW$24), 0), IF($B28='Project List References'!$B$4, _xlfn.IFNA(_xlfn.XLOOKUP(J$2-$C28, 'GEN-SOLAR'!$D$7:$AW$7, 'GEN-SOLAR'!$D$24:$AW$24), 0), IF($B28='Project List References'!$B$5, _xlfn.IFNA(_xlfn.XLOOKUP(J$2-$C28, 'GEN-BESS'!$D$7:$AW$7, 'GEN-BESS'!$D$24:$AW$24), 0), IF($B28='Project List References'!$B$6, _xlfn.IFNA(_xlfn.XLOOKUP(J$2-$C28, 'GEN-CARBON'!$D$7:$AW$7, 'GEN-CARBON'!$D$24:$AW$24), 0), IF($B28='Project List References'!$B$7, _xlfn.IFNA(_xlfn.XLOOKUP(J$2-$C28, 'SENS Coal'!$D$7:$AW$7, 'SENS Coal'!$D$24:$AW$24), 0), IF($B28='Project List References'!$B$8, _xlfn.IFNA(_xlfn.XLOOKUP(J$2-$C28,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K28" s="661" t="e">
        <f>IF($B28='Project List References'!$B$3, _xlfn.IFNA(_xlfn.XLOOKUP(K$2-$C28, 'GEN-CCGT'!$D$7:$AW$7, 'GEN-CCGT'!$D$24:$AW$24), 0), IF($B28='Project List References'!$B$4, _xlfn.IFNA(_xlfn.XLOOKUP(K$2-$C28, 'GEN-SOLAR'!$D$7:$AW$7, 'GEN-SOLAR'!$D$24:$AW$24), 0), IF($B28='Project List References'!$B$5, _xlfn.IFNA(_xlfn.XLOOKUP(K$2-$C28, 'GEN-BESS'!$D$7:$AW$7, 'GEN-BESS'!$D$24:$AW$24), 0), IF($B28='Project List References'!$B$6, _xlfn.IFNA(_xlfn.XLOOKUP(K$2-$C28, 'GEN-CARBON'!$D$7:$AW$7, 'GEN-CARBON'!$D$24:$AW$24), 0), IF($B28='Project List References'!$B$7, _xlfn.IFNA(_xlfn.XLOOKUP(K$2-$C28, 'SENS Coal'!$D$7:$AW$7, 'SENS Coal'!$D$24:$AW$24), 0), IF($B28='Project List References'!$B$8, _xlfn.IFNA(_xlfn.XLOOKUP(K$2-$C28,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L28" s="661" t="e">
        <f>IF($B28='Project List References'!$B$3, _xlfn.IFNA(_xlfn.XLOOKUP(L$2-$C28, 'GEN-CCGT'!$D$7:$AW$7, 'GEN-CCGT'!$D$24:$AW$24), 0), IF($B28='Project List References'!$B$4, _xlfn.IFNA(_xlfn.XLOOKUP(L$2-$C28, 'GEN-SOLAR'!$D$7:$AW$7, 'GEN-SOLAR'!$D$24:$AW$24), 0), IF($B28='Project List References'!$B$5, _xlfn.IFNA(_xlfn.XLOOKUP(L$2-$C28, 'GEN-BESS'!$D$7:$AW$7, 'GEN-BESS'!$D$24:$AW$24), 0), IF($B28='Project List References'!$B$6, _xlfn.IFNA(_xlfn.XLOOKUP(L$2-$C28, 'GEN-CARBON'!$D$7:$AW$7, 'GEN-CARBON'!$D$24:$AW$24), 0), IF($B28='Project List References'!$B$7, _xlfn.IFNA(_xlfn.XLOOKUP(L$2-$C28, 'SENS Coal'!$D$7:$AW$7, 'SENS Coal'!$D$24:$AW$24), 0), IF($B28='Project List References'!$B$8, _xlfn.IFNA(_xlfn.XLOOKUP(L$2-$C28,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M28" s="661" t="e">
        <f>IF($B28='Project List References'!$B$3, _xlfn.IFNA(_xlfn.XLOOKUP(M$2-$C28, 'GEN-CCGT'!$D$7:$AW$7, 'GEN-CCGT'!$D$24:$AW$24), 0), IF($B28='Project List References'!$B$4, _xlfn.IFNA(_xlfn.XLOOKUP(M$2-$C28, 'GEN-SOLAR'!$D$7:$AW$7, 'GEN-SOLAR'!$D$24:$AW$24), 0), IF($B28='Project List References'!$B$5, _xlfn.IFNA(_xlfn.XLOOKUP(M$2-$C28, 'GEN-BESS'!$D$7:$AW$7, 'GEN-BESS'!$D$24:$AW$24), 0), IF($B28='Project List References'!$B$6, _xlfn.IFNA(_xlfn.XLOOKUP(M$2-$C28, 'GEN-CARBON'!$D$7:$AW$7, 'GEN-CARBON'!$D$24:$AW$24), 0), IF($B28='Project List References'!$B$7, _xlfn.IFNA(_xlfn.XLOOKUP(M$2-$C28, 'SENS Coal'!$D$7:$AW$7, 'SENS Coal'!$D$24:$AW$24), 0), IF($B28='Project List References'!$B$8, _xlfn.IFNA(_xlfn.XLOOKUP(M$2-$C28,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N28" s="661" t="e">
        <f>IF($B28='Project List References'!$B$3, _xlfn.IFNA(_xlfn.XLOOKUP(N$2-$C28, 'GEN-CCGT'!$D$7:$AW$7, 'GEN-CCGT'!$D$24:$AW$24), 0), IF($B28='Project List References'!$B$4, _xlfn.IFNA(_xlfn.XLOOKUP(N$2-$C28, 'GEN-SOLAR'!$D$7:$AW$7, 'GEN-SOLAR'!$D$24:$AW$24), 0), IF($B28='Project List References'!$B$5, _xlfn.IFNA(_xlfn.XLOOKUP(N$2-$C28, 'GEN-BESS'!$D$7:$AW$7, 'GEN-BESS'!$D$24:$AW$24), 0), IF($B28='Project List References'!$B$6, _xlfn.IFNA(_xlfn.XLOOKUP(N$2-$C28, 'GEN-CARBON'!$D$7:$AW$7, 'GEN-CARBON'!$D$24:$AW$24), 0), IF($B28='Project List References'!$B$7, _xlfn.IFNA(_xlfn.XLOOKUP(N$2-$C28, 'SENS Coal'!$D$7:$AW$7, 'SENS Coal'!$D$24:$AW$24), 0), IF($B28='Project List References'!$B$8, _xlfn.IFNA(_xlfn.XLOOKUP(N$2-$C28,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O28" s="661" t="e">
        <f>IF($B28='Project List References'!$B$3, _xlfn.IFNA(_xlfn.XLOOKUP(O$2-$C28, 'GEN-CCGT'!$D$7:$AW$7, 'GEN-CCGT'!$D$24:$AW$24), 0), IF($B28='Project List References'!$B$4, _xlfn.IFNA(_xlfn.XLOOKUP(O$2-$C28, 'GEN-SOLAR'!$D$7:$AW$7, 'GEN-SOLAR'!$D$24:$AW$24), 0), IF($B28='Project List References'!$B$5, _xlfn.IFNA(_xlfn.XLOOKUP(O$2-$C28, 'GEN-BESS'!$D$7:$AW$7, 'GEN-BESS'!$D$24:$AW$24), 0), IF($B28='Project List References'!$B$6, _xlfn.IFNA(_xlfn.XLOOKUP(O$2-$C28, 'GEN-CARBON'!$D$7:$AW$7, 'GEN-CARBON'!$D$24:$AW$24), 0), IF($B28='Project List References'!$B$7, _xlfn.IFNA(_xlfn.XLOOKUP(O$2-$C28, 'SENS Coal'!$D$7:$AW$7, 'SENS Coal'!$D$24:$AW$24), 0), IF($B28='Project List References'!$B$8, _xlfn.IFNA(_xlfn.XLOOKUP(O$2-$C28,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P28" s="661" t="e">
        <f>IF($B28='Project List References'!$B$3, _xlfn.IFNA(_xlfn.XLOOKUP(P$2-$C28, 'GEN-CCGT'!$D$7:$AW$7, 'GEN-CCGT'!$D$24:$AW$24), 0), IF($B28='Project List References'!$B$4, _xlfn.IFNA(_xlfn.XLOOKUP(P$2-$C28, 'GEN-SOLAR'!$D$7:$AW$7, 'GEN-SOLAR'!$D$24:$AW$24), 0), IF($B28='Project List References'!$B$5, _xlfn.IFNA(_xlfn.XLOOKUP(P$2-$C28, 'GEN-BESS'!$D$7:$AW$7, 'GEN-BESS'!$D$24:$AW$24), 0), IF($B28='Project List References'!$B$6, _xlfn.IFNA(_xlfn.XLOOKUP(P$2-$C28, 'GEN-CARBON'!$D$7:$AW$7, 'GEN-CARBON'!$D$24:$AW$24), 0), IF($B28='Project List References'!$B$7, _xlfn.IFNA(_xlfn.XLOOKUP(P$2-$C28, 'SENS Coal'!$D$7:$AW$7, 'SENS Coal'!$D$24:$AW$24), 0), IF($B28='Project List References'!$B$8, _xlfn.IFNA(_xlfn.XLOOKUP(P$2-$C28,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Q28" s="661" t="e">
        <f>IF($B28='Project List References'!$B$3, _xlfn.IFNA(_xlfn.XLOOKUP(Q$2-$C28, 'GEN-CCGT'!$D$7:$AW$7, 'GEN-CCGT'!$D$24:$AW$24), 0), IF($B28='Project List References'!$B$4, _xlfn.IFNA(_xlfn.XLOOKUP(Q$2-$C28, 'GEN-SOLAR'!$D$7:$AW$7, 'GEN-SOLAR'!$D$24:$AW$24), 0), IF($B28='Project List References'!$B$5, _xlfn.IFNA(_xlfn.XLOOKUP(Q$2-$C28, 'GEN-BESS'!$D$7:$AW$7, 'GEN-BESS'!$D$24:$AW$24), 0), IF($B28='Project List References'!$B$6, _xlfn.IFNA(_xlfn.XLOOKUP(Q$2-$C28, 'GEN-CARBON'!$D$7:$AW$7, 'GEN-CARBON'!$D$24:$AW$24), 0), IF($B28='Project List References'!$B$7, _xlfn.IFNA(_xlfn.XLOOKUP(Q$2-$C28, 'SENS Coal'!$D$7:$AW$7, 'SENS Coal'!$D$24:$AW$24), 0), IF($B28='Project List References'!$B$8, _xlfn.IFNA(_xlfn.XLOOKUP(Q$2-$C28,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R28" s="661" t="e">
        <f>IF($B28='Project List References'!$B$3, _xlfn.IFNA(_xlfn.XLOOKUP(R$2-$C28, 'GEN-CCGT'!$D$7:$AW$7, 'GEN-CCGT'!$D$24:$AW$24), 0), IF($B28='Project List References'!$B$4, _xlfn.IFNA(_xlfn.XLOOKUP(R$2-$C28, 'GEN-SOLAR'!$D$7:$AW$7, 'GEN-SOLAR'!$D$24:$AW$24), 0), IF($B28='Project List References'!$B$5, _xlfn.IFNA(_xlfn.XLOOKUP(R$2-$C28, 'GEN-BESS'!$D$7:$AW$7, 'GEN-BESS'!$D$24:$AW$24), 0), IF($B28='Project List References'!$B$6, _xlfn.IFNA(_xlfn.XLOOKUP(R$2-$C28, 'GEN-CARBON'!$D$7:$AW$7, 'GEN-CARBON'!$D$24:$AW$24), 0), IF($B28='Project List References'!$B$7, _xlfn.IFNA(_xlfn.XLOOKUP(R$2-$C28, 'SENS Coal'!$D$7:$AW$7, 'SENS Coal'!$D$24:$AW$24), 0), IF($B28='Project List References'!$B$8, _xlfn.IFNA(_xlfn.XLOOKUP(R$2-$C28,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S28" s="661" t="e">
        <f>IF($B28='Project List References'!$B$3, _xlfn.IFNA(_xlfn.XLOOKUP(S$2-$C28, 'GEN-CCGT'!$D$7:$AW$7, 'GEN-CCGT'!$D$24:$AW$24), 0), IF($B28='Project List References'!$B$4, _xlfn.IFNA(_xlfn.XLOOKUP(S$2-$C28, 'GEN-SOLAR'!$D$7:$AW$7, 'GEN-SOLAR'!$D$24:$AW$24), 0), IF($B28='Project List References'!$B$5, _xlfn.IFNA(_xlfn.XLOOKUP(S$2-$C28, 'GEN-BESS'!$D$7:$AW$7, 'GEN-BESS'!$D$24:$AW$24), 0), IF($B28='Project List References'!$B$6, _xlfn.IFNA(_xlfn.XLOOKUP(S$2-$C28, 'GEN-CARBON'!$D$7:$AW$7, 'GEN-CARBON'!$D$24:$AW$24), 0), IF($B28='Project List References'!$B$7, _xlfn.IFNA(_xlfn.XLOOKUP(S$2-$C28, 'SENS Coal'!$D$7:$AW$7, 'SENS Coal'!$D$24:$AW$24), 0), IF($B28='Project List References'!$B$8, _xlfn.IFNA(_xlfn.XLOOKUP(S$2-$C28,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T28" s="661" t="e">
        <f>IF($B28='Project List References'!$B$3, _xlfn.IFNA(_xlfn.XLOOKUP(T$2-$C28, 'GEN-CCGT'!$D$7:$AW$7, 'GEN-CCGT'!$D$24:$AW$24), 0), IF($B28='Project List References'!$B$4, _xlfn.IFNA(_xlfn.XLOOKUP(T$2-$C28, 'GEN-SOLAR'!$D$7:$AW$7, 'GEN-SOLAR'!$D$24:$AW$24), 0), IF($B28='Project List References'!$B$5, _xlfn.IFNA(_xlfn.XLOOKUP(T$2-$C28, 'GEN-BESS'!$D$7:$AW$7, 'GEN-BESS'!$D$24:$AW$24), 0), IF($B28='Project List References'!$B$6, _xlfn.IFNA(_xlfn.XLOOKUP(T$2-$C28, 'GEN-CARBON'!$D$7:$AW$7, 'GEN-CARBON'!$D$24:$AW$24), 0), IF($B28='Project List References'!$B$7, _xlfn.IFNA(_xlfn.XLOOKUP(T$2-$C28, 'SENS Coal'!$D$7:$AW$7, 'SENS Coal'!$D$24:$AW$24), 0), IF($B28='Project List References'!$B$8, _xlfn.IFNA(_xlfn.XLOOKUP(T$2-$C28, 'SENS Tires'!$D$7:$AW$7, 'SENS Tires'!$D$24:$AW$24),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</row>
    <row r="29" spans="1:20">
      <c r="A29" s="655" t="str">
        <f>IF(ISBLANK('Project Master Sheet'!A29)=FALSE, 'Project Master Sheet'!A29, "")</f>
        <v/>
      </c>
      <c r="B29" s="655" t="str">
        <f>_xlfn.IFNA(_xlfn.XLOOKUP(A29, 'Project Master Sheet'!A:A, 'Project Master Sheet'!D:D), "")</f>
        <v/>
      </c>
      <c r="C29" s="655" t="e">
        <f>_xlfn.XLOOKUP(A29, 'Project Master Sheet'!A:A, 'Project Master Sheet'!I:I)</f>
        <v>#N/A</v>
      </c>
      <c r="E29" s="661" t="e">
        <f>IF($B29='Project List References'!$B$3, _xlfn.IFNA(_xlfn.XLOOKUP(E$2-$C29, 'GEN-CCGT'!$D$7:$AW$7, 'GEN-CCGT'!$D$24:$AW$24), 0), IF($B29='Project List References'!$B$4, _xlfn.IFNA(_xlfn.XLOOKUP(E$2-$C29, 'GEN-SOLAR'!$D$7:$AW$7, 'GEN-SOLAR'!$D$24:$AW$24), 0), IF($B29='Project List References'!$B$5, _xlfn.IFNA(_xlfn.XLOOKUP(E$2-$C29, 'GEN-BESS'!$D$7:$AW$7, 'GEN-BESS'!$D$24:$AW$24), 0), IF($B29='Project List References'!$B$6, _xlfn.IFNA(_xlfn.XLOOKUP(E$2-$C29, 'GEN-CARBON'!$D$7:$AW$7, 'GEN-CARBON'!$D$24:$AW$24), 0), IF($B29='Project List References'!$B$7, _xlfn.IFNA(_xlfn.XLOOKUP(E$2-$C29, 'SENS Coal'!$D$7:$AW$7, 'SENS Coal'!$D$24:$AW$24), 0), IF($B29='Project List References'!$B$8, _xlfn.IFNA(_xlfn.XLOOKUP(E$2-$C29,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F29" s="661" t="e">
        <f>IF($B29='Project List References'!$B$3, _xlfn.IFNA(_xlfn.XLOOKUP(F$2-$C29, 'GEN-CCGT'!$D$7:$AW$7, 'GEN-CCGT'!$D$24:$AW$24), 0), IF($B29='Project List References'!$B$4, _xlfn.IFNA(_xlfn.XLOOKUP(F$2-$C29, 'GEN-SOLAR'!$D$7:$AW$7, 'GEN-SOLAR'!$D$24:$AW$24), 0), IF($B29='Project List References'!$B$5, _xlfn.IFNA(_xlfn.XLOOKUP(F$2-$C29, 'GEN-BESS'!$D$7:$AW$7, 'GEN-BESS'!$D$24:$AW$24), 0), IF($B29='Project List References'!$B$6, _xlfn.IFNA(_xlfn.XLOOKUP(F$2-$C29, 'GEN-CARBON'!$D$7:$AW$7, 'GEN-CARBON'!$D$24:$AW$24), 0), IF($B29='Project List References'!$B$7, _xlfn.IFNA(_xlfn.XLOOKUP(F$2-$C29, 'SENS Coal'!$D$7:$AW$7, 'SENS Coal'!$D$24:$AW$24), 0), IF($B29='Project List References'!$B$8, _xlfn.IFNA(_xlfn.XLOOKUP(F$2-$C29,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G29" s="661" t="e">
        <f>IF($B29='Project List References'!$B$3, _xlfn.IFNA(_xlfn.XLOOKUP(G$2-$C29, 'GEN-CCGT'!$D$7:$AW$7, 'GEN-CCGT'!$D$24:$AW$24), 0), IF($B29='Project List References'!$B$4, _xlfn.IFNA(_xlfn.XLOOKUP(G$2-$C29, 'GEN-SOLAR'!$D$7:$AW$7, 'GEN-SOLAR'!$D$24:$AW$24), 0), IF($B29='Project List References'!$B$5, _xlfn.IFNA(_xlfn.XLOOKUP(G$2-$C29, 'GEN-BESS'!$D$7:$AW$7, 'GEN-BESS'!$D$24:$AW$24), 0), IF($B29='Project List References'!$B$6, _xlfn.IFNA(_xlfn.XLOOKUP(G$2-$C29, 'GEN-CARBON'!$D$7:$AW$7, 'GEN-CARBON'!$D$24:$AW$24), 0), IF($B29='Project List References'!$B$7, _xlfn.IFNA(_xlfn.XLOOKUP(G$2-$C29, 'SENS Coal'!$D$7:$AW$7, 'SENS Coal'!$D$24:$AW$24), 0), IF($B29='Project List References'!$B$8, _xlfn.IFNA(_xlfn.XLOOKUP(G$2-$C29,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H29" s="661" t="e">
        <f>IF($B29='Project List References'!$B$3, _xlfn.IFNA(_xlfn.XLOOKUP(H$2-$C29, 'GEN-CCGT'!$D$7:$AW$7, 'GEN-CCGT'!$D$24:$AW$24), 0), IF($B29='Project List References'!$B$4, _xlfn.IFNA(_xlfn.XLOOKUP(H$2-$C29, 'GEN-SOLAR'!$D$7:$AW$7, 'GEN-SOLAR'!$D$24:$AW$24), 0), IF($B29='Project List References'!$B$5, _xlfn.IFNA(_xlfn.XLOOKUP(H$2-$C29, 'GEN-BESS'!$D$7:$AW$7, 'GEN-BESS'!$D$24:$AW$24), 0), IF($B29='Project List References'!$B$6, _xlfn.IFNA(_xlfn.XLOOKUP(H$2-$C29, 'GEN-CARBON'!$D$7:$AW$7, 'GEN-CARBON'!$D$24:$AW$24), 0), IF($B29='Project List References'!$B$7, _xlfn.IFNA(_xlfn.XLOOKUP(H$2-$C29, 'SENS Coal'!$D$7:$AW$7, 'SENS Coal'!$D$24:$AW$24), 0), IF($B29='Project List References'!$B$8, _xlfn.IFNA(_xlfn.XLOOKUP(H$2-$C29,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I29" s="661" t="e">
        <f>IF($B29='Project List References'!$B$3, _xlfn.IFNA(_xlfn.XLOOKUP(I$2-$C29, 'GEN-CCGT'!$D$7:$AW$7, 'GEN-CCGT'!$D$24:$AW$24), 0), IF($B29='Project List References'!$B$4, _xlfn.IFNA(_xlfn.XLOOKUP(I$2-$C29, 'GEN-SOLAR'!$D$7:$AW$7, 'GEN-SOLAR'!$D$24:$AW$24), 0), IF($B29='Project List References'!$B$5, _xlfn.IFNA(_xlfn.XLOOKUP(I$2-$C29, 'GEN-BESS'!$D$7:$AW$7, 'GEN-BESS'!$D$24:$AW$24), 0), IF($B29='Project List References'!$B$6, _xlfn.IFNA(_xlfn.XLOOKUP(I$2-$C29, 'GEN-CARBON'!$D$7:$AW$7, 'GEN-CARBON'!$D$24:$AW$24), 0), IF($B29='Project List References'!$B$7, _xlfn.IFNA(_xlfn.XLOOKUP(I$2-$C29, 'SENS Coal'!$D$7:$AW$7, 'SENS Coal'!$D$24:$AW$24), 0), IF($B29='Project List References'!$B$8, _xlfn.IFNA(_xlfn.XLOOKUP(I$2-$C29,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J29" s="661" t="e">
        <f>IF($B29='Project List References'!$B$3, _xlfn.IFNA(_xlfn.XLOOKUP(J$2-$C29, 'GEN-CCGT'!$D$7:$AW$7, 'GEN-CCGT'!$D$24:$AW$24), 0), IF($B29='Project List References'!$B$4, _xlfn.IFNA(_xlfn.XLOOKUP(J$2-$C29, 'GEN-SOLAR'!$D$7:$AW$7, 'GEN-SOLAR'!$D$24:$AW$24), 0), IF($B29='Project List References'!$B$5, _xlfn.IFNA(_xlfn.XLOOKUP(J$2-$C29, 'GEN-BESS'!$D$7:$AW$7, 'GEN-BESS'!$D$24:$AW$24), 0), IF($B29='Project List References'!$B$6, _xlfn.IFNA(_xlfn.XLOOKUP(J$2-$C29, 'GEN-CARBON'!$D$7:$AW$7, 'GEN-CARBON'!$D$24:$AW$24), 0), IF($B29='Project List References'!$B$7, _xlfn.IFNA(_xlfn.XLOOKUP(J$2-$C29, 'SENS Coal'!$D$7:$AW$7, 'SENS Coal'!$D$24:$AW$24), 0), IF($B29='Project List References'!$B$8, _xlfn.IFNA(_xlfn.XLOOKUP(J$2-$C29,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K29" s="661" t="e">
        <f>IF($B29='Project List References'!$B$3, _xlfn.IFNA(_xlfn.XLOOKUP(K$2-$C29, 'GEN-CCGT'!$D$7:$AW$7, 'GEN-CCGT'!$D$24:$AW$24), 0), IF($B29='Project List References'!$B$4, _xlfn.IFNA(_xlfn.XLOOKUP(K$2-$C29, 'GEN-SOLAR'!$D$7:$AW$7, 'GEN-SOLAR'!$D$24:$AW$24), 0), IF($B29='Project List References'!$B$5, _xlfn.IFNA(_xlfn.XLOOKUP(K$2-$C29, 'GEN-BESS'!$D$7:$AW$7, 'GEN-BESS'!$D$24:$AW$24), 0), IF($B29='Project List References'!$B$6, _xlfn.IFNA(_xlfn.XLOOKUP(K$2-$C29, 'GEN-CARBON'!$D$7:$AW$7, 'GEN-CARBON'!$D$24:$AW$24), 0), IF($B29='Project List References'!$B$7, _xlfn.IFNA(_xlfn.XLOOKUP(K$2-$C29, 'SENS Coal'!$D$7:$AW$7, 'SENS Coal'!$D$24:$AW$24), 0), IF($B29='Project List References'!$B$8, _xlfn.IFNA(_xlfn.XLOOKUP(K$2-$C29,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L29" s="661" t="e">
        <f>IF($B29='Project List References'!$B$3, _xlfn.IFNA(_xlfn.XLOOKUP(L$2-$C29, 'GEN-CCGT'!$D$7:$AW$7, 'GEN-CCGT'!$D$24:$AW$24), 0), IF($B29='Project List References'!$B$4, _xlfn.IFNA(_xlfn.XLOOKUP(L$2-$C29, 'GEN-SOLAR'!$D$7:$AW$7, 'GEN-SOLAR'!$D$24:$AW$24), 0), IF($B29='Project List References'!$B$5, _xlfn.IFNA(_xlfn.XLOOKUP(L$2-$C29, 'GEN-BESS'!$D$7:$AW$7, 'GEN-BESS'!$D$24:$AW$24), 0), IF($B29='Project List References'!$B$6, _xlfn.IFNA(_xlfn.XLOOKUP(L$2-$C29, 'GEN-CARBON'!$D$7:$AW$7, 'GEN-CARBON'!$D$24:$AW$24), 0), IF($B29='Project List References'!$B$7, _xlfn.IFNA(_xlfn.XLOOKUP(L$2-$C29, 'SENS Coal'!$D$7:$AW$7, 'SENS Coal'!$D$24:$AW$24), 0), IF($B29='Project List References'!$B$8, _xlfn.IFNA(_xlfn.XLOOKUP(L$2-$C29,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M29" s="661" t="e">
        <f>IF($B29='Project List References'!$B$3, _xlfn.IFNA(_xlfn.XLOOKUP(M$2-$C29, 'GEN-CCGT'!$D$7:$AW$7, 'GEN-CCGT'!$D$24:$AW$24), 0), IF($B29='Project List References'!$B$4, _xlfn.IFNA(_xlfn.XLOOKUP(M$2-$C29, 'GEN-SOLAR'!$D$7:$AW$7, 'GEN-SOLAR'!$D$24:$AW$24), 0), IF($B29='Project List References'!$B$5, _xlfn.IFNA(_xlfn.XLOOKUP(M$2-$C29, 'GEN-BESS'!$D$7:$AW$7, 'GEN-BESS'!$D$24:$AW$24), 0), IF($B29='Project List References'!$B$6, _xlfn.IFNA(_xlfn.XLOOKUP(M$2-$C29, 'GEN-CARBON'!$D$7:$AW$7, 'GEN-CARBON'!$D$24:$AW$24), 0), IF($B29='Project List References'!$B$7, _xlfn.IFNA(_xlfn.XLOOKUP(M$2-$C29, 'SENS Coal'!$D$7:$AW$7, 'SENS Coal'!$D$24:$AW$24), 0), IF($B29='Project List References'!$B$8, _xlfn.IFNA(_xlfn.XLOOKUP(M$2-$C29,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N29" s="661" t="e">
        <f>IF($B29='Project List References'!$B$3, _xlfn.IFNA(_xlfn.XLOOKUP(N$2-$C29, 'GEN-CCGT'!$D$7:$AW$7, 'GEN-CCGT'!$D$24:$AW$24), 0), IF($B29='Project List References'!$B$4, _xlfn.IFNA(_xlfn.XLOOKUP(N$2-$C29, 'GEN-SOLAR'!$D$7:$AW$7, 'GEN-SOLAR'!$D$24:$AW$24), 0), IF($B29='Project List References'!$B$5, _xlfn.IFNA(_xlfn.XLOOKUP(N$2-$C29, 'GEN-BESS'!$D$7:$AW$7, 'GEN-BESS'!$D$24:$AW$24), 0), IF($B29='Project List References'!$B$6, _xlfn.IFNA(_xlfn.XLOOKUP(N$2-$C29, 'GEN-CARBON'!$D$7:$AW$7, 'GEN-CARBON'!$D$24:$AW$24), 0), IF($B29='Project List References'!$B$7, _xlfn.IFNA(_xlfn.XLOOKUP(N$2-$C29, 'SENS Coal'!$D$7:$AW$7, 'SENS Coal'!$D$24:$AW$24), 0), IF($B29='Project List References'!$B$8, _xlfn.IFNA(_xlfn.XLOOKUP(N$2-$C29,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O29" s="661" t="e">
        <f>IF($B29='Project List References'!$B$3, _xlfn.IFNA(_xlfn.XLOOKUP(O$2-$C29, 'GEN-CCGT'!$D$7:$AW$7, 'GEN-CCGT'!$D$24:$AW$24), 0), IF($B29='Project List References'!$B$4, _xlfn.IFNA(_xlfn.XLOOKUP(O$2-$C29, 'GEN-SOLAR'!$D$7:$AW$7, 'GEN-SOLAR'!$D$24:$AW$24), 0), IF($B29='Project List References'!$B$5, _xlfn.IFNA(_xlfn.XLOOKUP(O$2-$C29, 'GEN-BESS'!$D$7:$AW$7, 'GEN-BESS'!$D$24:$AW$24), 0), IF($B29='Project List References'!$B$6, _xlfn.IFNA(_xlfn.XLOOKUP(O$2-$C29, 'GEN-CARBON'!$D$7:$AW$7, 'GEN-CARBON'!$D$24:$AW$24), 0), IF($B29='Project List References'!$B$7, _xlfn.IFNA(_xlfn.XLOOKUP(O$2-$C29, 'SENS Coal'!$D$7:$AW$7, 'SENS Coal'!$D$24:$AW$24), 0), IF($B29='Project List References'!$B$8, _xlfn.IFNA(_xlfn.XLOOKUP(O$2-$C29,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P29" s="661" t="e">
        <f>IF($B29='Project List References'!$B$3, _xlfn.IFNA(_xlfn.XLOOKUP(P$2-$C29, 'GEN-CCGT'!$D$7:$AW$7, 'GEN-CCGT'!$D$24:$AW$24), 0), IF($B29='Project List References'!$B$4, _xlfn.IFNA(_xlfn.XLOOKUP(P$2-$C29, 'GEN-SOLAR'!$D$7:$AW$7, 'GEN-SOLAR'!$D$24:$AW$24), 0), IF($B29='Project List References'!$B$5, _xlfn.IFNA(_xlfn.XLOOKUP(P$2-$C29, 'GEN-BESS'!$D$7:$AW$7, 'GEN-BESS'!$D$24:$AW$24), 0), IF($B29='Project List References'!$B$6, _xlfn.IFNA(_xlfn.XLOOKUP(P$2-$C29, 'GEN-CARBON'!$D$7:$AW$7, 'GEN-CARBON'!$D$24:$AW$24), 0), IF($B29='Project List References'!$B$7, _xlfn.IFNA(_xlfn.XLOOKUP(P$2-$C29, 'SENS Coal'!$D$7:$AW$7, 'SENS Coal'!$D$24:$AW$24), 0), IF($B29='Project List References'!$B$8, _xlfn.IFNA(_xlfn.XLOOKUP(P$2-$C29,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Q29" s="661" t="e">
        <f>IF($B29='Project List References'!$B$3, _xlfn.IFNA(_xlfn.XLOOKUP(Q$2-$C29, 'GEN-CCGT'!$D$7:$AW$7, 'GEN-CCGT'!$D$24:$AW$24), 0), IF($B29='Project List References'!$B$4, _xlfn.IFNA(_xlfn.XLOOKUP(Q$2-$C29, 'GEN-SOLAR'!$D$7:$AW$7, 'GEN-SOLAR'!$D$24:$AW$24), 0), IF($B29='Project List References'!$B$5, _xlfn.IFNA(_xlfn.XLOOKUP(Q$2-$C29, 'GEN-BESS'!$D$7:$AW$7, 'GEN-BESS'!$D$24:$AW$24), 0), IF($B29='Project List References'!$B$6, _xlfn.IFNA(_xlfn.XLOOKUP(Q$2-$C29, 'GEN-CARBON'!$D$7:$AW$7, 'GEN-CARBON'!$D$24:$AW$24), 0), IF($B29='Project List References'!$B$7, _xlfn.IFNA(_xlfn.XLOOKUP(Q$2-$C29, 'SENS Coal'!$D$7:$AW$7, 'SENS Coal'!$D$24:$AW$24), 0), IF($B29='Project List References'!$B$8, _xlfn.IFNA(_xlfn.XLOOKUP(Q$2-$C29,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R29" s="661" t="e">
        <f>IF($B29='Project List References'!$B$3, _xlfn.IFNA(_xlfn.XLOOKUP(R$2-$C29, 'GEN-CCGT'!$D$7:$AW$7, 'GEN-CCGT'!$D$24:$AW$24), 0), IF($B29='Project List References'!$B$4, _xlfn.IFNA(_xlfn.XLOOKUP(R$2-$C29, 'GEN-SOLAR'!$D$7:$AW$7, 'GEN-SOLAR'!$D$24:$AW$24), 0), IF($B29='Project List References'!$B$5, _xlfn.IFNA(_xlfn.XLOOKUP(R$2-$C29, 'GEN-BESS'!$D$7:$AW$7, 'GEN-BESS'!$D$24:$AW$24), 0), IF($B29='Project List References'!$B$6, _xlfn.IFNA(_xlfn.XLOOKUP(R$2-$C29, 'GEN-CARBON'!$D$7:$AW$7, 'GEN-CARBON'!$D$24:$AW$24), 0), IF($B29='Project List References'!$B$7, _xlfn.IFNA(_xlfn.XLOOKUP(R$2-$C29, 'SENS Coal'!$D$7:$AW$7, 'SENS Coal'!$D$24:$AW$24), 0), IF($B29='Project List References'!$B$8, _xlfn.IFNA(_xlfn.XLOOKUP(R$2-$C29,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S29" s="661" t="e">
        <f>IF($B29='Project List References'!$B$3, _xlfn.IFNA(_xlfn.XLOOKUP(S$2-$C29, 'GEN-CCGT'!$D$7:$AW$7, 'GEN-CCGT'!$D$24:$AW$24), 0), IF($B29='Project List References'!$B$4, _xlfn.IFNA(_xlfn.XLOOKUP(S$2-$C29, 'GEN-SOLAR'!$D$7:$AW$7, 'GEN-SOLAR'!$D$24:$AW$24), 0), IF($B29='Project List References'!$B$5, _xlfn.IFNA(_xlfn.XLOOKUP(S$2-$C29, 'GEN-BESS'!$D$7:$AW$7, 'GEN-BESS'!$D$24:$AW$24), 0), IF($B29='Project List References'!$B$6, _xlfn.IFNA(_xlfn.XLOOKUP(S$2-$C29, 'GEN-CARBON'!$D$7:$AW$7, 'GEN-CARBON'!$D$24:$AW$24), 0), IF($B29='Project List References'!$B$7, _xlfn.IFNA(_xlfn.XLOOKUP(S$2-$C29, 'SENS Coal'!$D$7:$AW$7, 'SENS Coal'!$D$24:$AW$24), 0), IF($B29='Project List References'!$B$8, _xlfn.IFNA(_xlfn.XLOOKUP(S$2-$C29,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T29" s="661" t="e">
        <f>IF($B29='Project List References'!$B$3, _xlfn.IFNA(_xlfn.XLOOKUP(T$2-$C29, 'GEN-CCGT'!$D$7:$AW$7, 'GEN-CCGT'!$D$24:$AW$24), 0), IF($B29='Project List References'!$B$4, _xlfn.IFNA(_xlfn.XLOOKUP(T$2-$C29, 'GEN-SOLAR'!$D$7:$AW$7, 'GEN-SOLAR'!$D$24:$AW$24), 0), IF($B29='Project List References'!$B$5, _xlfn.IFNA(_xlfn.XLOOKUP(T$2-$C29, 'GEN-BESS'!$D$7:$AW$7, 'GEN-BESS'!$D$24:$AW$24), 0), IF($B29='Project List References'!$B$6, _xlfn.IFNA(_xlfn.XLOOKUP(T$2-$C29, 'GEN-CARBON'!$D$7:$AW$7, 'GEN-CARBON'!$D$24:$AW$24), 0), IF($B29='Project List References'!$B$7, _xlfn.IFNA(_xlfn.XLOOKUP(T$2-$C29, 'SENS Coal'!$D$7:$AW$7, 'SENS Coal'!$D$24:$AW$24), 0), IF($B29='Project List References'!$B$8, _xlfn.IFNA(_xlfn.XLOOKUP(T$2-$C29, 'SENS Tires'!$D$7:$AW$7, 'SENS Tires'!$D$24:$AW$24),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</row>
    <row r="30" spans="1:20">
      <c r="A30" s="655" t="str">
        <f>IF(ISBLANK('Project Master Sheet'!A30)=FALSE, 'Project Master Sheet'!A30, "")</f>
        <v/>
      </c>
      <c r="B30" s="655" t="str">
        <f>_xlfn.IFNA(_xlfn.XLOOKUP(A30, 'Project Master Sheet'!A:A, 'Project Master Sheet'!D:D), "")</f>
        <v/>
      </c>
      <c r="C30" s="655" t="e">
        <f>_xlfn.XLOOKUP(A30, 'Project Master Sheet'!A:A, 'Project Master Sheet'!I:I)</f>
        <v>#N/A</v>
      </c>
      <c r="E30" s="661" t="e">
        <f>IF($B30='Project List References'!$B$3, _xlfn.IFNA(_xlfn.XLOOKUP(E$2-$C30, 'GEN-CCGT'!$D$7:$AW$7, 'GEN-CCGT'!$D$24:$AW$24), 0), IF($B30='Project List References'!$B$4, _xlfn.IFNA(_xlfn.XLOOKUP(E$2-$C30, 'GEN-SOLAR'!$D$7:$AW$7, 'GEN-SOLAR'!$D$24:$AW$24), 0), IF($B30='Project List References'!$B$5, _xlfn.IFNA(_xlfn.XLOOKUP(E$2-$C30, 'GEN-BESS'!$D$7:$AW$7, 'GEN-BESS'!$D$24:$AW$24), 0), IF($B30='Project List References'!$B$6, _xlfn.IFNA(_xlfn.XLOOKUP(E$2-$C30, 'GEN-CARBON'!$D$7:$AW$7, 'GEN-CARBON'!$D$24:$AW$24), 0), IF($B30='Project List References'!$B$7, _xlfn.IFNA(_xlfn.XLOOKUP(E$2-$C30, 'SENS Coal'!$D$7:$AW$7, 'SENS Coal'!$D$24:$AW$24), 0), IF($B30='Project List References'!$B$8, _xlfn.IFNA(_xlfn.XLOOKUP(E$2-$C30,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F30" s="661" t="e">
        <f>IF($B30='Project List References'!$B$3, _xlfn.IFNA(_xlfn.XLOOKUP(F$2-$C30, 'GEN-CCGT'!$D$7:$AW$7, 'GEN-CCGT'!$D$24:$AW$24), 0), IF($B30='Project List References'!$B$4, _xlfn.IFNA(_xlfn.XLOOKUP(F$2-$C30, 'GEN-SOLAR'!$D$7:$AW$7, 'GEN-SOLAR'!$D$24:$AW$24), 0), IF($B30='Project List References'!$B$5, _xlfn.IFNA(_xlfn.XLOOKUP(F$2-$C30, 'GEN-BESS'!$D$7:$AW$7, 'GEN-BESS'!$D$24:$AW$24), 0), IF($B30='Project List References'!$B$6, _xlfn.IFNA(_xlfn.XLOOKUP(F$2-$C30, 'GEN-CARBON'!$D$7:$AW$7, 'GEN-CARBON'!$D$24:$AW$24), 0), IF($B30='Project List References'!$B$7, _xlfn.IFNA(_xlfn.XLOOKUP(F$2-$C30, 'SENS Coal'!$D$7:$AW$7, 'SENS Coal'!$D$24:$AW$24), 0), IF($B30='Project List References'!$B$8, _xlfn.IFNA(_xlfn.XLOOKUP(F$2-$C30,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G30" s="661" t="e">
        <f>IF($B30='Project List References'!$B$3, _xlfn.IFNA(_xlfn.XLOOKUP(G$2-$C30, 'GEN-CCGT'!$D$7:$AW$7, 'GEN-CCGT'!$D$24:$AW$24), 0), IF($B30='Project List References'!$B$4, _xlfn.IFNA(_xlfn.XLOOKUP(G$2-$C30, 'GEN-SOLAR'!$D$7:$AW$7, 'GEN-SOLAR'!$D$24:$AW$24), 0), IF($B30='Project List References'!$B$5, _xlfn.IFNA(_xlfn.XLOOKUP(G$2-$C30, 'GEN-BESS'!$D$7:$AW$7, 'GEN-BESS'!$D$24:$AW$24), 0), IF($B30='Project List References'!$B$6, _xlfn.IFNA(_xlfn.XLOOKUP(G$2-$C30, 'GEN-CARBON'!$D$7:$AW$7, 'GEN-CARBON'!$D$24:$AW$24), 0), IF($B30='Project List References'!$B$7, _xlfn.IFNA(_xlfn.XLOOKUP(G$2-$C30, 'SENS Coal'!$D$7:$AW$7, 'SENS Coal'!$D$24:$AW$24), 0), IF($B30='Project List References'!$B$8, _xlfn.IFNA(_xlfn.XLOOKUP(G$2-$C30,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H30" s="661" t="e">
        <f>IF($B30='Project List References'!$B$3, _xlfn.IFNA(_xlfn.XLOOKUP(H$2-$C30, 'GEN-CCGT'!$D$7:$AW$7, 'GEN-CCGT'!$D$24:$AW$24), 0), IF($B30='Project List References'!$B$4, _xlfn.IFNA(_xlfn.XLOOKUP(H$2-$C30, 'GEN-SOLAR'!$D$7:$AW$7, 'GEN-SOLAR'!$D$24:$AW$24), 0), IF($B30='Project List References'!$B$5, _xlfn.IFNA(_xlfn.XLOOKUP(H$2-$C30, 'GEN-BESS'!$D$7:$AW$7, 'GEN-BESS'!$D$24:$AW$24), 0), IF($B30='Project List References'!$B$6, _xlfn.IFNA(_xlfn.XLOOKUP(H$2-$C30, 'GEN-CARBON'!$D$7:$AW$7, 'GEN-CARBON'!$D$24:$AW$24), 0), IF($B30='Project List References'!$B$7, _xlfn.IFNA(_xlfn.XLOOKUP(H$2-$C30, 'SENS Coal'!$D$7:$AW$7, 'SENS Coal'!$D$24:$AW$24), 0), IF($B30='Project List References'!$B$8, _xlfn.IFNA(_xlfn.XLOOKUP(H$2-$C30,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I30" s="661" t="e">
        <f>IF($B30='Project List References'!$B$3, _xlfn.IFNA(_xlfn.XLOOKUP(I$2-$C30, 'GEN-CCGT'!$D$7:$AW$7, 'GEN-CCGT'!$D$24:$AW$24), 0), IF($B30='Project List References'!$B$4, _xlfn.IFNA(_xlfn.XLOOKUP(I$2-$C30, 'GEN-SOLAR'!$D$7:$AW$7, 'GEN-SOLAR'!$D$24:$AW$24), 0), IF($B30='Project List References'!$B$5, _xlfn.IFNA(_xlfn.XLOOKUP(I$2-$C30, 'GEN-BESS'!$D$7:$AW$7, 'GEN-BESS'!$D$24:$AW$24), 0), IF($B30='Project List References'!$B$6, _xlfn.IFNA(_xlfn.XLOOKUP(I$2-$C30, 'GEN-CARBON'!$D$7:$AW$7, 'GEN-CARBON'!$D$24:$AW$24), 0), IF($B30='Project List References'!$B$7, _xlfn.IFNA(_xlfn.XLOOKUP(I$2-$C30, 'SENS Coal'!$D$7:$AW$7, 'SENS Coal'!$D$24:$AW$24), 0), IF($B30='Project List References'!$B$8, _xlfn.IFNA(_xlfn.XLOOKUP(I$2-$C30,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J30" s="661" t="e">
        <f>IF($B30='Project List References'!$B$3, _xlfn.IFNA(_xlfn.XLOOKUP(J$2-$C30, 'GEN-CCGT'!$D$7:$AW$7, 'GEN-CCGT'!$D$24:$AW$24), 0), IF($B30='Project List References'!$B$4, _xlfn.IFNA(_xlfn.XLOOKUP(J$2-$C30, 'GEN-SOLAR'!$D$7:$AW$7, 'GEN-SOLAR'!$D$24:$AW$24), 0), IF($B30='Project List References'!$B$5, _xlfn.IFNA(_xlfn.XLOOKUP(J$2-$C30, 'GEN-BESS'!$D$7:$AW$7, 'GEN-BESS'!$D$24:$AW$24), 0), IF($B30='Project List References'!$B$6, _xlfn.IFNA(_xlfn.XLOOKUP(J$2-$C30, 'GEN-CARBON'!$D$7:$AW$7, 'GEN-CARBON'!$D$24:$AW$24), 0), IF($B30='Project List References'!$B$7, _xlfn.IFNA(_xlfn.XLOOKUP(J$2-$C30, 'SENS Coal'!$D$7:$AW$7, 'SENS Coal'!$D$24:$AW$24), 0), IF($B30='Project List References'!$B$8, _xlfn.IFNA(_xlfn.XLOOKUP(J$2-$C30,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K30" s="661" t="e">
        <f>IF($B30='Project List References'!$B$3, _xlfn.IFNA(_xlfn.XLOOKUP(K$2-$C30, 'GEN-CCGT'!$D$7:$AW$7, 'GEN-CCGT'!$D$24:$AW$24), 0), IF($B30='Project List References'!$B$4, _xlfn.IFNA(_xlfn.XLOOKUP(K$2-$C30, 'GEN-SOLAR'!$D$7:$AW$7, 'GEN-SOLAR'!$D$24:$AW$24), 0), IF($B30='Project List References'!$B$5, _xlfn.IFNA(_xlfn.XLOOKUP(K$2-$C30, 'GEN-BESS'!$D$7:$AW$7, 'GEN-BESS'!$D$24:$AW$24), 0), IF($B30='Project List References'!$B$6, _xlfn.IFNA(_xlfn.XLOOKUP(K$2-$C30, 'GEN-CARBON'!$D$7:$AW$7, 'GEN-CARBON'!$D$24:$AW$24), 0), IF($B30='Project List References'!$B$7, _xlfn.IFNA(_xlfn.XLOOKUP(K$2-$C30, 'SENS Coal'!$D$7:$AW$7, 'SENS Coal'!$D$24:$AW$24), 0), IF($B30='Project List References'!$B$8, _xlfn.IFNA(_xlfn.XLOOKUP(K$2-$C30,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L30" s="661" t="e">
        <f>IF($B30='Project List References'!$B$3, _xlfn.IFNA(_xlfn.XLOOKUP(L$2-$C30, 'GEN-CCGT'!$D$7:$AW$7, 'GEN-CCGT'!$D$24:$AW$24), 0), IF($B30='Project List References'!$B$4, _xlfn.IFNA(_xlfn.XLOOKUP(L$2-$C30, 'GEN-SOLAR'!$D$7:$AW$7, 'GEN-SOLAR'!$D$24:$AW$24), 0), IF($B30='Project List References'!$B$5, _xlfn.IFNA(_xlfn.XLOOKUP(L$2-$C30, 'GEN-BESS'!$D$7:$AW$7, 'GEN-BESS'!$D$24:$AW$24), 0), IF($B30='Project List References'!$B$6, _xlfn.IFNA(_xlfn.XLOOKUP(L$2-$C30, 'GEN-CARBON'!$D$7:$AW$7, 'GEN-CARBON'!$D$24:$AW$24), 0), IF($B30='Project List References'!$B$7, _xlfn.IFNA(_xlfn.XLOOKUP(L$2-$C30, 'SENS Coal'!$D$7:$AW$7, 'SENS Coal'!$D$24:$AW$24), 0), IF($B30='Project List References'!$B$8, _xlfn.IFNA(_xlfn.XLOOKUP(L$2-$C30,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M30" s="661" t="e">
        <f>IF($B30='Project List References'!$B$3, _xlfn.IFNA(_xlfn.XLOOKUP(M$2-$C30, 'GEN-CCGT'!$D$7:$AW$7, 'GEN-CCGT'!$D$24:$AW$24), 0), IF($B30='Project List References'!$B$4, _xlfn.IFNA(_xlfn.XLOOKUP(M$2-$C30, 'GEN-SOLAR'!$D$7:$AW$7, 'GEN-SOLAR'!$D$24:$AW$24), 0), IF($B30='Project List References'!$B$5, _xlfn.IFNA(_xlfn.XLOOKUP(M$2-$C30, 'GEN-BESS'!$D$7:$AW$7, 'GEN-BESS'!$D$24:$AW$24), 0), IF($B30='Project List References'!$B$6, _xlfn.IFNA(_xlfn.XLOOKUP(M$2-$C30, 'GEN-CARBON'!$D$7:$AW$7, 'GEN-CARBON'!$D$24:$AW$24), 0), IF($B30='Project List References'!$B$7, _xlfn.IFNA(_xlfn.XLOOKUP(M$2-$C30, 'SENS Coal'!$D$7:$AW$7, 'SENS Coal'!$D$24:$AW$24), 0), IF($B30='Project List References'!$B$8, _xlfn.IFNA(_xlfn.XLOOKUP(M$2-$C30,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N30" s="661" t="e">
        <f>IF($B30='Project List References'!$B$3, _xlfn.IFNA(_xlfn.XLOOKUP(N$2-$C30, 'GEN-CCGT'!$D$7:$AW$7, 'GEN-CCGT'!$D$24:$AW$24), 0), IF($B30='Project List References'!$B$4, _xlfn.IFNA(_xlfn.XLOOKUP(N$2-$C30, 'GEN-SOLAR'!$D$7:$AW$7, 'GEN-SOLAR'!$D$24:$AW$24), 0), IF($B30='Project List References'!$B$5, _xlfn.IFNA(_xlfn.XLOOKUP(N$2-$C30, 'GEN-BESS'!$D$7:$AW$7, 'GEN-BESS'!$D$24:$AW$24), 0), IF($B30='Project List References'!$B$6, _xlfn.IFNA(_xlfn.XLOOKUP(N$2-$C30, 'GEN-CARBON'!$D$7:$AW$7, 'GEN-CARBON'!$D$24:$AW$24), 0), IF($B30='Project List References'!$B$7, _xlfn.IFNA(_xlfn.XLOOKUP(N$2-$C30, 'SENS Coal'!$D$7:$AW$7, 'SENS Coal'!$D$24:$AW$24), 0), IF($B30='Project List References'!$B$8, _xlfn.IFNA(_xlfn.XLOOKUP(N$2-$C30,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O30" s="661" t="e">
        <f>IF($B30='Project List References'!$B$3, _xlfn.IFNA(_xlfn.XLOOKUP(O$2-$C30, 'GEN-CCGT'!$D$7:$AW$7, 'GEN-CCGT'!$D$24:$AW$24), 0), IF($B30='Project List References'!$B$4, _xlfn.IFNA(_xlfn.XLOOKUP(O$2-$C30, 'GEN-SOLAR'!$D$7:$AW$7, 'GEN-SOLAR'!$D$24:$AW$24), 0), IF($B30='Project List References'!$B$5, _xlfn.IFNA(_xlfn.XLOOKUP(O$2-$C30, 'GEN-BESS'!$D$7:$AW$7, 'GEN-BESS'!$D$24:$AW$24), 0), IF($B30='Project List References'!$B$6, _xlfn.IFNA(_xlfn.XLOOKUP(O$2-$C30, 'GEN-CARBON'!$D$7:$AW$7, 'GEN-CARBON'!$D$24:$AW$24), 0), IF($B30='Project List References'!$B$7, _xlfn.IFNA(_xlfn.XLOOKUP(O$2-$C30, 'SENS Coal'!$D$7:$AW$7, 'SENS Coal'!$D$24:$AW$24), 0), IF($B30='Project List References'!$B$8, _xlfn.IFNA(_xlfn.XLOOKUP(O$2-$C30,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P30" s="661" t="e">
        <f>IF($B30='Project List References'!$B$3, _xlfn.IFNA(_xlfn.XLOOKUP(P$2-$C30, 'GEN-CCGT'!$D$7:$AW$7, 'GEN-CCGT'!$D$24:$AW$24), 0), IF($B30='Project List References'!$B$4, _xlfn.IFNA(_xlfn.XLOOKUP(P$2-$C30, 'GEN-SOLAR'!$D$7:$AW$7, 'GEN-SOLAR'!$D$24:$AW$24), 0), IF($B30='Project List References'!$B$5, _xlfn.IFNA(_xlfn.XLOOKUP(P$2-$C30, 'GEN-BESS'!$D$7:$AW$7, 'GEN-BESS'!$D$24:$AW$24), 0), IF($B30='Project List References'!$B$6, _xlfn.IFNA(_xlfn.XLOOKUP(P$2-$C30, 'GEN-CARBON'!$D$7:$AW$7, 'GEN-CARBON'!$D$24:$AW$24), 0), IF($B30='Project List References'!$B$7, _xlfn.IFNA(_xlfn.XLOOKUP(P$2-$C30, 'SENS Coal'!$D$7:$AW$7, 'SENS Coal'!$D$24:$AW$24), 0), IF($B30='Project List References'!$B$8, _xlfn.IFNA(_xlfn.XLOOKUP(P$2-$C30,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Q30" s="661" t="e">
        <f>IF($B30='Project List References'!$B$3, _xlfn.IFNA(_xlfn.XLOOKUP(Q$2-$C30, 'GEN-CCGT'!$D$7:$AW$7, 'GEN-CCGT'!$D$24:$AW$24), 0), IF($B30='Project List References'!$B$4, _xlfn.IFNA(_xlfn.XLOOKUP(Q$2-$C30, 'GEN-SOLAR'!$D$7:$AW$7, 'GEN-SOLAR'!$D$24:$AW$24), 0), IF($B30='Project List References'!$B$5, _xlfn.IFNA(_xlfn.XLOOKUP(Q$2-$C30, 'GEN-BESS'!$D$7:$AW$7, 'GEN-BESS'!$D$24:$AW$24), 0), IF($B30='Project List References'!$B$6, _xlfn.IFNA(_xlfn.XLOOKUP(Q$2-$C30, 'GEN-CARBON'!$D$7:$AW$7, 'GEN-CARBON'!$D$24:$AW$24), 0), IF($B30='Project List References'!$B$7, _xlfn.IFNA(_xlfn.XLOOKUP(Q$2-$C30, 'SENS Coal'!$D$7:$AW$7, 'SENS Coal'!$D$24:$AW$24), 0), IF($B30='Project List References'!$B$8, _xlfn.IFNA(_xlfn.XLOOKUP(Q$2-$C30,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R30" s="661" t="e">
        <f>IF($B30='Project List References'!$B$3, _xlfn.IFNA(_xlfn.XLOOKUP(R$2-$C30, 'GEN-CCGT'!$D$7:$AW$7, 'GEN-CCGT'!$D$24:$AW$24), 0), IF($B30='Project List References'!$B$4, _xlfn.IFNA(_xlfn.XLOOKUP(R$2-$C30, 'GEN-SOLAR'!$D$7:$AW$7, 'GEN-SOLAR'!$D$24:$AW$24), 0), IF($B30='Project List References'!$B$5, _xlfn.IFNA(_xlfn.XLOOKUP(R$2-$C30, 'GEN-BESS'!$D$7:$AW$7, 'GEN-BESS'!$D$24:$AW$24), 0), IF($B30='Project List References'!$B$6, _xlfn.IFNA(_xlfn.XLOOKUP(R$2-$C30, 'GEN-CARBON'!$D$7:$AW$7, 'GEN-CARBON'!$D$24:$AW$24), 0), IF($B30='Project List References'!$B$7, _xlfn.IFNA(_xlfn.XLOOKUP(R$2-$C30, 'SENS Coal'!$D$7:$AW$7, 'SENS Coal'!$D$24:$AW$24), 0), IF($B30='Project List References'!$B$8, _xlfn.IFNA(_xlfn.XLOOKUP(R$2-$C30,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S30" s="661" t="e">
        <f>IF($B30='Project List References'!$B$3, _xlfn.IFNA(_xlfn.XLOOKUP(S$2-$C30, 'GEN-CCGT'!$D$7:$AW$7, 'GEN-CCGT'!$D$24:$AW$24), 0), IF($B30='Project List References'!$B$4, _xlfn.IFNA(_xlfn.XLOOKUP(S$2-$C30, 'GEN-SOLAR'!$D$7:$AW$7, 'GEN-SOLAR'!$D$24:$AW$24), 0), IF($B30='Project List References'!$B$5, _xlfn.IFNA(_xlfn.XLOOKUP(S$2-$C30, 'GEN-BESS'!$D$7:$AW$7, 'GEN-BESS'!$D$24:$AW$24), 0), IF($B30='Project List References'!$B$6, _xlfn.IFNA(_xlfn.XLOOKUP(S$2-$C30, 'GEN-CARBON'!$D$7:$AW$7, 'GEN-CARBON'!$D$24:$AW$24), 0), IF($B30='Project List References'!$B$7, _xlfn.IFNA(_xlfn.XLOOKUP(S$2-$C30, 'SENS Coal'!$D$7:$AW$7, 'SENS Coal'!$D$24:$AW$24), 0), IF($B30='Project List References'!$B$8, _xlfn.IFNA(_xlfn.XLOOKUP(S$2-$C30,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T30" s="661" t="e">
        <f>IF($B30='Project List References'!$B$3, _xlfn.IFNA(_xlfn.XLOOKUP(T$2-$C30, 'GEN-CCGT'!$D$7:$AW$7, 'GEN-CCGT'!$D$24:$AW$24), 0), IF($B30='Project List References'!$B$4, _xlfn.IFNA(_xlfn.XLOOKUP(T$2-$C30, 'GEN-SOLAR'!$D$7:$AW$7, 'GEN-SOLAR'!$D$24:$AW$24), 0), IF($B30='Project List References'!$B$5, _xlfn.IFNA(_xlfn.XLOOKUP(T$2-$C30, 'GEN-BESS'!$D$7:$AW$7, 'GEN-BESS'!$D$24:$AW$24), 0), IF($B30='Project List References'!$B$6, _xlfn.IFNA(_xlfn.XLOOKUP(T$2-$C30, 'GEN-CARBON'!$D$7:$AW$7, 'GEN-CARBON'!$D$24:$AW$24), 0), IF($B30='Project List References'!$B$7, _xlfn.IFNA(_xlfn.XLOOKUP(T$2-$C30, 'SENS Coal'!$D$7:$AW$7, 'SENS Coal'!$D$24:$AW$24), 0), IF($B30='Project List References'!$B$8, _xlfn.IFNA(_xlfn.XLOOKUP(T$2-$C30, 'SENS Tires'!$D$7:$AW$7, 'SENS Tires'!$D$24:$AW$24),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</row>
    <row r="31" spans="1:20">
      <c r="A31" s="655" t="str">
        <f>IF(ISBLANK('Project Master Sheet'!A31)=FALSE, 'Project Master Sheet'!A31, "")</f>
        <v/>
      </c>
      <c r="B31" s="655" t="str">
        <f>_xlfn.IFNA(_xlfn.XLOOKUP(A31, 'Project Master Sheet'!A:A, 'Project Master Sheet'!D:D), "")</f>
        <v/>
      </c>
      <c r="C31" s="655" t="e">
        <f>_xlfn.XLOOKUP(A31, 'Project Master Sheet'!A:A, 'Project Master Sheet'!I:I)</f>
        <v>#N/A</v>
      </c>
      <c r="E31" s="661" t="e">
        <f>IF($B31='Project List References'!$B$3, _xlfn.IFNA(_xlfn.XLOOKUP(E$2-$C31, 'GEN-CCGT'!$D$7:$AW$7, 'GEN-CCGT'!$D$24:$AW$24), 0), IF($B31='Project List References'!$B$4, _xlfn.IFNA(_xlfn.XLOOKUP(E$2-$C31, 'GEN-SOLAR'!$D$7:$AW$7, 'GEN-SOLAR'!$D$24:$AW$24), 0), IF($B31='Project List References'!$B$5, _xlfn.IFNA(_xlfn.XLOOKUP(E$2-$C31, 'GEN-BESS'!$D$7:$AW$7, 'GEN-BESS'!$D$24:$AW$24), 0), IF($B31='Project List References'!$B$6, _xlfn.IFNA(_xlfn.XLOOKUP(E$2-$C31, 'GEN-CARBON'!$D$7:$AW$7, 'GEN-CARBON'!$D$24:$AW$24), 0), IF($B31='Project List References'!$B$7, _xlfn.IFNA(_xlfn.XLOOKUP(E$2-$C31, 'SENS Coal'!$D$7:$AW$7, 'SENS Coal'!$D$24:$AW$24), 0), IF($B31='Project List References'!$B$8, _xlfn.IFNA(_xlfn.XLOOKUP(E$2-$C31,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F31" s="661" t="e">
        <f>IF($B31='Project List References'!$B$3, _xlfn.IFNA(_xlfn.XLOOKUP(F$2-$C31, 'GEN-CCGT'!$D$7:$AW$7, 'GEN-CCGT'!$D$24:$AW$24), 0), IF($B31='Project List References'!$B$4, _xlfn.IFNA(_xlfn.XLOOKUP(F$2-$C31, 'GEN-SOLAR'!$D$7:$AW$7, 'GEN-SOLAR'!$D$24:$AW$24), 0), IF($B31='Project List References'!$B$5, _xlfn.IFNA(_xlfn.XLOOKUP(F$2-$C31, 'GEN-BESS'!$D$7:$AW$7, 'GEN-BESS'!$D$24:$AW$24), 0), IF($B31='Project List References'!$B$6, _xlfn.IFNA(_xlfn.XLOOKUP(F$2-$C31, 'GEN-CARBON'!$D$7:$AW$7, 'GEN-CARBON'!$D$24:$AW$24), 0), IF($B31='Project List References'!$B$7, _xlfn.IFNA(_xlfn.XLOOKUP(F$2-$C31, 'SENS Coal'!$D$7:$AW$7, 'SENS Coal'!$D$24:$AW$24), 0), IF($B31='Project List References'!$B$8, _xlfn.IFNA(_xlfn.XLOOKUP(F$2-$C31,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G31" s="661" t="e">
        <f>IF($B31='Project List References'!$B$3, _xlfn.IFNA(_xlfn.XLOOKUP(G$2-$C31, 'GEN-CCGT'!$D$7:$AW$7, 'GEN-CCGT'!$D$24:$AW$24), 0), IF($B31='Project List References'!$B$4, _xlfn.IFNA(_xlfn.XLOOKUP(G$2-$C31, 'GEN-SOLAR'!$D$7:$AW$7, 'GEN-SOLAR'!$D$24:$AW$24), 0), IF($B31='Project List References'!$B$5, _xlfn.IFNA(_xlfn.XLOOKUP(G$2-$C31, 'GEN-BESS'!$D$7:$AW$7, 'GEN-BESS'!$D$24:$AW$24), 0), IF($B31='Project List References'!$B$6, _xlfn.IFNA(_xlfn.XLOOKUP(G$2-$C31, 'GEN-CARBON'!$D$7:$AW$7, 'GEN-CARBON'!$D$24:$AW$24), 0), IF($B31='Project List References'!$B$7, _xlfn.IFNA(_xlfn.XLOOKUP(G$2-$C31, 'SENS Coal'!$D$7:$AW$7, 'SENS Coal'!$D$24:$AW$24), 0), IF($B31='Project List References'!$B$8, _xlfn.IFNA(_xlfn.XLOOKUP(G$2-$C31,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H31" s="661" t="e">
        <f>IF($B31='Project List References'!$B$3, _xlfn.IFNA(_xlfn.XLOOKUP(H$2-$C31, 'GEN-CCGT'!$D$7:$AW$7, 'GEN-CCGT'!$D$24:$AW$24), 0), IF($B31='Project List References'!$B$4, _xlfn.IFNA(_xlfn.XLOOKUP(H$2-$C31, 'GEN-SOLAR'!$D$7:$AW$7, 'GEN-SOLAR'!$D$24:$AW$24), 0), IF($B31='Project List References'!$B$5, _xlfn.IFNA(_xlfn.XLOOKUP(H$2-$C31, 'GEN-BESS'!$D$7:$AW$7, 'GEN-BESS'!$D$24:$AW$24), 0), IF($B31='Project List References'!$B$6, _xlfn.IFNA(_xlfn.XLOOKUP(H$2-$C31, 'GEN-CARBON'!$D$7:$AW$7, 'GEN-CARBON'!$D$24:$AW$24), 0), IF($B31='Project List References'!$B$7, _xlfn.IFNA(_xlfn.XLOOKUP(H$2-$C31, 'SENS Coal'!$D$7:$AW$7, 'SENS Coal'!$D$24:$AW$24), 0), IF($B31='Project List References'!$B$8, _xlfn.IFNA(_xlfn.XLOOKUP(H$2-$C31,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I31" s="661" t="e">
        <f>IF($B31='Project List References'!$B$3, _xlfn.IFNA(_xlfn.XLOOKUP(I$2-$C31, 'GEN-CCGT'!$D$7:$AW$7, 'GEN-CCGT'!$D$24:$AW$24), 0), IF($B31='Project List References'!$B$4, _xlfn.IFNA(_xlfn.XLOOKUP(I$2-$C31, 'GEN-SOLAR'!$D$7:$AW$7, 'GEN-SOLAR'!$D$24:$AW$24), 0), IF($B31='Project List References'!$B$5, _xlfn.IFNA(_xlfn.XLOOKUP(I$2-$C31, 'GEN-BESS'!$D$7:$AW$7, 'GEN-BESS'!$D$24:$AW$24), 0), IF($B31='Project List References'!$B$6, _xlfn.IFNA(_xlfn.XLOOKUP(I$2-$C31, 'GEN-CARBON'!$D$7:$AW$7, 'GEN-CARBON'!$D$24:$AW$24), 0), IF($B31='Project List References'!$B$7, _xlfn.IFNA(_xlfn.XLOOKUP(I$2-$C31, 'SENS Coal'!$D$7:$AW$7, 'SENS Coal'!$D$24:$AW$24), 0), IF($B31='Project List References'!$B$8, _xlfn.IFNA(_xlfn.XLOOKUP(I$2-$C31,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J31" s="661" t="e">
        <f>IF($B31='Project List References'!$B$3, _xlfn.IFNA(_xlfn.XLOOKUP(J$2-$C31, 'GEN-CCGT'!$D$7:$AW$7, 'GEN-CCGT'!$D$24:$AW$24), 0), IF($B31='Project List References'!$B$4, _xlfn.IFNA(_xlfn.XLOOKUP(J$2-$C31, 'GEN-SOLAR'!$D$7:$AW$7, 'GEN-SOLAR'!$D$24:$AW$24), 0), IF($B31='Project List References'!$B$5, _xlfn.IFNA(_xlfn.XLOOKUP(J$2-$C31, 'GEN-BESS'!$D$7:$AW$7, 'GEN-BESS'!$D$24:$AW$24), 0), IF($B31='Project List References'!$B$6, _xlfn.IFNA(_xlfn.XLOOKUP(J$2-$C31, 'GEN-CARBON'!$D$7:$AW$7, 'GEN-CARBON'!$D$24:$AW$24), 0), IF($B31='Project List References'!$B$7, _xlfn.IFNA(_xlfn.XLOOKUP(J$2-$C31, 'SENS Coal'!$D$7:$AW$7, 'SENS Coal'!$D$24:$AW$24), 0), IF($B31='Project List References'!$B$8, _xlfn.IFNA(_xlfn.XLOOKUP(J$2-$C31,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K31" s="661" t="e">
        <f>IF($B31='Project List References'!$B$3, _xlfn.IFNA(_xlfn.XLOOKUP(K$2-$C31, 'GEN-CCGT'!$D$7:$AW$7, 'GEN-CCGT'!$D$24:$AW$24), 0), IF($B31='Project List References'!$B$4, _xlfn.IFNA(_xlfn.XLOOKUP(K$2-$C31, 'GEN-SOLAR'!$D$7:$AW$7, 'GEN-SOLAR'!$D$24:$AW$24), 0), IF($B31='Project List References'!$B$5, _xlfn.IFNA(_xlfn.XLOOKUP(K$2-$C31, 'GEN-BESS'!$D$7:$AW$7, 'GEN-BESS'!$D$24:$AW$24), 0), IF($B31='Project List References'!$B$6, _xlfn.IFNA(_xlfn.XLOOKUP(K$2-$C31, 'GEN-CARBON'!$D$7:$AW$7, 'GEN-CARBON'!$D$24:$AW$24), 0), IF($B31='Project List References'!$B$7, _xlfn.IFNA(_xlfn.XLOOKUP(K$2-$C31, 'SENS Coal'!$D$7:$AW$7, 'SENS Coal'!$D$24:$AW$24), 0), IF($B31='Project List References'!$B$8, _xlfn.IFNA(_xlfn.XLOOKUP(K$2-$C31,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L31" s="661" t="e">
        <f>IF($B31='Project List References'!$B$3, _xlfn.IFNA(_xlfn.XLOOKUP(L$2-$C31, 'GEN-CCGT'!$D$7:$AW$7, 'GEN-CCGT'!$D$24:$AW$24), 0), IF($B31='Project List References'!$B$4, _xlfn.IFNA(_xlfn.XLOOKUP(L$2-$C31, 'GEN-SOLAR'!$D$7:$AW$7, 'GEN-SOLAR'!$D$24:$AW$24), 0), IF($B31='Project List References'!$B$5, _xlfn.IFNA(_xlfn.XLOOKUP(L$2-$C31, 'GEN-BESS'!$D$7:$AW$7, 'GEN-BESS'!$D$24:$AW$24), 0), IF($B31='Project List References'!$B$6, _xlfn.IFNA(_xlfn.XLOOKUP(L$2-$C31, 'GEN-CARBON'!$D$7:$AW$7, 'GEN-CARBON'!$D$24:$AW$24), 0), IF($B31='Project List References'!$B$7, _xlfn.IFNA(_xlfn.XLOOKUP(L$2-$C31, 'SENS Coal'!$D$7:$AW$7, 'SENS Coal'!$D$24:$AW$24), 0), IF($B31='Project List References'!$B$8, _xlfn.IFNA(_xlfn.XLOOKUP(L$2-$C31,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M31" s="661" t="e">
        <f>IF($B31='Project List References'!$B$3, _xlfn.IFNA(_xlfn.XLOOKUP(M$2-$C31, 'GEN-CCGT'!$D$7:$AW$7, 'GEN-CCGT'!$D$24:$AW$24), 0), IF($B31='Project List References'!$B$4, _xlfn.IFNA(_xlfn.XLOOKUP(M$2-$C31, 'GEN-SOLAR'!$D$7:$AW$7, 'GEN-SOLAR'!$D$24:$AW$24), 0), IF($B31='Project List References'!$B$5, _xlfn.IFNA(_xlfn.XLOOKUP(M$2-$C31, 'GEN-BESS'!$D$7:$AW$7, 'GEN-BESS'!$D$24:$AW$24), 0), IF($B31='Project List References'!$B$6, _xlfn.IFNA(_xlfn.XLOOKUP(M$2-$C31, 'GEN-CARBON'!$D$7:$AW$7, 'GEN-CARBON'!$D$24:$AW$24), 0), IF($B31='Project List References'!$B$7, _xlfn.IFNA(_xlfn.XLOOKUP(M$2-$C31, 'SENS Coal'!$D$7:$AW$7, 'SENS Coal'!$D$24:$AW$24), 0), IF($B31='Project List References'!$B$8, _xlfn.IFNA(_xlfn.XLOOKUP(M$2-$C31,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N31" s="661" t="e">
        <f>IF($B31='Project List References'!$B$3, _xlfn.IFNA(_xlfn.XLOOKUP(N$2-$C31, 'GEN-CCGT'!$D$7:$AW$7, 'GEN-CCGT'!$D$24:$AW$24), 0), IF($B31='Project List References'!$B$4, _xlfn.IFNA(_xlfn.XLOOKUP(N$2-$C31, 'GEN-SOLAR'!$D$7:$AW$7, 'GEN-SOLAR'!$D$24:$AW$24), 0), IF($B31='Project List References'!$B$5, _xlfn.IFNA(_xlfn.XLOOKUP(N$2-$C31, 'GEN-BESS'!$D$7:$AW$7, 'GEN-BESS'!$D$24:$AW$24), 0), IF($B31='Project List References'!$B$6, _xlfn.IFNA(_xlfn.XLOOKUP(N$2-$C31, 'GEN-CARBON'!$D$7:$AW$7, 'GEN-CARBON'!$D$24:$AW$24), 0), IF($B31='Project List References'!$B$7, _xlfn.IFNA(_xlfn.XLOOKUP(N$2-$C31, 'SENS Coal'!$D$7:$AW$7, 'SENS Coal'!$D$24:$AW$24), 0), IF($B31='Project List References'!$B$8, _xlfn.IFNA(_xlfn.XLOOKUP(N$2-$C31,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O31" s="661" t="e">
        <f>IF($B31='Project List References'!$B$3, _xlfn.IFNA(_xlfn.XLOOKUP(O$2-$C31, 'GEN-CCGT'!$D$7:$AW$7, 'GEN-CCGT'!$D$24:$AW$24), 0), IF($B31='Project List References'!$B$4, _xlfn.IFNA(_xlfn.XLOOKUP(O$2-$C31, 'GEN-SOLAR'!$D$7:$AW$7, 'GEN-SOLAR'!$D$24:$AW$24), 0), IF($B31='Project List References'!$B$5, _xlfn.IFNA(_xlfn.XLOOKUP(O$2-$C31, 'GEN-BESS'!$D$7:$AW$7, 'GEN-BESS'!$D$24:$AW$24), 0), IF($B31='Project List References'!$B$6, _xlfn.IFNA(_xlfn.XLOOKUP(O$2-$C31, 'GEN-CARBON'!$D$7:$AW$7, 'GEN-CARBON'!$D$24:$AW$24), 0), IF($B31='Project List References'!$B$7, _xlfn.IFNA(_xlfn.XLOOKUP(O$2-$C31, 'SENS Coal'!$D$7:$AW$7, 'SENS Coal'!$D$24:$AW$24), 0), IF($B31='Project List References'!$B$8, _xlfn.IFNA(_xlfn.XLOOKUP(O$2-$C31,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P31" s="661" t="e">
        <f>IF($B31='Project List References'!$B$3, _xlfn.IFNA(_xlfn.XLOOKUP(P$2-$C31, 'GEN-CCGT'!$D$7:$AW$7, 'GEN-CCGT'!$D$24:$AW$24), 0), IF($B31='Project List References'!$B$4, _xlfn.IFNA(_xlfn.XLOOKUP(P$2-$C31, 'GEN-SOLAR'!$D$7:$AW$7, 'GEN-SOLAR'!$D$24:$AW$24), 0), IF($B31='Project List References'!$B$5, _xlfn.IFNA(_xlfn.XLOOKUP(P$2-$C31, 'GEN-BESS'!$D$7:$AW$7, 'GEN-BESS'!$D$24:$AW$24), 0), IF($B31='Project List References'!$B$6, _xlfn.IFNA(_xlfn.XLOOKUP(P$2-$C31, 'GEN-CARBON'!$D$7:$AW$7, 'GEN-CARBON'!$D$24:$AW$24), 0), IF($B31='Project List References'!$B$7, _xlfn.IFNA(_xlfn.XLOOKUP(P$2-$C31, 'SENS Coal'!$D$7:$AW$7, 'SENS Coal'!$D$24:$AW$24), 0), IF($B31='Project List References'!$B$8, _xlfn.IFNA(_xlfn.XLOOKUP(P$2-$C31,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Q31" s="661" t="e">
        <f>IF($B31='Project List References'!$B$3, _xlfn.IFNA(_xlfn.XLOOKUP(Q$2-$C31, 'GEN-CCGT'!$D$7:$AW$7, 'GEN-CCGT'!$D$24:$AW$24), 0), IF($B31='Project List References'!$B$4, _xlfn.IFNA(_xlfn.XLOOKUP(Q$2-$C31, 'GEN-SOLAR'!$D$7:$AW$7, 'GEN-SOLAR'!$D$24:$AW$24), 0), IF($B31='Project List References'!$B$5, _xlfn.IFNA(_xlfn.XLOOKUP(Q$2-$C31, 'GEN-BESS'!$D$7:$AW$7, 'GEN-BESS'!$D$24:$AW$24), 0), IF($B31='Project List References'!$B$6, _xlfn.IFNA(_xlfn.XLOOKUP(Q$2-$C31, 'GEN-CARBON'!$D$7:$AW$7, 'GEN-CARBON'!$D$24:$AW$24), 0), IF($B31='Project List References'!$B$7, _xlfn.IFNA(_xlfn.XLOOKUP(Q$2-$C31, 'SENS Coal'!$D$7:$AW$7, 'SENS Coal'!$D$24:$AW$24), 0), IF($B31='Project List References'!$B$8, _xlfn.IFNA(_xlfn.XLOOKUP(Q$2-$C31,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R31" s="661" t="e">
        <f>IF($B31='Project List References'!$B$3, _xlfn.IFNA(_xlfn.XLOOKUP(R$2-$C31, 'GEN-CCGT'!$D$7:$AW$7, 'GEN-CCGT'!$D$24:$AW$24), 0), IF($B31='Project List References'!$B$4, _xlfn.IFNA(_xlfn.XLOOKUP(R$2-$C31, 'GEN-SOLAR'!$D$7:$AW$7, 'GEN-SOLAR'!$D$24:$AW$24), 0), IF($B31='Project List References'!$B$5, _xlfn.IFNA(_xlfn.XLOOKUP(R$2-$C31, 'GEN-BESS'!$D$7:$AW$7, 'GEN-BESS'!$D$24:$AW$24), 0), IF($B31='Project List References'!$B$6, _xlfn.IFNA(_xlfn.XLOOKUP(R$2-$C31, 'GEN-CARBON'!$D$7:$AW$7, 'GEN-CARBON'!$D$24:$AW$24), 0), IF($B31='Project List References'!$B$7, _xlfn.IFNA(_xlfn.XLOOKUP(R$2-$C31, 'SENS Coal'!$D$7:$AW$7, 'SENS Coal'!$D$24:$AW$24), 0), IF($B31='Project List References'!$B$8, _xlfn.IFNA(_xlfn.XLOOKUP(R$2-$C31,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S31" s="661" t="e">
        <f>IF($B31='Project List References'!$B$3, _xlfn.IFNA(_xlfn.XLOOKUP(S$2-$C31, 'GEN-CCGT'!$D$7:$AW$7, 'GEN-CCGT'!$D$24:$AW$24), 0), IF($B31='Project List References'!$B$4, _xlfn.IFNA(_xlfn.XLOOKUP(S$2-$C31, 'GEN-SOLAR'!$D$7:$AW$7, 'GEN-SOLAR'!$D$24:$AW$24), 0), IF($B31='Project List References'!$B$5, _xlfn.IFNA(_xlfn.XLOOKUP(S$2-$C31, 'GEN-BESS'!$D$7:$AW$7, 'GEN-BESS'!$D$24:$AW$24), 0), IF($B31='Project List References'!$B$6, _xlfn.IFNA(_xlfn.XLOOKUP(S$2-$C31, 'GEN-CARBON'!$D$7:$AW$7, 'GEN-CARBON'!$D$24:$AW$24), 0), IF($B31='Project List References'!$B$7, _xlfn.IFNA(_xlfn.XLOOKUP(S$2-$C31, 'SENS Coal'!$D$7:$AW$7, 'SENS Coal'!$D$24:$AW$24), 0), IF($B31='Project List References'!$B$8, _xlfn.IFNA(_xlfn.XLOOKUP(S$2-$C31,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T31" s="661" t="e">
        <f>IF($B31='Project List References'!$B$3, _xlfn.IFNA(_xlfn.XLOOKUP(T$2-$C31, 'GEN-CCGT'!$D$7:$AW$7, 'GEN-CCGT'!$D$24:$AW$24), 0), IF($B31='Project List References'!$B$4, _xlfn.IFNA(_xlfn.XLOOKUP(T$2-$C31, 'GEN-SOLAR'!$D$7:$AW$7, 'GEN-SOLAR'!$D$24:$AW$24), 0), IF($B31='Project List References'!$B$5, _xlfn.IFNA(_xlfn.XLOOKUP(T$2-$C31, 'GEN-BESS'!$D$7:$AW$7, 'GEN-BESS'!$D$24:$AW$24), 0), IF($B31='Project List References'!$B$6, _xlfn.IFNA(_xlfn.XLOOKUP(T$2-$C31, 'GEN-CARBON'!$D$7:$AW$7, 'GEN-CARBON'!$D$24:$AW$24), 0), IF($B31='Project List References'!$B$7, _xlfn.IFNA(_xlfn.XLOOKUP(T$2-$C31, 'SENS Coal'!$D$7:$AW$7, 'SENS Coal'!$D$24:$AW$24), 0), IF($B31='Project List References'!$B$8, _xlfn.IFNA(_xlfn.XLOOKUP(T$2-$C31, 'SENS Tires'!$D$7:$AW$7, 'SENS Tires'!$D$24:$AW$24),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</row>
    <row r="32" spans="1:20">
      <c r="A32" s="655" t="str">
        <f>IF(ISBLANK('Project Master Sheet'!A32)=FALSE, 'Project Master Sheet'!A32, "")</f>
        <v/>
      </c>
      <c r="B32" s="655" t="str">
        <f>_xlfn.IFNA(_xlfn.XLOOKUP(A32, 'Project Master Sheet'!A:A, 'Project Master Sheet'!D:D), "")</f>
        <v/>
      </c>
      <c r="C32" s="655" t="e">
        <f>_xlfn.XLOOKUP(A32, 'Project Master Sheet'!A:A, 'Project Master Sheet'!I:I)</f>
        <v>#N/A</v>
      </c>
      <c r="E32" s="661" t="e">
        <f>IF($B32='Project List References'!$B$3, _xlfn.IFNA(_xlfn.XLOOKUP(E$2-$C32, 'GEN-CCGT'!$D$7:$AW$7, 'GEN-CCGT'!$D$24:$AW$24), 0), IF($B32='Project List References'!$B$4, _xlfn.IFNA(_xlfn.XLOOKUP(E$2-$C32, 'GEN-SOLAR'!$D$7:$AW$7, 'GEN-SOLAR'!$D$24:$AW$24), 0), IF($B32='Project List References'!$B$5, _xlfn.IFNA(_xlfn.XLOOKUP(E$2-$C32, 'GEN-BESS'!$D$7:$AW$7, 'GEN-BESS'!$D$24:$AW$24), 0), IF($B32='Project List References'!$B$6, _xlfn.IFNA(_xlfn.XLOOKUP(E$2-$C32, 'GEN-CARBON'!$D$7:$AW$7, 'GEN-CARBON'!$D$24:$AW$24), 0), IF($B32='Project List References'!$B$7, _xlfn.IFNA(_xlfn.XLOOKUP(E$2-$C32, 'SENS Coal'!$D$7:$AW$7, 'SENS Coal'!$D$24:$AW$24), 0), IF($B32='Project List References'!$B$8, _xlfn.IFNA(_xlfn.XLOOKUP(E$2-$C32,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F32" s="661" t="e">
        <f>IF($B32='Project List References'!$B$3, _xlfn.IFNA(_xlfn.XLOOKUP(F$2-$C32, 'GEN-CCGT'!$D$7:$AW$7, 'GEN-CCGT'!$D$24:$AW$24), 0), IF($B32='Project List References'!$B$4, _xlfn.IFNA(_xlfn.XLOOKUP(F$2-$C32, 'GEN-SOLAR'!$D$7:$AW$7, 'GEN-SOLAR'!$D$24:$AW$24), 0), IF($B32='Project List References'!$B$5, _xlfn.IFNA(_xlfn.XLOOKUP(F$2-$C32, 'GEN-BESS'!$D$7:$AW$7, 'GEN-BESS'!$D$24:$AW$24), 0), IF($B32='Project List References'!$B$6, _xlfn.IFNA(_xlfn.XLOOKUP(F$2-$C32, 'GEN-CARBON'!$D$7:$AW$7, 'GEN-CARBON'!$D$24:$AW$24), 0), IF($B32='Project List References'!$B$7, _xlfn.IFNA(_xlfn.XLOOKUP(F$2-$C32, 'SENS Coal'!$D$7:$AW$7, 'SENS Coal'!$D$24:$AW$24), 0), IF($B32='Project List References'!$B$8, _xlfn.IFNA(_xlfn.XLOOKUP(F$2-$C32,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G32" s="661" t="e">
        <f>IF($B32='Project List References'!$B$3, _xlfn.IFNA(_xlfn.XLOOKUP(G$2-$C32, 'GEN-CCGT'!$D$7:$AW$7, 'GEN-CCGT'!$D$24:$AW$24), 0), IF($B32='Project List References'!$B$4, _xlfn.IFNA(_xlfn.XLOOKUP(G$2-$C32, 'GEN-SOLAR'!$D$7:$AW$7, 'GEN-SOLAR'!$D$24:$AW$24), 0), IF($B32='Project List References'!$B$5, _xlfn.IFNA(_xlfn.XLOOKUP(G$2-$C32, 'GEN-BESS'!$D$7:$AW$7, 'GEN-BESS'!$D$24:$AW$24), 0), IF($B32='Project List References'!$B$6, _xlfn.IFNA(_xlfn.XLOOKUP(G$2-$C32, 'GEN-CARBON'!$D$7:$AW$7, 'GEN-CARBON'!$D$24:$AW$24), 0), IF($B32='Project List References'!$B$7, _xlfn.IFNA(_xlfn.XLOOKUP(G$2-$C32, 'SENS Coal'!$D$7:$AW$7, 'SENS Coal'!$D$24:$AW$24), 0), IF($B32='Project List References'!$B$8, _xlfn.IFNA(_xlfn.XLOOKUP(G$2-$C32,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H32" s="661" t="e">
        <f>IF($B32='Project List References'!$B$3, _xlfn.IFNA(_xlfn.XLOOKUP(H$2-$C32, 'GEN-CCGT'!$D$7:$AW$7, 'GEN-CCGT'!$D$24:$AW$24), 0), IF($B32='Project List References'!$B$4, _xlfn.IFNA(_xlfn.XLOOKUP(H$2-$C32, 'GEN-SOLAR'!$D$7:$AW$7, 'GEN-SOLAR'!$D$24:$AW$24), 0), IF($B32='Project List References'!$B$5, _xlfn.IFNA(_xlfn.XLOOKUP(H$2-$C32, 'GEN-BESS'!$D$7:$AW$7, 'GEN-BESS'!$D$24:$AW$24), 0), IF($B32='Project List References'!$B$6, _xlfn.IFNA(_xlfn.XLOOKUP(H$2-$C32, 'GEN-CARBON'!$D$7:$AW$7, 'GEN-CARBON'!$D$24:$AW$24), 0), IF($B32='Project List References'!$B$7, _xlfn.IFNA(_xlfn.XLOOKUP(H$2-$C32, 'SENS Coal'!$D$7:$AW$7, 'SENS Coal'!$D$24:$AW$24), 0), IF($B32='Project List References'!$B$8, _xlfn.IFNA(_xlfn.XLOOKUP(H$2-$C32,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I32" s="661" t="e">
        <f>IF($B32='Project List References'!$B$3, _xlfn.IFNA(_xlfn.XLOOKUP(I$2-$C32, 'GEN-CCGT'!$D$7:$AW$7, 'GEN-CCGT'!$D$24:$AW$24), 0), IF($B32='Project List References'!$B$4, _xlfn.IFNA(_xlfn.XLOOKUP(I$2-$C32, 'GEN-SOLAR'!$D$7:$AW$7, 'GEN-SOLAR'!$D$24:$AW$24), 0), IF($B32='Project List References'!$B$5, _xlfn.IFNA(_xlfn.XLOOKUP(I$2-$C32, 'GEN-BESS'!$D$7:$AW$7, 'GEN-BESS'!$D$24:$AW$24), 0), IF($B32='Project List References'!$B$6, _xlfn.IFNA(_xlfn.XLOOKUP(I$2-$C32, 'GEN-CARBON'!$D$7:$AW$7, 'GEN-CARBON'!$D$24:$AW$24), 0), IF($B32='Project List References'!$B$7, _xlfn.IFNA(_xlfn.XLOOKUP(I$2-$C32, 'SENS Coal'!$D$7:$AW$7, 'SENS Coal'!$D$24:$AW$24), 0), IF($B32='Project List References'!$B$8, _xlfn.IFNA(_xlfn.XLOOKUP(I$2-$C32,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J32" s="661" t="e">
        <f>IF($B32='Project List References'!$B$3, _xlfn.IFNA(_xlfn.XLOOKUP(J$2-$C32, 'GEN-CCGT'!$D$7:$AW$7, 'GEN-CCGT'!$D$24:$AW$24), 0), IF($B32='Project List References'!$B$4, _xlfn.IFNA(_xlfn.XLOOKUP(J$2-$C32, 'GEN-SOLAR'!$D$7:$AW$7, 'GEN-SOLAR'!$D$24:$AW$24), 0), IF($B32='Project List References'!$B$5, _xlfn.IFNA(_xlfn.XLOOKUP(J$2-$C32, 'GEN-BESS'!$D$7:$AW$7, 'GEN-BESS'!$D$24:$AW$24), 0), IF($B32='Project List References'!$B$6, _xlfn.IFNA(_xlfn.XLOOKUP(J$2-$C32, 'GEN-CARBON'!$D$7:$AW$7, 'GEN-CARBON'!$D$24:$AW$24), 0), IF($B32='Project List References'!$B$7, _xlfn.IFNA(_xlfn.XLOOKUP(J$2-$C32, 'SENS Coal'!$D$7:$AW$7, 'SENS Coal'!$D$24:$AW$24), 0), IF($B32='Project List References'!$B$8, _xlfn.IFNA(_xlfn.XLOOKUP(J$2-$C32,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K32" s="661" t="e">
        <f>IF($B32='Project List References'!$B$3, _xlfn.IFNA(_xlfn.XLOOKUP(K$2-$C32, 'GEN-CCGT'!$D$7:$AW$7, 'GEN-CCGT'!$D$24:$AW$24), 0), IF($B32='Project List References'!$B$4, _xlfn.IFNA(_xlfn.XLOOKUP(K$2-$C32, 'GEN-SOLAR'!$D$7:$AW$7, 'GEN-SOLAR'!$D$24:$AW$24), 0), IF($B32='Project List References'!$B$5, _xlfn.IFNA(_xlfn.XLOOKUP(K$2-$C32, 'GEN-BESS'!$D$7:$AW$7, 'GEN-BESS'!$D$24:$AW$24), 0), IF($B32='Project List References'!$B$6, _xlfn.IFNA(_xlfn.XLOOKUP(K$2-$C32, 'GEN-CARBON'!$D$7:$AW$7, 'GEN-CARBON'!$D$24:$AW$24), 0), IF($B32='Project List References'!$B$7, _xlfn.IFNA(_xlfn.XLOOKUP(K$2-$C32, 'SENS Coal'!$D$7:$AW$7, 'SENS Coal'!$D$24:$AW$24), 0), IF($B32='Project List References'!$B$8, _xlfn.IFNA(_xlfn.XLOOKUP(K$2-$C32,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L32" s="661" t="e">
        <f>IF($B32='Project List References'!$B$3, _xlfn.IFNA(_xlfn.XLOOKUP(L$2-$C32, 'GEN-CCGT'!$D$7:$AW$7, 'GEN-CCGT'!$D$24:$AW$24), 0), IF($B32='Project List References'!$B$4, _xlfn.IFNA(_xlfn.XLOOKUP(L$2-$C32, 'GEN-SOLAR'!$D$7:$AW$7, 'GEN-SOLAR'!$D$24:$AW$24), 0), IF($B32='Project List References'!$B$5, _xlfn.IFNA(_xlfn.XLOOKUP(L$2-$C32, 'GEN-BESS'!$D$7:$AW$7, 'GEN-BESS'!$D$24:$AW$24), 0), IF($B32='Project List References'!$B$6, _xlfn.IFNA(_xlfn.XLOOKUP(L$2-$C32, 'GEN-CARBON'!$D$7:$AW$7, 'GEN-CARBON'!$D$24:$AW$24), 0), IF($B32='Project List References'!$B$7, _xlfn.IFNA(_xlfn.XLOOKUP(L$2-$C32, 'SENS Coal'!$D$7:$AW$7, 'SENS Coal'!$D$24:$AW$24), 0), IF($B32='Project List References'!$B$8, _xlfn.IFNA(_xlfn.XLOOKUP(L$2-$C32,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M32" s="661" t="e">
        <f>IF($B32='Project List References'!$B$3, _xlfn.IFNA(_xlfn.XLOOKUP(M$2-$C32, 'GEN-CCGT'!$D$7:$AW$7, 'GEN-CCGT'!$D$24:$AW$24), 0), IF($B32='Project List References'!$B$4, _xlfn.IFNA(_xlfn.XLOOKUP(M$2-$C32, 'GEN-SOLAR'!$D$7:$AW$7, 'GEN-SOLAR'!$D$24:$AW$24), 0), IF($B32='Project List References'!$B$5, _xlfn.IFNA(_xlfn.XLOOKUP(M$2-$C32, 'GEN-BESS'!$D$7:$AW$7, 'GEN-BESS'!$D$24:$AW$24), 0), IF($B32='Project List References'!$B$6, _xlfn.IFNA(_xlfn.XLOOKUP(M$2-$C32, 'GEN-CARBON'!$D$7:$AW$7, 'GEN-CARBON'!$D$24:$AW$24), 0), IF($B32='Project List References'!$B$7, _xlfn.IFNA(_xlfn.XLOOKUP(M$2-$C32, 'SENS Coal'!$D$7:$AW$7, 'SENS Coal'!$D$24:$AW$24), 0), IF($B32='Project List References'!$B$8, _xlfn.IFNA(_xlfn.XLOOKUP(M$2-$C32,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N32" s="661" t="e">
        <f>IF($B32='Project List References'!$B$3, _xlfn.IFNA(_xlfn.XLOOKUP(N$2-$C32, 'GEN-CCGT'!$D$7:$AW$7, 'GEN-CCGT'!$D$24:$AW$24), 0), IF($B32='Project List References'!$B$4, _xlfn.IFNA(_xlfn.XLOOKUP(N$2-$C32, 'GEN-SOLAR'!$D$7:$AW$7, 'GEN-SOLAR'!$D$24:$AW$24), 0), IF($B32='Project List References'!$B$5, _xlfn.IFNA(_xlfn.XLOOKUP(N$2-$C32, 'GEN-BESS'!$D$7:$AW$7, 'GEN-BESS'!$D$24:$AW$24), 0), IF($B32='Project List References'!$B$6, _xlfn.IFNA(_xlfn.XLOOKUP(N$2-$C32, 'GEN-CARBON'!$D$7:$AW$7, 'GEN-CARBON'!$D$24:$AW$24), 0), IF($B32='Project List References'!$B$7, _xlfn.IFNA(_xlfn.XLOOKUP(N$2-$C32, 'SENS Coal'!$D$7:$AW$7, 'SENS Coal'!$D$24:$AW$24), 0), IF($B32='Project List References'!$B$8, _xlfn.IFNA(_xlfn.XLOOKUP(N$2-$C32,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O32" s="661" t="e">
        <f>IF($B32='Project List References'!$B$3, _xlfn.IFNA(_xlfn.XLOOKUP(O$2-$C32, 'GEN-CCGT'!$D$7:$AW$7, 'GEN-CCGT'!$D$24:$AW$24), 0), IF($B32='Project List References'!$B$4, _xlfn.IFNA(_xlfn.XLOOKUP(O$2-$C32, 'GEN-SOLAR'!$D$7:$AW$7, 'GEN-SOLAR'!$D$24:$AW$24), 0), IF($B32='Project List References'!$B$5, _xlfn.IFNA(_xlfn.XLOOKUP(O$2-$C32, 'GEN-BESS'!$D$7:$AW$7, 'GEN-BESS'!$D$24:$AW$24), 0), IF($B32='Project List References'!$B$6, _xlfn.IFNA(_xlfn.XLOOKUP(O$2-$C32, 'GEN-CARBON'!$D$7:$AW$7, 'GEN-CARBON'!$D$24:$AW$24), 0), IF($B32='Project List References'!$B$7, _xlfn.IFNA(_xlfn.XLOOKUP(O$2-$C32, 'SENS Coal'!$D$7:$AW$7, 'SENS Coal'!$D$24:$AW$24), 0), IF($B32='Project List References'!$B$8, _xlfn.IFNA(_xlfn.XLOOKUP(O$2-$C32,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P32" s="661" t="e">
        <f>IF($B32='Project List References'!$B$3, _xlfn.IFNA(_xlfn.XLOOKUP(P$2-$C32, 'GEN-CCGT'!$D$7:$AW$7, 'GEN-CCGT'!$D$24:$AW$24), 0), IF($B32='Project List References'!$B$4, _xlfn.IFNA(_xlfn.XLOOKUP(P$2-$C32, 'GEN-SOLAR'!$D$7:$AW$7, 'GEN-SOLAR'!$D$24:$AW$24), 0), IF($B32='Project List References'!$B$5, _xlfn.IFNA(_xlfn.XLOOKUP(P$2-$C32, 'GEN-BESS'!$D$7:$AW$7, 'GEN-BESS'!$D$24:$AW$24), 0), IF($B32='Project List References'!$B$6, _xlfn.IFNA(_xlfn.XLOOKUP(P$2-$C32, 'GEN-CARBON'!$D$7:$AW$7, 'GEN-CARBON'!$D$24:$AW$24), 0), IF($B32='Project List References'!$B$7, _xlfn.IFNA(_xlfn.XLOOKUP(P$2-$C32, 'SENS Coal'!$D$7:$AW$7, 'SENS Coal'!$D$24:$AW$24), 0), IF($B32='Project List References'!$B$8, _xlfn.IFNA(_xlfn.XLOOKUP(P$2-$C32,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Q32" s="661" t="e">
        <f>IF($B32='Project List References'!$B$3, _xlfn.IFNA(_xlfn.XLOOKUP(Q$2-$C32, 'GEN-CCGT'!$D$7:$AW$7, 'GEN-CCGT'!$D$24:$AW$24), 0), IF($B32='Project List References'!$B$4, _xlfn.IFNA(_xlfn.XLOOKUP(Q$2-$C32, 'GEN-SOLAR'!$D$7:$AW$7, 'GEN-SOLAR'!$D$24:$AW$24), 0), IF($B32='Project List References'!$B$5, _xlfn.IFNA(_xlfn.XLOOKUP(Q$2-$C32, 'GEN-BESS'!$D$7:$AW$7, 'GEN-BESS'!$D$24:$AW$24), 0), IF($B32='Project List References'!$B$6, _xlfn.IFNA(_xlfn.XLOOKUP(Q$2-$C32, 'GEN-CARBON'!$D$7:$AW$7, 'GEN-CARBON'!$D$24:$AW$24), 0), IF($B32='Project List References'!$B$7, _xlfn.IFNA(_xlfn.XLOOKUP(Q$2-$C32, 'SENS Coal'!$D$7:$AW$7, 'SENS Coal'!$D$24:$AW$24), 0), IF($B32='Project List References'!$B$8, _xlfn.IFNA(_xlfn.XLOOKUP(Q$2-$C32,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R32" s="661" t="e">
        <f>IF($B32='Project List References'!$B$3, _xlfn.IFNA(_xlfn.XLOOKUP(R$2-$C32, 'GEN-CCGT'!$D$7:$AW$7, 'GEN-CCGT'!$D$24:$AW$24), 0), IF($B32='Project List References'!$B$4, _xlfn.IFNA(_xlfn.XLOOKUP(R$2-$C32, 'GEN-SOLAR'!$D$7:$AW$7, 'GEN-SOLAR'!$D$24:$AW$24), 0), IF($B32='Project List References'!$B$5, _xlfn.IFNA(_xlfn.XLOOKUP(R$2-$C32, 'GEN-BESS'!$D$7:$AW$7, 'GEN-BESS'!$D$24:$AW$24), 0), IF($B32='Project List References'!$B$6, _xlfn.IFNA(_xlfn.XLOOKUP(R$2-$C32, 'GEN-CARBON'!$D$7:$AW$7, 'GEN-CARBON'!$D$24:$AW$24), 0), IF($B32='Project List References'!$B$7, _xlfn.IFNA(_xlfn.XLOOKUP(R$2-$C32, 'SENS Coal'!$D$7:$AW$7, 'SENS Coal'!$D$24:$AW$24), 0), IF($B32='Project List References'!$B$8, _xlfn.IFNA(_xlfn.XLOOKUP(R$2-$C32,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S32" s="661" t="e">
        <f>IF($B32='Project List References'!$B$3, _xlfn.IFNA(_xlfn.XLOOKUP(S$2-$C32, 'GEN-CCGT'!$D$7:$AW$7, 'GEN-CCGT'!$D$24:$AW$24), 0), IF($B32='Project List References'!$B$4, _xlfn.IFNA(_xlfn.XLOOKUP(S$2-$C32, 'GEN-SOLAR'!$D$7:$AW$7, 'GEN-SOLAR'!$D$24:$AW$24), 0), IF($B32='Project List References'!$B$5, _xlfn.IFNA(_xlfn.XLOOKUP(S$2-$C32, 'GEN-BESS'!$D$7:$AW$7, 'GEN-BESS'!$D$24:$AW$24), 0), IF($B32='Project List References'!$B$6, _xlfn.IFNA(_xlfn.XLOOKUP(S$2-$C32, 'GEN-CARBON'!$D$7:$AW$7, 'GEN-CARBON'!$D$24:$AW$24), 0), IF($B32='Project List References'!$B$7, _xlfn.IFNA(_xlfn.XLOOKUP(S$2-$C32, 'SENS Coal'!$D$7:$AW$7, 'SENS Coal'!$D$24:$AW$24), 0), IF($B32='Project List References'!$B$8, _xlfn.IFNA(_xlfn.XLOOKUP(S$2-$C32,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T32" s="661" t="e">
        <f>IF($B32='Project List References'!$B$3, _xlfn.IFNA(_xlfn.XLOOKUP(T$2-$C32, 'GEN-CCGT'!$D$7:$AW$7, 'GEN-CCGT'!$D$24:$AW$24), 0), IF($B32='Project List References'!$B$4, _xlfn.IFNA(_xlfn.XLOOKUP(T$2-$C32, 'GEN-SOLAR'!$D$7:$AW$7, 'GEN-SOLAR'!$D$24:$AW$24), 0), IF($B32='Project List References'!$B$5, _xlfn.IFNA(_xlfn.XLOOKUP(T$2-$C32, 'GEN-BESS'!$D$7:$AW$7, 'GEN-BESS'!$D$24:$AW$24), 0), IF($B32='Project List References'!$B$6, _xlfn.IFNA(_xlfn.XLOOKUP(T$2-$C32, 'GEN-CARBON'!$D$7:$AW$7, 'GEN-CARBON'!$D$24:$AW$24), 0), IF($B32='Project List References'!$B$7, _xlfn.IFNA(_xlfn.XLOOKUP(T$2-$C32, 'SENS Coal'!$D$7:$AW$7, 'SENS Coal'!$D$24:$AW$24), 0), IF($B32='Project List References'!$B$8, _xlfn.IFNA(_xlfn.XLOOKUP(T$2-$C32, 'SENS Tires'!$D$7:$AW$7, 'SENS Tires'!$D$24:$AW$24),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</row>
    <row r="33" spans="1:20">
      <c r="A33" s="655" t="str">
        <f>IF(ISBLANK('Project Master Sheet'!A33)=FALSE, 'Project Master Sheet'!A33, "")</f>
        <v/>
      </c>
      <c r="B33" s="655" t="str">
        <f>_xlfn.IFNA(_xlfn.XLOOKUP(A33, 'Project Master Sheet'!A:A, 'Project Master Sheet'!D:D), "")</f>
        <v/>
      </c>
      <c r="C33" s="655" t="e">
        <f>_xlfn.XLOOKUP(A33, 'Project Master Sheet'!A:A, 'Project Master Sheet'!I:I)</f>
        <v>#N/A</v>
      </c>
      <c r="E33" s="661" t="e">
        <f>IF($B33='Project List References'!$B$3, _xlfn.IFNA(_xlfn.XLOOKUP(E$2-$C33, 'GEN-CCGT'!$D$7:$AW$7, 'GEN-CCGT'!$D$24:$AW$24), 0), IF($B33='Project List References'!$B$4, _xlfn.IFNA(_xlfn.XLOOKUP(E$2-$C33, 'GEN-SOLAR'!$D$7:$AW$7, 'GEN-SOLAR'!$D$24:$AW$24), 0), IF($B33='Project List References'!$B$5, _xlfn.IFNA(_xlfn.XLOOKUP(E$2-$C33, 'GEN-BESS'!$D$7:$AW$7, 'GEN-BESS'!$D$24:$AW$24), 0), IF($B33='Project List References'!$B$6, _xlfn.IFNA(_xlfn.XLOOKUP(E$2-$C33, 'GEN-CARBON'!$D$7:$AW$7, 'GEN-CARBON'!$D$24:$AW$24), 0), IF($B33='Project List References'!$B$7, _xlfn.IFNA(_xlfn.XLOOKUP(E$2-$C33, 'SENS Coal'!$D$7:$AW$7, 'SENS Coal'!$D$24:$AW$24), 0), IF($B33='Project List References'!$B$8, _xlfn.IFNA(_xlfn.XLOOKUP(E$2-$C33,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F33" s="661" t="e">
        <f>IF($B33='Project List References'!$B$3, _xlfn.IFNA(_xlfn.XLOOKUP(F$2-$C33, 'GEN-CCGT'!$D$7:$AW$7, 'GEN-CCGT'!$D$24:$AW$24), 0), IF($B33='Project List References'!$B$4, _xlfn.IFNA(_xlfn.XLOOKUP(F$2-$C33, 'GEN-SOLAR'!$D$7:$AW$7, 'GEN-SOLAR'!$D$24:$AW$24), 0), IF($B33='Project List References'!$B$5, _xlfn.IFNA(_xlfn.XLOOKUP(F$2-$C33, 'GEN-BESS'!$D$7:$AW$7, 'GEN-BESS'!$D$24:$AW$24), 0), IF($B33='Project List References'!$B$6, _xlfn.IFNA(_xlfn.XLOOKUP(F$2-$C33, 'GEN-CARBON'!$D$7:$AW$7, 'GEN-CARBON'!$D$24:$AW$24), 0), IF($B33='Project List References'!$B$7, _xlfn.IFNA(_xlfn.XLOOKUP(F$2-$C33, 'SENS Coal'!$D$7:$AW$7, 'SENS Coal'!$D$24:$AW$24), 0), IF($B33='Project List References'!$B$8, _xlfn.IFNA(_xlfn.XLOOKUP(F$2-$C33,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G33" s="661" t="e">
        <f>IF($B33='Project List References'!$B$3, _xlfn.IFNA(_xlfn.XLOOKUP(G$2-$C33, 'GEN-CCGT'!$D$7:$AW$7, 'GEN-CCGT'!$D$24:$AW$24), 0), IF($B33='Project List References'!$B$4, _xlfn.IFNA(_xlfn.XLOOKUP(G$2-$C33, 'GEN-SOLAR'!$D$7:$AW$7, 'GEN-SOLAR'!$D$24:$AW$24), 0), IF($B33='Project List References'!$B$5, _xlfn.IFNA(_xlfn.XLOOKUP(G$2-$C33, 'GEN-BESS'!$D$7:$AW$7, 'GEN-BESS'!$D$24:$AW$24), 0), IF($B33='Project List References'!$B$6, _xlfn.IFNA(_xlfn.XLOOKUP(G$2-$C33, 'GEN-CARBON'!$D$7:$AW$7, 'GEN-CARBON'!$D$24:$AW$24), 0), IF($B33='Project List References'!$B$7, _xlfn.IFNA(_xlfn.XLOOKUP(G$2-$C33, 'SENS Coal'!$D$7:$AW$7, 'SENS Coal'!$D$24:$AW$24), 0), IF($B33='Project List References'!$B$8, _xlfn.IFNA(_xlfn.XLOOKUP(G$2-$C33,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H33" s="661" t="e">
        <f>IF($B33='Project List References'!$B$3, _xlfn.IFNA(_xlfn.XLOOKUP(H$2-$C33, 'GEN-CCGT'!$D$7:$AW$7, 'GEN-CCGT'!$D$24:$AW$24), 0), IF($B33='Project List References'!$B$4, _xlfn.IFNA(_xlfn.XLOOKUP(H$2-$C33, 'GEN-SOLAR'!$D$7:$AW$7, 'GEN-SOLAR'!$D$24:$AW$24), 0), IF($B33='Project List References'!$B$5, _xlfn.IFNA(_xlfn.XLOOKUP(H$2-$C33, 'GEN-BESS'!$D$7:$AW$7, 'GEN-BESS'!$D$24:$AW$24), 0), IF($B33='Project List References'!$B$6, _xlfn.IFNA(_xlfn.XLOOKUP(H$2-$C33, 'GEN-CARBON'!$D$7:$AW$7, 'GEN-CARBON'!$D$24:$AW$24), 0), IF($B33='Project List References'!$B$7, _xlfn.IFNA(_xlfn.XLOOKUP(H$2-$C33, 'SENS Coal'!$D$7:$AW$7, 'SENS Coal'!$D$24:$AW$24), 0), IF($B33='Project List References'!$B$8, _xlfn.IFNA(_xlfn.XLOOKUP(H$2-$C33,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I33" s="661" t="e">
        <f>IF($B33='Project List References'!$B$3, _xlfn.IFNA(_xlfn.XLOOKUP(I$2-$C33, 'GEN-CCGT'!$D$7:$AW$7, 'GEN-CCGT'!$D$24:$AW$24), 0), IF($B33='Project List References'!$B$4, _xlfn.IFNA(_xlfn.XLOOKUP(I$2-$C33, 'GEN-SOLAR'!$D$7:$AW$7, 'GEN-SOLAR'!$D$24:$AW$24), 0), IF($B33='Project List References'!$B$5, _xlfn.IFNA(_xlfn.XLOOKUP(I$2-$C33, 'GEN-BESS'!$D$7:$AW$7, 'GEN-BESS'!$D$24:$AW$24), 0), IF($B33='Project List References'!$B$6, _xlfn.IFNA(_xlfn.XLOOKUP(I$2-$C33, 'GEN-CARBON'!$D$7:$AW$7, 'GEN-CARBON'!$D$24:$AW$24), 0), IF($B33='Project List References'!$B$7, _xlfn.IFNA(_xlfn.XLOOKUP(I$2-$C33, 'SENS Coal'!$D$7:$AW$7, 'SENS Coal'!$D$24:$AW$24), 0), IF($B33='Project List References'!$B$8, _xlfn.IFNA(_xlfn.XLOOKUP(I$2-$C33,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J33" s="661" t="e">
        <f>IF($B33='Project List References'!$B$3, _xlfn.IFNA(_xlfn.XLOOKUP(J$2-$C33, 'GEN-CCGT'!$D$7:$AW$7, 'GEN-CCGT'!$D$24:$AW$24), 0), IF($B33='Project List References'!$B$4, _xlfn.IFNA(_xlfn.XLOOKUP(J$2-$C33, 'GEN-SOLAR'!$D$7:$AW$7, 'GEN-SOLAR'!$D$24:$AW$24), 0), IF($B33='Project List References'!$B$5, _xlfn.IFNA(_xlfn.XLOOKUP(J$2-$C33, 'GEN-BESS'!$D$7:$AW$7, 'GEN-BESS'!$D$24:$AW$24), 0), IF($B33='Project List References'!$B$6, _xlfn.IFNA(_xlfn.XLOOKUP(J$2-$C33, 'GEN-CARBON'!$D$7:$AW$7, 'GEN-CARBON'!$D$24:$AW$24), 0), IF($B33='Project List References'!$B$7, _xlfn.IFNA(_xlfn.XLOOKUP(J$2-$C33, 'SENS Coal'!$D$7:$AW$7, 'SENS Coal'!$D$24:$AW$24), 0), IF($B33='Project List References'!$B$8, _xlfn.IFNA(_xlfn.XLOOKUP(J$2-$C33,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K33" s="661" t="e">
        <f>IF($B33='Project List References'!$B$3, _xlfn.IFNA(_xlfn.XLOOKUP(K$2-$C33, 'GEN-CCGT'!$D$7:$AW$7, 'GEN-CCGT'!$D$24:$AW$24), 0), IF($B33='Project List References'!$B$4, _xlfn.IFNA(_xlfn.XLOOKUP(K$2-$C33, 'GEN-SOLAR'!$D$7:$AW$7, 'GEN-SOLAR'!$D$24:$AW$24), 0), IF($B33='Project List References'!$B$5, _xlfn.IFNA(_xlfn.XLOOKUP(K$2-$C33, 'GEN-BESS'!$D$7:$AW$7, 'GEN-BESS'!$D$24:$AW$24), 0), IF($B33='Project List References'!$B$6, _xlfn.IFNA(_xlfn.XLOOKUP(K$2-$C33, 'GEN-CARBON'!$D$7:$AW$7, 'GEN-CARBON'!$D$24:$AW$24), 0), IF($B33='Project List References'!$B$7, _xlfn.IFNA(_xlfn.XLOOKUP(K$2-$C33, 'SENS Coal'!$D$7:$AW$7, 'SENS Coal'!$D$24:$AW$24), 0), IF($B33='Project List References'!$B$8, _xlfn.IFNA(_xlfn.XLOOKUP(K$2-$C33,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L33" s="661" t="e">
        <f>IF($B33='Project List References'!$B$3, _xlfn.IFNA(_xlfn.XLOOKUP(L$2-$C33, 'GEN-CCGT'!$D$7:$AW$7, 'GEN-CCGT'!$D$24:$AW$24), 0), IF($B33='Project List References'!$B$4, _xlfn.IFNA(_xlfn.XLOOKUP(L$2-$C33, 'GEN-SOLAR'!$D$7:$AW$7, 'GEN-SOLAR'!$D$24:$AW$24), 0), IF($B33='Project List References'!$B$5, _xlfn.IFNA(_xlfn.XLOOKUP(L$2-$C33, 'GEN-BESS'!$D$7:$AW$7, 'GEN-BESS'!$D$24:$AW$24), 0), IF($B33='Project List References'!$B$6, _xlfn.IFNA(_xlfn.XLOOKUP(L$2-$C33, 'GEN-CARBON'!$D$7:$AW$7, 'GEN-CARBON'!$D$24:$AW$24), 0), IF($B33='Project List References'!$B$7, _xlfn.IFNA(_xlfn.XLOOKUP(L$2-$C33, 'SENS Coal'!$D$7:$AW$7, 'SENS Coal'!$D$24:$AW$24), 0), IF($B33='Project List References'!$B$8, _xlfn.IFNA(_xlfn.XLOOKUP(L$2-$C33,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M33" s="661" t="e">
        <f>IF($B33='Project List References'!$B$3, _xlfn.IFNA(_xlfn.XLOOKUP(M$2-$C33, 'GEN-CCGT'!$D$7:$AW$7, 'GEN-CCGT'!$D$24:$AW$24), 0), IF($B33='Project List References'!$B$4, _xlfn.IFNA(_xlfn.XLOOKUP(M$2-$C33, 'GEN-SOLAR'!$D$7:$AW$7, 'GEN-SOLAR'!$D$24:$AW$24), 0), IF($B33='Project List References'!$B$5, _xlfn.IFNA(_xlfn.XLOOKUP(M$2-$C33, 'GEN-BESS'!$D$7:$AW$7, 'GEN-BESS'!$D$24:$AW$24), 0), IF($B33='Project List References'!$B$6, _xlfn.IFNA(_xlfn.XLOOKUP(M$2-$C33, 'GEN-CARBON'!$D$7:$AW$7, 'GEN-CARBON'!$D$24:$AW$24), 0), IF($B33='Project List References'!$B$7, _xlfn.IFNA(_xlfn.XLOOKUP(M$2-$C33, 'SENS Coal'!$D$7:$AW$7, 'SENS Coal'!$D$24:$AW$24), 0), IF($B33='Project List References'!$B$8, _xlfn.IFNA(_xlfn.XLOOKUP(M$2-$C33,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N33" s="661" t="e">
        <f>IF($B33='Project List References'!$B$3, _xlfn.IFNA(_xlfn.XLOOKUP(N$2-$C33, 'GEN-CCGT'!$D$7:$AW$7, 'GEN-CCGT'!$D$24:$AW$24), 0), IF($B33='Project List References'!$B$4, _xlfn.IFNA(_xlfn.XLOOKUP(N$2-$C33, 'GEN-SOLAR'!$D$7:$AW$7, 'GEN-SOLAR'!$D$24:$AW$24), 0), IF($B33='Project List References'!$B$5, _xlfn.IFNA(_xlfn.XLOOKUP(N$2-$C33, 'GEN-BESS'!$D$7:$AW$7, 'GEN-BESS'!$D$24:$AW$24), 0), IF($B33='Project List References'!$B$6, _xlfn.IFNA(_xlfn.XLOOKUP(N$2-$C33, 'GEN-CARBON'!$D$7:$AW$7, 'GEN-CARBON'!$D$24:$AW$24), 0), IF($B33='Project List References'!$B$7, _xlfn.IFNA(_xlfn.XLOOKUP(N$2-$C33, 'SENS Coal'!$D$7:$AW$7, 'SENS Coal'!$D$24:$AW$24), 0), IF($B33='Project List References'!$B$8, _xlfn.IFNA(_xlfn.XLOOKUP(N$2-$C33,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O33" s="661" t="e">
        <f>IF($B33='Project List References'!$B$3, _xlfn.IFNA(_xlfn.XLOOKUP(O$2-$C33, 'GEN-CCGT'!$D$7:$AW$7, 'GEN-CCGT'!$D$24:$AW$24), 0), IF($B33='Project List References'!$B$4, _xlfn.IFNA(_xlfn.XLOOKUP(O$2-$C33, 'GEN-SOLAR'!$D$7:$AW$7, 'GEN-SOLAR'!$D$24:$AW$24), 0), IF($B33='Project List References'!$B$5, _xlfn.IFNA(_xlfn.XLOOKUP(O$2-$C33, 'GEN-BESS'!$D$7:$AW$7, 'GEN-BESS'!$D$24:$AW$24), 0), IF($B33='Project List References'!$B$6, _xlfn.IFNA(_xlfn.XLOOKUP(O$2-$C33, 'GEN-CARBON'!$D$7:$AW$7, 'GEN-CARBON'!$D$24:$AW$24), 0), IF($B33='Project List References'!$B$7, _xlfn.IFNA(_xlfn.XLOOKUP(O$2-$C33, 'SENS Coal'!$D$7:$AW$7, 'SENS Coal'!$D$24:$AW$24), 0), IF($B33='Project List References'!$B$8, _xlfn.IFNA(_xlfn.XLOOKUP(O$2-$C33,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P33" s="661" t="e">
        <f>IF($B33='Project List References'!$B$3, _xlfn.IFNA(_xlfn.XLOOKUP(P$2-$C33, 'GEN-CCGT'!$D$7:$AW$7, 'GEN-CCGT'!$D$24:$AW$24), 0), IF($B33='Project List References'!$B$4, _xlfn.IFNA(_xlfn.XLOOKUP(P$2-$C33, 'GEN-SOLAR'!$D$7:$AW$7, 'GEN-SOLAR'!$D$24:$AW$24), 0), IF($B33='Project List References'!$B$5, _xlfn.IFNA(_xlfn.XLOOKUP(P$2-$C33, 'GEN-BESS'!$D$7:$AW$7, 'GEN-BESS'!$D$24:$AW$24), 0), IF($B33='Project List References'!$B$6, _xlfn.IFNA(_xlfn.XLOOKUP(P$2-$C33, 'GEN-CARBON'!$D$7:$AW$7, 'GEN-CARBON'!$D$24:$AW$24), 0), IF($B33='Project List References'!$B$7, _xlfn.IFNA(_xlfn.XLOOKUP(P$2-$C33, 'SENS Coal'!$D$7:$AW$7, 'SENS Coal'!$D$24:$AW$24), 0), IF($B33='Project List References'!$B$8, _xlfn.IFNA(_xlfn.XLOOKUP(P$2-$C33,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Q33" s="661" t="e">
        <f>IF($B33='Project List References'!$B$3, _xlfn.IFNA(_xlfn.XLOOKUP(Q$2-$C33, 'GEN-CCGT'!$D$7:$AW$7, 'GEN-CCGT'!$D$24:$AW$24), 0), IF($B33='Project List References'!$B$4, _xlfn.IFNA(_xlfn.XLOOKUP(Q$2-$C33, 'GEN-SOLAR'!$D$7:$AW$7, 'GEN-SOLAR'!$D$24:$AW$24), 0), IF($B33='Project List References'!$B$5, _xlfn.IFNA(_xlfn.XLOOKUP(Q$2-$C33, 'GEN-BESS'!$D$7:$AW$7, 'GEN-BESS'!$D$24:$AW$24), 0), IF($B33='Project List References'!$B$6, _xlfn.IFNA(_xlfn.XLOOKUP(Q$2-$C33, 'GEN-CARBON'!$D$7:$AW$7, 'GEN-CARBON'!$D$24:$AW$24), 0), IF($B33='Project List References'!$B$7, _xlfn.IFNA(_xlfn.XLOOKUP(Q$2-$C33, 'SENS Coal'!$D$7:$AW$7, 'SENS Coal'!$D$24:$AW$24), 0), IF($B33='Project List References'!$B$8, _xlfn.IFNA(_xlfn.XLOOKUP(Q$2-$C33,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R33" s="661" t="e">
        <f>IF($B33='Project List References'!$B$3, _xlfn.IFNA(_xlfn.XLOOKUP(R$2-$C33, 'GEN-CCGT'!$D$7:$AW$7, 'GEN-CCGT'!$D$24:$AW$24), 0), IF($B33='Project List References'!$B$4, _xlfn.IFNA(_xlfn.XLOOKUP(R$2-$C33, 'GEN-SOLAR'!$D$7:$AW$7, 'GEN-SOLAR'!$D$24:$AW$24), 0), IF($B33='Project List References'!$B$5, _xlfn.IFNA(_xlfn.XLOOKUP(R$2-$C33, 'GEN-BESS'!$D$7:$AW$7, 'GEN-BESS'!$D$24:$AW$24), 0), IF($B33='Project List References'!$B$6, _xlfn.IFNA(_xlfn.XLOOKUP(R$2-$C33, 'GEN-CARBON'!$D$7:$AW$7, 'GEN-CARBON'!$D$24:$AW$24), 0), IF($B33='Project List References'!$B$7, _xlfn.IFNA(_xlfn.XLOOKUP(R$2-$C33, 'SENS Coal'!$D$7:$AW$7, 'SENS Coal'!$D$24:$AW$24), 0), IF($B33='Project List References'!$B$8, _xlfn.IFNA(_xlfn.XLOOKUP(R$2-$C33,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S33" s="661" t="e">
        <f>IF($B33='Project List References'!$B$3, _xlfn.IFNA(_xlfn.XLOOKUP(S$2-$C33, 'GEN-CCGT'!$D$7:$AW$7, 'GEN-CCGT'!$D$24:$AW$24), 0), IF($B33='Project List References'!$B$4, _xlfn.IFNA(_xlfn.XLOOKUP(S$2-$C33, 'GEN-SOLAR'!$D$7:$AW$7, 'GEN-SOLAR'!$D$24:$AW$24), 0), IF($B33='Project List References'!$B$5, _xlfn.IFNA(_xlfn.XLOOKUP(S$2-$C33, 'GEN-BESS'!$D$7:$AW$7, 'GEN-BESS'!$D$24:$AW$24), 0), IF($B33='Project List References'!$B$6, _xlfn.IFNA(_xlfn.XLOOKUP(S$2-$C33, 'GEN-CARBON'!$D$7:$AW$7, 'GEN-CARBON'!$D$24:$AW$24), 0), IF($B33='Project List References'!$B$7, _xlfn.IFNA(_xlfn.XLOOKUP(S$2-$C33, 'SENS Coal'!$D$7:$AW$7, 'SENS Coal'!$D$24:$AW$24), 0), IF($B33='Project List References'!$B$8, _xlfn.IFNA(_xlfn.XLOOKUP(S$2-$C33,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T33" s="661" t="e">
        <f>IF($B33='Project List References'!$B$3, _xlfn.IFNA(_xlfn.XLOOKUP(T$2-$C33, 'GEN-CCGT'!$D$7:$AW$7, 'GEN-CCGT'!$D$24:$AW$24), 0), IF($B33='Project List References'!$B$4, _xlfn.IFNA(_xlfn.XLOOKUP(T$2-$C33, 'GEN-SOLAR'!$D$7:$AW$7, 'GEN-SOLAR'!$D$24:$AW$24), 0), IF($B33='Project List References'!$B$5, _xlfn.IFNA(_xlfn.XLOOKUP(T$2-$C33, 'GEN-BESS'!$D$7:$AW$7, 'GEN-BESS'!$D$24:$AW$24), 0), IF($B33='Project List References'!$B$6, _xlfn.IFNA(_xlfn.XLOOKUP(T$2-$C33, 'GEN-CARBON'!$D$7:$AW$7, 'GEN-CARBON'!$D$24:$AW$24), 0), IF($B33='Project List References'!$B$7, _xlfn.IFNA(_xlfn.XLOOKUP(T$2-$C33, 'SENS Coal'!$D$7:$AW$7, 'SENS Coal'!$D$24:$AW$24), 0), IF($B33='Project List References'!$B$8, _xlfn.IFNA(_xlfn.XLOOKUP(T$2-$C33, 'SENS Tires'!$D$7:$AW$7, 'SENS Tires'!$D$24:$AW$24),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</row>
    <row r="34" spans="1:20">
      <c r="A34" s="655" t="str">
        <f>IF(ISBLANK('Project Master Sheet'!A34)=FALSE, 'Project Master Sheet'!A34, "")</f>
        <v/>
      </c>
      <c r="B34" s="655" t="str">
        <f>_xlfn.IFNA(_xlfn.XLOOKUP(A34, 'Project Master Sheet'!A:A, 'Project Master Sheet'!D:D), "")</f>
        <v/>
      </c>
      <c r="C34" s="655" t="e">
        <f>_xlfn.XLOOKUP(A34, 'Project Master Sheet'!A:A, 'Project Master Sheet'!I:I)</f>
        <v>#N/A</v>
      </c>
      <c r="E34" s="661" t="e">
        <f>IF($B34='Project List References'!$B$3, _xlfn.IFNA(_xlfn.XLOOKUP(E$2-$C34, 'GEN-CCGT'!$D$7:$AW$7, 'GEN-CCGT'!$D$24:$AW$24), 0), IF($B34='Project List References'!$B$4, _xlfn.IFNA(_xlfn.XLOOKUP(E$2-$C34, 'GEN-SOLAR'!$D$7:$AW$7, 'GEN-SOLAR'!$D$24:$AW$24), 0), IF($B34='Project List References'!$B$5, _xlfn.IFNA(_xlfn.XLOOKUP(E$2-$C34, 'GEN-BESS'!$D$7:$AW$7, 'GEN-BESS'!$D$24:$AW$24), 0), IF($B34='Project List References'!$B$6, _xlfn.IFNA(_xlfn.XLOOKUP(E$2-$C34, 'GEN-CARBON'!$D$7:$AW$7, 'GEN-CARBON'!$D$24:$AW$24), 0), IF($B34='Project List References'!$B$7, _xlfn.IFNA(_xlfn.XLOOKUP(E$2-$C34, 'SENS Coal'!$D$7:$AW$7, 'SENS Coal'!$D$24:$AW$24), 0), IF($B34='Project List References'!$B$8, _xlfn.IFNA(_xlfn.XLOOKUP(E$2-$C34,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F34" s="661" t="e">
        <f>IF($B34='Project List References'!$B$3, _xlfn.IFNA(_xlfn.XLOOKUP(F$2-$C34, 'GEN-CCGT'!$D$7:$AW$7, 'GEN-CCGT'!$D$24:$AW$24), 0), IF($B34='Project List References'!$B$4, _xlfn.IFNA(_xlfn.XLOOKUP(F$2-$C34, 'GEN-SOLAR'!$D$7:$AW$7, 'GEN-SOLAR'!$D$24:$AW$24), 0), IF($B34='Project List References'!$B$5, _xlfn.IFNA(_xlfn.XLOOKUP(F$2-$C34, 'GEN-BESS'!$D$7:$AW$7, 'GEN-BESS'!$D$24:$AW$24), 0), IF($B34='Project List References'!$B$6, _xlfn.IFNA(_xlfn.XLOOKUP(F$2-$C34, 'GEN-CARBON'!$D$7:$AW$7, 'GEN-CARBON'!$D$24:$AW$24), 0), IF($B34='Project List References'!$B$7, _xlfn.IFNA(_xlfn.XLOOKUP(F$2-$C34, 'SENS Coal'!$D$7:$AW$7, 'SENS Coal'!$D$24:$AW$24), 0), IF($B34='Project List References'!$B$8, _xlfn.IFNA(_xlfn.XLOOKUP(F$2-$C34,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G34" s="661" t="e">
        <f>IF($B34='Project List References'!$B$3, _xlfn.IFNA(_xlfn.XLOOKUP(G$2-$C34, 'GEN-CCGT'!$D$7:$AW$7, 'GEN-CCGT'!$D$24:$AW$24), 0), IF($B34='Project List References'!$B$4, _xlfn.IFNA(_xlfn.XLOOKUP(G$2-$C34, 'GEN-SOLAR'!$D$7:$AW$7, 'GEN-SOLAR'!$D$24:$AW$24), 0), IF($B34='Project List References'!$B$5, _xlfn.IFNA(_xlfn.XLOOKUP(G$2-$C34, 'GEN-BESS'!$D$7:$AW$7, 'GEN-BESS'!$D$24:$AW$24), 0), IF($B34='Project List References'!$B$6, _xlfn.IFNA(_xlfn.XLOOKUP(G$2-$C34, 'GEN-CARBON'!$D$7:$AW$7, 'GEN-CARBON'!$D$24:$AW$24), 0), IF($B34='Project List References'!$B$7, _xlfn.IFNA(_xlfn.XLOOKUP(G$2-$C34, 'SENS Coal'!$D$7:$AW$7, 'SENS Coal'!$D$24:$AW$24), 0), IF($B34='Project List References'!$B$8, _xlfn.IFNA(_xlfn.XLOOKUP(G$2-$C34,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H34" s="661" t="e">
        <f>IF($B34='Project List References'!$B$3, _xlfn.IFNA(_xlfn.XLOOKUP(H$2-$C34, 'GEN-CCGT'!$D$7:$AW$7, 'GEN-CCGT'!$D$24:$AW$24), 0), IF($B34='Project List References'!$B$4, _xlfn.IFNA(_xlfn.XLOOKUP(H$2-$C34, 'GEN-SOLAR'!$D$7:$AW$7, 'GEN-SOLAR'!$D$24:$AW$24), 0), IF($B34='Project List References'!$B$5, _xlfn.IFNA(_xlfn.XLOOKUP(H$2-$C34, 'GEN-BESS'!$D$7:$AW$7, 'GEN-BESS'!$D$24:$AW$24), 0), IF($B34='Project List References'!$B$6, _xlfn.IFNA(_xlfn.XLOOKUP(H$2-$C34, 'GEN-CARBON'!$D$7:$AW$7, 'GEN-CARBON'!$D$24:$AW$24), 0), IF($B34='Project List References'!$B$7, _xlfn.IFNA(_xlfn.XLOOKUP(H$2-$C34, 'SENS Coal'!$D$7:$AW$7, 'SENS Coal'!$D$24:$AW$24), 0), IF($B34='Project List References'!$B$8, _xlfn.IFNA(_xlfn.XLOOKUP(H$2-$C34,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I34" s="661" t="e">
        <f>IF($B34='Project List References'!$B$3, _xlfn.IFNA(_xlfn.XLOOKUP(I$2-$C34, 'GEN-CCGT'!$D$7:$AW$7, 'GEN-CCGT'!$D$24:$AW$24), 0), IF($B34='Project List References'!$B$4, _xlfn.IFNA(_xlfn.XLOOKUP(I$2-$C34, 'GEN-SOLAR'!$D$7:$AW$7, 'GEN-SOLAR'!$D$24:$AW$24), 0), IF($B34='Project List References'!$B$5, _xlfn.IFNA(_xlfn.XLOOKUP(I$2-$C34, 'GEN-BESS'!$D$7:$AW$7, 'GEN-BESS'!$D$24:$AW$24), 0), IF($B34='Project List References'!$B$6, _xlfn.IFNA(_xlfn.XLOOKUP(I$2-$C34, 'GEN-CARBON'!$D$7:$AW$7, 'GEN-CARBON'!$D$24:$AW$24), 0), IF($B34='Project List References'!$B$7, _xlfn.IFNA(_xlfn.XLOOKUP(I$2-$C34, 'SENS Coal'!$D$7:$AW$7, 'SENS Coal'!$D$24:$AW$24), 0), IF($B34='Project List References'!$B$8, _xlfn.IFNA(_xlfn.XLOOKUP(I$2-$C34,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J34" s="661" t="e">
        <f>IF($B34='Project List References'!$B$3, _xlfn.IFNA(_xlfn.XLOOKUP(J$2-$C34, 'GEN-CCGT'!$D$7:$AW$7, 'GEN-CCGT'!$D$24:$AW$24), 0), IF($B34='Project List References'!$B$4, _xlfn.IFNA(_xlfn.XLOOKUP(J$2-$C34, 'GEN-SOLAR'!$D$7:$AW$7, 'GEN-SOLAR'!$D$24:$AW$24), 0), IF($B34='Project List References'!$B$5, _xlfn.IFNA(_xlfn.XLOOKUP(J$2-$C34, 'GEN-BESS'!$D$7:$AW$7, 'GEN-BESS'!$D$24:$AW$24), 0), IF($B34='Project List References'!$B$6, _xlfn.IFNA(_xlfn.XLOOKUP(J$2-$C34, 'GEN-CARBON'!$D$7:$AW$7, 'GEN-CARBON'!$D$24:$AW$24), 0), IF($B34='Project List References'!$B$7, _xlfn.IFNA(_xlfn.XLOOKUP(J$2-$C34, 'SENS Coal'!$D$7:$AW$7, 'SENS Coal'!$D$24:$AW$24), 0), IF($B34='Project List References'!$B$8, _xlfn.IFNA(_xlfn.XLOOKUP(J$2-$C34,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K34" s="661" t="e">
        <f>IF($B34='Project List References'!$B$3, _xlfn.IFNA(_xlfn.XLOOKUP(K$2-$C34, 'GEN-CCGT'!$D$7:$AW$7, 'GEN-CCGT'!$D$24:$AW$24), 0), IF($B34='Project List References'!$B$4, _xlfn.IFNA(_xlfn.XLOOKUP(K$2-$C34, 'GEN-SOLAR'!$D$7:$AW$7, 'GEN-SOLAR'!$D$24:$AW$24), 0), IF($B34='Project List References'!$B$5, _xlfn.IFNA(_xlfn.XLOOKUP(K$2-$C34, 'GEN-BESS'!$D$7:$AW$7, 'GEN-BESS'!$D$24:$AW$24), 0), IF($B34='Project List References'!$B$6, _xlfn.IFNA(_xlfn.XLOOKUP(K$2-$C34, 'GEN-CARBON'!$D$7:$AW$7, 'GEN-CARBON'!$D$24:$AW$24), 0), IF($B34='Project List References'!$B$7, _xlfn.IFNA(_xlfn.XLOOKUP(K$2-$C34, 'SENS Coal'!$D$7:$AW$7, 'SENS Coal'!$D$24:$AW$24), 0), IF($B34='Project List References'!$B$8, _xlfn.IFNA(_xlfn.XLOOKUP(K$2-$C34,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L34" s="661" t="e">
        <f>IF($B34='Project List References'!$B$3, _xlfn.IFNA(_xlfn.XLOOKUP(L$2-$C34, 'GEN-CCGT'!$D$7:$AW$7, 'GEN-CCGT'!$D$24:$AW$24), 0), IF($B34='Project List References'!$B$4, _xlfn.IFNA(_xlfn.XLOOKUP(L$2-$C34, 'GEN-SOLAR'!$D$7:$AW$7, 'GEN-SOLAR'!$D$24:$AW$24), 0), IF($B34='Project List References'!$B$5, _xlfn.IFNA(_xlfn.XLOOKUP(L$2-$C34, 'GEN-BESS'!$D$7:$AW$7, 'GEN-BESS'!$D$24:$AW$24), 0), IF($B34='Project List References'!$B$6, _xlfn.IFNA(_xlfn.XLOOKUP(L$2-$C34, 'GEN-CARBON'!$D$7:$AW$7, 'GEN-CARBON'!$D$24:$AW$24), 0), IF($B34='Project List References'!$B$7, _xlfn.IFNA(_xlfn.XLOOKUP(L$2-$C34, 'SENS Coal'!$D$7:$AW$7, 'SENS Coal'!$D$24:$AW$24), 0), IF($B34='Project List References'!$B$8, _xlfn.IFNA(_xlfn.XLOOKUP(L$2-$C34,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M34" s="661" t="e">
        <f>IF($B34='Project List References'!$B$3, _xlfn.IFNA(_xlfn.XLOOKUP(M$2-$C34, 'GEN-CCGT'!$D$7:$AW$7, 'GEN-CCGT'!$D$24:$AW$24), 0), IF($B34='Project List References'!$B$4, _xlfn.IFNA(_xlfn.XLOOKUP(M$2-$C34, 'GEN-SOLAR'!$D$7:$AW$7, 'GEN-SOLAR'!$D$24:$AW$24), 0), IF($B34='Project List References'!$B$5, _xlfn.IFNA(_xlfn.XLOOKUP(M$2-$C34, 'GEN-BESS'!$D$7:$AW$7, 'GEN-BESS'!$D$24:$AW$24), 0), IF($B34='Project List References'!$B$6, _xlfn.IFNA(_xlfn.XLOOKUP(M$2-$C34, 'GEN-CARBON'!$D$7:$AW$7, 'GEN-CARBON'!$D$24:$AW$24), 0), IF($B34='Project List References'!$B$7, _xlfn.IFNA(_xlfn.XLOOKUP(M$2-$C34, 'SENS Coal'!$D$7:$AW$7, 'SENS Coal'!$D$24:$AW$24), 0), IF($B34='Project List References'!$B$8, _xlfn.IFNA(_xlfn.XLOOKUP(M$2-$C34,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N34" s="661" t="e">
        <f>IF($B34='Project List References'!$B$3, _xlfn.IFNA(_xlfn.XLOOKUP(N$2-$C34, 'GEN-CCGT'!$D$7:$AW$7, 'GEN-CCGT'!$D$24:$AW$24), 0), IF($B34='Project List References'!$B$4, _xlfn.IFNA(_xlfn.XLOOKUP(N$2-$C34, 'GEN-SOLAR'!$D$7:$AW$7, 'GEN-SOLAR'!$D$24:$AW$24), 0), IF($B34='Project List References'!$B$5, _xlfn.IFNA(_xlfn.XLOOKUP(N$2-$C34, 'GEN-BESS'!$D$7:$AW$7, 'GEN-BESS'!$D$24:$AW$24), 0), IF($B34='Project List References'!$B$6, _xlfn.IFNA(_xlfn.XLOOKUP(N$2-$C34, 'GEN-CARBON'!$D$7:$AW$7, 'GEN-CARBON'!$D$24:$AW$24), 0), IF($B34='Project List References'!$B$7, _xlfn.IFNA(_xlfn.XLOOKUP(N$2-$C34, 'SENS Coal'!$D$7:$AW$7, 'SENS Coal'!$D$24:$AW$24), 0), IF($B34='Project List References'!$B$8, _xlfn.IFNA(_xlfn.XLOOKUP(N$2-$C34,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O34" s="661" t="e">
        <f>IF($B34='Project List References'!$B$3, _xlfn.IFNA(_xlfn.XLOOKUP(O$2-$C34, 'GEN-CCGT'!$D$7:$AW$7, 'GEN-CCGT'!$D$24:$AW$24), 0), IF($B34='Project List References'!$B$4, _xlfn.IFNA(_xlfn.XLOOKUP(O$2-$C34, 'GEN-SOLAR'!$D$7:$AW$7, 'GEN-SOLAR'!$D$24:$AW$24), 0), IF($B34='Project List References'!$B$5, _xlfn.IFNA(_xlfn.XLOOKUP(O$2-$C34, 'GEN-BESS'!$D$7:$AW$7, 'GEN-BESS'!$D$24:$AW$24), 0), IF($B34='Project List References'!$B$6, _xlfn.IFNA(_xlfn.XLOOKUP(O$2-$C34, 'GEN-CARBON'!$D$7:$AW$7, 'GEN-CARBON'!$D$24:$AW$24), 0), IF($B34='Project List References'!$B$7, _xlfn.IFNA(_xlfn.XLOOKUP(O$2-$C34, 'SENS Coal'!$D$7:$AW$7, 'SENS Coal'!$D$24:$AW$24), 0), IF($B34='Project List References'!$B$8, _xlfn.IFNA(_xlfn.XLOOKUP(O$2-$C34,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P34" s="661" t="e">
        <f>IF($B34='Project List References'!$B$3, _xlfn.IFNA(_xlfn.XLOOKUP(P$2-$C34, 'GEN-CCGT'!$D$7:$AW$7, 'GEN-CCGT'!$D$24:$AW$24), 0), IF($B34='Project List References'!$B$4, _xlfn.IFNA(_xlfn.XLOOKUP(P$2-$C34, 'GEN-SOLAR'!$D$7:$AW$7, 'GEN-SOLAR'!$D$24:$AW$24), 0), IF($B34='Project List References'!$B$5, _xlfn.IFNA(_xlfn.XLOOKUP(P$2-$C34, 'GEN-BESS'!$D$7:$AW$7, 'GEN-BESS'!$D$24:$AW$24), 0), IF($B34='Project List References'!$B$6, _xlfn.IFNA(_xlfn.XLOOKUP(P$2-$C34, 'GEN-CARBON'!$D$7:$AW$7, 'GEN-CARBON'!$D$24:$AW$24), 0), IF($B34='Project List References'!$B$7, _xlfn.IFNA(_xlfn.XLOOKUP(P$2-$C34, 'SENS Coal'!$D$7:$AW$7, 'SENS Coal'!$D$24:$AW$24), 0), IF($B34='Project List References'!$B$8, _xlfn.IFNA(_xlfn.XLOOKUP(P$2-$C34,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Q34" s="661" t="e">
        <f>IF($B34='Project List References'!$B$3, _xlfn.IFNA(_xlfn.XLOOKUP(Q$2-$C34, 'GEN-CCGT'!$D$7:$AW$7, 'GEN-CCGT'!$D$24:$AW$24), 0), IF($B34='Project List References'!$B$4, _xlfn.IFNA(_xlfn.XLOOKUP(Q$2-$C34, 'GEN-SOLAR'!$D$7:$AW$7, 'GEN-SOLAR'!$D$24:$AW$24), 0), IF($B34='Project List References'!$B$5, _xlfn.IFNA(_xlfn.XLOOKUP(Q$2-$C34, 'GEN-BESS'!$D$7:$AW$7, 'GEN-BESS'!$D$24:$AW$24), 0), IF($B34='Project List References'!$B$6, _xlfn.IFNA(_xlfn.XLOOKUP(Q$2-$C34, 'GEN-CARBON'!$D$7:$AW$7, 'GEN-CARBON'!$D$24:$AW$24), 0), IF($B34='Project List References'!$B$7, _xlfn.IFNA(_xlfn.XLOOKUP(Q$2-$C34, 'SENS Coal'!$D$7:$AW$7, 'SENS Coal'!$D$24:$AW$24), 0), IF($B34='Project List References'!$B$8, _xlfn.IFNA(_xlfn.XLOOKUP(Q$2-$C34,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R34" s="661" t="e">
        <f>IF($B34='Project List References'!$B$3, _xlfn.IFNA(_xlfn.XLOOKUP(R$2-$C34, 'GEN-CCGT'!$D$7:$AW$7, 'GEN-CCGT'!$D$24:$AW$24), 0), IF($B34='Project List References'!$B$4, _xlfn.IFNA(_xlfn.XLOOKUP(R$2-$C34, 'GEN-SOLAR'!$D$7:$AW$7, 'GEN-SOLAR'!$D$24:$AW$24), 0), IF($B34='Project List References'!$B$5, _xlfn.IFNA(_xlfn.XLOOKUP(R$2-$C34, 'GEN-BESS'!$D$7:$AW$7, 'GEN-BESS'!$D$24:$AW$24), 0), IF($B34='Project List References'!$B$6, _xlfn.IFNA(_xlfn.XLOOKUP(R$2-$C34, 'GEN-CARBON'!$D$7:$AW$7, 'GEN-CARBON'!$D$24:$AW$24), 0), IF($B34='Project List References'!$B$7, _xlfn.IFNA(_xlfn.XLOOKUP(R$2-$C34, 'SENS Coal'!$D$7:$AW$7, 'SENS Coal'!$D$24:$AW$24), 0), IF($B34='Project List References'!$B$8, _xlfn.IFNA(_xlfn.XLOOKUP(R$2-$C34,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S34" s="661" t="e">
        <f>IF($B34='Project List References'!$B$3, _xlfn.IFNA(_xlfn.XLOOKUP(S$2-$C34, 'GEN-CCGT'!$D$7:$AW$7, 'GEN-CCGT'!$D$24:$AW$24), 0), IF($B34='Project List References'!$B$4, _xlfn.IFNA(_xlfn.XLOOKUP(S$2-$C34, 'GEN-SOLAR'!$D$7:$AW$7, 'GEN-SOLAR'!$D$24:$AW$24), 0), IF($B34='Project List References'!$B$5, _xlfn.IFNA(_xlfn.XLOOKUP(S$2-$C34, 'GEN-BESS'!$D$7:$AW$7, 'GEN-BESS'!$D$24:$AW$24), 0), IF($B34='Project List References'!$B$6, _xlfn.IFNA(_xlfn.XLOOKUP(S$2-$C34, 'GEN-CARBON'!$D$7:$AW$7, 'GEN-CARBON'!$D$24:$AW$24), 0), IF($B34='Project List References'!$B$7, _xlfn.IFNA(_xlfn.XLOOKUP(S$2-$C34, 'SENS Coal'!$D$7:$AW$7, 'SENS Coal'!$D$24:$AW$24), 0), IF($B34='Project List References'!$B$8, _xlfn.IFNA(_xlfn.XLOOKUP(S$2-$C34,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T34" s="661" t="e">
        <f>IF($B34='Project List References'!$B$3, _xlfn.IFNA(_xlfn.XLOOKUP(T$2-$C34, 'GEN-CCGT'!$D$7:$AW$7, 'GEN-CCGT'!$D$24:$AW$24), 0), IF($B34='Project List References'!$B$4, _xlfn.IFNA(_xlfn.XLOOKUP(T$2-$C34, 'GEN-SOLAR'!$D$7:$AW$7, 'GEN-SOLAR'!$D$24:$AW$24), 0), IF($B34='Project List References'!$B$5, _xlfn.IFNA(_xlfn.XLOOKUP(T$2-$C34, 'GEN-BESS'!$D$7:$AW$7, 'GEN-BESS'!$D$24:$AW$24), 0), IF($B34='Project List References'!$B$6, _xlfn.IFNA(_xlfn.XLOOKUP(T$2-$C34, 'GEN-CARBON'!$D$7:$AW$7, 'GEN-CARBON'!$D$24:$AW$24), 0), IF($B34='Project List References'!$B$7, _xlfn.IFNA(_xlfn.XLOOKUP(T$2-$C34, 'SENS Coal'!$D$7:$AW$7, 'SENS Coal'!$D$24:$AW$24), 0), IF($B34='Project List References'!$B$8, _xlfn.IFNA(_xlfn.XLOOKUP(T$2-$C34, 'SENS Tires'!$D$7:$AW$7, 'SENS Tires'!$D$24:$AW$24),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</row>
    <row r="35" spans="1:20">
      <c r="A35" s="655" t="str">
        <f>IF(ISBLANK('Project Master Sheet'!A35)=FALSE, 'Project Master Sheet'!A35, "")</f>
        <v/>
      </c>
      <c r="B35" s="655" t="str">
        <f>_xlfn.IFNA(_xlfn.XLOOKUP(A35, 'Project Master Sheet'!A:A, 'Project Master Sheet'!D:D), "")</f>
        <v/>
      </c>
      <c r="C35" s="655" t="e">
        <f>_xlfn.XLOOKUP(A35, 'Project Master Sheet'!A:A, 'Project Master Sheet'!I:I)</f>
        <v>#N/A</v>
      </c>
      <c r="E35" s="661" t="e">
        <f>IF($B35='Project List References'!$B$3, _xlfn.IFNA(_xlfn.XLOOKUP(E$2-$C35, 'GEN-CCGT'!$D$7:$AW$7, 'GEN-CCGT'!$D$24:$AW$24), 0), IF($B35='Project List References'!$B$4, _xlfn.IFNA(_xlfn.XLOOKUP(E$2-$C35, 'GEN-SOLAR'!$D$7:$AW$7, 'GEN-SOLAR'!$D$24:$AW$24), 0), IF($B35='Project List References'!$B$5, _xlfn.IFNA(_xlfn.XLOOKUP(E$2-$C35, 'GEN-BESS'!$D$7:$AW$7, 'GEN-BESS'!$D$24:$AW$24), 0), IF($B35='Project List References'!$B$6, _xlfn.IFNA(_xlfn.XLOOKUP(E$2-$C35, 'GEN-CARBON'!$D$7:$AW$7, 'GEN-CARBON'!$D$24:$AW$24), 0), IF($B35='Project List References'!$B$7, _xlfn.IFNA(_xlfn.XLOOKUP(E$2-$C35, 'SENS Coal'!$D$7:$AW$7, 'SENS Coal'!$D$24:$AW$24), 0), IF($B35='Project List References'!$B$8, _xlfn.IFNA(_xlfn.XLOOKUP(E$2-$C35,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F35" s="661" t="e">
        <f>IF($B35='Project List References'!$B$3, _xlfn.IFNA(_xlfn.XLOOKUP(F$2-$C35, 'GEN-CCGT'!$D$7:$AW$7, 'GEN-CCGT'!$D$24:$AW$24), 0), IF($B35='Project List References'!$B$4, _xlfn.IFNA(_xlfn.XLOOKUP(F$2-$C35, 'GEN-SOLAR'!$D$7:$AW$7, 'GEN-SOLAR'!$D$24:$AW$24), 0), IF($B35='Project List References'!$B$5, _xlfn.IFNA(_xlfn.XLOOKUP(F$2-$C35, 'GEN-BESS'!$D$7:$AW$7, 'GEN-BESS'!$D$24:$AW$24), 0), IF($B35='Project List References'!$B$6, _xlfn.IFNA(_xlfn.XLOOKUP(F$2-$C35, 'GEN-CARBON'!$D$7:$AW$7, 'GEN-CARBON'!$D$24:$AW$24), 0), IF($B35='Project List References'!$B$7, _xlfn.IFNA(_xlfn.XLOOKUP(F$2-$C35, 'SENS Coal'!$D$7:$AW$7, 'SENS Coal'!$D$24:$AW$24), 0), IF($B35='Project List References'!$B$8, _xlfn.IFNA(_xlfn.XLOOKUP(F$2-$C35,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G35" s="661" t="e">
        <f>IF($B35='Project List References'!$B$3, _xlfn.IFNA(_xlfn.XLOOKUP(G$2-$C35, 'GEN-CCGT'!$D$7:$AW$7, 'GEN-CCGT'!$D$24:$AW$24), 0), IF($B35='Project List References'!$B$4, _xlfn.IFNA(_xlfn.XLOOKUP(G$2-$C35, 'GEN-SOLAR'!$D$7:$AW$7, 'GEN-SOLAR'!$D$24:$AW$24), 0), IF($B35='Project List References'!$B$5, _xlfn.IFNA(_xlfn.XLOOKUP(G$2-$C35, 'GEN-BESS'!$D$7:$AW$7, 'GEN-BESS'!$D$24:$AW$24), 0), IF($B35='Project List References'!$B$6, _xlfn.IFNA(_xlfn.XLOOKUP(G$2-$C35, 'GEN-CARBON'!$D$7:$AW$7, 'GEN-CARBON'!$D$24:$AW$24), 0), IF($B35='Project List References'!$B$7, _xlfn.IFNA(_xlfn.XLOOKUP(G$2-$C35, 'SENS Coal'!$D$7:$AW$7, 'SENS Coal'!$D$24:$AW$24), 0), IF($B35='Project List References'!$B$8, _xlfn.IFNA(_xlfn.XLOOKUP(G$2-$C35,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H35" s="661" t="e">
        <f>IF($B35='Project List References'!$B$3, _xlfn.IFNA(_xlfn.XLOOKUP(H$2-$C35, 'GEN-CCGT'!$D$7:$AW$7, 'GEN-CCGT'!$D$24:$AW$24), 0), IF($B35='Project List References'!$B$4, _xlfn.IFNA(_xlfn.XLOOKUP(H$2-$C35, 'GEN-SOLAR'!$D$7:$AW$7, 'GEN-SOLAR'!$D$24:$AW$24), 0), IF($B35='Project List References'!$B$5, _xlfn.IFNA(_xlfn.XLOOKUP(H$2-$C35, 'GEN-BESS'!$D$7:$AW$7, 'GEN-BESS'!$D$24:$AW$24), 0), IF($B35='Project List References'!$B$6, _xlfn.IFNA(_xlfn.XLOOKUP(H$2-$C35, 'GEN-CARBON'!$D$7:$AW$7, 'GEN-CARBON'!$D$24:$AW$24), 0), IF($B35='Project List References'!$B$7, _xlfn.IFNA(_xlfn.XLOOKUP(H$2-$C35, 'SENS Coal'!$D$7:$AW$7, 'SENS Coal'!$D$24:$AW$24), 0), IF($B35='Project List References'!$B$8, _xlfn.IFNA(_xlfn.XLOOKUP(H$2-$C35,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I35" s="661" t="e">
        <f>IF($B35='Project List References'!$B$3, _xlfn.IFNA(_xlfn.XLOOKUP(I$2-$C35, 'GEN-CCGT'!$D$7:$AW$7, 'GEN-CCGT'!$D$24:$AW$24), 0), IF($B35='Project List References'!$B$4, _xlfn.IFNA(_xlfn.XLOOKUP(I$2-$C35, 'GEN-SOLAR'!$D$7:$AW$7, 'GEN-SOLAR'!$D$24:$AW$24), 0), IF($B35='Project List References'!$B$5, _xlfn.IFNA(_xlfn.XLOOKUP(I$2-$C35, 'GEN-BESS'!$D$7:$AW$7, 'GEN-BESS'!$D$24:$AW$24), 0), IF($B35='Project List References'!$B$6, _xlfn.IFNA(_xlfn.XLOOKUP(I$2-$C35, 'GEN-CARBON'!$D$7:$AW$7, 'GEN-CARBON'!$D$24:$AW$24), 0), IF($B35='Project List References'!$B$7, _xlfn.IFNA(_xlfn.XLOOKUP(I$2-$C35, 'SENS Coal'!$D$7:$AW$7, 'SENS Coal'!$D$24:$AW$24), 0), IF($B35='Project List References'!$B$8, _xlfn.IFNA(_xlfn.XLOOKUP(I$2-$C35,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J35" s="661" t="e">
        <f>IF($B35='Project List References'!$B$3, _xlfn.IFNA(_xlfn.XLOOKUP(J$2-$C35, 'GEN-CCGT'!$D$7:$AW$7, 'GEN-CCGT'!$D$24:$AW$24), 0), IF($B35='Project List References'!$B$4, _xlfn.IFNA(_xlfn.XLOOKUP(J$2-$C35, 'GEN-SOLAR'!$D$7:$AW$7, 'GEN-SOLAR'!$D$24:$AW$24), 0), IF($B35='Project List References'!$B$5, _xlfn.IFNA(_xlfn.XLOOKUP(J$2-$C35, 'GEN-BESS'!$D$7:$AW$7, 'GEN-BESS'!$D$24:$AW$24), 0), IF($B35='Project List References'!$B$6, _xlfn.IFNA(_xlfn.XLOOKUP(J$2-$C35, 'GEN-CARBON'!$D$7:$AW$7, 'GEN-CARBON'!$D$24:$AW$24), 0), IF($B35='Project List References'!$B$7, _xlfn.IFNA(_xlfn.XLOOKUP(J$2-$C35, 'SENS Coal'!$D$7:$AW$7, 'SENS Coal'!$D$24:$AW$24), 0), IF($B35='Project List References'!$B$8, _xlfn.IFNA(_xlfn.XLOOKUP(J$2-$C35,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K35" s="661" t="e">
        <f>IF($B35='Project List References'!$B$3, _xlfn.IFNA(_xlfn.XLOOKUP(K$2-$C35, 'GEN-CCGT'!$D$7:$AW$7, 'GEN-CCGT'!$D$24:$AW$24), 0), IF($B35='Project List References'!$B$4, _xlfn.IFNA(_xlfn.XLOOKUP(K$2-$C35, 'GEN-SOLAR'!$D$7:$AW$7, 'GEN-SOLAR'!$D$24:$AW$24), 0), IF($B35='Project List References'!$B$5, _xlfn.IFNA(_xlfn.XLOOKUP(K$2-$C35, 'GEN-BESS'!$D$7:$AW$7, 'GEN-BESS'!$D$24:$AW$24), 0), IF($B35='Project List References'!$B$6, _xlfn.IFNA(_xlfn.XLOOKUP(K$2-$C35, 'GEN-CARBON'!$D$7:$AW$7, 'GEN-CARBON'!$D$24:$AW$24), 0), IF($B35='Project List References'!$B$7, _xlfn.IFNA(_xlfn.XLOOKUP(K$2-$C35, 'SENS Coal'!$D$7:$AW$7, 'SENS Coal'!$D$24:$AW$24), 0), IF($B35='Project List References'!$B$8, _xlfn.IFNA(_xlfn.XLOOKUP(K$2-$C35,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L35" s="661" t="e">
        <f>IF($B35='Project List References'!$B$3, _xlfn.IFNA(_xlfn.XLOOKUP(L$2-$C35, 'GEN-CCGT'!$D$7:$AW$7, 'GEN-CCGT'!$D$24:$AW$24), 0), IF($B35='Project List References'!$B$4, _xlfn.IFNA(_xlfn.XLOOKUP(L$2-$C35, 'GEN-SOLAR'!$D$7:$AW$7, 'GEN-SOLAR'!$D$24:$AW$24), 0), IF($B35='Project List References'!$B$5, _xlfn.IFNA(_xlfn.XLOOKUP(L$2-$C35, 'GEN-BESS'!$D$7:$AW$7, 'GEN-BESS'!$D$24:$AW$24), 0), IF($B35='Project List References'!$B$6, _xlfn.IFNA(_xlfn.XLOOKUP(L$2-$C35, 'GEN-CARBON'!$D$7:$AW$7, 'GEN-CARBON'!$D$24:$AW$24), 0), IF($B35='Project List References'!$B$7, _xlfn.IFNA(_xlfn.XLOOKUP(L$2-$C35, 'SENS Coal'!$D$7:$AW$7, 'SENS Coal'!$D$24:$AW$24), 0), IF($B35='Project List References'!$B$8, _xlfn.IFNA(_xlfn.XLOOKUP(L$2-$C35,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M35" s="661" t="e">
        <f>IF($B35='Project List References'!$B$3, _xlfn.IFNA(_xlfn.XLOOKUP(M$2-$C35, 'GEN-CCGT'!$D$7:$AW$7, 'GEN-CCGT'!$D$24:$AW$24), 0), IF($B35='Project List References'!$B$4, _xlfn.IFNA(_xlfn.XLOOKUP(M$2-$C35, 'GEN-SOLAR'!$D$7:$AW$7, 'GEN-SOLAR'!$D$24:$AW$24), 0), IF($B35='Project List References'!$B$5, _xlfn.IFNA(_xlfn.XLOOKUP(M$2-$C35, 'GEN-BESS'!$D$7:$AW$7, 'GEN-BESS'!$D$24:$AW$24), 0), IF($B35='Project List References'!$B$6, _xlfn.IFNA(_xlfn.XLOOKUP(M$2-$C35, 'GEN-CARBON'!$D$7:$AW$7, 'GEN-CARBON'!$D$24:$AW$24), 0), IF($B35='Project List References'!$B$7, _xlfn.IFNA(_xlfn.XLOOKUP(M$2-$C35, 'SENS Coal'!$D$7:$AW$7, 'SENS Coal'!$D$24:$AW$24), 0), IF($B35='Project List References'!$B$8, _xlfn.IFNA(_xlfn.XLOOKUP(M$2-$C35,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N35" s="661" t="e">
        <f>IF($B35='Project List References'!$B$3, _xlfn.IFNA(_xlfn.XLOOKUP(N$2-$C35, 'GEN-CCGT'!$D$7:$AW$7, 'GEN-CCGT'!$D$24:$AW$24), 0), IF($B35='Project List References'!$B$4, _xlfn.IFNA(_xlfn.XLOOKUP(N$2-$C35, 'GEN-SOLAR'!$D$7:$AW$7, 'GEN-SOLAR'!$D$24:$AW$24), 0), IF($B35='Project List References'!$B$5, _xlfn.IFNA(_xlfn.XLOOKUP(N$2-$C35, 'GEN-BESS'!$D$7:$AW$7, 'GEN-BESS'!$D$24:$AW$24), 0), IF($B35='Project List References'!$B$6, _xlfn.IFNA(_xlfn.XLOOKUP(N$2-$C35, 'GEN-CARBON'!$D$7:$AW$7, 'GEN-CARBON'!$D$24:$AW$24), 0), IF($B35='Project List References'!$B$7, _xlfn.IFNA(_xlfn.XLOOKUP(N$2-$C35, 'SENS Coal'!$D$7:$AW$7, 'SENS Coal'!$D$24:$AW$24), 0), IF($B35='Project List References'!$B$8, _xlfn.IFNA(_xlfn.XLOOKUP(N$2-$C35,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O35" s="661" t="e">
        <f>IF($B35='Project List References'!$B$3, _xlfn.IFNA(_xlfn.XLOOKUP(O$2-$C35, 'GEN-CCGT'!$D$7:$AW$7, 'GEN-CCGT'!$D$24:$AW$24), 0), IF($B35='Project List References'!$B$4, _xlfn.IFNA(_xlfn.XLOOKUP(O$2-$C35, 'GEN-SOLAR'!$D$7:$AW$7, 'GEN-SOLAR'!$D$24:$AW$24), 0), IF($B35='Project List References'!$B$5, _xlfn.IFNA(_xlfn.XLOOKUP(O$2-$C35, 'GEN-BESS'!$D$7:$AW$7, 'GEN-BESS'!$D$24:$AW$24), 0), IF($B35='Project List References'!$B$6, _xlfn.IFNA(_xlfn.XLOOKUP(O$2-$C35, 'GEN-CARBON'!$D$7:$AW$7, 'GEN-CARBON'!$D$24:$AW$24), 0), IF($B35='Project List References'!$B$7, _xlfn.IFNA(_xlfn.XLOOKUP(O$2-$C35, 'SENS Coal'!$D$7:$AW$7, 'SENS Coal'!$D$24:$AW$24), 0), IF($B35='Project List References'!$B$8, _xlfn.IFNA(_xlfn.XLOOKUP(O$2-$C35,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P35" s="661" t="e">
        <f>IF($B35='Project List References'!$B$3, _xlfn.IFNA(_xlfn.XLOOKUP(P$2-$C35, 'GEN-CCGT'!$D$7:$AW$7, 'GEN-CCGT'!$D$24:$AW$24), 0), IF($B35='Project List References'!$B$4, _xlfn.IFNA(_xlfn.XLOOKUP(P$2-$C35, 'GEN-SOLAR'!$D$7:$AW$7, 'GEN-SOLAR'!$D$24:$AW$24), 0), IF($B35='Project List References'!$B$5, _xlfn.IFNA(_xlfn.XLOOKUP(P$2-$C35, 'GEN-BESS'!$D$7:$AW$7, 'GEN-BESS'!$D$24:$AW$24), 0), IF($B35='Project List References'!$B$6, _xlfn.IFNA(_xlfn.XLOOKUP(P$2-$C35, 'GEN-CARBON'!$D$7:$AW$7, 'GEN-CARBON'!$D$24:$AW$24), 0), IF($B35='Project List References'!$B$7, _xlfn.IFNA(_xlfn.XLOOKUP(P$2-$C35, 'SENS Coal'!$D$7:$AW$7, 'SENS Coal'!$D$24:$AW$24), 0), IF($B35='Project List References'!$B$8, _xlfn.IFNA(_xlfn.XLOOKUP(P$2-$C35,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Q35" s="661" t="e">
        <f>IF($B35='Project List References'!$B$3, _xlfn.IFNA(_xlfn.XLOOKUP(Q$2-$C35, 'GEN-CCGT'!$D$7:$AW$7, 'GEN-CCGT'!$D$24:$AW$24), 0), IF($B35='Project List References'!$B$4, _xlfn.IFNA(_xlfn.XLOOKUP(Q$2-$C35, 'GEN-SOLAR'!$D$7:$AW$7, 'GEN-SOLAR'!$D$24:$AW$24), 0), IF($B35='Project List References'!$B$5, _xlfn.IFNA(_xlfn.XLOOKUP(Q$2-$C35, 'GEN-BESS'!$D$7:$AW$7, 'GEN-BESS'!$D$24:$AW$24), 0), IF($B35='Project List References'!$B$6, _xlfn.IFNA(_xlfn.XLOOKUP(Q$2-$C35, 'GEN-CARBON'!$D$7:$AW$7, 'GEN-CARBON'!$D$24:$AW$24), 0), IF($B35='Project List References'!$B$7, _xlfn.IFNA(_xlfn.XLOOKUP(Q$2-$C35, 'SENS Coal'!$D$7:$AW$7, 'SENS Coal'!$D$24:$AW$24), 0), IF($B35='Project List References'!$B$8, _xlfn.IFNA(_xlfn.XLOOKUP(Q$2-$C35,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R35" s="661" t="e">
        <f>IF($B35='Project List References'!$B$3, _xlfn.IFNA(_xlfn.XLOOKUP(R$2-$C35, 'GEN-CCGT'!$D$7:$AW$7, 'GEN-CCGT'!$D$24:$AW$24), 0), IF($B35='Project List References'!$B$4, _xlfn.IFNA(_xlfn.XLOOKUP(R$2-$C35, 'GEN-SOLAR'!$D$7:$AW$7, 'GEN-SOLAR'!$D$24:$AW$24), 0), IF($B35='Project List References'!$B$5, _xlfn.IFNA(_xlfn.XLOOKUP(R$2-$C35, 'GEN-BESS'!$D$7:$AW$7, 'GEN-BESS'!$D$24:$AW$24), 0), IF($B35='Project List References'!$B$6, _xlfn.IFNA(_xlfn.XLOOKUP(R$2-$C35, 'GEN-CARBON'!$D$7:$AW$7, 'GEN-CARBON'!$D$24:$AW$24), 0), IF($B35='Project List References'!$B$7, _xlfn.IFNA(_xlfn.XLOOKUP(R$2-$C35, 'SENS Coal'!$D$7:$AW$7, 'SENS Coal'!$D$24:$AW$24), 0), IF($B35='Project List References'!$B$8, _xlfn.IFNA(_xlfn.XLOOKUP(R$2-$C35,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S35" s="661" t="e">
        <f>IF($B35='Project List References'!$B$3, _xlfn.IFNA(_xlfn.XLOOKUP(S$2-$C35, 'GEN-CCGT'!$D$7:$AW$7, 'GEN-CCGT'!$D$24:$AW$24), 0), IF($B35='Project List References'!$B$4, _xlfn.IFNA(_xlfn.XLOOKUP(S$2-$C35, 'GEN-SOLAR'!$D$7:$AW$7, 'GEN-SOLAR'!$D$24:$AW$24), 0), IF($B35='Project List References'!$B$5, _xlfn.IFNA(_xlfn.XLOOKUP(S$2-$C35, 'GEN-BESS'!$D$7:$AW$7, 'GEN-BESS'!$D$24:$AW$24), 0), IF($B35='Project List References'!$B$6, _xlfn.IFNA(_xlfn.XLOOKUP(S$2-$C35, 'GEN-CARBON'!$D$7:$AW$7, 'GEN-CARBON'!$D$24:$AW$24), 0), IF($B35='Project List References'!$B$7, _xlfn.IFNA(_xlfn.XLOOKUP(S$2-$C35, 'SENS Coal'!$D$7:$AW$7, 'SENS Coal'!$D$24:$AW$24), 0), IF($B35='Project List References'!$B$8, _xlfn.IFNA(_xlfn.XLOOKUP(S$2-$C35,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T35" s="661" t="e">
        <f>IF($B35='Project List References'!$B$3, _xlfn.IFNA(_xlfn.XLOOKUP(T$2-$C35, 'GEN-CCGT'!$D$7:$AW$7, 'GEN-CCGT'!$D$24:$AW$24), 0), IF($B35='Project List References'!$B$4, _xlfn.IFNA(_xlfn.XLOOKUP(T$2-$C35, 'GEN-SOLAR'!$D$7:$AW$7, 'GEN-SOLAR'!$D$24:$AW$24), 0), IF($B35='Project List References'!$B$5, _xlfn.IFNA(_xlfn.XLOOKUP(T$2-$C35, 'GEN-BESS'!$D$7:$AW$7, 'GEN-BESS'!$D$24:$AW$24), 0), IF($B35='Project List References'!$B$6, _xlfn.IFNA(_xlfn.XLOOKUP(T$2-$C35, 'GEN-CARBON'!$D$7:$AW$7, 'GEN-CARBON'!$D$24:$AW$24), 0), IF($B35='Project List References'!$B$7, _xlfn.IFNA(_xlfn.XLOOKUP(T$2-$C35, 'SENS Coal'!$D$7:$AW$7, 'SENS Coal'!$D$24:$AW$24), 0), IF($B35='Project List References'!$B$8, _xlfn.IFNA(_xlfn.XLOOKUP(T$2-$C35, 'SENS Tires'!$D$7:$AW$7, 'SENS Tires'!$D$24:$AW$24),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</row>
    <row r="36" spans="1:20">
      <c r="A36" s="655" t="str">
        <f>IF(ISBLANK('Project Master Sheet'!A36)=FALSE, 'Project Master Sheet'!A36, "")</f>
        <v/>
      </c>
      <c r="B36" s="655" t="str">
        <f>_xlfn.IFNA(_xlfn.XLOOKUP(A36, 'Project Master Sheet'!A:A, 'Project Master Sheet'!D:D), "")</f>
        <v/>
      </c>
      <c r="C36" s="655" t="e">
        <f>_xlfn.XLOOKUP(A36, 'Project Master Sheet'!A:A, 'Project Master Sheet'!I:I)</f>
        <v>#N/A</v>
      </c>
      <c r="E36" s="661" t="e">
        <f>IF($B36='Project List References'!$B$3, _xlfn.IFNA(_xlfn.XLOOKUP(E$2-$C36, 'GEN-CCGT'!$D$7:$AW$7, 'GEN-CCGT'!$D$24:$AW$24), 0), IF($B36='Project List References'!$B$4, _xlfn.IFNA(_xlfn.XLOOKUP(E$2-$C36, 'GEN-SOLAR'!$D$7:$AW$7, 'GEN-SOLAR'!$D$24:$AW$24), 0), IF($B36='Project List References'!$B$5, _xlfn.IFNA(_xlfn.XLOOKUP(E$2-$C36, 'GEN-BESS'!$D$7:$AW$7, 'GEN-BESS'!$D$24:$AW$24), 0), IF($B36='Project List References'!$B$6, _xlfn.IFNA(_xlfn.XLOOKUP(E$2-$C36, 'GEN-CARBON'!$D$7:$AW$7, 'GEN-CARBON'!$D$24:$AW$24), 0), IF($B36='Project List References'!$B$7, _xlfn.IFNA(_xlfn.XLOOKUP(E$2-$C36, 'SENS Coal'!$D$7:$AW$7, 'SENS Coal'!$D$24:$AW$24), 0), IF($B36='Project List References'!$B$8, _xlfn.IFNA(_xlfn.XLOOKUP(E$2-$C36,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F36" s="661" t="e">
        <f>IF($B36='Project List References'!$B$3, _xlfn.IFNA(_xlfn.XLOOKUP(F$2-$C36, 'GEN-CCGT'!$D$7:$AW$7, 'GEN-CCGT'!$D$24:$AW$24), 0), IF($B36='Project List References'!$B$4, _xlfn.IFNA(_xlfn.XLOOKUP(F$2-$C36, 'GEN-SOLAR'!$D$7:$AW$7, 'GEN-SOLAR'!$D$24:$AW$24), 0), IF($B36='Project List References'!$B$5, _xlfn.IFNA(_xlfn.XLOOKUP(F$2-$C36, 'GEN-BESS'!$D$7:$AW$7, 'GEN-BESS'!$D$24:$AW$24), 0), IF($B36='Project List References'!$B$6, _xlfn.IFNA(_xlfn.XLOOKUP(F$2-$C36, 'GEN-CARBON'!$D$7:$AW$7, 'GEN-CARBON'!$D$24:$AW$24), 0), IF($B36='Project List References'!$B$7, _xlfn.IFNA(_xlfn.XLOOKUP(F$2-$C36, 'SENS Coal'!$D$7:$AW$7, 'SENS Coal'!$D$24:$AW$24), 0), IF($B36='Project List References'!$B$8, _xlfn.IFNA(_xlfn.XLOOKUP(F$2-$C36,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G36" s="661" t="e">
        <f>IF($B36='Project List References'!$B$3, _xlfn.IFNA(_xlfn.XLOOKUP(G$2-$C36, 'GEN-CCGT'!$D$7:$AW$7, 'GEN-CCGT'!$D$24:$AW$24), 0), IF($B36='Project List References'!$B$4, _xlfn.IFNA(_xlfn.XLOOKUP(G$2-$C36, 'GEN-SOLAR'!$D$7:$AW$7, 'GEN-SOLAR'!$D$24:$AW$24), 0), IF($B36='Project List References'!$B$5, _xlfn.IFNA(_xlfn.XLOOKUP(G$2-$C36, 'GEN-BESS'!$D$7:$AW$7, 'GEN-BESS'!$D$24:$AW$24), 0), IF($B36='Project List References'!$B$6, _xlfn.IFNA(_xlfn.XLOOKUP(G$2-$C36, 'GEN-CARBON'!$D$7:$AW$7, 'GEN-CARBON'!$D$24:$AW$24), 0), IF($B36='Project List References'!$B$7, _xlfn.IFNA(_xlfn.XLOOKUP(G$2-$C36, 'SENS Coal'!$D$7:$AW$7, 'SENS Coal'!$D$24:$AW$24), 0), IF($B36='Project List References'!$B$8, _xlfn.IFNA(_xlfn.XLOOKUP(G$2-$C36,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H36" s="661" t="e">
        <f>IF($B36='Project List References'!$B$3, _xlfn.IFNA(_xlfn.XLOOKUP(H$2-$C36, 'GEN-CCGT'!$D$7:$AW$7, 'GEN-CCGT'!$D$24:$AW$24), 0), IF($B36='Project List References'!$B$4, _xlfn.IFNA(_xlfn.XLOOKUP(H$2-$C36, 'GEN-SOLAR'!$D$7:$AW$7, 'GEN-SOLAR'!$D$24:$AW$24), 0), IF($B36='Project List References'!$B$5, _xlfn.IFNA(_xlfn.XLOOKUP(H$2-$C36, 'GEN-BESS'!$D$7:$AW$7, 'GEN-BESS'!$D$24:$AW$24), 0), IF($B36='Project List References'!$B$6, _xlfn.IFNA(_xlfn.XLOOKUP(H$2-$C36, 'GEN-CARBON'!$D$7:$AW$7, 'GEN-CARBON'!$D$24:$AW$24), 0), IF($B36='Project List References'!$B$7, _xlfn.IFNA(_xlfn.XLOOKUP(H$2-$C36, 'SENS Coal'!$D$7:$AW$7, 'SENS Coal'!$D$24:$AW$24), 0), IF($B36='Project List References'!$B$8, _xlfn.IFNA(_xlfn.XLOOKUP(H$2-$C36,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I36" s="661" t="e">
        <f>IF($B36='Project List References'!$B$3, _xlfn.IFNA(_xlfn.XLOOKUP(I$2-$C36, 'GEN-CCGT'!$D$7:$AW$7, 'GEN-CCGT'!$D$24:$AW$24), 0), IF($B36='Project List References'!$B$4, _xlfn.IFNA(_xlfn.XLOOKUP(I$2-$C36, 'GEN-SOLAR'!$D$7:$AW$7, 'GEN-SOLAR'!$D$24:$AW$24), 0), IF($B36='Project List References'!$B$5, _xlfn.IFNA(_xlfn.XLOOKUP(I$2-$C36, 'GEN-BESS'!$D$7:$AW$7, 'GEN-BESS'!$D$24:$AW$24), 0), IF($B36='Project List References'!$B$6, _xlfn.IFNA(_xlfn.XLOOKUP(I$2-$C36, 'GEN-CARBON'!$D$7:$AW$7, 'GEN-CARBON'!$D$24:$AW$24), 0), IF($B36='Project List References'!$B$7, _xlfn.IFNA(_xlfn.XLOOKUP(I$2-$C36, 'SENS Coal'!$D$7:$AW$7, 'SENS Coal'!$D$24:$AW$24), 0), IF($B36='Project List References'!$B$8, _xlfn.IFNA(_xlfn.XLOOKUP(I$2-$C36,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J36" s="661" t="e">
        <f>IF($B36='Project List References'!$B$3, _xlfn.IFNA(_xlfn.XLOOKUP(J$2-$C36, 'GEN-CCGT'!$D$7:$AW$7, 'GEN-CCGT'!$D$24:$AW$24), 0), IF($B36='Project List References'!$B$4, _xlfn.IFNA(_xlfn.XLOOKUP(J$2-$C36, 'GEN-SOLAR'!$D$7:$AW$7, 'GEN-SOLAR'!$D$24:$AW$24), 0), IF($B36='Project List References'!$B$5, _xlfn.IFNA(_xlfn.XLOOKUP(J$2-$C36, 'GEN-BESS'!$D$7:$AW$7, 'GEN-BESS'!$D$24:$AW$24), 0), IF($B36='Project List References'!$B$6, _xlfn.IFNA(_xlfn.XLOOKUP(J$2-$C36, 'GEN-CARBON'!$D$7:$AW$7, 'GEN-CARBON'!$D$24:$AW$24), 0), IF($B36='Project List References'!$B$7, _xlfn.IFNA(_xlfn.XLOOKUP(J$2-$C36, 'SENS Coal'!$D$7:$AW$7, 'SENS Coal'!$D$24:$AW$24), 0), IF($B36='Project List References'!$B$8, _xlfn.IFNA(_xlfn.XLOOKUP(J$2-$C36,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K36" s="661" t="e">
        <f>IF($B36='Project List References'!$B$3, _xlfn.IFNA(_xlfn.XLOOKUP(K$2-$C36, 'GEN-CCGT'!$D$7:$AW$7, 'GEN-CCGT'!$D$24:$AW$24), 0), IF($B36='Project List References'!$B$4, _xlfn.IFNA(_xlfn.XLOOKUP(K$2-$C36, 'GEN-SOLAR'!$D$7:$AW$7, 'GEN-SOLAR'!$D$24:$AW$24), 0), IF($B36='Project List References'!$B$5, _xlfn.IFNA(_xlfn.XLOOKUP(K$2-$C36, 'GEN-BESS'!$D$7:$AW$7, 'GEN-BESS'!$D$24:$AW$24), 0), IF($B36='Project List References'!$B$6, _xlfn.IFNA(_xlfn.XLOOKUP(K$2-$C36, 'GEN-CARBON'!$D$7:$AW$7, 'GEN-CARBON'!$D$24:$AW$24), 0), IF($B36='Project List References'!$B$7, _xlfn.IFNA(_xlfn.XLOOKUP(K$2-$C36, 'SENS Coal'!$D$7:$AW$7, 'SENS Coal'!$D$24:$AW$24), 0), IF($B36='Project List References'!$B$8, _xlfn.IFNA(_xlfn.XLOOKUP(K$2-$C36,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L36" s="661" t="e">
        <f>IF($B36='Project List References'!$B$3, _xlfn.IFNA(_xlfn.XLOOKUP(L$2-$C36, 'GEN-CCGT'!$D$7:$AW$7, 'GEN-CCGT'!$D$24:$AW$24), 0), IF($B36='Project List References'!$B$4, _xlfn.IFNA(_xlfn.XLOOKUP(L$2-$C36, 'GEN-SOLAR'!$D$7:$AW$7, 'GEN-SOLAR'!$D$24:$AW$24), 0), IF($B36='Project List References'!$B$5, _xlfn.IFNA(_xlfn.XLOOKUP(L$2-$C36, 'GEN-BESS'!$D$7:$AW$7, 'GEN-BESS'!$D$24:$AW$24), 0), IF($B36='Project List References'!$B$6, _xlfn.IFNA(_xlfn.XLOOKUP(L$2-$C36, 'GEN-CARBON'!$D$7:$AW$7, 'GEN-CARBON'!$D$24:$AW$24), 0), IF($B36='Project List References'!$B$7, _xlfn.IFNA(_xlfn.XLOOKUP(L$2-$C36, 'SENS Coal'!$D$7:$AW$7, 'SENS Coal'!$D$24:$AW$24), 0), IF($B36='Project List References'!$B$8, _xlfn.IFNA(_xlfn.XLOOKUP(L$2-$C36,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M36" s="661" t="e">
        <f>IF($B36='Project List References'!$B$3, _xlfn.IFNA(_xlfn.XLOOKUP(M$2-$C36, 'GEN-CCGT'!$D$7:$AW$7, 'GEN-CCGT'!$D$24:$AW$24), 0), IF($B36='Project List References'!$B$4, _xlfn.IFNA(_xlfn.XLOOKUP(M$2-$C36, 'GEN-SOLAR'!$D$7:$AW$7, 'GEN-SOLAR'!$D$24:$AW$24), 0), IF($B36='Project List References'!$B$5, _xlfn.IFNA(_xlfn.XLOOKUP(M$2-$C36, 'GEN-BESS'!$D$7:$AW$7, 'GEN-BESS'!$D$24:$AW$24), 0), IF($B36='Project List References'!$B$6, _xlfn.IFNA(_xlfn.XLOOKUP(M$2-$C36, 'GEN-CARBON'!$D$7:$AW$7, 'GEN-CARBON'!$D$24:$AW$24), 0), IF($B36='Project List References'!$B$7, _xlfn.IFNA(_xlfn.XLOOKUP(M$2-$C36, 'SENS Coal'!$D$7:$AW$7, 'SENS Coal'!$D$24:$AW$24), 0), IF($B36='Project List References'!$B$8, _xlfn.IFNA(_xlfn.XLOOKUP(M$2-$C36,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N36" s="661" t="e">
        <f>IF($B36='Project List References'!$B$3, _xlfn.IFNA(_xlfn.XLOOKUP(N$2-$C36, 'GEN-CCGT'!$D$7:$AW$7, 'GEN-CCGT'!$D$24:$AW$24), 0), IF($B36='Project List References'!$B$4, _xlfn.IFNA(_xlfn.XLOOKUP(N$2-$C36, 'GEN-SOLAR'!$D$7:$AW$7, 'GEN-SOLAR'!$D$24:$AW$24), 0), IF($B36='Project List References'!$B$5, _xlfn.IFNA(_xlfn.XLOOKUP(N$2-$C36, 'GEN-BESS'!$D$7:$AW$7, 'GEN-BESS'!$D$24:$AW$24), 0), IF($B36='Project List References'!$B$6, _xlfn.IFNA(_xlfn.XLOOKUP(N$2-$C36, 'GEN-CARBON'!$D$7:$AW$7, 'GEN-CARBON'!$D$24:$AW$24), 0), IF($B36='Project List References'!$B$7, _xlfn.IFNA(_xlfn.XLOOKUP(N$2-$C36, 'SENS Coal'!$D$7:$AW$7, 'SENS Coal'!$D$24:$AW$24), 0), IF($B36='Project List References'!$B$8, _xlfn.IFNA(_xlfn.XLOOKUP(N$2-$C36,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O36" s="661" t="e">
        <f>IF($B36='Project List References'!$B$3, _xlfn.IFNA(_xlfn.XLOOKUP(O$2-$C36, 'GEN-CCGT'!$D$7:$AW$7, 'GEN-CCGT'!$D$24:$AW$24), 0), IF($B36='Project List References'!$B$4, _xlfn.IFNA(_xlfn.XLOOKUP(O$2-$C36, 'GEN-SOLAR'!$D$7:$AW$7, 'GEN-SOLAR'!$D$24:$AW$24), 0), IF($B36='Project List References'!$B$5, _xlfn.IFNA(_xlfn.XLOOKUP(O$2-$C36, 'GEN-BESS'!$D$7:$AW$7, 'GEN-BESS'!$D$24:$AW$24), 0), IF($B36='Project List References'!$B$6, _xlfn.IFNA(_xlfn.XLOOKUP(O$2-$C36, 'GEN-CARBON'!$D$7:$AW$7, 'GEN-CARBON'!$D$24:$AW$24), 0), IF($B36='Project List References'!$B$7, _xlfn.IFNA(_xlfn.XLOOKUP(O$2-$C36, 'SENS Coal'!$D$7:$AW$7, 'SENS Coal'!$D$24:$AW$24), 0), IF($B36='Project List References'!$B$8, _xlfn.IFNA(_xlfn.XLOOKUP(O$2-$C36,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P36" s="661" t="e">
        <f>IF($B36='Project List References'!$B$3, _xlfn.IFNA(_xlfn.XLOOKUP(P$2-$C36, 'GEN-CCGT'!$D$7:$AW$7, 'GEN-CCGT'!$D$24:$AW$24), 0), IF($B36='Project List References'!$B$4, _xlfn.IFNA(_xlfn.XLOOKUP(P$2-$C36, 'GEN-SOLAR'!$D$7:$AW$7, 'GEN-SOLAR'!$D$24:$AW$24), 0), IF($B36='Project List References'!$B$5, _xlfn.IFNA(_xlfn.XLOOKUP(P$2-$C36, 'GEN-BESS'!$D$7:$AW$7, 'GEN-BESS'!$D$24:$AW$24), 0), IF($B36='Project List References'!$B$6, _xlfn.IFNA(_xlfn.XLOOKUP(P$2-$C36, 'GEN-CARBON'!$D$7:$AW$7, 'GEN-CARBON'!$D$24:$AW$24), 0), IF($B36='Project List References'!$B$7, _xlfn.IFNA(_xlfn.XLOOKUP(P$2-$C36, 'SENS Coal'!$D$7:$AW$7, 'SENS Coal'!$D$24:$AW$24), 0), IF($B36='Project List References'!$B$8, _xlfn.IFNA(_xlfn.XLOOKUP(P$2-$C36,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Q36" s="661" t="e">
        <f>IF($B36='Project List References'!$B$3, _xlfn.IFNA(_xlfn.XLOOKUP(Q$2-$C36, 'GEN-CCGT'!$D$7:$AW$7, 'GEN-CCGT'!$D$24:$AW$24), 0), IF($B36='Project List References'!$B$4, _xlfn.IFNA(_xlfn.XLOOKUP(Q$2-$C36, 'GEN-SOLAR'!$D$7:$AW$7, 'GEN-SOLAR'!$D$24:$AW$24), 0), IF($B36='Project List References'!$B$5, _xlfn.IFNA(_xlfn.XLOOKUP(Q$2-$C36, 'GEN-BESS'!$D$7:$AW$7, 'GEN-BESS'!$D$24:$AW$24), 0), IF($B36='Project List References'!$B$6, _xlfn.IFNA(_xlfn.XLOOKUP(Q$2-$C36, 'GEN-CARBON'!$D$7:$AW$7, 'GEN-CARBON'!$D$24:$AW$24), 0), IF($B36='Project List References'!$B$7, _xlfn.IFNA(_xlfn.XLOOKUP(Q$2-$C36, 'SENS Coal'!$D$7:$AW$7, 'SENS Coal'!$D$24:$AW$24), 0), IF($B36='Project List References'!$B$8, _xlfn.IFNA(_xlfn.XLOOKUP(Q$2-$C36,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R36" s="661" t="e">
        <f>IF($B36='Project List References'!$B$3, _xlfn.IFNA(_xlfn.XLOOKUP(R$2-$C36, 'GEN-CCGT'!$D$7:$AW$7, 'GEN-CCGT'!$D$24:$AW$24), 0), IF($B36='Project List References'!$B$4, _xlfn.IFNA(_xlfn.XLOOKUP(R$2-$C36, 'GEN-SOLAR'!$D$7:$AW$7, 'GEN-SOLAR'!$D$24:$AW$24), 0), IF($B36='Project List References'!$B$5, _xlfn.IFNA(_xlfn.XLOOKUP(R$2-$C36, 'GEN-BESS'!$D$7:$AW$7, 'GEN-BESS'!$D$24:$AW$24), 0), IF($B36='Project List References'!$B$6, _xlfn.IFNA(_xlfn.XLOOKUP(R$2-$C36, 'GEN-CARBON'!$D$7:$AW$7, 'GEN-CARBON'!$D$24:$AW$24), 0), IF($B36='Project List References'!$B$7, _xlfn.IFNA(_xlfn.XLOOKUP(R$2-$C36, 'SENS Coal'!$D$7:$AW$7, 'SENS Coal'!$D$24:$AW$24), 0), IF($B36='Project List References'!$B$8, _xlfn.IFNA(_xlfn.XLOOKUP(R$2-$C36,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S36" s="661" t="e">
        <f>IF($B36='Project List References'!$B$3, _xlfn.IFNA(_xlfn.XLOOKUP(S$2-$C36, 'GEN-CCGT'!$D$7:$AW$7, 'GEN-CCGT'!$D$24:$AW$24), 0), IF($B36='Project List References'!$B$4, _xlfn.IFNA(_xlfn.XLOOKUP(S$2-$C36, 'GEN-SOLAR'!$D$7:$AW$7, 'GEN-SOLAR'!$D$24:$AW$24), 0), IF($B36='Project List References'!$B$5, _xlfn.IFNA(_xlfn.XLOOKUP(S$2-$C36, 'GEN-BESS'!$D$7:$AW$7, 'GEN-BESS'!$D$24:$AW$24), 0), IF($B36='Project List References'!$B$6, _xlfn.IFNA(_xlfn.XLOOKUP(S$2-$C36, 'GEN-CARBON'!$D$7:$AW$7, 'GEN-CARBON'!$D$24:$AW$24), 0), IF($B36='Project List References'!$B$7, _xlfn.IFNA(_xlfn.XLOOKUP(S$2-$C36, 'SENS Coal'!$D$7:$AW$7, 'SENS Coal'!$D$24:$AW$24), 0), IF($B36='Project List References'!$B$8, _xlfn.IFNA(_xlfn.XLOOKUP(S$2-$C36,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T36" s="661" t="e">
        <f>IF($B36='Project List References'!$B$3, _xlfn.IFNA(_xlfn.XLOOKUP(T$2-$C36, 'GEN-CCGT'!$D$7:$AW$7, 'GEN-CCGT'!$D$24:$AW$24), 0), IF($B36='Project List References'!$B$4, _xlfn.IFNA(_xlfn.XLOOKUP(T$2-$C36, 'GEN-SOLAR'!$D$7:$AW$7, 'GEN-SOLAR'!$D$24:$AW$24), 0), IF($B36='Project List References'!$B$5, _xlfn.IFNA(_xlfn.XLOOKUP(T$2-$C36, 'GEN-BESS'!$D$7:$AW$7, 'GEN-BESS'!$D$24:$AW$24), 0), IF($B36='Project List References'!$B$6, _xlfn.IFNA(_xlfn.XLOOKUP(T$2-$C36, 'GEN-CARBON'!$D$7:$AW$7, 'GEN-CARBON'!$D$24:$AW$24), 0), IF($B36='Project List References'!$B$7, _xlfn.IFNA(_xlfn.XLOOKUP(T$2-$C36, 'SENS Coal'!$D$7:$AW$7, 'SENS Coal'!$D$24:$AW$24), 0), IF($B36='Project List References'!$B$8, _xlfn.IFNA(_xlfn.XLOOKUP(T$2-$C36, 'SENS Tires'!$D$7:$AW$7, 'SENS Tires'!$D$24:$AW$24),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</row>
    <row r="37" spans="1:20">
      <c r="A37" s="655" t="str">
        <f>IF(ISBLANK('Project Master Sheet'!A37)=FALSE, 'Project Master Sheet'!A37, "")</f>
        <v/>
      </c>
      <c r="B37" s="655" t="str">
        <f>_xlfn.IFNA(_xlfn.XLOOKUP(A37, 'Project Master Sheet'!A:A, 'Project Master Sheet'!D:D), "")</f>
        <v/>
      </c>
      <c r="C37" s="655" t="e">
        <f>_xlfn.XLOOKUP(A37, 'Project Master Sheet'!A:A, 'Project Master Sheet'!I:I)</f>
        <v>#N/A</v>
      </c>
      <c r="E37" s="661" t="e">
        <f>IF($B37='Project List References'!$B$3, _xlfn.IFNA(_xlfn.XLOOKUP(E$2-$C37, 'GEN-CCGT'!$D$7:$AW$7, 'GEN-CCGT'!$D$24:$AW$24), 0), IF($B37='Project List References'!$B$4, _xlfn.IFNA(_xlfn.XLOOKUP(E$2-$C37, 'GEN-SOLAR'!$D$7:$AW$7, 'GEN-SOLAR'!$D$24:$AW$24), 0), IF($B37='Project List References'!$B$5, _xlfn.IFNA(_xlfn.XLOOKUP(E$2-$C37, 'GEN-BESS'!$D$7:$AW$7, 'GEN-BESS'!$D$24:$AW$24), 0), IF($B37='Project List References'!$B$6, _xlfn.IFNA(_xlfn.XLOOKUP(E$2-$C37, 'GEN-CARBON'!$D$7:$AW$7, 'GEN-CARBON'!$D$24:$AW$24), 0), IF($B37='Project List References'!$B$7, _xlfn.IFNA(_xlfn.XLOOKUP(E$2-$C37, 'SENS Coal'!$D$7:$AW$7, 'SENS Coal'!$D$24:$AW$24), 0), IF($B37='Project List References'!$B$8, _xlfn.IFNA(_xlfn.XLOOKUP(E$2-$C37,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F37" s="661" t="e">
        <f>IF($B37='Project List References'!$B$3, _xlfn.IFNA(_xlfn.XLOOKUP(F$2-$C37, 'GEN-CCGT'!$D$7:$AW$7, 'GEN-CCGT'!$D$24:$AW$24), 0), IF($B37='Project List References'!$B$4, _xlfn.IFNA(_xlfn.XLOOKUP(F$2-$C37, 'GEN-SOLAR'!$D$7:$AW$7, 'GEN-SOLAR'!$D$24:$AW$24), 0), IF($B37='Project List References'!$B$5, _xlfn.IFNA(_xlfn.XLOOKUP(F$2-$C37, 'GEN-BESS'!$D$7:$AW$7, 'GEN-BESS'!$D$24:$AW$24), 0), IF($B37='Project List References'!$B$6, _xlfn.IFNA(_xlfn.XLOOKUP(F$2-$C37, 'GEN-CARBON'!$D$7:$AW$7, 'GEN-CARBON'!$D$24:$AW$24), 0), IF($B37='Project List References'!$B$7, _xlfn.IFNA(_xlfn.XLOOKUP(F$2-$C37, 'SENS Coal'!$D$7:$AW$7, 'SENS Coal'!$D$24:$AW$24), 0), IF($B37='Project List References'!$B$8, _xlfn.IFNA(_xlfn.XLOOKUP(F$2-$C37,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G37" s="661" t="e">
        <f>IF($B37='Project List References'!$B$3, _xlfn.IFNA(_xlfn.XLOOKUP(G$2-$C37, 'GEN-CCGT'!$D$7:$AW$7, 'GEN-CCGT'!$D$24:$AW$24), 0), IF($B37='Project List References'!$B$4, _xlfn.IFNA(_xlfn.XLOOKUP(G$2-$C37, 'GEN-SOLAR'!$D$7:$AW$7, 'GEN-SOLAR'!$D$24:$AW$24), 0), IF($B37='Project List References'!$B$5, _xlfn.IFNA(_xlfn.XLOOKUP(G$2-$C37, 'GEN-BESS'!$D$7:$AW$7, 'GEN-BESS'!$D$24:$AW$24), 0), IF($B37='Project List References'!$B$6, _xlfn.IFNA(_xlfn.XLOOKUP(G$2-$C37, 'GEN-CARBON'!$D$7:$AW$7, 'GEN-CARBON'!$D$24:$AW$24), 0), IF($B37='Project List References'!$B$7, _xlfn.IFNA(_xlfn.XLOOKUP(G$2-$C37, 'SENS Coal'!$D$7:$AW$7, 'SENS Coal'!$D$24:$AW$24), 0), IF($B37='Project List References'!$B$8, _xlfn.IFNA(_xlfn.XLOOKUP(G$2-$C37,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H37" s="661" t="e">
        <f>IF($B37='Project List References'!$B$3, _xlfn.IFNA(_xlfn.XLOOKUP(H$2-$C37, 'GEN-CCGT'!$D$7:$AW$7, 'GEN-CCGT'!$D$24:$AW$24), 0), IF($B37='Project List References'!$B$4, _xlfn.IFNA(_xlfn.XLOOKUP(H$2-$C37, 'GEN-SOLAR'!$D$7:$AW$7, 'GEN-SOLAR'!$D$24:$AW$24), 0), IF($B37='Project List References'!$B$5, _xlfn.IFNA(_xlfn.XLOOKUP(H$2-$C37, 'GEN-BESS'!$D$7:$AW$7, 'GEN-BESS'!$D$24:$AW$24), 0), IF($B37='Project List References'!$B$6, _xlfn.IFNA(_xlfn.XLOOKUP(H$2-$C37, 'GEN-CARBON'!$D$7:$AW$7, 'GEN-CARBON'!$D$24:$AW$24), 0), IF($B37='Project List References'!$B$7, _xlfn.IFNA(_xlfn.XLOOKUP(H$2-$C37, 'SENS Coal'!$D$7:$AW$7, 'SENS Coal'!$D$24:$AW$24), 0), IF($B37='Project List References'!$B$8, _xlfn.IFNA(_xlfn.XLOOKUP(H$2-$C37,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I37" s="661" t="e">
        <f>IF($B37='Project List References'!$B$3, _xlfn.IFNA(_xlfn.XLOOKUP(I$2-$C37, 'GEN-CCGT'!$D$7:$AW$7, 'GEN-CCGT'!$D$24:$AW$24), 0), IF($B37='Project List References'!$B$4, _xlfn.IFNA(_xlfn.XLOOKUP(I$2-$C37, 'GEN-SOLAR'!$D$7:$AW$7, 'GEN-SOLAR'!$D$24:$AW$24), 0), IF($B37='Project List References'!$B$5, _xlfn.IFNA(_xlfn.XLOOKUP(I$2-$C37, 'GEN-BESS'!$D$7:$AW$7, 'GEN-BESS'!$D$24:$AW$24), 0), IF($B37='Project List References'!$B$6, _xlfn.IFNA(_xlfn.XLOOKUP(I$2-$C37, 'GEN-CARBON'!$D$7:$AW$7, 'GEN-CARBON'!$D$24:$AW$24), 0), IF($B37='Project List References'!$B$7, _xlfn.IFNA(_xlfn.XLOOKUP(I$2-$C37, 'SENS Coal'!$D$7:$AW$7, 'SENS Coal'!$D$24:$AW$24), 0), IF($B37='Project List References'!$B$8, _xlfn.IFNA(_xlfn.XLOOKUP(I$2-$C37,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J37" s="661" t="e">
        <f>IF($B37='Project List References'!$B$3, _xlfn.IFNA(_xlfn.XLOOKUP(J$2-$C37, 'GEN-CCGT'!$D$7:$AW$7, 'GEN-CCGT'!$D$24:$AW$24), 0), IF($B37='Project List References'!$B$4, _xlfn.IFNA(_xlfn.XLOOKUP(J$2-$C37, 'GEN-SOLAR'!$D$7:$AW$7, 'GEN-SOLAR'!$D$24:$AW$24), 0), IF($B37='Project List References'!$B$5, _xlfn.IFNA(_xlfn.XLOOKUP(J$2-$C37, 'GEN-BESS'!$D$7:$AW$7, 'GEN-BESS'!$D$24:$AW$24), 0), IF($B37='Project List References'!$B$6, _xlfn.IFNA(_xlfn.XLOOKUP(J$2-$C37, 'GEN-CARBON'!$D$7:$AW$7, 'GEN-CARBON'!$D$24:$AW$24), 0), IF($B37='Project List References'!$B$7, _xlfn.IFNA(_xlfn.XLOOKUP(J$2-$C37, 'SENS Coal'!$D$7:$AW$7, 'SENS Coal'!$D$24:$AW$24), 0), IF($B37='Project List References'!$B$8, _xlfn.IFNA(_xlfn.XLOOKUP(J$2-$C37,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K37" s="661" t="e">
        <f>IF($B37='Project List References'!$B$3, _xlfn.IFNA(_xlfn.XLOOKUP(K$2-$C37, 'GEN-CCGT'!$D$7:$AW$7, 'GEN-CCGT'!$D$24:$AW$24), 0), IF($B37='Project List References'!$B$4, _xlfn.IFNA(_xlfn.XLOOKUP(K$2-$C37, 'GEN-SOLAR'!$D$7:$AW$7, 'GEN-SOLAR'!$D$24:$AW$24), 0), IF($B37='Project List References'!$B$5, _xlfn.IFNA(_xlfn.XLOOKUP(K$2-$C37, 'GEN-BESS'!$D$7:$AW$7, 'GEN-BESS'!$D$24:$AW$24), 0), IF($B37='Project List References'!$B$6, _xlfn.IFNA(_xlfn.XLOOKUP(K$2-$C37, 'GEN-CARBON'!$D$7:$AW$7, 'GEN-CARBON'!$D$24:$AW$24), 0), IF($B37='Project List References'!$B$7, _xlfn.IFNA(_xlfn.XLOOKUP(K$2-$C37, 'SENS Coal'!$D$7:$AW$7, 'SENS Coal'!$D$24:$AW$24), 0), IF($B37='Project List References'!$B$8, _xlfn.IFNA(_xlfn.XLOOKUP(K$2-$C37,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L37" s="661" t="e">
        <f>IF($B37='Project List References'!$B$3, _xlfn.IFNA(_xlfn.XLOOKUP(L$2-$C37, 'GEN-CCGT'!$D$7:$AW$7, 'GEN-CCGT'!$D$24:$AW$24), 0), IF($B37='Project List References'!$B$4, _xlfn.IFNA(_xlfn.XLOOKUP(L$2-$C37, 'GEN-SOLAR'!$D$7:$AW$7, 'GEN-SOLAR'!$D$24:$AW$24), 0), IF($B37='Project List References'!$B$5, _xlfn.IFNA(_xlfn.XLOOKUP(L$2-$C37, 'GEN-BESS'!$D$7:$AW$7, 'GEN-BESS'!$D$24:$AW$24), 0), IF($B37='Project List References'!$B$6, _xlfn.IFNA(_xlfn.XLOOKUP(L$2-$C37, 'GEN-CARBON'!$D$7:$AW$7, 'GEN-CARBON'!$D$24:$AW$24), 0), IF($B37='Project List References'!$B$7, _xlfn.IFNA(_xlfn.XLOOKUP(L$2-$C37, 'SENS Coal'!$D$7:$AW$7, 'SENS Coal'!$D$24:$AW$24), 0), IF($B37='Project List References'!$B$8, _xlfn.IFNA(_xlfn.XLOOKUP(L$2-$C37,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M37" s="661" t="e">
        <f>IF($B37='Project List References'!$B$3, _xlfn.IFNA(_xlfn.XLOOKUP(M$2-$C37, 'GEN-CCGT'!$D$7:$AW$7, 'GEN-CCGT'!$D$24:$AW$24), 0), IF($B37='Project List References'!$B$4, _xlfn.IFNA(_xlfn.XLOOKUP(M$2-$C37, 'GEN-SOLAR'!$D$7:$AW$7, 'GEN-SOLAR'!$D$24:$AW$24), 0), IF($B37='Project List References'!$B$5, _xlfn.IFNA(_xlfn.XLOOKUP(M$2-$C37, 'GEN-BESS'!$D$7:$AW$7, 'GEN-BESS'!$D$24:$AW$24), 0), IF($B37='Project List References'!$B$6, _xlfn.IFNA(_xlfn.XLOOKUP(M$2-$C37, 'GEN-CARBON'!$D$7:$AW$7, 'GEN-CARBON'!$D$24:$AW$24), 0), IF($B37='Project List References'!$B$7, _xlfn.IFNA(_xlfn.XLOOKUP(M$2-$C37, 'SENS Coal'!$D$7:$AW$7, 'SENS Coal'!$D$24:$AW$24), 0), IF($B37='Project List References'!$B$8, _xlfn.IFNA(_xlfn.XLOOKUP(M$2-$C37,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N37" s="661" t="e">
        <f>IF($B37='Project List References'!$B$3, _xlfn.IFNA(_xlfn.XLOOKUP(N$2-$C37, 'GEN-CCGT'!$D$7:$AW$7, 'GEN-CCGT'!$D$24:$AW$24), 0), IF($B37='Project List References'!$B$4, _xlfn.IFNA(_xlfn.XLOOKUP(N$2-$C37, 'GEN-SOLAR'!$D$7:$AW$7, 'GEN-SOLAR'!$D$24:$AW$24), 0), IF($B37='Project List References'!$B$5, _xlfn.IFNA(_xlfn.XLOOKUP(N$2-$C37, 'GEN-BESS'!$D$7:$AW$7, 'GEN-BESS'!$D$24:$AW$24), 0), IF($B37='Project List References'!$B$6, _xlfn.IFNA(_xlfn.XLOOKUP(N$2-$C37, 'GEN-CARBON'!$D$7:$AW$7, 'GEN-CARBON'!$D$24:$AW$24), 0), IF($B37='Project List References'!$B$7, _xlfn.IFNA(_xlfn.XLOOKUP(N$2-$C37, 'SENS Coal'!$D$7:$AW$7, 'SENS Coal'!$D$24:$AW$24), 0), IF($B37='Project List References'!$B$8, _xlfn.IFNA(_xlfn.XLOOKUP(N$2-$C37,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O37" s="661" t="e">
        <f>IF($B37='Project List References'!$B$3, _xlfn.IFNA(_xlfn.XLOOKUP(O$2-$C37, 'GEN-CCGT'!$D$7:$AW$7, 'GEN-CCGT'!$D$24:$AW$24), 0), IF($B37='Project List References'!$B$4, _xlfn.IFNA(_xlfn.XLOOKUP(O$2-$C37, 'GEN-SOLAR'!$D$7:$AW$7, 'GEN-SOLAR'!$D$24:$AW$24), 0), IF($B37='Project List References'!$B$5, _xlfn.IFNA(_xlfn.XLOOKUP(O$2-$C37, 'GEN-BESS'!$D$7:$AW$7, 'GEN-BESS'!$D$24:$AW$24), 0), IF($B37='Project List References'!$B$6, _xlfn.IFNA(_xlfn.XLOOKUP(O$2-$C37, 'GEN-CARBON'!$D$7:$AW$7, 'GEN-CARBON'!$D$24:$AW$24), 0), IF($B37='Project List References'!$B$7, _xlfn.IFNA(_xlfn.XLOOKUP(O$2-$C37, 'SENS Coal'!$D$7:$AW$7, 'SENS Coal'!$D$24:$AW$24), 0), IF($B37='Project List References'!$B$8, _xlfn.IFNA(_xlfn.XLOOKUP(O$2-$C37,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P37" s="661" t="e">
        <f>IF($B37='Project List References'!$B$3, _xlfn.IFNA(_xlfn.XLOOKUP(P$2-$C37, 'GEN-CCGT'!$D$7:$AW$7, 'GEN-CCGT'!$D$24:$AW$24), 0), IF($B37='Project List References'!$B$4, _xlfn.IFNA(_xlfn.XLOOKUP(P$2-$C37, 'GEN-SOLAR'!$D$7:$AW$7, 'GEN-SOLAR'!$D$24:$AW$24), 0), IF($B37='Project List References'!$B$5, _xlfn.IFNA(_xlfn.XLOOKUP(P$2-$C37, 'GEN-BESS'!$D$7:$AW$7, 'GEN-BESS'!$D$24:$AW$24), 0), IF($B37='Project List References'!$B$6, _xlfn.IFNA(_xlfn.XLOOKUP(P$2-$C37, 'GEN-CARBON'!$D$7:$AW$7, 'GEN-CARBON'!$D$24:$AW$24), 0), IF($B37='Project List References'!$B$7, _xlfn.IFNA(_xlfn.XLOOKUP(P$2-$C37, 'SENS Coal'!$D$7:$AW$7, 'SENS Coal'!$D$24:$AW$24), 0), IF($B37='Project List References'!$B$8, _xlfn.IFNA(_xlfn.XLOOKUP(P$2-$C37,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Q37" s="661" t="e">
        <f>IF($B37='Project List References'!$B$3, _xlfn.IFNA(_xlfn.XLOOKUP(Q$2-$C37, 'GEN-CCGT'!$D$7:$AW$7, 'GEN-CCGT'!$D$24:$AW$24), 0), IF($B37='Project List References'!$B$4, _xlfn.IFNA(_xlfn.XLOOKUP(Q$2-$C37, 'GEN-SOLAR'!$D$7:$AW$7, 'GEN-SOLAR'!$D$24:$AW$24), 0), IF($B37='Project List References'!$B$5, _xlfn.IFNA(_xlfn.XLOOKUP(Q$2-$C37, 'GEN-BESS'!$D$7:$AW$7, 'GEN-BESS'!$D$24:$AW$24), 0), IF($B37='Project List References'!$B$6, _xlfn.IFNA(_xlfn.XLOOKUP(Q$2-$C37, 'GEN-CARBON'!$D$7:$AW$7, 'GEN-CARBON'!$D$24:$AW$24), 0), IF($B37='Project List References'!$B$7, _xlfn.IFNA(_xlfn.XLOOKUP(Q$2-$C37, 'SENS Coal'!$D$7:$AW$7, 'SENS Coal'!$D$24:$AW$24), 0), IF($B37='Project List References'!$B$8, _xlfn.IFNA(_xlfn.XLOOKUP(Q$2-$C37,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R37" s="661" t="e">
        <f>IF($B37='Project List References'!$B$3, _xlfn.IFNA(_xlfn.XLOOKUP(R$2-$C37, 'GEN-CCGT'!$D$7:$AW$7, 'GEN-CCGT'!$D$24:$AW$24), 0), IF($B37='Project List References'!$B$4, _xlfn.IFNA(_xlfn.XLOOKUP(R$2-$C37, 'GEN-SOLAR'!$D$7:$AW$7, 'GEN-SOLAR'!$D$24:$AW$24), 0), IF($B37='Project List References'!$B$5, _xlfn.IFNA(_xlfn.XLOOKUP(R$2-$C37, 'GEN-BESS'!$D$7:$AW$7, 'GEN-BESS'!$D$24:$AW$24), 0), IF($B37='Project List References'!$B$6, _xlfn.IFNA(_xlfn.XLOOKUP(R$2-$C37, 'GEN-CARBON'!$D$7:$AW$7, 'GEN-CARBON'!$D$24:$AW$24), 0), IF($B37='Project List References'!$B$7, _xlfn.IFNA(_xlfn.XLOOKUP(R$2-$C37, 'SENS Coal'!$D$7:$AW$7, 'SENS Coal'!$D$24:$AW$24), 0), IF($B37='Project List References'!$B$8, _xlfn.IFNA(_xlfn.XLOOKUP(R$2-$C37,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S37" s="661" t="e">
        <f>IF($B37='Project List References'!$B$3, _xlfn.IFNA(_xlfn.XLOOKUP(S$2-$C37, 'GEN-CCGT'!$D$7:$AW$7, 'GEN-CCGT'!$D$24:$AW$24), 0), IF($B37='Project List References'!$B$4, _xlfn.IFNA(_xlfn.XLOOKUP(S$2-$C37, 'GEN-SOLAR'!$D$7:$AW$7, 'GEN-SOLAR'!$D$24:$AW$24), 0), IF($B37='Project List References'!$B$5, _xlfn.IFNA(_xlfn.XLOOKUP(S$2-$C37, 'GEN-BESS'!$D$7:$AW$7, 'GEN-BESS'!$D$24:$AW$24), 0), IF($B37='Project List References'!$B$6, _xlfn.IFNA(_xlfn.XLOOKUP(S$2-$C37, 'GEN-CARBON'!$D$7:$AW$7, 'GEN-CARBON'!$D$24:$AW$24), 0), IF($B37='Project List References'!$B$7, _xlfn.IFNA(_xlfn.XLOOKUP(S$2-$C37, 'SENS Coal'!$D$7:$AW$7, 'SENS Coal'!$D$24:$AW$24), 0), IF($B37='Project List References'!$B$8, _xlfn.IFNA(_xlfn.XLOOKUP(S$2-$C37,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T37" s="661" t="e">
        <f>IF($B37='Project List References'!$B$3, _xlfn.IFNA(_xlfn.XLOOKUP(T$2-$C37, 'GEN-CCGT'!$D$7:$AW$7, 'GEN-CCGT'!$D$24:$AW$24), 0), IF($B37='Project List References'!$B$4, _xlfn.IFNA(_xlfn.XLOOKUP(T$2-$C37, 'GEN-SOLAR'!$D$7:$AW$7, 'GEN-SOLAR'!$D$24:$AW$24), 0), IF($B37='Project List References'!$B$5, _xlfn.IFNA(_xlfn.XLOOKUP(T$2-$C37, 'GEN-BESS'!$D$7:$AW$7, 'GEN-BESS'!$D$24:$AW$24), 0), IF($B37='Project List References'!$B$6, _xlfn.IFNA(_xlfn.XLOOKUP(T$2-$C37, 'GEN-CARBON'!$D$7:$AW$7, 'GEN-CARBON'!$D$24:$AW$24), 0), IF($B37='Project List References'!$B$7, _xlfn.IFNA(_xlfn.XLOOKUP(T$2-$C37, 'SENS Coal'!$D$7:$AW$7, 'SENS Coal'!$D$24:$AW$24), 0), IF($B37='Project List References'!$B$8, _xlfn.IFNA(_xlfn.XLOOKUP(T$2-$C37, 'SENS Tires'!$D$7:$AW$7, 'SENS Tires'!$D$24:$AW$24),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</row>
    <row r="38" spans="1:20">
      <c r="A38" s="655" t="str">
        <f>IF(ISBLANK('Project Master Sheet'!A38)=FALSE, 'Project Master Sheet'!A38, "")</f>
        <v/>
      </c>
      <c r="B38" s="655" t="str">
        <f>_xlfn.IFNA(_xlfn.XLOOKUP(A38, 'Project Master Sheet'!A:A, 'Project Master Sheet'!D:D), "")</f>
        <v/>
      </c>
      <c r="C38" s="655" t="e">
        <f>_xlfn.XLOOKUP(A38, 'Project Master Sheet'!A:A, 'Project Master Sheet'!I:I)</f>
        <v>#N/A</v>
      </c>
      <c r="E38" s="661" t="e">
        <f>IF($B38='Project List References'!$B$3, _xlfn.IFNA(_xlfn.XLOOKUP(E$2-$C38, 'GEN-CCGT'!$D$7:$AW$7, 'GEN-CCGT'!$D$24:$AW$24), 0), IF($B38='Project List References'!$B$4, _xlfn.IFNA(_xlfn.XLOOKUP(E$2-$C38, 'GEN-SOLAR'!$D$7:$AW$7, 'GEN-SOLAR'!$D$24:$AW$24), 0), IF($B38='Project List References'!$B$5, _xlfn.IFNA(_xlfn.XLOOKUP(E$2-$C38, 'GEN-BESS'!$D$7:$AW$7, 'GEN-BESS'!$D$24:$AW$24), 0), IF($B38='Project List References'!$B$6, _xlfn.IFNA(_xlfn.XLOOKUP(E$2-$C38, 'GEN-CARBON'!$D$7:$AW$7, 'GEN-CARBON'!$D$24:$AW$24), 0), IF($B38='Project List References'!$B$7, _xlfn.IFNA(_xlfn.XLOOKUP(E$2-$C38, 'SENS Coal'!$D$7:$AW$7, 'SENS Coal'!$D$24:$AW$24), 0), IF($B38='Project List References'!$B$8, _xlfn.IFNA(_xlfn.XLOOKUP(E$2-$C38,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F38" s="661" t="e">
        <f>IF($B38='Project List References'!$B$3, _xlfn.IFNA(_xlfn.XLOOKUP(F$2-$C38, 'GEN-CCGT'!$D$7:$AW$7, 'GEN-CCGT'!$D$24:$AW$24), 0), IF($B38='Project List References'!$B$4, _xlfn.IFNA(_xlfn.XLOOKUP(F$2-$C38, 'GEN-SOLAR'!$D$7:$AW$7, 'GEN-SOLAR'!$D$24:$AW$24), 0), IF($B38='Project List References'!$B$5, _xlfn.IFNA(_xlfn.XLOOKUP(F$2-$C38, 'GEN-BESS'!$D$7:$AW$7, 'GEN-BESS'!$D$24:$AW$24), 0), IF($B38='Project List References'!$B$6, _xlfn.IFNA(_xlfn.XLOOKUP(F$2-$C38, 'GEN-CARBON'!$D$7:$AW$7, 'GEN-CARBON'!$D$24:$AW$24), 0), IF($B38='Project List References'!$B$7, _xlfn.IFNA(_xlfn.XLOOKUP(F$2-$C38, 'SENS Coal'!$D$7:$AW$7, 'SENS Coal'!$D$24:$AW$24), 0), IF($B38='Project List References'!$B$8, _xlfn.IFNA(_xlfn.XLOOKUP(F$2-$C38,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G38" s="661" t="e">
        <f>IF($B38='Project List References'!$B$3, _xlfn.IFNA(_xlfn.XLOOKUP(G$2-$C38, 'GEN-CCGT'!$D$7:$AW$7, 'GEN-CCGT'!$D$24:$AW$24), 0), IF($B38='Project List References'!$B$4, _xlfn.IFNA(_xlfn.XLOOKUP(G$2-$C38, 'GEN-SOLAR'!$D$7:$AW$7, 'GEN-SOLAR'!$D$24:$AW$24), 0), IF($B38='Project List References'!$B$5, _xlfn.IFNA(_xlfn.XLOOKUP(G$2-$C38, 'GEN-BESS'!$D$7:$AW$7, 'GEN-BESS'!$D$24:$AW$24), 0), IF($B38='Project List References'!$B$6, _xlfn.IFNA(_xlfn.XLOOKUP(G$2-$C38, 'GEN-CARBON'!$D$7:$AW$7, 'GEN-CARBON'!$D$24:$AW$24), 0), IF($B38='Project List References'!$B$7, _xlfn.IFNA(_xlfn.XLOOKUP(G$2-$C38, 'SENS Coal'!$D$7:$AW$7, 'SENS Coal'!$D$24:$AW$24), 0), IF($B38='Project List References'!$B$8, _xlfn.IFNA(_xlfn.XLOOKUP(G$2-$C38,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H38" s="661" t="e">
        <f>IF($B38='Project List References'!$B$3, _xlfn.IFNA(_xlfn.XLOOKUP(H$2-$C38, 'GEN-CCGT'!$D$7:$AW$7, 'GEN-CCGT'!$D$24:$AW$24), 0), IF($B38='Project List References'!$B$4, _xlfn.IFNA(_xlfn.XLOOKUP(H$2-$C38, 'GEN-SOLAR'!$D$7:$AW$7, 'GEN-SOLAR'!$D$24:$AW$24), 0), IF($B38='Project List References'!$B$5, _xlfn.IFNA(_xlfn.XLOOKUP(H$2-$C38, 'GEN-BESS'!$D$7:$AW$7, 'GEN-BESS'!$D$24:$AW$24), 0), IF($B38='Project List References'!$B$6, _xlfn.IFNA(_xlfn.XLOOKUP(H$2-$C38, 'GEN-CARBON'!$D$7:$AW$7, 'GEN-CARBON'!$D$24:$AW$24), 0), IF($B38='Project List References'!$B$7, _xlfn.IFNA(_xlfn.XLOOKUP(H$2-$C38, 'SENS Coal'!$D$7:$AW$7, 'SENS Coal'!$D$24:$AW$24), 0), IF($B38='Project List References'!$B$8, _xlfn.IFNA(_xlfn.XLOOKUP(H$2-$C38,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I38" s="661" t="e">
        <f>IF($B38='Project List References'!$B$3, _xlfn.IFNA(_xlfn.XLOOKUP(I$2-$C38, 'GEN-CCGT'!$D$7:$AW$7, 'GEN-CCGT'!$D$24:$AW$24), 0), IF($B38='Project List References'!$B$4, _xlfn.IFNA(_xlfn.XLOOKUP(I$2-$C38, 'GEN-SOLAR'!$D$7:$AW$7, 'GEN-SOLAR'!$D$24:$AW$24), 0), IF($B38='Project List References'!$B$5, _xlfn.IFNA(_xlfn.XLOOKUP(I$2-$C38, 'GEN-BESS'!$D$7:$AW$7, 'GEN-BESS'!$D$24:$AW$24), 0), IF($B38='Project List References'!$B$6, _xlfn.IFNA(_xlfn.XLOOKUP(I$2-$C38, 'GEN-CARBON'!$D$7:$AW$7, 'GEN-CARBON'!$D$24:$AW$24), 0), IF($B38='Project List References'!$B$7, _xlfn.IFNA(_xlfn.XLOOKUP(I$2-$C38, 'SENS Coal'!$D$7:$AW$7, 'SENS Coal'!$D$24:$AW$24), 0), IF($B38='Project List References'!$B$8, _xlfn.IFNA(_xlfn.XLOOKUP(I$2-$C38,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J38" s="661" t="e">
        <f>IF($B38='Project List References'!$B$3, _xlfn.IFNA(_xlfn.XLOOKUP(J$2-$C38, 'GEN-CCGT'!$D$7:$AW$7, 'GEN-CCGT'!$D$24:$AW$24), 0), IF($B38='Project List References'!$B$4, _xlfn.IFNA(_xlfn.XLOOKUP(J$2-$C38, 'GEN-SOLAR'!$D$7:$AW$7, 'GEN-SOLAR'!$D$24:$AW$24), 0), IF($B38='Project List References'!$B$5, _xlfn.IFNA(_xlfn.XLOOKUP(J$2-$C38, 'GEN-BESS'!$D$7:$AW$7, 'GEN-BESS'!$D$24:$AW$24), 0), IF($B38='Project List References'!$B$6, _xlfn.IFNA(_xlfn.XLOOKUP(J$2-$C38, 'GEN-CARBON'!$D$7:$AW$7, 'GEN-CARBON'!$D$24:$AW$24), 0), IF($B38='Project List References'!$B$7, _xlfn.IFNA(_xlfn.XLOOKUP(J$2-$C38, 'SENS Coal'!$D$7:$AW$7, 'SENS Coal'!$D$24:$AW$24), 0), IF($B38='Project List References'!$B$8, _xlfn.IFNA(_xlfn.XLOOKUP(J$2-$C38,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K38" s="661" t="e">
        <f>IF($B38='Project List References'!$B$3, _xlfn.IFNA(_xlfn.XLOOKUP(K$2-$C38, 'GEN-CCGT'!$D$7:$AW$7, 'GEN-CCGT'!$D$24:$AW$24), 0), IF($B38='Project List References'!$B$4, _xlfn.IFNA(_xlfn.XLOOKUP(K$2-$C38, 'GEN-SOLAR'!$D$7:$AW$7, 'GEN-SOLAR'!$D$24:$AW$24), 0), IF($B38='Project List References'!$B$5, _xlfn.IFNA(_xlfn.XLOOKUP(K$2-$C38, 'GEN-BESS'!$D$7:$AW$7, 'GEN-BESS'!$D$24:$AW$24), 0), IF($B38='Project List References'!$B$6, _xlfn.IFNA(_xlfn.XLOOKUP(K$2-$C38, 'GEN-CARBON'!$D$7:$AW$7, 'GEN-CARBON'!$D$24:$AW$24), 0), IF($B38='Project List References'!$B$7, _xlfn.IFNA(_xlfn.XLOOKUP(K$2-$C38, 'SENS Coal'!$D$7:$AW$7, 'SENS Coal'!$D$24:$AW$24), 0), IF($B38='Project List References'!$B$8, _xlfn.IFNA(_xlfn.XLOOKUP(K$2-$C38,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L38" s="661" t="e">
        <f>IF($B38='Project List References'!$B$3, _xlfn.IFNA(_xlfn.XLOOKUP(L$2-$C38, 'GEN-CCGT'!$D$7:$AW$7, 'GEN-CCGT'!$D$24:$AW$24), 0), IF($B38='Project List References'!$B$4, _xlfn.IFNA(_xlfn.XLOOKUP(L$2-$C38, 'GEN-SOLAR'!$D$7:$AW$7, 'GEN-SOLAR'!$D$24:$AW$24), 0), IF($B38='Project List References'!$B$5, _xlfn.IFNA(_xlfn.XLOOKUP(L$2-$C38, 'GEN-BESS'!$D$7:$AW$7, 'GEN-BESS'!$D$24:$AW$24), 0), IF($B38='Project List References'!$B$6, _xlfn.IFNA(_xlfn.XLOOKUP(L$2-$C38, 'GEN-CARBON'!$D$7:$AW$7, 'GEN-CARBON'!$D$24:$AW$24), 0), IF($B38='Project List References'!$B$7, _xlfn.IFNA(_xlfn.XLOOKUP(L$2-$C38, 'SENS Coal'!$D$7:$AW$7, 'SENS Coal'!$D$24:$AW$24), 0), IF($B38='Project List References'!$B$8, _xlfn.IFNA(_xlfn.XLOOKUP(L$2-$C38,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M38" s="661" t="e">
        <f>IF($B38='Project List References'!$B$3, _xlfn.IFNA(_xlfn.XLOOKUP(M$2-$C38, 'GEN-CCGT'!$D$7:$AW$7, 'GEN-CCGT'!$D$24:$AW$24), 0), IF($B38='Project List References'!$B$4, _xlfn.IFNA(_xlfn.XLOOKUP(M$2-$C38, 'GEN-SOLAR'!$D$7:$AW$7, 'GEN-SOLAR'!$D$24:$AW$24), 0), IF($B38='Project List References'!$B$5, _xlfn.IFNA(_xlfn.XLOOKUP(M$2-$C38, 'GEN-BESS'!$D$7:$AW$7, 'GEN-BESS'!$D$24:$AW$24), 0), IF($B38='Project List References'!$B$6, _xlfn.IFNA(_xlfn.XLOOKUP(M$2-$C38, 'GEN-CARBON'!$D$7:$AW$7, 'GEN-CARBON'!$D$24:$AW$24), 0), IF($B38='Project List References'!$B$7, _xlfn.IFNA(_xlfn.XLOOKUP(M$2-$C38, 'SENS Coal'!$D$7:$AW$7, 'SENS Coal'!$D$24:$AW$24), 0), IF($B38='Project List References'!$B$8, _xlfn.IFNA(_xlfn.XLOOKUP(M$2-$C38,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N38" s="661" t="e">
        <f>IF($B38='Project List References'!$B$3, _xlfn.IFNA(_xlfn.XLOOKUP(N$2-$C38, 'GEN-CCGT'!$D$7:$AW$7, 'GEN-CCGT'!$D$24:$AW$24), 0), IF($B38='Project List References'!$B$4, _xlfn.IFNA(_xlfn.XLOOKUP(N$2-$C38, 'GEN-SOLAR'!$D$7:$AW$7, 'GEN-SOLAR'!$D$24:$AW$24), 0), IF($B38='Project List References'!$B$5, _xlfn.IFNA(_xlfn.XLOOKUP(N$2-$C38, 'GEN-BESS'!$D$7:$AW$7, 'GEN-BESS'!$D$24:$AW$24), 0), IF($B38='Project List References'!$B$6, _xlfn.IFNA(_xlfn.XLOOKUP(N$2-$C38, 'GEN-CARBON'!$D$7:$AW$7, 'GEN-CARBON'!$D$24:$AW$24), 0), IF($B38='Project List References'!$B$7, _xlfn.IFNA(_xlfn.XLOOKUP(N$2-$C38, 'SENS Coal'!$D$7:$AW$7, 'SENS Coal'!$D$24:$AW$24), 0), IF($B38='Project List References'!$B$8, _xlfn.IFNA(_xlfn.XLOOKUP(N$2-$C38,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O38" s="661" t="e">
        <f>IF($B38='Project List References'!$B$3, _xlfn.IFNA(_xlfn.XLOOKUP(O$2-$C38, 'GEN-CCGT'!$D$7:$AW$7, 'GEN-CCGT'!$D$24:$AW$24), 0), IF($B38='Project List References'!$B$4, _xlfn.IFNA(_xlfn.XLOOKUP(O$2-$C38, 'GEN-SOLAR'!$D$7:$AW$7, 'GEN-SOLAR'!$D$24:$AW$24), 0), IF($B38='Project List References'!$B$5, _xlfn.IFNA(_xlfn.XLOOKUP(O$2-$C38, 'GEN-BESS'!$D$7:$AW$7, 'GEN-BESS'!$D$24:$AW$24), 0), IF($B38='Project List References'!$B$6, _xlfn.IFNA(_xlfn.XLOOKUP(O$2-$C38, 'GEN-CARBON'!$D$7:$AW$7, 'GEN-CARBON'!$D$24:$AW$24), 0), IF($B38='Project List References'!$B$7, _xlfn.IFNA(_xlfn.XLOOKUP(O$2-$C38, 'SENS Coal'!$D$7:$AW$7, 'SENS Coal'!$D$24:$AW$24), 0), IF($B38='Project List References'!$B$8, _xlfn.IFNA(_xlfn.XLOOKUP(O$2-$C38,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P38" s="661" t="e">
        <f>IF($B38='Project List References'!$B$3, _xlfn.IFNA(_xlfn.XLOOKUP(P$2-$C38, 'GEN-CCGT'!$D$7:$AW$7, 'GEN-CCGT'!$D$24:$AW$24), 0), IF($B38='Project List References'!$B$4, _xlfn.IFNA(_xlfn.XLOOKUP(P$2-$C38, 'GEN-SOLAR'!$D$7:$AW$7, 'GEN-SOLAR'!$D$24:$AW$24), 0), IF($B38='Project List References'!$B$5, _xlfn.IFNA(_xlfn.XLOOKUP(P$2-$C38, 'GEN-BESS'!$D$7:$AW$7, 'GEN-BESS'!$D$24:$AW$24), 0), IF($B38='Project List References'!$B$6, _xlfn.IFNA(_xlfn.XLOOKUP(P$2-$C38, 'GEN-CARBON'!$D$7:$AW$7, 'GEN-CARBON'!$D$24:$AW$24), 0), IF($B38='Project List References'!$B$7, _xlfn.IFNA(_xlfn.XLOOKUP(P$2-$C38, 'SENS Coal'!$D$7:$AW$7, 'SENS Coal'!$D$24:$AW$24), 0), IF($B38='Project List References'!$B$8, _xlfn.IFNA(_xlfn.XLOOKUP(P$2-$C38,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Q38" s="661" t="e">
        <f>IF($B38='Project List References'!$B$3, _xlfn.IFNA(_xlfn.XLOOKUP(Q$2-$C38, 'GEN-CCGT'!$D$7:$AW$7, 'GEN-CCGT'!$D$24:$AW$24), 0), IF($B38='Project List References'!$B$4, _xlfn.IFNA(_xlfn.XLOOKUP(Q$2-$C38, 'GEN-SOLAR'!$D$7:$AW$7, 'GEN-SOLAR'!$D$24:$AW$24), 0), IF($B38='Project List References'!$B$5, _xlfn.IFNA(_xlfn.XLOOKUP(Q$2-$C38, 'GEN-BESS'!$D$7:$AW$7, 'GEN-BESS'!$D$24:$AW$24), 0), IF($B38='Project List References'!$B$6, _xlfn.IFNA(_xlfn.XLOOKUP(Q$2-$C38, 'GEN-CARBON'!$D$7:$AW$7, 'GEN-CARBON'!$D$24:$AW$24), 0), IF($B38='Project List References'!$B$7, _xlfn.IFNA(_xlfn.XLOOKUP(Q$2-$C38, 'SENS Coal'!$D$7:$AW$7, 'SENS Coal'!$D$24:$AW$24), 0), IF($B38='Project List References'!$B$8, _xlfn.IFNA(_xlfn.XLOOKUP(Q$2-$C38,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R38" s="661" t="e">
        <f>IF($B38='Project List References'!$B$3, _xlfn.IFNA(_xlfn.XLOOKUP(R$2-$C38, 'GEN-CCGT'!$D$7:$AW$7, 'GEN-CCGT'!$D$24:$AW$24), 0), IF($B38='Project List References'!$B$4, _xlfn.IFNA(_xlfn.XLOOKUP(R$2-$C38, 'GEN-SOLAR'!$D$7:$AW$7, 'GEN-SOLAR'!$D$24:$AW$24), 0), IF($B38='Project List References'!$B$5, _xlfn.IFNA(_xlfn.XLOOKUP(R$2-$C38, 'GEN-BESS'!$D$7:$AW$7, 'GEN-BESS'!$D$24:$AW$24), 0), IF($B38='Project List References'!$B$6, _xlfn.IFNA(_xlfn.XLOOKUP(R$2-$C38, 'GEN-CARBON'!$D$7:$AW$7, 'GEN-CARBON'!$D$24:$AW$24), 0), IF($B38='Project List References'!$B$7, _xlfn.IFNA(_xlfn.XLOOKUP(R$2-$C38, 'SENS Coal'!$D$7:$AW$7, 'SENS Coal'!$D$24:$AW$24), 0), IF($B38='Project List References'!$B$8, _xlfn.IFNA(_xlfn.XLOOKUP(R$2-$C38,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S38" s="661" t="e">
        <f>IF($B38='Project List References'!$B$3, _xlfn.IFNA(_xlfn.XLOOKUP(S$2-$C38, 'GEN-CCGT'!$D$7:$AW$7, 'GEN-CCGT'!$D$24:$AW$24), 0), IF($B38='Project List References'!$B$4, _xlfn.IFNA(_xlfn.XLOOKUP(S$2-$C38, 'GEN-SOLAR'!$D$7:$AW$7, 'GEN-SOLAR'!$D$24:$AW$24), 0), IF($B38='Project List References'!$B$5, _xlfn.IFNA(_xlfn.XLOOKUP(S$2-$C38, 'GEN-BESS'!$D$7:$AW$7, 'GEN-BESS'!$D$24:$AW$24), 0), IF($B38='Project List References'!$B$6, _xlfn.IFNA(_xlfn.XLOOKUP(S$2-$C38, 'GEN-CARBON'!$D$7:$AW$7, 'GEN-CARBON'!$D$24:$AW$24), 0), IF($B38='Project List References'!$B$7, _xlfn.IFNA(_xlfn.XLOOKUP(S$2-$C38, 'SENS Coal'!$D$7:$AW$7, 'SENS Coal'!$D$24:$AW$24), 0), IF($B38='Project List References'!$B$8, _xlfn.IFNA(_xlfn.XLOOKUP(S$2-$C38,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T38" s="661" t="e">
        <f>IF($B38='Project List References'!$B$3, _xlfn.IFNA(_xlfn.XLOOKUP(T$2-$C38, 'GEN-CCGT'!$D$7:$AW$7, 'GEN-CCGT'!$D$24:$AW$24), 0), IF($B38='Project List References'!$B$4, _xlfn.IFNA(_xlfn.XLOOKUP(T$2-$C38, 'GEN-SOLAR'!$D$7:$AW$7, 'GEN-SOLAR'!$D$24:$AW$24), 0), IF($B38='Project List References'!$B$5, _xlfn.IFNA(_xlfn.XLOOKUP(T$2-$C38, 'GEN-BESS'!$D$7:$AW$7, 'GEN-BESS'!$D$24:$AW$24), 0), IF($B38='Project List References'!$B$6, _xlfn.IFNA(_xlfn.XLOOKUP(T$2-$C38, 'GEN-CARBON'!$D$7:$AW$7, 'GEN-CARBON'!$D$24:$AW$24), 0), IF($B38='Project List References'!$B$7, _xlfn.IFNA(_xlfn.XLOOKUP(T$2-$C38, 'SENS Coal'!$D$7:$AW$7, 'SENS Coal'!$D$24:$AW$24), 0), IF($B38='Project List References'!$B$8, _xlfn.IFNA(_xlfn.XLOOKUP(T$2-$C38, 'SENS Tires'!$D$7:$AW$7, 'SENS Tires'!$D$24:$AW$24),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</row>
    <row r="39" spans="1:20">
      <c r="A39" s="655" t="str">
        <f>IF(ISBLANK('Project Master Sheet'!A39)=FALSE, 'Project Master Sheet'!A39, "")</f>
        <v/>
      </c>
      <c r="B39" s="655" t="str">
        <f>_xlfn.IFNA(_xlfn.XLOOKUP(A39, 'Project Master Sheet'!A:A, 'Project Master Sheet'!D:D), "")</f>
        <v/>
      </c>
    </row>
    <row r="40" spans="1:20">
      <c r="A40" s="655" t="str">
        <f>IF(ISBLANK('Project Master Sheet'!A40)=FALSE, 'Project Master Sheet'!A40, "")</f>
        <v/>
      </c>
      <c r="B40" s="655" t="str">
        <f>_xlfn.IFNA(_xlfn.XLOOKUP(A40, 'Project Master Sheet'!A:A, 'Project Master Sheet'!D:D), "")</f>
        <v/>
      </c>
    </row>
    <row r="41" spans="1:20">
      <c r="A41" s="655" t="str">
        <f>IF(ISBLANK('Project Master Sheet'!A41)=FALSE, 'Project Master Sheet'!A41, "")</f>
        <v/>
      </c>
      <c r="B41" s="655" t="str">
        <f>_xlfn.IFNA(_xlfn.XLOOKUP(A41, 'Project Master Sheet'!A:A, 'Project Master Sheet'!D:D), "")</f>
        <v/>
      </c>
    </row>
    <row r="42" spans="1:20">
      <c r="A42" s="655" t="str">
        <f>IF(ISBLANK('Project Master Sheet'!A42)=FALSE, 'Project Master Sheet'!A42, "")</f>
        <v/>
      </c>
      <c r="B42" s="655" t="str">
        <f>_xlfn.IFNA(_xlfn.XLOOKUP(A42, 'Project Master Sheet'!A:A, 'Project Master Sheet'!D:D), "")</f>
        <v/>
      </c>
    </row>
    <row r="43" spans="1:20">
      <c r="A43" s="655" t="str">
        <f>IF(ISBLANK('Project Master Sheet'!A43)=FALSE, 'Project Master Sheet'!A43, "")</f>
        <v/>
      </c>
      <c r="B43" s="655" t="str">
        <f>_xlfn.IFNA(_xlfn.XLOOKUP(A43, 'Project Master Sheet'!A:A, 'Project Master Sheet'!D:D), "")</f>
        <v/>
      </c>
    </row>
    <row r="44" spans="1:20">
      <c r="A44" s="655" t="str">
        <f>IF(ISBLANK('Project Master Sheet'!A44)=FALSE, 'Project Master Sheet'!A44, "")</f>
        <v/>
      </c>
      <c r="B44" s="655" t="str">
        <f>_xlfn.IFNA(_xlfn.XLOOKUP(A44, 'Project Master Sheet'!A:A, 'Project Master Sheet'!D:D), "")</f>
        <v/>
      </c>
    </row>
    <row r="45" spans="1:20">
      <c r="A45" s="655" t="str">
        <f>IF(ISBLANK('Project Master Sheet'!A45)=FALSE, 'Project Master Sheet'!A45, "")</f>
        <v/>
      </c>
      <c r="B45" s="655" t="str">
        <f>_xlfn.IFNA(_xlfn.XLOOKUP(A45, 'Project Master Sheet'!A:A, 'Project Master Sheet'!D:D), "")</f>
        <v/>
      </c>
    </row>
    <row r="46" spans="1:20">
      <c r="A46" s="655" t="str">
        <f>IF(ISBLANK('Project Master Sheet'!A46)=FALSE, 'Project Master Sheet'!A46, "")</f>
        <v/>
      </c>
      <c r="B46" s="655" t="str">
        <f>_xlfn.IFNA(_xlfn.XLOOKUP(A46, 'Project Master Sheet'!A:A, 'Project Master Sheet'!D:D), "")</f>
        <v/>
      </c>
    </row>
    <row r="47" spans="1:20">
      <c r="A47" s="655" t="str">
        <f>IF(ISBLANK('Project Master Sheet'!A47)=FALSE, 'Project Master Sheet'!A47, "")</f>
        <v/>
      </c>
      <c r="B47" s="655" t="str">
        <f>_xlfn.IFNA(_xlfn.XLOOKUP(A47, 'Project Master Sheet'!A:A, 'Project Master Sheet'!D:D), "")</f>
        <v/>
      </c>
    </row>
    <row r="48" spans="1:20">
      <c r="A48" s="655" t="str">
        <f>IF(ISBLANK('Project Master Sheet'!A48)=FALSE, 'Project Master Sheet'!A48, "")</f>
        <v/>
      </c>
      <c r="B48" s="655" t="str">
        <f>_xlfn.IFNA(_xlfn.XLOOKUP(A48, 'Project Master Sheet'!A:A, 'Project Master Sheet'!D:D), "")</f>
        <v/>
      </c>
    </row>
    <row r="49" spans="1:2">
      <c r="A49" s="655" t="str">
        <f>IF(ISBLANK('Project Master Sheet'!A49)=FALSE, 'Project Master Sheet'!A49, "")</f>
        <v/>
      </c>
      <c r="B49" s="655" t="str">
        <f>_xlfn.IFNA(_xlfn.XLOOKUP(A49, 'Project Master Sheet'!A:A, 'Project Master Sheet'!D:D), "")</f>
        <v/>
      </c>
    </row>
    <row r="50" spans="1:2">
      <c r="A50" s="655" t="str">
        <f>IF(ISBLANK('Project Master Sheet'!A50)=FALSE, 'Project Master Sheet'!A50, "")</f>
        <v/>
      </c>
      <c r="B50" s="655" t="str">
        <f>_xlfn.IFNA(_xlfn.XLOOKUP(A50, 'Project Master Sheet'!A:A, 'Project Master Sheet'!D:D), "")</f>
        <v/>
      </c>
    </row>
    <row r="51" spans="1:2">
      <c r="A51" s="655" t="str">
        <f>IF(ISBLANK('Project Master Sheet'!A51)=FALSE, 'Project Master Sheet'!A51, "")</f>
        <v/>
      </c>
      <c r="B51" s="655" t="str">
        <f>_xlfn.IFNA(_xlfn.XLOOKUP(A51, 'Project Master Sheet'!A:A, 'Project Master Sheet'!D:D), "")</f>
        <v/>
      </c>
    </row>
    <row r="52" spans="1:2">
      <c r="A52" s="655" t="str">
        <f>IF(ISBLANK('Project Master Sheet'!A52)=FALSE, 'Project Master Sheet'!A52, "")</f>
        <v/>
      </c>
    </row>
    <row r="53" spans="1:2">
      <c r="A53" s="655" t="str">
        <f>IF(ISBLANK('Project Master Sheet'!A53)=FALSE, 'Project Master Sheet'!A53, "")</f>
        <v/>
      </c>
    </row>
    <row r="54" spans="1:2">
      <c r="A54" s="655" t="str">
        <f>IF(ISBLANK('Project Master Sheet'!A54)=FALSE, 'Project Master Sheet'!A54, "")</f>
        <v/>
      </c>
    </row>
    <row r="55" spans="1:2">
      <c r="A55" s="655" t="str">
        <f>IF(ISBLANK('Project Master Sheet'!A55)=FALSE, 'Project Master Sheet'!A55, "")</f>
        <v/>
      </c>
    </row>
    <row r="56" spans="1:2">
      <c r="A56" s="655" t="str">
        <f>IF(ISBLANK('Project Master Sheet'!A56)=FALSE, 'Project Master Sheet'!A56, "")</f>
        <v/>
      </c>
    </row>
    <row r="57" spans="1:2">
      <c r="A57" s="655" t="str">
        <f>IF(ISBLANK('Project Master Sheet'!A57)=FALSE, 'Project Master Sheet'!A57, "")</f>
        <v/>
      </c>
    </row>
    <row r="58" spans="1:2">
      <c r="A58" s="655" t="str">
        <f>IF(ISBLANK('Project Master Sheet'!A58)=FALSE, 'Project Master Sheet'!A58, "")</f>
        <v/>
      </c>
    </row>
    <row r="59" spans="1:2">
      <c r="A59" s="655" t="str">
        <f>IF(ISBLANK('Project Master Sheet'!A59)=FALSE, 'Project Master Sheet'!A59, "")</f>
        <v/>
      </c>
    </row>
    <row r="60" spans="1:2">
      <c r="A60" s="655" t="str">
        <f>IF(ISBLANK('Project Master Sheet'!A60)=FALSE, 'Project Master Sheet'!A60, "")</f>
        <v/>
      </c>
    </row>
  </sheetData>
  <mergeCells count="1">
    <mergeCell ref="E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DE68-9FDE-4C66-9319-66B1AF213EB8}">
  <dimension ref="A1:DG26"/>
  <sheetViews>
    <sheetView workbookViewId="0">
      <selection activeCell="A10" sqref="A10"/>
    </sheetView>
  </sheetViews>
  <sheetFormatPr baseColWidth="10" defaultColWidth="9.1640625" defaultRowHeight="15"/>
  <cols>
    <col min="1" max="1" width="30.1640625" style="655" customWidth="1"/>
    <col min="2" max="2" width="23" style="655" customWidth="1"/>
    <col min="3" max="3" width="18.1640625" style="655" customWidth="1"/>
    <col min="4" max="4" width="5.6640625" style="655" customWidth="1"/>
    <col min="5" max="20" width="12.6640625" style="655" customWidth="1"/>
    <col min="21" max="16384" width="9.1640625" style="655"/>
  </cols>
  <sheetData>
    <row r="1" spans="1:111" ht="27">
      <c r="A1" s="656" t="s">
        <v>40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8"/>
      <c r="AI1" s="658"/>
      <c r="AJ1" s="658"/>
      <c r="AK1" s="658"/>
      <c r="AL1" s="658"/>
      <c r="AM1" s="658"/>
      <c r="AN1" s="658"/>
      <c r="AO1" s="658"/>
      <c r="AP1" s="658"/>
      <c r="AQ1" s="658"/>
      <c r="AR1" s="658"/>
      <c r="AS1" s="658"/>
      <c r="AT1" s="658"/>
      <c r="AU1" s="658"/>
      <c r="AV1" s="658"/>
      <c r="AW1" s="658"/>
      <c r="AX1" s="658"/>
      <c r="AY1" s="658"/>
      <c r="AZ1" s="658"/>
      <c r="BA1" s="658"/>
      <c r="BB1" s="658"/>
      <c r="BC1" s="658"/>
      <c r="BD1" s="658"/>
      <c r="BE1" s="658"/>
      <c r="BF1" s="658"/>
      <c r="BG1" s="658"/>
      <c r="BH1" s="658"/>
      <c r="BI1" s="658"/>
      <c r="BJ1" s="658"/>
      <c r="BK1" s="658"/>
      <c r="BL1" s="658"/>
      <c r="BM1" s="658"/>
      <c r="BN1" s="658"/>
      <c r="BO1" s="658"/>
      <c r="BP1" s="658"/>
      <c r="BQ1" s="658"/>
      <c r="BR1" s="658"/>
      <c r="BS1" s="658"/>
      <c r="BT1" s="658"/>
      <c r="BU1" s="658"/>
      <c r="BV1" s="658"/>
      <c r="BW1" s="658"/>
      <c r="BX1" s="658"/>
      <c r="BY1" s="658"/>
      <c r="BZ1" s="658"/>
      <c r="CA1" s="658"/>
      <c r="CB1" s="658"/>
      <c r="CC1" s="658"/>
      <c r="CD1" s="658"/>
      <c r="CE1" s="658"/>
      <c r="CF1" s="658"/>
      <c r="CG1" s="658"/>
      <c r="CH1" s="658"/>
      <c r="CI1" s="658"/>
      <c r="CJ1" s="658"/>
      <c r="CK1" s="658"/>
      <c r="CL1" s="658"/>
      <c r="CM1" s="658"/>
      <c r="CN1" s="658"/>
      <c r="CO1" s="658"/>
      <c r="CP1" s="658"/>
      <c r="CQ1" s="658"/>
      <c r="CR1" s="658"/>
      <c r="CS1" s="658"/>
      <c r="CT1" s="658"/>
      <c r="CU1" s="658"/>
      <c r="CV1" s="658"/>
      <c r="CW1" s="658"/>
      <c r="CX1" s="658"/>
      <c r="CY1" s="658"/>
      <c r="CZ1" s="658"/>
      <c r="DA1" s="658"/>
      <c r="DB1" s="658"/>
      <c r="DC1" s="658"/>
      <c r="DD1" s="658"/>
      <c r="DE1" s="658"/>
      <c r="DF1" s="658"/>
      <c r="DG1" s="658"/>
    </row>
    <row r="2" spans="1:111">
      <c r="A2" s="655" t="s">
        <v>52</v>
      </c>
      <c r="B2" s="655" t="s">
        <v>45</v>
      </c>
      <c r="C2" s="655" t="s">
        <v>53</v>
      </c>
      <c r="E2" s="655">
        <v>0</v>
      </c>
      <c r="F2" s="655">
        <f>1+E2</f>
        <v>1</v>
      </c>
      <c r="G2" s="655">
        <f t="shared" ref="G2:T2" si="0">1+F2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111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_xlfn.XLOOKUP(A3, 'Project Master Sheet'!A:A, 'Project Master Sheet'!I:I)</f>
        <v>1</v>
      </c>
      <c r="E3" s="743">
        <f>-'Project CAPEX'!E3*_xlfn.XLOOKUP('Project EPC'!$B3, 'Assumptions &amp; Inputs'!$F$26:$L$26, 'Assumptions &amp; Inputs'!$F$48:$L$48)</f>
        <v>0</v>
      </c>
      <c r="F3" s="743">
        <f>-'Project CAPEX'!F3*_xlfn.XLOOKUP('Project EPC'!$B3, 'Assumptions &amp; Inputs'!$F$26:$L$26, 'Assumptions &amp; Inputs'!$F$48:$L$48)</f>
        <v>16.5</v>
      </c>
      <c r="G3" s="743">
        <f>-'Project CAPEX'!G3*_xlfn.XLOOKUP('Project EPC'!$B3, 'Assumptions &amp; Inputs'!$F$26:$L$26, 'Assumptions &amp; Inputs'!$F$48:$L$48)</f>
        <v>18</v>
      </c>
      <c r="H3" s="743">
        <f>-'Project CAPEX'!H3*_xlfn.XLOOKUP('Project EPC'!$B3, 'Assumptions &amp; Inputs'!$F$26:$L$26, 'Assumptions &amp; Inputs'!$F$48:$L$48)</f>
        <v>18</v>
      </c>
      <c r="I3" s="743">
        <f>-'Project CAPEX'!I3*_xlfn.XLOOKUP('Project EPC'!$B3, 'Assumptions &amp; Inputs'!$F$26:$L$26, 'Assumptions &amp; Inputs'!$F$48:$L$48)</f>
        <v>18</v>
      </c>
      <c r="J3" s="743">
        <f>-'Project CAPEX'!J3*_xlfn.XLOOKUP('Project EPC'!$B3, 'Assumptions &amp; Inputs'!$F$26:$L$26, 'Assumptions &amp; Inputs'!$F$48:$L$48)</f>
        <v>1.5</v>
      </c>
      <c r="K3" s="743">
        <f>-'Project CAPEX'!K3*_xlfn.XLOOKUP('Project EPC'!$B3, 'Assumptions &amp; Inputs'!$F$26:$L$26, 'Assumptions &amp; Inputs'!$F$48:$L$48)</f>
        <v>0</v>
      </c>
      <c r="L3" s="743">
        <f>-'Project CAPEX'!L3*_xlfn.XLOOKUP('Project EPC'!$B3, 'Assumptions &amp; Inputs'!$F$26:$L$26, 'Assumptions &amp; Inputs'!$F$48:$L$48)</f>
        <v>0</v>
      </c>
      <c r="M3" s="743">
        <f>-'Project CAPEX'!M3*_xlfn.XLOOKUP('Project EPC'!$B3, 'Assumptions &amp; Inputs'!$F$26:$L$26, 'Assumptions &amp; Inputs'!$F$48:$L$48)</f>
        <v>0</v>
      </c>
      <c r="N3" s="743">
        <f>-'Project CAPEX'!N3*_xlfn.XLOOKUP('Project EPC'!$B3, 'Assumptions &amp; Inputs'!$F$26:$L$26, 'Assumptions &amp; Inputs'!$F$48:$L$48)</f>
        <v>0</v>
      </c>
      <c r="O3" s="743">
        <f>-'Project CAPEX'!O3*_xlfn.XLOOKUP('Project EPC'!$B3, 'Assumptions &amp; Inputs'!$F$26:$L$26, 'Assumptions &amp; Inputs'!$F$48:$L$48)</f>
        <v>0</v>
      </c>
      <c r="P3" s="743">
        <f>-'Project CAPEX'!P3*_xlfn.XLOOKUP('Project EPC'!$B3, 'Assumptions &amp; Inputs'!$F$26:$L$26, 'Assumptions &amp; Inputs'!$F$48:$L$48)</f>
        <v>0</v>
      </c>
      <c r="Q3" s="743">
        <f>-'Project CAPEX'!Q3*_xlfn.XLOOKUP('Project EPC'!$B3, 'Assumptions &amp; Inputs'!$F$26:$L$26, 'Assumptions &amp; Inputs'!$F$48:$L$48)</f>
        <v>0</v>
      </c>
      <c r="R3" s="743">
        <f>-'Project CAPEX'!R3*_xlfn.XLOOKUP('Project EPC'!$B3, 'Assumptions &amp; Inputs'!$F$26:$L$26, 'Assumptions &amp; Inputs'!$F$48:$L$48)</f>
        <v>0</v>
      </c>
      <c r="S3" s="743">
        <f>-'Project CAPEX'!S3*_xlfn.XLOOKUP('Project EPC'!$B3, 'Assumptions &amp; Inputs'!$F$26:$L$26, 'Assumptions &amp; Inputs'!$F$48:$L$48)</f>
        <v>0</v>
      </c>
      <c r="T3" s="743">
        <f>-'Project CAPEX'!T3*_xlfn.XLOOKUP('Project EPC'!$B3, 'Assumptions &amp; Inputs'!$F$26:$L$26, 'Assumptions &amp; Inputs'!$F$48:$L$48)</f>
        <v>0</v>
      </c>
    </row>
    <row r="4" spans="1:111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_xlfn.XLOOKUP(A4, 'Project Master Sheet'!A:A, 'Project Master Sheet'!I:I)</f>
        <v>1</v>
      </c>
      <c r="E4" s="743">
        <f>-'Project CAPEX'!E4*_xlfn.XLOOKUP('Project EPC'!$B4, 'Assumptions &amp; Inputs'!$F$26:$L$26, 'Assumptions &amp; Inputs'!$F$48:$L$48)</f>
        <v>0</v>
      </c>
      <c r="F4" s="743">
        <f>-'Project CAPEX'!F4*_xlfn.XLOOKUP('Project EPC'!$B4, 'Assumptions &amp; Inputs'!$F$26:$L$26, 'Assumptions &amp; Inputs'!$F$48:$L$48)</f>
        <v>2.6354166666666661</v>
      </c>
      <c r="G4" s="743">
        <f>-'Project CAPEX'!G4*_xlfn.XLOOKUP('Project EPC'!$B4, 'Assumptions &amp; Inputs'!$F$26:$L$26, 'Assumptions &amp; Inputs'!$F$48:$L$48)</f>
        <v>0.23958333333333331</v>
      </c>
      <c r="H4" s="743">
        <f>-'Project CAPEX'!H4*_xlfn.XLOOKUP('Project EPC'!$B4, 'Assumptions &amp; Inputs'!$F$26:$L$26, 'Assumptions &amp; Inputs'!$F$48:$L$48)</f>
        <v>0</v>
      </c>
      <c r="I4" s="743">
        <f>-'Project CAPEX'!I4*_xlfn.XLOOKUP('Project EPC'!$B4, 'Assumptions &amp; Inputs'!$F$26:$L$26, 'Assumptions &amp; Inputs'!$F$48:$L$48)</f>
        <v>0</v>
      </c>
      <c r="J4" s="743">
        <f>-'Project CAPEX'!J4*_xlfn.XLOOKUP('Project EPC'!$B4, 'Assumptions &amp; Inputs'!$F$26:$L$26, 'Assumptions &amp; Inputs'!$F$48:$L$48)</f>
        <v>0</v>
      </c>
      <c r="K4" s="743">
        <f>-'Project CAPEX'!K4*_xlfn.XLOOKUP('Project EPC'!$B4, 'Assumptions &amp; Inputs'!$F$26:$L$26, 'Assumptions &amp; Inputs'!$F$48:$L$48)</f>
        <v>0</v>
      </c>
      <c r="L4" s="743">
        <f>-'Project CAPEX'!L4*_xlfn.XLOOKUP('Project EPC'!$B4, 'Assumptions &amp; Inputs'!$F$26:$L$26, 'Assumptions &amp; Inputs'!$F$48:$L$48)</f>
        <v>0</v>
      </c>
      <c r="M4" s="743">
        <f>-'Project CAPEX'!M4*_xlfn.XLOOKUP('Project EPC'!$B4, 'Assumptions &amp; Inputs'!$F$26:$L$26, 'Assumptions &amp; Inputs'!$F$48:$L$48)</f>
        <v>0</v>
      </c>
      <c r="N4" s="743">
        <f>-'Project CAPEX'!N4*_xlfn.XLOOKUP('Project EPC'!$B4, 'Assumptions &amp; Inputs'!$F$26:$L$26, 'Assumptions &amp; Inputs'!$F$48:$L$48)</f>
        <v>0</v>
      </c>
      <c r="O4" s="743">
        <f>-'Project CAPEX'!O4*_xlfn.XLOOKUP('Project EPC'!$B4, 'Assumptions &amp; Inputs'!$F$26:$L$26, 'Assumptions &amp; Inputs'!$F$48:$L$48)</f>
        <v>0</v>
      </c>
      <c r="P4" s="743">
        <f>-'Project CAPEX'!P4*_xlfn.XLOOKUP('Project EPC'!$B4, 'Assumptions &amp; Inputs'!$F$26:$L$26, 'Assumptions &amp; Inputs'!$F$48:$L$48)</f>
        <v>0</v>
      </c>
      <c r="Q4" s="743">
        <f>-'Project CAPEX'!Q4*_xlfn.XLOOKUP('Project EPC'!$B4, 'Assumptions &amp; Inputs'!$F$26:$L$26, 'Assumptions &amp; Inputs'!$F$48:$L$48)</f>
        <v>0</v>
      </c>
      <c r="R4" s="743">
        <f>-'Project CAPEX'!R4*_xlfn.XLOOKUP('Project EPC'!$B4, 'Assumptions &amp; Inputs'!$F$26:$L$26, 'Assumptions &amp; Inputs'!$F$48:$L$48)</f>
        <v>0</v>
      </c>
      <c r="S4" s="743">
        <f>-'Project CAPEX'!S4*_xlfn.XLOOKUP('Project EPC'!$B4, 'Assumptions &amp; Inputs'!$F$26:$L$26, 'Assumptions &amp; Inputs'!$F$48:$L$48)</f>
        <v>0</v>
      </c>
      <c r="T4" s="743">
        <f>-'Project CAPEX'!T4*_xlfn.XLOOKUP('Project EPC'!$B4, 'Assumptions &amp; Inputs'!$F$26:$L$26, 'Assumptions &amp; Inputs'!$F$48:$L$48)</f>
        <v>0</v>
      </c>
    </row>
    <row r="5" spans="1:111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_xlfn.XLOOKUP(A5, 'Project Master Sheet'!A:A, 'Project Master Sheet'!I:I)</f>
        <v>2</v>
      </c>
      <c r="E5" s="743">
        <f>-'Project CAPEX'!E5*_xlfn.XLOOKUP('Project EPC'!$B5, 'Assumptions &amp; Inputs'!$F$26:$L$26, 'Assumptions &amp; Inputs'!$F$48:$L$48)</f>
        <v>0</v>
      </c>
      <c r="F5" s="743">
        <f>-'Project CAPEX'!F5*_xlfn.XLOOKUP('Project EPC'!$B5, 'Assumptions &amp; Inputs'!$F$26:$L$26, 'Assumptions &amp; Inputs'!$F$48:$L$48)</f>
        <v>0</v>
      </c>
      <c r="G5" s="743">
        <f>-'Project CAPEX'!G5*_xlfn.XLOOKUP('Project EPC'!$B5, 'Assumptions &amp; Inputs'!$F$26:$L$26, 'Assumptions &amp; Inputs'!$F$48:$L$48)</f>
        <v>33</v>
      </c>
      <c r="H5" s="743">
        <f>-'Project CAPEX'!H5*_xlfn.XLOOKUP('Project EPC'!$B5, 'Assumptions &amp; Inputs'!$F$26:$L$26, 'Assumptions &amp; Inputs'!$F$48:$L$48)</f>
        <v>3</v>
      </c>
      <c r="I5" s="743">
        <f>-'Project CAPEX'!I5*_xlfn.XLOOKUP('Project EPC'!$B5, 'Assumptions &amp; Inputs'!$F$26:$L$26, 'Assumptions &amp; Inputs'!$F$48:$L$48)</f>
        <v>0</v>
      </c>
      <c r="J5" s="743">
        <f>-'Project CAPEX'!J5*_xlfn.XLOOKUP('Project EPC'!$B5, 'Assumptions &amp; Inputs'!$F$26:$L$26, 'Assumptions &amp; Inputs'!$F$48:$L$48)</f>
        <v>0</v>
      </c>
      <c r="K5" s="743">
        <f>-'Project CAPEX'!K5*_xlfn.XLOOKUP('Project EPC'!$B5, 'Assumptions &amp; Inputs'!$F$26:$L$26, 'Assumptions &amp; Inputs'!$F$48:$L$48)</f>
        <v>0</v>
      </c>
      <c r="L5" s="743">
        <f>-'Project CAPEX'!L5*_xlfn.XLOOKUP('Project EPC'!$B5, 'Assumptions &amp; Inputs'!$F$26:$L$26, 'Assumptions &amp; Inputs'!$F$48:$L$48)</f>
        <v>0</v>
      </c>
      <c r="M5" s="743">
        <f>-'Project CAPEX'!M5*_xlfn.XLOOKUP('Project EPC'!$B5, 'Assumptions &amp; Inputs'!$F$26:$L$26, 'Assumptions &amp; Inputs'!$F$48:$L$48)</f>
        <v>0</v>
      </c>
      <c r="N5" s="743">
        <f>-'Project CAPEX'!N5*_xlfn.XLOOKUP('Project EPC'!$B5, 'Assumptions &amp; Inputs'!$F$26:$L$26, 'Assumptions &amp; Inputs'!$F$48:$L$48)</f>
        <v>0</v>
      </c>
      <c r="O5" s="743">
        <f>-'Project CAPEX'!O5*_xlfn.XLOOKUP('Project EPC'!$B5, 'Assumptions &amp; Inputs'!$F$26:$L$26, 'Assumptions &amp; Inputs'!$F$48:$L$48)</f>
        <v>0</v>
      </c>
      <c r="P5" s="743">
        <f>-'Project CAPEX'!P5*_xlfn.XLOOKUP('Project EPC'!$B5, 'Assumptions &amp; Inputs'!$F$26:$L$26, 'Assumptions &amp; Inputs'!$F$48:$L$48)</f>
        <v>0</v>
      </c>
      <c r="Q5" s="743">
        <f>-'Project CAPEX'!Q5*_xlfn.XLOOKUP('Project EPC'!$B5, 'Assumptions &amp; Inputs'!$F$26:$L$26, 'Assumptions &amp; Inputs'!$F$48:$L$48)</f>
        <v>0</v>
      </c>
      <c r="R5" s="743">
        <f>-'Project CAPEX'!R5*_xlfn.XLOOKUP('Project EPC'!$B5, 'Assumptions &amp; Inputs'!$F$26:$L$26, 'Assumptions &amp; Inputs'!$F$48:$L$48)</f>
        <v>0</v>
      </c>
      <c r="S5" s="743">
        <f>-'Project CAPEX'!S5*_xlfn.XLOOKUP('Project EPC'!$B5, 'Assumptions &amp; Inputs'!$F$26:$L$26, 'Assumptions &amp; Inputs'!$F$48:$L$48)</f>
        <v>0</v>
      </c>
      <c r="T5" s="743">
        <f>-'Project CAPEX'!T5*_xlfn.XLOOKUP('Project EPC'!$B5, 'Assumptions &amp; Inputs'!$F$26:$L$26, 'Assumptions &amp; Inputs'!$F$48:$L$48)</f>
        <v>0</v>
      </c>
    </row>
    <row r="6" spans="1:111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_xlfn.XLOOKUP(A6, 'Project Master Sheet'!A:A, 'Project Master Sheet'!I:I)</f>
        <v>0</v>
      </c>
      <c r="E6" s="743">
        <f>-'Project CAPEX'!E6*_xlfn.XLOOKUP('Project EPC'!$B6, 'Assumptions &amp; Inputs'!$F$26:$L$26, 'Assumptions &amp; Inputs'!$F$48:$L$48)</f>
        <v>5.15625</v>
      </c>
      <c r="F6" s="743">
        <f>-'Project CAPEX'!F6*_xlfn.XLOOKUP('Project EPC'!$B6, 'Assumptions &amp; Inputs'!$F$26:$L$26, 'Assumptions &amp; Inputs'!$F$48:$L$48)</f>
        <v>0.46875</v>
      </c>
      <c r="G6" s="743">
        <f>-'Project CAPEX'!G6*_xlfn.XLOOKUP('Project EPC'!$B6, 'Assumptions &amp; Inputs'!$F$26:$L$26, 'Assumptions &amp; Inputs'!$F$48:$L$48)</f>
        <v>0</v>
      </c>
      <c r="H6" s="743">
        <f>-'Project CAPEX'!H6*_xlfn.XLOOKUP('Project EPC'!$B6, 'Assumptions &amp; Inputs'!$F$26:$L$26, 'Assumptions &amp; Inputs'!$F$48:$L$48)</f>
        <v>0</v>
      </c>
      <c r="I6" s="743">
        <f>-'Project CAPEX'!I6*_xlfn.XLOOKUP('Project EPC'!$B6, 'Assumptions &amp; Inputs'!$F$26:$L$26, 'Assumptions &amp; Inputs'!$F$48:$L$48)</f>
        <v>0</v>
      </c>
      <c r="J6" s="743">
        <f>-'Project CAPEX'!J6*_xlfn.XLOOKUP('Project EPC'!$B6, 'Assumptions &amp; Inputs'!$F$26:$L$26, 'Assumptions &amp; Inputs'!$F$48:$L$48)</f>
        <v>0</v>
      </c>
      <c r="K6" s="743">
        <f>-'Project CAPEX'!K6*_xlfn.XLOOKUP('Project EPC'!$B6, 'Assumptions &amp; Inputs'!$F$26:$L$26, 'Assumptions &amp; Inputs'!$F$48:$L$48)</f>
        <v>0</v>
      </c>
      <c r="L6" s="743">
        <f>-'Project CAPEX'!L6*_xlfn.XLOOKUP('Project EPC'!$B6, 'Assumptions &amp; Inputs'!$F$26:$L$26, 'Assumptions &amp; Inputs'!$F$48:$L$48)</f>
        <v>0</v>
      </c>
      <c r="M6" s="743">
        <f>-'Project CAPEX'!M6*_xlfn.XLOOKUP('Project EPC'!$B6, 'Assumptions &amp; Inputs'!$F$26:$L$26, 'Assumptions &amp; Inputs'!$F$48:$L$48)</f>
        <v>0</v>
      </c>
      <c r="N6" s="743">
        <f>-'Project CAPEX'!N6*_xlfn.XLOOKUP('Project EPC'!$B6, 'Assumptions &amp; Inputs'!$F$26:$L$26, 'Assumptions &amp; Inputs'!$F$48:$L$48)</f>
        <v>0</v>
      </c>
      <c r="O6" s="743">
        <f>-'Project CAPEX'!O6*_xlfn.XLOOKUP('Project EPC'!$B6, 'Assumptions &amp; Inputs'!$F$26:$L$26, 'Assumptions &amp; Inputs'!$F$48:$L$48)</f>
        <v>0</v>
      </c>
      <c r="P6" s="743">
        <f>-'Project CAPEX'!P6*_xlfn.XLOOKUP('Project EPC'!$B6, 'Assumptions &amp; Inputs'!$F$26:$L$26, 'Assumptions &amp; Inputs'!$F$48:$L$48)</f>
        <v>0</v>
      </c>
      <c r="Q6" s="743">
        <f>-'Project CAPEX'!Q6*_xlfn.XLOOKUP('Project EPC'!$B6, 'Assumptions &amp; Inputs'!$F$26:$L$26, 'Assumptions &amp; Inputs'!$F$48:$L$48)</f>
        <v>0</v>
      </c>
      <c r="R6" s="743">
        <f>-'Project CAPEX'!R6*_xlfn.XLOOKUP('Project EPC'!$B6, 'Assumptions &amp; Inputs'!$F$26:$L$26, 'Assumptions &amp; Inputs'!$F$48:$L$48)</f>
        <v>0</v>
      </c>
      <c r="S6" s="743">
        <f>-'Project CAPEX'!S6*_xlfn.XLOOKUP('Project EPC'!$B6, 'Assumptions &amp; Inputs'!$F$26:$L$26, 'Assumptions &amp; Inputs'!$F$48:$L$48)</f>
        <v>0</v>
      </c>
      <c r="T6" s="743">
        <f>-'Project CAPEX'!T6*_xlfn.XLOOKUP('Project EPC'!$B6, 'Assumptions &amp; Inputs'!$F$26:$L$26, 'Assumptions &amp; Inputs'!$F$48:$L$48)</f>
        <v>0</v>
      </c>
    </row>
    <row r="7" spans="1:111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_xlfn.XLOOKUP(A7, 'Project Master Sheet'!A:A, 'Project Master Sheet'!I:I)</f>
        <v>0</v>
      </c>
      <c r="E7" s="743">
        <f>-'Project CAPEX'!E7*_xlfn.XLOOKUP('Project EPC'!$B7, 'Assumptions &amp; Inputs'!$F$26:$L$26, 'Assumptions &amp; Inputs'!$F$48:$L$48)</f>
        <v>2.5666666666666669</v>
      </c>
      <c r="F7" s="743">
        <f>-'Project CAPEX'!F7*_xlfn.XLOOKUP('Project EPC'!$B7, 'Assumptions &amp; Inputs'!$F$26:$L$26, 'Assumptions &amp; Inputs'!$F$48:$L$48)</f>
        <v>1.6333333333333333</v>
      </c>
      <c r="G7" s="743">
        <f>-'Project CAPEX'!G7*_xlfn.XLOOKUP('Project EPC'!$B7, 'Assumptions &amp; Inputs'!$F$26:$L$26, 'Assumptions &amp; Inputs'!$F$48:$L$48)</f>
        <v>0</v>
      </c>
      <c r="H7" s="743">
        <f>-'Project CAPEX'!H7*_xlfn.XLOOKUP('Project EPC'!$B7, 'Assumptions &amp; Inputs'!$F$26:$L$26, 'Assumptions &amp; Inputs'!$F$48:$L$48)</f>
        <v>0</v>
      </c>
      <c r="I7" s="743">
        <f>-'Project CAPEX'!I7*_xlfn.XLOOKUP('Project EPC'!$B7, 'Assumptions &amp; Inputs'!$F$26:$L$26, 'Assumptions &amp; Inputs'!$F$48:$L$48)</f>
        <v>0</v>
      </c>
      <c r="J7" s="743">
        <f>-'Project CAPEX'!J7*_xlfn.XLOOKUP('Project EPC'!$B7, 'Assumptions &amp; Inputs'!$F$26:$L$26, 'Assumptions &amp; Inputs'!$F$48:$L$48)</f>
        <v>0</v>
      </c>
      <c r="K7" s="743">
        <f>-'Project CAPEX'!K7*_xlfn.XLOOKUP('Project EPC'!$B7, 'Assumptions &amp; Inputs'!$F$26:$L$26, 'Assumptions &amp; Inputs'!$F$48:$L$48)</f>
        <v>0</v>
      </c>
      <c r="L7" s="743">
        <f>-'Project CAPEX'!L7*_xlfn.XLOOKUP('Project EPC'!$B7, 'Assumptions &amp; Inputs'!$F$26:$L$26, 'Assumptions &amp; Inputs'!$F$48:$L$48)</f>
        <v>0</v>
      </c>
      <c r="M7" s="743">
        <f>-'Project CAPEX'!M7*_xlfn.XLOOKUP('Project EPC'!$B7, 'Assumptions &amp; Inputs'!$F$26:$L$26, 'Assumptions &amp; Inputs'!$F$48:$L$48)</f>
        <v>0</v>
      </c>
      <c r="N7" s="743">
        <f>-'Project CAPEX'!N7*_xlfn.XLOOKUP('Project EPC'!$B7, 'Assumptions &amp; Inputs'!$F$26:$L$26, 'Assumptions &amp; Inputs'!$F$48:$L$48)</f>
        <v>0</v>
      </c>
      <c r="O7" s="743">
        <f>-'Project CAPEX'!O7*_xlfn.XLOOKUP('Project EPC'!$B7, 'Assumptions &amp; Inputs'!$F$26:$L$26, 'Assumptions &amp; Inputs'!$F$48:$L$48)</f>
        <v>0</v>
      </c>
      <c r="P7" s="743">
        <f>-'Project CAPEX'!P7*_xlfn.XLOOKUP('Project EPC'!$B7, 'Assumptions &amp; Inputs'!$F$26:$L$26, 'Assumptions &amp; Inputs'!$F$48:$L$48)</f>
        <v>0</v>
      </c>
      <c r="Q7" s="743">
        <f>-'Project CAPEX'!Q7*_xlfn.XLOOKUP('Project EPC'!$B7, 'Assumptions &amp; Inputs'!$F$26:$L$26, 'Assumptions &amp; Inputs'!$F$48:$L$48)</f>
        <v>0</v>
      </c>
      <c r="R7" s="743">
        <f>-'Project CAPEX'!R7*_xlfn.XLOOKUP('Project EPC'!$B7, 'Assumptions &amp; Inputs'!$F$26:$L$26, 'Assumptions &amp; Inputs'!$F$48:$L$48)</f>
        <v>0</v>
      </c>
      <c r="S7" s="743">
        <f>-'Project CAPEX'!S7*_xlfn.XLOOKUP('Project EPC'!$B7, 'Assumptions &amp; Inputs'!$F$26:$L$26, 'Assumptions &amp; Inputs'!$F$48:$L$48)</f>
        <v>0</v>
      </c>
      <c r="T7" s="743">
        <f>-'Project CAPEX'!T7*_xlfn.XLOOKUP('Project EPC'!$B7, 'Assumptions &amp; Inputs'!$F$26:$L$26, 'Assumptions &amp; Inputs'!$F$48:$L$48)</f>
        <v>0</v>
      </c>
    </row>
    <row r="8" spans="1:111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_xlfn.XLOOKUP(A8, 'Project Master Sheet'!A:A, 'Project Master Sheet'!I:I)</f>
        <v>#N/A</v>
      </c>
      <c r="E8" s="743" t="e">
        <f>-'Project CAPEX'!E8*_xlfn.XLOOKUP('Project EPC'!$B8, 'Assumptions &amp; Inputs'!$F$26:$L$26, 'Assumptions &amp; Inputs'!$F$48:$L$48)</f>
        <v>#N/A</v>
      </c>
      <c r="F8" s="743" t="e">
        <f>-'Project CAPEX'!F8*_xlfn.XLOOKUP('Project EPC'!$B8, 'Assumptions &amp; Inputs'!$F$26:$L$26, 'Assumptions &amp; Inputs'!$F$48:$L$48)</f>
        <v>#N/A</v>
      </c>
      <c r="G8" s="743" t="e">
        <f>-'Project CAPEX'!G8*_xlfn.XLOOKUP('Project EPC'!$B8, 'Assumptions &amp; Inputs'!$F$26:$L$26, 'Assumptions &amp; Inputs'!$F$48:$L$48)</f>
        <v>#N/A</v>
      </c>
      <c r="H8" s="743" t="e">
        <f>-'Project CAPEX'!H8*_xlfn.XLOOKUP('Project EPC'!$B8, 'Assumptions &amp; Inputs'!$F$26:$L$26, 'Assumptions &amp; Inputs'!$F$48:$L$48)</f>
        <v>#N/A</v>
      </c>
      <c r="I8" s="743" t="e">
        <f>-'Project CAPEX'!I8*_xlfn.XLOOKUP('Project EPC'!$B8, 'Assumptions &amp; Inputs'!$F$26:$L$26, 'Assumptions &amp; Inputs'!$F$48:$L$48)</f>
        <v>#N/A</v>
      </c>
      <c r="J8" s="743" t="e">
        <f>-'Project CAPEX'!J8*_xlfn.XLOOKUP('Project EPC'!$B8, 'Assumptions &amp; Inputs'!$F$26:$L$26, 'Assumptions &amp; Inputs'!$F$48:$L$48)</f>
        <v>#N/A</v>
      </c>
      <c r="K8" s="743" t="e">
        <f>-'Project CAPEX'!K8*_xlfn.XLOOKUP('Project EPC'!$B8, 'Assumptions &amp; Inputs'!$F$26:$L$26, 'Assumptions &amp; Inputs'!$F$48:$L$48)</f>
        <v>#N/A</v>
      </c>
      <c r="L8" s="743" t="e">
        <f>-'Project CAPEX'!L8*_xlfn.XLOOKUP('Project EPC'!$B8, 'Assumptions &amp; Inputs'!$F$26:$L$26, 'Assumptions &amp; Inputs'!$F$48:$L$48)</f>
        <v>#N/A</v>
      </c>
      <c r="M8" s="743" t="e">
        <f>-'Project CAPEX'!M8*_xlfn.XLOOKUP('Project EPC'!$B8, 'Assumptions &amp; Inputs'!$F$26:$L$26, 'Assumptions &amp; Inputs'!$F$48:$L$48)</f>
        <v>#N/A</v>
      </c>
      <c r="N8" s="743" t="e">
        <f>-'Project CAPEX'!N8*_xlfn.XLOOKUP('Project EPC'!$B8, 'Assumptions &amp; Inputs'!$F$26:$L$26, 'Assumptions &amp; Inputs'!$F$48:$L$48)</f>
        <v>#N/A</v>
      </c>
      <c r="O8" s="743" t="e">
        <f>-'Project CAPEX'!O8*_xlfn.XLOOKUP('Project EPC'!$B8, 'Assumptions &amp; Inputs'!$F$26:$L$26, 'Assumptions &amp; Inputs'!$F$48:$L$48)</f>
        <v>#N/A</v>
      </c>
      <c r="P8" s="743" t="e">
        <f>-'Project CAPEX'!P8*_xlfn.XLOOKUP('Project EPC'!$B8, 'Assumptions &amp; Inputs'!$F$26:$L$26, 'Assumptions &amp; Inputs'!$F$48:$L$48)</f>
        <v>#N/A</v>
      </c>
      <c r="Q8" s="743" t="e">
        <f>-'Project CAPEX'!Q8*_xlfn.XLOOKUP('Project EPC'!$B8, 'Assumptions &amp; Inputs'!$F$26:$L$26, 'Assumptions &amp; Inputs'!$F$48:$L$48)</f>
        <v>#N/A</v>
      </c>
      <c r="R8" s="743" t="e">
        <f>-'Project CAPEX'!R8*_xlfn.XLOOKUP('Project EPC'!$B8, 'Assumptions &amp; Inputs'!$F$26:$L$26, 'Assumptions &amp; Inputs'!$F$48:$L$48)</f>
        <v>#N/A</v>
      </c>
      <c r="S8" s="743" t="e">
        <f>-'Project CAPEX'!S8*_xlfn.XLOOKUP('Project EPC'!$B8, 'Assumptions &amp; Inputs'!$F$26:$L$26, 'Assumptions &amp; Inputs'!$F$48:$L$48)</f>
        <v>#N/A</v>
      </c>
      <c r="T8" s="743" t="e">
        <f>-'Project CAPEX'!T8*_xlfn.XLOOKUP('Project EPC'!$B8, 'Assumptions &amp; Inputs'!$F$26:$L$26, 'Assumptions &amp; Inputs'!$F$48:$L$48)</f>
        <v>#N/A</v>
      </c>
    </row>
    <row r="9" spans="1:111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_xlfn.XLOOKUP(A9, 'Project Master Sheet'!A:A, 'Project Master Sheet'!I:I)</f>
        <v>1</v>
      </c>
      <c r="E9" s="743">
        <f>-'Project CAPEX'!E9*_xlfn.XLOOKUP('Project EPC'!$B9, 'Assumptions &amp; Inputs'!$F$26:$L$26, 'Assumptions &amp; Inputs'!$F$48:$L$48)</f>
        <v>0</v>
      </c>
      <c r="F9" s="743">
        <f>-'Project CAPEX'!F9*_xlfn.XLOOKUP('Project EPC'!$B9, 'Assumptions &amp; Inputs'!$F$26:$L$26, 'Assumptions &amp; Inputs'!$F$48:$L$48)</f>
        <v>1.6805555555555558</v>
      </c>
      <c r="G9" s="743">
        <f>-'Project CAPEX'!G9*_xlfn.XLOOKUP('Project EPC'!$B9, 'Assumptions &amp; Inputs'!$F$26:$L$26, 'Assumptions &amp; Inputs'!$F$48:$L$48)</f>
        <v>1.8333333333333333</v>
      </c>
      <c r="H9" s="743">
        <f>-'Project CAPEX'!H9*_xlfn.XLOOKUP('Project EPC'!$B9, 'Assumptions &amp; Inputs'!$F$26:$L$26, 'Assumptions &amp; Inputs'!$F$48:$L$48)</f>
        <v>1.8333333333333333</v>
      </c>
      <c r="I9" s="743">
        <f>-'Project CAPEX'!I9*_xlfn.XLOOKUP('Project EPC'!$B9, 'Assumptions &amp; Inputs'!$F$26:$L$26, 'Assumptions &amp; Inputs'!$F$48:$L$48)</f>
        <v>0.15277777777777779</v>
      </c>
      <c r="J9" s="743">
        <f>-'Project CAPEX'!J9*_xlfn.XLOOKUP('Project EPC'!$B9, 'Assumptions &amp; Inputs'!$F$26:$L$26, 'Assumptions &amp; Inputs'!$F$48:$L$48)</f>
        <v>0</v>
      </c>
      <c r="K9" s="743">
        <f>-'Project CAPEX'!K9*_xlfn.XLOOKUP('Project EPC'!$B9, 'Assumptions &amp; Inputs'!$F$26:$L$26, 'Assumptions &amp; Inputs'!$F$48:$L$48)</f>
        <v>0</v>
      </c>
      <c r="L9" s="743">
        <f>-'Project CAPEX'!L9*_xlfn.XLOOKUP('Project EPC'!$B9, 'Assumptions &amp; Inputs'!$F$26:$L$26, 'Assumptions &amp; Inputs'!$F$48:$L$48)</f>
        <v>0</v>
      </c>
      <c r="M9" s="743">
        <f>-'Project CAPEX'!M9*_xlfn.XLOOKUP('Project EPC'!$B9, 'Assumptions &amp; Inputs'!$F$26:$L$26, 'Assumptions &amp; Inputs'!$F$48:$L$48)</f>
        <v>0</v>
      </c>
      <c r="N9" s="743">
        <f>-'Project CAPEX'!N9*_xlfn.XLOOKUP('Project EPC'!$B9, 'Assumptions &amp; Inputs'!$F$26:$L$26, 'Assumptions &amp; Inputs'!$F$48:$L$48)</f>
        <v>0</v>
      </c>
      <c r="O9" s="743">
        <f>-'Project CAPEX'!O9*_xlfn.XLOOKUP('Project EPC'!$B9, 'Assumptions &amp; Inputs'!$F$26:$L$26, 'Assumptions &amp; Inputs'!$F$48:$L$48)</f>
        <v>0</v>
      </c>
      <c r="P9" s="743">
        <f>-'Project CAPEX'!P9*_xlfn.XLOOKUP('Project EPC'!$B9, 'Assumptions &amp; Inputs'!$F$26:$L$26, 'Assumptions &amp; Inputs'!$F$48:$L$48)</f>
        <v>0</v>
      </c>
      <c r="Q9" s="743">
        <f>-'Project CAPEX'!Q9*_xlfn.XLOOKUP('Project EPC'!$B9, 'Assumptions &amp; Inputs'!$F$26:$L$26, 'Assumptions &amp; Inputs'!$F$48:$L$48)</f>
        <v>0</v>
      </c>
      <c r="R9" s="743">
        <f>-'Project CAPEX'!R9*_xlfn.XLOOKUP('Project EPC'!$B9, 'Assumptions &amp; Inputs'!$F$26:$L$26, 'Assumptions &amp; Inputs'!$F$48:$L$48)</f>
        <v>0</v>
      </c>
      <c r="S9" s="743">
        <f>-'Project CAPEX'!S9*_xlfn.XLOOKUP('Project EPC'!$B9, 'Assumptions &amp; Inputs'!$F$26:$L$26, 'Assumptions &amp; Inputs'!$F$48:$L$48)</f>
        <v>0</v>
      </c>
      <c r="T9" s="743">
        <f>-'Project CAPEX'!T9*_xlfn.XLOOKUP('Project EPC'!$B9, 'Assumptions &amp; Inputs'!$F$26:$L$26, 'Assumptions &amp; Inputs'!$F$48:$L$48)</f>
        <v>0</v>
      </c>
    </row>
    <row r="10" spans="1:111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_xlfn.XLOOKUP(A10, 'Project Master Sheet'!A:A, 'Project Master Sheet'!I:I)</f>
        <v>#N/A</v>
      </c>
      <c r="E10" s="743" t="e">
        <f>-'Project CAPEX'!E10*_xlfn.XLOOKUP('Project EPC'!$B10, 'Assumptions &amp; Inputs'!$F$26:$L$26, 'Assumptions &amp; Inputs'!$F$48:$L$48)</f>
        <v>#N/A</v>
      </c>
      <c r="F10" s="743" t="e">
        <f>-'Project CAPEX'!F10*_xlfn.XLOOKUP('Project EPC'!$B10, 'Assumptions &amp; Inputs'!$F$26:$L$26, 'Assumptions &amp; Inputs'!$F$48:$L$48)</f>
        <v>#N/A</v>
      </c>
      <c r="G10" s="743" t="e">
        <f>-'Project CAPEX'!G10*_xlfn.XLOOKUP('Project EPC'!$B10, 'Assumptions &amp; Inputs'!$F$26:$L$26, 'Assumptions &amp; Inputs'!$F$48:$L$48)</f>
        <v>#N/A</v>
      </c>
      <c r="H10" s="743" t="e">
        <f>-'Project CAPEX'!H10*_xlfn.XLOOKUP('Project EPC'!$B10, 'Assumptions &amp; Inputs'!$F$26:$L$26, 'Assumptions &amp; Inputs'!$F$48:$L$48)</f>
        <v>#N/A</v>
      </c>
      <c r="I10" s="743" t="e">
        <f>-'Project CAPEX'!I10*_xlfn.XLOOKUP('Project EPC'!$B10, 'Assumptions &amp; Inputs'!$F$26:$L$26, 'Assumptions &amp; Inputs'!$F$48:$L$48)</f>
        <v>#N/A</v>
      </c>
      <c r="J10" s="743" t="e">
        <f>-'Project CAPEX'!J10*_xlfn.XLOOKUP('Project EPC'!$B10, 'Assumptions &amp; Inputs'!$F$26:$L$26, 'Assumptions &amp; Inputs'!$F$48:$L$48)</f>
        <v>#N/A</v>
      </c>
      <c r="K10" s="743" t="e">
        <f>-'Project CAPEX'!K10*_xlfn.XLOOKUP('Project EPC'!$B10, 'Assumptions &amp; Inputs'!$F$26:$L$26, 'Assumptions &amp; Inputs'!$F$48:$L$48)</f>
        <v>#N/A</v>
      </c>
      <c r="L10" s="743" t="e">
        <f>-'Project CAPEX'!L10*_xlfn.XLOOKUP('Project EPC'!$B10, 'Assumptions &amp; Inputs'!$F$26:$L$26, 'Assumptions &amp; Inputs'!$F$48:$L$48)</f>
        <v>#N/A</v>
      </c>
      <c r="M10" s="743" t="e">
        <f>-'Project CAPEX'!M10*_xlfn.XLOOKUP('Project EPC'!$B10, 'Assumptions &amp; Inputs'!$F$26:$L$26, 'Assumptions &amp; Inputs'!$F$48:$L$48)</f>
        <v>#N/A</v>
      </c>
      <c r="N10" s="743" t="e">
        <f>-'Project CAPEX'!N10*_xlfn.XLOOKUP('Project EPC'!$B10, 'Assumptions &amp; Inputs'!$F$26:$L$26, 'Assumptions &amp; Inputs'!$F$48:$L$48)</f>
        <v>#N/A</v>
      </c>
      <c r="O10" s="743" t="e">
        <f>-'Project CAPEX'!O10*_xlfn.XLOOKUP('Project EPC'!$B10, 'Assumptions &amp; Inputs'!$F$26:$L$26, 'Assumptions &amp; Inputs'!$F$48:$L$48)</f>
        <v>#N/A</v>
      </c>
      <c r="P10" s="743" t="e">
        <f>-'Project CAPEX'!P10*_xlfn.XLOOKUP('Project EPC'!$B10, 'Assumptions &amp; Inputs'!$F$26:$L$26, 'Assumptions &amp; Inputs'!$F$48:$L$48)</f>
        <v>#N/A</v>
      </c>
      <c r="Q10" s="743" t="e">
        <f>-'Project CAPEX'!Q10*_xlfn.XLOOKUP('Project EPC'!$B10, 'Assumptions &amp; Inputs'!$F$26:$L$26, 'Assumptions &amp; Inputs'!$F$48:$L$48)</f>
        <v>#N/A</v>
      </c>
      <c r="R10" s="743" t="e">
        <f>-'Project CAPEX'!R10*_xlfn.XLOOKUP('Project EPC'!$B10, 'Assumptions &amp; Inputs'!$F$26:$L$26, 'Assumptions &amp; Inputs'!$F$48:$L$48)</f>
        <v>#N/A</v>
      </c>
      <c r="S10" s="743" t="e">
        <f>-'Project CAPEX'!S10*_xlfn.XLOOKUP('Project EPC'!$B10, 'Assumptions &amp; Inputs'!$F$26:$L$26, 'Assumptions &amp; Inputs'!$F$48:$L$48)</f>
        <v>#N/A</v>
      </c>
      <c r="T10" s="743" t="e">
        <f>-'Project CAPEX'!T10*_xlfn.XLOOKUP('Project EPC'!$B10, 'Assumptions &amp; Inputs'!$F$26:$L$26, 'Assumptions &amp; Inputs'!$F$48:$L$48)</f>
        <v>#N/A</v>
      </c>
    </row>
    <row r="11" spans="1:111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_xlfn.XLOOKUP(A11, 'Project Master Sheet'!A:A, 'Project Master Sheet'!I:I)</f>
        <v>#N/A</v>
      </c>
      <c r="E11" s="743" t="e">
        <f>-'Project CAPEX'!E11*_xlfn.XLOOKUP('Project EPC'!$B11, 'Assumptions &amp; Inputs'!$F$26:$L$26, 'Assumptions &amp; Inputs'!$F$48:$L$48)</f>
        <v>#N/A</v>
      </c>
      <c r="F11" s="743" t="e">
        <f>-'Project CAPEX'!F11*_xlfn.XLOOKUP('Project EPC'!$B11, 'Assumptions &amp; Inputs'!$F$26:$L$26, 'Assumptions &amp; Inputs'!$F$48:$L$48)</f>
        <v>#N/A</v>
      </c>
      <c r="G11" s="743" t="e">
        <f>-'Project CAPEX'!G11*_xlfn.XLOOKUP('Project EPC'!$B11, 'Assumptions &amp; Inputs'!$F$26:$L$26, 'Assumptions &amp; Inputs'!$F$48:$L$48)</f>
        <v>#N/A</v>
      </c>
      <c r="H11" s="743" t="e">
        <f>-'Project CAPEX'!H11*_xlfn.XLOOKUP('Project EPC'!$B11, 'Assumptions &amp; Inputs'!$F$26:$L$26, 'Assumptions &amp; Inputs'!$F$48:$L$48)</f>
        <v>#N/A</v>
      </c>
      <c r="I11" s="743" t="e">
        <f>-'Project CAPEX'!I11*_xlfn.XLOOKUP('Project EPC'!$B11, 'Assumptions &amp; Inputs'!$F$26:$L$26, 'Assumptions &amp; Inputs'!$F$48:$L$48)</f>
        <v>#N/A</v>
      </c>
      <c r="J11" s="743" t="e">
        <f>-'Project CAPEX'!J11*_xlfn.XLOOKUP('Project EPC'!$B11, 'Assumptions &amp; Inputs'!$F$26:$L$26, 'Assumptions &amp; Inputs'!$F$48:$L$48)</f>
        <v>#N/A</v>
      </c>
      <c r="K11" s="743" t="e">
        <f>-'Project CAPEX'!K11*_xlfn.XLOOKUP('Project EPC'!$B11, 'Assumptions &amp; Inputs'!$F$26:$L$26, 'Assumptions &amp; Inputs'!$F$48:$L$48)</f>
        <v>#N/A</v>
      </c>
      <c r="L11" s="743" t="e">
        <f>-'Project CAPEX'!L11*_xlfn.XLOOKUP('Project EPC'!$B11, 'Assumptions &amp; Inputs'!$F$26:$L$26, 'Assumptions &amp; Inputs'!$F$48:$L$48)</f>
        <v>#N/A</v>
      </c>
      <c r="M11" s="743" t="e">
        <f>-'Project CAPEX'!M11*_xlfn.XLOOKUP('Project EPC'!$B11, 'Assumptions &amp; Inputs'!$F$26:$L$26, 'Assumptions &amp; Inputs'!$F$48:$L$48)</f>
        <v>#N/A</v>
      </c>
      <c r="N11" s="743" t="e">
        <f>-'Project CAPEX'!N11*_xlfn.XLOOKUP('Project EPC'!$B11, 'Assumptions &amp; Inputs'!$F$26:$L$26, 'Assumptions &amp; Inputs'!$F$48:$L$48)</f>
        <v>#N/A</v>
      </c>
      <c r="O11" s="743" t="e">
        <f>-'Project CAPEX'!O11*_xlfn.XLOOKUP('Project EPC'!$B11, 'Assumptions &amp; Inputs'!$F$26:$L$26, 'Assumptions &amp; Inputs'!$F$48:$L$48)</f>
        <v>#N/A</v>
      </c>
      <c r="P11" s="743" t="e">
        <f>-'Project CAPEX'!P11*_xlfn.XLOOKUP('Project EPC'!$B11, 'Assumptions &amp; Inputs'!$F$26:$L$26, 'Assumptions &amp; Inputs'!$F$48:$L$48)</f>
        <v>#N/A</v>
      </c>
      <c r="Q11" s="743" t="e">
        <f>-'Project CAPEX'!Q11*_xlfn.XLOOKUP('Project EPC'!$B11, 'Assumptions &amp; Inputs'!$F$26:$L$26, 'Assumptions &amp; Inputs'!$F$48:$L$48)</f>
        <v>#N/A</v>
      </c>
      <c r="R11" s="743" t="e">
        <f>-'Project CAPEX'!R11*_xlfn.XLOOKUP('Project EPC'!$B11, 'Assumptions &amp; Inputs'!$F$26:$L$26, 'Assumptions &amp; Inputs'!$F$48:$L$48)</f>
        <v>#N/A</v>
      </c>
      <c r="S11" s="743" t="e">
        <f>-'Project CAPEX'!S11*_xlfn.XLOOKUP('Project EPC'!$B11, 'Assumptions &amp; Inputs'!$F$26:$L$26, 'Assumptions &amp; Inputs'!$F$48:$L$48)</f>
        <v>#N/A</v>
      </c>
      <c r="T11" s="743" t="e">
        <f>-'Project CAPEX'!T11*_xlfn.XLOOKUP('Project EPC'!$B11, 'Assumptions &amp; Inputs'!$F$26:$L$26, 'Assumptions &amp; Inputs'!$F$48:$L$48)</f>
        <v>#N/A</v>
      </c>
    </row>
    <row r="12" spans="1:111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_xlfn.XLOOKUP(A12, 'Project Master Sheet'!A:A, 'Project Master Sheet'!I:I)</f>
        <v>#N/A</v>
      </c>
      <c r="E12" s="743" t="e">
        <f>-'Project CAPEX'!E12*_xlfn.XLOOKUP('Project EPC'!$B12, 'Assumptions &amp; Inputs'!$F$26:$L$26, 'Assumptions &amp; Inputs'!$F$48:$L$48)</f>
        <v>#N/A</v>
      </c>
      <c r="F12" s="743" t="e">
        <f>-'Project CAPEX'!F12*_xlfn.XLOOKUP('Project EPC'!$B12, 'Assumptions &amp; Inputs'!$F$26:$L$26, 'Assumptions &amp; Inputs'!$F$48:$L$48)</f>
        <v>#N/A</v>
      </c>
      <c r="G12" s="743" t="e">
        <f>-'Project CAPEX'!G12*_xlfn.XLOOKUP('Project EPC'!$B12, 'Assumptions &amp; Inputs'!$F$26:$L$26, 'Assumptions &amp; Inputs'!$F$48:$L$48)</f>
        <v>#N/A</v>
      </c>
      <c r="H12" s="743" t="e">
        <f>-'Project CAPEX'!H12*_xlfn.XLOOKUP('Project EPC'!$B12, 'Assumptions &amp; Inputs'!$F$26:$L$26, 'Assumptions &amp; Inputs'!$F$48:$L$48)</f>
        <v>#N/A</v>
      </c>
      <c r="I12" s="743" t="e">
        <f>-'Project CAPEX'!I12*_xlfn.XLOOKUP('Project EPC'!$B12, 'Assumptions &amp; Inputs'!$F$26:$L$26, 'Assumptions &amp; Inputs'!$F$48:$L$48)</f>
        <v>#N/A</v>
      </c>
      <c r="J12" s="743" t="e">
        <f>-'Project CAPEX'!J12*_xlfn.XLOOKUP('Project EPC'!$B12, 'Assumptions &amp; Inputs'!$F$26:$L$26, 'Assumptions &amp; Inputs'!$F$48:$L$48)</f>
        <v>#N/A</v>
      </c>
      <c r="K12" s="743" t="e">
        <f>-'Project CAPEX'!K12*_xlfn.XLOOKUP('Project EPC'!$B12, 'Assumptions &amp; Inputs'!$F$26:$L$26, 'Assumptions &amp; Inputs'!$F$48:$L$48)</f>
        <v>#N/A</v>
      </c>
      <c r="L12" s="743" t="e">
        <f>-'Project CAPEX'!L12*_xlfn.XLOOKUP('Project EPC'!$B12, 'Assumptions &amp; Inputs'!$F$26:$L$26, 'Assumptions &amp; Inputs'!$F$48:$L$48)</f>
        <v>#N/A</v>
      </c>
      <c r="M12" s="743" t="e">
        <f>-'Project CAPEX'!M12*_xlfn.XLOOKUP('Project EPC'!$B12, 'Assumptions &amp; Inputs'!$F$26:$L$26, 'Assumptions &amp; Inputs'!$F$48:$L$48)</f>
        <v>#N/A</v>
      </c>
      <c r="N12" s="743" t="e">
        <f>-'Project CAPEX'!N12*_xlfn.XLOOKUP('Project EPC'!$B12, 'Assumptions &amp; Inputs'!$F$26:$L$26, 'Assumptions &amp; Inputs'!$F$48:$L$48)</f>
        <v>#N/A</v>
      </c>
      <c r="O12" s="743" t="e">
        <f>-'Project CAPEX'!O12*_xlfn.XLOOKUP('Project EPC'!$B12, 'Assumptions &amp; Inputs'!$F$26:$L$26, 'Assumptions &amp; Inputs'!$F$48:$L$48)</f>
        <v>#N/A</v>
      </c>
      <c r="P12" s="743" t="e">
        <f>-'Project CAPEX'!P12*_xlfn.XLOOKUP('Project EPC'!$B12, 'Assumptions &amp; Inputs'!$F$26:$L$26, 'Assumptions &amp; Inputs'!$F$48:$L$48)</f>
        <v>#N/A</v>
      </c>
      <c r="Q12" s="743" t="e">
        <f>-'Project CAPEX'!Q12*_xlfn.XLOOKUP('Project EPC'!$B12, 'Assumptions &amp; Inputs'!$F$26:$L$26, 'Assumptions &amp; Inputs'!$F$48:$L$48)</f>
        <v>#N/A</v>
      </c>
      <c r="R12" s="743" t="e">
        <f>-'Project CAPEX'!R12*_xlfn.XLOOKUP('Project EPC'!$B12, 'Assumptions &amp; Inputs'!$F$26:$L$26, 'Assumptions &amp; Inputs'!$F$48:$L$48)</f>
        <v>#N/A</v>
      </c>
      <c r="S12" s="743" t="e">
        <f>-'Project CAPEX'!S12*_xlfn.XLOOKUP('Project EPC'!$B12, 'Assumptions &amp; Inputs'!$F$26:$L$26, 'Assumptions &amp; Inputs'!$F$48:$L$48)</f>
        <v>#N/A</v>
      </c>
      <c r="T12" s="743" t="e">
        <f>-'Project CAPEX'!T12*_xlfn.XLOOKUP('Project EPC'!$B12, 'Assumptions &amp; Inputs'!$F$26:$L$26, 'Assumptions &amp; Inputs'!$F$48:$L$48)</f>
        <v>#N/A</v>
      </c>
    </row>
    <row r="13" spans="1:111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_xlfn.XLOOKUP(A13, 'Project Master Sheet'!A:A, 'Project Master Sheet'!I:I)</f>
        <v>#N/A</v>
      </c>
      <c r="E13" s="743" t="e">
        <f>-'Project CAPEX'!E13*_xlfn.XLOOKUP('Project EPC'!$B13, 'Assumptions &amp; Inputs'!$F$26:$L$26, 'Assumptions &amp; Inputs'!$F$48:$L$48)</f>
        <v>#N/A</v>
      </c>
      <c r="F13" s="743" t="e">
        <f>-'Project CAPEX'!F13*_xlfn.XLOOKUP('Project EPC'!$B13, 'Assumptions &amp; Inputs'!$F$26:$L$26, 'Assumptions &amp; Inputs'!$F$48:$L$48)</f>
        <v>#N/A</v>
      </c>
      <c r="G13" s="743" t="e">
        <f>-'Project CAPEX'!G13*_xlfn.XLOOKUP('Project EPC'!$B13, 'Assumptions &amp; Inputs'!$F$26:$L$26, 'Assumptions &amp; Inputs'!$F$48:$L$48)</f>
        <v>#N/A</v>
      </c>
      <c r="H13" s="743" t="e">
        <f>-'Project CAPEX'!H13*_xlfn.XLOOKUP('Project EPC'!$B13, 'Assumptions &amp; Inputs'!$F$26:$L$26, 'Assumptions &amp; Inputs'!$F$48:$L$48)</f>
        <v>#N/A</v>
      </c>
      <c r="I13" s="743" t="e">
        <f>-'Project CAPEX'!I13*_xlfn.XLOOKUP('Project EPC'!$B13, 'Assumptions &amp; Inputs'!$F$26:$L$26, 'Assumptions &amp; Inputs'!$F$48:$L$48)</f>
        <v>#N/A</v>
      </c>
      <c r="J13" s="743" t="e">
        <f>-'Project CAPEX'!J13*_xlfn.XLOOKUP('Project EPC'!$B13, 'Assumptions &amp; Inputs'!$F$26:$L$26, 'Assumptions &amp; Inputs'!$F$48:$L$48)</f>
        <v>#N/A</v>
      </c>
      <c r="K13" s="743" t="e">
        <f>-'Project CAPEX'!K13*_xlfn.XLOOKUP('Project EPC'!$B13, 'Assumptions &amp; Inputs'!$F$26:$L$26, 'Assumptions &amp; Inputs'!$F$48:$L$48)</f>
        <v>#N/A</v>
      </c>
      <c r="L13" s="743" t="e">
        <f>-'Project CAPEX'!L13*_xlfn.XLOOKUP('Project EPC'!$B13, 'Assumptions &amp; Inputs'!$F$26:$L$26, 'Assumptions &amp; Inputs'!$F$48:$L$48)</f>
        <v>#N/A</v>
      </c>
      <c r="M13" s="743" t="e">
        <f>-'Project CAPEX'!M13*_xlfn.XLOOKUP('Project EPC'!$B13, 'Assumptions &amp; Inputs'!$F$26:$L$26, 'Assumptions &amp; Inputs'!$F$48:$L$48)</f>
        <v>#N/A</v>
      </c>
      <c r="N13" s="743" t="e">
        <f>-'Project CAPEX'!N13*_xlfn.XLOOKUP('Project EPC'!$B13, 'Assumptions &amp; Inputs'!$F$26:$L$26, 'Assumptions &amp; Inputs'!$F$48:$L$48)</f>
        <v>#N/A</v>
      </c>
      <c r="O13" s="743" t="e">
        <f>-'Project CAPEX'!O13*_xlfn.XLOOKUP('Project EPC'!$B13, 'Assumptions &amp; Inputs'!$F$26:$L$26, 'Assumptions &amp; Inputs'!$F$48:$L$48)</f>
        <v>#N/A</v>
      </c>
      <c r="P13" s="743" t="e">
        <f>-'Project CAPEX'!P13*_xlfn.XLOOKUP('Project EPC'!$B13, 'Assumptions &amp; Inputs'!$F$26:$L$26, 'Assumptions &amp; Inputs'!$F$48:$L$48)</f>
        <v>#N/A</v>
      </c>
      <c r="Q13" s="743" t="e">
        <f>-'Project CAPEX'!Q13*_xlfn.XLOOKUP('Project EPC'!$B13, 'Assumptions &amp; Inputs'!$F$26:$L$26, 'Assumptions &amp; Inputs'!$F$48:$L$48)</f>
        <v>#N/A</v>
      </c>
      <c r="R13" s="743" t="e">
        <f>-'Project CAPEX'!R13*_xlfn.XLOOKUP('Project EPC'!$B13, 'Assumptions &amp; Inputs'!$F$26:$L$26, 'Assumptions &amp; Inputs'!$F$48:$L$48)</f>
        <v>#N/A</v>
      </c>
      <c r="S13" s="743" t="e">
        <f>-'Project CAPEX'!S13*_xlfn.XLOOKUP('Project EPC'!$B13, 'Assumptions &amp; Inputs'!$F$26:$L$26, 'Assumptions &amp; Inputs'!$F$48:$L$48)</f>
        <v>#N/A</v>
      </c>
      <c r="T13" s="743" t="e">
        <f>-'Project CAPEX'!T13*_xlfn.XLOOKUP('Project EPC'!$B13, 'Assumptions &amp; Inputs'!$F$26:$L$26, 'Assumptions &amp; Inputs'!$F$48:$L$48)</f>
        <v>#N/A</v>
      </c>
    </row>
    <row r="14" spans="1:111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_xlfn.XLOOKUP(A14, 'Project Master Sheet'!A:A, 'Project Master Sheet'!I:I)</f>
        <v>#N/A</v>
      </c>
      <c r="E14" s="743" t="e">
        <f>-'Project CAPEX'!E14*_xlfn.XLOOKUP('Project EPC'!$B14, 'Assumptions &amp; Inputs'!$F$26:$L$26, 'Assumptions &amp; Inputs'!$F$48:$L$48)</f>
        <v>#N/A</v>
      </c>
      <c r="F14" s="743" t="e">
        <f>-'Project CAPEX'!F14*_xlfn.XLOOKUP('Project EPC'!$B14, 'Assumptions &amp; Inputs'!$F$26:$L$26, 'Assumptions &amp; Inputs'!$F$48:$L$48)</f>
        <v>#N/A</v>
      </c>
      <c r="G14" s="743" t="e">
        <f>-'Project CAPEX'!G14*_xlfn.XLOOKUP('Project EPC'!$B14, 'Assumptions &amp; Inputs'!$F$26:$L$26, 'Assumptions &amp; Inputs'!$F$48:$L$48)</f>
        <v>#N/A</v>
      </c>
      <c r="H14" s="743" t="e">
        <f>-'Project CAPEX'!H14*_xlfn.XLOOKUP('Project EPC'!$B14, 'Assumptions &amp; Inputs'!$F$26:$L$26, 'Assumptions &amp; Inputs'!$F$48:$L$48)</f>
        <v>#N/A</v>
      </c>
      <c r="I14" s="743" t="e">
        <f>-'Project CAPEX'!I14*_xlfn.XLOOKUP('Project EPC'!$B14, 'Assumptions &amp; Inputs'!$F$26:$L$26, 'Assumptions &amp; Inputs'!$F$48:$L$48)</f>
        <v>#N/A</v>
      </c>
      <c r="J14" s="743" t="e">
        <f>-'Project CAPEX'!J14*_xlfn.XLOOKUP('Project EPC'!$B14, 'Assumptions &amp; Inputs'!$F$26:$L$26, 'Assumptions &amp; Inputs'!$F$48:$L$48)</f>
        <v>#N/A</v>
      </c>
      <c r="K14" s="743" t="e">
        <f>-'Project CAPEX'!K14*_xlfn.XLOOKUP('Project EPC'!$B14, 'Assumptions &amp; Inputs'!$F$26:$L$26, 'Assumptions &amp; Inputs'!$F$48:$L$48)</f>
        <v>#N/A</v>
      </c>
      <c r="L14" s="743" t="e">
        <f>-'Project CAPEX'!L14*_xlfn.XLOOKUP('Project EPC'!$B14, 'Assumptions &amp; Inputs'!$F$26:$L$26, 'Assumptions &amp; Inputs'!$F$48:$L$48)</f>
        <v>#N/A</v>
      </c>
      <c r="M14" s="743" t="e">
        <f>-'Project CAPEX'!M14*_xlfn.XLOOKUP('Project EPC'!$B14, 'Assumptions &amp; Inputs'!$F$26:$L$26, 'Assumptions &amp; Inputs'!$F$48:$L$48)</f>
        <v>#N/A</v>
      </c>
      <c r="N14" s="743" t="e">
        <f>-'Project CAPEX'!N14*_xlfn.XLOOKUP('Project EPC'!$B14, 'Assumptions &amp; Inputs'!$F$26:$L$26, 'Assumptions &amp; Inputs'!$F$48:$L$48)</f>
        <v>#N/A</v>
      </c>
      <c r="O14" s="743" t="e">
        <f>-'Project CAPEX'!O14*_xlfn.XLOOKUP('Project EPC'!$B14, 'Assumptions &amp; Inputs'!$F$26:$L$26, 'Assumptions &amp; Inputs'!$F$48:$L$48)</f>
        <v>#N/A</v>
      </c>
      <c r="P14" s="743" t="e">
        <f>-'Project CAPEX'!P14*_xlfn.XLOOKUP('Project EPC'!$B14, 'Assumptions &amp; Inputs'!$F$26:$L$26, 'Assumptions &amp; Inputs'!$F$48:$L$48)</f>
        <v>#N/A</v>
      </c>
      <c r="Q14" s="743" t="e">
        <f>-'Project CAPEX'!Q14*_xlfn.XLOOKUP('Project EPC'!$B14, 'Assumptions &amp; Inputs'!$F$26:$L$26, 'Assumptions &amp; Inputs'!$F$48:$L$48)</f>
        <v>#N/A</v>
      </c>
      <c r="R14" s="743" t="e">
        <f>-'Project CAPEX'!R14*_xlfn.XLOOKUP('Project EPC'!$B14, 'Assumptions &amp; Inputs'!$F$26:$L$26, 'Assumptions &amp; Inputs'!$F$48:$L$48)</f>
        <v>#N/A</v>
      </c>
      <c r="S14" s="743" t="e">
        <f>-'Project CAPEX'!S14*_xlfn.XLOOKUP('Project EPC'!$B14, 'Assumptions &amp; Inputs'!$F$26:$L$26, 'Assumptions &amp; Inputs'!$F$48:$L$48)</f>
        <v>#N/A</v>
      </c>
      <c r="T14" s="743" t="e">
        <f>-'Project CAPEX'!T14*_xlfn.XLOOKUP('Project EPC'!$B14, 'Assumptions &amp; Inputs'!$F$26:$L$26, 'Assumptions &amp; Inputs'!$F$48:$L$48)</f>
        <v>#N/A</v>
      </c>
    </row>
    <row r="15" spans="1:111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_xlfn.XLOOKUP(A15, 'Project Master Sheet'!A:A, 'Project Master Sheet'!I:I)</f>
        <v>#N/A</v>
      </c>
      <c r="E15" s="743" t="e">
        <f>-'Project CAPEX'!E15*_xlfn.XLOOKUP('Project EPC'!$B15, 'Assumptions &amp; Inputs'!$F$26:$L$26, 'Assumptions &amp; Inputs'!$F$48:$L$48)</f>
        <v>#N/A</v>
      </c>
      <c r="F15" s="743" t="e">
        <f>-'Project CAPEX'!F15*_xlfn.XLOOKUP('Project EPC'!$B15, 'Assumptions &amp; Inputs'!$F$26:$L$26, 'Assumptions &amp; Inputs'!$F$48:$L$48)</f>
        <v>#N/A</v>
      </c>
      <c r="G15" s="743" t="e">
        <f>-'Project CAPEX'!G15*_xlfn.XLOOKUP('Project EPC'!$B15, 'Assumptions &amp; Inputs'!$F$26:$L$26, 'Assumptions &amp; Inputs'!$F$48:$L$48)</f>
        <v>#N/A</v>
      </c>
      <c r="H15" s="743" t="e">
        <f>-'Project CAPEX'!H15*_xlfn.XLOOKUP('Project EPC'!$B15, 'Assumptions &amp; Inputs'!$F$26:$L$26, 'Assumptions &amp; Inputs'!$F$48:$L$48)</f>
        <v>#N/A</v>
      </c>
      <c r="I15" s="743" t="e">
        <f>-'Project CAPEX'!I15*_xlfn.XLOOKUP('Project EPC'!$B15, 'Assumptions &amp; Inputs'!$F$26:$L$26, 'Assumptions &amp; Inputs'!$F$48:$L$48)</f>
        <v>#N/A</v>
      </c>
      <c r="J15" s="743" t="e">
        <f>-'Project CAPEX'!J15*_xlfn.XLOOKUP('Project EPC'!$B15, 'Assumptions &amp; Inputs'!$F$26:$L$26, 'Assumptions &amp; Inputs'!$F$48:$L$48)</f>
        <v>#N/A</v>
      </c>
      <c r="K15" s="743" t="e">
        <f>-'Project CAPEX'!K15*_xlfn.XLOOKUP('Project EPC'!$B15, 'Assumptions &amp; Inputs'!$F$26:$L$26, 'Assumptions &amp; Inputs'!$F$48:$L$48)</f>
        <v>#N/A</v>
      </c>
      <c r="L15" s="743" t="e">
        <f>-'Project CAPEX'!L15*_xlfn.XLOOKUP('Project EPC'!$B15, 'Assumptions &amp; Inputs'!$F$26:$L$26, 'Assumptions &amp; Inputs'!$F$48:$L$48)</f>
        <v>#N/A</v>
      </c>
      <c r="M15" s="743" t="e">
        <f>-'Project CAPEX'!M15*_xlfn.XLOOKUP('Project EPC'!$B15, 'Assumptions &amp; Inputs'!$F$26:$L$26, 'Assumptions &amp; Inputs'!$F$48:$L$48)</f>
        <v>#N/A</v>
      </c>
      <c r="N15" s="743" t="e">
        <f>-'Project CAPEX'!N15*_xlfn.XLOOKUP('Project EPC'!$B15, 'Assumptions &amp; Inputs'!$F$26:$L$26, 'Assumptions &amp; Inputs'!$F$48:$L$48)</f>
        <v>#N/A</v>
      </c>
      <c r="O15" s="743" t="e">
        <f>-'Project CAPEX'!O15*_xlfn.XLOOKUP('Project EPC'!$B15, 'Assumptions &amp; Inputs'!$F$26:$L$26, 'Assumptions &amp; Inputs'!$F$48:$L$48)</f>
        <v>#N/A</v>
      </c>
      <c r="P15" s="743" t="e">
        <f>-'Project CAPEX'!P15*_xlfn.XLOOKUP('Project EPC'!$B15, 'Assumptions &amp; Inputs'!$F$26:$L$26, 'Assumptions &amp; Inputs'!$F$48:$L$48)</f>
        <v>#N/A</v>
      </c>
      <c r="Q15" s="743" t="e">
        <f>-'Project CAPEX'!Q15*_xlfn.XLOOKUP('Project EPC'!$B15, 'Assumptions &amp; Inputs'!$F$26:$L$26, 'Assumptions &amp; Inputs'!$F$48:$L$48)</f>
        <v>#N/A</v>
      </c>
      <c r="R15" s="743" t="e">
        <f>-'Project CAPEX'!R15*_xlfn.XLOOKUP('Project EPC'!$B15, 'Assumptions &amp; Inputs'!$F$26:$L$26, 'Assumptions &amp; Inputs'!$F$48:$L$48)</f>
        <v>#N/A</v>
      </c>
      <c r="S15" s="743" t="e">
        <f>-'Project CAPEX'!S15*_xlfn.XLOOKUP('Project EPC'!$B15, 'Assumptions &amp; Inputs'!$F$26:$L$26, 'Assumptions &amp; Inputs'!$F$48:$L$48)</f>
        <v>#N/A</v>
      </c>
      <c r="T15" s="743" t="e">
        <f>-'Project CAPEX'!T15*_xlfn.XLOOKUP('Project EPC'!$B15, 'Assumptions &amp; Inputs'!$F$26:$L$26, 'Assumptions &amp; Inputs'!$F$48:$L$48)</f>
        <v>#N/A</v>
      </c>
    </row>
    <row r="16" spans="1:111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_xlfn.XLOOKUP(A16, 'Project Master Sheet'!A:A, 'Project Master Sheet'!I:I)</f>
        <v>#N/A</v>
      </c>
      <c r="E16" s="743" t="e">
        <f>-'Project CAPEX'!E16*_xlfn.XLOOKUP('Project EPC'!$B16, 'Assumptions &amp; Inputs'!$F$26:$L$26, 'Assumptions &amp; Inputs'!$F$48:$L$48)</f>
        <v>#N/A</v>
      </c>
      <c r="F16" s="743" t="e">
        <f>-'Project CAPEX'!F16*_xlfn.XLOOKUP('Project EPC'!$B16, 'Assumptions &amp; Inputs'!$F$26:$L$26, 'Assumptions &amp; Inputs'!$F$48:$L$48)</f>
        <v>#N/A</v>
      </c>
      <c r="G16" s="743" t="e">
        <f>-'Project CAPEX'!G16*_xlfn.XLOOKUP('Project EPC'!$B16, 'Assumptions &amp; Inputs'!$F$26:$L$26, 'Assumptions &amp; Inputs'!$F$48:$L$48)</f>
        <v>#N/A</v>
      </c>
      <c r="H16" s="743" t="e">
        <f>-'Project CAPEX'!H16*_xlfn.XLOOKUP('Project EPC'!$B16, 'Assumptions &amp; Inputs'!$F$26:$L$26, 'Assumptions &amp; Inputs'!$F$48:$L$48)</f>
        <v>#N/A</v>
      </c>
      <c r="I16" s="743" t="e">
        <f>-'Project CAPEX'!I16*_xlfn.XLOOKUP('Project EPC'!$B16, 'Assumptions &amp; Inputs'!$F$26:$L$26, 'Assumptions &amp; Inputs'!$F$48:$L$48)</f>
        <v>#N/A</v>
      </c>
      <c r="J16" s="743" t="e">
        <f>-'Project CAPEX'!J16*_xlfn.XLOOKUP('Project EPC'!$B16, 'Assumptions &amp; Inputs'!$F$26:$L$26, 'Assumptions &amp; Inputs'!$F$48:$L$48)</f>
        <v>#N/A</v>
      </c>
      <c r="K16" s="743" t="e">
        <f>-'Project CAPEX'!K16*_xlfn.XLOOKUP('Project EPC'!$B16, 'Assumptions &amp; Inputs'!$F$26:$L$26, 'Assumptions &amp; Inputs'!$F$48:$L$48)</f>
        <v>#N/A</v>
      </c>
      <c r="L16" s="743" t="e">
        <f>-'Project CAPEX'!L16*_xlfn.XLOOKUP('Project EPC'!$B16, 'Assumptions &amp; Inputs'!$F$26:$L$26, 'Assumptions &amp; Inputs'!$F$48:$L$48)</f>
        <v>#N/A</v>
      </c>
      <c r="M16" s="743" t="e">
        <f>-'Project CAPEX'!M16*_xlfn.XLOOKUP('Project EPC'!$B16, 'Assumptions &amp; Inputs'!$F$26:$L$26, 'Assumptions &amp; Inputs'!$F$48:$L$48)</f>
        <v>#N/A</v>
      </c>
      <c r="N16" s="743" t="e">
        <f>-'Project CAPEX'!N16*_xlfn.XLOOKUP('Project EPC'!$B16, 'Assumptions &amp; Inputs'!$F$26:$L$26, 'Assumptions &amp; Inputs'!$F$48:$L$48)</f>
        <v>#N/A</v>
      </c>
      <c r="O16" s="743" t="e">
        <f>-'Project CAPEX'!O16*_xlfn.XLOOKUP('Project EPC'!$B16, 'Assumptions &amp; Inputs'!$F$26:$L$26, 'Assumptions &amp; Inputs'!$F$48:$L$48)</f>
        <v>#N/A</v>
      </c>
      <c r="P16" s="743" t="e">
        <f>-'Project CAPEX'!P16*_xlfn.XLOOKUP('Project EPC'!$B16, 'Assumptions &amp; Inputs'!$F$26:$L$26, 'Assumptions &amp; Inputs'!$F$48:$L$48)</f>
        <v>#N/A</v>
      </c>
      <c r="Q16" s="743" t="e">
        <f>-'Project CAPEX'!Q16*_xlfn.XLOOKUP('Project EPC'!$B16, 'Assumptions &amp; Inputs'!$F$26:$L$26, 'Assumptions &amp; Inputs'!$F$48:$L$48)</f>
        <v>#N/A</v>
      </c>
      <c r="R16" s="743" t="e">
        <f>-'Project CAPEX'!R16*_xlfn.XLOOKUP('Project EPC'!$B16, 'Assumptions &amp; Inputs'!$F$26:$L$26, 'Assumptions &amp; Inputs'!$F$48:$L$48)</f>
        <v>#N/A</v>
      </c>
      <c r="S16" s="743" t="e">
        <f>-'Project CAPEX'!S16*_xlfn.XLOOKUP('Project EPC'!$B16, 'Assumptions &amp; Inputs'!$F$26:$L$26, 'Assumptions &amp; Inputs'!$F$48:$L$48)</f>
        <v>#N/A</v>
      </c>
      <c r="T16" s="743" t="e">
        <f>-'Project CAPEX'!T16*_xlfn.XLOOKUP('Project EPC'!$B16, 'Assumptions &amp; Inputs'!$F$26:$L$26, 'Assumptions &amp; Inputs'!$F$48:$L$48)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_xlfn.XLOOKUP(A17, 'Project Master Sheet'!A:A, 'Project Master Sheet'!I:I)</f>
        <v>#N/A</v>
      </c>
      <c r="E17" s="743" t="e">
        <f>-'Project CAPEX'!E17*_xlfn.XLOOKUP('Project EPC'!$B17, 'Assumptions &amp; Inputs'!$F$26:$L$26, 'Assumptions &amp; Inputs'!$F$48:$L$48)</f>
        <v>#N/A</v>
      </c>
      <c r="F17" s="743" t="e">
        <f>-'Project CAPEX'!F17*_xlfn.XLOOKUP('Project EPC'!$B17, 'Assumptions &amp; Inputs'!$F$26:$L$26, 'Assumptions &amp; Inputs'!$F$48:$L$48)</f>
        <v>#N/A</v>
      </c>
      <c r="G17" s="743" t="e">
        <f>-'Project CAPEX'!G17*_xlfn.XLOOKUP('Project EPC'!$B17, 'Assumptions &amp; Inputs'!$F$26:$L$26, 'Assumptions &amp; Inputs'!$F$48:$L$48)</f>
        <v>#N/A</v>
      </c>
      <c r="H17" s="743" t="e">
        <f>-'Project CAPEX'!H17*_xlfn.XLOOKUP('Project EPC'!$B17, 'Assumptions &amp; Inputs'!$F$26:$L$26, 'Assumptions &amp; Inputs'!$F$48:$L$48)</f>
        <v>#N/A</v>
      </c>
      <c r="I17" s="743" t="e">
        <f>-'Project CAPEX'!I17*_xlfn.XLOOKUP('Project EPC'!$B17, 'Assumptions &amp; Inputs'!$F$26:$L$26, 'Assumptions &amp; Inputs'!$F$48:$L$48)</f>
        <v>#N/A</v>
      </c>
      <c r="J17" s="743" t="e">
        <f>-'Project CAPEX'!J17*_xlfn.XLOOKUP('Project EPC'!$B17, 'Assumptions &amp; Inputs'!$F$26:$L$26, 'Assumptions &amp; Inputs'!$F$48:$L$48)</f>
        <v>#N/A</v>
      </c>
      <c r="K17" s="743" t="e">
        <f>-'Project CAPEX'!K17*_xlfn.XLOOKUP('Project EPC'!$B17, 'Assumptions &amp; Inputs'!$F$26:$L$26, 'Assumptions &amp; Inputs'!$F$48:$L$48)</f>
        <v>#N/A</v>
      </c>
      <c r="L17" s="743" t="e">
        <f>-'Project CAPEX'!L17*_xlfn.XLOOKUP('Project EPC'!$B17, 'Assumptions &amp; Inputs'!$F$26:$L$26, 'Assumptions &amp; Inputs'!$F$48:$L$48)</f>
        <v>#N/A</v>
      </c>
      <c r="M17" s="743" t="e">
        <f>-'Project CAPEX'!M17*_xlfn.XLOOKUP('Project EPC'!$B17, 'Assumptions &amp; Inputs'!$F$26:$L$26, 'Assumptions &amp; Inputs'!$F$48:$L$48)</f>
        <v>#N/A</v>
      </c>
      <c r="N17" s="743" t="e">
        <f>-'Project CAPEX'!N17*_xlfn.XLOOKUP('Project EPC'!$B17, 'Assumptions &amp; Inputs'!$F$26:$L$26, 'Assumptions &amp; Inputs'!$F$48:$L$48)</f>
        <v>#N/A</v>
      </c>
      <c r="O17" s="743" t="e">
        <f>-'Project CAPEX'!O17*_xlfn.XLOOKUP('Project EPC'!$B17, 'Assumptions &amp; Inputs'!$F$26:$L$26, 'Assumptions &amp; Inputs'!$F$48:$L$48)</f>
        <v>#N/A</v>
      </c>
      <c r="P17" s="743" t="e">
        <f>-'Project CAPEX'!P17*_xlfn.XLOOKUP('Project EPC'!$B17, 'Assumptions &amp; Inputs'!$F$26:$L$26, 'Assumptions &amp; Inputs'!$F$48:$L$48)</f>
        <v>#N/A</v>
      </c>
      <c r="Q17" s="743" t="e">
        <f>-'Project CAPEX'!Q17*_xlfn.XLOOKUP('Project EPC'!$B17, 'Assumptions &amp; Inputs'!$F$26:$L$26, 'Assumptions &amp; Inputs'!$F$48:$L$48)</f>
        <v>#N/A</v>
      </c>
      <c r="R17" s="743" t="e">
        <f>-'Project CAPEX'!R17*_xlfn.XLOOKUP('Project EPC'!$B17, 'Assumptions &amp; Inputs'!$F$26:$L$26, 'Assumptions &amp; Inputs'!$F$48:$L$48)</f>
        <v>#N/A</v>
      </c>
      <c r="S17" s="743" t="e">
        <f>-'Project CAPEX'!S17*_xlfn.XLOOKUP('Project EPC'!$B17, 'Assumptions &amp; Inputs'!$F$26:$L$26, 'Assumptions &amp; Inputs'!$F$48:$L$48)</f>
        <v>#N/A</v>
      </c>
      <c r="T17" s="743" t="e">
        <f>-'Project CAPEX'!T17*_xlfn.XLOOKUP('Project EPC'!$B17, 'Assumptions &amp; Inputs'!$F$26:$L$26, 'Assumptions &amp; Inputs'!$F$48:$L$48)</f>
        <v>#N/A</v>
      </c>
    </row>
    <row r="18" spans="1:20">
      <c r="A18" s="655" t="str">
        <f>IF(ISBLANK('Project Master Sheet'!A18)=FALSE, 'Project Master Sheet'!A18, "")</f>
        <v/>
      </c>
      <c r="B18" s="655" t="str">
        <f>_xlfn.IFNA(_xlfn.XLOOKUP(A18, 'Project Master Sheet'!A:A, 'Project Master Sheet'!D:D), "")</f>
        <v/>
      </c>
      <c r="C18" s="655" t="e">
        <f>_xlfn.XLOOKUP(A18, 'Project Master Sheet'!A:A, 'Project Master Sheet'!I:I)</f>
        <v>#N/A</v>
      </c>
      <c r="E18" s="743" t="e">
        <f>-'Project CAPEX'!E18*_xlfn.XLOOKUP('Project EPC'!$B18, 'Assumptions &amp; Inputs'!$F$26:$L$26, 'Assumptions &amp; Inputs'!$F$48:$L$48)</f>
        <v>#N/A</v>
      </c>
      <c r="F18" s="743" t="e">
        <f>-'Project CAPEX'!F18*_xlfn.XLOOKUP('Project EPC'!$B18, 'Assumptions &amp; Inputs'!$F$26:$L$26, 'Assumptions &amp; Inputs'!$F$48:$L$48)</f>
        <v>#N/A</v>
      </c>
      <c r="G18" s="743" t="e">
        <f>-'Project CAPEX'!G18*_xlfn.XLOOKUP('Project EPC'!$B18, 'Assumptions &amp; Inputs'!$F$26:$L$26, 'Assumptions &amp; Inputs'!$F$48:$L$48)</f>
        <v>#N/A</v>
      </c>
      <c r="H18" s="743" t="e">
        <f>-'Project CAPEX'!H18*_xlfn.XLOOKUP('Project EPC'!$B18, 'Assumptions &amp; Inputs'!$F$26:$L$26, 'Assumptions &amp; Inputs'!$F$48:$L$48)</f>
        <v>#N/A</v>
      </c>
      <c r="I18" s="743" t="e">
        <f>-'Project CAPEX'!I18*_xlfn.XLOOKUP('Project EPC'!$B18, 'Assumptions &amp; Inputs'!$F$26:$L$26, 'Assumptions &amp; Inputs'!$F$48:$L$48)</f>
        <v>#N/A</v>
      </c>
      <c r="J18" s="743" t="e">
        <f>-'Project CAPEX'!J18*_xlfn.XLOOKUP('Project EPC'!$B18, 'Assumptions &amp; Inputs'!$F$26:$L$26, 'Assumptions &amp; Inputs'!$F$48:$L$48)</f>
        <v>#N/A</v>
      </c>
      <c r="K18" s="743" t="e">
        <f>-'Project CAPEX'!K18*_xlfn.XLOOKUP('Project EPC'!$B18, 'Assumptions &amp; Inputs'!$F$26:$L$26, 'Assumptions &amp; Inputs'!$F$48:$L$48)</f>
        <v>#N/A</v>
      </c>
      <c r="L18" s="743" t="e">
        <f>-'Project CAPEX'!L18*_xlfn.XLOOKUP('Project EPC'!$B18, 'Assumptions &amp; Inputs'!$F$26:$L$26, 'Assumptions &amp; Inputs'!$F$48:$L$48)</f>
        <v>#N/A</v>
      </c>
      <c r="M18" s="743" t="e">
        <f>-'Project CAPEX'!M18*_xlfn.XLOOKUP('Project EPC'!$B18, 'Assumptions &amp; Inputs'!$F$26:$L$26, 'Assumptions &amp; Inputs'!$F$48:$L$48)</f>
        <v>#N/A</v>
      </c>
      <c r="N18" s="743" t="e">
        <f>-'Project CAPEX'!N18*_xlfn.XLOOKUP('Project EPC'!$B18, 'Assumptions &amp; Inputs'!$F$26:$L$26, 'Assumptions &amp; Inputs'!$F$48:$L$48)</f>
        <v>#N/A</v>
      </c>
      <c r="O18" s="743" t="e">
        <f>-'Project CAPEX'!O18*_xlfn.XLOOKUP('Project EPC'!$B18, 'Assumptions &amp; Inputs'!$F$26:$L$26, 'Assumptions &amp; Inputs'!$F$48:$L$48)</f>
        <v>#N/A</v>
      </c>
      <c r="P18" s="743" t="e">
        <f>-'Project CAPEX'!P18*_xlfn.XLOOKUP('Project EPC'!$B18, 'Assumptions &amp; Inputs'!$F$26:$L$26, 'Assumptions &amp; Inputs'!$F$48:$L$48)</f>
        <v>#N/A</v>
      </c>
      <c r="Q18" s="743" t="e">
        <f>-'Project CAPEX'!Q18*_xlfn.XLOOKUP('Project EPC'!$B18, 'Assumptions &amp; Inputs'!$F$26:$L$26, 'Assumptions &amp; Inputs'!$F$48:$L$48)</f>
        <v>#N/A</v>
      </c>
      <c r="R18" s="743" t="e">
        <f>-'Project CAPEX'!R18*_xlfn.XLOOKUP('Project EPC'!$B18, 'Assumptions &amp; Inputs'!$F$26:$L$26, 'Assumptions &amp; Inputs'!$F$48:$L$48)</f>
        <v>#N/A</v>
      </c>
      <c r="S18" s="743" t="e">
        <f>-'Project CAPEX'!S18*_xlfn.XLOOKUP('Project EPC'!$B18, 'Assumptions &amp; Inputs'!$F$26:$L$26, 'Assumptions &amp; Inputs'!$F$48:$L$48)</f>
        <v>#N/A</v>
      </c>
      <c r="T18" s="743" t="e">
        <f>-'Project CAPEX'!T18*_xlfn.XLOOKUP('Project EPC'!$B18, 'Assumptions &amp; Inputs'!$F$26:$L$26, 'Assumptions &amp; Inputs'!$F$48:$L$48)</f>
        <v>#N/A</v>
      </c>
    </row>
    <row r="19" spans="1:20">
      <c r="A19" s="655" t="str">
        <f>IF(ISBLANK('Project Master Sheet'!A19)=FALSE, 'Project Master Sheet'!A19, "")</f>
        <v/>
      </c>
      <c r="B19" s="655" t="str">
        <f>_xlfn.IFNA(_xlfn.XLOOKUP(A19, 'Project Master Sheet'!A:A, 'Project Master Sheet'!D:D), "")</f>
        <v/>
      </c>
      <c r="C19" s="655" t="e">
        <f>_xlfn.XLOOKUP(A19, 'Project Master Sheet'!A:A, 'Project Master Sheet'!I:I)</f>
        <v>#N/A</v>
      </c>
      <c r="E19" s="743" t="e">
        <f>-'Project CAPEX'!E19*_xlfn.XLOOKUP('Project EPC'!$B19, 'Assumptions &amp; Inputs'!$F$26:$L$26, 'Assumptions &amp; Inputs'!$F$48:$L$48)</f>
        <v>#N/A</v>
      </c>
      <c r="F19" s="743" t="e">
        <f>-'Project CAPEX'!F19*_xlfn.XLOOKUP('Project EPC'!$B19, 'Assumptions &amp; Inputs'!$F$26:$L$26, 'Assumptions &amp; Inputs'!$F$48:$L$48)</f>
        <v>#N/A</v>
      </c>
      <c r="G19" s="743" t="e">
        <f>-'Project CAPEX'!G19*_xlfn.XLOOKUP('Project EPC'!$B19, 'Assumptions &amp; Inputs'!$F$26:$L$26, 'Assumptions &amp; Inputs'!$F$48:$L$48)</f>
        <v>#N/A</v>
      </c>
      <c r="H19" s="743" t="e">
        <f>-'Project CAPEX'!H19*_xlfn.XLOOKUP('Project EPC'!$B19, 'Assumptions &amp; Inputs'!$F$26:$L$26, 'Assumptions &amp; Inputs'!$F$48:$L$48)</f>
        <v>#N/A</v>
      </c>
      <c r="I19" s="743" t="e">
        <f>-'Project CAPEX'!I19*_xlfn.XLOOKUP('Project EPC'!$B19, 'Assumptions &amp; Inputs'!$F$26:$L$26, 'Assumptions &amp; Inputs'!$F$48:$L$48)</f>
        <v>#N/A</v>
      </c>
      <c r="J19" s="743" t="e">
        <f>-'Project CAPEX'!J19*_xlfn.XLOOKUP('Project EPC'!$B19, 'Assumptions &amp; Inputs'!$F$26:$L$26, 'Assumptions &amp; Inputs'!$F$48:$L$48)</f>
        <v>#N/A</v>
      </c>
      <c r="K19" s="743" t="e">
        <f>-'Project CAPEX'!K19*_xlfn.XLOOKUP('Project EPC'!$B19, 'Assumptions &amp; Inputs'!$F$26:$L$26, 'Assumptions &amp; Inputs'!$F$48:$L$48)</f>
        <v>#N/A</v>
      </c>
      <c r="L19" s="743" t="e">
        <f>-'Project CAPEX'!L19*_xlfn.XLOOKUP('Project EPC'!$B19, 'Assumptions &amp; Inputs'!$F$26:$L$26, 'Assumptions &amp; Inputs'!$F$48:$L$48)</f>
        <v>#N/A</v>
      </c>
      <c r="M19" s="743" t="e">
        <f>-'Project CAPEX'!M19*_xlfn.XLOOKUP('Project EPC'!$B19, 'Assumptions &amp; Inputs'!$F$26:$L$26, 'Assumptions &amp; Inputs'!$F$48:$L$48)</f>
        <v>#N/A</v>
      </c>
      <c r="N19" s="743" t="e">
        <f>-'Project CAPEX'!N19*_xlfn.XLOOKUP('Project EPC'!$B19, 'Assumptions &amp; Inputs'!$F$26:$L$26, 'Assumptions &amp; Inputs'!$F$48:$L$48)</f>
        <v>#N/A</v>
      </c>
      <c r="O19" s="743" t="e">
        <f>-'Project CAPEX'!O19*_xlfn.XLOOKUP('Project EPC'!$B19, 'Assumptions &amp; Inputs'!$F$26:$L$26, 'Assumptions &amp; Inputs'!$F$48:$L$48)</f>
        <v>#N/A</v>
      </c>
      <c r="P19" s="743" t="e">
        <f>-'Project CAPEX'!P19*_xlfn.XLOOKUP('Project EPC'!$B19, 'Assumptions &amp; Inputs'!$F$26:$L$26, 'Assumptions &amp; Inputs'!$F$48:$L$48)</f>
        <v>#N/A</v>
      </c>
      <c r="Q19" s="743" t="e">
        <f>-'Project CAPEX'!Q19*_xlfn.XLOOKUP('Project EPC'!$B19, 'Assumptions &amp; Inputs'!$F$26:$L$26, 'Assumptions &amp; Inputs'!$F$48:$L$48)</f>
        <v>#N/A</v>
      </c>
      <c r="R19" s="743" t="e">
        <f>-'Project CAPEX'!R19*_xlfn.XLOOKUP('Project EPC'!$B19, 'Assumptions &amp; Inputs'!$F$26:$L$26, 'Assumptions &amp; Inputs'!$F$48:$L$48)</f>
        <v>#N/A</v>
      </c>
      <c r="S19" s="743" t="e">
        <f>-'Project CAPEX'!S19*_xlfn.XLOOKUP('Project EPC'!$B19, 'Assumptions &amp; Inputs'!$F$26:$L$26, 'Assumptions &amp; Inputs'!$F$48:$L$48)</f>
        <v>#N/A</v>
      </c>
      <c r="T19" s="743" t="e">
        <f>-'Project CAPEX'!T19*_xlfn.XLOOKUP('Project EPC'!$B19, 'Assumptions &amp; Inputs'!$F$26:$L$26, 'Assumptions &amp; Inputs'!$F$48:$L$48)</f>
        <v>#N/A</v>
      </c>
    </row>
    <row r="20" spans="1:20">
      <c r="A20" s="655" t="str">
        <f>IF(ISBLANK('Project Master Sheet'!A20)=FALSE, 'Project Master Sheet'!A20, "")</f>
        <v/>
      </c>
      <c r="B20" s="655" t="str">
        <f>_xlfn.IFNA(_xlfn.XLOOKUP(A20, 'Project Master Sheet'!A:A, 'Project Master Sheet'!D:D), "")</f>
        <v/>
      </c>
      <c r="C20" s="655" t="e">
        <f>_xlfn.XLOOKUP(A20, 'Project Master Sheet'!A:A, 'Project Master Sheet'!I:I)</f>
        <v>#N/A</v>
      </c>
      <c r="E20" s="743" t="e">
        <f>-'Project CAPEX'!E20*_xlfn.XLOOKUP('Project EPC'!$B20, 'Assumptions &amp; Inputs'!$F$26:$L$26, 'Assumptions &amp; Inputs'!$F$48:$L$48)</f>
        <v>#N/A</v>
      </c>
      <c r="F20" s="743" t="e">
        <f>-'Project CAPEX'!F20*_xlfn.XLOOKUP('Project EPC'!$B20, 'Assumptions &amp; Inputs'!$F$26:$L$26, 'Assumptions &amp; Inputs'!$F$48:$L$48)</f>
        <v>#N/A</v>
      </c>
      <c r="G20" s="743" t="e">
        <f>-'Project CAPEX'!G20*_xlfn.XLOOKUP('Project EPC'!$B20, 'Assumptions &amp; Inputs'!$F$26:$L$26, 'Assumptions &amp; Inputs'!$F$48:$L$48)</f>
        <v>#N/A</v>
      </c>
      <c r="H20" s="743" t="e">
        <f>-'Project CAPEX'!H20*_xlfn.XLOOKUP('Project EPC'!$B20, 'Assumptions &amp; Inputs'!$F$26:$L$26, 'Assumptions &amp; Inputs'!$F$48:$L$48)</f>
        <v>#N/A</v>
      </c>
      <c r="I20" s="743" t="e">
        <f>-'Project CAPEX'!I20*_xlfn.XLOOKUP('Project EPC'!$B20, 'Assumptions &amp; Inputs'!$F$26:$L$26, 'Assumptions &amp; Inputs'!$F$48:$L$48)</f>
        <v>#N/A</v>
      </c>
      <c r="J20" s="743" t="e">
        <f>-'Project CAPEX'!J20*_xlfn.XLOOKUP('Project EPC'!$B20, 'Assumptions &amp; Inputs'!$F$26:$L$26, 'Assumptions &amp; Inputs'!$F$48:$L$48)</f>
        <v>#N/A</v>
      </c>
      <c r="K20" s="743" t="e">
        <f>-'Project CAPEX'!K20*_xlfn.XLOOKUP('Project EPC'!$B20, 'Assumptions &amp; Inputs'!$F$26:$L$26, 'Assumptions &amp; Inputs'!$F$48:$L$48)</f>
        <v>#N/A</v>
      </c>
      <c r="L20" s="743" t="e">
        <f>-'Project CAPEX'!L20*_xlfn.XLOOKUP('Project EPC'!$B20, 'Assumptions &amp; Inputs'!$F$26:$L$26, 'Assumptions &amp; Inputs'!$F$48:$L$48)</f>
        <v>#N/A</v>
      </c>
      <c r="M20" s="743" t="e">
        <f>-'Project CAPEX'!M20*_xlfn.XLOOKUP('Project EPC'!$B20, 'Assumptions &amp; Inputs'!$F$26:$L$26, 'Assumptions &amp; Inputs'!$F$48:$L$48)</f>
        <v>#N/A</v>
      </c>
      <c r="N20" s="743" t="e">
        <f>-'Project CAPEX'!N20*_xlfn.XLOOKUP('Project EPC'!$B20, 'Assumptions &amp; Inputs'!$F$26:$L$26, 'Assumptions &amp; Inputs'!$F$48:$L$48)</f>
        <v>#N/A</v>
      </c>
      <c r="O20" s="743" t="e">
        <f>-'Project CAPEX'!O20*_xlfn.XLOOKUP('Project EPC'!$B20, 'Assumptions &amp; Inputs'!$F$26:$L$26, 'Assumptions &amp; Inputs'!$F$48:$L$48)</f>
        <v>#N/A</v>
      </c>
      <c r="P20" s="743" t="e">
        <f>-'Project CAPEX'!P20*_xlfn.XLOOKUP('Project EPC'!$B20, 'Assumptions &amp; Inputs'!$F$26:$L$26, 'Assumptions &amp; Inputs'!$F$48:$L$48)</f>
        <v>#N/A</v>
      </c>
      <c r="Q20" s="743" t="e">
        <f>-'Project CAPEX'!Q20*_xlfn.XLOOKUP('Project EPC'!$B20, 'Assumptions &amp; Inputs'!$F$26:$L$26, 'Assumptions &amp; Inputs'!$F$48:$L$48)</f>
        <v>#N/A</v>
      </c>
      <c r="R20" s="743" t="e">
        <f>-'Project CAPEX'!R20*_xlfn.XLOOKUP('Project EPC'!$B20, 'Assumptions &amp; Inputs'!$F$26:$L$26, 'Assumptions &amp; Inputs'!$F$48:$L$48)</f>
        <v>#N/A</v>
      </c>
      <c r="S20" s="743" t="e">
        <f>-'Project CAPEX'!S20*_xlfn.XLOOKUP('Project EPC'!$B20, 'Assumptions &amp; Inputs'!$F$26:$L$26, 'Assumptions &amp; Inputs'!$F$48:$L$48)</f>
        <v>#N/A</v>
      </c>
      <c r="T20" s="743" t="e">
        <f>-'Project CAPEX'!T20*_xlfn.XLOOKUP('Project EPC'!$B20, 'Assumptions &amp; Inputs'!$F$26:$L$26, 'Assumptions &amp; Inputs'!$F$48:$L$48)</f>
        <v>#N/A</v>
      </c>
    </row>
    <row r="21" spans="1:20">
      <c r="A21" s="655" t="str">
        <f>IF(ISBLANK('Project Master Sheet'!A21)=FALSE, 'Project Master Sheet'!A21, "")</f>
        <v/>
      </c>
      <c r="B21" s="655" t="str">
        <f>_xlfn.IFNA(_xlfn.XLOOKUP(A21, 'Project Master Sheet'!A:A, 'Project Master Sheet'!D:D), "")</f>
        <v/>
      </c>
      <c r="C21" s="655" t="e">
        <f>_xlfn.XLOOKUP(A21, 'Project Master Sheet'!A:A, 'Project Master Sheet'!I:I)</f>
        <v>#N/A</v>
      </c>
      <c r="E21" s="743" t="e">
        <f>-'Project CAPEX'!E21*_xlfn.XLOOKUP('Project EPC'!$B21, 'Assumptions &amp; Inputs'!$F$26:$L$26, 'Assumptions &amp; Inputs'!$F$48:$L$48)</f>
        <v>#N/A</v>
      </c>
      <c r="F21" s="743" t="e">
        <f>-'Project CAPEX'!F21*_xlfn.XLOOKUP('Project EPC'!$B21, 'Assumptions &amp; Inputs'!$F$26:$L$26, 'Assumptions &amp; Inputs'!$F$48:$L$48)</f>
        <v>#N/A</v>
      </c>
      <c r="G21" s="743" t="e">
        <f>-'Project CAPEX'!G21*_xlfn.XLOOKUP('Project EPC'!$B21, 'Assumptions &amp; Inputs'!$F$26:$L$26, 'Assumptions &amp; Inputs'!$F$48:$L$48)</f>
        <v>#N/A</v>
      </c>
      <c r="H21" s="743" t="e">
        <f>-'Project CAPEX'!H21*_xlfn.XLOOKUP('Project EPC'!$B21, 'Assumptions &amp; Inputs'!$F$26:$L$26, 'Assumptions &amp; Inputs'!$F$48:$L$48)</f>
        <v>#N/A</v>
      </c>
      <c r="I21" s="743" t="e">
        <f>-'Project CAPEX'!I21*_xlfn.XLOOKUP('Project EPC'!$B21, 'Assumptions &amp; Inputs'!$F$26:$L$26, 'Assumptions &amp; Inputs'!$F$48:$L$48)</f>
        <v>#N/A</v>
      </c>
      <c r="J21" s="743" t="e">
        <f>-'Project CAPEX'!J21*_xlfn.XLOOKUP('Project EPC'!$B21, 'Assumptions &amp; Inputs'!$F$26:$L$26, 'Assumptions &amp; Inputs'!$F$48:$L$48)</f>
        <v>#N/A</v>
      </c>
      <c r="K21" s="743" t="e">
        <f>-'Project CAPEX'!K21*_xlfn.XLOOKUP('Project EPC'!$B21, 'Assumptions &amp; Inputs'!$F$26:$L$26, 'Assumptions &amp; Inputs'!$F$48:$L$48)</f>
        <v>#N/A</v>
      </c>
      <c r="L21" s="743" t="e">
        <f>-'Project CAPEX'!L21*_xlfn.XLOOKUP('Project EPC'!$B21, 'Assumptions &amp; Inputs'!$F$26:$L$26, 'Assumptions &amp; Inputs'!$F$48:$L$48)</f>
        <v>#N/A</v>
      </c>
      <c r="M21" s="743" t="e">
        <f>-'Project CAPEX'!M21*_xlfn.XLOOKUP('Project EPC'!$B21, 'Assumptions &amp; Inputs'!$F$26:$L$26, 'Assumptions &amp; Inputs'!$F$48:$L$48)</f>
        <v>#N/A</v>
      </c>
      <c r="N21" s="743" t="e">
        <f>-'Project CAPEX'!N21*_xlfn.XLOOKUP('Project EPC'!$B21, 'Assumptions &amp; Inputs'!$F$26:$L$26, 'Assumptions &amp; Inputs'!$F$48:$L$48)</f>
        <v>#N/A</v>
      </c>
      <c r="O21" s="743" t="e">
        <f>-'Project CAPEX'!O21*_xlfn.XLOOKUP('Project EPC'!$B21, 'Assumptions &amp; Inputs'!$F$26:$L$26, 'Assumptions &amp; Inputs'!$F$48:$L$48)</f>
        <v>#N/A</v>
      </c>
      <c r="P21" s="743" t="e">
        <f>-'Project CAPEX'!P21*_xlfn.XLOOKUP('Project EPC'!$B21, 'Assumptions &amp; Inputs'!$F$26:$L$26, 'Assumptions &amp; Inputs'!$F$48:$L$48)</f>
        <v>#N/A</v>
      </c>
      <c r="Q21" s="743" t="e">
        <f>-'Project CAPEX'!Q21*_xlfn.XLOOKUP('Project EPC'!$B21, 'Assumptions &amp; Inputs'!$F$26:$L$26, 'Assumptions &amp; Inputs'!$F$48:$L$48)</f>
        <v>#N/A</v>
      </c>
      <c r="R21" s="743" t="e">
        <f>-'Project CAPEX'!R21*_xlfn.XLOOKUP('Project EPC'!$B21, 'Assumptions &amp; Inputs'!$F$26:$L$26, 'Assumptions &amp; Inputs'!$F$48:$L$48)</f>
        <v>#N/A</v>
      </c>
      <c r="S21" s="743" t="e">
        <f>-'Project CAPEX'!S21*_xlfn.XLOOKUP('Project EPC'!$B21, 'Assumptions &amp; Inputs'!$F$26:$L$26, 'Assumptions &amp; Inputs'!$F$48:$L$48)</f>
        <v>#N/A</v>
      </c>
      <c r="T21" s="743" t="e">
        <f>-'Project CAPEX'!T21*_xlfn.XLOOKUP('Project EPC'!$B21, 'Assumptions &amp; Inputs'!$F$26:$L$26, 'Assumptions &amp; Inputs'!$F$48:$L$48)</f>
        <v>#N/A</v>
      </c>
    </row>
    <row r="22" spans="1:20">
      <c r="A22" s="655" t="str">
        <f>IF(ISBLANK('Project Master Sheet'!A22)=FALSE, 'Project Master Sheet'!A22, "")</f>
        <v/>
      </c>
      <c r="B22" s="655" t="str">
        <f>_xlfn.IFNA(_xlfn.XLOOKUP(A22, 'Project Master Sheet'!A:A, 'Project Master Sheet'!D:D), "")</f>
        <v/>
      </c>
      <c r="C22" s="655" t="e">
        <f>_xlfn.XLOOKUP(A22, 'Project Master Sheet'!A:A, 'Project Master Sheet'!I:I)</f>
        <v>#N/A</v>
      </c>
      <c r="E22" s="743" t="e">
        <f>-'Project CAPEX'!E22*_xlfn.XLOOKUP('Project EPC'!$B22, 'Assumptions &amp; Inputs'!$F$26:$L$26, 'Assumptions &amp; Inputs'!$F$48:$L$48)</f>
        <v>#N/A</v>
      </c>
      <c r="F22" s="743" t="e">
        <f>-'Project CAPEX'!F22*_xlfn.XLOOKUP('Project EPC'!$B22, 'Assumptions &amp; Inputs'!$F$26:$L$26, 'Assumptions &amp; Inputs'!$F$48:$L$48)</f>
        <v>#N/A</v>
      </c>
      <c r="G22" s="743" t="e">
        <f>-'Project CAPEX'!G22*_xlfn.XLOOKUP('Project EPC'!$B22, 'Assumptions &amp; Inputs'!$F$26:$L$26, 'Assumptions &amp; Inputs'!$F$48:$L$48)</f>
        <v>#N/A</v>
      </c>
      <c r="H22" s="743" t="e">
        <f>-'Project CAPEX'!H22*_xlfn.XLOOKUP('Project EPC'!$B22, 'Assumptions &amp; Inputs'!$F$26:$L$26, 'Assumptions &amp; Inputs'!$F$48:$L$48)</f>
        <v>#N/A</v>
      </c>
      <c r="I22" s="743" t="e">
        <f>-'Project CAPEX'!I22*_xlfn.XLOOKUP('Project EPC'!$B22, 'Assumptions &amp; Inputs'!$F$26:$L$26, 'Assumptions &amp; Inputs'!$F$48:$L$48)</f>
        <v>#N/A</v>
      </c>
      <c r="J22" s="743" t="e">
        <f>-'Project CAPEX'!J22*_xlfn.XLOOKUP('Project EPC'!$B22, 'Assumptions &amp; Inputs'!$F$26:$L$26, 'Assumptions &amp; Inputs'!$F$48:$L$48)</f>
        <v>#N/A</v>
      </c>
      <c r="K22" s="743" t="e">
        <f>-'Project CAPEX'!K22*_xlfn.XLOOKUP('Project EPC'!$B22, 'Assumptions &amp; Inputs'!$F$26:$L$26, 'Assumptions &amp; Inputs'!$F$48:$L$48)</f>
        <v>#N/A</v>
      </c>
      <c r="L22" s="743" t="e">
        <f>-'Project CAPEX'!L22*_xlfn.XLOOKUP('Project EPC'!$B22, 'Assumptions &amp; Inputs'!$F$26:$L$26, 'Assumptions &amp; Inputs'!$F$48:$L$48)</f>
        <v>#N/A</v>
      </c>
      <c r="M22" s="743" t="e">
        <f>-'Project CAPEX'!M22*_xlfn.XLOOKUP('Project EPC'!$B22, 'Assumptions &amp; Inputs'!$F$26:$L$26, 'Assumptions &amp; Inputs'!$F$48:$L$48)</f>
        <v>#N/A</v>
      </c>
      <c r="N22" s="743" t="e">
        <f>-'Project CAPEX'!N22*_xlfn.XLOOKUP('Project EPC'!$B22, 'Assumptions &amp; Inputs'!$F$26:$L$26, 'Assumptions &amp; Inputs'!$F$48:$L$48)</f>
        <v>#N/A</v>
      </c>
      <c r="O22" s="743" t="e">
        <f>-'Project CAPEX'!O22*_xlfn.XLOOKUP('Project EPC'!$B22, 'Assumptions &amp; Inputs'!$F$26:$L$26, 'Assumptions &amp; Inputs'!$F$48:$L$48)</f>
        <v>#N/A</v>
      </c>
      <c r="P22" s="743" t="e">
        <f>-'Project CAPEX'!P22*_xlfn.XLOOKUP('Project EPC'!$B22, 'Assumptions &amp; Inputs'!$F$26:$L$26, 'Assumptions &amp; Inputs'!$F$48:$L$48)</f>
        <v>#N/A</v>
      </c>
      <c r="Q22" s="743" t="e">
        <f>-'Project CAPEX'!Q22*_xlfn.XLOOKUP('Project EPC'!$B22, 'Assumptions &amp; Inputs'!$F$26:$L$26, 'Assumptions &amp; Inputs'!$F$48:$L$48)</f>
        <v>#N/A</v>
      </c>
      <c r="R22" s="743" t="e">
        <f>-'Project CAPEX'!R22*_xlfn.XLOOKUP('Project EPC'!$B22, 'Assumptions &amp; Inputs'!$F$26:$L$26, 'Assumptions &amp; Inputs'!$F$48:$L$48)</f>
        <v>#N/A</v>
      </c>
      <c r="S22" s="743" t="e">
        <f>-'Project CAPEX'!S22*_xlfn.XLOOKUP('Project EPC'!$B22, 'Assumptions &amp; Inputs'!$F$26:$L$26, 'Assumptions &amp; Inputs'!$F$48:$L$48)</f>
        <v>#N/A</v>
      </c>
      <c r="T22" s="743" t="e">
        <f>-'Project CAPEX'!T22*_xlfn.XLOOKUP('Project EPC'!$B22, 'Assumptions &amp; Inputs'!$F$26:$L$26, 'Assumptions &amp; Inputs'!$F$48:$L$48)</f>
        <v>#N/A</v>
      </c>
    </row>
    <row r="23" spans="1:20">
      <c r="A23" s="655" t="str">
        <f>IF(ISBLANK('Project Master Sheet'!A23)=FALSE, 'Project Master Sheet'!A23, "")</f>
        <v/>
      </c>
      <c r="B23" s="655" t="str">
        <f>_xlfn.IFNA(_xlfn.XLOOKUP(A23, 'Project Master Sheet'!A:A, 'Project Master Sheet'!D:D), "")</f>
        <v/>
      </c>
      <c r="C23" s="655" t="e">
        <f>_xlfn.XLOOKUP(A23, 'Project Master Sheet'!A:A, 'Project Master Sheet'!I:I)</f>
        <v>#N/A</v>
      </c>
      <c r="E23" s="743" t="e">
        <f>-'Project CAPEX'!E23*_xlfn.XLOOKUP('Project EPC'!$B23, 'Assumptions &amp; Inputs'!$F$26:$L$26, 'Assumptions &amp; Inputs'!$F$48:$L$48)</f>
        <v>#N/A</v>
      </c>
      <c r="F23" s="743" t="e">
        <f>-'Project CAPEX'!F23*_xlfn.XLOOKUP('Project EPC'!$B23, 'Assumptions &amp; Inputs'!$F$26:$L$26, 'Assumptions &amp; Inputs'!$F$48:$L$48)</f>
        <v>#N/A</v>
      </c>
      <c r="G23" s="743" t="e">
        <f>-'Project CAPEX'!G23*_xlfn.XLOOKUP('Project EPC'!$B23, 'Assumptions &amp; Inputs'!$F$26:$L$26, 'Assumptions &amp; Inputs'!$F$48:$L$48)</f>
        <v>#N/A</v>
      </c>
      <c r="H23" s="743" t="e">
        <f>-'Project CAPEX'!H23*_xlfn.XLOOKUP('Project EPC'!$B23, 'Assumptions &amp; Inputs'!$F$26:$L$26, 'Assumptions &amp; Inputs'!$F$48:$L$48)</f>
        <v>#N/A</v>
      </c>
      <c r="I23" s="743" t="e">
        <f>-'Project CAPEX'!I23*_xlfn.XLOOKUP('Project EPC'!$B23, 'Assumptions &amp; Inputs'!$F$26:$L$26, 'Assumptions &amp; Inputs'!$F$48:$L$48)</f>
        <v>#N/A</v>
      </c>
      <c r="J23" s="743" t="e">
        <f>-'Project CAPEX'!J23*_xlfn.XLOOKUP('Project EPC'!$B23, 'Assumptions &amp; Inputs'!$F$26:$L$26, 'Assumptions &amp; Inputs'!$F$48:$L$48)</f>
        <v>#N/A</v>
      </c>
      <c r="K23" s="743" t="e">
        <f>-'Project CAPEX'!K23*_xlfn.XLOOKUP('Project EPC'!$B23, 'Assumptions &amp; Inputs'!$F$26:$L$26, 'Assumptions &amp; Inputs'!$F$48:$L$48)</f>
        <v>#N/A</v>
      </c>
      <c r="L23" s="743" t="e">
        <f>-'Project CAPEX'!L23*_xlfn.XLOOKUP('Project EPC'!$B23, 'Assumptions &amp; Inputs'!$F$26:$L$26, 'Assumptions &amp; Inputs'!$F$48:$L$48)</f>
        <v>#N/A</v>
      </c>
      <c r="M23" s="743" t="e">
        <f>-'Project CAPEX'!M23*_xlfn.XLOOKUP('Project EPC'!$B23, 'Assumptions &amp; Inputs'!$F$26:$L$26, 'Assumptions &amp; Inputs'!$F$48:$L$48)</f>
        <v>#N/A</v>
      </c>
      <c r="N23" s="743" t="e">
        <f>-'Project CAPEX'!N23*_xlfn.XLOOKUP('Project EPC'!$B23, 'Assumptions &amp; Inputs'!$F$26:$L$26, 'Assumptions &amp; Inputs'!$F$48:$L$48)</f>
        <v>#N/A</v>
      </c>
      <c r="O23" s="743" t="e">
        <f>-'Project CAPEX'!O23*_xlfn.XLOOKUP('Project EPC'!$B23, 'Assumptions &amp; Inputs'!$F$26:$L$26, 'Assumptions &amp; Inputs'!$F$48:$L$48)</f>
        <v>#N/A</v>
      </c>
      <c r="P23" s="743" t="e">
        <f>-'Project CAPEX'!P23*_xlfn.XLOOKUP('Project EPC'!$B23, 'Assumptions &amp; Inputs'!$F$26:$L$26, 'Assumptions &amp; Inputs'!$F$48:$L$48)</f>
        <v>#N/A</v>
      </c>
      <c r="Q23" s="743" t="e">
        <f>-'Project CAPEX'!Q23*_xlfn.XLOOKUP('Project EPC'!$B23, 'Assumptions &amp; Inputs'!$F$26:$L$26, 'Assumptions &amp; Inputs'!$F$48:$L$48)</f>
        <v>#N/A</v>
      </c>
      <c r="R23" s="743" t="e">
        <f>-'Project CAPEX'!R23*_xlfn.XLOOKUP('Project EPC'!$B23, 'Assumptions &amp; Inputs'!$F$26:$L$26, 'Assumptions &amp; Inputs'!$F$48:$L$48)</f>
        <v>#N/A</v>
      </c>
      <c r="S23" s="743" t="e">
        <f>-'Project CAPEX'!S23*_xlfn.XLOOKUP('Project EPC'!$B23, 'Assumptions &amp; Inputs'!$F$26:$L$26, 'Assumptions &amp; Inputs'!$F$48:$L$48)</f>
        <v>#N/A</v>
      </c>
      <c r="T23" s="743" t="e">
        <f>-'Project CAPEX'!T23*_xlfn.XLOOKUP('Project EPC'!$B23, 'Assumptions &amp; Inputs'!$F$26:$L$26, 'Assumptions &amp; Inputs'!$F$48:$L$48)</f>
        <v>#N/A</v>
      </c>
    </row>
    <row r="24" spans="1:20">
      <c r="A24" s="655" t="str">
        <f>IF(ISBLANK('Project Master Sheet'!A24)=FALSE, 'Project Master Sheet'!A24, "")</f>
        <v/>
      </c>
      <c r="B24" s="655" t="str">
        <f>_xlfn.IFNA(_xlfn.XLOOKUP(A24, 'Project Master Sheet'!A:A, 'Project Master Sheet'!D:D), "")</f>
        <v/>
      </c>
      <c r="C24" s="655" t="e">
        <f>_xlfn.XLOOKUP(A24, 'Project Master Sheet'!A:A, 'Project Master Sheet'!I:I)</f>
        <v>#N/A</v>
      </c>
      <c r="E24" s="743" t="e">
        <f>-'Project CAPEX'!E24*_xlfn.XLOOKUP('Project EPC'!$B24, 'Assumptions &amp; Inputs'!$F$26:$L$26, 'Assumptions &amp; Inputs'!$F$48:$L$48)</f>
        <v>#N/A</v>
      </c>
      <c r="F24" s="743" t="e">
        <f>-'Project CAPEX'!F24*_xlfn.XLOOKUP('Project EPC'!$B24, 'Assumptions &amp; Inputs'!$F$26:$L$26, 'Assumptions &amp; Inputs'!$F$48:$L$48)</f>
        <v>#N/A</v>
      </c>
      <c r="G24" s="743" t="e">
        <f>-'Project CAPEX'!G24*_xlfn.XLOOKUP('Project EPC'!$B24, 'Assumptions &amp; Inputs'!$F$26:$L$26, 'Assumptions &amp; Inputs'!$F$48:$L$48)</f>
        <v>#N/A</v>
      </c>
      <c r="H24" s="743" t="e">
        <f>-'Project CAPEX'!H24*_xlfn.XLOOKUP('Project EPC'!$B24, 'Assumptions &amp; Inputs'!$F$26:$L$26, 'Assumptions &amp; Inputs'!$F$48:$L$48)</f>
        <v>#N/A</v>
      </c>
      <c r="I24" s="743" t="e">
        <f>-'Project CAPEX'!I24*_xlfn.XLOOKUP('Project EPC'!$B24, 'Assumptions &amp; Inputs'!$F$26:$L$26, 'Assumptions &amp; Inputs'!$F$48:$L$48)</f>
        <v>#N/A</v>
      </c>
      <c r="J24" s="743" t="e">
        <f>-'Project CAPEX'!J24*_xlfn.XLOOKUP('Project EPC'!$B24, 'Assumptions &amp; Inputs'!$F$26:$L$26, 'Assumptions &amp; Inputs'!$F$48:$L$48)</f>
        <v>#N/A</v>
      </c>
      <c r="K24" s="743" t="e">
        <f>-'Project CAPEX'!K24*_xlfn.XLOOKUP('Project EPC'!$B24, 'Assumptions &amp; Inputs'!$F$26:$L$26, 'Assumptions &amp; Inputs'!$F$48:$L$48)</f>
        <v>#N/A</v>
      </c>
      <c r="L24" s="743" t="e">
        <f>-'Project CAPEX'!L24*_xlfn.XLOOKUP('Project EPC'!$B24, 'Assumptions &amp; Inputs'!$F$26:$L$26, 'Assumptions &amp; Inputs'!$F$48:$L$48)</f>
        <v>#N/A</v>
      </c>
      <c r="M24" s="743" t="e">
        <f>-'Project CAPEX'!M24*_xlfn.XLOOKUP('Project EPC'!$B24, 'Assumptions &amp; Inputs'!$F$26:$L$26, 'Assumptions &amp; Inputs'!$F$48:$L$48)</f>
        <v>#N/A</v>
      </c>
      <c r="N24" s="743" t="e">
        <f>-'Project CAPEX'!N24*_xlfn.XLOOKUP('Project EPC'!$B24, 'Assumptions &amp; Inputs'!$F$26:$L$26, 'Assumptions &amp; Inputs'!$F$48:$L$48)</f>
        <v>#N/A</v>
      </c>
      <c r="O24" s="743" t="e">
        <f>-'Project CAPEX'!O24*_xlfn.XLOOKUP('Project EPC'!$B24, 'Assumptions &amp; Inputs'!$F$26:$L$26, 'Assumptions &amp; Inputs'!$F$48:$L$48)</f>
        <v>#N/A</v>
      </c>
      <c r="P24" s="743" t="e">
        <f>-'Project CAPEX'!P24*_xlfn.XLOOKUP('Project EPC'!$B24, 'Assumptions &amp; Inputs'!$F$26:$L$26, 'Assumptions &amp; Inputs'!$F$48:$L$48)</f>
        <v>#N/A</v>
      </c>
      <c r="Q24" s="743" t="e">
        <f>-'Project CAPEX'!Q24*_xlfn.XLOOKUP('Project EPC'!$B24, 'Assumptions &amp; Inputs'!$F$26:$L$26, 'Assumptions &amp; Inputs'!$F$48:$L$48)</f>
        <v>#N/A</v>
      </c>
      <c r="R24" s="743" t="e">
        <f>-'Project CAPEX'!R24*_xlfn.XLOOKUP('Project EPC'!$B24, 'Assumptions &amp; Inputs'!$F$26:$L$26, 'Assumptions &amp; Inputs'!$F$48:$L$48)</f>
        <v>#N/A</v>
      </c>
      <c r="S24" s="743" t="e">
        <f>-'Project CAPEX'!S24*_xlfn.XLOOKUP('Project EPC'!$B24, 'Assumptions &amp; Inputs'!$F$26:$L$26, 'Assumptions &amp; Inputs'!$F$48:$L$48)</f>
        <v>#N/A</v>
      </c>
      <c r="T24" s="743" t="e">
        <f>-'Project CAPEX'!T24*_xlfn.XLOOKUP('Project EPC'!$B24, 'Assumptions &amp; Inputs'!$F$26:$L$26, 'Assumptions &amp; Inputs'!$F$48:$L$48)</f>
        <v>#N/A</v>
      </c>
    </row>
    <row r="25" spans="1:20">
      <c r="A25" s="655" t="str">
        <f>IF(ISBLANK('Project Master Sheet'!A25)=FALSE, 'Project Master Sheet'!A25, "")</f>
        <v/>
      </c>
      <c r="B25" s="655" t="str">
        <f>_xlfn.IFNA(_xlfn.XLOOKUP(A25, 'Project Master Sheet'!A:A, 'Project Master Sheet'!D:D), "")</f>
        <v/>
      </c>
      <c r="C25" s="655" t="e">
        <f>_xlfn.XLOOKUP(A25, 'Project Master Sheet'!A:A, 'Project Master Sheet'!I:I)</f>
        <v>#N/A</v>
      </c>
      <c r="E25" s="743" t="e">
        <f>-'Project CAPEX'!E25*_xlfn.XLOOKUP('Project EPC'!$B25, 'Assumptions &amp; Inputs'!$F$26:$L$26, 'Assumptions &amp; Inputs'!$F$48:$L$48)</f>
        <v>#N/A</v>
      </c>
      <c r="F25" s="743" t="e">
        <f>-'Project CAPEX'!F25*_xlfn.XLOOKUP('Project EPC'!$B25, 'Assumptions &amp; Inputs'!$F$26:$L$26, 'Assumptions &amp; Inputs'!$F$48:$L$48)</f>
        <v>#N/A</v>
      </c>
      <c r="G25" s="743" t="e">
        <f>-'Project CAPEX'!G25*_xlfn.XLOOKUP('Project EPC'!$B25, 'Assumptions &amp; Inputs'!$F$26:$L$26, 'Assumptions &amp; Inputs'!$F$48:$L$48)</f>
        <v>#N/A</v>
      </c>
      <c r="H25" s="743" t="e">
        <f>-'Project CAPEX'!H25*_xlfn.XLOOKUP('Project EPC'!$B25, 'Assumptions &amp; Inputs'!$F$26:$L$26, 'Assumptions &amp; Inputs'!$F$48:$L$48)</f>
        <v>#N/A</v>
      </c>
      <c r="I25" s="743" t="e">
        <f>-'Project CAPEX'!I25*_xlfn.XLOOKUP('Project EPC'!$B25, 'Assumptions &amp; Inputs'!$F$26:$L$26, 'Assumptions &amp; Inputs'!$F$48:$L$48)</f>
        <v>#N/A</v>
      </c>
      <c r="J25" s="743" t="e">
        <f>-'Project CAPEX'!J25*_xlfn.XLOOKUP('Project EPC'!$B25, 'Assumptions &amp; Inputs'!$F$26:$L$26, 'Assumptions &amp; Inputs'!$F$48:$L$48)</f>
        <v>#N/A</v>
      </c>
      <c r="K25" s="743" t="e">
        <f>-'Project CAPEX'!K25*_xlfn.XLOOKUP('Project EPC'!$B25, 'Assumptions &amp; Inputs'!$F$26:$L$26, 'Assumptions &amp; Inputs'!$F$48:$L$48)</f>
        <v>#N/A</v>
      </c>
      <c r="L25" s="743" t="e">
        <f>-'Project CAPEX'!L25*_xlfn.XLOOKUP('Project EPC'!$B25, 'Assumptions &amp; Inputs'!$F$26:$L$26, 'Assumptions &amp; Inputs'!$F$48:$L$48)</f>
        <v>#N/A</v>
      </c>
      <c r="M25" s="743" t="e">
        <f>-'Project CAPEX'!M25*_xlfn.XLOOKUP('Project EPC'!$B25, 'Assumptions &amp; Inputs'!$F$26:$L$26, 'Assumptions &amp; Inputs'!$F$48:$L$48)</f>
        <v>#N/A</v>
      </c>
      <c r="N25" s="743" t="e">
        <f>-'Project CAPEX'!N25*_xlfn.XLOOKUP('Project EPC'!$B25, 'Assumptions &amp; Inputs'!$F$26:$L$26, 'Assumptions &amp; Inputs'!$F$48:$L$48)</f>
        <v>#N/A</v>
      </c>
      <c r="O25" s="743" t="e">
        <f>-'Project CAPEX'!O25*_xlfn.XLOOKUP('Project EPC'!$B25, 'Assumptions &amp; Inputs'!$F$26:$L$26, 'Assumptions &amp; Inputs'!$F$48:$L$48)</f>
        <v>#N/A</v>
      </c>
      <c r="P25" s="743" t="e">
        <f>-'Project CAPEX'!P25*_xlfn.XLOOKUP('Project EPC'!$B25, 'Assumptions &amp; Inputs'!$F$26:$L$26, 'Assumptions &amp; Inputs'!$F$48:$L$48)</f>
        <v>#N/A</v>
      </c>
      <c r="Q25" s="743" t="e">
        <f>-'Project CAPEX'!Q25*_xlfn.XLOOKUP('Project EPC'!$B25, 'Assumptions &amp; Inputs'!$F$26:$L$26, 'Assumptions &amp; Inputs'!$F$48:$L$48)</f>
        <v>#N/A</v>
      </c>
      <c r="R25" s="743" t="e">
        <f>-'Project CAPEX'!R25*_xlfn.XLOOKUP('Project EPC'!$B25, 'Assumptions &amp; Inputs'!$F$26:$L$26, 'Assumptions &amp; Inputs'!$F$48:$L$48)</f>
        <v>#N/A</v>
      </c>
      <c r="S25" s="743" t="e">
        <f>-'Project CAPEX'!S25*_xlfn.XLOOKUP('Project EPC'!$B25, 'Assumptions &amp; Inputs'!$F$26:$L$26, 'Assumptions &amp; Inputs'!$F$48:$L$48)</f>
        <v>#N/A</v>
      </c>
      <c r="T25" s="743" t="e">
        <f>-'Project CAPEX'!T25*_xlfn.XLOOKUP('Project EPC'!$B25, 'Assumptions &amp; Inputs'!$F$26:$L$26, 'Assumptions &amp; Inputs'!$F$48:$L$48)</f>
        <v>#N/A</v>
      </c>
    </row>
    <row r="26" spans="1:20">
      <c r="A26" s="655" t="str">
        <f>IF(ISBLANK('Project Master Sheet'!A26)=FALSE, 'Project Master Sheet'!A26, "")</f>
        <v/>
      </c>
      <c r="B26" s="655" t="str">
        <f>_xlfn.IFNA(_xlfn.XLOOKUP(A26, 'Project Master Sheet'!A:A, 'Project Master Sheet'!D:D), "")</f>
        <v/>
      </c>
      <c r="C26" s="655" t="e">
        <f>_xlfn.XLOOKUP(A26, 'Project Master Sheet'!A:A, 'Project Master Sheet'!I:I)</f>
        <v>#N/A</v>
      </c>
      <c r="E26" s="743" t="e">
        <f>-'Project CAPEX'!E26*_xlfn.XLOOKUP('Project EPC'!$B26, 'Assumptions &amp; Inputs'!$F$26:$L$26, 'Assumptions &amp; Inputs'!$F$48:$L$48)</f>
        <v>#N/A</v>
      </c>
      <c r="F26" s="743" t="e">
        <f>-'Project CAPEX'!F26*_xlfn.XLOOKUP('Project EPC'!$B26, 'Assumptions &amp; Inputs'!$F$26:$L$26, 'Assumptions &amp; Inputs'!$F$48:$L$48)</f>
        <v>#N/A</v>
      </c>
      <c r="G26" s="743" t="e">
        <f>-'Project CAPEX'!G26*_xlfn.XLOOKUP('Project EPC'!$B26, 'Assumptions &amp; Inputs'!$F$26:$L$26, 'Assumptions &amp; Inputs'!$F$48:$L$48)</f>
        <v>#N/A</v>
      </c>
      <c r="H26" s="743" t="e">
        <f>-'Project CAPEX'!H26*_xlfn.XLOOKUP('Project EPC'!$B26, 'Assumptions &amp; Inputs'!$F$26:$L$26, 'Assumptions &amp; Inputs'!$F$48:$L$48)</f>
        <v>#N/A</v>
      </c>
      <c r="I26" s="743" t="e">
        <f>-'Project CAPEX'!I26*_xlfn.XLOOKUP('Project EPC'!$B26, 'Assumptions &amp; Inputs'!$F$26:$L$26, 'Assumptions &amp; Inputs'!$F$48:$L$48)</f>
        <v>#N/A</v>
      </c>
      <c r="J26" s="743" t="e">
        <f>-'Project CAPEX'!J26*_xlfn.XLOOKUP('Project EPC'!$B26, 'Assumptions &amp; Inputs'!$F$26:$L$26, 'Assumptions &amp; Inputs'!$F$48:$L$48)</f>
        <v>#N/A</v>
      </c>
      <c r="K26" s="743" t="e">
        <f>-'Project CAPEX'!K26*_xlfn.XLOOKUP('Project EPC'!$B26, 'Assumptions &amp; Inputs'!$F$26:$L$26, 'Assumptions &amp; Inputs'!$F$48:$L$48)</f>
        <v>#N/A</v>
      </c>
      <c r="L26" s="743" t="e">
        <f>-'Project CAPEX'!L26*_xlfn.XLOOKUP('Project EPC'!$B26, 'Assumptions &amp; Inputs'!$F$26:$L$26, 'Assumptions &amp; Inputs'!$F$48:$L$48)</f>
        <v>#N/A</v>
      </c>
      <c r="M26" s="743" t="e">
        <f>-'Project CAPEX'!M26*_xlfn.XLOOKUP('Project EPC'!$B26, 'Assumptions &amp; Inputs'!$F$26:$L$26, 'Assumptions &amp; Inputs'!$F$48:$L$48)</f>
        <v>#N/A</v>
      </c>
      <c r="N26" s="743" t="e">
        <f>-'Project CAPEX'!N26*_xlfn.XLOOKUP('Project EPC'!$B26, 'Assumptions &amp; Inputs'!$F$26:$L$26, 'Assumptions &amp; Inputs'!$F$48:$L$48)</f>
        <v>#N/A</v>
      </c>
      <c r="O26" s="743" t="e">
        <f>-'Project CAPEX'!O26*_xlfn.XLOOKUP('Project EPC'!$B26, 'Assumptions &amp; Inputs'!$F$26:$L$26, 'Assumptions &amp; Inputs'!$F$48:$L$48)</f>
        <v>#N/A</v>
      </c>
      <c r="P26" s="743" t="e">
        <f>-'Project CAPEX'!P26*_xlfn.XLOOKUP('Project EPC'!$B26, 'Assumptions &amp; Inputs'!$F$26:$L$26, 'Assumptions &amp; Inputs'!$F$48:$L$48)</f>
        <v>#N/A</v>
      </c>
      <c r="Q26" s="743" t="e">
        <f>-'Project CAPEX'!Q26*_xlfn.XLOOKUP('Project EPC'!$B26, 'Assumptions &amp; Inputs'!$F$26:$L$26, 'Assumptions &amp; Inputs'!$F$48:$L$48)</f>
        <v>#N/A</v>
      </c>
      <c r="R26" s="743" t="e">
        <f>-'Project CAPEX'!R26*_xlfn.XLOOKUP('Project EPC'!$B26, 'Assumptions &amp; Inputs'!$F$26:$L$26, 'Assumptions &amp; Inputs'!$F$48:$L$48)</f>
        <v>#N/A</v>
      </c>
      <c r="S26" s="743" t="e">
        <f>-'Project CAPEX'!S26*_xlfn.XLOOKUP('Project EPC'!$B26, 'Assumptions &amp; Inputs'!$F$26:$L$26, 'Assumptions &amp; Inputs'!$F$48:$L$48)</f>
        <v>#N/A</v>
      </c>
      <c r="T26" s="743" t="e">
        <f>-'Project CAPEX'!T26*_xlfn.XLOOKUP('Project EPC'!$B26, 'Assumptions &amp; Inputs'!$F$26:$L$26, 'Assumptions &amp; Inputs'!$F$48:$L$48)</f>
        <v>#N/A</v>
      </c>
    </row>
  </sheetData>
  <mergeCells count="1">
    <mergeCell ref="E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7CCA-BC2F-4DA8-B533-EFEA71AD3C9A}">
  <dimension ref="A1:DG30"/>
  <sheetViews>
    <sheetView workbookViewId="0">
      <selection activeCell="A10" sqref="A10"/>
    </sheetView>
  </sheetViews>
  <sheetFormatPr baseColWidth="10" defaultColWidth="9.1640625" defaultRowHeight="15"/>
  <cols>
    <col min="1" max="1" width="30.1640625" style="655" customWidth="1"/>
    <col min="2" max="2" width="23" style="655" customWidth="1"/>
    <col min="3" max="3" width="18.1640625" style="655" customWidth="1"/>
    <col min="4" max="4" width="5.6640625" style="655" customWidth="1"/>
    <col min="5" max="20" width="12.6640625" style="655" customWidth="1"/>
    <col min="21" max="16384" width="9.1640625" style="655"/>
  </cols>
  <sheetData>
    <row r="1" spans="1:111" ht="27">
      <c r="A1" s="656" t="s">
        <v>54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8"/>
      <c r="AI1" s="658"/>
      <c r="AJ1" s="658"/>
      <c r="AK1" s="658"/>
      <c r="AL1" s="658"/>
      <c r="AM1" s="658"/>
      <c r="AN1" s="658"/>
      <c r="AO1" s="658"/>
      <c r="AP1" s="658"/>
      <c r="AQ1" s="658"/>
      <c r="AR1" s="658"/>
      <c r="AS1" s="658"/>
      <c r="AT1" s="658"/>
      <c r="AU1" s="658"/>
      <c r="AV1" s="658"/>
      <c r="AW1" s="658"/>
      <c r="AX1" s="658"/>
      <c r="AY1" s="658"/>
      <c r="AZ1" s="658"/>
      <c r="BA1" s="658"/>
      <c r="BB1" s="658"/>
      <c r="BC1" s="658"/>
      <c r="BD1" s="658"/>
      <c r="BE1" s="658"/>
      <c r="BF1" s="658"/>
      <c r="BG1" s="658"/>
      <c r="BH1" s="658"/>
      <c r="BI1" s="658"/>
      <c r="BJ1" s="658"/>
      <c r="BK1" s="658"/>
      <c r="BL1" s="658"/>
      <c r="BM1" s="658"/>
      <c r="BN1" s="658"/>
      <c r="BO1" s="658"/>
      <c r="BP1" s="658"/>
      <c r="BQ1" s="658"/>
      <c r="BR1" s="658"/>
      <c r="BS1" s="658"/>
      <c r="BT1" s="658"/>
      <c r="BU1" s="658"/>
      <c r="BV1" s="658"/>
      <c r="BW1" s="658"/>
      <c r="BX1" s="658"/>
      <c r="BY1" s="658"/>
      <c r="BZ1" s="658"/>
      <c r="CA1" s="658"/>
      <c r="CB1" s="658"/>
      <c r="CC1" s="658"/>
      <c r="CD1" s="658"/>
      <c r="CE1" s="658"/>
      <c r="CF1" s="658"/>
      <c r="CG1" s="658"/>
      <c r="CH1" s="658"/>
      <c r="CI1" s="658"/>
      <c r="CJ1" s="658"/>
      <c r="CK1" s="658"/>
      <c r="CL1" s="658"/>
      <c r="CM1" s="658"/>
      <c r="CN1" s="658"/>
      <c r="CO1" s="658"/>
      <c r="CP1" s="658"/>
      <c r="CQ1" s="658"/>
      <c r="CR1" s="658"/>
      <c r="CS1" s="658"/>
      <c r="CT1" s="658"/>
      <c r="CU1" s="658"/>
      <c r="CV1" s="658"/>
      <c r="CW1" s="658"/>
      <c r="CX1" s="658"/>
      <c r="CY1" s="658"/>
      <c r="CZ1" s="658"/>
      <c r="DA1" s="658"/>
      <c r="DB1" s="658"/>
      <c r="DC1" s="658"/>
      <c r="DD1" s="658"/>
      <c r="DE1" s="658"/>
      <c r="DF1" s="658"/>
      <c r="DG1" s="658"/>
    </row>
    <row r="2" spans="1:111">
      <c r="A2" s="655" t="s">
        <v>52</v>
      </c>
      <c r="B2" s="655" t="s">
        <v>45</v>
      </c>
      <c r="C2" s="655" t="s">
        <v>53</v>
      </c>
      <c r="E2" s="655">
        <v>0</v>
      </c>
      <c r="F2" s="655">
        <f>E2+1</f>
        <v>1</v>
      </c>
      <c r="G2" s="655">
        <f t="shared" ref="G2:T2" si="0">F2+1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111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_xlfn.XLOOKUP(A3, 'Project Master Sheet'!A:A, 'Project Master Sheet'!I:I)</f>
        <v>1</v>
      </c>
      <c r="E3" s="743">
        <f>IF($B3='Project List References'!$B$3, _xlfn.IFNA(_xlfn.XLOOKUP(E$2-$C3, 'GEN-CCGT'!$D$7:$AW$7, 'GEN-CCGT'!$D$118:$AW$118), 0), IF($B3='Project List References'!$B$4, _xlfn.IFNA(_xlfn.XLOOKUP(E$2-$C3, 'GEN-SOLAR'!$D$7:$AW$7, 'GEN-SOLAR'!$D$116:$AW$116), 0), IF($B3='Project List References'!$B$5, _xlfn.IFNA(_xlfn.XLOOKUP(E$2-$C3, 'GEN-BESS'!$D$7:$AW$7, 'GEN-BESS'!$D$120:$AW$120), 0), IF($B3='Project List References'!$B$6, _xlfn.IFNA(_xlfn.XLOOKUP(E$2-$C3, 'GEN-CARBON'!$D$7:$AW$7, 'GEN-CARBON'!$D$118:$AW$118), 0), IF($B3='Project List References'!$B$7, _xlfn.IFNA(_xlfn.XLOOKUP(E$2-$C3, 'SENS Coal'!$D$7:$AW$7, 'SENS Coal'!$D$134:$AW$134), 0), IF($B3='Project List References'!$B$8, _xlfn.IFNA(_xlfn.XLOOKUP(E$2-$C3,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F3" s="743">
        <f>IF($B3='Project List References'!$B$3, _xlfn.IFNA(_xlfn.XLOOKUP(F$2-$C3, 'GEN-CCGT'!$D$7:$AW$7, 'GEN-CCGT'!$D$118:$AW$118), 0), IF($B3='Project List References'!$B$4, _xlfn.IFNA(_xlfn.XLOOKUP(F$2-$C3, 'GEN-SOLAR'!$D$7:$AW$7, 'GEN-SOLAR'!$D$116:$AW$116), 0), IF($B3='Project List References'!$B$5, _xlfn.IFNA(_xlfn.XLOOKUP(F$2-$C3, 'GEN-BESS'!$D$7:$AW$7, 'GEN-BESS'!$D$120:$AW$120), 0), IF($B3='Project List References'!$B$6, _xlfn.IFNA(_xlfn.XLOOKUP(F$2-$C3, 'GEN-CARBON'!$D$7:$AW$7, 'GEN-CARBON'!$D$118:$AW$118), 0), IF($B3='Project List References'!$B$7, _xlfn.IFNA(_xlfn.XLOOKUP(F$2-$C3, 'SENS Coal'!$D$7:$AW$7, 'SENS Coal'!$D$134:$AW$134), 0), IF($B3='Project List References'!$B$8, _xlfn.IFNA(_xlfn.XLOOKUP(F$2-$C3,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G3" s="743">
        <f>IF($B3='Project List References'!$B$3, _xlfn.IFNA(_xlfn.XLOOKUP(G$2-$C3, 'GEN-CCGT'!$D$7:$AW$7, 'GEN-CCGT'!$D$118:$AW$118), 0), IF($B3='Project List References'!$B$4, _xlfn.IFNA(_xlfn.XLOOKUP(G$2-$C3, 'GEN-SOLAR'!$D$7:$AW$7, 'GEN-SOLAR'!$D$116:$AW$116), 0), IF($B3='Project List References'!$B$5, _xlfn.IFNA(_xlfn.XLOOKUP(G$2-$C3, 'GEN-BESS'!$D$7:$AW$7, 'GEN-BESS'!$D$120:$AW$120), 0), IF($B3='Project List References'!$B$6, _xlfn.IFNA(_xlfn.XLOOKUP(G$2-$C3, 'GEN-CARBON'!$D$7:$AW$7, 'GEN-CARBON'!$D$118:$AW$118), 0), IF($B3='Project List References'!$B$7, _xlfn.IFNA(_xlfn.XLOOKUP(G$2-$C3, 'SENS Coal'!$D$7:$AW$7, 'SENS Coal'!$D$134:$AW$134), 0), IF($B3='Project List References'!$B$8, _xlfn.IFNA(_xlfn.XLOOKUP(G$2-$C3,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H3" s="743">
        <f>IF($B3='Project List References'!$B$3, _xlfn.IFNA(_xlfn.XLOOKUP(H$2-$C3, 'GEN-CCGT'!$D$7:$AW$7, 'GEN-CCGT'!$D$118:$AW$118), 0), IF($B3='Project List References'!$B$4, _xlfn.IFNA(_xlfn.XLOOKUP(H$2-$C3, 'GEN-SOLAR'!$D$7:$AW$7, 'GEN-SOLAR'!$D$116:$AW$116), 0), IF($B3='Project List References'!$B$5, _xlfn.IFNA(_xlfn.XLOOKUP(H$2-$C3, 'GEN-BESS'!$D$7:$AW$7, 'GEN-BESS'!$D$120:$AW$120), 0), IF($B3='Project List References'!$B$6, _xlfn.IFNA(_xlfn.XLOOKUP(H$2-$C3, 'GEN-CARBON'!$D$7:$AW$7, 'GEN-CARBON'!$D$118:$AW$118), 0), IF($B3='Project List References'!$B$7, _xlfn.IFNA(_xlfn.XLOOKUP(H$2-$C3, 'SENS Coal'!$D$7:$AW$7, 'SENS Coal'!$D$134:$AW$134), 0), IF($B3='Project List References'!$B$8, _xlfn.IFNA(_xlfn.XLOOKUP(H$2-$C3,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I3" s="743">
        <f>IF($B3='Project List References'!$B$3, _xlfn.IFNA(_xlfn.XLOOKUP(I$2-$C3, 'GEN-CCGT'!$D$7:$AW$7, 'GEN-CCGT'!$D$118:$AW$118), 0), IF($B3='Project List References'!$B$4, _xlfn.IFNA(_xlfn.XLOOKUP(I$2-$C3, 'GEN-SOLAR'!$D$7:$AW$7, 'GEN-SOLAR'!$D$116:$AW$116), 0), IF($B3='Project List References'!$B$5, _xlfn.IFNA(_xlfn.XLOOKUP(I$2-$C3, 'GEN-BESS'!$D$7:$AW$7, 'GEN-BESS'!$D$120:$AW$120), 0), IF($B3='Project List References'!$B$6, _xlfn.IFNA(_xlfn.XLOOKUP(I$2-$C3, 'GEN-CARBON'!$D$7:$AW$7, 'GEN-CARBON'!$D$118:$AW$118), 0), IF($B3='Project List References'!$B$7, _xlfn.IFNA(_xlfn.XLOOKUP(I$2-$C3, 'SENS Coal'!$D$7:$AW$7, 'SENS Coal'!$D$134:$AW$134), 0), IF($B3='Project List References'!$B$8, _xlfn.IFNA(_xlfn.XLOOKUP(I$2-$C3,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J3" s="743">
        <f>IF($B3='Project List References'!$B$3, _xlfn.IFNA(_xlfn.XLOOKUP(J$2-$C3, 'GEN-CCGT'!$D$7:$AW$7, 'GEN-CCGT'!$D$118:$AW$118), 0), IF($B3='Project List References'!$B$4, _xlfn.IFNA(_xlfn.XLOOKUP(J$2-$C3, 'GEN-SOLAR'!$D$7:$AW$7, 'GEN-SOLAR'!$D$116:$AW$116), 0), IF($B3='Project List References'!$B$5, _xlfn.IFNA(_xlfn.XLOOKUP(J$2-$C3, 'GEN-BESS'!$D$7:$AW$7, 'GEN-BESS'!$D$120:$AW$120), 0), IF($B3='Project List References'!$B$6, _xlfn.IFNA(_xlfn.XLOOKUP(J$2-$C3, 'GEN-CARBON'!$D$7:$AW$7, 'GEN-CARBON'!$D$118:$AW$118), 0), IF($B3='Project List References'!$B$7, _xlfn.IFNA(_xlfn.XLOOKUP(J$2-$C3, 'SENS Coal'!$D$7:$AW$7, 'SENS Coal'!$D$134:$AW$134), 0), IF($B3='Project List References'!$B$8, _xlfn.IFNA(_xlfn.XLOOKUP(J$2-$C3,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172.93583915564543</v>
      </c>
      <c r="K3" s="743">
        <f>IF($B3='Project List References'!$B$3, _xlfn.IFNA(_xlfn.XLOOKUP(K$2-$C3, 'GEN-CCGT'!$D$7:$AW$7, 'GEN-CCGT'!$D$118:$AW$118), 0), IF($B3='Project List References'!$B$4, _xlfn.IFNA(_xlfn.XLOOKUP(K$2-$C3, 'GEN-SOLAR'!$D$7:$AW$7, 'GEN-SOLAR'!$D$116:$AW$116), 0), IF($B3='Project List References'!$B$5, _xlfn.IFNA(_xlfn.XLOOKUP(K$2-$C3, 'GEN-BESS'!$D$7:$AW$7, 'GEN-BESS'!$D$120:$AW$120), 0), IF($B3='Project List References'!$B$6, _xlfn.IFNA(_xlfn.XLOOKUP(K$2-$C3, 'GEN-CARBON'!$D$7:$AW$7, 'GEN-CARBON'!$D$118:$AW$118), 0), IF($B3='Project List References'!$B$7, _xlfn.IFNA(_xlfn.XLOOKUP(K$2-$C3, 'SENS Coal'!$D$7:$AW$7, 'SENS Coal'!$D$134:$AW$134), 0), IF($B3='Project List References'!$B$8, _xlfn.IFNA(_xlfn.XLOOKUP(K$2-$C3,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210.97023301645515</v>
      </c>
      <c r="L3" s="743">
        <f>IF($B3='Project List References'!$B$3, _xlfn.IFNA(_xlfn.XLOOKUP(L$2-$C3, 'GEN-CCGT'!$D$7:$AW$7, 'GEN-CCGT'!$D$118:$AW$118), 0), IF($B3='Project List References'!$B$4, _xlfn.IFNA(_xlfn.XLOOKUP(L$2-$C3, 'GEN-SOLAR'!$D$7:$AW$7, 'GEN-SOLAR'!$D$116:$AW$116), 0), IF($B3='Project List References'!$B$5, _xlfn.IFNA(_xlfn.XLOOKUP(L$2-$C3, 'GEN-BESS'!$D$7:$AW$7, 'GEN-BESS'!$D$120:$AW$120), 0), IF($B3='Project List References'!$B$6, _xlfn.IFNA(_xlfn.XLOOKUP(L$2-$C3, 'GEN-CARBON'!$D$7:$AW$7, 'GEN-CARBON'!$D$118:$AW$118), 0), IF($B3='Project List References'!$B$7, _xlfn.IFNA(_xlfn.XLOOKUP(L$2-$C3, 'SENS Coal'!$D$7:$AW$7, 'SENS Coal'!$D$134:$AW$134), 0), IF($B3='Project List References'!$B$8, _xlfn.IFNA(_xlfn.XLOOKUP(L$2-$C3,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214.65166358259236</v>
      </c>
      <c r="M3" s="743">
        <f>IF($B3='Project List References'!$B$3, _xlfn.IFNA(_xlfn.XLOOKUP(M$2-$C3, 'GEN-CCGT'!$D$7:$AW$7, 'GEN-CCGT'!$D$118:$AW$118), 0), IF($B3='Project List References'!$B$4, _xlfn.IFNA(_xlfn.XLOOKUP(M$2-$C3, 'GEN-SOLAR'!$D$7:$AW$7, 'GEN-SOLAR'!$D$116:$AW$116), 0), IF($B3='Project List References'!$B$5, _xlfn.IFNA(_xlfn.XLOOKUP(M$2-$C3, 'GEN-BESS'!$D$7:$AW$7, 'GEN-BESS'!$D$120:$AW$120), 0), IF($B3='Project List References'!$B$6, _xlfn.IFNA(_xlfn.XLOOKUP(M$2-$C3, 'GEN-CARBON'!$D$7:$AW$7, 'GEN-CARBON'!$D$118:$AW$118), 0), IF($B3='Project List References'!$B$7, _xlfn.IFNA(_xlfn.XLOOKUP(M$2-$C3, 'SENS Coal'!$D$7:$AW$7, 'SENS Coal'!$D$134:$AW$134), 0), IF($B3='Project List References'!$B$8, _xlfn.IFNA(_xlfn.XLOOKUP(M$2-$C3,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218.39733511210855</v>
      </c>
      <c r="N3" s="743">
        <f>IF($B3='Project List References'!$B$3, _xlfn.IFNA(_xlfn.XLOOKUP(N$2-$C3, 'GEN-CCGT'!$D$7:$AW$7, 'GEN-CCGT'!$D$118:$AW$118), 0), IF($B3='Project List References'!$B$4, _xlfn.IFNA(_xlfn.XLOOKUP(N$2-$C3, 'GEN-SOLAR'!$D$7:$AW$7, 'GEN-SOLAR'!$D$116:$AW$116), 0), IF($B3='Project List References'!$B$5, _xlfn.IFNA(_xlfn.XLOOKUP(N$2-$C3, 'GEN-BESS'!$D$7:$AW$7, 'GEN-BESS'!$D$120:$AW$120), 0), IF($B3='Project List References'!$B$6, _xlfn.IFNA(_xlfn.XLOOKUP(N$2-$C3, 'GEN-CARBON'!$D$7:$AW$7, 'GEN-CARBON'!$D$118:$AW$118), 0), IF($B3='Project List References'!$B$7, _xlfn.IFNA(_xlfn.XLOOKUP(N$2-$C3, 'SENS Coal'!$D$7:$AW$7, 'SENS Coal'!$D$134:$AW$134), 0), IF($B3='Project List References'!$B$8, _xlfn.IFNA(_xlfn.XLOOKUP(N$2-$C3,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222.20836860981484</v>
      </c>
      <c r="O3" s="743">
        <f>IF($B3='Project List References'!$B$3, _xlfn.IFNA(_xlfn.XLOOKUP(O$2-$C3, 'GEN-CCGT'!$D$7:$AW$7, 'GEN-CCGT'!$D$118:$AW$118), 0), IF($B3='Project List References'!$B$4, _xlfn.IFNA(_xlfn.XLOOKUP(O$2-$C3, 'GEN-SOLAR'!$D$7:$AW$7, 'GEN-SOLAR'!$D$116:$AW$116), 0), IF($B3='Project List References'!$B$5, _xlfn.IFNA(_xlfn.XLOOKUP(O$2-$C3, 'GEN-BESS'!$D$7:$AW$7, 'GEN-BESS'!$D$120:$AW$120), 0), IF($B3='Project List References'!$B$6, _xlfn.IFNA(_xlfn.XLOOKUP(O$2-$C3, 'GEN-CARBON'!$D$7:$AW$7, 'GEN-CARBON'!$D$118:$AW$118), 0), IF($B3='Project List References'!$B$7, _xlfn.IFNA(_xlfn.XLOOKUP(O$2-$C3, 'SENS Coal'!$D$7:$AW$7, 'SENS Coal'!$D$134:$AW$134), 0), IF($B3='Project List References'!$B$8, _xlfn.IFNA(_xlfn.XLOOKUP(O$2-$C3,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226.08590464205616</v>
      </c>
      <c r="P3" s="743">
        <f>IF($B3='Project List References'!$B$3, _xlfn.IFNA(_xlfn.XLOOKUP(P$2-$C3, 'GEN-CCGT'!$D$7:$AW$7, 'GEN-CCGT'!$D$118:$AW$118), 0), IF($B3='Project List References'!$B$4, _xlfn.IFNA(_xlfn.XLOOKUP(P$2-$C3, 'GEN-SOLAR'!$D$7:$AW$7, 'GEN-SOLAR'!$D$116:$AW$116), 0), IF($B3='Project List References'!$B$5, _xlfn.IFNA(_xlfn.XLOOKUP(P$2-$C3, 'GEN-BESS'!$D$7:$AW$7, 'GEN-BESS'!$D$120:$AW$120), 0), IF($B3='Project List References'!$B$6, _xlfn.IFNA(_xlfn.XLOOKUP(P$2-$C3, 'GEN-CARBON'!$D$7:$AW$7, 'GEN-CARBON'!$D$118:$AW$118), 0), IF($B3='Project List References'!$B$7, _xlfn.IFNA(_xlfn.XLOOKUP(P$2-$C3, 'SENS Coal'!$D$7:$AW$7, 'SENS Coal'!$D$134:$AW$134), 0), IF($B3='Project List References'!$B$8, _xlfn.IFNA(_xlfn.XLOOKUP(P$2-$C3,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230.03110367806005</v>
      </c>
      <c r="Q3" s="743">
        <f>IF($B3='Project List References'!$B$3, _xlfn.IFNA(_xlfn.XLOOKUP(Q$2-$C3, 'GEN-CCGT'!$D$7:$AW$7, 'GEN-CCGT'!$D$118:$AW$118), 0), IF($B3='Project List References'!$B$4, _xlfn.IFNA(_xlfn.XLOOKUP(Q$2-$C3, 'GEN-SOLAR'!$D$7:$AW$7, 'GEN-SOLAR'!$D$116:$AW$116), 0), IF($B3='Project List References'!$B$5, _xlfn.IFNA(_xlfn.XLOOKUP(Q$2-$C3, 'GEN-BESS'!$D$7:$AW$7, 'GEN-BESS'!$D$120:$AW$120), 0), IF($B3='Project List References'!$B$6, _xlfn.IFNA(_xlfn.XLOOKUP(Q$2-$C3, 'GEN-CARBON'!$D$7:$AW$7, 'GEN-CARBON'!$D$118:$AW$118), 0), IF($B3='Project List References'!$B$7, _xlfn.IFNA(_xlfn.XLOOKUP(Q$2-$C3, 'SENS Coal'!$D$7:$AW$7, 'SENS Coal'!$D$134:$AW$134), 0), IF($B3='Project List References'!$B$8, _xlfn.IFNA(_xlfn.XLOOKUP(Q$2-$C3,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234.04514643724218</v>
      </c>
      <c r="R3" s="743">
        <f>IF($B3='Project List References'!$B$3, _xlfn.IFNA(_xlfn.XLOOKUP(R$2-$C3, 'GEN-CCGT'!$D$7:$AW$7, 'GEN-CCGT'!$D$118:$AW$118), 0), IF($B3='Project List References'!$B$4, _xlfn.IFNA(_xlfn.XLOOKUP(R$2-$C3, 'GEN-SOLAR'!$D$7:$AW$7, 'GEN-SOLAR'!$D$116:$AW$116), 0), IF($B3='Project List References'!$B$5, _xlfn.IFNA(_xlfn.XLOOKUP(R$2-$C3, 'GEN-BESS'!$D$7:$AW$7, 'GEN-BESS'!$D$120:$AW$120), 0), IF($B3='Project List References'!$B$6, _xlfn.IFNA(_xlfn.XLOOKUP(R$2-$C3, 'GEN-CARBON'!$D$7:$AW$7, 'GEN-CARBON'!$D$118:$AW$118), 0), IF($B3='Project List References'!$B$7, _xlfn.IFNA(_xlfn.XLOOKUP(R$2-$C3, 'SENS Coal'!$D$7:$AW$7, 'SENS Coal'!$D$134:$AW$134), 0), IF($B3='Project List References'!$B$8, _xlfn.IFNA(_xlfn.XLOOKUP(R$2-$C3,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238.1292342425721</v>
      </c>
      <c r="S3" s="743">
        <f>IF($B3='Project List References'!$B$3, _xlfn.IFNA(_xlfn.XLOOKUP(S$2-$C3, 'GEN-CCGT'!$D$7:$AW$7, 'GEN-CCGT'!$D$118:$AW$118), 0), IF($B3='Project List References'!$B$4, _xlfn.IFNA(_xlfn.XLOOKUP(S$2-$C3, 'GEN-SOLAR'!$D$7:$AW$7, 'GEN-SOLAR'!$D$116:$AW$116), 0), IF($B3='Project List References'!$B$5, _xlfn.IFNA(_xlfn.XLOOKUP(S$2-$C3, 'GEN-BESS'!$D$7:$AW$7, 'GEN-BESS'!$D$120:$AW$120), 0), IF($B3='Project List References'!$B$6, _xlfn.IFNA(_xlfn.XLOOKUP(S$2-$C3, 'GEN-CARBON'!$D$7:$AW$7, 'GEN-CARBON'!$D$118:$AW$118), 0), IF($B3='Project List References'!$B$7, _xlfn.IFNA(_xlfn.XLOOKUP(S$2-$C3, 'SENS Coal'!$D$7:$AW$7, 'SENS Coal'!$D$134:$AW$134), 0), IF($B3='Project List References'!$B$8, _xlfn.IFNA(_xlfn.XLOOKUP(S$2-$C3,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242.28458938010499</v>
      </c>
      <c r="T3" s="743">
        <f>IF($B3='Project List References'!$B$3, _xlfn.IFNA(_xlfn.XLOOKUP(T$2-$C3, 'GEN-CCGT'!$D$7:$AW$7, 'GEN-CCGT'!$D$118:$AW$118), 0), IF($B3='Project List References'!$B$4, _xlfn.IFNA(_xlfn.XLOOKUP(T$2-$C3, 'GEN-SOLAR'!$D$7:$AW$7, 'GEN-SOLAR'!$D$116:$AW$116), 0), IF($B3='Project List References'!$B$5, _xlfn.IFNA(_xlfn.XLOOKUP(T$2-$C3, 'GEN-BESS'!$D$7:$AW$7, 'GEN-BESS'!$D$120:$AW$120), 0), IF($B3='Project List References'!$B$6, _xlfn.IFNA(_xlfn.XLOOKUP(T$2-$C3, 'GEN-CARBON'!$D$7:$AW$7, 'GEN-CARBON'!$D$118:$AW$118), 0), IF($B3='Project List References'!$B$7, _xlfn.IFNA(_xlfn.XLOOKUP(T$2-$C3, 'SENS Coal'!$D$7:$AW$7, 'SENS Coal'!$D$134:$AW$134), 0), IF($B3='Project List References'!$B$8, _xlfn.IFNA(_xlfn.XLOOKUP(T$2-$C3, 'SENS Tires'!$D$7:$AW$7, 'SENS Tires'!$D$132:$AW$132),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246.51245546478782</v>
      </c>
    </row>
    <row r="4" spans="1:111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_xlfn.XLOOKUP(A4, 'Project Master Sheet'!A:A, 'Project Master Sheet'!I:I)</f>
        <v>1</v>
      </c>
      <c r="E4" s="743">
        <f>IF($B4='Project List References'!$B$3, _xlfn.IFNA(_xlfn.XLOOKUP(E$2-$C4, 'GEN-CCGT'!$D$7:$AW$7, 'GEN-CCGT'!$D$118:$AW$118), 0), IF($B4='Project List References'!$B$4, _xlfn.IFNA(_xlfn.XLOOKUP(E$2-$C4, 'GEN-SOLAR'!$D$7:$AW$7, 'GEN-SOLAR'!$D$116:$AW$116), 0), IF($B4='Project List References'!$B$5, _xlfn.IFNA(_xlfn.XLOOKUP(E$2-$C4, 'GEN-BESS'!$D$7:$AW$7, 'GEN-BESS'!$D$120:$AW$120), 0), IF($B4='Project List References'!$B$6, _xlfn.IFNA(_xlfn.XLOOKUP(E$2-$C4, 'GEN-CARBON'!$D$7:$AW$7, 'GEN-CARBON'!$D$118:$AW$118), 0), IF($B4='Project List References'!$B$7, _xlfn.IFNA(_xlfn.XLOOKUP(E$2-$C4, 'SENS Coal'!$D$7:$AW$7, 'SENS Coal'!$D$134:$AW$134), 0), IF($B4='Project List References'!$B$8, _xlfn.IFNA(_xlfn.XLOOKUP(E$2-$C4,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F4" s="743">
        <f>IF($B4='Project List References'!$B$3, _xlfn.IFNA(_xlfn.XLOOKUP(F$2-$C4, 'GEN-CCGT'!$D$7:$AW$7, 'GEN-CCGT'!$D$118:$AW$118), 0), IF($B4='Project List References'!$B$4, _xlfn.IFNA(_xlfn.XLOOKUP(F$2-$C4, 'GEN-SOLAR'!$D$7:$AW$7, 'GEN-SOLAR'!$D$116:$AW$116), 0), IF($B4='Project List References'!$B$5, _xlfn.IFNA(_xlfn.XLOOKUP(F$2-$C4, 'GEN-BESS'!$D$7:$AW$7, 'GEN-BESS'!$D$120:$AW$120), 0), IF($B4='Project List References'!$B$6, _xlfn.IFNA(_xlfn.XLOOKUP(F$2-$C4, 'GEN-CARBON'!$D$7:$AW$7, 'GEN-CARBON'!$D$118:$AW$118), 0), IF($B4='Project List References'!$B$7, _xlfn.IFNA(_xlfn.XLOOKUP(F$2-$C4, 'SENS Coal'!$D$7:$AW$7, 'SENS Coal'!$D$134:$AW$134), 0), IF($B4='Project List References'!$B$8, _xlfn.IFNA(_xlfn.XLOOKUP(F$2-$C4,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G4" s="743">
        <f>IF($B4='Project List References'!$B$3, _xlfn.IFNA(_xlfn.XLOOKUP(G$2-$C4, 'GEN-CCGT'!$D$7:$AW$7, 'GEN-CCGT'!$D$118:$AW$118), 0), IF($B4='Project List References'!$B$4, _xlfn.IFNA(_xlfn.XLOOKUP(G$2-$C4, 'GEN-SOLAR'!$D$7:$AW$7, 'GEN-SOLAR'!$D$116:$AW$116), 0), IF($B4='Project List References'!$B$5, _xlfn.IFNA(_xlfn.XLOOKUP(G$2-$C4, 'GEN-BESS'!$D$7:$AW$7, 'GEN-BESS'!$D$120:$AW$120), 0), IF($B4='Project List References'!$B$6, _xlfn.IFNA(_xlfn.XLOOKUP(G$2-$C4, 'GEN-CARBON'!$D$7:$AW$7, 'GEN-CARBON'!$D$118:$AW$118), 0), IF($B4='Project List References'!$B$7, _xlfn.IFNA(_xlfn.XLOOKUP(G$2-$C4, 'SENS Coal'!$D$7:$AW$7, 'SENS Coal'!$D$134:$AW$134), 0), IF($B4='Project List References'!$B$8, _xlfn.IFNA(_xlfn.XLOOKUP(G$2-$C4,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2.7222439999999999</v>
      </c>
      <c r="H4" s="743">
        <f>IF($B4='Project List References'!$B$3, _xlfn.IFNA(_xlfn.XLOOKUP(H$2-$C4, 'GEN-CCGT'!$D$7:$AW$7, 'GEN-CCGT'!$D$118:$AW$118), 0), IF($B4='Project List References'!$B$4, _xlfn.IFNA(_xlfn.XLOOKUP(H$2-$C4, 'GEN-SOLAR'!$D$7:$AW$7, 'GEN-SOLAR'!$D$116:$AW$116), 0), IF($B4='Project List References'!$B$5, _xlfn.IFNA(_xlfn.XLOOKUP(H$2-$C4, 'GEN-BESS'!$D$7:$AW$7, 'GEN-BESS'!$D$120:$AW$120), 0), IF($B4='Project List References'!$B$6, _xlfn.IFNA(_xlfn.XLOOKUP(H$2-$C4, 'GEN-CARBON'!$D$7:$AW$7, 'GEN-CARBON'!$D$118:$AW$118), 0), IF($B4='Project List References'!$B$7, _xlfn.IFNA(_xlfn.XLOOKUP(H$2-$C4, 'SENS Coal'!$D$7:$AW$7, 'SENS Coal'!$D$134:$AW$134), 0), IF($B4='Project List References'!$B$8, _xlfn.IFNA(_xlfn.XLOOKUP(H$2-$C4,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3.3209567999999994</v>
      </c>
      <c r="I4" s="743">
        <f>IF($B4='Project List References'!$B$3, _xlfn.IFNA(_xlfn.XLOOKUP(I$2-$C4, 'GEN-CCGT'!$D$7:$AW$7, 'GEN-CCGT'!$D$118:$AW$118), 0), IF($B4='Project List References'!$B$4, _xlfn.IFNA(_xlfn.XLOOKUP(I$2-$C4, 'GEN-SOLAR'!$D$7:$AW$7, 'GEN-SOLAR'!$D$116:$AW$116), 0), IF($B4='Project List References'!$B$5, _xlfn.IFNA(_xlfn.XLOOKUP(I$2-$C4, 'GEN-BESS'!$D$7:$AW$7, 'GEN-BESS'!$D$120:$AW$120), 0), IF($B4='Project List References'!$B$6, _xlfn.IFNA(_xlfn.XLOOKUP(I$2-$C4, 'GEN-CARBON'!$D$7:$AW$7, 'GEN-CARBON'!$D$118:$AW$118), 0), IF($B4='Project List References'!$B$7, _xlfn.IFNA(_xlfn.XLOOKUP(I$2-$C4, 'SENS Coal'!$D$7:$AW$7, 'SENS Coal'!$D$134:$AW$134), 0), IF($B4='Project List References'!$B$8, _xlfn.IFNA(_xlfn.XLOOKUP(I$2-$C4,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3.3873759359999998</v>
      </c>
      <c r="J4" s="743">
        <f>IF($B4='Project List References'!$B$3, _xlfn.IFNA(_xlfn.XLOOKUP(J$2-$C4, 'GEN-CCGT'!$D$7:$AW$7, 'GEN-CCGT'!$D$118:$AW$118), 0), IF($B4='Project List References'!$B$4, _xlfn.IFNA(_xlfn.XLOOKUP(J$2-$C4, 'GEN-SOLAR'!$D$7:$AW$7, 'GEN-SOLAR'!$D$116:$AW$116), 0), IF($B4='Project List References'!$B$5, _xlfn.IFNA(_xlfn.XLOOKUP(J$2-$C4, 'GEN-BESS'!$D$7:$AW$7, 'GEN-BESS'!$D$120:$AW$120), 0), IF($B4='Project List References'!$B$6, _xlfn.IFNA(_xlfn.XLOOKUP(J$2-$C4, 'GEN-CARBON'!$D$7:$AW$7, 'GEN-CARBON'!$D$118:$AW$118), 0), IF($B4='Project List References'!$B$7, _xlfn.IFNA(_xlfn.XLOOKUP(J$2-$C4, 'SENS Coal'!$D$7:$AW$7, 'SENS Coal'!$D$134:$AW$134), 0), IF($B4='Project List References'!$B$8, _xlfn.IFNA(_xlfn.XLOOKUP(J$2-$C4,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3.4551234547200003</v>
      </c>
      <c r="K4" s="743">
        <f>IF($B4='Project List References'!$B$3, _xlfn.IFNA(_xlfn.XLOOKUP(K$2-$C4, 'GEN-CCGT'!$D$7:$AW$7, 'GEN-CCGT'!$D$118:$AW$118), 0), IF($B4='Project List References'!$B$4, _xlfn.IFNA(_xlfn.XLOOKUP(K$2-$C4, 'GEN-SOLAR'!$D$7:$AW$7, 'GEN-SOLAR'!$D$116:$AW$116), 0), IF($B4='Project List References'!$B$5, _xlfn.IFNA(_xlfn.XLOOKUP(K$2-$C4, 'GEN-BESS'!$D$7:$AW$7, 'GEN-BESS'!$D$120:$AW$120), 0), IF($B4='Project List References'!$B$6, _xlfn.IFNA(_xlfn.XLOOKUP(K$2-$C4, 'GEN-CARBON'!$D$7:$AW$7, 'GEN-CARBON'!$D$118:$AW$118), 0), IF($B4='Project List References'!$B$7, _xlfn.IFNA(_xlfn.XLOOKUP(K$2-$C4, 'SENS Coal'!$D$7:$AW$7, 'SENS Coal'!$D$134:$AW$134), 0), IF($B4='Project List References'!$B$8, _xlfn.IFNA(_xlfn.XLOOKUP(K$2-$C4,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3.5242259238144005</v>
      </c>
      <c r="L4" s="743">
        <f>IF($B4='Project List References'!$B$3, _xlfn.IFNA(_xlfn.XLOOKUP(L$2-$C4, 'GEN-CCGT'!$D$7:$AW$7, 'GEN-CCGT'!$D$118:$AW$118), 0), IF($B4='Project List References'!$B$4, _xlfn.IFNA(_xlfn.XLOOKUP(L$2-$C4, 'GEN-SOLAR'!$D$7:$AW$7, 'GEN-SOLAR'!$D$116:$AW$116), 0), IF($B4='Project List References'!$B$5, _xlfn.IFNA(_xlfn.XLOOKUP(L$2-$C4, 'GEN-BESS'!$D$7:$AW$7, 'GEN-BESS'!$D$120:$AW$120), 0), IF($B4='Project List References'!$B$6, _xlfn.IFNA(_xlfn.XLOOKUP(L$2-$C4, 'GEN-CARBON'!$D$7:$AW$7, 'GEN-CARBON'!$D$118:$AW$118), 0), IF($B4='Project List References'!$B$7, _xlfn.IFNA(_xlfn.XLOOKUP(L$2-$C4, 'SENS Coal'!$D$7:$AW$7, 'SENS Coal'!$D$134:$AW$134), 0), IF($B4='Project List References'!$B$8, _xlfn.IFNA(_xlfn.XLOOKUP(L$2-$C4,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3.5947104422906886</v>
      </c>
      <c r="M4" s="743">
        <f>IF($B4='Project List References'!$B$3, _xlfn.IFNA(_xlfn.XLOOKUP(M$2-$C4, 'GEN-CCGT'!$D$7:$AW$7, 'GEN-CCGT'!$D$118:$AW$118), 0), IF($B4='Project List References'!$B$4, _xlfn.IFNA(_xlfn.XLOOKUP(M$2-$C4, 'GEN-SOLAR'!$D$7:$AW$7, 'GEN-SOLAR'!$D$116:$AW$116), 0), IF($B4='Project List References'!$B$5, _xlfn.IFNA(_xlfn.XLOOKUP(M$2-$C4, 'GEN-BESS'!$D$7:$AW$7, 'GEN-BESS'!$D$120:$AW$120), 0), IF($B4='Project List References'!$B$6, _xlfn.IFNA(_xlfn.XLOOKUP(M$2-$C4, 'GEN-CARBON'!$D$7:$AW$7, 'GEN-CARBON'!$D$118:$AW$118), 0), IF($B4='Project List References'!$B$7, _xlfn.IFNA(_xlfn.XLOOKUP(M$2-$C4, 'SENS Coal'!$D$7:$AW$7, 'SENS Coal'!$D$134:$AW$134), 0), IF($B4='Project List References'!$B$8, _xlfn.IFNA(_xlfn.XLOOKUP(M$2-$C4,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3.6666046511365016</v>
      </c>
      <c r="N4" s="743">
        <f>IF($B4='Project List References'!$B$3, _xlfn.IFNA(_xlfn.XLOOKUP(N$2-$C4, 'GEN-CCGT'!$D$7:$AW$7, 'GEN-CCGT'!$D$118:$AW$118), 0), IF($B4='Project List References'!$B$4, _xlfn.IFNA(_xlfn.XLOOKUP(N$2-$C4, 'GEN-SOLAR'!$D$7:$AW$7, 'GEN-SOLAR'!$D$116:$AW$116), 0), IF($B4='Project List References'!$B$5, _xlfn.IFNA(_xlfn.XLOOKUP(N$2-$C4, 'GEN-BESS'!$D$7:$AW$7, 'GEN-BESS'!$D$120:$AW$120), 0), IF($B4='Project List References'!$B$6, _xlfn.IFNA(_xlfn.XLOOKUP(N$2-$C4, 'GEN-CARBON'!$D$7:$AW$7, 'GEN-CARBON'!$D$118:$AW$118), 0), IF($B4='Project List References'!$B$7, _xlfn.IFNA(_xlfn.XLOOKUP(N$2-$C4, 'SENS Coal'!$D$7:$AW$7, 'SENS Coal'!$D$134:$AW$134), 0), IF($B4='Project List References'!$B$8, _xlfn.IFNA(_xlfn.XLOOKUP(N$2-$C4,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3.7399367441592313</v>
      </c>
      <c r="O4" s="743">
        <f>IF($B4='Project List References'!$B$3, _xlfn.IFNA(_xlfn.XLOOKUP(O$2-$C4, 'GEN-CCGT'!$D$7:$AW$7, 'GEN-CCGT'!$D$118:$AW$118), 0), IF($B4='Project List References'!$B$4, _xlfn.IFNA(_xlfn.XLOOKUP(O$2-$C4, 'GEN-SOLAR'!$D$7:$AW$7, 'GEN-SOLAR'!$D$116:$AW$116), 0), IF($B4='Project List References'!$B$5, _xlfn.IFNA(_xlfn.XLOOKUP(O$2-$C4, 'GEN-BESS'!$D$7:$AW$7, 'GEN-BESS'!$D$120:$AW$120), 0), IF($B4='Project List References'!$B$6, _xlfn.IFNA(_xlfn.XLOOKUP(O$2-$C4, 'GEN-CARBON'!$D$7:$AW$7, 'GEN-CARBON'!$D$118:$AW$118), 0), IF($B4='Project List References'!$B$7, _xlfn.IFNA(_xlfn.XLOOKUP(O$2-$C4, 'SENS Coal'!$D$7:$AW$7, 'SENS Coal'!$D$134:$AW$134), 0), IF($B4='Project List References'!$B$8, _xlfn.IFNA(_xlfn.XLOOKUP(O$2-$C4,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3.8147354790424166</v>
      </c>
      <c r="P4" s="743">
        <f>IF($B4='Project List References'!$B$3, _xlfn.IFNA(_xlfn.XLOOKUP(P$2-$C4, 'GEN-CCGT'!$D$7:$AW$7, 'GEN-CCGT'!$D$118:$AW$118), 0), IF($B4='Project List References'!$B$4, _xlfn.IFNA(_xlfn.XLOOKUP(P$2-$C4, 'GEN-SOLAR'!$D$7:$AW$7, 'GEN-SOLAR'!$D$116:$AW$116), 0), IF($B4='Project List References'!$B$5, _xlfn.IFNA(_xlfn.XLOOKUP(P$2-$C4, 'GEN-BESS'!$D$7:$AW$7, 'GEN-BESS'!$D$120:$AW$120), 0), IF($B4='Project List References'!$B$6, _xlfn.IFNA(_xlfn.XLOOKUP(P$2-$C4, 'GEN-CARBON'!$D$7:$AW$7, 'GEN-CARBON'!$D$118:$AW$118), 0), IF($B4='Project List References'!$B$7, _xlfn.IFNA(_xlfn.XLOOKUP(P$2-$C4, 'SENS Coal'!$D$7:$AW$7, 'SENS Coal'!$D$134:$AW$134), 0), IF($B4='Project List References'!$B$8, _xlfn.IFNA(_xlfn.XLOOKUP(P$2-$C4,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3.8910301886232643</v>
      </c>
      <c r="Q4" s="743">
        <f>IF($B4='Project List References'!$B$3, _xlfn.IFNA(_xlfn.XLOOKUP(Q$2-$C4, 'GEN-CCGT'!$D$7:$AW$7, 'GEN-CCGT'!$D$118:$AW$118), 0), IF($B4='Project List References'!$B$4, _xlfn.IFNA(_xlfn.XLOOKUP(Q$2-$C4, 'GEN-SOLAR'!$D$7:$AW$7, 'GEN-SOLAR'!$D$116:$AW$116), 0), IF($B4='Project List References'!$B$5, _xlfn.IFNA(_xlfn.XLOOKUP(Q$2-$C4, 'GEN-BESS'!$D$7:$AW$7, 'GEN-BESS'!$D$120:$AW$120), 0), IF($B4='Project List References'!$B$6, _xlfn.IFNA(_xlfn.XLOOKUP(Q$2-$C4, 'GEN-CARBON'!$D$7:$AW$7, 'GEN-CARBON'!$D$118:$AW$118), 0), IF($B4='Project List References'!$B$7, _xlfn.IFNA(_xlfn.XLOOKUP(Q$2-$C4, 'SENS Coal'!$D$7:$AW$7, 'SENS Coal'!$D$134:$AW$134), 0), IF($B4='Project List References'!$B$8, _xlfn.IFNA(_xlfn.XLOOKUP(Q$2-$C4,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3.9688507923957292</v>
      </c>
      <c r="R4" s="743">
        <f>IF($B4='Project List References'!$B$3, _xlfn.IFNA(_xlfn.XLOOKUP(R$2-$C4, 'GEN-CCGT'!$D$7:$AW$7, 'GEN-CCGT'!$D$118:$AW$118), 0), IF($B4='Project List References'!$B$4, _xlfn.IFNA(_xlfn.XLOOKUP(R$2-$C4, 'GEN-SOLAR'!$D$7:$AW$7, 'GEN-SOLAR'!$D$116:$AW$116), 0), IF($B4='Project List References'!$B$5, _xlfn.IFNA(_xlfn.XLOOKUP(R$2-$C4, 'GEN-BESS'!$D$7:$AW$7, 'GEN-BESS'!$D$120:$AW$120), 0), IF($B4='Project List References'!$B$6, _xlfn.IFNA(_xlfn.XLOOKUP(R$2-$C4, 'GEN-CARBON'!$D$7:$AW$7, 'GEN-CARBON'!$D$118:$AW$118), 0), IF($B4='Project List References'!$B$7, _xlfn.IFNA(_xlfn.XLOOKUP(R$2-$C4, 'SENS Coal'!$D$7:$AW$7, 'SENS Coal'!$D$134:$AW$134), 0), IF($B4='Project List References'!$B$8, _xlfn.IFNA(_xlfn.XLOOKUP(R$2-$C4,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4.0482278082436443</v>
      </c>
      <c r="S4" s="743">
        <f>IF($B4='Project List References'!$B$3, _xlfn.IFNA(_xlfn.XLOOKUP(S$2-$C4, 'GEN-CCGT'!$D$7:$AW$7, 'GEN-CCGT'!$D$118:$AW$118), 0), IF($B4='Project List References'!$B$4, _xlfn.IFNA(_xlfn.XLOOKUP(S$2-$C4, 'GEN-SOLAR'!$D$7:$AW$7, 'GEN-SOLAR'!$D$116:$AW$116), 0), IF($B4='Project List References'!$B$5, _xlfn.IFNA(_xlfn.XLOOKUP(S$2-$C4, 'GEN-BESS'!$D$7:$AW$7, 'GEN-BESS'!$D$120:$AW$120), 0), IF($B4='Project List References'!$B$6, _xlfn.IFNA(_xlfn.XLOOKUP(S$2-$C4, 'GEN-CARBON'!$D$7:$AW$7, 'GEN-CARBON'!$D$118:$AW$118), 0), IF($B4='Project List References'!$B$7, _xlfn.IFNA(_xlfn.XLOOKUP(S$2-$C4, 'SENS Coal'!$D$7:$AW$7, 'SENS Coal'!$D$134:$AW$134), 0), IF($B4='Project List References'!$B$8, _xlfn.IFNA(_xlfn.XLOOKUP(S$2-$C4,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4.1291923644085173</v>
      </c>
      <c r="T4" s="743">
        <f>IF($B4='Project List References'!$B$3, _xlfn.IFNA(_xlfn.XLOOKUP(T$2-$C4, 'GEN-CCGT'!$D$7:$AW$7, 'GEN-CCGT'!$D$118:$AW$118), 0), IF($B4='Project List References'!$B$4, _xlfn.IFNA(_xlfn.XLOOKUP(T$2-$C4, 'GEN-SOLAR'!$D$7:$AW$7, 'GEN-SOLAR'!$D$116:$AW$116), 0), IF($B4='Project List References'!$B$5, _xlfn.IFNA(_xlfn.XLOOKUP(T$2-$C4, 'GEN-BESS'!$D$7:$AW$7, 'GEN-BESS'!$D$120:$AW$120), 0), IF($B4='Project List References'!$B$6, _xlfn.IFNA(_xlfn.XLOOKUP(T$2-$C4, 'GEN-CARBON'!$D$7:$AW$7, 'GEN-CARBON'!$D$118:$AW$118), 0), IF($B4='Project List References'!$B$7, _xlfn.IFNA(_xlfn.XLOOKUP(T$2-$C4, 'SENS Coal'!$D$7:$AW$7, 'SENS Coal'!$D$134:$AW$134), 0), IF($B4='Project List References'!$B$8, _xlfn.IFNA(_xlfn.XLOOKUP(T$2-$C4, 'SENS Tires'!$D$7:$AW$7, 'SENS Tires'!$D$132:$AW$132),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4.2117762116966881</v>
      </c>
    </row>
    <row r="5" spans="1:111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_xlfn.XLOOKUP(A5, 'Project Master Sheet'!A:A, 'Project Master Sheet'!I:I)</f>
        <v>2</v>
      </c>
      <c r="E5" s="743">
        <f>IF($B5='Project List References'!$B$3, _xlfn.IFNA(_xlfn.XLOOKUP(E$2-$C5, 'GEN-CCGT'!$D$7:$AW$7, 'GEN-CCGT'!$D$118:$AW$118), 0), IF($B5='Project List References'!$B$4, _xlfn.IFNA(_xlfn.XLOOKUP(E$2-$C5, 'GEN-SOLAR'!$D$7:$AW$7, 'GEN-SOLAR'!$D$116:$AW$116), 0), IF($B5='Project List References'!$B$5, _xlfn.IFNA(_xlfn.XLOOKUP(E$2-$C5, 'GEN-BESS'!$D$7:$AW$7, 'GEN-BESS'!$D$120:$AW$120), 0), IF($B5='Project List References'!$B$6, _xlfn.IFNA(_xlfn.XLOOKUP(E$2-$C5, 'GEN-CARBON'!$D$7:$AW$7, 'GEN-CARBON'!$D$118:$AW$118), 0), IF($B5='Project List References'!$B$7, _xlfn.IFNA(_xlfn.XLOOKUP(E$2-$C5, 'SENS Coal'!$D$7:$AW$7, 'SENS Coal'!$D$134:$AW$134), 0), IF($B5='Project List References'!$B$8, _xlfn.IFNA(_xlfn.XLOOKUP(E$2-$C5,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F5" s="743">
        <f>IF($B5='Project List References'!$B$3, _xlfn.IFNA(_xlfn.XLOOKUP(F$2-$C5, 'GEN-CCGT'!$D$7:$AW$7, 'GEN-CCGT'!$D$118:$AW$118), 0), IF($B5='Project List References'!$B$4, _xlfn.IFNA(_xlfn.XLOOKUP(F$2-$C5, 'GEN-SOLAR'!$D$7:$AW$7, 'GEN-SOLAR'!$D$116:$AW$116), 0), IF($B5='Project List References'!$B$5, _xlfn.IFNA(_xlfn.XLOOKUP(F$2-$C5, 'GEN-BESS'!$D$7:$AW$7, 'GEN-BESS'!$D$120:$AW$120), 0), IF($B5='Project List References'!$B$6, _xlfn.IFNA(_xlfn.XLOOKUP(F$2-$C5, 'GEN-CARBON'!$D$7:$AW$7, 'GEN-CARBON'!$D$118:$AW$118), 0), IF($B5='Project List References'!$B$7, _xlfn.IFNA(_xlfn.XLOOKUP(F$2-$C5, 'SENS Coal'!$D$7:$AW$7, 'SENS Coal'!$D$134:$AW$134), 0), IF($B5='Project List References'!$B$8, _xlfn.IFNA(_xlfn.XLOOKUP(F$2-$C5,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G5" s="743">
        <f>IF($B5='Project List References'!$B$3, _xlfn.IFNA(_xlfn.XLOOKUP(G$2-$C5, 'GEN-CCGT'!$D$7:$AW$7, 'GEN-CCGT'!$D$118:$AW$118), 0), IF($B5='Project List References'!$B$4, _xlfn.IFNA(_xlfn.XLOOKUP(G$2-$C5, 'GEN-SOLAR'!$D$7:$AW$7, 'GEN-SOLAR'!$D$116:$AW$116), 0), IF($B5='Project List References'!$B$5, _xlfn.IFNA(_xlfn.XLOOKUP(G$2-$C5, 'GEN-BESS'!$D$7:$AW$7, 'GEN-BESS'!$D$120:$AW$120), 0), IF($B5='Project List References'!$B$6, _xlfn.IFNA(_xlfn.XLOOKUP(G$2-$C5, 'GEN-CARBON'!$D$7:$AW$7, 'GEN-CARBON'!$D$118:$AW$118), 0), IF($B5='Project List References'!$B$7, _xlfn.IFNA(_xlfn.XLOOKUP(G$2-$C5, 'SENS Coal'!$D$7:$AW$7, 'SENS Coal'!$D$134:$AW$134), 0), IF($B5='Project List References'!$B$8, _xlfn.IFNA(_xlfn.XLOOKUP(G$2-$C5,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H5" s="743">
        <f>IF($B5='Project List References'!$B$3, _xlfn.IFNA(_xlfn.XLOOKUP(H$2-$C5, 'GEN-CCGT'!$D$7:$AW$7, 'GEN-CCGT'!$D$118:$AW$118), 0), IF($B5='Project List References'!$B$4, _xlfn.IFNA(_xlfn.XLOOKUP(H$2-$C5, 'GEN-SOLAR'!$D$7:$AW$7, 'GEN-SOLAR'!$D$116:$AW$116), 0), IF($B5='Project List References'!$B$5, _xlfn.IFNA(_xlfn.XLOOKUP(H$2-$C5, 'GEN-BESS'!$D$7:$AW$7, 'GEN-BESS'!$D$120:$AW$120), 0), IF($B5='Project List References'!$B$6, _xlfn.IFNA(_xlfn.XLOOKUP(H$2-$C5, 'GEN-CARBON'!$D$7:$AW$7, 'GEN-CARBON'!$D$118:$AW$118), 0), IF($B5='Project List References'!$B$7, _xlfn.IFNA(_xlfn.XLOOKUP(H$2-$C5, 'SENS Coal'!$D$7:$AW$7, 'SENS Coal'!$D$134:$AW$134), 0), IF($B5='Project List References'!$B$8, _xlfn.IFNA(_xlfn.XLOOKUP(H$2-$C5,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740.6162114801881</v>
      </c>
      <c r="I5" s="743">
        <f>IF($B5='Project List References'!$B$3, _xlfn.IFNA(_xlfn.XLOOKUP(I$2-$C5, 'GEN-CCGT'!$D$7:$AW$7, 'GEN-CCGT'!$D$118:$AW$118), 0), IF($B5='Project List References'!$B$4, _xlfn.IFNA(_xlfn.XLOOKUP(I$2-$C5, 'GEN-SOLAR'!$D$7:$AW$7, 'GEN-SOLAR'!$D$116:$AW$116), 0), IF($B5='Project List References'!$B$5, _xlfn.IFNA(_xlfn.XLOOKUP(I$2-$C5, 'GEN-BESS'!$D$7:$AW$7, 'GEN-BESS'!$D$120:$AW$120), 0), IF($B5='Project List References'!$B$6, _xlfn.IFNA(_xlfn.XLOOKUP(I$2-$C5, 'GEN-CARBON'!$D$7:$AW$7, 'GEN-CARBON'!$D$118:$AW$118), 0), IF($B5='Project List References'!$B$7, _xlfn.IFNA(_xlfn.XLOOKUP(I$2-$C5, 'SENS Coal'!$D$7:$AW$7, 'SENS Coal'!$D$134:$AW$134), 0), IF($B5='Project List References'!$B$8, _xlfn.IFNA(_xlfn.XLOOKUP(I$2-$C5,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1006.9821602161971</v>
      </c>
      <c r="J5" s="743">
        <f>IF($B5='Project List References'!$B$3, _xlfn.IFNA(_xlfn.XLOOKUP(J$2-$C5, 'GEN-CCGT'!$D$7:$AW$7, 'GEN-CCGT'!$D$118:$AW$118), 0), IF($B5='Project List References'!$B$4, _xlfn.IFNA(_xlfn.XLOOKUP(J$2-$C5, 'GEN-SOLAR'!$D$7:$AW$7, 'GEN-SOLAR'!$D$116:$AW$116), 0), IF($B5='Project List References'!$B$5, _xlfn.IFNA(_xlfn.XLOOKUP(J$2-$C5, 'GEN-BESS'!$D$7:$AW$7, 'GEN-BESS'!$D$120:$AW$120), 0), IF($B5='Project List References'!$B$6, _xlfn.IFNA(_xlfn.XLOOKUP(J$2-$C5, 'GEN-CARBON'!$D$7:$AW$7, 'GEN-CARBON'!$D$118:$AW$118), 0), IF($B5='Project List References'!$B$7, _xlfn.IFNA(_xlfn.XLOOKUP(J$2-$C5, 'SENS Coal'!$D$7:$AW$7, 'SENS Coal'!$D$134:$AW$134), 0), IF($B5='Project List References'!$B$8, _xlfn.IFNA(_xlfn.XLOOKUP(J$2-$C5,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1026.8659160236623</v>
      </c>
      <c r="K5" s="743">
        <f>IF($B5='Project List References'!$B$3, _xlfn.IFNA(_xlfn.XLOOKUP(K$2-$C5, 'GEN-CCGT'!$D$7:$AW$7, 'GEN-CCGT'!$D$118:$AW$118), 0), IF($B5='Project List References'!$B$4, _xlfn.IFNA(_xlfn.XLOOKUP(K$2-$C5, 'GEN-SOLAR'!$D$7:$AW$7, 'GEN-SOLAR'!$D$116:$AW$116), 0), IF($B5='Project List References'!$B$5, _xlfn.IFNA(_xlfn.XLOOKUP(K$2-$C5, 'GEN-BESS'!$D$7:$AW$7, 'GEN-BESS'!$D$120:$AW$120), 0), IF($B5='Project List References'!$B$6, _xlfn.IFNA(_xlfn.XLOOKUP(K$2-$C5, 'GEN-CARBON'!$D$7:$AW$7, 'GEN-CARBON'!$D$118:$AW$118), 0), IF($B5='Project List References'!$B$7, _xlfn.IFNA(_xlfn.XLOOKUP(K$2-$C5, 'SENS Coal'!$D$7:$AW$7, 'SENS Coal'!$D$134:$AW$134), 0), IF($B5='Project List References'!$B$8, _xlfn.IFNA(_xlfn.XLOOKUP(K$2-$C5,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1118.2026558631737</v>
      </c>
      <c r="L5" s="743">
        <f>IF($B5='Project List References'!$B$3, _xlfn.IFNA(_xlfn.XLOOKUP(L$2-$C5, 'GEN-CCGT'!$D$7:$AW$7, 'GEN-CCGT'!$D$118:$AW$118), 0), IF($B5='Project List References'!$B$4, _xlfn.IFNA(_xlfn.XLOOKUP(L$2-$C5, 'GEN-SOLAR'!$D$7:$AW$7, 'GEN-SOLAR'!$D$116:$AW$116), 0), IF($B5='Project List References'!$B$5, _xlfn.IFNA(_xlfn.XLOOKUP(L$2-$C5, 'GEN-BESS'!$D$7:$AW$7, 'GEN-BESS'!$D$120:$AW$120), 0), IF($B5='Project List References'!$B$6, _xlfn.IFNA(_xlfn.XLOOKUP(L$2-$C5, 'GEN-CARBON'!$D$7:$AW$7, 'GEN-CARBON'!$D$118:$AW$118), 0), IF($B5='Project List References'!$B$7, _xlfn.IFNA(_xlfn.XLOOKUP(L$2-$C5, 'SENS Coal'!$D$7:$AW$7, 'SENS Coal'!$D$134:$AW$134), 0), IF($B5='Project List References'!$B$8, _xlfn.IFNA(_xlfn.XLOOKUP(L$2-$C5,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1155.325366723436</v>
      </c>
      <c r="M5" s="743">
        <f>IF($B5='Project List References'!$B$3, _xlfn.IFNA(_xlfn.XLOOKUP(M$2-$C5, 'GEN-CCGT'!$D$7:$AW$7, 'GEN-CCGT'!$D$118:$AW$118), 0), IF($B5='Project List References'!$B$4, _xlfn.IFNA(_xlfn.XLOOKUP(M$2-$C5, 'GEN-SOLAR'!$D$7:$AW$7, 'GEN-SOLAR'!$D$116:$AW$116), 0), IF($B5='Project List References'!$B$5, _xlfn.IFNA(_xlfn.XLOOKUP(M$2-$C5, 'GEN-BESS'!$D$7:$AW$7, 'GEN-BESS'!$D$120:$AW$120), 0), IF($B5='Project List References'!$B$6, _xlfn.IFNA(_xlfn.XLOOKUP(M$2-$C5, 'GEN-CARBON'!$D$7:$AW$7, 'GEN-CARBON'!$D$118:$AW$118), 0), IF($B5='Project List References'!$B$7, _xlfn.IFNA(_xlfn.XLOOKUP(M$2-$C5, 'SENS Coal'!$D$7:$AW$7, 'SENS Coal'!$D$134:$AW$134), 0), IF($B5='Project List References'!$B$8, _xlfn.IFNA(_xlfn.XLOOKUP(M$2-$C5,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1176.1754541311725</v>
      </c>
      <c r="N5" s="743">
        <f>IF($B5='Project List References'!$B$3, _xlfn.IFNA(_xlfn.XLOOKUP(N$2-$C5, 'GEN-CCGT'!$D$7:$AW$7, 'GEN-CCGT'!$D$118:$AW$118), 0), IF($B5='Project List References'!$B$4, _xlfn.IFNA(_xlfn.XLOOKUP(N$2-$C5, 'GEN-SOLAR'!$D$7:$AW$7, 'GEN-SOLAR'!$D$116:$AW$116), 0), IF($B5='Project List References'!$B$5, _xlfn.IFNA(_xlfn.XLOOKUP(N$2-$C5, 'GEN-BESS'!$D$7:$AW$7, 'GEN-BESS'!$D$120:$AW$120), 0), IF($B5='Project List References'!$B$6, _xlfn.IFNA(_xlfn.XLOOKUP(N$2-$C5, 'GEN-CARBON'!$D$7:$AW$7, 'GEN-CARBON'!$D$118:$AW$118), 0), IF($B5='Project List References'!$B$7, _xlfn.IFNA(_xlfn.XLOOKUP(N$2-$C5, 'SENS Coal'!$D$7:$AW$7, 'SENS Coal'!$D$134:$AW$134), 0), IF($B5='Project List References'!$B$8, _xlfn.IFNA(_xlfn.XLOOKUP(N$2-$C5,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1197.4481843368796</v>
      </c>
      <c r="O5" s="743">
        <f>IF($B5='Project List References'!$B$3, _xlfn.IFNA(_xlfn.XLOOKUP(O$2-$C5, 'GEN-CCGT'!$D$7:$AW$7, 'GEN-CCGT'!$D$118:$AW$118), 0), IF($B5='Project List References'!$B$4, _xlfn.IFNA(_xlfn.XLOOKUP(O$2-$C5, 'GEN-SOLAR'!$D$7:$AW$7, 'GEN-SOLAR'!$D$116:$AW$116), 0), IF($B5='Project List References'!$B$5, _xlfn.IFNA(_xlfn.XLOOKUP(O$2-$C5, 'GEN-BESS'!$D$7:$AW$7, 'GEN-BESS'!$D$120:$AW$120), 0), IF($B5='Project List References'!$B$6, _xlfn.IFNA(_xlfn.XLOOKUP(O$2-$C5, 'GEN-CARBON'!$D$7:$AW$7, 'GEN-CARBON'!$D$118:$AW$118), 0), IF($B5='Project List References'!$B$7, _xlfn.IFNA(_xlfn.XLOOKUP(O$2-$C5, 'SENS Coal'!$D$7:$AW$7, 'SENS Coal'!$D$134:$AW$134), 0), IF($B5='Project List References'!$B$8, _xlfn.IFNA(_xlfn.XLOOKUP(O$2-$C5,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1219.151996093894</v>
      </c>
      <c r="P5" s="743">
        <f>IF($B5='Project List References'!$B$3, _xlfn.IFNA(_xlfn.XLOOKUP(P$2-$C5, 'GEN-CCGT'!$D$7:$AW$7, 'GEN-CCGT'!$D$118:$AW$118), 0), IF($B5='Project List References'!$B$4, _xlfn.IFNA(_xlfn.XLOOKUP(P$2-$C5, 'GEN-SOLAR'!$D$7:$AW$7, 'GEN-SOLAR'!$D$116:$AW$116), 0), IF($B5='Project List References'!$B$5, _xlfn.IFNA(_xlfn.XLOOKUP(P$2-$C5, 'GEN-BESS'!$D$7:$AW$7, 'GEN-BESS'!$D$120:$AW$120), 0), IF($B5='Project List References'!$B$6, _xlfn.IFNA(_xlfn.XLOOKUP(P$2-$C5, 'GEN-CARBON'!$D$7:$AW$7, 'GEN-CARBON'!$D$118:$AW$118), 0), IF($B5='Project List References'!$B$7, _xlfn.IFNA(_xlfn.XLOOKUP(P$2-$C5, 'SENS Coal'!$D$7:$AW$7, 'SENS Coal'!$D$134:$AW$134), 0), IF($B5='Project List References'!$B$8, _xlfn.IFNA(_xlfn.XLOOKUP(P$2-$C5,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1241.2954969658729</v>
      </c>
      <c r="Q5" s="743">
        <f>IF($B5='Project List References'!$B$3, _xlfn.IFNA(_xlfn.XLOOKUP(Q$2-$C5, 'GEN-CCGT'!$D$7:$AW$7, 'GEN-CCGT'!$D$118:$AW$118), 0), IF($B5='Project List References'!$B$4, _xlfn.IFNA(_xlfn.XLOOKUP(Q$2-$C5, 'GEN-SOLAR'!$D$7:$AW$7, 'GEN-SOLAR'!$D$116:$AW$116), 0), IF($B5='Project List References'!$B$5, _xlfn.IFNA(_xlfn.XLOOKUP(Q$2-$C5, 'GEN-BESS'!$D$7:$AW$7, 'GEN-BESS'!$D$120:$AW$120), 0), IF($B5='Project List References'!$B$6, _xlfn.IFNA(_xlfn.XLOOKUP(Q$2-$C5, 'GEN-CARBON'!$D$7:$AW$7, 'GEN-CARBON'!$D$118:$AW$118), 0), IF($B5='Project List References'!$B$7, _xlfn.IFNA(_xlfn.XLOOKUP(Q$2-$C5, 'SENS Coal'!$D$7:$AW$7, 'SENS Coal'!$D$134:$AW$134), 0), IF($B5='Project List References'!$B$8, _xlfn.IFNA(_xlfn.XLOOKUP(Q$2-$C5,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1263.8874667029158</v>
      </c>
      <c r="R5" s="743">
        <f>IF($B5='Project List References'!$B$3, _xlfn.IFNA(_xlfn.XLOOKUP(R$2-$C5, 'GEN-CCGT'!$D$7:$AW$7, 'GEN-CCGT'!$D$118:$AW$118), 0), IF($B5='Project List References'!$B$4, _xlfn.IFNA(_xlfn.XLOOKUP(R$2-$C5, 'GEN-SOLAR'!$D$7:$AW$7, 'GEN-SOLAR'!$D$116:$AW$116), 0), IF($B5='Project List References'!$B$5, _xlfn.IFNA(_xlfn.XLOOKUP(R$2-$C5, 'GEN-BESS'!$D$7:$AW$7, 'GEN-BESS'!$D$120:$AW$120), 0), IF($B5='Project List References'!$B$6, _xlfn.IFNA(_xlfn.XLOOKUP(R$2-$C5, 'GEN-CARBON'!$D$7:$AW$7, 'GEN-CARBON'!$D$118:$AW$118), 0), IF($B5='Project List References'!$B$7, _xlfn.IFNA(_xlfn.XLOOKUP(R$2-$C5, 'SENS Coal'!$D$7:$AW$7, 'SENS Coal'!$D$134:$AW$134), 0), IF($B5='Project List References'!$B$8, _xlfn.IFNA(_xlfn.XLOOKUP(R$2-$C5,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1286.9368606852054</v>
      </c>
      <c r="S5" s="743">
        <f>IF($B5='Project List References'!$B$3, _xlfn.IFNA(_xlfn.XLOOKUP(S$2-$C5, 'GEN-CCGT'!$D$7:$AW$7, 'GEN-CCGT'!$D$118:$AW$118), 0), IF($B5='Project List References'!$B$4, _xlfn.IFNA(_xlfn.XLOOKUP(S$2-$C5, 'GEN-SOLAR'!$D$7:$AW$7, 'GEN-SOLAR'!$D$116:$AW$116), 0), IF($B5='Project List References'!$B$5, _xlfn.IFNA(_xlfn.XLOOKUP(S$2-$C5, 'GEN-BESS'!$D$7:$AW$7, 'GEN-BESS'!$D$120:$AW$120), 0), IF($B5='Project List References'!$B$6, _xlfn.IFNA(_xlfn.XLOOKUP(S$2-$C5, 'GEN-CARBON'!$D$7:$AW$7, 'GEN-CARBON'!$D$118:$AW$118), 0), IF($B5='Project List References'!$B$7, _xlfn.IFNA(_xlfn.XLOOKUP(S$2-$C5, 'SENS Coal'!$D$7:$AW$7, 'SENS Coal'!$D$134:$AW$134), 0), IF($B5='Project List References'!$B$8, _xlfn.IFNA(_xlfn.XLOOKUP(S$2-$C5,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1310.4528134355201</v>
      </c>
      <c r="T5" s="743">
        <f>IF($B5='Project List References'!$B$3, _xlfn.IFNA(_xlfn.XLOOKUP(T$2-$C5, 'GEN-CCGT'!$D$7:$AW$7, 'GEN-CCGT'!$D$118:$AW$118), 0), IF($B5='Project List References'!$B$4, _xlfn.IFNA(_xlfn.XLOOKUP(T$2-$C5, 'GEN-SOLAR'!$D$7:$AW$7, 'GEN-SOLAR'!$D$116:$AW$116), 0), IF($B5='Project List References'!$B$5, _xlfn.IFNA(_xlfn.XLOOKUP(T$2-$C5, 'GEN-BESS'!$D$7:$AW$7, 'GEN-BESS'!$D$120:$AW$120), 0), IF($B5='Project List References'!$B$6, _xlfn.IFNA(_xlfn.XLOOKUP(T$2-$C5, 'GEN-CARBON'!$D$7:$AW$7, 'GEN-CARBON'!$D$118:$AW$118), 0), IF($B5='Project List References'!$B$7, _xlfn.IFNA(_xlfn.XLOOKUP(T$2-$C5, 'SENS Coal'!$D$7:$AW$7, 'SENS Coal'!$D$134:$AW$134), 0), IF($B5='Project List References'!$B$8, _xlfn.IFNA(_xlfn.XLOOKUP(T$2-$C5, 'SENS Tires'!$D$7:$AW$7, 'SENS Tires'!$D$132:$AW$132),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1334.4446422019996</v>
      </c>
    </row>
    <row r="6" spans="1:111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_xlfn.XLOOKUP(A6, 'Project Master Sheet'!A:A, 'Project Master Sheet'!I:I)</f>
        <v>0</v>
      </c>
      <c r="E6" s="743">
        <f>IF($B6='Project List References'!$B$3, _xlfn.IFNA(_xlfn.XLOOKUP(E$2-$C6, 'GEN-CCGT'!$D$7:$AW$7, 'GEN-CCGT'!$D$118:$AW$118), 0), IF($B6='Project List References'!$B$4, _xlfn.IFNA(_xlfn.XLOOKUP(E$2-$C6, 'GEN-SOLAR'!$D$7:$AW$7, 'GEN-SOLAR'!$D$116:$AW$116), 0), IF($B6='Project List References'!$B$5, _xlfn.IFNA(_xlfn.XLOOKUP(E$2-$C6, 'GEN-BESS'!$D$7:$AW$7, 'GEN-BESS'!$D$120:$AW$120), 0), IF($B6='Project List References'!$B$6, _xlfn.IFNA(_xlfn.XLOOKUP(E$2-$C6, 'GEN-CARBON'!$D$7:$AW$7, 'GEN-CARBON'!$D$118:$AW$118), 0), IF($B6='Project List References'!$B$7, _xlfn.IFNA(_xlfn.XLOOKUP(E$2-$C6, 'SENS Coal'!$D$7:$AW$7, 'SENS Coal'!$D$134:$AW$134), 0), IF($B6='Project List References'!$B$8, _xlfn.IFNA(_xlfn.XLOOKUP(E$2-$C6,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F6" s="743">
        <f>IF($B6='Project List References'!$B$3, _xlfn.IFNA(_xlfn.XLOOKUP(F$2-$C6, 'GEN-CCGT'!$D$7:$AW$7, 'GEN-CCGT'!$D$118:$AW$118), 0), IF($B6='Project List References'!$B$4, _xlfn.IFNA(_xlfn.XLOOKUP(F$2-$C6, 'GEN-SOLAR'!$D$7:$AW$7, 'GEN-SOLAR'!$D$116:$AW$116), 0), IF($B6='Project List References'!$B$5, _xlfn.IFNA(_xlfn.XLOOKUP(F$2-$C6, 'GEN-BESS'!$D$7:$AW$7, 'GEN-BESS'!$D$120:$AW$120), 0), IF($B6='Project List References'!$B$6, _xlfn.IFNA(_xlfn.XLOOKUP(F$2-$C6, 'GEN-CARBON'!$D$7:$AW$7, 'GEN-CARBON'!$D$118:$AW$118), 0), IF($B6='Project List References'!$B$7, _xlfn.IFNA(_xlfn.XLOOKUP(F$2-$C6, 'SENS Coal'!$D$7:$AW$7, 'SENS Coal'!$D$134:$AW$134), 0), IF($B6='Project List References'!$B$8, _xlfn.IFNA(_xlfn.XLOOKUP(F$2-$C6,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112.34915300809249</v>
      </c>
      <c r="G6" s="743">
        <f>IF($B6='Project List References'!$B$3, _xlfn.IFNA(_xlfn.XLOOKUP(G$2-$C6, 'GEN-CCGT'!$D$7:$AW$7, 'GEN-CCGT'!$D$118:$AW$118), 0), IF($B6='Project List References'!$B$4, _xlfn.IFNA(_xlfn.XLOOKUP(G$2-$C6, 'GEN-SOLAR'!$D$7:$AW$7, 'GEN-SOLAR'!$D$116:$AW$116), 0), IF($B6='Project List References'!$B$5, _xlfn.IFNA(_xlfn.XLOOKUP(G$2-$C6, 'GEN-BESS'!$D$7:$AW$7, 'GEN-BESS'!$D$120:$AW$120), 0), IF($B6='Project List References'!$B$6, _xlfn.IFNA(_xlfn.XLOOKUP(G$2-$C6, 'GEN-CARBON'!$D$7:$AW$7, 'GEN-CARBON'!$D$118:$AW$118), 0), IF($B6='Project List References'!$B$7, _xlfn.IFNA(_xlfn.XLOOKUP(G$2-$C6, 'SENS Coal'!$D$7:$AW$7, 'SENS Coal'!$D$134:$AW$134), 0), IF($B6='Project List References'!$B$8, _xlfn.IFNA(_xlfn.XLOOKUP(G$2-$C6,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151.96047426145662</v>
      </c>
      <c r="H6" s="743">
        <f>IF($B6='Project List References'!$B$3, _xlfn.IFNA(_xlfn.XLOOKUP(H$2-$C6, 'GEN-CCGT'!$D$7:$AW$7, 'GEN-CCGT'!$D$118:$AW$118), 0), IF($B6='Project List References'!$B$4, _xlfn.IFNA(_xlfn.XLOOKUP(H$2-$C6, 'GEN-SOLAR'!$D$7:$AW$7, 'GEN-SOLAR'!$D$116:$AW$116), 0), IF($B6='Project List References'!$B$5, _xlfn.IFNA(_xlfn.XLOOKUP(H$2-$C6, 'GEN-BESS'!$D$7:$AW$7, 'GEN-BESS'!$D$120:$AW$120), 0), IF($B6='Project List References'!$B$6, _xlfn.IFNA(_xlfn.XLOOKUP(H$2-$C6, 'GEN-CARBON'!$D$7:$AW$7, 'GEN-CARBON'!$D$118:$AW$118), 0), IF($B6='Project List References'!$B$7, _xlfn.IFNA(_xlfn.XLOOKUP(H$2-$C6, 'SENS Coal'!$D$7:$AW$7, 'SENS Coal'!$D$134:$AW$134), 0), IF($B6='Project List References'!$B$8, _xlfn.IFNA(_xlfn.XLOOKUP(H$2-$C6,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154.16530991713663</v>
      </c>
      <c r="I6" s="743">
        <f>IF($B6='Project List References'!$B$3, _xlfn.IFNA(_xlfn.XLOOKUP(I$2-$C6, 'GEN-CCGT'!$D$7:$AW$7, 'GEN-CCGT'!$D$118:$AW$118), 0), IF($B6='Project List References'!$B$4, _xlfn.IFNA(_xlfn.XLOOKUP(I$2-$C6, 'GEN-SOLAR'!$D$7:$AW$7, 'GEN-SOLAR'!$D$116:$AW$116), 0), IF($B6='Project List References'!$B$5, _xlfn.IFNA(_xlfn.XLOOKUP(I$2-$C6, 'GEN-BESS'!$D$7:$AW$7, 'GEN-BESS'!$D$120:$AW$120), 0), IF($B6='Project List References'!$B$6, _xlfn.IFNA(_xlfn.XLOOKUP(I$2-$C6, 'GEN-CARBON'!$D$7:$AW$7, 'GEN-CARBON'!$D$118:$AW$118), 0), IF($B6='Project List References'!$B$7, _xlfn.IFNA(_xlfn.XLOOKUP(I$2-$C6, 'SENS Coal'!$D$7:$AW$7, 'SENS Coal'!$D$134:$AW$134), 0), IF($B6='Project List References'!$B$8, _xlfn.IFNA(_xlfn.XLOOKUP(I$2-$C6,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156.41424228593024</v>
      </c>
      <c r="J6" s="743">
        <f>IF($B6='Project List References'!$B$3, _xlfn.IFNA(_xlfn.XLOOKUP(J$2-$C6, 'GEN-CCGT'!$D$7:$AW$7, 'GEN-CCGT'!$D$118:$AW$118), 0), IF($B6='Project List References'!$B$4, _xlfn.IFNA(_xlfn.XLOOKUP(J$2-$C6, 'GEN-SOLAR'!$D$7:$AW$7, 'GEN-SOLAR'!$D$116:$AW$116), 0), IF($B6='Project List References'!$B$5, _xlfn.IFNA(_xlfn.XLOOKUP(J$2-$C6, 'GEN-BESS'!$D$7:$AW$7, 'GEN-BESS'!$D$120:$AW$120), 0), IF($B6='Project List References'!$B$6, _xlfn.IFNA(_xlfn.XLOOKUP(J$2-$C6, 'GEN-CARBON'!$D$7:$AW$7, 'GEN-CARBON'!$D$118:$AW$118), 0), IF($B6='Project List References'!$B$7, _xlfn.IFNA(_xlfn.XLOOKUP(J$2-$C6, 'SENS Coal'!$D$7:$AW$7, 'SENS Coal'!$D$134:$AW$134), 0), IF($B6='Project List References'!$B$8, _xlfn.IFNA(_xlfn.XLOOKUP(J$2-$C6,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158.7081533020997</v>
      </c>
      <c r="K6" s="743">
        <f>IF($B6='Project List References'!$B$3, _xlfn.IFNA(_xlfn.XLOOKUP(K$2-$C6, 'GEN-CCGT'!$D$7:$AW$7, 'GEN-CCGT'!$D$118:$AW$118), 0), IF($B6='Project List References'!$B$4, _xlfn.IFNA(_xlfn.XLOOKUP(K$2-$C6, 'GEN-SOLAR'!$D$7:$AW$7, 'GEN-SOLAR'!$D$116:$AW$116), 0), IF($B6='Project List References'!$B$5, _xlfn.IFNA(_xlfn.XLOOKUP(K$2-$C6, 'GEN-BESS'!$D$7:$AW$7, 'GEN-BESS'!$D$120:$AW$120), 0), IF($B6='Project List References'!$B$6, _xlfn.IFNA(_xlfn.XLOOKUP(K$2-$C6, 'GEN-CARBON'!$D$7:$AW$7, 'GEN-CARBON'!$D$118:$AW$118), 0), IF($B6='Project List References'!$B$7, _xlfn.IFNA(_xlfn.XLOOKUP(K$2-$C6, 'SENS Coal'!$D$7:$AW$7, 'SENS Coal'!$D$134:$AW$134), 0), IF($B6='Project List References'!$B$8, _xlfn.IFNA(_xlfn.XLOOKUP(K$2-$C6,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161.04794253859257</v>
      </c>
      <c r="L6" s="743">
        <f>IF($B6='Project List References'!$B$3, _xlfn.IFNA(_xlfn.XLOOKUP(L$2-$C6, 'GEN-CCGT'!$D$7:$AW$7, 'GEN-CCGT'!$D$118:$AW$118), 0), IF($B6='Project List References'!$B$4, _xlfn.IFNA(_xlfn.XLOOKUP(L$2-$C6, 'GEN-SOLAR'!$D$7:$AW$7, 'GEN-SOLAR'!$D$116:$AW$116), 0), IF($B6='Project List References'!$B$5, _xlfn.IFNA(_xlfn.XLOOKUP(L$2-$C6, 'GEN-BESS'!$D$7:$AW$7, 'GEN-BESS'!$D$120:$AW$120), 0), IF($B6='Project List References'!$B$6, _xlfn.IFNA(_xlfn.XLOOKUP(L$2-$C6, 'GEN-CARBON'!$D$7:$AW$7, 'GEN-CARBON'!$D$118:$AW$118), 0), IF($B6='Project List References'!$B$7, _xlfn.IFNA(_xlfn.XLOOKUP(L$2-$C6, 'SENS Coal'!$D$7:$AW$7, 'SENS Coal'!$D$134:$AW$134), 0), IF($B6='Project List References'!$B$8, _xlfn.IFNA(_xlfn.XLOOKUP(L$2-$C6,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163.43452755981525</v>
      </c>
      <c r="M6" s="743">
        <f>IF($B6='Project List References'!$B$3, _xlfn.IFNA(_xlfn.XLOOKUP(M$2-$C6, 'GEN-CCGT'!$D$7:$AW$7, 'GEN-CCGT'!$D$118:$AW$118), 0), IF($B6='Project List References'!$B$4, _xlfn.IFNA(_xlfn.XLOOKUP(M$2-$C6, 'GEN-SOLAR'!$D$7:$AW$7, 'GEN-SOLAR'!$D$116:$AW$116), 0), IF($B6='Project List References'!$B$5, _xlfn.IFNA(_xlfn.XLOOKUP(M$2-$C6, 'GEN-BESS'!$D$7:$AW$7, 'GEN-BESS'!$D$120:$AW$120), 0), IF($B6='Project List References'!$B$6, _xlfn.IFNA(_xlfn.XLOOKUP(M$2-$C6, 'GEN-CARBON'!$D$7:$AW$7, 'GEN-CARBON'!$D$118:$AW$118), 0), IF($B6='Project List References'!$B$7, _xlfn.IFNA(_xlfn.XLOOKUP(M$2-$C6, 'SENS Coal'!$D$7:$AW$7, 'SENS Coal'!$D$134:$AW$134), 0), IF($B6='Project List References'!$B$8, _xlfn.IFNA(_xlfn.XLOOKUP(M$2-$C6,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165.86884428146243</v>
      </c>
      <c r="N6" s="743">
        <f>IF($B6='Project List References'!$B$3, _xlfn.IFNA(_xlfn.XLOOKUP(N$2-$C6, 'GEN-CCGT'!$D$7:$AW$7, 'GEN-CCGT'!$D$118:$AW$118), 0), IF($B6='Project List References'!$B$4, _xlfn.IFNA(_xlfn.XLOOKUP(N$2-$C6, 'GEN-SOLAR'!$D$7:$AW$7, 'GEN-SOLAR'!$D$116:$AW$116), 0), IF($B6='Project List References'!$B$5, _xlfn.IFNA(_xlfn.XLOOKUP(N$2-$C6, 'GEN-BESS'!$D$7:$AW$7, 'GEN-BESS'!$D$120:$AW$120), 0), IF($B6='Project List References'!$B$6, _xlfn.IFNA(_xlfn.XLOOKUP(N$2-$C6, 'GEN-CARBON'!$D$7:$AW$7, 'GEN-CARBON'!$D$118:$AW$118), 0), IF($B6='Project List References'!$B$7, _xlfn.IFNA(_xlfn.XLOOKUP(N$2-$C6, 'SENS Coal'!$D$7:$AW$7, 'SENS Coal'!$D$134:$AW$134), 0), IF($B6='Project List References'!$B$8, _xlfn.IFNA(_xlfn.XLOOKUP(N$2-$C6,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168.35184733754255</v>
      </c>
      <c r="O6" s="743">
        <f>IF($B6='Project List References'!$B$3, _xlfn.IFNA(_xlfn.XLOOKUP(O$2-$C6, 'GEN-CCGT'!$D$7:$AW$7, 'GEN-CCGT'!$D$118:$AW$118), 0), IF($B6='Project List References'!$B$4, _xlfn.IFNA(_xlfn.XLOOKUP(O$2-$C6, 'GEN-SOLAR'!$D$7:$AW$7, 'GEN-SOLAR'!$D$116:$AW$116), 0), IF($B6='Project List References'!$B$5, _xlfn.IFNA(_xlfn.XLOOKUP(O$2-$C6, 'GEN-BESS'!$D$7:$AW$7, 'GEN-BESS'!$D$120:$AW$120), 0), IF($B6='Project List References'!$B$6, _xlfn.IFNA(_xlfn.XLOOKUP(O$2-$C6, 'GEN-CARBON'!$D$7:$AW$7, 'GEN-CARBON'!$D$118:$AW$118), 0), IF($B6='Project List References'!$B$7, _xlfn.IFNA(_xlfn.XLOOKUP(O$2-$C6, 'SENS Coal'!$D$7:$AW$7, 'SENS Coal'!$D$134:$AW$134), 0), IF($B6='Project List References'!$B$8, _xlfn.IFNA(_xlfn.XLOOKUP(O$2-$C6,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170.88451045474429</v>
      </c>
      <c r="P6" s="743">
        <f>IF($B6='Project List References'!$B$3, _xlfn.IFNA(_xlfn.XLOOKUP(P$2-$C6, 'GEN-CCGT'!$D$7:$AW$7, 'GEN-CCGT'!$D$118:$AW$118), 0), IF($B6='Project List References'!$B$4, _xlfn.IFNA(_xlfn.XLOOKUP(P$2-$C6, 'GEN-SOLAR'!$D$7:$AW$7, 'GEN-SOLAR'!$D$116:$AW$116), 0), IF($B6='Project List References'!$B$5, _xlfn.IFNA(_xlfn.XLOOKUP(P$2-$C6, 'GEN-BESS'!$D$7:$AW$7, 'GEN-BESS'!$D$120:$AW$120), 0), IF($B6='Project List References'!$B$6, _xlfn.IFNA(_xlfn.XLOOKUP(P$2-$C6, 'GEN-CARBON'!$D$7:$AW$7, 'GEN-CARBON'!$D$118:$AW$118), 0), IF($B6='Project List References'!$B$7, _xlfn.IFNA(_xlfn.XLOOKUP(P$2-$C6, 'SENS Coal'!$D$7:$AW$7, 'SENS Coal'!$D$134:$AW$134), 0), IF($B6='Project List References'!$B$8, _xlfn.IFNA(_xlfn.XLOOKUP(P$2-$C6,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173.46782683429001</v>
      </c>
      <c r="Q6" s="743">
        <f>IF($B6='Project List References'!$B$3, _xlfn.IFNA(_xlfn.XLOOKUP(Q$2-$C6, 'GEN-CCGT'!$D$7:$AW$7, 'GEN-CCGT'!$D$118:$AW$118), 0), IF($B6='Project List References'!$B$4, _xlfn.IFNA(_xlfn.XLOOKUP(Q$2-$C6, 'GEN-SOLAR'!$D$7:$AW$7, 'GEN-SOLAR'!$D$116:$AW$116), 0), IF($B6='Project List References'!$B$5, _xlfn.IFNA(_xlfn.XLOOKUP(Q$2-$C6, 'GEN-BESS'!$D$7:$AW$7, 'GEN-BESS'!$D$120:$AW$120), 0), IF($B6='Project List References'!$B$6, _xlfn.IFNA(_xlfn.XLOOKUP(Q$2-$C6, 'GEN-CARBON'!$D$7:$AW$7, 'GEN-CARBON'!$D$118:$AW$118), 0), IF($B6='Project List References'!$B$7, _xlfn.IFNA(_xlfn.XLOOKUP(Q$2-$C6, 'SENS Coal'!$D$7:$AW$7, 'SENS Coal'!$D$134:$AW$134), 0), IF($B6='Project List References'!$B$8, _xlfn.IFNA(_xlfn.XLOOKUP(Q$2-$C6,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176.10280954142669</v>
      </c>
      <c r="R6" s="743">
        <f>IF($B6='Project List References'!$B$3, _xlfn.IFNA(_xlfn.XLOOKUP(R$2-$C6, 'GEN-CCGT'!$D$7:$AW$7, 'GEN-CCGT'!$D$118:$AW$118), 0), IF($B6='Project List References'!$B$4, _xlfn.IFNA(_xlfn.XLOOKUP(R$2-$C6, 'GEN-SOLAR'!$D$7:$AW$7, 'GEN-SOLAR'!$D$116:$AW$116), 0), IF($B6='Project List References'!$B$5, _xlfn.IFNA(_xlfn.XLOOKUP(R$2-$C6, 'GEN-BESS'!$D$7:$AW$7, 'GEN-BESS'!$D$120:$AW$120), 0), IF($B6='Project List References'!$B$6, _xlfn.IFNA(_xlfn.XLOOKUP(R$2-$C6, 'GEN-CARBON'!$D$7:$AW$7, 'GEN-CARBON'!$D$118:$AW$118), 0), IF($B6='Project List References'!$B$7, _xlfn.IFNA(_xlfn.XLOOKUP(R$2-$C6, 'SENS Coal'!$D$7:$AW$7, 'SENS Coal'!$D$134:$AW$134), 0), IF($B6='Project List References'!$B$8, _xlfn.IFNA(_xlfn.XLOOKUP(R$2-$C6,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178.79049190270609</v>
      </c>
      <c r="S6" s="743">
        <f>IF($B6='Project List References'!$B$3, _xlfn.IFNA(_xlfn.XLOOKUP(S$2-$C6, 'GEN-CCGT'!$D$7:$AW$7, 'GEN-CCGT'!$D$118:$AW$118), 0), IF($B6='Project List References'!$B$4, _xlfn.IFNA(_xlfn.XLOOKUP(S$2-$C6, 'GEN-SOLAR'!$D$7:$AW$7, 'GEN-SOLAR'!$D$116:$AW$116), 0), IF($B6='Project List References'!$B$5, _xlfn.IFNA(_xlfn.XLOOKUP(S$2-$C6, 'GEN-BESS'!$D$7:$AW$7, 'GEN-BESS'!$D$120:$AW$120), 0), IF($B6='Project List References'!$B$6, _xlfn.IFNA(_xlfn.XLOOKUP(S$2-$C6, 'GEN-CARBON'!$D$7:$AW$7, 'GEN-CARBON'!$D$118:$AW$118), 0), IF($B6='Project List References'!$B$7, _xlfn.IFNA(_xlfn.XLOOKUP(S$2-$C6, 'SENS Coal'!$D$7:$AW$7, 'SENS Coal'!$D$134:$AW$134), 0), IF($B6='Project List References'!$B$8, _xlfn.IFNA(_xlfn.XLOOKUP(S$2-$C6,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181.53192791121111</v>
      </c>
      <c r="T6" s="743">
        <f>IF($B6='Project List References'!$B$3, _xlfn.IFNA(_xlfn.XLOOKUP(T$2-$C6, 'GEN-CCGT'!$D$7:$AW$7, 'GEN-CCGT'!$D$118:$AW$118), 0), IF($B6='Project List References'!$B$4, _xlfn.IFNA(_xlfn.XLOOKUP(T$2-$C6, 'GEN-SOLAR'!$D$7:$AW$7, 'GEN-SOLAR'!$D$116:$AW$116), 0), IF($B6='Project List References'!$B$5, _xlfn.IFNA(_xlfn.XLOOKUP(T$2-$C6, 'GEN-BESS'!$D$7:$AW$7, 'GEN-BESS'!$D$120:$AW$120), 0), IF($B6='Project List References'!$B$6, _xlfn.IFNA(_xlfn.XLOOKUP(T$2-$C6, 'GEN-CARBON'!$D$7:$AW$7, 'GEN-CARBON'!$D$118:$AW$118), 0), IF($B6='Project List References'!$B$7, _xlfn.IFNA(_xlfn.XLOOKUP(T$2-$C6, 'SENS Coal'!$D$7:$AW$7, 'SENS Coal'!$D$134:$AW$134), 0), IF($B6='Project List References'!$B$8, _xlfn.IFNA(_xlfn.XLOOKUP(T$2-$C6, 'SENS Tires'!$D$7:$AW$7, 'SENS Tires'!$D$132:$AW$132),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184.32819263988614</v>
      </c>
    </row>
    <row r="7" spans="1:111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_xlfn.XLOOKUP(A7, 'Project Master Sheet'!A:A, 'Project Master Sheet'!I:I)</f>
        <v>0</v>
      </c>
      <c r="E7" s="743">
        <f>IF($B7='Project List References'!$B$3, _xlfn.IFNA(_xlfn.XLOOKUP(E$2-$C7, 'GEN-CCGT'!$D$7:$AW$7, 'GEN-CCGT'!$D$118:$AW$118), 0), IF($B7='Project List References'!$B$4, _xlfn.IFNA(_xlfn.XLOOKUP(E$2-$C7, 'GEN-SOLAR'!$D$7:$AW$7, 'GEN-SOLAR'!$D$116:$AW$116), 0), IF($B7='Project List References'!$B$5, _xlfn.IFNA(_xlfn.XLOOKUP(E$2-$C7, 'GEN-BESS'!$D$7:$AW$7, 'GEN-BESS'!$D$120:$AW$120), 0), IF($B7='Project List References'!$B$6, _xlfn.IFNA(_xlfn.XLOOKUP(E$2-$C7, 'GEN-CARBON'!$D$7:$AW$7, 'GEN-CARBON'!$D$118:$AW$118), 0), IF($B7='Project List References'!$B$7, _xlfn.IFNA(_xlfn.XLOOKUP(E$2-$C7, 'SENS Coal'!$D$7:$AW$7, 'SENS Coal'!$D$134:$AW$134), 0), IF($B7='Project List References'!$B$8, _xlfn.IFNA(_xlfn.XLOOKUP(E$2-$C7,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F7" s="743">
        <f>IF($B7='Project List References'!$B$3, _xlfn.IFNA(_xlfn.XLOOKUP(F$2-$C7, 'GEN-CCGT'!$D$7:$AW$7, 'GEN-CCGT'!$D$118:$AW$118), 0), IF($B7='Project List References'!$B$4, _xlfn.IFNA(_xlfn.XLOOKUP(F$2-$C7, 'GEN-SOLAR'!$D$7:$AW$7, 'GEN-SOLAR'!$D$116:$AW$116), 0), IF($B7='Project List References'!$B$5, _xlfn.IFNA(_xlfn.XLOOKUP(F$2-$C7, 'GEN-BESS'!$D$7:$AW$7, 'GEN-BESS'!$D$120:$AW$120), 0), IF($B7='Project List References'!$B$6, _xlfn.IFNA(_xlfn.XLOOKUP(F$2-$C7, 'GEN-CARBON'!$D$7:$AW$7, 'GEN-CARBON'!$D$118:$AW$118), 0), IF($B7='Project List References'!$B$7, _xlfn.IFNA(_xlfn.XLOOKUP(F$2-$C7, 'SENS Coal'!$D$7:$AW$7, 'SENS Coal'!$D$134:$AW$134), 0), IF($B7='Project List References'!$B$8, _xlfn.IFNA(_xlfn.XLOOKUP(F$2-$C7,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2.5018559999999996</v>
      </c>
      <c r="G7" s="743">
        <f>IF($B7='Project List References'!$B$3, _xlfn.IFNA(_xlfn.XLOOKUP(G$2-$C7, 'GEN-CCGT'!$D$7:$AW$7, 'GEN-CCGT'!$D$118:$AW$118), 0), IF($B7='Project List References'!$B$4, _xlfn.IFNA(_xlfn.XLOOKUP(G$2-$C7, 'GEN-SOLAR'!$D$7:$AW$7, 'GEN-SOLAR'!$D$116:$AW$116), 0), IF($B7='Project List References'!$B$5, _xlfn.IFNA(_xlfn.XLOOKUP(G$2-$C7, 'GEN-BESS'!$D$7:$AW$7, 'GEN-BESS'!$D$120:$AW$120), 0), IF($B7='Project List References'!$B$6, _xlfn.IFNA(_xlfn.XLOOKUP(G$2-$C7, 'GEN-CARBON'!$D$7:$AW$7, 'GEN-CARBON'!$D$118:$AW$118), 0), IF($B7='Project List References'!$B$7, _xlfn.IFNA(_xlfn.XLOOKUP(G$2-$C7, 'SENS Coal'!$D$7:$AW$7, 'SENS Coal'!$D$134:$AW$134), 0), IF($B7='Project List References'!$B$8, _xlfn.IFNA(_xlfn.XLOOKUP(G$2-$C7,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7.5983335967164205</v>
      </c>
      <c r="H7" s="743">
        <f>IF($B7='Project List References'!$B$3, _xlfn.IFNA(_xlfn.XLOOKUP(H$2-$C7, 'GEN-CCGT'!$D$7:$AW$7, 'GEN-CCGT'!$D$118:$AW$118), 0), IF($B7='Project List References'!$B$4, _xlfn.IFNA(_xlfn.XLOOKUP(H$2-$C7, 'GEN-SOLAR'!$D$7:$AW$7, 'GEN-SOLAR'!$D$116:$AW$116), 0), IF($B7='Project List References'!$B$5, _xlfn.IFNA(_xlfn.XLOOKUP(H$2-$C7, 'GEN-BESS'!$D$7:$AW$7, 'GEN-BESS'!$D$120:$AW$120), 0), IF($B7='Project List References'!$B$6, _xlfn.IFNA(_xlfn.XLOOKUP(H$2-$C7, 'GEN-CARBON'!$D$7:$AW$7, 'GEN-CARBON'!$D$118:$AW$118), 0), IF($B7='Project List References'!$B$7, _xlfn.IFNA(_xlfn.XLOOKUP(H$2-$C7, 'SENS Coal'!$D$7:$AW$7, 'SENS Coal'!$D$134:$AW$134), 0), IF($B7='Project List References'!$B$8, _xlfn.IFNA(_xlfn.XLOOKUP(H$2-$C7,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7.6727972659642401</v>
      </c>
      <c r="I7" s="743">
        <f>IF($B7='Project List References'!$B$3, _xlfn.IFNA(_xlfn.XLOOKUP(I$2-$C7, 'GEN-CCGT'!$D$7:$AW$7, 'GEN-CCGT'!$D$118:$AW$118), 0), IF($B7='Project List References'!$B$4, _xlfn.IFNA(_xlfn.XLOOKUP(I$2-$C7, 'GEN-SOLAR'!$D$7:$AW$7, 'GEN-SOLAR'!$D$116:$AW$116), 0), IF($B7='Project List References'!$B$5, _xlfn.IFNA(_xlfn.XLOOKUP(I$2-$C7, 'GEN-BESS'!$D$7:$AW$7, 'GEN-BESS'!$D$120:$AW$120), 0), IF($B7='Project List References'!$B$6, _xlfn.IFNA(_xlfn.XLOOKUP(I$2-$C7, 'GEN-CARBON'!$D$7:$AW$7, 'GEN-CARBON'!$D$118:$AW$118), 0), IF($B7='Project List References'!$B$7, _xlfn.IFNA(_xlfn.XLOOKUP(I$2-$C7, 'SENS Coal'!$D$7:$AW$7, 'SENS Coal'!$D$134:$AW$134), 0), IF($B7='Project List References'!$B$8, _xlfn.IFNA(_xlfn.XLOOKUP(I$2-$C7,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7.7477930465138396</v>
      </c>
      <c r="J7" s="743">
        <f>IF($B7='Project List References'!$B$3, _xlfn.IFNA(_xlfn.XLOOKUP(J$2-$C7, 'GEN-CCGT'!$D$7:$AW$7, 'GEN-CCGT'!$D$118:$AW$118), 0), IF($B7='Project List References'!$B$4, _xlfn.IFNA(_xlfn.XLOOKUP(J$2-$C7, 'GEN-SOLAR'!$D$7:$AW$7, 'GEN-SOLAR'!$D$116:$AW$116), 0), IF($B7='Project List References'!$B$5, _xlfn.IFNA(_xlfn.XLOOKUP(J$2-$C7, 'GEN-BESS'!$D$7:$AW$7, 'GEN-BESS'!$D$120:$AW$120), 0), IF($B7='Project List References'!$B$6, _xlfn.IFNA(_xlfn.XLOOKUP(J$2-$C7, 'GEN-CARBON'!$D$7:$AW$7, 'GEN-CARBON'!$D$118:$AW$118), 0), IF($B7='Project List References'!$B$7, _xlfn.IFNA(_xlfn.XLOOKUP(J$2-$C7, 'SENS Coal'!$D$7:$AW$7, 'SENS Coal'!$D$134:$AW$134), 0), IF($B7='Project List References'!$B$8, _xlfn.IFNA(_xlfn.XLOOKUP(J$2-$C7,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7.8233202636027999</v>
      </c>
      <c r="K7" s="743">
        <f>IF($B7='Project List References'!$B$3, _xlfn.IFNA(_xlfn.XLOOKUP(K$2-$C7, 'GEN-CCGT'!$D$7:$AW$7, 'GEN-CCGT'!$D$118:$AW$118), 0), IF($B7='Project List References'!$B$4, _xlfn.IFNA(_xlfn.XLOOKUP(K$2-$C7, 'GEN-SOLAR'!$D$7:$AW$7, 'GEN-SOLAR'!$D$116:$AW$116), 0), IF($B7='Project List References'!$B$5, _xlfn.IFNA(_xlfn.XLOOKUP(K$2-$C7, 'GEN-BESS'!$D$7:$AW$7, 'GEN-BESS'!$D$120:$AW$120), 0), IF($B7='Project List References'!$B$6, _xlfn.IFNA(_xlfn.XLOOKUP(K$2-$C7, 'GEN-CARBON'!$D$7:$AW$7, 'GEN-CARBON'!$D$118:$AW$118), 0), IF($B7='Project List References'!$B$7, _xlfn.IFNA(_xlfn.XLOOKUP(K$2-$C7, 'SENS Coal'!$D$7:$AW$7, 'SENS Coal'!$D$134:$AW$134), 0), IF($B7='Project List References'!$B$8, _xlfn.IFNA(_xlfn.XLOOKUP(K$2-$C7,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7.8993781042267566</v>
      </c>
      <c r="L7" s="743">
        <f>IF($B7='Project List References'!$B$3, _xlfn.IFNA(_xlfn.XLOOKUP(L$2-$C7, 'GEN-CCGT'!$D$7:$AW$7, 'GEN-CCGT'!$D$118:$AW$118), 0), IF($B7='Project List References'!$B$4, _xlfn.IFNA(_xlfn.XLOOKUP(L$2-$C7, 'GEN-SOLAR'!$D$7:$AW$7, 'GEN-SOLAR'!$D$116:$AW$116), 0), IF($B7='Project List References'!$B$5, _xlfn.IFNA(_xlfn.XLOOKUP(L$2-$C7, 'GEN-BESS'!$D$7:$AW$7, 'GEN-BESS'!$D$120:$AW$120), 0), IF($B7='Project List References'!$B$6, _xlfn.IFNA(_xlfn.XLOOKUP(L$2-$C7, 'GEN-CARBON'!$D$7:$AW$7, 'GEN-CARBON'!$D$118:$AW$118), 0), IF($B7='Project List References'!$B$7, _xlfn.IFNA(_xlfn.XLOOKUP(L$2-$C7, 'SENS Coal'!$D$7:$AW$7, 'SENS Coal'!$D$134:$AW$134), 0), IF($B7='Project List References'!$B$8, _xlfn.IFNA(_xlfn.XLOOKUP(L$2-$C7,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7.9759656131695822</v>
      </c>
      <c r="M7" s="743">
        <f>IF($B7='Project List References'!$B$3, _xlfn.IFNA(_xlfn.XLOOKUP(M$2-$C7, 'GEN-CCGT'!$D$7:$AW$7, 'GEN-CCGT'!$D$118:$AW$118), 0), IF($B7='Project List References'!$B$4, _xlfn.IFNA(_xlfn.XLOOKUP(M$2-$C7, 'GEN-SOLAR'!$D$7:$AW$7, 'GEN-SOLAR'!$D$116:$AW$116), 0), IF($B7='Project List References'!$B$5, _xlfn.IFNA(_xlfn.XLOOKUP(M$2-$C7, 'GEN-BESS'!$D$7:$AW$7, 'GEN-BESS'!$D$120:$AW$120), 0), IF($B7='Project List References'!$B$6, _xlfn.IFNA(_xlfn.XLOOKUP(M$2-$C7, 'GEN-CARBON'!$D$7:$AW$7, 'GEN-CARBON'!$D$118:$AW$118), 0), IF($B7='Project List References'!$B$7, _xlfn.IFNA(_xlfn.XLOOKUP(M$2-$C7, 'SENS Coal'!$D$7:$AW$7, 'SENS Coal'!$D$134:$AW$134), 0), IF($B7='Project List References'!$B$8, _xlfn.IFNA(_xlfn.XLOOKUP(M$2-$C7,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8.0530816889459835</v>
      </c>
      <c r="N7" s="743">
        <f>IF($B7='Project List References'!$B$3, _xlfn.IFNA(_xlfn.XLOOKUP(N$2-$C7, 'GEN-CCGT'!$D$7:$AW$7, 'GEN-CCGT'!$D$118:$AW$118), 0), IF($B7='Project List References'!$B$4, _xlfn.IFNA(_xlfn.XLOOKUP(N$2-$C7, 'GEN-SOLAR'!$D$7:$AW$7, 'GEN-SOLAR'!$D$116:$AW$116), 0), IF($B7='Project List References'!$B$5, _xlfn.IFNA(_xlfn.XLOOKUP(N$2-$C7, 'GEN-BESS'!$D$7:$AW$7, 'GEN-BESS'!$D$120:$AW$120), 0), IF($B7='Project List References'!$B$6, _xlfn.IFNA(_xlfn.XLOOKUP(N$2-$C7, 'GEN-CARBON'!$D$7:$AW$7, 'GEN-CARBON'!$D$118:$AW$118), 0), IF($B7='Project List References'!$B$7, _xlfn.IFNA(_xlfn.XLOOKUP(N$2-$C7, 'SENS Coal'!$D$7:$AW$7, 'SENS Coal'!$D$134:$AW$134), 0), IF($B7='Project List References'!$B$8, _xlfn.IFNA(_xlfn.XLOOKUP(N$2-$C7,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8.1307250796547432</v>
      </c>
      <c r="O7" s="743">
        <f>IF($B7='Project List References'!$B$3, _xlfn.IFNA(_xlfn.XLOOKUP(O$2-$C7, 'GEN-CCGT'!$D$7:$AW$7, 'GEN-CCGT'!$D$118:$AW$118), 0), IF($B7='Project List References'!$B$4, _xlfn.IFNA(_xlfn.XLOOKUP(O$2-$C7, 'GEN-SOLAR'!$D$7:$AW$7, 'GEN-SOLAR'!$D$116:$AW$116), 0), IF($B7='Project List References'!$B$5, _xlfn.IFNA(_xlfn.XLOOKUP(O$2-$C7, 'GEN-BESS'!$D$7:$AW$7, 'GEN-BESS'!$D$120:$AW$120), 0), IF($B7='Project List References'!$B$6, _xlfn.IFNA(_xlfn.XLOOKUP(O$2-$C7, 'GEN-CARBON'!$D$7:$AW$7, 'GEN-CARBON'!$D$118:$AW$118), 0), IF($B7='Project List References'!$B$7, _xlfn.IFNA(_xlfn.XLOOKUP(O$2-$C7, 'SENS Coal'!$D$7:$AW$7, 'SENS Coal'!$D$134:$AW$134), 0), IF($B7='Project List References'!$B$8, _xlfn.IFNA(_xlfn.XLOOKUP(O$2-$C7,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8.2088943787408617</v>
      </c>
      <c r="P7" s="743">
        <f>IF($B7='Project List References'!$B$3, _xlfn.IFNA(_xlfn.XLOOKUP(P$2-$C7, 'GEN-CCGT'!$D$7:$AW$7, 'GEN-CCGT'!$D$118:$AW$118), 0), IF($B7='Project List References'!$B$4, _xlfn.IFNA(_xlfn.XLOOKUP(P$2-$C7, 'GEN-SOLAR'!$D$7:$AW$7, 'GEN-SOLAR'!$D$116:$AW$116), 0), IF($B7='Project List References'!$B$5, _xlfn.IFNA(_xlfn.XLOOKUP(P$2-$C7, 'GEN-BESS'!$D$7:$AW$7, 'GEN-BESS'!$D$120:$AW$120), 0), IF($B7='Project List References'!$B$6, _xlfn.IFNA(_xlfn.XLOOKUP(P$2-$C7, 'GEN-CARBON'!$D$7:$AW$7, 'GEN-CARBON'!$D$118:$AW$118), 0), IF($B7='Project List References'!$B$7, _xlfn.IFNA(_xlfn.XLOOKUP(P$2-$C7, 'SENS Coal'!$D$7:$AW$7, 'SENS Coal'!$D$134:$AW$134), 0), IF($B7='Project List References'!$B$8, _xlfn.IFNA(_xlfn.XLOOKUP(P$2-$C7,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8.2875880206648098</v>
      </c>
      <c r="Q7" s="743">
        <f>IF($B7='Project List References'!$B$3, _xlfn.IFNA(_xlfn.XLOOKUP(Q$2-$C7, 'GEN-CCGT'!$D$7:$AW$7, 'GEN-CCGT'!$D$118:$AW$118), 0), IF($B7='Project List References'!$B$4, _xlfn.IFNA(_xlfn.XLOOKUP(Q$2-$C7, 'GEN-SOLAR'!$D$7:$AW$7, 'GEN-SOLAR'!$D$116:$AW$116), 0), IF($B7='Project List References'!$B$5, _xlfn.IFNA(_xlfn.XLOOKUP(Q$2-$C7, 'GEN-BESS'!$D$7:$AW$7, 'GEN-BESS'!$D$120:$AW$120), 0), IF($B7='Project List References'!$B$6, _xlfn.IFNA(_xlfn.XLOOKUP(Q$2-$C7, 'GEN-CARBON'!$D$7:$AW$7, 'GEN-CARBON'!$D$118:$AW$118), 0), IF($B7='Project List References'!$B$7, _xlfn.IFNA(_xlfn.XLOOKUP(Q$2-$C7, 'SENS Coal'!$D$7:$AW$7, 'SENS Coal'!$D$134:$AW$134), 0), IF($B7='Project List References'!$B$8, _xlfn.IFNA(_xlfn.XLOOKUP(Q$2-$C7,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8.3668042764770725</v>
      </c>
      <c r="R7" s="743">
        <f>IF($B7='Project List References'!$B$3, _xlfn.IFNA(_xlfn.XLOOKUP(R$2-$C7, 'GEN-CCGT'!$D$7:$AW$7, 'GEN-CCGT'!$D$118:$AW$118), 0), IF($B7='Project List References'!$B$4, _xlfn.IFNA(_xlfn.XLOOKUP(R$2-$C7, 'GEN-SOLAR'!$D$7:$AW$7, 'GEN-SOLAR'!$D$116:$AW$116), 0), IF($B7='Project List References'!$B$5, _xlfn.IFNA(_xlfn.XLOOKUP(R$2-$C7, 'GEN-BESS'!$D$7:$AW$7, 'GEN-BESS'!$D$120:$AW$120), 0), IF($B7='Project List References'!$B$6, _xlfn.IFNA(_xlfn.XLOOKUP(R$2-$C7, 'GEN-CARBON'!$D$7:$AW$7, 'GEN-CARBON'!$D$118:$AW$118), 0), IF($B7='Project List References'!$B$7, _xlfn.IFNA(_xlfn.XLOOKUP(R$2-$C7, 'SENS Coal'!$D$7:$AW$7, 'SENS Coal'!$D$134:$AW$134), 0), IF($B7='Project List References'!$B$8, _xlfn.IFNA(_xlfn.XLOOKUP(R$2-$C7,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8.4465412492960681</v>
      </c>
      <c r="S7" s="743">
        <f>IF($B7='Project List References'!$B$3, _xlfn.IFNA(_xlfn.XLOOKUP(S$2-$C7, 'GEN-CCGT'!$D$7:$AW$7, 'GEN-CCGT'!$D$118:$AW$118), 0), IF($B7='Project List References'!$B$4, _xlfn.IFNA(_xlfn.XLOOKUP(S$2-$C7, 'GEN-SOLAR'!$D$7:$AW$7, 'GEN-SOLAR'!$D$116:$AW$116), 0), IF($B7='Project List References'!$B$5, _xlfn.IFNA(_xlfn.XLOOKUP(S$2-$C7, 'GEN-BESS'!$D$7:$AW$7, 'GEN-BESS'!$D$120:$AW$120), 0), IF($B7='Project List References'!$B$6, _xlfn.IFNA(_xlfn.XLOOKUP(S$2-$C7, 'GEN-CARBON'!$D$7:$AW$7, 'GEN-CARBON'!$D$118:$AW$118), 0), IF($B7='Project List References'!$B$7, _xlfn.IFNA(_xlfn.XLOOKUP(S$2-$C7, 'SENS Coal'!$D$7:$AW$7, 'SENS Coal'!$D$134:$AW$134), 0), IF($B7='Project List References'!$B$8, _xlfn.IFNA(_xlfn.XLOOKUP(S$2-$C7,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8.5267968696876526</v>
      </c>
      <c r="T7" s="743">
        <f>IF($B7='Project List References'!$B$3, _xlfn.IFNA(_xlfn.XLOOKUP(T$2-$C7, 'GEN-CCGT'!$D$7:$AW$7, 'GEN-CCGT'!$D$118:$AW$118), 0), IF($B7='Project List References'!$B$4, _xlfn.IFNA(_xlfn.XLOOKUP(T$2-$C7, 'GEN-SOLAR'!$D$7:$AW$7, 'GEN-SOLAR'!$D$116:$AW$116), 0), IF($B7='Project List References'!$B$5, _xlfn.IFNA(_xlfn.XLOOKUP(T$2-$C7, 'GEN-BESS'!$D$7:$AW$7, 'GEN-BESS'!$D$120:$AW$120), 0), IF($B7='Project List References'!$B$6, _xlfn.IFNA(_xlfn.XLOOKUP(T$2-$C7, 'GEN-CARBON'!$D$7:$AW$7, 'GEN-CARBON'!$D$118:$AW$118), 0), IF($B7='Project List References'!$B$7, _xlfn.IFNA(_xlfn.XLOOKUP(T$2-$C7, 'SENS Coal'!$D$7:$AW$7, 'SENS Coal'!$D$134:$AW$134), 0), IF($B7='Project List References'!$B$8, _xlfn.IFNA(_xlfn.XLOOKUP(T$2-$C7, 'SENS Tires'!$D$7:$AW$7, 'SENS Tires'!$D$132:$AW$132),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8.6075688909441475</v>
      </c>
    </row>
    <row r="8" spans="1:111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_xlfn.XLOOKUP(A8, 'Project Master Sheet'!A:A, 'Project Master Sheet'!I:I)</f>
        <v>#N/A</v>
      </c>
      <c r="E8" s="743" t="e">
        <f>IF($B8='Project List References'!$B$3, _xlfn.IFNA(_xlfn.XLOOKUP(E$2-$C8, 'GEN-CCGT'!$D$7:$AW$7, 'GEN-CCGT'!$D$118:$AW$118), 0), IF($B8='Project List References'!$B$4, _xlfn.IFNA(_xlfn.XLOOKUP(E$2-$C8, 'GEN-SOLAR'!$D$7:$AW$7, 'GEN-SOLAR'!$D$116:$AW$116), 0), IF($B8='Project List References'!$B$5, _xlfn.IFNA(_xlfn.XLOOKUP(E$2-$C8, 'GEN-BESS'!$D$7:$AW$7, 'GEN-BESS'!$D$120:$AW$120), 0), IF($B8='Project List References'!$B$6, _xlfn.IFNA(_xlfn.XLOOKUP(E$2-$C8, 'GEN-CARBON'!$D$7:$AW$7, 'GEN-CARBON'!$D$118:$AW$118), 0), IF($B8='Project List References'!$B$7, _xlfn.IFNA(_xlfn.XLOOKUP(E$2-$C8, 'SENS Coal'!$D$7:$AW$7, 'SENS Coal'!$D$134:$AW$134), 0), IF($B8='Project List References'!$B$8, _xlfn.IFNA(_xlfn.XLOOKUP(E$2-$C8,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F8" s="743" t="e">
        <f>IF($B8='Project List References'!$B$3, _xlfn.IFNA(_xlfn.XLOOKUP(F$2-$C8, 'GEN-CCGT'!$D$7:$AW$7, 'GEN-CCGT'!$D$118:$AW$118), 0), IF($B8='Project List References'!$B$4, _xlfn.IFNA(_xlfn.XLOOKUP(F$2-$C8, 'GEN-SOLAR'!$D$7:$AW$7, 'GEN-SOLAR'!$D$116:$AW$116), 0), IF($B8='Project List References'!$B$5, _xlfn.IFNA(_xlfn.XLOOKUP(F$2-$C8, 'GEN-BESS'!$D$7:$AW$7, 'GEN-BESS'!$D$120:$AW$120), 0), IF($B8='Project List References'!$B$6, _xlfn.IFNA(_xlfn.XLOOKUP(F$2-$C8, 'GEN-CARBON'!$D$7:$AW$7, 'GEN-CARBON'!$D$118:$AW$118), 0), IF($B8='Project List References'!$B$7, _xlfn.IFNA(_xlfn.XLOOKUP(F$2-$C8, 'SENS Coal'!$D$7:$AW$7, 'SENS Coal'!$D$134:$AW$134), 0), IF($B8='Project List References'!$B$8, _xlfn.IFNA(_xlfn.XLOOKUP(F$2-$C8,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G8" s="743" t="e">
        <f>IF($B8='Project List References'!$B$3, _xlfn.IFNA(_xlfn.XLOOKUP(G$2-$C8, 'GEN-CCGT'!$D$7:$AW$7, 'GEN-CCGT'!$D$118:$AW$118), 0), IF($B8='Project List References'!$B$4, _xlfn.IFNA(_xlfn.XLOOKUP(G$2-$C8, 'GEN-SOLAR'!$D$7:$AW$7, 'GEN-SOLAR'!$D$116:$AW$116), 0), IF($B8='Project List References'!$B$5, _xlfn.IFNA(_xlfn.XLOOKUP(G$2-$C8, 'GEN-BESS'!$D$7:$AW$7, 'GEN-BESS'!$D$120:$AW$120), 0), IF($B8='Project List References'!$B$6, _xlfn.IFNA(_xlfn.XLOOKUP(G$2-$C8, 'GEN-CARBON'!$D$7:$AW$7, 'GEN-CARBON'!$D$118:$AW$118), 0), IF($B8='Project List References'!$B$7, _xlfn.IFNA(_xlfn.XLOOKUP(G$2-$C8, 'SENS Coal'!$D$7:$AW$7, 'SENS Coal'!$D$134:$AW$134), 0), IF($B8='Project List References'!$B$8, _xlfn.IFNA(_xlfn.XLOOKUP(G$2-$C8,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H8" s="743" t="e">
        <f>IF($B8='Project List References'!$B$3, _xlfn.IFNA(_xlfn.XLOOKUP(H$2-$C8, 'GEN-CCGT'!$D$7:$AW$7, 'GEN-CCGT'!$D$118:$AW$118), 0), IF($B8='Project List References'!$B$4, _xlfn.IFNA(_xlfn.XLOOKUP(H$2-$C8, 'GEN-SOLAR'!$D$7:$AW$7, 'GEN-SOLAR'!$D$116:$AW$116), 0), IF($B8='Project List References'!$B$5, _xlfn.IFNA(_xlfn.XLOOKUP(H$2-$C8, 'GEN-BESS'!$D$7:$AW$7, 'GEN-BESS'!$D$120:$AW$120), 0), IF($B8='Project List References'!$B$6, _xlfn.IFNA(_xlfn.XLOOKUP(H$2-$C8, 'GEN-CARBON'!$D$7:$AW$7, 'GEN-CARBON'!$D$118:$AW$118), 0), IF($B8='Project List References'!$B$7, _xlfn.IFNA(_xlfn.XLOOKUP(H$2-$C8, 'SENS Coal'!$D$7:$AW$7, 'SENS Coal'!$D$134:$AW$134), 0), IF($B8='Project List References'!$B$8, _xlfn.IFNA(_xlfn.XLOOKUP(H$2-$C8,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I8" s="743" t="e">
        <f>IF($B8='Project List References'!$B$3, _xlfn.IFNA(_xlfn.XLOOKUP(I$2-$C8, 'GEN-CCGT'!$D$7:$AW$7, 'GEN-CCGT'!$D$118:$AW$118), 0), IF($B8='Project List References'!$B$4, _xlfn.IFNA(_xlfn.XLOOKUP(I$2-$C8, 'GEN-SOLAR'!$D$7:$AW$7, 'GEN-SOLAR'!$D$116:$AW$116), 0), IF($B8='Project List References'!$B$5, _xlfn.IFNA(_xlfn.XLOOKUP(I$2-$C8, 'GEN-BESS'!$D$7:$AW$7, 'GEN-BESS'!$D$120:$AW$120), 0), IF($B8='Project List References'!$B$6, _xlfn.IFNA(_xlfn.XLOOKUP(I$2-$C8, 'GEN-CARBON'!$D$7:$AW$7, 'GEN-CARBON'!$D$118:$AW$118), 0), IF($B8='Project List References'!$B$7, _xlfn.IFNA(_xlfn.XLOOKUP(I$2-$C8, 'SENS Coal'!$D$7:$AW$7, 'SENS Coal'!$D$134:$AW$134), 0), IF($B8='Project List References'!$B$8, _xlfn.IFNA(_xlfn.XLOOKUP(I$2-$C8,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J8" s="743" t="e">
        <f>IF($B8='Project List References'!$B$3, _xlfn.IFNA(_xlfn.XLOOKUP(J$2-$C8, 'GEN-CCGT'!$D$7:$AW$7, 'GEN-CCGT'!$D$118:$AW$118), 0), IF($B8='Project List References'!$B$4, _xlfn.IFNA(_xlfn.XLOOKUP(J$2-$C8, 'GEN-SOLAR'!$D$7:$AW$7, 'GEN-SOLAR'!$D$116:$AW$116), 0), IF($B8='Project List References'!$B$5, _xlfn.IFNA(_xlfn.XLOOKUP(J$2-$C8, 'GEN-BESS'!$D$7:$AW$7, 'GEN-BESS'!$D$120:$AW$120), 0), IF($B8='Project List References'!$B$6, _xlfn.IFNA(_xlfn.XLOOKUP(J$2-$C8, 'GEN-CARBON'!$D$7:$AW$7, 'GEN-CARBON'!$D$118:$AW$118), 0), IF($B8='Project List References'!$B$7, _xlfn.IFNA(_xlfn.XLOOKUP(J$2-$C8, 'SENS Coal'!$D$7:$AW$7, 'SENS Coal'!$D$134:$AW$134), 0), IF($B8='Project List References'!$B$8, _xlfn.IFNA(_xlfn.XLOOKUP(J$2-$C8,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K8" s="743" t="e">
        <f>IF($B8='Project List References'!$B$3, _xlfn.IFNA(_xlfn.XLOOKUP(K$2-$C8, 'GEN-CCGT'!$D$7:$AW$7, 'GEN-CCGT'!$D$118:$AW$118), 0), IF($B8='Project List References'!$B$4, _xlfn.IFNA(_xlfn.XLOOKUP(K$2-$C8, 'GEN-SOLAR'!$D$7:$AW$7, 'GEN-SOLAR'!$D$116:$AW$116), 0), IF($B8='Project List References'!$B$5, _xlfn.IFNA(_xlfn.XLOOKUP(K$2-$C8, 'GEN-BESS'!$D$7:$AW$7, 'GEN-BESS'!$D$120:$AW$120), 0), IF($B8='Project List References'!$B$6, _xlfn.IFNA(_xlfn.XLOOKUP(K$2-$C8, 'GEN-CARBON'!$D$7:$AW$7, 'GEN-CARBON'!$D$118:$AW$118), 0), IF($B8='Project List References'!$B$7, _xlfn.IFNA(_xlfn.XLOOKUP(K$2-$C8, 'SENS Coal'!$D$7:$AW$7, 'SENS Coal'!$D$134:$AW$134), 0), IF($B8='Project List References'!$B$8, _xlfn.IFNA(_xlfn.XLOOKUP(K$2-$C8,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L8" s="743" t="e">
        <f>IF($B8='Project List References'!$B$3, _xlfn.IFNA(_xlfn.XLOOKUP(L$2-$C8, 'GEN-CCGT'!$D$7:$AW$7, 'GEN-CCGT'!$D$118:$AW$118), 0), IF($B8='Project List References'!$B$4, _xlfn.IFNA(_xlfn.XLOOKUP(L$2-$C8, 'GEN-SOLAR'!$D$7:$AW$7, 'GEN-SOLAR'!$D$116:$AW$116), 0), IF($B8='Project List References'!$B$5, _xlfn.IFNA(_xlfn.XLOOKUP(L$2-$C8, 'GEN-BESS'!$D$7:$AW$7, 'GEN-BESS'!$D$120:$AW$120), 0), IF($B8='Project List References'!$B$6, _xlfn.IFNA(_xlfn.XLOOKUP(L$2-$C8, 'GEN-CARBON'!$D$7:$AW$7, 'GEN-CARBON'!$D$118:$AW$118), 0), IF($B8='Project List References'!$B$7, _xlfn.IFNA(_xlfn.XLOOKUP(L$2-$C8, 'SENS Coal'!$D$7:$AW$7, 'SENS Coal'!$D$134:$AW$134), 0), IF($B8='Project List References'!$B$8, _xlfn.IFNA(_xlfn.XLOOKUP(L$2-$C8,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M8" s="743" t="e">
        <f>IF($B8='Project List References'!$B$3, _xlfn.IFNA(_xlfn.XLOOKUP(M$2-$C8, 'GEN-CCGT'!$D$7:$AW$7, 'GEN-CCGT'!$D$118:$AW$118), 0), IF($B8='Project List References'!$B$4, _xlfn.IFNA(_xlfn.XLOOKUP(M$2-$C8, 'GEN-SOLAR'!$D$7:$AW$7, 'GEN-SOLAR'!$D$116:$AW$116), 0), IF($B8='Project List References'!$B$5, _xlfn.IFNA(_xlfn.XLOOKUP(M$2-$C8, 'GEN-BESS'!$D$7:$AW$7, 'GEN-BESS'!$D$120:$AW$120), 0), IF($B8='Project List References'!$B$6, _xlfn.IFNA(_xlfn.XLOOKUP(M$2-$C8, 'GEN-CARBON'!$D$7:$AW$7, 'GEN-CARBON'!$D$118:$AW$118), 0), IF($B8='Project List References'!$B$7, _xlfn.IFNA(_xlfn.XLOOKUP(M$2-$C8, 'SENS Coal'!$D$7:$AW$7, 'SENS Coal'!$D$134:$AW$134), 0), IF($B8='Project List References'!$B$8, _xlfn.IFNA(_xlfn.XLOOKUP(M$2-$C8,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N8" s="743" t="e">
        <f>IF($B8='Project List References'!$B$3, _xlfn.IFNA(_xlfn.XLOOKUP(N$2-$C8, 'GEN-CCGT'!$D$7:$AW$7, 'GEN-CCGT'!$D$118:$AW$118), 0), IF($B8='Project List References'!$B$4, _xlfn.IFNA(_xlfn.XLOOKUP(N$2-$C8, 'GEN-SOLAR'!$D$7:$AW$7, 'GEN-SOLAR'!$D$116:$AW$116), 0), IF($B8='Project List References'!$B$5, _xlfn.IFNA(_xlfn.XLOOKUP(N$2-$C8, 'GEN-BESS'!$D$7:$AW$7, 'GEN-BESS'!$D$120:$AW$120), 0), IF($B8='Project List References'!$B$6, _xlfn.IFNA(_xlfn.XLOOKUP(N$2-$C8, 'GEN-CARBON'!$D$7:$AW$7, 'GEN-CARBON'!$D$118:$AW$118), 0), IF($B8='Project List References'!$B$7, _xlfn.IFNA(_xlfn.XLOOKUP(N$2-$C8, 'SENS Coal'!$D$7:$AW$7, 'SENS Coal'!$D$134:$AW$134), 0), IF($B8='Project List References'!$B$8, _xlfn.IFNA(_xlfn.XLOOKUP(N$2-$C8,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O8" s="743" t="e">
        <f>IF($B8='Project List References'!$B$3, _xlfn.IFNA(_xlfn.XLOOKUP(O$2-$C8, 'GEN-CCGT'!$D$7:$AW$7, 'GEN-CCGT'!$D$118:$AW$118), 0), IF($B8='Project List References'!$B$4, _xlfn.IFNA(_xlfn.XLOOKUP(O$2-$C8, 'GEN-SOLAR'!$D$7:$AW$7, 'GEN-SOLAR'!$D$116:$AW$116), 0), IF($B8='Project List References'!$B$5, _xlfn.IFNA(_xlfn.XLOOKUP(O$2-$C8, 'GEN-BESS'!$D$7:$AW$7, 'GEN-BESS'!$D$120:$AW$120), 0), IF($B8='Project List References'!$B$6, _xlfn.IFNA(_xlfn.XLOOKUP(O$2-$C8, 'GEN-CARBON'!$D$7:$AW$7, 'GEN-CARBON'!$D$118:$AW$118), 0), IF($B8='Project List References'!$B$7, _xlfn.IFNA(_xlfn.XLOOKUP(O$2-$C8, 'SENS Coal'!$D$7:$AW$7, 'SENS Coal'!$D$134:$AW$134), 0), IF($B8='Project List References'!$B$8, _xlfn.IFNA(_xlfn.XLOOKUP(O$2-$C8,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P8" s="743" t="e">
        <f>IF($B8='Project List References'!$B$3, _xlfn.IFNA(_xlfn.XLOOKUP(P$2-$C8, 'GEN-CCGT'!$D$7:$AW$7, 'GEN-CCGT'!$D$118:$AW$118), 0), IF($B8='Project List References'!$B$4, _xlfn.IFNA(_xlfn.XLOOKUP(P$2-$C8, 'GEN-SOLAR'!$D$7:$AW$7, 'GEN-SOLAR'!$D$116:$AW$116), 0), IF($B8='Project List References'!$B$5, _xlfn.IFNA(_xlfn.XLOOKUP(P$2-$C8, 'GEN-BESS'!$D$7:$AW$7, 'GEN-BESS'!$D$120:$AW$120), 0), IF($B8='Project List References'!$B$6, _xlfn.IFNA(_xlfn.XLOOKUP(P$2-$C8, 'GEN-CARBON'!$D$7:$AW$7, 'GEN-CARBON'!$D$118:$AW$118), 0), IF($B8='Project List References'!$B$7, _xlfn.IFNA(_xlfn.XLOOKUP(P$2-$C8, 'SENS Coal'!$D$7:$AW$7, 'SENS Coal'!$D$134:$AW$134), 0), IF($B8='Project List References'!$B$8, _xlfn.IFNA(_xlfn.XLOOKUP(P$2-$C8,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Q8" s="743" t="e">
        <f>IF($B8='Project List References'!$B$3, _xlfn.IFNA(_xlfn.XLOOKUP(Q$2-$C8, 'GEN-CCGT'!$D$7:$AW$7, 'GEN-CCGT'!$D$118:$AW$118), 0), IF($B8='Project List References'!$B$4, _xlfn.IFNA(_xlfn.XLOOKUP(Q$2-$C8, 'GEN-SOLAR'!$D$7:$AW$7, 'GEN-SOLAR'!$D$116:$AW$116), 0), IF($B8='Project List References'!$B$5, _xlfn.IFNA(_xlfn.XLOOKUP(Q$2-$C8, 'GEN-BESS'!$D$7:$AW$7, 'GEN-BESS'!$D$120:$AW$120), 0), IF($B8='Project List References'!$B$6, _xlfn.IFNA(_xlfn.XLOOKUP(Q$2-$C8, 'GEN-CARBON'!$D$7:$AW$7, 'GEN-CARBON'!$D$118:$AW$118), 0), IF($B8='Project List References'!$B$7, _xlfn.IFNA(_xlfn.XLOOKUP(Q$2-$C8, 'SENS Coal'!$D$7:$AW$7, 'SENS Coal'!$D$134:$AW$134), 0), IF($B8='Project List References'!$B$8, _xlfn.IFNA(_xlfn.XLOOKUP(Q$2-$C8,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R8" s="743" t="e">
        <f>IF($B8='Project List References'!$B$3, _xlfn.IFNA(_xlfn.XLOOKUP(R$2-$C8, 'GEN-CCGT'!$D$7:$AW$7, 'GEN-CCGT'!$D$118:$AW$118), 0), IF($B8='Project List References'!$B$4, _xlfn.IFNA(_xlfn.XLOOKUP(R$2-$C8, 'GEN-SOLAR'!$D$7:$AW$7, 'GEN-SOLAR'!$D$116:$AW$116), 0), IF($B8='Project List References'!$B$5, _xlfn.IFNA(_xlfn.XLOOKUP(R$2-$C8, 'GEN-BESS'!$D$7:$AW$7, 'GEN-BESS'!$D$120:$AW$120), 0), IF($B8='Project List References'!$B$6, _xlfn.IFNA(_xlfn.XLOOKUP(R$2-$C8, 'GEN-CARBON'!$D$7:$AW$7, 'GEN-CARBON'!$D$118:$AW$118), 0), IF($B8='Project List References'!$B$7, _xlfn.IFNA(_xlfn.XLOOKUP(R$2-$C8, 'SENS Coal'!$D$7:$AW$7, 'SENS Coal'!$D$134:$AW$134), 0), IF($B8='Project List References'!$B$8, _xlfn.IFNA(_xlfn.XLOOKUP(R$2-$C8,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S8" s="743" t="e">
        <f>IF($B8='Project List References'!$B$3, _xlfn.IFNA(_xlfn.XLOOKUP(S$2-$C8, 'GEN-CCGT'!$D$7:$AW$7, 'GEN-CCGT'!$D$118:$AW$118), 0), IF($B8='Project List References'!$B$4, _xlfn.IFNA(_xlfn.XLOOKUP(S$2-$C8, 'GEN-SOLAR'!$D$7:$AW$7, 'GEN-SOLAR'!$D$116:$AW$116), 0), IF($B8='Project List References'!$B$5, _xlfn.IFNA(_xlfn.XLOOKUP(S$2-$C8, 'GEN-BESS'!$D$7:$AW$7, 'GEN-BESS'!$D$120:$AW$120), 0), IF($B8='Project List References'!$B$6, _xlfn.IFNA(_xlfn.XLOOKUP(S$2-$C8, 'GEN-CARBON'!$D$7:$AW$7, 'GEN-CARBON'!$D$118:$AW$118), 0), IF($B8='Project List References'!$B$7, _xlfn.IFNA(_xlfn.XLOOKUP(S$2-$C8, 'SENS Coal'!$D$7:$AW$7, 'SENS Coal'!$D$134:$AW$134), 0), IF($B8='Project List References'!$B$8, _xlfn.IFNA(_xlfn.XLOOKUP(S$2-$C8,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T8" s="743" t="e">
        <f>IF($B8='Project List References'!$B$3, _xlfn.IFNA(_xlfn.XLOOKUP(T$2-$C8, 'GEN-CCGT'!$D$7:$AW$7, 'GEN-CCGT'!$D$118:$AW$118), 0), IF($B8='Project List References'!$B$4, _xlfn.IFNA(_xlfn.XLOOKUP(T$2-$C8, 'GEN-SOLAR'!$D$7:$AW$7, 'GEN-SOLAR'!$D$116:$AW$116), 0), IF($B8='Project List References'!$B$5, _xlfn.IFNA(_xlfn.XLOOKUP(T$2-$C8, 'GEN-BESS'!$D$7:$AW$7, 'GEN-BESS'!$D$120:$AW$120), 0), IF($B8='Project List References'!$B$6, _xlfn.IFNA(_xlfn.XLOOKUP(T$2-$C8, 'GEN-CARBON'!$D$7:$AW$7, 'GEN-CARBON'!$D$118:$AW$118), 0), IF($B8='Project List References'!$B$7, _xlfn.IFNA(_xlfn.XLOOKUP(T$2-$C8, 'SENS Coal'!$D$7:$AW$7, 'SENS Coal'!$D$134:$AW$134), 0), IF($B8='Project List References'!$B$8, _xlfn.IFNA(_xlfn.XLOOKUP(T$2-$C8, 'SENS Tires'!$D$7:$AW$7, 'SENS Tires'!$D$132:$AW$132),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</row>
    <row r="9" spans="1:111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_xlfn.XLOOKUP(A9, 'Project Master Sheet'!A:A, 'Project Master Sheet'!I:I)</f>
        <v>1</v>
      </c>
      <c r="E9" s="743">
        <f>IF($B9='Project List References'!$B$3, _xlfn.IFNA(_xlfn.XLOOKUP(E$2-$C9, 'GEN-CCGT'!$D$7:$AW$7, 'GEN-CCGT'!$D$118:$AW$118), 0), IF($B9='Project List References'!$B$4, _xlfn.IFNA(_xlfn.XLOOKUP(E$2-$C9, 'GEN-SOLAR'!$D$7:$AW$7, 'GEN-SOLAR'!$D$116:$AW$116), 0), IF($B9='Project List References'!$B$5, _xlfn.IFNA(_xlfn.XLOOKUP(E$2-$C9, 'GEN-BESS'!$D$7:$AW$7, 'GEN-BESS'!$D$120:$AW$120), 0), IF($B9='Project List References'!$B$6, _xlfn.IFNA(_xlfn.XLOOKUP(E$2-$C9, 'GEN-CARBON'!$D$7:$AW$7, 'GEN-CARBON'!$D$118:$AW$118), 0), IF($B9='Project List References'!$B$7, _xlfn.IFNA(_xlfn.XLOOKUP(E$2-$C9, 'SENS Coal'!$D$7:$AW$7, 'SENS Coal'!$D$134:$AW$134), 0), IF($B9='Project List References'!$B$8, _xlfn.IFNA(_xlfn.XLOOKUP(E$2-$C9,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F9" s="743">
        <f>IF($B9='Project List References'!$B$3, _xlfn.IFNA(_xlfn.XLOOKUP(F$2-$C9, 'GEN-CCGT'!$D$7:$AW$7, 'GEN-CCGT'!$D$118:$AW$118), 0), IF($B9='Project List References'!$B$4, _xlfn.IFNA(_xlfn.XLOOKUP(F$2-$C9, 'GEN-SOLAR'!$D$7:$AW$7, 'GEN-SOLAR'!$D$116:$AW$116), 0), IF($B9='Project List References'!$B$5, _xlfn.IFNA(_xlfn.XLOOKUP(F$2-$C9, 'GEN-BESS'!$D$7:$AW$7, 'GEN-BESS'!$D$120:$AW$120), 0), IF($B9='Project List References'!$B$6, _xlfn.IFNA(_xlfn.XLOOKUP(F$2-$C9, 'GEN-CARBON'!$D$7:$AW$7, 'GEN-CARBON'!$D$118:$AW$118), 0), IF($B9='Project List References'!$B$7, _xlfn.IFNA(_xlfn.XLOOKUP(F$2-$C9, 'SENS Coal'!$D$7:$AW$7, 'SENS Coal'!$D$134:$AW$134), 0), IF($B9='Project List References'!$B$8, _xlfn.IFNA(_xlfn.XLOOKUP(F$2-$C9,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G9" s="743">
        <f>IF($B9='Project List References'!$B$3, _xlfn.IFNA(_xlfn.XLOOKUP(G$2-$C9, 'GEN-CCGT'!$D$7:$AW$7, 'GEN-CCGT'!$D$118:$AW$118), 0), IF($B9='Project List References'!$B$4, _xlfn.IFNA(_xlfn.XLOOKUP(G$2-$C9, 'GEN-SOLAR'!$D$7:$AW$7, 'GEN-SOLAR'!$D$116:$AW$116), 0), IF($B9='Project List References'!$B$5, _xlfn.IFNA(_xlfn.XLOOKUP(G$2-$C9, 'GEN-BESS'!$D$7:$AW$7, 'GEN-BESS'!$D$120:$AW$120), 0), IF($B9='Project List References'!$B$6, _xlfn.IFNA(_xlfn.XLOOKUP(G$2-$C9, 'GEN-CARBON'!$D$7:$AW$7, 'GEN-CARBON'!$D$118:$AW$118), 0), IF($B9='Project List References'!$B$7, _xlfn.IFNA(_xlfn.XLOOKUP(G$2-$C9, 'SENS Coal'!$D$7:$AW$7, 'SENS Coal'!$D$134:$AW$134), 0), IF($B9='Project List References'!$B$8, _xlfn.IFNA(_xlfn.XLOOKUP(G$2-$C9,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H9" s="743">
        <f>IF($B9='Project List References'!$B$3, _xlfn.IFNA(_xlfn.XLOOKUP(H$2-$C9, 'GEN-CCGT'!$D$7:$AW$7, 'GEN-CCGT'!$D$118:$AW$118), 0), IF($B9='Project List References'!$B$4, _xlfn.IFNA(_xlfn.XLOOKUP(H$2-$C9, 'GEN-SOLAR'!$D$7:$AW$7, 'GEN-SOLAR'!$D$116:$AW$116), 0), IF($B9='Project List References'!$B$5, _xlfn.IFNA(_xlfn.XLOOKUP(H$2-$C9, 'GEN-BESS'!$D$7:$AW$7, 'GEN-BESS'!$D$120:$AW$120), 0), IF($B9='Project List References'!$B$6, _xlfn.IFNA(_xlfn.XLOOKUP(H$2-$C9, 'GEN-CARBON'!$D$7:$AW$7, 'GEN-CARBON'!$D$118:$AW$118), 0), IF($B9='Project List References'!$B$7, _xlfn.IFNA(_xlfn.XLOOKUP(H$2-$C9, 'SENS Coal'!$D$7:$AW$7, 'SENS Coal'!$D$134:$AW$134), 0), IF($B9='Project List References'!$B$8, _xlfn.IFNA(_xlfn.XLOOKUP(H$2-$C9,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I9" s="743">
        <f>IF($B9='Project List References'!$B$3, _xlfn.IFNA(_xlfn.XLOOKUP(I$2-$C9, 'GEN-CCGT'!$D$7:$AW$7, 'GEN-CCGT'!$D$118:$AW$118), 0), IF($B9='Project List References'!$B$4, _xlfn.IFNA(_xlfn.XLOOKUP(I$2-$C9, 'GEN-SOLAR'!$D$7:$AW$7, 'GEN-SOLAR'!$D$116:$AW$116), 0), IF($B9='Project List References'!$B$5, _xlfn.IFNA(_xlfn.XLOOKUP(I$2-$C9, 'GEN-BESS'!$D$7:$AW$7, 'GEN-BESS'!$D$120:$AW$120), 0), IF($B9='Project List References'!$B$6, _xlfn.IFNA(_xlfn.XLOOKUP(I$2-$C9, 'GEN-CARBON'!$D$7:$AW$7, 'GEN-CARBON'!$D$118:$AW$118), 0), IF($B9='Project List References'!$B$7, _xlfn.IFNA(_xlfn.XLOOKUP(I$2-$C9, 'SENS Coal'!$D$7:$AW$7, 'SENS Coal'!$D$134:$AW$134), 0), IF($B9='Project List References'!$B$8, _xlfn.IFNA(_xlfn.XLOOKUP(I$2-$C9,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31.642268156927994</v>
      </c>
      <c r="J9" s="743">
        <f>IF($B9='Project List References'!$B$3, _xlfn.IFNA(_xlfn.XLOOKUP(J$2-$C9, 'GEN-CCGT'!$D$7:$AW$7, 'GEN-CCGT'!$D$118:$AW$118), 0), IF($B9='Project List References'!$B$4, _xlfn.IFNA(_xlfn.XLOOKUP(J$2-$C9, 'GEN-SOLAR'!$D$7:$AW$7, 'GEN-SOLAR'!$D$116:$AW$116), 0), IF($B9='Project List References'!$B$5, _xlfn.IFNA(_xlfn.XLOOKUP(J$2-$C9, 'GEN-BESS'!$D$7:$AW$7, 'GEN-BESS'!$D$120:$AW$120), 0), IF($B9='Project List References'!$B$6, _xlfn.IFNA(_xlfn.XLOOKUP(J$2-$C9, 'GEN-CARBON'!$D$7:$AW$7, 'GEN-CARBON'!$D$118:$AW$118), 0), IF($B9='Project List References'!$B$7, _xlfn.IFNA(_xlfn.XLOOKUP(J$2-$C9, 'SENS Coal'!$D$7:$AW$7, 'SENS Coal'!$D$134:$AW$134), 0), IF($B9='Project List References'!$B$8, _xlfn.IFNA(_xlfn.XLOOKUP(J$2-$C9,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48.412670280099839</v>
      </c>
      <c r="K9" s="743">
        <f>IF($B9='Project List References'!$B$3, _xlfn.IFNA(_xlfn.XLOOKUP(K$2-$C9, 'GEN-CCGT'!$D$7:$AW$7, 'GEN-CCGT'!$D$118:$AW$118), 0), IF($B9='Project List References'!$B$4, _xlfn.IFNA(_xlfn.XLOOKUP(K$2-$C9, 'GEN-SOLAR'!$D$7:$AW$7, 'GEN-SOLAR'!$D$116:$AW$116), 0), IF($B9='Project List References'!$B$5, _xlfn.IFNA(_xlfn.XLOOKUP(K$2-$C9, 'GEN-BESS'!$D$7:$AW$7, 'GEN-BESS'!$D$120:$AW$120), 0), IF($B9='Project List References'!$B$6, _xlfn.IFNA(_xlfn.XLOOKUP(K$2-$C9, 'GEN-CARBON'!$D$7:$AW$7, 'GEN-CARBON'!$D$118:$AW$118), 0), IF($B9='Project List References'!$B$7, _xlfn.IFNA(_xlfn.XLOOKUP(K$2-$C9, 'SENS Coal'!$D$7:$AW$7, 'SENS Coal'!$D$134:$AW$134), 0), IF($B9='Project List References'!$B$8, _xlfn.IFNA(_xlfn.XLOOKUP(K$2-$C9,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49.257471376487594</v>
      </c>
      <c r="L9" s="743">
        <f>IF($B9='Project List References'!$B$3, _xlfn.IFNA(_xlfn.XLOOKUP(L$2-$C9, 'GEN-CCGT'!$D$7:$AW$7, 'GEN-CCGT'!$D$118:$AW$118), 0), IF($B9='Project List References'!$B$4, _xlfn.IFNA(_xlfn.XLOOKUP(L$2-$C9, 'GEN-SOLAR'!$D$7:$AW$7, 'GEN-SOLAR'!$D$116:$AW$116), 0), IF($B9='Project List References'!$B$5, _xlfn.IFNA(_xlfn.XLOOKUP(L$2-$C9, 'GEN-BESS'!$D$7:$AW$7, 'GEN-BESS'!$D$120:$AW$120), 0), IF($B9='Project List References'!$B$6, _xlfn.IFNA(_xlfn.XLOOKUP(L$2-$C9, 'GEN-CARBON'!$D$7:$AW$7, 'GEN-CARBON'!$D$118:$AW$118), 0), IF($B9='Project List References'!$B$7, _xlfn.IFNA(_xlfn.XLOOKUP(L$2-$C9, 'SENS Coal'!$D$7:$AW$7, 'SENS Coal'!$D$134:$AW$134), 0), IF($B9='Project List References'!$B$8, _xlfn.IFNA(_xlfn.XLOOKUP(L$2-$C9,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50.117014252007309</v>
      </c>
      <c r="M9" s="743">
        <f>IF($B9='Project List References'!$B$3, _xlfn.IFNA(_xlfn.XLOOKUP(M$2-$C9, 'GEN-CCGT'!$D$7:$AW$7, 'GEN-CCGT'!$D$118:$AW$118), 0), IF($B9='Project List References'!$B$4, _xlfn.IFNA(_xlfn.XLOOKUP(M$2-$C9, 'GEN-SOLAR'!$D$7:$AW$7, 'GEN-SOLAR'!$D$116:$AW$116), 0), IF($B9='Project List References'!$B$5, _xlfn.IFNA(_xlfn.XLOOKUP(M$2-$C9, 'GEN-BESS'!$D$7:$AW$7, 'GEN-BESS'!$D$120:$AW$120), 0), IF($B9='Project List References'!$B$6, _xlfn.IFNA(_xlfn.XLOOKUP(M$2-$C9, 'GEN-CARBON'!$D$7:$AW$7, 'GEN-CARBON'!$D$118:$AW$118), 0), IF($B9='Project List References'!$B$7, _xlfn.IFNA(_xlfn.XLOOKUP(M$2-$C9, 'SENS Coal'!$D$7:$AW$7, 'SENS Coal'!$D$134:$AW$134), 0), IF($B9='Project List References'!$B$8, _xlfn.IFNA(_xlfn.XLOOKUP(M$2-$C9,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50.991556150704817</v>
      </c>
      <c r="N9" s="743">
        <f>IF($B9='Project List References'!$B$3, _xlfn.IFNA(_xlfn.XLOOKUP(N$2-$C9, 'GEN-CCGT'!$D$7:$AW$7, 'GEN-CCGT'!$D$118:$AW$118), 0), IF($B9='Project List References'!$B$4, _xlfn.IFNA(_xlfn.XLOOKUP(N$2-$C9, 'GEN-SOLAR'!$D$7:$AW$7, 'GEN-SOLAR'!$D$116:$AW$116), 0), IF($B9='Project List References'!$B$5, _xlfn.IFNA(_xlfn.XLOOKUP(N$2-$C9, 'GEN-BESS'!$D$7:$AW$7, 'GEN-BESS'!$D$120:$AW$120), 0), IF($B9='Project List References'!$B$6, _xlfn.IFNA(_xlfn.XLOOKUP(N$2-$C9, 'GEN-CARBON'!$D$7:$AW$7, 'GEN-CARBON'!$D$118:$AW$118), 0), IF($B9='Project List References'!$B$7, _xlfn.IFNA(_xlfn.XLOOKUP(N$2-$C9, 'SENS Coal'!$D$7:$AW$7, 'SENS Coal'!$D$134:$AW$134), 0), IF($B9='Project List References'!$B$8, _xlfn.IFNA(_xlfn.XLOOKUP(N$2-$C9,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51.881358805534624</v>
      </c>
      <c r="O9" s="743">
        <f>IF($B9='Project List References'!$B$3, _xlfn.IFNA(_xlfn.XLOOKUP(O$2-$C9, 'GEN-CCGT'!$D$7:$AW$7, 'GEN-CCGT'!$D$118:$AW$118), 0), IF($B9='Project List References'!$B$4, _xlfn.IFNA(_xlfn.XLOOKUP(O$2-$C9, 'GEN-SOLAR'!$D$7:$AW$7, 'GEN-SOLAR'!$D$116:$AW$116), 0), IF($B9='Project List References'!$B$5, _xlfn.IFNA(_xlfn.XLOOKUP(O$2-$C9, 'GEN-BESS'!$D$7:$AW$7, 'GEN-BESS'!$D$120:$AW$120), 0), IF($B9='Project List References'!$B$6, _xlfn.IFNA(_xlfn.XLOOKUP(O$2-$C9, 'GEN-CARBON'!$D$7:$AW$7, 'GEN-CARBON'!$D$118:$AW$118), 0), IF($B9='Project List References'!$B$7, _xlfn.IFNA(_xlfn.XLOOKUP(O$2-$C9, 'SENS Coal'!$D$7:$AW$7, 'SENS Coal'!$D$134:$AW$134), 0), IF($B9='Project List References'!$B$8, _xlfn.IFNA(_xlfn.XLOOKUP(O$2-$C9,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52.786688516691207</v>
      </c>
      <c r="P9" s="743">
        <f>IF($B9='Project List References'!$B$3, _xlfn.IFNA(_xlfn.XLOOKUP(P$2-$C9, 'GEN-CCGT'!$D$7:$AW$7, 'GEN-CCGT'!$D$118:$AW$118), 0), IF($B9='Project List References'!$B$4, _xlfn.IFNA(_xlfn.XLOOKUP(P$2-$C9, 'GEN-SOLAR'!$D$7:$AW$7, 'GEN-SOLAR'!$D$116:$AW$116), 0), IF($B9='Project List References'!$B$5, _xlfn.IFNA(_xlfn.XLOOKUP(P$2-$C9, 'GEN-BESS'!$D$7:$AW$7, 'GEN-BESS'!$D$120:$AW$120), 0), IF($B9='Project List References'!$B$6, _xlfn.IFNA(_xlfn.XLOOKUP(P$2-$C9, 'GEN-CARBON'!$D$7:$AW$7, 'GEN-CARBON'!$D$118:$AW$118), 0), IF($B9='Project List References'!$B$7, _xlfn.IFNA(_xlfn.XLOOKUP(P$2-$C9, 'SENS Coal'!$D$7:$AW$7, 'SENS Coal'!$D$134:$AW$134), 0), IF($B9='Project List References'!$B$8, _xlfn.IFNA(_xlfn.XLOOKUP(P$2-$C9,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53.707816231307469</v>
      </c>
      <c r="Q9" s="743">
        <f>IF($B9='Project List References'!$B$3, _xlfn.IFNA(_xlfn.XLOOKUP(Q$2-$C9, 'GEN-CCGT'!$D$7:$AW$7, 'GEN-CCGT'!$D$118:$AW$118), 0), IF($B9='Project List References'!$B$4, _xlfn.IFNA(_xlfn.XLOOKUP(Q$2-$C9, 'GEN-SOLAR'!$D$7:$AW$7, 'GEN-SOLAR'!$D$116:$AW$116), 0), IF($B9='Project List References'!$B$5, _xlfn.IFNA(_xlfn.XLOOKUP(Q$2-$C9, 'GEN-BESS'!$D$7:$AW$7, 'GEN-BESS'!$D$120:$AW$120), 0), IF($B9='Project List References'!$B$6, _xlfn.IFNA(_xlfn.XLOOKUP(Q$2-$C9, 'GEN-CARBON'!$D$7:$AW$7, 'GEN-CARBON'!$D$118:$AW$118), 0), IF($B9='Project List References'!$B$7, _xlfn.IFNA(_xlfn.XLOOKUP(Q$2-$C9, 'SENS Coal'!$D$7:$AW$7, 'SENS Coal'!$D$134:$AW$134), 0), IF($B9='Project List References'!$B$8, _xlfn.IFNA(_xlfn.XLOOKUP(Q$2-$C9,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54.645017624543776</v>
      </c>
      <c r="R9" s="743">
        <f>IF($B9='Project List References'!$B$3, _xlfn.IFNA(_xlfn.XLOOKUP(R$2-$C9, 'GEN-CCGT'!$D$7:$AW$7, 'GEN-CCGT'!$D$118:$AW$118), 0), IF($B9='Project List References'!$B$4, _xlfn.IFNA(_xlfn.XLOOKUP(R$2-$C9, 'GEN-SOLAR'!$D$7:$AW$7, 'GEN-SOLAR'!$D$116:$AW$116), 0), IF($B9='Project List References'!$B$5, _xlfn.IFNA(_xlfn.XLOOKUP(R$2-$C9, 'GEN-BESS'!$D$7:$AW$7, 'GEN-BESS'!$D$120:$AW$120), 0), IF($B9='Project List References'!$B$6, _xlfn.IFNA(_xlfn.XLOOKUP(R$2-$C9, 'GEN-CARBON'!$D$7:$AW$7, 'GEN-CARBON'!$D$118:$AW$118), 0), IF($B9='Project List References'!$B$7, _xlfn.IFNA(_xlfn.XLOOKUP(R$2-$C9, 'SENS Coal'!$D$7:$AW$7, 'SENS Coal'!$D$134:$AW$134), 0), IF($B9='Project List References'!$B$8, _xlfn.IFNA(_xlfn.XLOOKUP(R$2-$C9,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55.598573182092068</v>
      </c>
      <c r="S9" s="743">
        <f>IF($B9='Project List References'!$B$3, _xlfn.IFNA(_xlfn.XLOOKUP(S$2-$C9, 'GEN-CCGT'!$D$7:$AW$7, 'GEN-CCGT'!$D$118:$AW$118), 0), IF($B9='Project List References'!$B$4, _xlfn.IFNA(_xlfn.XLOOKUP(S$2-$C9, 'GEN-SOLAR'!$D$7:$AW$7, 'GEN-SOLAR'!$D$116:$AW$116), 0), IF($B9='Project List References'!$B$5, _xlfn.IFNA(_xlfn.XLOOKUP(S$2-$C9, 'GEN-BESS'!$D$7:$AW$7, 'GEN-BESS'!$D$120:$AW$120), 0), IF($B9='Project List References'!$B$6, _xlfn.IFNA(_xlfn.XLOOKUP(S$2-$C9, 'GEN-CARBON'!$D$7:$AW$7, 'GEN-CARBON'!$D$118:$AW$118), 0), IF($B9='Project List References'!$B$7, _xlfn.IFNA(_xlfn.XLOOKUP(S$2-$C9, 'SENS Coal'!$D$7:$AW$7, 'SENS Coal'!$D$134:$AW$134), 0), IF($B9='Project List References'!$B$8, _xlfn.IFNA(_xlfn.XLOOKUP(S$2-$C9,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56.568768284119599</v>
      </c>
      <c r="T9" s="743">
        <f>IF($B9='Project List References'!$B$3, _xlfn.IFNA(_xlfn.XLOOKUP(T$2-$C9, 'GEN-CCGT'!$D$7:$AW$7, 'GEN-CCGT'!$D$118:$AW$118), 0), IF($B9='Project List References'!$B$4, _xlfn.IFNA(_xlfn.XLOOKUP(T$2-$C9, 'GEN-SOLAR'!$D$7:$AW$7, 'GEN-SOLAR'!$D$116:$AW$116), 0), IF($B9='Project List References'!$B$5, _xlfn.IFNA(_xlfn.XLOOKUP(T$2-$C9, 'GEN-BESS'!$D$7:$AW$7, 'GEN-BESS'!$D$120:$AW$120), 0), IF($B9='Project List References'!$B$6, _xlfn.IFNA(_xlfn.XLOOKUP(T$2-$C9, 'GEN-CARBON'!$D$7:$AW$7, 'GEN-CARBON'!$D$118:$AW$118), 0), IF($B9='Project List References'!$B$7, _xlfn.IFNA(_xlfn.XLOOKUP(T$2-$C9, 'SENS Coal'!$D$7:$AW$7, 'SENS Coal'!$D$134:$AW$134), 0), IF($B9='Project List References'!$B$8, _xlfn.IFNA(_xlfn.XLOOKUP(T$2-$C9, 'SENS Tires'!$D$7:$AW$7, 'SENS Tires'!$D$132:$AW$132),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57.555893290677481</v>
      </c>
    </row>
    <row r="10" spans="1:111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_xlfn.XLOOKUP(A10, 'Project Master Sheet'!A:A, 'Project Master Sheet'!I:I)</f>
        <v>#N/A</v>
      </c>
      <c r="E10" s="743" t="e">
        <f>IF($B10='Project List References'!$B$3, _xlfn.IFNA(_xlfn.XLOOKUP(E$2-$C10, 'GEN-CCGT'!$D$7:$AW$7, 'GEN-CCGT'!$D$118:$AW$118), 0), IF($B10='Project List References'!$B$4, _xlfn.IFNA(_xlfn.XLOOKUP(E$2-$C10, 'GEN-SOLAR'!$D$7:$AW$7, 'GEN-SOLAR'!$D$116:$AW$116), 0), IF($B10='Project List References'!$B$5, _xlfn.IFNA(_xlfn.XLOOKUP(E$2-$C10, 'GEN-BESS'!$D$7:$AW$7, 'GEN-BESS'!$D$120:$AW$120), 0), IF($B10='Project List References'!$B$6, _xlfn.IFNA(_xlfn.XLOOKUP(E$2-$C10, 'GEN-CARBON'!$D$7:$AW$7, 'GEN-CARBON'!$D$118:$AW$118), 0), IF($B10='Project List References'!$B$7, _xlfn.IFNA(_xlfn.XLOOKUP(E$2-$C10, 'SENS Coal'!$D$7:$AW$7, 'SENS Coal'!$D$134:$AW$134), 0), IF($B10='Project List References'!$B$8, _xlfn.IFNA(_xlfn.XLOOKUP(E$2-$C10,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F10" s="743" t="e">
        <f>IF($B10='Project List References'!$B$3, _xlfn.IFNA(_xlfn.XLOOKUP(F$2-$C10, 'GEN-CCGT'!$D$7:$AW$7, 'GEN-CCGT'!$D$118:$AW$118), 0), IF($B10='Project List References'!$B$4, _xlfn.IFNA(_xlfn.XLOOKUP(F$2-$C10, 'GEN-SOLAR'!$D$7:$AW$7, 'GEN-SOLAR'!$D$116:$AW$116), 0), IF($B10='Project List References'!$B$5, _xlfn.IFNA(_xlfn.XLOOKUP(F$2-$C10, 'GEN-BESS'!$D$7:$AW$7, 'GEN-BESS'!$D$120:$AW$120), 0), IF($B10='Project List References'!$B$6, _xlfn.IFNA(_xlfn.XLOOKUP(F$2-$C10, 'GEN-CARBON'!$D$7:$AW$7, 'GEN-CARBON'!$D$118:$AW$118), 0), IF($B10='Project List References'!$B$7, _xlfn.IFNA(_xlfn.XLOOKUP(F$2-$C10, 'SENS Coal'!$D$7:$AW$7, 'SENS Coal'!$D$134:$AW$134), 0), IF($B10='Project List References'!$B$8, _xlfn.IFNA(_xlfn.XLOOKUP(F$2-$C10,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G10" s="743" t="e">
        <f>IF($B10='Project List References'!$B$3, _xlfn.IFNA(_xlfn.XLOOKUP(G$2-$C10, 'GEN-CCGT'!$D$7:$AW$7, 'GEN-CCGT'!$D$118:$AW$118), 0), IF($B10='Project List References'!$B$4, _xlfn.IFNA(_xlfn.XLOOKUP(G$2-$C10, 'GEN-SOLAR'!$D$7:$AW$7, 'GEN-SOLAR'!$D$116:$AW$116), 0), IF($B10='Project List References'!$B$5, _xlfn.IFNA(_xlfn.XLOOKUP(G$2-$C10, 'GEN-BESS'!$D$7:$AW$7, 'GEN-BESS'!$D$120:$AW$120), 0), IF($B10='Project List References'!$B$6, _xlfn.IFNA(_xlfn.XLOOKUP(G$2-$C10, 'GEN-CARBON'!$D$7:$AW$7, 'GEN-CARBON'!$D$118:$AW$118), 0), IF($B10='Project List References'!$B$7, _xlfn.IFNA(_xlfn.XLOOKUP(G$2-$C10, 'SENS Coal'!$D$7:$AW$7, 'SENS Coal'!$D$134:$AW$134), 0), IF($B10='Project List References'!$B$8, _xlfn.IFNA(_xlfn.XLOOKUP(G$2-$C10,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H10" s="743" t="e">
        <f>IF($B10='Project List References'!$B$3, _xlfn.IFNA(_xlfn.XLOOKUP(H$2-$C10, 'GEN-CCGT'!$D$7:$AW$7, 'GEN-CCGT'!$D$118:$AW$118), 0), IF($B10='Project List References'!$B$4, _xlfn.IFNA(_xlfn.XLOOKUP(H$2-$C10, 'GEN-SOLAR'!$D$7:$AW$7, 'GEN-SOLAR'!$D$116:$AW$116), 0), IF($B10='Project List References'!$B$5, _xlfn.IFNA(_xlfn.XLOOKUP(H$2-$C10, 'GEN-BESS'!$D$7:$AW$7, 'GEN-BESS'!$D$120:$AW$120), 0), IF($B10='Project List References'!$B$6, _xlfn.IFNA(_xlfn.XLOOKUP(H$2-$C10, 'GEN-CARBON'!$D$7:$AW$7, 'GEN-CARBON'!$D$118:$AW$118), 0), IF($B10='Project List References'!$B$7, _xlfn.IFNA(_xlfn.XLOOKUP(H$2-$C10, 'SENS Coal'!$D$7:$AW$7, 'SENS Coal'!$D$134:$AW$134), 0), IF($B10='Project List References'!$B$8, _xlfn.IFNA(_xlfn.XLOOKUP(H$2-$C10,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I10" s="743" t="e">
        <f>IF($B10='Project List References'!$B$3, _xlfn.IFNA(_xlfn.XLOOKUP(I$2-$C10, 'GEN-CCGT'!$D$7:$AW$7, 'GEN-CCGT'!$D$118:$AW$118), 0), IF($B10='Project List References'!$B$4, _xlfn.IFNA(_xlfn.XLOOKUP(I$2-$C10, 'GEN-SOLAR'!$D$7:$AW$7, 'GEN-SOLAR'!$D$116:$AW$116), 0), IF($B10='Project List References'!$B$5, _xlfn.IFNA(_xlfn.XLOOKUP(I$2-$C10, 'GEN-BESS'!$D$7:$AW$7, 'GEN-BESS'!$D$120:$AW$120), 0), IF($B10='Project List References'!$B$6, _xlfn.IFNA(_xlfn.XLOOKUP(I$2-$C10, 'GEN-CARBON'!$D$7:$AW$7, 'GEN-CARBON'!$D$118:$AW$118), 0), IF($B10='Project List References'!$B$7, _xlfn.IFNA(_xlfn.XLOOKUP(I$2-$C10, 'SENS Coal'!$D$7:$AW$7, 'SENS Coal'!$D$134:$AW$134), 0), IF($B10='Project List References'!$B$8, _xlfn.IFNA(_xlfn.XLOOKUP(I$2-$C10,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J10" s="743" t="e">
        <f>IF($B10='Project List References'!$B$3, _xlfn.IFNA(_xlfn.XLOOKUP(J$2-$C10, 'GEN-CCGT'!$D$7:$AW$7, 'GEN-CCGT'!$D$118:$AW$118), 0), IF($B10='Project List References'!$B$4, _xlfn.IFNA(_xlfn.XLOOKUP(J$2-$C10, 'GEN-SOLAR'!$D$7:$AW$7, 'GEN-SOLAR'!$D$116:$AW$116), 0), IF($B10='Project List References'!$B$5, _xlfn.IFNA(_xlfn.XLOOKUP(J$2-$C10, 'GEN-BESS'!$D$7:$AW$7, 'GEN-BESS'!$D$120:$AW$120), 0), IF($B10='Project List References'!$B$6, _xlfn.IFNA(_xlfn.XLOOKUP(J$2-$C10, 'GEN-CARBON'!$D$7:$AW$7, 'GEN-CARBON'!$D$118:$AW$118), 0), IF($B10='Project List References'!$B$7, _xlfn.IFNA(_xlfn.XLOOKUP(J$2-$C10, 'SENS Coal'!$D$7:$AW$7, 'SENS Coal'!$D$134:$AW$134), 0), IF($B10='Project List References'!$B$8, _xlfn.IFNA(_xlfn.XLOOKUP(J$2-$C10,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K10" s="743" t="e">
        <f>IF($B10='Project List References'!$B$3, _xlfn.IFNA(_xlfn.XLOOKUP(K$2-$C10, 'GEN-CCGT'!$D$7:$AW$7, 'GEN-CCGT'!$D$118:$AW$118), 0), IF($B10='Project List References'!$B$4, _xlfn.IFNA(_xlfn.XLOOKUP(K$2-$C10, 'GEN-SOLAR'!$D$7:$AW$7, 'GEN-SOLAR'!$D$116:$AW$116), 0), IF($B10='Project List References'!$B$5, _xlfn.IFNA(_xlfn.XLOOKUP(K$2-$C10, 'GEN-BESS'!$D$7:$AW$7, 'GEN-BESS'!$D$120:$AW$120), 0), IF($B10='Project List References'!$B$6, _xlfn.IFNA(_xlfn.XLOOKUP(K$2-$C10, 'GEN-CARBON'!$D$7:$AW$7, 'GEN-CARBON'!$D$118:$AW$118), 0), IF($B10='Project List References'!$B$7, _xlfn.IFNA(_xlfn.XLOOKUP(K$2-$C10, 'SENS Coal'!$D$7:$AW$7, 'SENS Coal'!$D$134:$AW$134), 0), IF($B10='Project List References'!$B$8, _xlfn.IFNA(_xlfn.XLOOKUP(K$2-$C10,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L10" s="743" t="e">
        <f>IF($B10='Project List References'!$B$3, _xlfn.IFNA(_xlfn.XLOOKUP(L$2-$C10, 'GEN-CCGT'!$D$7:$AW$7, 'GEN-CCGT'!$D$118:$AW$118), 0), IF($B10='Project List References'!$B$4, _xlfn.IFNA(_xlfn.XLOOKUP(L$2-$C10, 'GEN-SOLAR'!$D$7:$AW$7, 'GEN-SOLAR'!$D$116:$AW$116), 0), IF($B10='Project List References'!$B$5, _xlfn.IFNA(_xlfn.XLOOKUP(L$2-$C10, 'GEN-BESS'!$D$7:$AW$7, 'GEN-BESS'!$D$120:$AW$120), 0), IF($B10='Project List References'!$B$6, _xlfn.IFNA(_xlfn.XLOOKUP(L$2-$C10, 'GEN-CARBON'!$D$7:$AW$7, 'GEN-CARBON'!$D$118:$AW$118), 0), IF($B10='Project List References'!$B$7, _xlfn.IFNA(_xlfn.XLOOKUP(L$2-$C10, 'SENS Coal'!$D$7:$AW$7, 'SENS Coal'!$D$134:$AW$134), 0), IF($B10='Project List References'!$B$8, _xlfn.IFNA(_xlfn.XLOOKUP(L$2-$C10,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M10" s="743" t="e">
        <f>IF($B10='Project List References'!$B$3, _xlfn.IFNA(_xlfn.XLOOKUP(M$2-$C10, 'GEN-CCGT'!$D$7:$AW$7, 'GEN-CCGT'!$D$118:$AW$118), 0), IF($B10='Project List References'!$B$4, _xlfn.IFNA(_xlfn.XLOOKUP(M$2-$C10, 'GEN-SOLAR'!$D$7:$AW$7, 'GEN-SOLAR'!$D$116:$AW$116), 0), IF($B10='Project List References'!$B$5, _xlfn.IFNA(_xlfn.XLOOKUP(M$2-$C10, 'GEN-BESS'!$D$7:$AW$7, 'GEN-BESS'!$D$120:$AW$120), 0), IF($B10='Project List References'!$B$6, _xlfn.IFNA(_xlfn.XLOOKUP(M$2-$C10, 'GEN-CARBON'!$D$7:$AW$7, 'GEN-CARBON'!$D$118:$AW$118), 0), IF($B10='Project List References'!$B$7, _xlfn.IFNA(_xlfn.XLOOKUP(M$2-$C10, 'SENS Coal'!$D$7:$AW$7, 'SENS Coal'!$D$134:$AW$134), 0), IF($B10='Project List References'!$B$8, _xlfn.IFNA(_xlfn.XLOOKUP(M$2-$C10,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N10" s="743" t="e">
        <f>IF($B10='Project List References'!$B$3, _xlfn.IFNA(_xlfn.XLOOKUP(N$2-$C10, 'GEN-CCGT'!$D$7:$AW$7, 'GEN-CCGT'!$D$118:$AW$118), 0), IF($B10='Project List References'!$B$4, _xlfn.IFNA(_xlfn.XLOOKUP(N$2-$C10, 'GEN-SOLAR'!$D$7:$AW$7, 'GEN-SOLAR'!$D$116:$AW$116), 0), IF($B10='Project List References'!$B$5, _xlfn.IFNA(_xlfn.XLOOKUP(N$2-$C10, 'GEN-BESS'!$D$7:$AW$7, 'GEN-BESS'!$D$120:$AW$120), 0), IF($B10='Project List References'!$B$6, _xlfn.IFNA(_xlfn.XLOOKUP(N$2-$C10, 'GEN-CARBON'!$D$7:$AW$7, 'GEN-CARBON'!$D$118:$AW$118), 0), IF($B10='Project List References'!$B$7, _xlfn.IFNA(_xlfn.XLOOKUP(N$2-$C10, 'SENS Coal'!$D$7:$AW$7, 'SENS Coal'!$D$134:$AW$134), 0), IF($B10='Project List References'!$B$8, _xlfn.IFNA(_xlfn.XLOOKUP(N$2-$C10,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O10" s="743" t="e">
        <f>IF($B10='Project List References'!$B$3, _xlfn.IFNA(_xlfn.XLOOKUP(O$2-$C10, 'GEN-CCGT'!$D$7:$AW$7, 'GEN-CCGT'!$D$118:$AW$118), 0), IF($B10='Project List References'!$B$4, _xlfn.IFNA(_xlfn.XLOOKUP(O$2-$C10, 'GEN-SOLAR'!$D$7:$AW$7, 'GEN-SOLAR'!$D$116:$AW$116), 0), IF($B10='Project List References'!$B$5, _xlfn.IFNA(_xlfn.XLOOKUP(O$2-$C10, 'GEN-BESS'!$D$7:$AW$7, 'GEN-BESS'!$D$120:$AW$120), 0), IF($B10='Project List References'!$B$6, _xlfn.IFNA(_xlfn.XLOOKUP(O$2-$C10, 'GEN-CARBON'!$D$7:$AW$7, 'GEN-CARBON'!$D$118:$AW$118), 0), IF($B10='Project List References'!$B$7, _xlfn.IFNA(_xlfn.XLOOKUP(O$2-$C10, 'SENS Coal'!$D$7:$AW$7, 'SENS Coal'!$D$134:$AW$134), 0), IF($B10='Project List References'!$B$8, _xlfn.IFNA(_xlfn.XLOOKUP(O$2-$C10,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P10" s="743" t="e">
        <f>IF($B10='Project List References'!$B$3, _xlfn.IFNA(_xlfn.XLOOKUP(P$2-$C10, 'GEN-CCGT'!$D$7:$AW$7, 'GEN-CCGT'!$D$118:$AW$118), 0), IF($B10='Project List References'!$B$4, _xlfn.IFNA(_xlfn.XLOOKUP(P$2-$C10, 'GEN-SOLAR'!$D$7:$AW$7, 'GEN-SOLAR'!$D$116:$AW$116), 0), IF($B10='Project List References'!$B$5, _xlfn.IFNA(_xlfn.XLOOKUP(P$2-$C10, 'GEN-BESS'!$D$7:$AW$7, 'GEN-BESS'!$D$120:$AW$120), 0), IF($B10='Project List References'!$B$6, _xlfn.IFNA(_xlfn.XLOOKUP(P$2-$C10, 'GEN-CARBON'!$D$7:$AW$7, 'GEN-CARBON'!$D$118:$AW$118), 0), IF($B10='Project List References'!$B$7, _xlfn.IFNA(_xlfn.XLOOKUP(P$2-$C10, 'SENS Coal'!$D$7:$AW$7, 'SENS Coal'!$D$134:$AW$134), 0), IF($B10='Project List References'!$B$8, _xlfn.IFNA(_xlfn.XLOOKUP(P$2-$C10,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Q10" s="743" t="e">
        <f>IF($B10='Project List References'!$B$3, _xlfn.IFNA(_xlfn.XLOOKUP(Q$2-$C10, 'GEN-CCGT'!$D$7:$AW$7, 'GEN-CCGT'!$D$118:$AW$118), 0), IF($B10='Project List References'!$B$4, _xlfn.IFNA(_xlfn.XLOOKUP(Q$2-$C10, 'GEN-SOLAR'!$D$7:$AW$7, 'GEN-SOLAR'!$D$116:$AW$116), 0), IF($B10='Project List References'!$B$5, _xlfn.IFNA(_xlfn.XLOOKUP(Q$2-$C10, 'GEN-BESS'!$D$7:$AW$7, 'GEN-BESS'!$D$120:$AW$120), 0), IF($B10='Project List References'!$B$6, _xlfn.IFNA(_xlfn.XLOOKUP(Q$2-$C10, 'GEN-CARBON'!$D$7:$AW$7, 'GEN-CARBON'!$D$118:$AW$118), 0), IF($B10='Project List References'!$B$7, _xlfn.IFNA(_xlfn.XLOOKUP(Q$2-$C10, 'SENS Coal'!$D$7:$AW$7, 'SENS Coal'!$D$134:$AW$134), 0), IF($B10='Project List References'!$B$8, _xlfn.IFNA(_xlfn.XLOOKUP(Q$2-$C10,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R10" s="743" t="e">
        <f>IF($B10='Project List References'!$B$3, _xlfn.IFNA(_xlfn.XLOOKUP(R$2-$C10, 'GEN-CCGT'!$D$7:$AW$7, 'GEN-CCGT'!$D$118:$AW$118), 0), IF($B10='Project List References'!$B$4, _xlfn.IFNA(_xlfn.XLOOKUP(R$2-$C10, 'GEN-SOLAR'!$D$7:$AW$7, 'GEN-SOLAR'!$D$116:$AW$116), 0), IF($B10='Project List References'!$B$5, _xlfn.IFNA(_xlfn.XLOOKUP(R$2-$C10, 'GEN-BESS'!$D$7:$AW$7, 'GEN-BESS'!$D$120:$AW$120), 0), IF($B10='Project List References'!$B$6, _xlfn.IFNA(_xlfn.XLOOKUP(R$2-$C10, 'GEN-CARBON'!$D$7:$AW$7, 'GEN-CARBON'!$D$118:$AW$118), 0), IF($B10='Project List References'!$B$7, _xlfn.IFNA(_xlfn.XLOOKUP(R$2-$C10, 'SENS Coal'!$D$7:$AW$7, 'SENS Coal'!$D$134:$AW$134), 0), IF($B10='Project List References'!$B$8, _xlfn.IFNA(_xlfn.XLOOKUP(R$2-$C10,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S10" s="743" t="e">
        <f>IF($B10='Project List References'!$B$3, _xlfn.IFNA(_xlfn.XLOOKUP(S$2-$C10, 'GEN-CCGT'!$D$7:$AW$7, 'GEN-CCGT'!$D$118:$AW$118), 0), IF($B10='Project List References'!$B$4, _xlfn.IFNA(_xlfn.XLOOKUP(S$2-$C10, 'GEN-SOLAR'!$D$7:$AW$7, 'GEN-SOLAR'!$D$116:$AW$116), 0), IF($B10='Project List References'!$B$5, _xlfn.IFNA(_xlfn.XLOOKUP(S$2-$C10, 'GEN-BESS'!$D$7:$AW$7, 'GEN-BESS'!$D$120:$AW$120), 0), IF($B10='Project List References'!$B$6, _xlfn.IFNA(_xlfn.XLOOKUP(S$2-$C10, 'GEN-CARBON'!$D$7:$AW$7, 'GEN-CARBON'!$D$118:$AW$118), 0), IF($B10='Project List References'!$B$7, _xlfn.IFNA(_xlfn.XLOOKUP(S$2-$C10, 'SENS Coal'!$D$7:$AW$7, 'SENS Coal'!$D$134:$AW$134), 0), IF($B10='Project List References'!$B$8, _xlfn.IFNA(_xlfn.XLOOKUP(S$2-$C10,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T10" s="743" t="e">
        <f>IF($B10='Project List References'!$B$3, _xlfn.IFNA(_xlfn.XLOOKUP(T$2-$C10, 'GEN-CCGT'!$D$7:$AW$7, 'GEN-CCGT'!$D$118:$AW$118), 0), IF($B10='Project List References'!$B$4, _xlfn.IFNA(_xlfn.XLOOKUP(T$2-$C10, 'GEN-SOLAR'!$D$7:$AW$7, 'GEN-SOLAR'!$D$116:$AW$116), 0), IF($B10='Project List References'!$B$5, _xlfn.IFNA(_xlfn.XLOOKUP(T$2-$C10, 'GEN-BESS'!$D$7:$AW$7, 'GEN-BESS'!$D$120:$AW$120), 0), IF($B10='Project List References'!$B$6, _xlfn.IFNA(_xlfn.XLOOKUP(T$2-$C10, 'GEN-CARBON'!$D$7:$AW$7, 'GEN-CARBON'!$D$118:$AW$118), 0), IF($B10='Project List References'!$B$7, _xlfn.IFNA(_xlfn.XLOOKUP(T$2-$C10, 'SENS Coal'!$D$7:$AW$7, 'SENS Coal'!$D$134:$AW$134), 0), IF($B10='Project List References'!$B$8, _xlfn.IFNA(_xlfn.XLOOKUP(T$2-$C10, 'SENS Tires'!$D$7:$AW$7, 'SENS Tires'!$D$132:$AW$132),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</row>
    <row r="11" spans="1:111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_xlfn.XLOOKUP(A11, 'Project Master Sheet'!A:A, 'Project Master Sheet'!I:I)</f>
        <v>#N/A</v>
      </c>
      <c r="E11" s="743" t="e">
        <f>IF($B11='Project List References'!$B$3, _xlfn.IFNA(_xlfn.XLOOKUP(E$2-$C11, 'GEN-CCGT'!$D$7:$AW$7, 'GEN-CCGT'!$D$118:$AW$118), 0), IF($B11='Project List References'!$B$4, _xlfn.IFNA(_xlfn.XLOOKUP(E$2-$C11, 'GEN-SOLAR'!$D$7:$AW$7, 'GEN-SOLAR'!$D$116:$AW$116), 0), IF($B11='Project List References'!$B$5, _xlfn.IFNA(_xlfn.XLOOKUP(E$2-$C11, 'GEN-BESS'!$D$7:$AW$7, 'GEN-BESS'!$D$120:$AW$120), 0), IF($B11='Project List References'!$B$6, _xlfn.IFNA(_xlfn.XLOOKUP(E$2-$C11, 'GEN-CARBON'!$D$7:$AW$7, 'GEN-CARBON'!$D$118:$AW$118), 0), IF($B11='Project List References'!$B$7, _xlfn.IFNA(_xlfn.XLOOKUP(E$2-$C11, 'SENS Coal'!$D$7:$AW$7, 'SENS Coal'!$D$134:$AW$134), 0), IF($B11='Project List References'!$B$8, _xlfn.IFNA(_xlfn.XLOOKUP(E$2-$C11,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F11" s="743" t="e">
        <f>IF($B11='Project List References'!$B$3, _xlfn.IFNA(_xlfn.XLOOKUP(F$2-$C11, 'GEN-CCGT'!$D$7:$AW$7, 'GEN-CCGT'!$D$118:$AW$118), 0), IF($B11='Project List References'!$B$4, _xlfn.IFNA(_xlfn.XLOOKUP(F$2-$C11, 'GEN-SOLAR'!$D$7:$AW$7, 'GEN-SOLAR'!$D$116:$AW$116), 0), IF($B11='Project List References'!$B$5, _xlfn.IFNA(_xlfn.XLOOKUP(F$2-$C11, 'GEN-BESS'!$D$7:$AW$7, 'GEN-BESS'!$D$120:$AW$120), 0), IF($B11='Project List References'!$B$6, _xlfn.IFNA(_xlfn.XLOOKUP(F$2-$C11, 'GEN-CARBON'!$D$7:$AW$7, 'GEN-CARBON'!$D$118:$AW$118), 0), IF($B11='Project List References'!$B$7, _xlfn.IFNA(_xlfn.XLOOKUP(F$2-$C11, 'SENS Coal'!$D$7:$AW$7, 'SENS Coal'!$D$134:$AW$134), 0), IF($B11='Project List References'!$B$8, _xlfn.IFNA(_xlfn.XLOOKUP(F$2-$C11,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G11" s="743" t="e">
        <f>IF($B11='Project List References'!$B$3, _xlfn.IFNA(_xlfn.XLOOKUP(G$2-$C11, 'GEN-CCGT'!$D$7:$AW$7, 'GEN-CCGT'!$D$118:$AW$118), 0), IF($B11='Project List References'!$B$4, _xlfn.IFNA(_xlfn.XLOOKUP(G$2-$C11, 'GEN-SOLAR'!$D$7:$AW$7, 'GEN-SOLAR'!$D$116:$AW$116), 0), IF($B11='Project List References'!$B$5, _xlfn.IFNA(_xlfn.XLOOKUP(G$2-$C11, 'GEN-BESS'!$D$7:$AW$7, 'GEN-BESS'!$D$120:$AW$120), 0), IF($B11='Project List References'!$B$6, _xlfn.IFNA(_xlfn.XLOOKUP(G$2-$C11, 'GEN-CARBON'!$D$7:$AW$7, 'GEN-CARBON'!$D$118:$AW$118), 0), IF($B11='Project List References'!$B$7, _xlfn.IFNA(_xlfn.XLOOKUP(G$2-$C11, 'SENS Coal'!$D$7:$AW$7, 'SENS Coal'!$D$134:$AW$134), 0), IF($B11='Project List References'!$B$8, _xlfn.IFNA(_xlfn.XLOOKUP(G$2-$C11,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H11" s="743" t="e">
        <f>IF($B11='Project List References'!$B$3, _xlfn.IFNA(_xlfn.XLOOKUP(H$2-$C11, 'GEN-CCGT'!$D$7:$AW$7, 'GEN-CCGT'!$D$118:$AW$118), 0), IF($B11='Project List References'!$B$4, _xlfn.IFNA(_xlfn.XLOOKUP(H$2-$C11, 'GEN-SOLAR'!$D$7:$AW$7, 'GEN-SOLAR'!$D$116:$AW$116), 0), IF($B11='Project List References'!$B$5, _xlfn.IFNA(_xlfn.XLOOKUP(H$2-$C11, 'GEN-BESS'!$D$7:$AW$7, 'GEN-BESS'!$D$120:$AW$120), 0), IF($B11='Project List References'!$B$6, _xlfn.IFNA(_xlfn.XLOOKUP(H$2-$C11, 'GEN-CARBON'!$D$7:$AW$7, 'GEN-CARBON'!$D$118:$AW$118), 0), IF($B11='Project List References'!$B$7, _xlfn.IFNA(_xlfn.XLOOKUP(H$2-$C11, 'SENS Coal'!$D$7:$AW$7, 'SENS Coal'!$D$134:$AW$134), 0), IF($B11='Project List References'!$B$8, _xlfn.IFNA(_xlfn.XLOOKUP(H$2-$C11,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I11" s="743" t="e">
        <f>IF($B11='Project List References'!$B$3, _xlfn.IFNA(_xlfn.XLOOKUP(I$2-$C11, 'GEN-CCGT'!$D$7:$AW$7, 'GEN-CCGT'!$D$118:$AW$118), 0), IF($B11='Project List References'!$B$4, _xlfn.IFNA(_xlfn.XLOOKUP(I$2-$C11, 'GEN-SOLAR'!$D$7:$AW$7, 'GEN-SOLAR'!$D$116:$AW$116), 0), IF($B11='Project List References'!$B$5, _xlfn.IFNA(_xlfn.XLOOKUP(I$2-$C11, 'GEN-BESS'!$D$7:$AW$7, 'GEN-BESS'!$D$120:$AW$120), 0), IF($B11='Project List References'!$B$6, _xlfn.IFNA(_xlfn.XLOOKUP(I$2-$C11, 'GEN-CARBON'!$D$7:$AW$7, 'GEN-CARBON'!$D$118:$AW$118), 0), IF($B11='Project List References'!$B$7, _xlfn.IFNA(_xlfn.XLOOKUP(I$2-$C11, 'SENS Coal'!$D$7:$AW$7, 'SENS Coal'!$D$134:$AW$134), 0), IF($B11='Project List References'!$B$8, _xlfn.IFNA(_xlfn.XLOOKUP(I$2-$C11,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J11" s="743" t="e">
        <f>IF($B11='Project List References'!$B$3, _xlfn.IFNA(_xlfn.XLOOKUP(J$2-$C11, 'GEN-CCGT'!$D$7:$AW$7, 'GEN-CCGT'!$D$118:$AW$118), 0), IF($B11='Project List References'!$B$4, _xlfn.IFNA(_xlfn.XLOOKUP(J$2-$C11, 'GEN-SOLAR'!$D$7:$AW$7, 'GEN-SOLAR'!$D$116:$AW$116), 0), IF($B11='Project List References'!$B$5, _xlfn.IFNA(_xlfn.XLOOKUP(J$2-$C11, 'GEN-BESS'!$D$7:$AW$7, 'GEN-BESS'!$D$120:$AW$120), 0), IF($B11='Project List References'!$B$6, _xlfn.IFNA(_xlfn.XLOOKUP(J$2-$C11, 'GEN-CARBON'!$D$7:$AW$7, 'GEN-CARBON'!$D$118:$AW$118), 0), IF($B11='Project List References'!$B$7, _xlfn.IFNA(_xlfn.XLOOKUP(J$2-$C11, 'SENS Coal'!$D$7:$AW$7, 'SENS Coal'!$D$134:$AW$134), 0), IF($B11='Project List References'!$B$8, _xlfn.IFNA(_xlfn.XLOOKUP(J$2-$C11,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K11" s="743" t="e">
        <f>IF($B11='Project List References'!$B$3, _xlfn.IFNA(_xlfn.XLOOKUP(K$2-$C11, 'GEN-CCGT'!$D$7:$AW$7, 'GEN-CCGT'!$D$118:$AW$118), 0), IF($B11='Project List References'!$B$4, _xlfn.IFNA(_xlfn.XLOOKUP(K$2-$C11, 'GEN-SOLAR'!$D$7:$AW$7, 'GEN-SOLAR'!$D$116:$AW$116), 0), IF($B11='Project List References'!$B$5, _xlfn.IFNA(_xlfn.XLOOKUP(K$2-$C11, 'GEN-BESS'!$D$7:$AW$7, 'GEN-BESS'!$D$120:$AW$120), 0), IF($B11='Project List References'!$B$6, _xlfn.IFNA(_xlfn.XLOOKUP(K$2-$C11, 'GEN-CARBON'!$D$7:$AW$7, 'GEN-CARBON'!$D$118:$AW$118), 0), IF($B11='Project List References'!$B$7, _xlfn.IFNA(_xlfn.XLOOKUP(K$2-$C11, 'SENS Coal'!$D$7:$AW$7, 'SENS Coal'!$D$134:$AW$134), 0), IF($B11='Project List References'!$B$8, _xlfn.IFNA(_xlfn.XLOOKUP(K$2-$C11,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L11" s="743" t="e">
        <f>IF($B11='Project List References'!$B$3, _xlfn.IFNA(_xlfn.XLOOKUP(L$2-$C11, 'GEN-CCGT'!$D$7:$AW$7, 'GEN-CCGT'!$D$118:$AW$118), 0), IF($B11='Project List References'!$B$4, _xlfn.IFNA(_xlfn.XLOOKUP(L$2-$C11, 'GEN-SOLAR'!$D$7:$AW$7, 'GEN-SOLAR'!$D$116:$AW$116), 0), IF($B11='Project List References'!$B$5, _xlfn.IFNA(_xlfn.XLOOKUP(L$2-$C11, 'GEN-BESS'!$D$7:$AW$7, 'GEN-BESS'!$D$120:$AW$120), 0), IF($B11='Project List References'!$B$6, _xlfn.IFNA(_xlfn.XLOOKUP(L$2-$C11, 'GEN-CARBON'!$D$7:$AW$7, 'GEN-CARBON'!$D$118:$AW$118), 0), IF($B11='Project List References'!$B$7, _xlfn.IFNA(_xlfn.XLOOKUP(L$2-$C11, 'SENS Coal'!$D$7:$AW$7, 'SENS Coal'!$D$134:$AW$134), 0), IF($B11='Project List References'!$B$8, _xlfn.IFNA(_xlfn.XLOOKUP(L$2-$C11,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M11" s="743" t="e">
        <f>IF($B11='Project List References'!$B$3, _xlfn.IFNA(_xlfn.XLOOKUP(M$2-$C11, 'GEN-CCGT'!$D$7:$AW$7, 'GEN-CCGT'!$D$118:$AW$118), 0), IF($B11='Project List References'!$B$4, _xlfn.IFNA(_xlfn.XLOOKUP(M$2-$C11, 'GEN-SOLAR'!$D$7:$AW$7, 'GEN-SOLAR'!$D$116:$AW$116), 0), IF($B11='Project List References'!$B$5, _xlfn.IFNA(_xlfn.XLOOKUP(M$2-$C11, 'GEN-BESS'!$D$7:$AW$7, 'GEN-BESS'!$D$120:$AW$120), 0), IF($B11='Project List References'!$B$6, _xlfn.IFNA(_xlfn.XLOOKUP(M$2-$C11, 'GEN-CARBON'!$D$7:$AW$7, 'GEN-CARBON'!$D$118:$AW$118), 0), IF($B11='Project List References'!$B$7, _xlfn.IFNA(_xlfn.XLOOKUP(M$2-$C11, 'SENS Coal'!$D$7:$AW$7, 'SENS Coal'!$D$134:$AW$134), 0), IF($B11='Project List References'!$B$8, _xlfn.IFNA(_xlfn.XLOOKUP(M$2-$C11,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N11" s="743" t="e">
        <f>IF($B11='Project List References'!$B$3, _xlfn.IFNA(_xlfn.XLOOKUP(N$2-$C11, 'GEN-CCGT'!$D$7:$AW$7, 'GEN-CCGT'!$D$118:$AW$118), 0), IF($B11='Project List References'!$B$4, _xlfn.IFNA(_xlfn.XLOOKUP(N$2-$C11, 'GEN-SOLAR'!$D$7:$AW$7, 'GEN-SOLAR'!$D$116:$AW$116), 0), IF($B11='Project List References'!$B$5, _xlfn.IFNA(_xlfn.XLOOKUP(N$2-$C11, 'GEN-BESS'!$D$7:$AW$7, 'GEN-BESS'!$D$120:$AW$120), 0), IF($B11='Project List References'!$B$6, _xlfn.IFNA(_xlfn.XLOOKUP(N$2-$C11, 'GEN-CARBON'!$D$7:$AW$7, 'GEN-CARBON'!$D$118:$AW$118), 0), IF($B11='Project List References'!$B$7, _xlfn.IFNA(_xlfn.XLOOKUP(N$2-$C11, 'SENS Coal'!$D$7:$AW$7, 'SENS Coal'!$D$134:$AW$134), 0), IF($B11='Project List References'!$B$8, _xlfn.IFNA(_xlfn.XLOOKUP(N$2-$C11,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O11" s="743" t="e">
        <f>IF($B11='Project List References'!$B$3, _xlfn.IFNA(_xlfn.XLOOKUP(O$2-$C11, 'GEN-CCGT'!$D$7:$AW$7, 'GEN-CCGT'!$D$118:$AW$118), 0), IF($B11='Project List References'!$B$4, _xlfn.IFNA(_xlfn.XLOOKUP(O$2-$C11, 'GEN-SOLAR'!$D$7:$AW$7, 'GEN-SOLAR'!$D$116:$AW$116), 0), IF($B11='Project List References'!$B$5, _xlfn.IFNA(_xlfn.XLOOKUP(O$2-$C11, 'GEN-BESS'!$D$7:$AW$7, 'GEN-BESS'!$D$120:$AW$120), 0), IF($B11='Project List References'!$B$6, _xlfn.IFNA(_xlfn.XLOOKUP(O$2-$C11, 'GEN-CARBON'!$D$7:$AW$7, 'GEN-CARBON'!$D$118:$AW$118), 0), IF($B11='Project List References'!$B$7, _xlfn.IFNA(_xlfn.XLOOKUP(O$2-$C11, 'SENS Coal'!$D$7:$AW$7, 'SENS Coal'!$D$134:$AW$134), 0), IF($B11='Project List References'!$B$8, _xlfn.IFNA(_xlfn.XLOOKUP(O$2-$C11,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P11" s="743" t="e">
        <f>IF($B11='Project List References'!$B$3, _xlfn.IFNA(_xlfn.XLOOKUP(P$2-$C11, 'GEN-CCGT'!$D$7:$AW$7, 'GEN-CCGT'!$D$118:$AW$118), 0), IF($B11='Project List References'!$B$4, _xlfn.IFNA(_xlfn.XLOOKUP(P$2-$C11, 'GEN-SOLAR'!$D$7:$AW$7, 'GEN-SOLAR'!$D$116:$AW$116), 0), IF($B11='Project List References'!$B$5, _xlfn.IFNA(_xlfn.XLOOKUP(P$2-$C11, 'GEN-BESS'!$D$7:$AW$7, 'GEN-BESS'!$D$120:$AW$120), 0), IF($B11='Project List References'!$B$6, _xlfn.IFNA(_xlfn.XLOOKUP(P$2-$C11, 'GEN-CARBON'!$D$7:$AW$7, 'GEN-CARBON'!$D$118:$AW$118), 0), IF($B11='Project List References'!$B$7, _xlfn.IFNA(_xlfn.XLOOKUP(P$2-$C11, 'SENS Coal'!$D$7:$AW$7, 'SENS Coal'!$D$134:$AW$134), 0), IF($B11='Project List References'!$B$8, _xlfn.IFNA(_xlfn.XLOOKUP(P$2-$C11,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Q11" s="743" t="e">
        <f>IF($B11='Project List References'!$B$3, _xlfn.IFNA(_xlfn.XLOOKUP(Q$2-$C11, 'GEN-CCGT'!$D$7:$AW$7, 'GEN-CCGT'!$D$118:$AW$118), 0), IF($B11='Project List References'!$B$4, _xlfn.IFNA(_xlfn.XLOOKUP(Q$2-$C11, 'GEN-SOLAR'!$D$7:$AW$7, 'GEN-SOLAR'!$D$116:$AW$116), 0), IF($B11='Project List References'!$B$5, _xlfn.IFNA(_xlfn.XLOOKUP(Q$2-$C11, 'GEN-BESS'!$D$7:$AW$7, 'GEN-BESS'!$D$120:$AW$120), 0), IF($B11='Project List References'!$B$6, _xlfn.IFNA(_xlfn.XLOOKUP(Q$2-$C11, 'GEN-CARBON'!$D$7:$AW$7, 'GEN-CARBON'!$D$118:$AW$118), 0), IF($B11='Project List References'!$B$7, _xlfn.IFNA(_xlfn.XLOOKUP(Q$2-$C11, 'SENS Coal'!$D$7:$AW$7, 'SENS Coal'!$D$134:$AW$134), 0), IF($B11='Project List References'!$B$8, _xlfn.IFNA(_xlfn.XLOOKUP(Q$2-$C11,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R11" s="743" t="e">
        <f>IF($B11='Project List References'!$B$3, _xlfn.IFNA(_xlfn.XLOOKUP(R$2-$C11, 'GEN-CCGT'!$D$7:$AW$7, 'GEN-CCGT'!$D$118:$AW$118), 0), IF($B11='Project List References'!$B$4, _xlfn.IFNA(_xlfn.XLOOKUP(R$2-$C11, 'GEN-SOLAR'!$D$7:$AW$7, 'GEN-SOLAR'!$D$116:$AW$116), 0), IF($B11='Project List References'!$B$5, _xlfn.IFNA(_xlfn.XLOOKUP(R$2-$C11, 'GEN-BESS'!$D$7:$AW$7, 'GEN-BESS'!$D$120:$AW$120), 0), IF($B11='Project List References'!$B$6, _xlfn.IFNA(_xlfn.XLOOKUP(R$2-$C11, 'GEN-CARBON'!$D$7:$AW$7, 'GEN-CARBON'!$D$118:$AW$118), 0), IF($B11='Project List References'!$B$7, _xlfn.IFNA(_xlfn.XLOOKUP(R$2-$C11, 'SENS Coal'!$D$7:$AW$7, 'SENS Coal'!$D$134:$AW$134), 0), IF($B11='Project List References'!$B$8, _xlfn.IFNA(_xlfn.XLOOKUP(R$2-$C11,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S11" s="743" t="e">
        <f>IF($B11='Project List References'!$B$3, _xlfn.IFNA(_xlfn.XLOOKUP(S$2-$C11, 'GEN-CCGT'!$D$7:$AW$7, 'GEN-CCGT'!$D$118:$AW$118), 0), IF($B11='Project List References'!$B$4, _xlfn.IFNA(_xlfn.XLOOKUP(S$2-$C11, 'GEN-SOLAR'!$D$7:$AW$7, 'GEN-SOLAR'!$D$116:$AW$116), 0), IF($B11='Project List References'!$B$5, _xlfn.IFNA(_xlfn.XLOOKUP(S$2-$C11, 'GEN-BESS'!$D$7:$AW$7, 'GEN-BESS'!$D$120:$AW$120), 0), IF($B11='Project List References'!$B$6, _xlfn.IFNA(_xlfn.XLOOKUP(S$2-$C11, 'GEN-CARBON'!$D$7:$AW$7, 'GEN-CARBON'!$D$118:$AW$118), 0), IF($B11='Project List References'!$B$7, _xlfn.IFNA(_xlfn.XLOOKUP(S$2-$C11, 'SENS Coal'!$D$7:$AW$7, 'SENS Coal'!$D$134:$AW$134), 0), IF($B11='Project List References'!$B$8, _xlfn.IFNA(_xlfn.XLOOKUP(S$2-$C11,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T11" s="743" t="e">
        <f>IF($B11='Project List References'!$B$3, _xlfn.IFNA(_xlfn.XLOOKUP(T$2-$C11, 'GEN-CCGT'!$D$7:$AW$7, 'GEN-CCGT'!$D$118:$AW$118), 0), IF($B11='Project List References'!$B$4, _xlfn.IFNA(_xlfn.XLOOKUP(T$2-$C11, 'GEN-SOLAR'!$D$7:$AW$7, 'GEN-SOLAR'!$D$116:$AW$116), 0), IF($B11='Project List References'!$B$5, _xlfn.IFNA(_xlfn.XLOOKUP(T$2-$C11, 'GEN-BESS'!$D$7:$AW$7, 'GEN-BESS'!$D$120:$AW$120), 0), IF($B11='Project List References'!$B$6, _xlfn.IFNA(_xlfn.XLOOKUP(T$2-$C11, 'GEN-CARBON'!$D$7:$AW$7, 'GEN-CARBON'!$D$118:$AW$118), 0), IF($B11='Project List References'!$B$7, _xlfn.IFNA(_xlfn.XLOOKUP(T$2-$C11, 'SENS Coal'!$D$7:$AW$7, 'SENS Coal'!$D$134:$AW$134), 0), IF($B11='Project List References'!$B$8, _xlfn.IFNA(_xlfn.XLOOKUP(T$2-$C11, 'SENS Tires'!$D$7:$AW$7, 'SENS Tires'!$D$132:$AW$132),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</row>
    <row r="12" spans="1:111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_xlfn.XLOOKUP(A12, 'Project Master Sheet'!A:A, 'Project Master Sheet'!I:I)</f>
        <v>#N/A</v>
      </c>
      <c r="E12" s="743" t="e">
        <f>IF($B12='Project List References'!$B$3, _xlfn.IFNA(_xlfn.XLOOKUP(E$2-$C12, 'GEN-CCGT'!$D$7:$AW$7, 'GEN-CCGT'!$D$118:$AW$118), 0), IF($B12='Project List References'!$B$4, _xlfn.IFNA(_xlfn.XLOOKUP(E$2-$C12, 'GEN-SOLAR'!$D$7:$AW$7, 'GEN-SOLAR'!$D$116:$AW$116), 0), IF($B12='Project List References'!$B$5, _xlfn.IFNA(_xlfn.XLOOKUP(E$2-$C12, 'GEN-BESS'!$D$7:$AW$7, 'GEN-BESS'!$D$120:$AW$120), 0), IF($B12='Project List References'!$B$6, _xlfn.IFNA(_xlfn.XLOOKUP(E$2-$C12, 'GEN-CARBON'!$D$7:$AW$7, 'GEN-CARBON'!$D$118:$AW$118), 0), IF($B12='Project List References'!$B$7, _xlfn.IFNA(_xlfn.XLOOKUP(E$2-$C12, 'SENS Coal'!$D$7:$AW$7, 'SENS Coal'!$D$134:$AW$134), 0), IF($B12='Project List References'!$B$8, _xlfn.IFNA(_xlfn.XLOOKUP(E$2-$C12,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F12" s="743" t="e">
        <f>IF($B12='Project List References'!$B$3, _xlfn.IFNA(_xlfn.XLOOKUP(F$2-$C12, 'GEN-CCGT'!$D$7:$AW$7, 'GEN-CCGT'!$D$118:$AW$118), 0), IF($B12='Project List References'!$B$4, _xlfn.IFNA(_xlfn.XLOOKUP(F$2-$C12, 'GEN-SOLAR'!$D$7:$AW$7, 'GEN-SOLAR'!$D$116:$AW$116), 0), IF($B12='Project List References'!$B$5, _xlfn.IFNA(_xlfn.XLOOKUP(F$2-$C12, 'GEN-BESS'!$D$7:$AW$7, 'GEN-BESS'!$D$120:$AW$120), 0), IF($B12='Project List References'!$B$6, _xlfn.IFNA(_xlfn.XLOOKUP(F$2-$C12, 'GEN-CARBON'!$D$7:$AW$7, 'GEN-CARBON'!$D$118:$AW$118), 0), IF($B12='Project List References'!$B$7, _xlfn.IFNA(_xlfn.XLOOKUP(F$2-$C12, 'SENS Coal'!$D$7:$AW$7, 'SENS Coal'!$D$134:$AW$134), 0), IF($B12='Project List References'!$B$8, _xlfn.IFNA(_xlfn.XLOOKUP(F$2-$C12,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G12" s="743" t="e">
        <f>IF($B12='Project List References'!$B$3, _xlfn.IFNA(_xlfn.XLOOKUP(G$2-$C12, 'GEN-CCGT'!$D$7:$AW$7, 'GEN-CCGT'!$D$118:$AW$118), 0), IF($B12='Project List References'!$B$4, _xlfn.IFNA(_xlfn.XLOOKUP(G$2-$C12, 'GEN-SOLAR'!$D$7:$AW$7, 'GEN-SOLAR'!$D$116:$AW$116), 0), IF($B12='Project List References'!$B$5, _xlfn.IFNA(_xlfn.XLOOKUP(G$2-$C12, 'GEN-BESS'!$D$7:$AW$7, 'GEN-BESS'!$D$120:$AW$120), 0), IF($B12='Project List References'!$B$6, _xlfn.IFNA(_xlfn.XLOOKUP(G$2-$C12, 'GEN-CARBON'!$D$7:$AW$7, 'GEN-CARBON'!$D$118:$AW$118), 0), IF($B12='Project List References'!$B$7, _xlfn.IFNA(_xlfn.XLOOKUP(G$2-$C12, 'SENS Coal'!$D$7:$AW$7, 'SENS Coal'!$D$134:$AW$134), 0), IF($B12='Project List References'!$B$8, _xlfn.IFNA(_xlfn.XLOOKUP(G$2-$C12,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H12" s="743" t="e">
        <f>IF($B12='Project List References'!$B$3, _xlfn.IFNA(_xlfn.XLOOKUP(H$2-$C12, 'GEN-CCGT'!$D$7:$AW$7, 'GEN-CCGT'!$D$118:$AW$118), 0), IF($B12='Project List References'!$B$4, _xlfn.IFNA(_xlfn.XLOOKUP(H$2-$C12, 'GEN-SOLAR'!$D$7:$AW$7, 'GEN-SOLAR'!$D$116:$AW$116), 0), IF($B12='Project List References'!$B$5, _xlfn.IFNA(_xlfn.XLOOKUP(H$2-$C12, 'GEN-BESS'!$D$7:$AW$7, 'GEN-BESS'!$D$120:$AW$120), 0), IF($B12='Project List References'!$B$6, _xlfn.IFNA(_xlfn.XLOOKUP(H$2-$C12, 'GEN-CARBON'!$D$7:$AW$7, 'GEN-CARBON'!$D$118:$AW$118), 0), IF($B12='Project List References'!$B$7, _xlfn.IFNA(_xlfn.XLOOKUP(H$2-$C12, 'SENS Coal'!$D$7:$AW$7, 'SENS Coal'!$D$134:$AW$134), 0), IF($B12='Project List References'!$B$8, _xlfn.IFNA(_xlfn.XLOOKUP(H$2-$C12,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I12" s="743" t="e">
        <f>IF($B12='Project List References'!$B$3, _xlfn.IFNA(_xlfn.XLOOKUP(I$2-$C12, 'GEN-CCGT'!$D$7:$AW$7, 'GEN-CCGT'!$D$118:$AW$118), 0), IF($B12='Project List References'!$B$4, _xlfn.IFNA(_xlfn.XLOOKUP(I$2-$C12, 'GEN-SOLAR'!$D$7:$AW$7, 'GEN-SOLAR'!$D$116:$AW$116), 0), IF($B12='Project List References'!$B$5, _xlfn.IFNA(_xlfn.XLOOKUP(I$2-$C12, 'GEN-BESS'!$D$7:$AW$7, 'GEN-BESS'!$D$120:$AW$120), 0), IF($B12='Project List References'!$B$6, _xlfn.IFNA(_xlfn.XLOOKUP(I$2-$C12, 'GEN-CARBON'!$D$7:$AW$7, 'GEN-CARBON'!$D$118:$AW$118), 0), IF($B12='Project List References'!$B$7, _xlfn.IFNA(_xlfn.XLOOKUP(I$2-$C12, 'SENS Coal'!$D$7:$AW$7, 'SENS Coal'!$D$134:$AW$134), 0), IF($B12='Project List References'!$B$8, _xlfn.IFNA(_xlfn.XLOOKUP(I$2-$C12,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J12" s="743" t="e">
        <f>IF($B12='Project List References'!$B$3, _xlfn.IFNA(_xlfn.XLOOKUP(J$2-$C12, 'GEN-CCGT'!$D$7:$AW$7, 'GEN-CCGT'!$D$118:$AW$118), 0), IF($B12='Project List References'!$B$4, _xlfn.IFNA(_xlfn.XLOOKUP(J$2-$C12, 'GEN-SOLAR'!$D$7:$AW$7, 'GEN-SOLAR'!$D$116:$AW$116), 0), IF($B12='Project List References'!$B$5, _xlfn.IFNA(_xlfn.XLOOKUP(J$2-$C12, 'GEN-BESS'!$D$7:$AW$7, 'GEN-BESS'!$D$120:$AW$120), 0), IF($B12='Project List References'!$B$6, _xlfn.IFNA(_xlfn.XLOOKUP(J$2-$C12, 'GEN-CARBON'!$D$7:$AW$7, 'GEN-CARBON'!$D$118:$AW$118), 0), IF($B12='Project List References'!$B$7, _xlfn.IFNA(_xlfn.XLOOKUP(J$2-$C12, 'SENS Coal'!$D$7:$AW$7, 'SENS Coal'!$D$134:$AW$134), 0), IF($B12='Project List References'!$B$8, _xlfn.IFNA(_xlfn.XLOOKUP(J$2-$C12,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K12" s="743" t="e">
        <f>IF($B12='Project List References'!$B$3, _xlfn.IFNA(_xlfn.XLOOKUP(K$2-$C12, 'GEN-CCGT'!$D$7:$AW$7, 'GEN-CCGT'!$D$118:$AW$118), 0), IF($B12='Project List References'!$B$4, _xlfn.IFNA(_xlfn.XLOOKUP(K$2-$C12, 'GEN-SOLAR'!$D$7:$AW$7, 'GEN-SOLAR'!$D$116:$AW$116), 0), IF($B12='Project List References'!$B$5, _xlfn.IFNA(_xlfn.XLOOKUP(K$2-$C12, 'GEN-BESS'!$D$7:$AW$7, 'GEN-BESS'!$D$120:$AW$120), 0), IF($B12='Project List References'!$B$6, _xlfn.IFNA(_xlfn.XLOOKUP(K$2-$C12, 'GEN-CARBON'!$D$7:$AW$7, 'GEN-CARBON'!$D$118:$AW$118), 0), IF($B12='Project List References'!$B$7, _xlfn.IFNA(_xlfn.XLOOKUP(K$2-$C12, 'SENS Coal'!$D$7:$AW$7, 'SENS Coal'!$D$134:$AW$134), 0), IF($B12='Project List References'!$B$8, _xlfn.IFNA(_xlfn.XLOOKUP(K$2-$C12,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L12" s="743" t="e">
        <f>IF($B12='Project List References'!$B$3, _xlfn.IFNA(_xlfn.XLOOKUP(L$2-$C12, 'GEN-CCGT'!$D$7:$AW$7, 'GEN-CCGT'!$D$118:$AW$118), 0), IF($B12='Project List References'!$B$4, _xlfn.IFNA(_xlfn.XLOOKUP(L$2-$C12, 'GEN-SOLAR'!$D$7:$AW$7, 'GEN-SOLAR'!$D$116:$AW$116), 0), IF($B12='Project List References'!$B$5, _xlfn.IFNA(_xlfn.XLOOKUP(L$2-$C12, 'GEN-BESS'!$D$7:$AW$7, 'GEN-BESS'!$D$120:$AW$120), 0), IF($B12='Project List References'!$B$6, _xlfn.IFNA(_xlfn.XLOOKUP(L$2-$C12, 'GEN-CARBON'!$D$7:$AW$7, 'GEN-CARBON'!$D$118:$AW$118), 0), IF($B12='Project List References'!$B$7, _xlfn.IFNA(_xlfn.XLOOKUP(L$2-$C12, 'SENS Coal'!$D$7:$AW$7, 'SENS Coal'!$D$134:$AW$134), 0), IF($B12='Project List References'!$B$8, _xlfn.IFNA(_xlfn.XLOOKUP(L$2-$C12,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M12" s="743" t="e">
        <f>IF($B12='Project List References'!$B$3, _xlfn.IFNA(_xlfn.XLOOKUP(M$2-$C12, 'GEN-CCGT'!$D$7:$AW$7, 'GEN-CCGT'!$D$118:$AW$118), 0), IF($B12='Project List References'!$B$4, _xlfn.IFNA(_xlfn.XLOOKUP(M$2-$C12, 'GEN-SOLAR'!$D$7:$AW$7, 'GEN-SOLAR'!$D$116:$AW$116), 0), IF($B12='Project List References'!$B$5, _xlfn.IFNA(_xlfn.XLOOKUP(M$2-$C12, 'GEN-BESS'!$D$7:$AW$7, 'GEN-BESS'!$D$120:$AW$120), 0), IF($B12='Project List References'!$B$6, _xlfn.IFNA(_xlfn.XLOOKUP(M$2-$C12, 'GEN-CARBON'!$D$7:$AW$7, 'GEN-CARBON'!$D$118:$AW$118), 0), IF($B12='Project List References'!$B$7, _xlfn.IFNA(_xlfn.XLOOKUP(M$2-$C12, 'SENS Coal'!$D$7:$AW$7, 'SENS Coal'!$D$134:$AW$134), 0), IF($B12='Project List References'!$B$8, _xlfn.IFNA(_xlfn.XLOOKUP(M$2-$C12,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N12" s="743" t="e">
        <f>IF($B12='Project List References'!$B$3, _xlfn.IFNA(_xlfn.XLOOKUP(N$2-$C12, 'GEN-CCGT'!$D$7:$AW$7, 'GEN-CCGT'!$D$118:$AW$118), 0), IF($B12='Project List References'!$B$4, _xlfn.IFNA(_xlfn.XLOOKUP(N$2-$C12, 'GEN-SOLAR'!$D$7:$AW$7, 'GEN-SOLAR'!$D$116:$AW$116), 0), IF($B12='Project List References'!$B$5, _xlfn.IFNA(_xlfn.XLOOKUP(N$2-$C12, 'GEN-BESS'!$D$7:$AW$7, 'GEN-BESS'!$D$120:$AW$120), 0), IF($B12='Project List References'!$B$6, _xlfn.IFNA(_xlfn.XLOOKUP(N$2-$C12, 'GEN-CARBON'!$D$7:$AW$7, 'GEN-CARBON'!$D$118:$AW$118), 0), IF($B12='Project List References'!$B$7, _xlfn.IFNA(_xlfn.XLOOKUP(N$2-$C12, 'SENS Coal'!$D$7:$AW$7, 'SENS Coal'!$D$134:$AW$134), 0), IF($B12='Project List References'!$B$8, _xlfn.IFNA(_xlfn.XLOOKUP(N$2-$C12,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O12" s="743" t="e">
        <f>IF($B12='Project List References'!$B$3, _xlfn.IFNA(_xlfn.XLOOKUP(O$2-$C12, 'GEN-CCGT'!$D$7:$AW$7, 'GEN-CCGT'!$D$118:$AW$118), 0), IF($B12='Project List References'!$B$4, _xlfn.IFNA(_xlfn.XLOOKUP(O$2-$C12, 'GEN-SOLAR'!$D$7:$AW$7, 'GEN-SOLAR'!$D$116:$AW$116), 0), IF($B12='Project List References'!$B$5, _xlfn.IFNA(_xlfn.XLOOKUP(O$2-$C12, 'GEN-BESS'!$D$7:$AW$7, 'GEN-BESS'!$D$120:$AW$120), 0), IF($B12='Project List References'!$B$6, _xlfn.IFNA(_xlfn.XLOOKUP(O$2-$C12, 'GEN-CARBON'!$D$7:$AW$7, 'GEN-CARBON'!$D$118:$AW$118), 0), IF($B12='Project List References'!$B$7, _xlfn.IFNA(_xlfn.XLOOKUP(O$2-$C12, 'SENS Coal'!$D$7:$AW$7, 'SENS Coal'!$D$134:$AW$134), 0), IF($B12='Project List References'!$B$8, _xlfn.IFNA(_xlfn.XLOOKUP(O$2-$C12,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P12" s="743" t="e">
        <f>IF($B12='Project List References'!$B$3, _xlfn.IFNA(_xlfn.XLOOKUP(P$2-$C12, 'GEN-CCGT'!$D$7:$AW$7, 'GEN-CCGT'!$D$118:$AW$118), 0), IF($B12='Project List References'!$B$4, _xlfn.IFNA(_xlfn.XLOOKUP(P$2-$C12, 'GEN-SOLAR'!$D$7:$AW$7, 'GEN-SOLAR'!$D$116:$AW$116), 0), IF($B12='Project List References'!$B$5, _xlfn.IFNA(_xlfn.XLOOKUP(P$2-$C12, 'GEN-BESS'!$D$7:$AW$7, 'GEN-BESS'!$D$120:$AW$120), 0), IF($B12='Project List References'!$B$6, _xlfn.IFNA(_xlfn.XLOOKUP(P$2-$C12, 'GEN-CARBON'!$D$7:$AW$7, 'GEN-CARBON'!$D$118:$AW$118), 0), IF($B12='Project List References'!$B$7, _xlfn.IFNA(_xlfn.XLOOKUP(P$2-$C12, 'SENS Coal'!$D$7:$AW$7, 'SENS Coal'!$D$134:$AW$134), 0), IF($B12='Project List References'!$B$8, _xlfn.IFNA(_xlfn.XLOOKUP(P$2-$C12,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Q12" s="743" t="e">
        <f>IF($B12='Project List References'!$B$3, _xlfn.IFNA(_xlfn.XLOOKUP(Q$2-$C12, 'GEN-CCGT'!$D$7:$AW$7, 'GEN-CCGT'!$D$118:$AW$118), 0), IF($B12='Project List References'!$B$4, _xlfn.IFNA(_xlfn.XLOOKUP(Q$2-$C12, 'GEN-SOLAR'!$D$7:$AW$7, 'GEN-SOLAR'!$D$116:$AW$116), 0), IF($B12='Project List References'!$B$5, _xlfn.IFNA(_xlfn.XLOOKUP(Q$2-$C12, 'GEN-BESS'!$D$7:$AW$7, 'GEN-BESS'!$D$120:$AW$120), 0), IF($B12='Project List References'!$B$6, _xlfn.IFNA(_xlfn.XLOOKUP(Q$2-$C12, 'GEN-CARBON'!$D$7:$AW$7, 'GEN-CARBON'!$D$118:$AW$118), 0), IF($B12='Project List References'!$B$7, _xlfn.IFNA(_xlfn.XLOOKUP(Q$2-$C12, 'SENS Coal'!$D$7:$AW$7, 'SENS Coal'!$D$134:$AW$134), 0), IF($B12='Project List References'!$B$8, _xlfn.IFNA(_xlfn.XLOOKUP(Q$2-$C12,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R12" s="743" t="e">
        <f>IF($B12='Project List References'!$B$3, _xlfn.IFNA(_xlfn.XLOOKUP(R$2-$C12, 'GEN-CCGT'!$D$7:$AW$7, 'GEN-CCGT'!$D$118:$AW$118), 0), IF($B12='Project List References'!$B$4, _xlfn.IFNA(_xlfn.XLOOKUP(R$2-$C12, 'GEN-SOLAR'!$D$7:$AW$7, 'GEN-SOLAR'!$D$116:$AW$116), 0), IF($B12='Project List References'!$B$5, _xlfn.IFNA(_xlfn.XLOOKUP(R$2-$C12, 'GEN-BESS'!$D$7:$AW$7, 'GEN-BESS'!$D$120:$AW$120), 0), IF($B12='Project List References'!$B$6, _xlfn.IFNA(_xlfn.XLOOKUP(R$2-$C12, 'GEN-CARBON'!$D$7:$AW$7, 'GEN-CARBON'!$D$118:$AW$118), 0), IF($B12='Project List References'!$B$7, _xlfn.IFNA(_xlfn.XLOOKUP(R$2-$C12, 'SENS Coal'!$D$7:$AW$7, 'SENS Coal'!$D$134:$AW$134), 0), IF($B12='Project List References'!$B$8, _xlfn.IFNA(_xlfn.XLOOKUP(R$2-$C12,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S12" s="743" t="e">
        <f>IF($B12='Project List References'!$B$3, _xlfn.IFNA(_xlfn.XLOOKUP(S$2-$C12, 'GEN-CCGT'!$D$7:$AW$7, 'GEN-CCGT'!$D$118:$AW$118), 0), IF($B12='Project List References'!$B$4, _xlfn.IFNA(_xlfn.XLOOKUP(S$2-$C12, 'GEN-SOLAR'!$D$7:$AW$7, 'GEN-SOLAR'!$D$116:$AW$116), 0), IF($B12='Project List References'!$B$5, _xlfn.IFNA(_xlfn.XLOOKUP(S$2-$C12, 'GEN-BESS'!$D$7:$AW$7, 'GEN-BESS'!$D$120:$AW$120), 0), IF($B12='Project List References'!$B$6, _xlfn.IFNA(_xlfn.XLOOKUP(S$2-$C12, 'GEN-CARBON'!$D$7:$AW$7, 'GEN-CARBON'!$D$118:$AW$118), 0), IF($B12='Project List References'!$B$7, _xlfn.IFNA(_xlfn.XLOOKUP(S$2-$C12, 'SENS Coal'!$D$7:$AW$7, 'SENS Coal'!$D$134:$AW$134), 0), IF($B12='Project List References'!$B$8, _xlfn.IFNA(_xlfn.XLOOKUP(S$2-$C12,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T12" s="743" t="e">
        <f>IF($B12='Project List References'!$B$3, _xlfn.IFNA(_xlfn.XLOOKUP(T$2-$C12, 'GEN-CCGT'!$D$7:$AW$7, 'GEN-CCGT'!$D$118:$AW$118), 0), IF($B12='Project List References'!$B$4, _xlfn.IFNA(_xlfn.XLOOKUP(T$2-$C12, 'GEN-SOLAR'!$D$7:$AW$7, 'GEN-SOLAR'!$D$116:$AW$116), 0), IF($B12='Project List References'!$B$5, _xlfn.IFNA(_xlfn.XLOOKUP(T$2-$C12, 'GEN-BESS'!$D$7:$AW$7, 'GEN-BESS'!$D$120:$AW$120), 0), IF($B12='Project List References'!$B$6, _xlfn.IFNA(_xlfn.XLOOKUP(T$2-$C12, 'GEN-CARBON'!$D$7:$AW$7, 'GEN-CARBON'!$D$118:$AW$118), 0), IF($B12='Project List References'!$B$7, _xlfn.IFNA(_xlfn.XLOOKUP(T$2-$C12, 'SENS Coal'!$D$7:$AW$7, 'SENS Coal'!$D$134:$AW$134), 0), IF($B12='Project List References'!$B$8, _xlfn.IFNA(_xlfn.XLOOKUP(T$2-$C12, 'SENS Tires'!$D$7:$AW$7, 'SENS Tires'!$D$132:$AW$132),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</row>
    <row r="13" spans="1:111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_xlfn.XLOOKUP(A13, 'Project Master Sheet'!A:A, 'Project Master Sheet'!I:I)</f>
        <v>#N/A</v>
      </c>
      <c r="E13" s="743" t="e">
        <f>IF($B13='Project List References'!$B$3, _xlfn.IFNA(_xlfn.XLOOKUP(E$2-$C13, 'GEN-CCGT'!$D$7:$AW$7, 'GEN-CCGT'!$D$118:$AW$118), 0), IF($B13='Project List References'!$B$4, _xlfn.IFNA(_xlfn.XLOOKUP(E$2-$C13, 'GEN-SOLAR'!$D$7:$AW$7, 'GEN-SOLAR'!$D$116:$AW$116), 0), IF($B13='Project List References'!$B$5, _xlfn.IFNA(_xlfn.XLOOKUP(E$2-$C13, 'GEN-BESS'!$D$7:$AW$7, 'GEN-BESS'!$D$120:$AW$120), 0), IF($B13='Project List References'!$B$6, _xlfn.IFNA(_xlfn.XLOOKUP(E$2-$C13, 'GEN-CARBON'!$D$7:$AW$7, 'GEN-CARBON'!$D$118:$AW$118), 0), IF($B13='Project List References'!$B$7, _xlfn.IFNA(_xlfn.XLOOKUP(E$2-$C13, 'SENS Coal'!$D$7:$AW$7, 'SENS Coal'!$D$134:$AW$134), 0), IF($B13='Project List References'!$B$8, _xlfn.IFNA(_xlfn.XLOOKUP(E$2-$C13,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F13" s="743" t="e">
        <f>IF($B13='Project List References'!$B$3, _xlfn.IFNA(_xlfn.XLOOKUP(F$2-$C13, 'GEN-CCGT'!$D$7:$AW$7, 'GEN-CCGT'!$D$118:$AW$118), 0), IF($B13='Project List References'!$B$4, _xlfn.IFNA(_xlfn.XLOOKUP(F$2-$C13, 'GEN-SOLAR'!$D$7:$AW$7, 'GEN-SOLAR'!$D$116:$AW$116), 0), IF($B13='Project List References'!$B$5, _xlfn.IFNA(_xlfn.XLOOKUP(F$2-$C13, 'GEN-BESS'!$D$7:$AW$7, 'GEN-BESS'!$D$120:$AW$120), 0), IF($B13='Project List References'!$B$6, _xlfn.IFNA(_xlfn.XLOOKUP(F$2-$C13, 'GEN-CARBON'!$D$7:$AW$7, 'GEN-CARBON'!$D$118:$AW$118), 0), IF($B13='Project List References'!$B$7, _xlfn.IFNA(_xlfn.XLOOKUP(F$2-$C13, 'SENS Coal'!$D$7:$AW$7, 'SENS Coal'!$D$134:$AW$134), 0), IF($B13='Project List References'!$B$8, _xlfn.IFNA(_xlfn.XLOOKUP(F$2-$C13,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G13" s="743" t="e">
        <f>IF($B13='Project List References'!$B$3, _xlfn.IFNA(_xlfn.XLOOKUP(G$2-$C13, 'GEN-CCGT'!$D$7:$AW$7, 'GEN-CCGT'!$D$118:$AW$118), 0), IF($B13='Project List References'!$B$4, _xlfn.IFNA(_xlfn.XLOOKUP(G$2-$C13, 'GEN-SOLAR'!$D$7:$AW$7, 'GEN-SOLAR'!$D$116:$AW$116), 0), IF($B13='Project List References'!$B$5, _xlfn.IFNA(_xlfn.XLOOKUP(G$2-$C13, 'GEN-BESS'!$D$7:$AW$7, 'GEN-BESS'!$D$120:$AW$120), 0), IF($B13='Project List References'!$B$6, _xlfn.IFNA(_xlfn.XLOOKUP(G$2-$C13, 'GEN-CARBON'!$D$7:$AW$7, 'GEN-CARBON'!$D$118:$AW$118), 0), IF($B13='Project List References'!$B$7, _xlfn.IFNA(_xlfn.XLOOKUP(G$2-$C13, 'SENS Coal'!$D$7:$AW$7, 'SENS Coal'!$D$134:$AW$134), 0), IF($B13='Project List References'!$B$8, _xlfn.IFNA(_xlfn.XLOOKUP(G$2-$C13,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H13" s="743" t="e">
        <f>IF($B13='Project List References'!$B$3, _xlfn.IFNA(_xlfn.XLOOKUP(H$2-$C13, 'GEN-CCGT'!$D$7:$AW$7, 'GEN-CCGT'!$D$118:$AW$118), 0), IF($B13='Project List References'!$B$4, _xlfn.IFNA(_xlfn.XLOOKUP(H$2-$C13, 'GEN-SOLAR'!$D$7:$AW$7, 'GEN-SOLAR'!$D$116:$AW$116), 0), IF($B13='Project List References'!$B$5, _xlfn.IFNA(_xlfn.XLOOKUP(H$2-$C13, 'GEN-BESS'!$D$7:$AW$7, 'GEN-BESS'!$D$120:$AW$120), 0), IF($B13='Project List References'!$B$6, _xlfn.IFNA(_xlfn.XLOOKUP(H$2-$C13, 'GEN-CARBON'!$D$7:$AW$7, 'GEN-CARBON'!$D$118:$AW$118), 0), IF($B13='Project List References'!$B$7, _xlfn.IFNA(_xlfn.XLOOKUP(H$2-$C13, 'SENS Coal'!$D$7:$AW$7, 'SENS Coal'!$D$134:$AW$134), 0), IF($B13='Project List References'!$B$8, _xlfn.IFNA(_xlfn.XLOOKUP(H$2-$C13,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I13" s="743" t="e">
        <f>IF($B13='Project List References'!$B$3, _xlfn.IFNA(_xlfn.XLOOKUP(I$2-$C13, 'GEN-CCGT'!$D$7:$AW$7, 'GEN-CCGT'!$D$118:$AW$118), 0), IF($B13='Project List References'!$B$4, _xlfn.IFNA(_xlfn.XLOOKUP(I$2-$C13, 'GEN-SOLAR'!$D$7:$AW$7, 'GEN-SOLAR'!$D$116:$AW$116), 0), IF($B13='Project List References'!$B$5, _xlfn.IFNA(_xlfn.XLOOKUP(I$2-$C13, 'GEN-BESS'!$D$7:$AW$7, 'GEN-BESS'!$D$120:$AW$120), 0), IF($B13='Project List References'!$B$6, _xlfn.IFNA(_xlfn.XLOOKUP(I$2-$C13, 'GEN-CARBON'!$D$7:$AW$7, 'GEN-CARBON'!$D$118:$AW$118), 0), IF($B13='Project List References'!$B$7, _xlfn.IFNA(_xlfn.XLOOKUP(I$2-$C13, 'SENS Coal'!$D$7:$AW$7, 'SENS Coal'!$D$134:$AW$134), 0), IF($B13='Project List References'!$B$8, _xlfn.IFNA(_xlfn.XLOOKUP(I$2-$C13,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J13" s="743" t="e">
        <f>IF($B13='Project List References'!$B$3, _xlfn.IFNA(_xlfn.XLOOKUP(J$2-$C13, 'GEN-CCGT'!$D$7:$AW$7, 'GEN-CCGT'!$D$118:$AW$118), 0), IF($B13='Project List References'!$B$4, _xlfn.IFNA(_xlfn.XLOOKUP(J$2-$C13, 'GEN-SOLAR'!$D$7:$AW$7, 'GEN-SOLAR'!$D$116:$AW$116), 0), IF($B13='Project List References'!$B$5, _xlfn.IFNA(_xlfn.XLOOKUP(J$2-$C13, 'GEN-BESS'!$D$7:$AW$7, 'GEN-BESS'!$D$120:$AW$120), 0), IF($B13='Project List References'!$B$6, _xlfn.IFNA(_xlfn.XLOOKUP(J$2-$C13, 'GEN-CARBON'!$D$7:$AW$7, 'GEN-CARBON'!$D$118:$AW$118), 0), IF($B13='Project List References'!$B$7, _xlfn.IFNA(_xlfn.XLOOKUP(J$2-$C13, 'SENS Coal'!$D$7:$AW$7, 'SENS Coal'!$D$134:$AW$134), 0), IF($B13='Project List References'!$B$8, _xlfn.IFNA(_xlfn.XLOOKUP(J$2-$C13,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K13" s="743" t="e">
        <f>IF($B13='Project List References'!$B$3, _xlfn.IFNA(_xlfn.XLOOKUP(K$2-$C13, 'GEN-CCGT'!$D$7:$AW$7, 'GEN-CCGT'!$D$118:$AW$118), 0), IF($B13='Project List References'!$B$4, _xlfn.IFNA(_xlfn.XLOOKUP(K$2-$C13, 'GEN-SOLAR'!$D$7:$AW$7, 'GEN-SOLAR'!$D$116:$AW$116), 0), IF($B13='Project List References'!$B$5, _xlfn.IFNA(_xlfn.XLOOKUP(K$2-$C13, 'GEN-BESS'!$D$7:$AW$7, 'GEN-BESS'!$D$120:$AW$120), 0), IF($B13='Project List References'!$B$6, _xlfn.IFNA(_xlfn.XLOOKUP(K$2-$C13, 'GEN-CARBON'!$D$7:$AW$7, 'GEN-CARBON'!$D$118:$AW$118), 0), IF($B13='Project List References'!$B$7, _xlfn.IFNA(_xlfn.XLOOKUP(K$2-$C13, 'SENS Coal'!$D$7:$AW$7, 'SENS Coal'!$D$134:$AW$134), 0), IF($B13='Project List References'!$B$8, _xlfn.IFNA(_xlfn.XLOOKUP(K$2-$C13,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L13" s="743" t="e">
        <f>IF($B13='Project List References'!$B$3, _xlfn.IFNA(_xlfn.XLOOKUP(L$2-$C13, 'GEN-CCGT'!$D$7:$AW$7, 'GEN-CCGT'!$D$118:$AW$118), 0), IF($B13='Project List References'!$B$4, _xlfn.IFNA(_xlfn.XLOOKUP(L$2-$C13, 'GEN-SOLAR'!$D$7:$AW$7, 'GEN-SOLAR'!$D$116:$AW$116), 0), IF($B13='Project List References'!$B$5, _xlfn.IFNA(_xlfn.XLOOKUP(L$2-$C13, 'GEN-BESS'!$D$7:$AW$7, 'GEN-BESS'!$D$120:$AW$120), 0), IF($B13='Project List References'!$B$6, _xlfn.IFNA(_xlfn.XLOOKUP(L$2-$C13, 'GEN-CARBON'!$D$7:$AW$7, 'GEN-CARBON'!$D$118:$AW$118), 0), IF($B13='Project List References'!$B$7, _xlfn.IFNA(_xlfn.XLOOKUP(L$2-$C13, 'SENS Coal'!$D$7:$AW$7, 'SENS Coal'!$D$134:$AW$134), 0), IF($B13='Project List References'!$B$8, _xlfn.IFNA(_xlfn.XLOOKUP(L$2-$C13,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M13" s="743" t="e">
        <f>IF($B13='Project List References'!$B$3, _xlfn.IFNA(_xlfn.XLOOKUP(M$2-$C13, 'GEN-CCGT'!$D$7:$AW$7, 'GEN-CCGT'!$D$118:$AW$118), 0), IF($B13='Project List References'!$B$4, _xlfn.IFNA(_xlfn.XLOOKUP(M$2-$C13, 'GEN-SOLAR'!$D$7:$AW$7, 'GEN-SOLAR'!$D$116:$AW$116), 0), IF($B13='Project List References'!$B$5, _xlfn.IFNA(_xlfn.XLOOKUP(M$2-$C13, 'GEN-BESS'!$D$7:$AW$7, 'GEN-BESS'!$D$120:$AW$120), 0), IF($B13='Project List References'!$B$6, _xlfn.IFNA(_xlfn.XLOOKUP(M$2-$C13, 'GEN-CARBON'!$D$7:$AW$7, 'GEN-CARBON'!$D$118:$AW$118), 0), IF($B13='Project List References'!$B$7, _xlfn.IFNA(_xlfn.XLOOKUP(M$2-$C13, 'SENS Coal'!$D$7:$AW$7, 'SENS Coal'!$D$134:$AW$134), 0), IF($B13='Project List References'!$B$8, _xlfn.IFNA(_xlfn.XLOOKUP(M$2-$C13,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N13" s="743" t="e">
        <f>IF($B13='Project List References'!$B$3, _xlfn.IFNA(_xlfn.XLOOKUP(N$2-$C13, 'GEN-CCGT'!$D$7:$AW$7, 'GEN-CCGT'!$D$118:$AW$118), 0), IF($B13='Project List References'!$B$4, _xlfn.IFNA(_xlfn.XLOOKUP(N$2-$C13, 'GEN-SOLAR'!$D$7:$AW$7, 'GEN-SOLAR'!$D$116:$AW$116), 0), IF($B13='Project List References'!$B$5, _xlfn.IFNA(_xlfn.XLOOKUP(N$2-$C13, 'GEN-BESS'!$D$7:$AW$7, 'GEN-BESS'!$D$120:$AW$120), 0), IF($B13='Project List References'!$B$6, _xlfn.IFNA(_xlfn.XLOOKUP(N$2-$C13, 'GEN-CARBON'!$D$7:$AW$7, 'GEN-CARBON'!$D$118:$AW$118), 0), IF($B13='Project List References'!$B$7, _xlfn.IFNA(_xlfn.XLOOKUP(N$2-$C13, 'SENS Coal'!$D$7:$AW$7, 'SENS Coal'!$D$134:$AW$134), 0), IF($B13='Project List References'!$B$8, _xlfn.IFNA(_xlfn.XLOOKUP(N$2-$C13,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O13" s="743" t="e">
        <f>IF($B13='Project List References'!$B$3, _xlfn.IFNA(_xlfn.XLOOKUP(O$2-$C13, 'GEN-CCGT'!$D$7:$AW$7, 'GEN-CCGT'!$D$118:$AW$118), 0), IF($B13='Project List References'!$B$4, _xlfn.IFNA(_xlfn.XLOOKUP(O$2-$C13, 'GEN-SOLAR'!$D$7:$AW$7, 'GEN-SOLAR'!$D$116:$AW$116), 0), IF($B13='Project List References'!$B$5, _xlfn.IFNA(_xlfn.XLOOKUP(O$2-$C13, 'GEN-BESS'!$D$7:$AW$7, 'GEN-BESS'!$D$120:$AW$120), 0), IF($B13='Project List References'!$B$6, _xlfn.IFNA(_xlfn.XLOOKUP(O$2-$C13, 'GEN-CARBON'!$D$7:$AW$7, 'GEN-CARBON'!$D$118:$AW$118), 0), IF($B13='Project List References'!$B$7, _xlfn.IFNA(_xlfn.XLOOKUP(O$2-$C13, 'SENS Coal'!$D$7:$AW$7, 'SENS Coal'!$D$134:$AW$134), 0), IF($B13='Project List References'!$B$8, _xlfn.IFNA(_xlfn.XLOOKUP(O$2-$C13,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P13" s="743" t="e">
        <f>IF($B13='Project List References'!$B$3, _xlfn.IFNA(_xlfn.XLOOKUP(P$2-$C13, 'GEN-CCGT'!$D$7:$AW$7, 'GEN-CCGT'!$D$118:$AW$118), 0), IF($B13='Project List References'!$B$4, _xlfn.IFNA(_xlfn.XLOOKUP(P$2-$C13, 'GEN-SOLAR'!$D$7:$AW$7, 'GEN-SOLAR'!$D$116:$AW$116), 0), IF($B13='Project List References'!$B$5, _xlfn.IFNA(_xlfn.XLOOKUP(P$2-$C13, 'GEN-BESS'!$D$7:$AW$7, 'GEN-BESS'!$D$120:$AW$120), 0), IF($B13='Project List References'!$B$6, _xlfn.IFNA(_xlfn.XLOOKUP(P$2-$C13, 'GEN-CARBON'!$D$7:$AW$7, 'GEN-CARBON'!$D$118:$AW$118), 0), IF($B13='Project List References'!$B$7, _xlfn.IFNA(_xlfn.XLOOKUP(P$2-$C13, 'SENS Coal'!$D$7:$AW$7, 'SENS Coal'!$D$134:$AW$134), 0), IF($B13='Project List References'!$B$8, _xlfn.IFNA(_xlfn.XLOOKUP(P$2-$C13,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Q13" s="743" t="e">
        <f>IF($B13='Project List References'!$B$3, _xlfn.IFNA(_xlfn.XLOOKUP(Q$2-$C13, 'GEN-CCGT'!$D$7:$AW$7, 'GEN-CCGT'!$D$118:$AW$118), 0), IF($B13='Project List References'!$B$4, _xlfn.IFNA(_xlfn.XLOOKUP(Q$2-$C13, 'GEN-SOLAR'!$D$7:$AW$7, 'GEN-SOLAR'!$D$116:$AW$116), 0), IF($B13='Project List References'!$B$5, _xlfn.IFNA(_xlfn.XLOOKUP(Q$2-$C13, 'GEN-BESS'!$D$7:$AW$7, 'GEN-BESS'!$D$120:$AW$120), 0), IF($B13='Project List References'!$B$6, _xlfn.IFNA(_xlfn.XLOOKUP(Q$2-$C13, 'GEN-CARBON'!$D$7:$AW$7, 'GEN-CARBON'!$D$118:$AW$118), 0), IF($B13='Project List References'!$B$7, _xlfn.IFNA(_xlfn.XLOOKUP(Q$2-$C13, 'SENS Coal'!$D$7:$AW$7, 'SENS Coal'!$D$134:$AW$134), 0), IF($B13='Project List References'!$B$8, _xlfn.IFNA(_xlfn.XLOOKUP(Q$2-$C13,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R13" s="743" t="e">
        <f>IF($B13='Project List References'!$B$3, _xlfn.IFNA(_xlfn.XLOOKUP(R$2-$C13, 'GEN-CCGT'!$D$7:$AW$7, 'GEN-CCGT'!$D$118:$AW$118), 0), IF($B13='Project List References'!$B$4, _xlfn.IFNA(_xlfn.XLOOKUP(R$2-$C13, 'GEN-SOLAR'!$D$7:$AW$7, 'GEN-SOLAR'!$D$116:$AW$116), 0), IF($B13='Project List References'!$B$5, _xlfn.IFNA(_xlfn.XLOOKUP(R$2-$C13, 'GEN-BESS'!$D$7:$AW$7, 'GEN-BESS'!$D$120:$AW$120), 0), IF($B13='Project List References'!$B$6, _xlfn.IFNA(_xlfn.XLOOKUP(R$2-$C13, 'GEN-CARBON'!$D$7:$AW$7, 'GEN-CARBON'!$D$118:$AW$118), 0), IF($B13='Project List References'!$B$7, _xlfn.IFNA(_xlfn.XLOOKUP(R$2-$C13, 'SENS Coal'!$D$7:$AW$7, 'SENS Coal'!$D$134:$AW$134), 0), IF($B13='Project List References'!$B$8, _xlfn.IFNA(_xlfn.XLOOKUP(R$2-$C13,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S13" s="743" t="e">
        <f>IF($B13='Project List References'!$B$3, _xlfn.IFNA(_xlfn.XLOOKUP(S$2-$C13, 'GEN-CCGT'!$D$7:$AW$7, 'GEN-CCGT'!$D$118:$AW$118), 0), IF($B13='Project List References'!$B$4, _xlfn.IFNA(_xlfn.XLOOKUP(S$2-$C13, 'GEN-SOLAR'!$D$7:$AW$7, 'GEN-SOLAR'!$D$116:$AW$116), 0), IF($B13='Project List References'!$B$5, _xlfn.IFNA(_xlfn.XLOOKUP(S$2-$C13, 'GEN-BESS'!$D$7:$AW$7, 'GEN-BESS'!$D$120:$AW$120), 0), IF($B13='Project List References'!$B$6, _xlfn.IFNA(_xlfn.XLOOKUP(S$2-$C13, 'GEN-CARBON'!$D$7:$AW$7, 'GEN-CARBON'!$D$118:$AW$118), 0), IF($B13='Project List References'!$B$7, _xlfn.IFNA(_xlfn.XLOOKUP(S$2-$C13, 'SENS Coal'!$D$7:$AW$7, 'SENS Coal'!$D$134:$AW$134), 0), IF($B13='Project List References'!$B$8, _xlfn.IFNA(_xlfn.XLOOKUP(S$2-$C13,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T13" s="743" t="e">
        <f>IF($B13='Project List References'!$B$3, _xlfn.IFNA(_xlfn.XLOOKUP(T$2-$C13, 'GEN-CCGT'!$D$7:$AW$7, 'GEN-CCGT'!$D$118:$AW$118), 0), IF($B13='Project List References'!$B$4, _xlfn.IFNA(_xlfn.XLOOKUP(T$2-$C13, 'GEN-SOLAR'!$D$7:$AW$7, 'GEN-SOLAR'!$D$116:$AW$116), 0), IF($B13='Project List References'!$B$5, _xlfn.IFNA(_xlfn.XLOOKUP(T$2-$C13, 'GEN-BESS'!$D$7:$AW$7, 'GEN-BESS'!$D$120:$AW$120), 0), IF($B13='Project List References'!$B$6, _xlfn.IFNA(_xlfn.XLOOKUP(T$2-$C13, 'GEN-CARBON'!$D$7:$AW$7, 'GEN-CARBON'!$D$118:$AW$118), 0), IF($B13='Project List References'!$B$7, _xlfn.IFNA(_xlfn.XLOOKUP(T$2-$C13, 'SENS Coal'!$D$7:$AW$7, 'SENS Coal'!$D$134:$AW$134), 0), IF($B13='Project List References'!$B$8, _xlfn.IFNA(_xlfn.XLOOKUP(T$2-$C13, 'SENS Tires'!$D$7:$AW$7, 'SENS Tires'!$D$132:$AW$132),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</row>
    <row r="14" spans="1:111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_xlfn.XLOOKUP(A14, 'Project Master Sheet'!A:A, 'Project Master Sheet'!I:I)</f>
        <v>#N/A</v>
      </c>
      <c r="E14" s="743" t="e">
        <f>IF($B14='Project List References'!$B$3, _xlfn.IFNA(_xlfn.XLOOKUP(E$2-$C14, 'GEN-CCGT'!$D$7:$AW$7, 'GEN-CCGT'!$D$118:$AW$118), 0), IF($B14='Project List References'!$B$4, _xlfn.IFNA(_xlfn.XLOOKUP(E$2-$C14, 'GEN-SOLAR'!$D$7:$AW$7, 'GEN-SOLAR'!$D$116:$AW$116), 0), IF($B14='Project List References'!$B$5, _xlfn.IFNA(_xlfn.XLOOKUP(E$2-$C14, 'GEN-BESS'!$D$7:$AW$7, 'GEN-BESS'!$D$120:$AW$120), 0), IF($B14='Project List References'!$B$6, _xlfn.IFNA(_xlfn.XLOOKUP(E$2-$C14, 'GEN-CARBON'!$D$7:$AW$7, 'GEN-CARBON'!$D$118:$AW$118), 0), IF($B14='Project List References'!$B$7, _xlfn.IFNA(_xlfn.XLOOKUP(E$2-$C14, 'SENS Coal'!$D$7:$AW$7, 'SENS Coal'!$D$134:$AW$134), 0), IF($B14='Project List References'!$B$8, _xlfn.IFNA(_xlfn.XLOOKUP(E$2-$C14,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F14" s="743" t="e">
        <f>IF($B14='Project List References'!$B$3, _xlfn.IFNA(_xlfn.XLOOKUP(F$2-$C14, 'GEN-CCGT'!$D$7:$AW$7, 'GEN-CCGT'!$D$118:$AW$118), 0), IF($B14='Project List References'!$B$4, _xlfn.IFNA(_xlfn.XLOOKUP(F$2-$C14, 'GEN-SOLAR'!$D$7:$AW$7, 'GEN-SOLAR'!$D$116:$AW$116), 0), IF($B14='Project List References'!$B$5, _xlfn.IFNA(_xlfn.XLOOKUP(F$2-$C14, 'GEN-BESS'!$D$7:$AW$7, 'GEN-BESS'!$D$120:$AW$120), 0), IF($B14='Project List References'!$B$6, _xlfn.IFNA(_xlfn.XLOOKUP(F$2-$C14, 'GEN-CARBON'!$D$7:$AW$7, 'GEN-CARBON'!$D$118:$AW$118), 0), IF($B14='Project List References'!$B$7, _xlfn.IFNA(_xlfn.XLOOKUP(F$2-$C14, 'SENS Coal'!$D$7:$AW$7, 'SENS Coal'!$D$134:$AW$134), 0), IF($B14='Project List References'!$B$8, _xlfn.IFNA(_xlfn.XLOOKUP(F$2-$C14,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G14" s="743" t="e">
        <f>IF($B14='Project List References'!$B$3, _xlfn.IFNA(_xlfn.XLOOKUP(G$2-$C14, 'GEN-CCGT'!$D$7:$AW$7, 'GEN-CCGT'!$D$118:$AW$118), 0), IF($B14='Project List References'!$B$4, _xlfn.IFNA(_xlfn.XLOOKUP(G$2-$C14, 'GEN-SOLAR'!$D$7:$AW$7, 'GEN-SOLAR'!$D$116:$AW$116), 0), IF($B14='Project List References'!$B$5, _xlfn.IFNA(_xlfn.XLOOKUP(G$2-$C14, 'GEN-BESS'!$D$7:$AW$7, 'GEN-BESS'!$D$120:$AW$120), 0), IF($B14='Project List References'!$B$6, _xlfn.IFNA(_xlfn.XLOOKUP(G$2-$C14, 'GEN-CARBON'!$D$7:$AW$7, 'GEN-CARBON'!$D$118:$AW$118), 0), IF($B14='Project List References'!$B$7, _xlfn.IFNA(_xlfn.XLOOKUP(G$2-$C14, 'SENS Coal'!$D$7:$AW$7, 'SENS Coal'!$D$134:$AW$134), 0), IF($B14='Project List References'!$B$8, _xlfn.IFNA(_xlfn.XLOOKUP(G$2-$C14,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H14" s="743" t="e">
        <f>IF($B14='Project List References'!$B$3, _xlfn.IFNA(_xlfn.XLOOKUP(H$2-$C14, 'GEN-CCGT'!$D$7:$AW$7, 'GEN-CCGT'!$D$118:$AW$118), 0), IF($B14='Project List References'!$B$4, _xlfn.IFNA(_xlfn.XLOOKUP(H$2-$C14, 'GEN-SOLAR'!$D$7:$AW$7, 'GEN-SOLAR'!$D$116:$AW$116), 0), IF($B14='Project List References'!$B$5, _xlfn.IFNA(_xlfn.XLOOKUP(H$2-$C14, 'GEN-BESS'!$D$7:$AW$7, 'GEN-BESS'!$D$120:$AW$120), 0), IF($B14='Project List References'!$B$6, _xlfn.IFNA(_xlfn.XLOOKUP(H$2-$C14, 'GEN-CARBON'!$D$7:$AW$7, 'GEN-CARBON'!$D$118:$AW$118), 0), IF($B14='Project List References'!$B$7, _xlfn.IFNA(_xlfn.XLOOKUP(H$2-$C14, 'SENS Coal'!$D$7:$AW$7, 'SENS Coal'!$D$134:$AW$134), 0), IF($B14='Project List References'!$B$8, _xlfn.IFNA(_xlfn.XLOOKUP(H$2-$C14,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I14" s="743" t="e">
        <f>IF($B14='Project List References'!$B$3, _xlfn.IFNA(_xlfn.XLOOKUP(I$2-$C14, 'GEN-CCGT'!$D$7:$AW$7, 'GEN-CCGT'!$D$118:$AW$118), 0), IF($B14='Project List References'!$B$4, _xlfn.IFNA(_xlfn.XLOOKUP(I$2-$C14, 'GEN-SOLAR'!$D$7:$AW$7, 'GEN-SOLAR'!$D$116:$AW$116), 0), IF($B14='Project List References'!$B$5, _xlfn.IFNA(_xlfn.XLOOKUP(I$2-$C14, 'GEN-BESS'!$D$7:$AW$7, 'GEN-BESS'!$D$120:$AW$120), 0), IF($B14='Project List References'!$B$6, _xlfn.IFNA(_xlfn.XLOOKUP(I$2-$C14, 'GEN-CARBON'!$D$7:$AW$7, 'GEN-CARBON'!$D$118:$AW$118), 0), IF($B14='Project List References'!$B$7, _xlfn.IFNA(_xlfn.XLOOKUP(I$2-$C14, 'SENS Coal'!$D$7:$AW$7, 'SENS Coal'!$D$134:$AW$134), 0), IF($B14='Project List References'!$B$8, _xlfn.IFNA(_xlfn.XLOOKUP(I$2-$C14,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J14" s="743" t="e">
        <f>IF($B14='Project List References'!$B$3, _xlfn.IFNA(_xlfn.XLOOKUP(J$2-$C14, 'GEN-CCGT'!$D$7:$AW$7, 'GEN-CCGT'!$D$118:$AW$118), 0), IF($B14='Project List References'!$B$4, _xlfn.IFNA(_xlfn.XLOOKUP(J$2-$C14, 'GEN-SOLAR'!$D$7:$AW$7, 'GEN-SOLAR'!$D$116:$AW$116), 0), IF($B14='Project List References'!$B$5, _xlfn.IFNA(_xlfn.XLOOKUP(J$2-$C14, 'GEN-BESS'!$D$7:$AW$7, 'GEN-BESS'!$D$120:$AW$120), 0), IF($B14='Project List References'!$B$6, _xlfn.IFNA(_xlfn.XLOOKUP(J$2-$C14, 'GEN-CARBON'!$D$7:$AW$7, 'GEN-CARBON'!$D$118:$AW$118), 0), IF($B14='Project List References'!$B$7, _xlfn.IFNA(_xlfn.XLOOKUP(J$2-$C14, 'SENS Coal'!$D$7:$AW$7, 'SENS Coal'!$D$134:$AW$134), 0), IF($B14='Project List References'!$B$8, _xlfn.IFNA(_xlfn.XLOOKUP(J$2-$C14,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K14" s="743" t="e">
        <f>IF($B14='Project List References'!$B$3, _xlfn.IFNA(_xlfn.XLOOKUP(K$2-$C14, 'GEN-CCGT'!$D$7:$AW$7, 'GEN-CCGT'!$D$118:$AW$118), 0), IF($B14='Project List References'!$B$4, _xlfn.IFNA(_xlfn.XLOOKUP(K$2-$C14, 'GEN-SOLAR'!$D$7:$AW$7, 'GEN-SOLAR'!$D$116:$AW$116), 0), IF($B14='Project List References'!$B$5, _xlfn.IFNA(_xlfn.XLOOKUP(K$2-$C14, 'GEN-BESS'!$D$7:$AW$7, 'GEN-BESS'!$D$120:$AW$120), 0), IF($B14='Project List References'!$B$6, _xlfn.IFNA(_xlfn.XLOOKUP(K$2-$C14, 'GEN-CARBON'!$D$7:$AW$7, 'GEN-CARBON'!$D$118:$AW$118), 0), IF($B14='Project List References'!$B$7, _xlfn.IFNA(_xlfn.XLOOKUP(K$2-$C14, 'SENS Coal'!$D$7:$AW$7, 'SENS Coal'!$D$134:$AW$134), 0), IF($B14='Project List References'!$B$8, _xlfn.IFNA(_xlfn.XLOOKUP(K$2-$C14,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L14" s="743" t="e">
        <f>IF($B14='Project List References'!$B$3, _xlfn.IFNA(_xlfn.XLOOKUP(L$2-$C14, 'GEN-CCGT'!$D$7:$AW$7, 'GEN-CCGT'!$D$118:$AW$118), 0), IF($B14='Project List References'!$B$4, _xlfn.IFNA(_xlfn.XLOOKUP(L$2-$C14, 'GEN-SOLAR'!$D$7:$AW$7, 'GEN-SOLAR'!$D$116:$AW$116), 0), IF($B14='Project List References'!$B$5, _xlfn.IFNA(_xlfn.XLOOKUP(L$2-$C14, 'GEN-BESS'!$D$7:$AW$7, 'GEN-BESS'!$D$120:$AW$120), 0), IF($B14='Project List References'!$B$6, _xlfn.IFNA(_xlfn.XLOOKUP(L$2-$C14, 'GEN-CARBON'!$D$7:$AW$7, 'GEN-CARBON'!$D$118:$AW$118), 0), IF($B14='Project List References'!$B$7, _xlfn.IFNA(_xlfn.XLOOKUP(L$2-$C14, 'SENS Coal'!$D$7:$AW$7, 'SENS Coal'!$D$134:$AW$134), 0), IF($B14='Project List References'!$B$8, _xlfn.IFNA(_xlfn.XLOOKUP(L$2-$C14,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M14" s="743" t="e">
        <f>IF($B14='Project List References'!$B$3, _xlfn.IFNA(_xlfn.XLOOKUP(M$2-$C14, 'GEN-CCGT'!$D$7:$AW$7, 'GEN-CCGT'!$D$118:$AW$118), 0), IF($B14='Project List References'!$B$4, _xlfn.IFNA(_xlfn.XLOOKUP(M$2-$C14, 'GEN-SOLAR'!$D$7:$AW$7, 'GEN-SOLAR'!$D$116:$AW$116), 0), IF($B14='Project List References'!$B$5, _xlfn.IFNA(_xlfn.XLOOKUP(M$2-$C14, 'GEN-BESS'!$D$7:$AW$7, 'GEN-BESS'!$D$120:$AW$120), 0), IF($B14='Project List References'!$B$6, _xlfn.IFNA(_xlfn.XLOOKUP(M$2-$C14, 'GEN-CARBON'!$D$7:$AW$7, 'GEN-CARBON'!$D$118:$AW$118), 0), IF($B14='Project List References'!$B$7, _xlfn.IFNA(_xlfn.XLOOKUP(M$2-$C14, 'SENS Coal'!$D$7:$AW$7, 'SENS Coal'!$D$134:$AW$134), 0), IF($B14='Project List References'!$B$8, _xlfn.IFNA(_xlfn.XLOOKUP(M$2-$C14,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N14" s="743" t="e">
        <f>IF($B14='Project List References'!$B$3, _xlfn.IFNA(_xlfn.XLOOKUP(N$2-$C14, 'GEN-CCGT'!$D$7:$AW$7, 'GEN-CCGT'!$D$118:$AW$118), 0), IF($B14='Project List References'!$B$4, _xlfn.IFNA(_xlfn.XLOOKUP(N$2-$C14, 'GEN-SOLAR'!$D$7:$AW$7, 'GEN-SOLAR'!$D$116:$AW$116), 0), IF($B14='Project List References'!$B$5, _xlfn.IFNA(_xlfn.XLOOKUP(N$2-$C14, 'GEN-BESS'!$D$7:$AW$7, 'GEN-BESS'!$D$120:$AW$120), 0), IF($B14='Project List References'!$B$6, _xlfn.IFNA(_xlfn.XLOOKUP(N$2-$C14, 'GEN-CARBON'!$D$7:$AW$7, 'GEN-CARBON'!$D$118:$AW$118), 0), IF($B14='Project List References'!$B$7, _xlfn.IFNA(_xlfn.XLOOKUP(N$2-$C14, 'SENS Coal'!$D$7:$AW$7, 'SENS Coal'!$D$134:$AW$134), 0), IF($B14='Project List References'!$B$8, _xlfn.IFNA(_xlfn.XLOOKUP(N$2-$C14,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O14" s="743" t="e">
        <f>IF($B14='Project List References'!$B$3, _xlfn.IFNA(_xlfn.XLOOKUP(O$2-$C14, 'GEN-CCGT'!$D$7:$AW$7, 'GEN-CCGT'!$D$118:$AW$118), 0), IF($B14='Project List References'!$B$4, _xlfn.IFNA(_xlfn.XLOOKUP(O$2-$C14, 'GEN-SOLAR'!$D$7:$AW$7, 'GEN-SOLAR'!$D$116:$AW$116), 0), IF($B14='Project List References'!$B$5, _xlfn.IFNA(_xlfn.XLOOKUP(O$2-$C14, 'GEN-BESS'!$D$7:$AW$7, 'GEN-BESS'!$D$120:$AW$120), 0), IF($B14='Project List References'!$B$6, _xlfn.IFNA(_xlfn.XLOOKUP(O$2-$C14, 'GEN-CARBON'!$D$7:$AW$7, 'GEN-CARBON'!$D$118:$AW$118), 0), IF($B14='Project List References'!$B$7, _xlfn.IFNA(_xlfn.XLOOKUP(O$2-$C14, 'SENS Coal'!$D$7:$AW$7, 'SENS Coal'!$D$134:$AW$134), 0), IF($B14='Project List References'!$B$8, _xlfn.IFNA(_xlfn.XLOOKUP(O$2-$C14,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P14" s="743" t="e">
        <f>IF($B14='Project List References'!$B$3, _xlfn.IFNA(_xlfn.XLOOKUP(P$2-$C14, 'GEN-CCGT'!$D$7:$AW$7, 'GEN-CCGT'!$D$118:$AW$118), 0), IF($B14='Project List References'!$B$4, _xlfn.IFNA(_xlfn.XLOOKUP(P$2-$C14, 'GEN-SOLAR'!$D$7:$AW$7, 'GEN-SOLAR'!$D$116:$AW$116), 0), IF($B14='Project List References'!$B$5, _xlfn.IFNA(_xlfn.XLOOKUP(P$2-$C14, 'GEN-BESS'!$D$7:$AW$7, 'GEN-BESS'!$D$120:$AW$120), 0), IF($B14='Project List References'!$B$6, _xlfn.IFNA(_xlfn.XLOOKUP(P$2-$C14, 'GEN-CARBON'!$D$7:$AW$7, 'GEN-CARBON'!$D$118:$AW$118), 0), IF($B14='Project List References'!$B$7, _xlfn.IFNA(_xlfn.XLOOKUP(P$2-$C14, 'SENS Coal'!$D$7:$AW$7, 'SENS Coal'!$D$134:$AW$134), 0), IF($B14='Project List References'!$B$8, _xlfn.IFNA(_xlfn.XLOOKUP(P$2-$C14,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Q14" s="743" t="e">
        <f>IF($B14='Project List References'!$B$3, _xlfn.IFNA(_xlfn.XLOOKUP(Q$2-$C14, 'GEN-CCGT'!$D$7:$AW$7, 'GEN-CCGT'!$D$118:$AW$118), 0), IF($B14='Project List References'!$B$4, _xlfn.IFNA(_xlfn.XLOOKUP(Q$2-$C14, 'GEN-SOLAR'!$D$7:$AW$7, 'GEN-SOLAR'!$D$116:$AW$116), 0), IF($B14='Project List References'!$B$5, _xlfn.IFNA(_xlfn.XLOOKUP(Q$2-$C14, 'GEN-BESS'!$D$7:$AW$7, 'GEN-BESS'!$D$120:$AW$120), 0), IF($B14='Project List References'!$B$6, _xlfn.IFNA(_xlfn.XLOOKUP(Q$2-$C14, 'GEN-CARBON'!$D$7:$AW$7, 'GEN-CARBON'!$D$118:$AW$118), 0), IF($B14='Project List References'!$B$7, _xlfn.IFNA(_xlfn.XLOOKUP(Q$2-$C14, 'SENS Coal'!$D$7:$AW$7, 'SENS Coal'!$D$134:$AW$134), 0), IF($B14='Project List References'!$B$8, _xlfn.IFNA(_xlfn.XLOOKUP(Q$2-$C14,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R14" s="743" t="e">
        <f>IF($B14='Project List References'!$B$3, _xlfn.IFNA(_xlfn.XLOOKUP(R$2-$C14, 'GEN-CCGT'!$D$7:$AW$7, 'GEN-CCGT'!$D$118:$AW$118), 0), IF($B14='Project List References'!$B$4, _xlfn.IFNA(_xlfn.XLOOKUP(R$2-$C14, 'GEN-SOLAR'!$D$7:$AW$7, 'GEN-SOLAR'!$D$116:$AW$116), 0), IF($B14='Project List References'!$B$5, _xlfn.IFNA(_xlfn.XLOOKUP(R$2-$C14, 'GEN-BESS'!$D$7:$AW$7, 'GEN-BESS'!$D$120:$AW$120), 0), IF($B14='Project List References'!$B$6, _xlfn.IFNA(_xlfn.XLOOKUP(R$2-$C14, 'GEN-CARBON'!$D$7:$AW$7, 'GEN-CARBON'!$D$118:$AW$118), 0), IF($B14='Project List References'!$B$7, _xlfn.IFNA(_xlfn.XLOOKUP(R$2-$C14, 'SENS Coal'!$D$7:$AW$7, 'SENS Coal'!$D$134:$AW$134), 0), IF($B14='Project List References'!$B$8, _xlfn.IFNA(_xlfn.XLOOKUP(R$2-$C14,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S14" s="743" t="e">
        <f>IF($B14='Project List References'!$B$3, _xlfn.IFNA(_xlfn.XLOOKUP(S$2-$C14, 'GEN-CCGT'!$D$7:$AW$7, 'GEN-CCGT'!$D$118:$AW$118), 0), IF($B14='Project List References'!$B$4, _xlfn.IFNA(_xlfn.XLOOKUP(S$2-$C14, 'GEN-SOLAR'!$D$7:$AW$7, 'GEN-SOLAR'!$D$116:$AW$116), 0), IF($B14='Project List References'!$B$5, _xlfn.IFNA(_xlfn.XLOOKUP(S$2-$C14, 'GEN-BESS'!$D$7:$AW$7, 'GEN-BESS'!$D$120:$AW$120), 0), IF($B14='Project List References'!$B$6, _xlfn.IFNA(_xlfn.XLOOKUP(S$2-$C14, 'GEN-CARBON'!$D$7:$AW$7, 'GEN-CARBON'!$D$118:$AW$118), 0), IF($B14='Project List References'!$B$7, _xlfn.IFNA(_xlfn.XLOOKUP(S$2-$C14, 'SENS Coal'!$D$7:$AW$7, 'SENS Coal'!$D$134:$AW$134), 0), IF($B14='Project List References'!$B$8, _xlfn.IFNA(_xlfn.XLOOKUP(S$2-$C14,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T14" s="743" t="e">
        <f>IF($B14='Project List References'!$B$3, _xlfn.IFNA(_xlfn.XLOOKUP(T$2-$C14, 'GEN-CCGT'!$D$7:$AW$7, 'GEN-CCGT'!$D$118:$AW$118), 0), IF($B14='Project List References'!$B$4, _xlfn.IFNA(_xlfn.XLOOKUP(T$2-$C14, 'GEN-SOLAR'!$D$7:$AW$7, 'GEN-SOLAR'!$D$116:$AW$116), 0), IF($B14='Project List References'!$B$5, _xlfn.IFNA(_xlfn.XLOOKUP(T$2-$C14, 'GEN-BESS'!$D$7:$AW$7, 'GEN-BESS'!$D$120:$AW$120), 0), IF($B14='Project List References'!$B$6, _xlfn.IFNA(_xlfn.XLOOKUP(T$2-$C14, 'GEN-CARBON'!$D$7:$AW$7, 'GEN-CARBON'!$D$118:$AW$118), 0), IF($B14='Project List References'!$B$7, _xlfn.IFNA(_xlfn.XLOOKUP(T$2-$C14, 'SENS Coal'!$D$7:$AW$7, 'SENS Coal'!$D$134:$AW$134), 0), IF($B14='Project List References'!$B$8, _xlfn.IFNA(_xlfn.XLOOKUP(T$2-$C14, 'SENS Tires'!$D$7:$AW$7, 'SENS Tires'!$D$132:$AW$132),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</row>
    <row r="15" spans="1:111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_xlfn.XLOOKUP(A15, 'Project Master Sheet'!A:A, 'Project Master Sheet'!I:I)</f>
        <v>#N/A</v>
      </c>
      <c r="E15" s="743" t="e">
        <f>IF($B15='Project List References'!$B$3, _xlfn.IFNA(_xlfn.XLOOKUP(E$2-$C15, 'GEN-CCGT'!$D$7:$AW$7, 'GEN-CCGT'!$D$118:$AW$118), 0), IF($B15='Project List References'!$B$4, _xlfn.IFNA(_xlfn.XLOOKUP(E$2-$C15, 'GEN-SOLAR'!$D$7:$AW$7, 'GEN-SOLAR'!$D$116:$AW$116), 0), IF($B15='Project List References'!$B$5, _xlfn.IFNA(_xlfn.XLOOKUP(E$2-$C15, 'GEN-BESS'!$D$7:$AW$7, 'GEN-BESS'!$D$120:$AW$120), 0), IF($B15='Project List References'!$B$6, _xlfn.IFNA(_xlfn.XLOOKUP(E$2-$C15, 'GEN-CARBON'!$D$7:$AW$7, 'GEN-CARBON'!$D$118:$AW$118), 0), IF($B15='Project List References'!$B$7, _xlfn.IFNA(_xlfn.XLOOKUP(E$2-$C15, 'SENS Coal'!$D$7:$AW$7, 'SENS Coal'!$D$134:$AW$134), 0), IF($B15='Project List References'!$B$8, _xlfn.IFNA(_xlfn.XLOOKUP(E$2-$C15,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F15" s="743" t="e">
        <f>IF($B15='Project List References'!$B$3, _xlfn.IFNA(_xlfn.XLOOKUP(F$2-$C15, 'GEN-CCGT'!$D$7:$AW$7, 'GEN-CCGT'!$D$118:$AW$118), 0), IF($B15='Project List References'!$B$4, _xlfn.IFNA(_xlfn.XLOOKUP(F$2-$C15, 'GEN-SOLAR'!$D$7:$AW$7, 'GEN-SOLAR'!$D$116:$AW$116), 0), IF($B15='Project List References'!$B$5, _xlfn.IFNA(_xlfn.XLOOKUP(F$2-$C15, 'GEN-BESS'!$D$7:$AW$7, 'GEN-BESS'!$D$120:$AW$120), 0), IF($B15='Project List References'!$B$6, _xlfn.IFNA(_xlfn.XLOOKUP(F$2-$C15, 'GEN-CARBON'!$D$7:$AW$7, 'GEN-CARBON'!$D$118:$AW$118), 0), IF($B15='Project List References'!$B$7, _xlfn.IFNA(_xlfn.XLOOKUP(F$2-$C15, 'SENS Coal'!$D$7:$AW$7, 'SENS Coal'!$D$134:$AW$134), 0), IF($B15='Project List References'!$B$8, _xlfn.IFNA(_xlfn.XLOOKUP(F$2-$C15,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G15" s="743" t="e">
        <f>IF($B15='Project List References'!$B$3, _xlfn.IFNA(_xlfn.XLOOKUP(G$2-$C15, 'GEN-CCGT'!$D$7:$AW$7, 'GEN-CCGT'!$D$118:$AW$118), 0), IF($B15='Project List References'!$B$4, _xlfn.IFNA(_xlfn.XLOOKUP(G$2-$C15, 'GEN-SOLAR'!$D$7:$AW$7, 'GEN-SOLAR'!$D$116:$AW$116), 0), IF($B15='Project List References'!$B$5, _xlfn.IFNA(_xlfn.XLOOKUP(G$2-$C15, 'GEN-BESS'!$D$7:$AW$7, 'GEN-BESS'!$D$120:$AW$120), 0), IF($B15='Project List References'!$B$6, _xlfn.IFNA(_xlfn.XLOOKUP(G$2-$C15, 'GEN-CARBON'!$D$7:$AW$7, 'GEN-CARBON'!$D$118:$AW$118), 0), IF($B15='Project List References'!$B$7, _xlfn.IFNA(_xlfn.XLOOKUP(G$2-$C15, 'SENS Coal'!$D$7:$AW$7, 'SENS Coal'!$D$134:$AW$134), 0), IF($B15='Project List References'!$B$8, _xlfn.IFNA(_xlfn.XLOOKUP(G$2-$C15,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H15" s="743" t="e">
        <f>IF($B15='Project List References'!$B$3, _xlfn.IFNA(_xlfn.XLOOKUP(H$2-$C15, 'GEN-CCGT'!$D$7:$AW$7, 'GEN-CCGT'!$D$118:$AW$118), 0), IF($B15='Project List References'!$B$4, _xlfn.IFNA(_xlfn.XLOOKUP(H$2-$C15, 'GEN-SOLAR'!$D$7:$AW$7, 'GEN-SOLAR'!$D$116:$AW$116), 0), IF($B15='Project List References'!$B$5, _xlfn.IFNA(_xlfn.XLOOKUP(H$2-$C15, 'GEN-BESS'!$D$7:$AW$7, 'GEN-BESS'!$D$120:$AW$120), 0), IF($B15='Project List References'!$B$6, _xlfn.IFNA(_xlfn.XLOOKUP(H$2-$C15, 'GEN-CARBON'!$D$7:$AW$7, 'GEN-CARBON'!$D$118:$AW$118), 0), IF($B15='Project List References'!$B$7, _xlfn.IFNA(_xlfn.XLOOKUP(H$2-$C15, 'SENS Coal'!$D$7:$AW$7, 'SENS Coal'!$D$134:$AW$134), 0), IF($B15='Project List References'!$B$8, _xlfn.IFNA(_xlfn.XLOOKUP(H$2-$C15,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I15" s="743" t="e">
        <f>IF($B15='Project List References'!$B$3, _xlfn.IFNA(_xlfn.XLOOKUP(I$2-$C15, 'GEN-CCGT'!$D$7:$AW$7, 'GEN-CCGT'!$D$118:$AW$118), 0), IF($B15='Project List References'!$B$4, _xlfn.IFNA(_xlfn.XLOOKUP(I$2-$C15, 'GEN-SOLAR'!$D$7:$AW$7, 'GEN-SOLAR'!$D$116:$AW$116), 0), IF($B15='Project List References'!$B$5, _xlfn.IFNA(_xlfn.XLOOKUP(I$2-$C15, 'GEN-BESS'!$D$7:$AW$7, 'GEN-BESS'!$D$120:$AW$120), 0), IF($B15='Project List References'!$B$6, _xlfn.IFNA(_xlfn.XLOOKUP(I$2-$C15, 'GEN-CARBON'!$D$7:$AW$7, 'GEN-CARBON'!$D$118:$AW$118), 0), IF($B15='Project List References'!$B$7, _xlfn.IFNA(_xlfn.XLOOKUP(I$2-$C15, 'SENS Coal'!$D$7:$AW$7, 'SENS Coal'!$D$134:$AW$134), 0), IF($B15='Project List References'!$B$8, _xlfn.IFNA(_xlfn.XLOOKUP(I$2-$C15,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J15" s="743" t="e">
        <f>IF($B15='Project List References'!$B$3, _xlfn.IFNA(_xlfn.XLOOKUP(J$2-$C15, 'GEN-CCGT'!$D$7:$AW$7, 'GEN-CCGT'!$D$118:$AW$118), 0), IF($B15='Project List References'!$B$4, _xlfn.IFNA(_xlfn.XLOOKUP(J$2-$C15, 'GEN-SOLAR'!$D$7:$AW$7, 'GEN-SOLAR'!$D$116:$AW$116), 0), IF($B15='Project List References'!$B$5, _xlfn.IFNA(_xlfn.XLOOKUP(J$2-$C15, 'GEN-BESS'!$D$7:$AW$7, 'GEN-BESS'!$D$120:$AW$120), 0), IF($B15='Project List References'!$B$6, _xlfn.IFNA(_xlfn.XLOOKUP(J$2-$C15, 'GEN-CARBON'!$D$7:$AW$7, 'GEN-CARBON'!$D$118:$AW$118), 0), IF($B15='Project List References'!$B$7, _xlfn.IFNA(_xlfn.XLOOKUP(J$2-$C15, 'SENS Coal'!$D$7:$AW$7, 'SENS Coal'!$D$134:$AW$134), 0), IF($B15='Project List References'!$B$8, _xlfn.IFNA(_xlfn.XLOOKUP(J$2-$C15,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K15" s="743" t="e">
        <f>IF($B15='Project List References'!$B$3, _xlfn.IFNA(_xlfn.XLOOKUP(K$2-$C15, 'GEN-CCGT'!$D$7:$AW$7, 'GEN-CCGT'!$D$118:$AW$118), 0), IF($B15='Project List References'!$B$4, _xlfn.IFNA(_xlfn.XLOOKUP(K$2-$C15, 'GEN-SOLAR'!$D$7:$AW$7, 'GEN-SOLAR'!$D$116:$AW$116), 0), IF($B15='Project List References'!$B$5, _xlfn.IFNA(_xlfn.XLOOKUP(K$2-$C15, 'GEN-BESS'!$D$7:$AW$7, 'GEN-BESS'!$D$120:$AW$120), 0), IF($B15='Project List References'!$B$6, _xlfn.IFNA(_xlfn.XLOOKUP(K$2-$C15, 'GEN-CARBON'!$D$7:$AW$7, 'GEN-CARBON'!$D$118:$AW$118), 0), IF($B15='Project List References'!$B$7, _xlfn.IFNA(_xlfn.XLOOKUP(K$2-$C15, 'SENS Coal'!$D$7:$AW$7, 'SENS Coal'!$D$134:$AW$134), 0), IF($B15='Project List References'!$B$8, _xlfn.IFNA(_xlfn.XLOOKUP(K$2-$C15,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L15" s="743" t="e">
        <f>IF($B15='Project List References'!$B$3, _xlfn.IFNA(_xlfn.XLOOKUP(L$2-$C15, 'GEN-CCGT'!$D$7:$AW$7, 'GEN-CCGT'!$D$118:$AW$118), 0), IF($B15='Project List References'!$B$4, _xlfn.IFNA(_xlfn.XLOOKUP(L$2-$C15, 'GEN-SOLAR'!$D$7:$AW$7, 'GEN-SOLAR'!$D$116:$AW$116), 0), IF($B15='Project List References'!$B$5, _xlfn.IFNA(_xlfn.XLOOKUP(L$2-$C15, 'GEN-BESS'!$D$7:$AW$7, 'GEN-BESS'!$D$120:$AW$120), 0), IF($B15='Project List References'!$B$6, _xlfn.IFNA(_xlfn.XLOOKUP(L$2-$C15, 'GEN-CARBON'!$D$7:$AW$7, 'GEN-CARBON'!$D$118:$AW$118), 0), IF($B15='Project List References'!$B$7, _xlfn.IFNA(_xlfn.XLOOKUP(L$2-$C15, 'SENS Coal'!$D$7:$AW$7, 'SENS Coal'!$D$134:$AW$134), 0), IF($B15='Project List References'!$B$8, _xlfn.IFNA(_xlfn.XLOOKUP(L$2-$C15,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M15" s="743" t="e">
        <f>IF($B15='Project List References'!$B$3, _xlfn.IFNA(_xlfn.XLOOKUP(M$2-$C15, 'GEN-CCGT'!$D$7:$AW$7, 'GEN-CCGT'!$D$118:$AW$118), 0), IF($B15='Project List References'!$B$4, _xlfn.IFNA(_xlfn.XLOOKUP(M$2-$C15, 'GEN-SOLAR'!$D$7:$AW$7, 'GEN-SOLAR'!$D$116:$AW$116), 0), IF($B15='Project List References'!$B$5, _xlfn.IFNA(_xlfn.XLOOKUP(M$2-$C15, 'GEN-BESS'!$D$7:$AW$7, 'GEN-BESS'!$D$120:$AW$120), 0), IF($B15='Project List References'!$B$6, _xlfn.IFNA(_xlfn.XLOOKUP(M$2-$C15, 'GEN-CARBON'!$D$7:$AW$7, 'GEN-CARBON'!$D$118:$AW$118), 0), IF($B15='Project List References'!$B$7, _xlfn.IFNA(_xlfn.XLOOKUP(M$2-$C15, 'SENS Coal'!$D$7:$AW$7, 'SENS Coal'!$D$134:$AW$134), 0), IF($B15='Project List References'!$B$8, _xlfn.IFNA(_xlfn.XLOOKUP(M$2-$C15,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N15" s="743" t="e">
        <f>IF($B15='Project List References'!$B$3, _xlfn.IFNA(_xlfn.XLOOKUP(N$2-$C15, 'GEN-CCGT'!$D$7:$AW$7, 'GEN-CCGT'!$D$118:$AW$118), 0), IF($B15='Project List References'!$B$4, _xlfn.IFNA(_xlfn.XLOOKUP(N$2-$C15, 'GEN-SOLAR'!$D$7:$AW$7, 'GEN-SOLAR'!$D$116:$AW$116), 0), IF($B15='Project List References'!$B$5, _xlfn.IFNA(_xlfn.XLOOKUP(N$2-$C15, 'GEN-BESS'!$D$7:$AW$7, 'GEN-BESS'!$D$120:$AW$120), 0), IF($B15='Project List References'!$B$6, _xlfn.IFNA(_xlfn.XLOOKUP(N$2-$C15, 'GEN-CARBON'!$D$7:$AW$7, 'GEN-CARBON'!$D$118:$AW$118), 0), IF($B15='Project List References'!$B$7, _xlfn.IFNA(_xlfn.XLOOKUP(N$2-$C15, 'SENS Coal'!$D$7:$AW$7, 'SENS Coal'!$D$134:$AW$134), 0), IF($B15='Project List References'!$B$8, _xlfn.IFNA(_xlfn.XLOOKUP(N$2-$C15,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O15" s="743" t="e">
        <f>IF($B15='Project List References'!$B$3, _xlfn.IFNA(_xlfn.XLOOKUP(O$2-$C15, 'GEN-CCGT'!$D$7:$AW$7, 'GEN-CCGT'!$D$118:$AW$118), 0), IF($B15='Project List References'!$B$4, _xlfn.IFNA(_xlfn.XLOOKUP(O$2-$C15, 'GEN-SOLAR'!$D$7:$AW$7, 'GEN-SOLAR'!$D$116:$AW$116), 0), IF($B15='Project List References'!$B$5, _xlfn.IFNA(_xlfn.XLOOKUP(O$2-$C15, 'GEN-BESS'!$D$7:$AW$7, 'GEN-BESS'!$D$120:$AW$120), 0), IF($B15='Project List References'!$B$6, _xlfn.IFNA(_xlfn.XLOOKUP(O$2-$C15, 'GEN-CARBON'!$D$7:$AW$7, 'GEN-CARBON'!$D$118:$AW$118), 0), IF($B15='Project List References'!$B$7, _xlfn.IFNA(_xlfn.XLOOKUP(O$2-$C15, 'SENS Coal'!$D$7:$AW$7, 'SENS Coal'!$D$134:$AW$134), 0), IF($B15='Project List References'!$B$8, _xlfn.IFNA(_xlfn.XLOOKUP(O$2-$C15,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P15" s="743" t="e">
        <f>IF($B15='Project List References'!$B$3, _xlfn.IFNA(_xlfn.XLOOKUP(P$2-$C15, 'GEN-CCGT'!$D$7:$AW$7, 'GEN-CCGT'!$D$118:$AW$118), 0), IF($B15='Project List References'!$B$4, _xlfn.IFNA(_xlfn.XLOOKUP(P$2-$C15, 'GEN-SOLAR'!$D$7:$AW$7, 'GEN-SOLAR'!$D$116:$AW$116), 0), IF($B15='Project List References'!$B$5, _xlfn.IFNA(_xlfn.XLOOKUP(P$2-$C15, 'GEN-BESS'!$D$7:$AW$7, 'GEN-BESS'!$D$120:$AW$120), 0), IF($B15='Project List References'!$B$6, _xlfn.IFNA(_xlfn.XLOOKUP(P$2-$C15, 'GEN-CARBON'!$D$7:$AW$7, 'GEN-CARBON'!$D$118:$AW$118), 0), IF($B15='Project List References'!$B$7, _xlfn.IFNA(_xlfn.XLOOKUP(P$2-$C15, 'SENS Coal'!$D$7:$AW$7, 'SENS Coal'!$D$134:$AW$134), 0), IF($B15='Project List References'!$B$8, _xlfn.IFNA(_xlfn.XLOOKUP(P$2-$C15,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Q15" s="743" t="e">
        <f>IF($B15='Project List References'!$B$3, _xlfn.IFNA(_xlfn.XLOOKUP(Q$2-$C15, 'GEN-CCGT'!$D$7:$AW$7, 'GEN-CCGT'!$D$118:$AW$118), 0), IF($B15='Project List References'!$B$4, _xlfn.IFNA(_xlfn.XLOOKUP(Q$2-$C15, 'GEN-SOLAR'!$D$7:$AW$7, 'GEN-SOLAR'!$D$116:$AW$116), 0), IF($B15='Project List References'!$B$5, _xlfn.IFNA(_xlfn.XLOOKUP(Q$2-$C15, 'GEN-BESS'!$D$7:$AW$7, 'GEN-BESS'!$D$120:$AW$120), 0), IF($B15='Project List References'!$B$6, _xlfn.IFNA(_xlfn.XLOOKUP(Q$2-$C15, 'GEN-CARBON'!$D$7:$AW$7, 'GEN-CARBON'!$D$118:$AW$118), 0), IF($B15='Project List References'!$B$7, _xlfn.IFNA(_xlfn.XLOOKUP(Q$2-$C15, 'SENS Coal'!$D$7:$AW$7, 'SENS Coal'!$D$134:$AW$134), 0), IF($B15='Project List References'!$B$8, _xlfn.IFNA(_xlfn.XLOOKUP(Q$2-$C15,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R15" s="743" t="e">
        <f>IF($B15='Project List References'!$B$3, _xlfn.IFNA(_xlfn.XLOOKUP(R$2-$C15, 'GEN-CCGT'!$D$7:$AW$7, 'GEN-CCGT'!$D$118:$AW$118), 0), IF($B15='Project List References'!$B$4, _xlfn.IFNA(_xlfn.XLOOKUP(R$2-$C15, 'GEN-SOLAR'!$D$7:$AW$7, 'GEN-SOLAR'!$D$116:$AW$116), 0), IF($B15='Project List References'!$B$5, _xlfn.IFNA(_xlfn.XLOOKUP(R$2-$C15, 'GEN-BESS'!$D$7:$AW$7, 'GEN-BESS'!$D$120:$AW$120), 0), IF($B15='Project List References'!$B$6, _xlfn.IFNA(_xlfn.XLOOKUP(R$2-$C15, 'GEN-CARBON'!$D$7:$AW$7, 'GEN-CARBON'!$D$118:$AW$118), 0), IF($B15='Project List References'!$B$7, _xlfn.IFNA(_xlfn.XLOOKUP(R$2-$C15, 'SENS Coal'!$D$7:$AW$7, 'SENS Coal'!$D$134:$AW$134), 0), IF($B15='Project List References'!$B$8, _xlfn.IFNA(_xlfn.XLOOKUP(R$2-$C15,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S15" s="743" t="e">
        <f>IF($B15='Project List References'!$B$3, _xlfn.IFNA(_xlfn.XLOOKUP(S$2-$C15, 'GEN-CCGT'!$D$7:$AW$7, 'GEN-CCGT'!$D$118:$AW$118), 0), IF($B15='Project List References'!$B$4, _xlfn.IFNA(_xlfn.XLOOKUP(S$2-$C15, 'GEN-SOLAR'!$D$7:$AW$7, 'GEN-SOLAR'!$D$116:$AW$116), 0), IF($B15='Project List References'!$B$5, _xlfn.IFNA(_xlfn.XLOOKUP(S$2-$C15, 'GEN-BESS'!$D$7:$AW$7, 'GEN-BESS'!$D$120:$AW$120), 0), IF($B15='Project List References'!$B$6, _xlfn.IFNA(_xlfn.XLOOKUP(S$2-$C15, 'GEN-CARBON'!$D$7:$AW$7, 'GEN-CARBON'!$D$118:$AW$118), 0), IF($B15='Project List References'!$B$7, _xlfn.IFNA(_xlfn.XLOOKUP(S$2-$C15, 'SENS Coal'!$D$7:$AW$7, 'SENS Coal'!$D$134:$AW$134), 0), IF($B15='Project List References'!$B$8, _xlfn.IFNA(_xlfn.XLOOKUP(S$2-$C15,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T15" s="743" t="e">
        <f>IF($B15='Project List References'!$B$3, _xlfn.IFNA(_xlfn.XLOOKUP(T$2-$C15, 'GEN-CCGT'!$D$7:$AW$7, 'GEN-CCGT'!$D$118:$AW$118), 0), IF($B15='Project List References'!$B$4, _xlfn.IFNA(_xlfn.XLOOKUP(T$2-$C15, 'GEN-SOLAR'!$D$7:$AW$7, 'GEN-SOLAR'!$D$116:$AW$116), 0), IF($B15='Project List References'!$B$5, _xlfn.IFNA(_xlfn.XLOOKUP(T$2-$C15, 'GEN-BESS'!$D$7:$AW$7, 'GEN-BESS'!$D$120:$AW$120), 0), IF($B15='Project List References'!$B$6, _xlfn.IFNA(_xlfn.XLOOKUP(T$2-$C15, 'GEN-CARBON'!$D$7:$AW$7, 'GEN-CARBON'!$D$118:$AW$118), 0), IF($B15='Project List References'!$B$7, _xlfn.IFNA(_xlfn.XLOOKUP(T$2-$C15, 'SENS Coal'!$D$7:$AW$7, 'SENS Coal'!$D$134:$AW$134), 0), IF($B15='Project List References'!$B$8, _xlfn.IFNA(_xlfn.XLOOKUP(T$2-$C15, 'SENS Tires'!$D$7:$AW$7, 'SENS Tires'!$D$132:$AW$132),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</row>
    <row r="16" spans="1:111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_xlfn.XLOOKUP(A16, 'Project Master Sheet'!A:A, 'Project Master Sheet'!I:I)</f>
        <v>#N/A</v>
      </c>
      <c r="E16" s="743" t="e">
        <f>IF($B16='Project List References'!$B$3, _xlfn.IFNA(_xlfn.XLOOKUP(E$2-$C16, 'GEN-CCGT'!$D$7:$AW$7, 'GEN-CCGT'!$D$118:$AW$118), 0), IF($B16='Project List References'!$B$4, _xlfn.IFNA(_xlfn.XLOOKUP(E$2-$C16, 'GEN-SOLAR'!$D$7:$AW$7, 'GEN-SOLAR'!$D$116:$AW$116), 0), IF($B16='Project List References'!$B$5, _xlfn.IFNA(_xlfn.XLOOKUP(E$2-$C16, 'GEN-BESS'!$D$7:$AW$7, 'GEN-BESS'!$D$120:$AW$120), 0), IF($B16='Project List References'!$B$6, _xlfn.IFNA(_xlfn.XLOOKUP(E$2-$C16, 'GEN-CARBON'!$D$7:$AW$7, 'GEN-CARBON'!$D$118:$AW$118), 0), IF($B16='Project List References'!$B$7, _xlfn.IFNA(_xlfn.XLOOKUP(E$2-$C16, 'SENS Coal'!$D$7:$AW$7, 'SENS Coal'!$D$134:$AW$134), 0), IF($B16='Project List References'!$B$8, _xlfn.IFNA(_xlfn.XLOOKUP(E$2-$C16,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F16" s="743" t="e">
        <f>IF($B16='Project List References'!$B$3, _xlfn.IFNA(_xlfn.XLOOKUP(F$2-$C16, 'GEN-CCGT'!$D$7:$AW$7, 'GEN-CCGT'!$D$118:$AW$118), 0), IF($B16='Project List References'!$B$4, _xlfn.IFNA(_xlfn.XLOOKUP(F$2-$C16, 'GEN-SOLAR'!$D$7:$AW$7, 'GEN-SOLAR'!$D$116:$AW$116), 0), IF($B16='Project List References'!$B$5, _xlfn.IFNA(_xlfn.XLOOKUP(F$2-$C16, 'GEN-BESS'!$D$7:$AW$7, 'GEN-BESS'!$D$120:$AW$120), 0), IF($B16='Project List References'!$B$6, _xlfn.IFNA(_xlfn.XLOOKUP(F$2-$C16, 'GEN-CARBON'!$D$7:$AW$7, 'GEN-CARBON'!$D$118:$AW$118), 0), IF($B16='Project List References'!$B$7, _xlfn.IFNA(_xlfn.XLOOKUP(F$2-$C16, 'SENS Coal'!$D$7:$AW$7, 'SENS Coal'!$D$134:$AW$134), 0), IF($B16='Project List References'!$B$8, _xlfn.IFNA(_xlfn.XLOOKUP(F$2-$C16,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G16" s="743" t="e">
        <f>IF($B16='Project List References'!$B$3, _xlfn.IFNA(_xlfn.XLOOKUP(G$2-$C16, 'GEN-CCGT'!$D$7:$AW$7, 'GEN-CCGT'!$D$118:$AW$118), 0), IF($B16='Project List References'!$B$4, _xlfn.IFNA(_xlfn.XLOOKUP(G$2-$C16, 'GEN-SOLAR'!$D$7:$AW$7, 'GEN-SOLAR'!$D$116:$AW$116), 0), IF($B16='Project List References'!$B$5, _xlfn.IFNA(_xlfn.XLOOKUP(G$2-$C16, 'GEN-BESS'!$D$7:$AW$7, 'GEN-BESS'!$D$120:$AW$120), 0), IF($B16='Project List References'!$B$6, _xlfn.IFNA(_xlfn.XLOOKUP(G$2-$C16, 'GEN-CARBON'!$D$7:$AW$7, 'GEN-CARBON'!$D$118:$AW$118), 0), IF($B16='Project List References'!$B$7, _xlfn.IFNA(_xlfn.XLOOKUP(G$2-$C16, 'SENS Coal'!$D$7:$AW$7, 'SENS Coal'!$D$134:$AW$134), 0), IF($B16='Project List References'!$B$8, _xlfn.IFNA(_xlfn.XLOOKUP(G$2-$C16,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H16" s="743" t="e">
        <f>IF($B16='Project List References'!$B$3, _xlfn.IFNA(_xlfn.XLOOKUP(H$2-$C16, 'GEN-CCGT'!$D$7:$AW$7, 'GEN-CCGT'!$D$118:$AW$118), 0), IF($B16='Project List References'!$B$4, _xlfn.IFNA(_xlfn.XLOOKUP(H$2-$C16, 'GEN-SOLAR'!$D$7:$AW$7, 'GEN-SOLAR'!$D$116:$AW$116), 0), IF($B16='Project List References'!$B$5, _xlfn.IFNA(_xlfn.XLOOKUP(H$2-$C16, 'GEN-BESS'!$D$7:$AW$7, 'GEN-BESS'!$D$120:$AW$120), 0), IF($B16='Project List References'!$B$6, _xlfn.IFNA(_xlfn.XLOOKUP(H$2-$C16, 'GEN-CARBON'!$D$7:$AW$7, 'GEN-CARBON'!$D$118:$AW$118), 0), IF($B16='Project List References'!$B$7, _xlfn.IFNA(_xlfn.XLOOKUP(H$2-$C16, 'SENS Coal'!$D$7:$AW$7, 'SENS Coal'!$D$134:$AW$134), 0), IF($B16='Project List References'!$B$8, _xlfn.IFNA(_xlfn.XLOOKUP(H$2-$C16,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I16" s="743" t="e">
        <f>IF($B16='Project List References'!$B$3, _xlfn.IFNA(_xlfn.XLOOKUP(I$2-$C16, 'GEN-CCGT'!$D$7:$AW$7, 'GEN-CCGT'!$D$118:$AW$118), 0), IF($B16='Project List References'!$B$4, _xlfn.IFNA(_xlfn.XLOOKUP(I$2-$C16, 'GEN-SOLAR'!$D$7:$AW$7, 'GEN-SOLAR'!$D$116:$AW$116), 0), IF($B16='Project List References'!$B$5, _xlfn.IFNA(_xlfn.XLOOKUP(I$2-$C16, 'GEN-BESS'!$D$7:$AW$7, 'GEN-BESS'!$D$120:$AW$120), 0), IF($B16='Project List References'!$B$6, _xlfn.IFNA(_xlfn.XLOOKUP(I$2-$C16, 'GEN-CARBON'!$D$7:$AW$7, 'GEN-CARBON'!$D$118:$AW$118), 0), IF($B16='Project List References'!$B$7, _xlfn.IFNA(_xlfn.XLOOKUP(I$2-$C16, 'SENS Coal'!$D$7:$AW$7, 'SENS Coal'!$D$134:$AW$134), 0), IF($B16='Project List References'!$B$8, _xlfn.IFNA(_xlfn.XLOOKUP(I$2-$C16,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J16" s="743" t="e">
        <f>IF($B16='Project List References'!$B$3, _xlfn.IFNA(_xlfn.XLOOKUP(J$2-$C16, 'GEN-CCGT'!$D$7:$AW$7, 'GEN-CCGT'!$D$118:$AW$118), 0), IF($B16='Project List References'!$B$4, _xlfn.IFNA(_xlfn.XLOOKUP(J$2-$C16, 'GEN-SOLAR'!$D$7:$AW$7, 'GEN-SOLAR'!$D$116:$AW$116), 0), IF($B16='Project List References'!$B$5, _xlfn.IFNA(_xlfn.XLOOKUP(J$2-$C16, 'GEN-BESS'!$D$7:$AW$7, 'GEN-BESS'!$D$120:$AW$120), 0), IF($B16='Project List References'!$B$6, _xlfn.IFNA(_xlfn.XLOOKUP(J$2-$C16, 'GEN-CARBON'!$D$7:$AW$7, 'GEN-CARBON'!$D$118:$AW$118), 0), IF($B16='Project List References'!$B$7, _xlfn.IFNA(_xlfn.XLOOKUP(J$2-$C16, 'SENS Coal'!$D$7:$AW$7, 'SENS Coal'!$D$134:$AW$134), 0), IF($B16='Project List References'!$B$8, _xlfn.IFNA(_xlfn.XLOOKUP(J$2-$C16,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K16" s="743" t="e">
        <f>IF($B16='Project List References'!$B$3, _xlfn.IFNA(_xlfn.XLOOKUP(K$2-$C16, 'GEN-CCGT'!$D$7:$AW$7, 'GEN-CCGT'!$D$118:$AW$118), 0), IF($B16='Project List References'!$B$4, _xlfn.IFNA(_xlfn.XLOOKUP(K$2-$C16, 'GEN-SOLAR'!$D$7:$AW$7, 'GEN-SOLAR'!$D$116:$AW$116), 0), IF($B16='Project List References'!$B$5, _xlfn.IFNA(_xlfn.XLOOKUP(K$2-$C16, 'GEN-BESS'!$D$7:$AW$7, 'GEN-BESS'!$D$120:$AW$120), 0), IF($B16='Project List References'!$B$6, _xlfn.IFNA(_xlfn.XLOOKUP(K$2-$C16, 'GEN-CARBON'!$D$7:$AW$7, 'GEN-CARBON'!$D$118:$AW$118), 0), IF($B16='Project List References'!$B$7, _xlfn.IFNA(_xlfn.XLOOKUP(K$2-$C16, 'SENS Coal'!$D$7:$AW$7, 'SENS Coal'!$D$134:$AW$134), 0), IF($B16='Project List References'!$B$8, _xlfn.IFNA(_xlfn.XLOOKUP(K$2-$C16,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L16" s="743" t="e">
        <f>IF($B16='Project List References'!$B$3, _xlfn.IFNA(_xlfn.XLOOKUP(L$2-$C16, 'GEN-CCGT'!$D$7:$AW$7, 'GEN-CCGT'!$D$118:$AW$118), 0), IF($B16='Project List References'!$B$4, _xlfn.IFNA(_xlfn.XLOOKUP(L$2-$C16, 'GEN-SOLAR'!$D$7:$AW$7, 'GEN-SOLAR'!$D$116:$AW$116), 0), IF($B16='Project List References'!$B$5, _xlfn.IFNA(_xlfn.XLOOKUP(L$2-$C16, 'GEN-BESS'!$D$7:$AW$7, 'GEN-BESS'!$D$120:$AW$120), 0), IF($B16='Project List References'!$B$6, _xlfn.IFNA(_xlfn.XLOOKUP(L$2-$C16, 'GEN-CARBON'!$D$7:$AW$7, 'GEN-CARBON'!$D$118:$AW$118), 0), IF($B16='Project List References'!$B$7, _xlfn.IFNA(_xlfn.XLOOKUP(L$2-$C16, 'SENS Coal'!$D$7:$AW$7, 'SENS Coal'!$D$134:$AW$134), 0), IF($B16='Project List References'!$B$8, _xlfn.IFNA(_xlfn.XLOOKUP(L$2-$C16,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M16" s="743" t="e">
        <f>IF($B16='Project List References'!$B$3, _xlfn.IFNA(_xlfn.XLOOKUP(M$2-$C16, 'GEN-CCGT'!$D$7:$AW$7, 'GEN-CCGT'!$D$118:$AW$118), 0), IF($B16='Project List References'!$B$4, _xlfn.IFNA(_xlfn.XLOOKUP(M$2-$C16, 'GEN-SOLAR'!$D$7:$AW$7, 'GEN-SOLAR'!$D$116:$AW$116), 0), IF($B16='Project List References'!$B$5, _xlfn.IFNA(_xlfn.XLOOKUP(M$2-$C16, 'GEN-BESS'!$D$7:$AW$7, 'GEN-BESS'!$D$120:$AW$120), 0), IF($B16='Project List References'!$B$6, _xlfn.IFNA(_xlfn.XLOOKUP(M$2-$C16, 'GEN-CARBON'!$D$7:$AW$7, 'GEN-CARBON'!$D$118:$AW$118), 0), IF($B16='Project List References'!$B$7, _xlfn.IFNA(_xlfn.XLOOKUP(M$2-$C16, 'SENS Coal'!$D$7:$AW$7, 'SENS Coal'!$D$134:$AW$134), 0), IF($B16='Project List References'!$B$8, _xlfn.IFNA(_xlfn.XLOOKUP(M$2-$C16,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N16" s="743" t="e">
        <f>IF($B16='Project List References'!$B$3, _xlfn.IFNA(_xlfn.XLOOKUP(N$2-$C16, 'GEN-CCGT'!$D$7:$AW$7, 'GEN-CCGT'!$D$118:$AW$118), 0), IF($B16='Project List References'!$B$4, _xlfn.IFNA(_xlfn.XLOOKUP(N$2-$C16, 'GEN-SOLAR'!$D$7:$AW$7, 'GEN-SOLAR'!$D$116:$AW$116), 0), IF($B16='Project List References'!$B$5, _xlfn.IFNA(_xlfn.XLOOKUP(N$2-$C16, 'GEN-BESS'!$D$7:$AW$7, 'GEN-BESS'!$D$120:$AW$120), 0), IF($B16='Project List References'!$B$6, _xlfn.IFNA(_xlfn.XLOOKUP(N$2-$C16, 'GEN-CARBON'!$D$7:$AW$7, 'GEN-CARBON'!$D$118:$AW$118), 0), IF($B16='Project List References'!$B$7, _xlfn.IFNA(_xlfn.XLOOKUP(N$2-$C16, 'SENS Coal'!$D$7:$AW$7, 'SENS Coal'!$D$134:$AW$134), 0), IF($B16='Project List References'!$B$8, _xlfn.IFNA(_xlfn.XLOOKUP(N$2-$C16,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O16" s="743" t="e">
        <f>IF($B16='Project List References'!$B$3, _xlfn.IFNA(_xlfn.XLOOKUP(O$2-$C16, 'GEN-CCGT'!$D$7:$AW$7, 'GEN-CCGT'!$D$118:$AW$118), 0), IF($B16='Project List References'!$B$4, _xlfn.IFNA(_xlfn.XLOOKUP(O$2-$C16, 'GEN-SOLAR'!$D$7:$AW$7, 'GEN-SOLAR'!$D$116:$AW$116), 0), IF($B16='Project List References'!$B$5, _xlfn.IFNA(_xlfn.XLOOKUP(O$2-$C16, 'GEN-BESS'!$D$7:$AW$7, 'GEN-BESS'!$D$120:$AW$120), 0), IF($B16='Project List References'!$B$6, _xlfn.IFNA(_xlfn.XLOOKUP(O$2-$C16, 'GEN-CARBON'!$D$7:$AW$7, 'GEN-CARBON'!$D$118:$AW$118), 0), IF($B16='Project List References'!$B$7, _xlfn.IFNA(_xlfn.XLOOKUP(O$2-$C16, 'SENS Coal'!$D$7:$AW$7, 'SENS Coal'!$D$134:$AW$134), 0), IF($B16='Project List References'!$B$8, _xlfn.IFNA(_xlfn.XLOOKUP(O$2-$C16,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P16" s="743" t="e">
        <f>IF($B16='Project List References'!$B$3, _xlfn.IFNA(_xlfn.XLOOKUP(P$2-$C16, 'GEN-CCGT'!$D$7:$AW$7, 'GEN-CCGT'!$D$118:$AW$118), 0), IF($B16='Project List References'!$B$4, _xlfn.IFNA(_xlfn.XLOOKUP(P$2-$C16, 'GEN-SOLAR'!$D$7:$AW$7, 'GEN-SOLAR'!$D$116:$AW$116), 0), IF($B16='Project List References'!$B$5, _xlfn.IFNA(_xlfn.XLOOKUP(P$2-$C16, 'GEN-BESS'!$D$7:$AW$7, 'GEN-BESS'!$D$120:$AW$120), 0), IF($B16='Project List References'!$B$6, _xlfn.IFNA(_xlfn.XLOOKUP(P$2-$C16, 'GEN-CARBON'!$D$7:$AW$7, 'GEN-CARBON'!$D$118:$AW$118), 0), IF($B16='Project List References'!$B$7, _xlfn.IFNA(_xlfn.XLOOKUP(P$2-$C16, 'SENS Coal'!$D$7:$AW$7, 'SENS Coal'!$D$134:$AW$134), 0), IF($B16='Project List References'!$B$8, _xlfn.IFNA(_xlfn.XLOOKUP(P$2-$C16,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Q16" s="743" t="e">
        <f>IF($B16='Project List References'!$B$3, _xlfn.IFNA(_xlfn.XLOOKUP(Q$2-$C16, 'GEN-CCGT'!$D$7:$AW$7, 'GEN-CCGT'!$D$118:$AW$118), 0), IF($B16='Project List References'!$B$4, _xlfn.IFNA(_xlfn.XLOOKUP(Q$2-$C16, 'GEN-SOLAR'!$D$7:$AW$7, 'GEN-SOLAR'!$D$116:$AW$116), 0), IF($B16='Project List References'!$B$5, _xlfn.IFNA(_xlfn.XLOOKUP(Q$2-$C16, 'GEN-BESS'!$D$7:$AW$7, 'GEN-BESS'!$D$120:$AW$120), 0), IF($B16='Project List References'!$B$6, _xlfn.IFNA(_xlfn.XLOOKUP(Q$2-$C16, 'GEN-CARBON'!$D$7:$AW$7, 'GEN-CARBON'!$D$118:$AW$118), 0), IF($B16='Project List References'!$B$7, _xlfn.IFNA(_xlfn.XLOOKUP(Q$2-$C16, 'SENS Coal'!$D$7:$AW$7, 'SENS Coal'!$D$134:$AW$134), 0), IF($B16='Project List References'!$B$8, _xlfn.IFNA(_xlfn.XLOOKUP(Q$2-$C16,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R16" s="743" t="e">
        <f>IF($B16='Project List References'!$B$3, _xlfn.IFNA(_xlfn.XLOOKUP(R$2-$C16, 'GEN-CCGT'!$D$7:$AW$7, 'GEN-CCGT'!$D$118:$AW$118), 0), IF($B16='Project List References'!$B$4, _xlfn.IFNA(_xlfn.XLOOKUP(R$2-$C16, 'GEN-SOLAR'!$D$7:$AW$7, 'GEN-SOLAR'!$D$116:$AW$116), 0), IF($B16='Project List References'!$B$5, _xlfn.IFNA(_xlfn.XLOOKUP(R$2-$C16, 'GEN-BESS'!$D$7:$AW$7, 'GEN-BESS'!$D$120:$AW$120), 0), IF($B16='Project List References'!$B$6, _xlfn.IFNA(_xlfn.XLOOKUP(R$2-$C16, 'GEN-CARBON'!$D$7:$AW$7, 'GEN-CARBON'!$D$118:$AW$118), 0), IF($B16='Project List References'!$B$7, _xlfn.IFNA(_xlfn.XLOOKUP(R$2-$C16, 'SENS Coal'!$D$7:$AW$7, 'SENS Coal'!$D$134:$AW$134), 0), IF($B16='Project List References'!$B$8, _xlfn.IFNA(_xlfn.XLOOKUP(R$2-$C16,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S16" s="743" t="e">
        <f>IF($B16='Project List References'!$B$3, _xlfn.IFNA(_xlfn.XLOOKUP(S$2-$C16, 'GEN-CCGT'!$D$7:$AW$7, 'GEN-CCGT'!$D$118:$AW$118), 0), IF($B16='Project List References'!$B$4, _xlfn.IFNA(_xlfn.XLOOKUP(S$2-$C16, 'GEN-SOLAR'!$D$7:$AW$7, 'GEN-SOLAR'!$D$116:$AW$116), 0), IF($B16='Project List References'!$B$5, _xlfn.IFNA(_xlfn.XLOOKUP(S$2-$C16, 'GEN-BESS'!$D$7:$AW$7, 'GEN-BESS'!$D$120:$AW$120), 0), IF($B16='Project List References'!$B$6, _xlfn.IFNA(_xlfn.XLOOKUP(S$2-$C16, 'GEN-CARBON'!$D$7:$AW$7, 'GEN-CARBON'!$D$118:$AW$118), 0), IF($B16='Project List References'!$B$7, _xlfn.IFNA(_xlfn.XLOOKUP(S$2-$C16, 'SENS Coal'!$D$7:$AW$7, 'SENS Coal'!$D$134:$AW$134), 0), IF($B16='Project List References'!$B$8, _xlfn.IFNA(_xlfn.XLOOKUP(S$2-$C16,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T16" s="743" t="e">
        <f>IF($B16='Project List References'!$B$3, _xlfn.IFNA(_xlfn.XLOOKUP(T$2-$C16, 'GEN-CCGT'!$D$7:$AW$7, 'GEN-CCGT'!$D$118:$AW$118), 0), IF($B16='Project List References'!$B$4, _xlfn.IFNA(_xlfn.XLOOKUP(T$2-$C16, 'GEN-SOLAR'!$D$7:$AW$7, 'GEN-SOLAR'!$D$116:$AW$116), 0), IF($B16='Project List References'!$B$5, _xlfn.IFNA(_xlfn.XLOOKUP(T$2-$C16, 'GEN-BESS'!$D$7:$AW$7, 'GEN-BESS'!$D$120:$AW$120), 0), IF($B16='Project List References'!$B$6, _xlfn.IFNA(_xlfn.XLOOKUP(T$2-$C16, 'GEN-CARBON'!$D$7:$AW$7, 'GEN-CARBON'!$D$118:$AW$118), 0), IF($B16='Project List References'!$B$7, _xlfn.IFNA(_xlfn.XLOOKUP(T$2-$C16, 'SENS Coal'!$D$7:$AW$7, 'SENS Coal'!$D$134:$AW$134), 0), IF($B16='Project List References'!$B$8, _xlfn.IFNA(_xlfn.XLOOKUP(T$2-$C16, 'SENS Tires'!$D$7:$AW$7, 'SENS Tires'!$D$132:$AW$132),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_xlfn.XLOOKUP(A17, 'Project Master Sheet'!A:A, 'Project Master Sheet'!I:I)</f>
        <v>#N/A</v>
      </c>
      <c r="E17" s="743" t="e">
        <f>IF($B17='Project List References'!$B$3, _xlfn.IFNA(_xlfn.XLOOKUP(E$2-$C17, 'GEN-CCGT'!$D$7:$AW$7, 'GEN-CCGT'!$D$118:$AW$118), 0), IF($B17='Project List References'!$B$4, _xlfn.IFNA(_xlfn.XLOOKUP(E$2-$C17, 'GEN-SOLAR'!$D$7:$AW$7, 'GEN-SOLAR'!$D$116:$AW$116), 0), IF($B17='Project List References'!$B$5, _xlfn.IFNA(_xlfn.XLOOKUP(E$2-$C17, 'GEN-BESS'!$D$7:$AW$7, 'GEN-BESS'!$D$120:$AW$120), 0), IF($B17='Project List References'!$B$6, _xlfn.IFNA(_xlfn.XLOOKUP(E$2-$C17, 'GEN-CARBON'!$D$7:$AW$7, 'GEN-CARBON'!$D$118:$AW$118), 0), IF($B17='Project List References'!$B$7, _xlfn.IFNA(_xlfn.XLOOKUP(E$2-$C17, 'SENS Coal'!$D$7:$AW$7, 'SENS Coal'!$D$134:$AW$134), 0), IF($B17='Project List References'!$B$8, _xlfn.IFNA(_xlfn.XLOOKUP(E$2-$C17,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F17" s="743" t="e">
        <f>IF($B17='Project List References'!$B$3, _xlfn.IFNA(_xlfn.XLOOKUP(F$2-$C17, 'GEN-CCGT'!$D$7:$AW$7, 'GEN-CCGT'!$D$118:$AW$118), 0), IF($B17='Project List References'!$B$4, _xlfn.IFNA(_xlfn.XLOOKUP(F$2-$C17, 'GEN-SOLAR'!$D$7:$AW$7, 'GEN-SOLAR'!$D$116:$AW$116), 0), IF($B17='Project List References'!$B$5, _xlfn.IFNA(_xlfn.XLOOKUP(F$2-$C17, 'GEN-BESS'!$D$7:$AW$7, 'GEN-BESS'!$D$120:$AW$120), 0), IF($B17='Project List References'!$B$6, _xlfn.IFNA(_xlfn.XLOOKUP(F$2-$C17, 'GEN-CARBON'!$D$7:$AW$7, 'GEN-CARBON'!$D$118:$AW$118), 0), IF($B17='Project List References'!$B$7, _xlfn.IFNA(_xlfn.XLOOKUP(F$2-$C17, 'SENS Coal'!$D$7:$AW$7, 'SENS Coal'!$D$134:$AW$134), 0), IF($B17='Project List References'!$B$8, _xlfn.IFNA(_xlfn.XLOOKUP(F$2-$C17,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G17" s="743" t="e">
        <f>IF($B17='Project List References'!$B$3, _xlfn.IFNA(_xlfn.XLOOKUP(G$2-$C17, 'GEN-CCGT'!$D$7:$AW$7, 'GEN-CCGT'!$D$118:$AW$118), 0), IF($B17='Project List References'!$B$4, _xlfn.IFNA(_xlfn.XLOOKUP(G$2-$C17, 'GEN-SOLAR'!$D$7:$AW$7, 'GEN-SOLAR'!$D$116:$AW$116), 0), IF($B17='Project List References'!$B$5, _xlfn.IFNA(_xlfn.XLOOKUP(G$2-$C17, 'GEN-BESS'!$D$7:$AW$7, 'GEN-BESS'!$D$120:$AW$120), 0), IF($B17='Project List References'!$B$6, _xlfn.IFNA(_xlfn.XLOOKUP(G$2-$C17, 'GEN-CARBON'!$D$7:$AW$7, 'GEN-CARBON'!$D$118:$AW$118), 0), IF($B17='Project List References'!$B$7, _xlfn.IFNA(_xlfn.XLOOKUP(G$2-$C17, 'SENS Coal'!$D$7:$AW$7, 'SENS Coal'!$D$134:$AW$134), 0), IF($B17='Project List References'!$B$8, _xlfn.IFNA(_xlfn.XLOOKUP(G$2-$C17,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H17" s="743" t="e">
        <f>IF($B17='Project List References'!$B$3, _xlfn.IFNA(_xlfn.XLOOKUP(H$2-$C17, 'GEN-CCGT'!$D$7:$AW$7, 'GEN-CCGT'!$D$118:$AW$118), 0), IF($B17='Project List References'!$B$4, _xlfn.IFNA(_xlfn.XLOOKUP(H$2-$C17, 'GEN-SOLAR'!$D$7:$AW$7, 'GEN-SOLAR'!$D$116:$AW$116), 0), IF($B17='Project List References'!$B$5, _xlfn.IFNA(_xlfn.XLOOKUP(H$2-$C17, 'GEN-BESS'!$D$7:$AW$7, 'GEN-BESS'!$D$120:$AW$120), 0), IF($B17='Project List References'!$B$6, _xlfn.IFNA(_xlfn.XLOOKUP(H$2-$C17, 'GEN-CARBON'!$D$7:$AW$7, 'GEN-CARBON'!$D$118:$AW$118), 0), IF($B17='Project List References'!$B$7, _xlfn.IFNA(_xlfn.XLOOKUP(H$2-$C17, 'SENS Coal'!$D$7:$AW$7, 'SENS Coal'!$D$134:$AW$134), 0), IF($B17='Project List References'!$B$8, _xlfn.IFNA(_xlfn.XLOOKUP(H$2-$C17,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I17" s="743" t="e">
        <f>IF($B17='Project List References'!$B$3, _xlfn.IFNA(_xlfn.XLOOKUP(I$2-$C17, 'GEN-CCGT'!$D$7:$AW$7, 'GEN-CCGT'!$D$118:$AW$118), 0), IF($B17='Project List References'!$B$4, _xlfn.IFNA(_xlfn.XLOOKUP(I$2-$C17, 'GEN-SOLAR'!$D$7:$AW$7, 'GEN-SOLAR'!$D$116:$AW$116), 0), IF($B17='Project List References'!$B$5, _xlfn.IFNA(_xlfn.XLOOKUP(I$2-$C17, 'GEN-BESS'!$D$7:$AW$7, 'GEN-BESS'!$D$120:$AW$120), 0), IF($B17='Project List References'!$B$6, _xlfn.IFNA(_xlfn.XLOOKUP(I$2-$C17, 'GEN-CARBON'!$D$7:$AW$7, 'GEN-CARBON'!$D$118:$AW$118), 0), IF($B17='Project List References'!$B$7, _xlfn.IFNA(_xlfn.XLOOKUP(I$2-$C17, 'SENS Coal'!$D$7:$AW$7, 'SENS Coal'!$D$134:$AW$134), 0), IF($B17='Project List References'!$B$8, _xlfn.IFNA(_xlfn.XLOOKUP(I$2-$C17,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J17" s="743" t="e">
        <f>IF($B17='Project List References'!$B$3, _xlfn.IFNA(_xlfn.XLOOKUP(J$2-$C17, 'GEN-CCGT'!$D$7:$AW$7, 'GEN-CCGT'!$D$118:$AW$118), 0), IF($B17='Project List References'!$B$4, _xlfn.IFNA(_xlfn.XLOOKUP(J$2-$C17, 'GEN-SOLAR'!$D$7:$AW$7, 'GEN-SOLAR'!$D$116:$AW$116), 0), IF($B17='Project List References'!$B$5, _xlfn.IFNA(_xlfn.XLOOKUP(J$2-$C17, 'GEN-BESS'!$D$7:$AW$7, 'GEN-BESS'!$D$120:$AW$120), 0), IF($B17='Project List References'!$B$6, _xlfn.IFNA(_xlfn.XLOOKUP(J$2-$C17, 'GEN-CARBON'!$D$7:$AW$7, 'GEN-CARBON'!$D$118:$AW$118), 0), IF($B17='Project List References'!$B$7, _xlfn.IFNA(_xlfn.XLOOKUP(J$2-$C17, 'SENS Coal'!$D$7:$AW$7, 'SENS Coal'!$D$134:$AW$134), 0), IF($B17='Project List References'!$B$8, _xlfn.IFNA(_xlfn.XLOOKUP(J$2-$C17,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K17" s="743" t="e">
        <f>IF($B17='Project List References'!$B$3, _xlfn.IFNA(_xlfn.XLOOKUP(K$2-$C17, 'GEN-CCGT'!$D$7:$AW$7, 'GEN-CCGT'!$D$118:$AW$118), 0), IF($B17='Project List References'!$B$4, _xlfn.IFNA(_xlfn.XLOOKUP(K$2-$C17, 'GEN-SOLAR'!$D$7:$AW$7, 'GEN-SOLAR'!$D$116:$AW$116), 0), IF($B17='Project List References'!$B$5, _xlfn.IFNA(_xlfn.XLOOKUP(K$2-$C17, 'GEN-BESS'!$D$7:$AW$7, 'GEN-BESS'!$D$120:$AW$120), 0), IF($B17='Project List References'!$B$6, _xlfn.IFNA(_xlfn.XLOOKUP(K$2-$C17, 'GEN-CARBON'!$D$7:$AW$7, 'GEN-CARBON'!$D$118:$AW$118), 0), IF($B17='Project List References'!$B$7, _xlfn.IFNA(_xlfn.XLOOKUP(K$2-$C17, 'SENS Coal'!$D$7:$AW$7, 'SENS Coal'!$D$134:$AW$134), 0), IF($B17='Project List References'!$B$8, _xlfn.IFNA(_xlfn.XLOOKUP(K$2-$C17,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L17" s="743" t="e">
        <f>IF($B17='Project List References'!$B$3, _xlfn.IFNA(_xlfn.XLOOKUP(L$2-$C17, 'GEN-CCGT'!$D$7:$AW$7, 'GEN-CCGT'!$D$118:$AW$118), 0), IF($B17='Project List References'!$B$4, _xlfn.IFNA(_xlfn.XLOOKUP(L$2-$C17, 'GEN-SOLAR'!$D$7:$AW$7, 'GEN-SOLAR'!$D$116:$AW$116), 0), IF($B17='Project List References'!$B$5, _xlfn.IFNA(_xlfn.XLOOKUP(L$2-$C17, 'GEN-BESS'!$D$7:$AW$7, 'GEN-BESS'!$D$120:$AW$120), 0), IF($B17='Project List References'!$B$6, _xlfn.IFNA(_xlfn.XLOOKUP(L$2-$C17, 'GEN-CARBON'!$D$7:$AW$7, 'GEN-CARBON'!$D$118:$AW$118), 0), IF($B17='Project List References'!$B$7, _xlfn.IFNA(_xlfn.XLOOKUP(L$2-$C17, 'SENS Coal'!$D$7:$AW$7, 'SENS Coal'!$D$134:$AW$134), 0), IF($B17='Project List References'!$B$8, _xlfn.IFNA(_xlfn.XLOOKUP(L$2-$C17,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M17" s="743" t="e">
        <f>IF($B17='Project List References'!$B$3, _xlfn.IFNA(_xlfn.XLOOKUP(M$2-$C17, 'GEN-CCGT'!$D$7:$AW$7, 'GEN-CCGT'!$D$118:$AW$118), 0), IF($B17='Project List References'!$B$4, _xlfn.IFNA(_xlfn.XLOOKUP(M$2-$C17, 'GEN-SOLAR'!$D$7:$AW$7, 'GEN-SOLAR'!$D$116:$AW$116), 0), IF($B17='Project List References'!$B$5, _xlfn.IFNA(_xlfn.XLOOKUP(M$2-$C17, 'GEN-BESS'!$D$7:$AW$7, 'GEN-BESS'!$D$120:$AW$120), 0), IF($B17='Project List References'!$B$6, _xlfn.IFNA(_xlfn.XLOOKUP(M$2-$C17, 'GEN-CARBON'!$D$7:$AW$7, 'GEN-CARBON'!$D$118:$AW$118), 0), IF($B17='Project List References'!$B$7, _xlfn.IFNA(_xlfn.XLOOKUP(M$2-$C17, 'SENS Coal'!$D$7:$AW$7, 'SENS Coal'!$D$134:$AW$134), 0), IF($B17='Project List References'!$B$8, _xlfn.IFNA(_xlfn.XLOOKUP(M$2-$C17,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N17" s="743" t="e">
        <f>IF($B17='Project List References'!$B$3, _xlfn.IFNA(_xlfn.XLOOKUP(N$2-$C17, 'GEN-CCGT'!$D$7:$AW$7, 'GEN-CCGT'!$D$118:$AW$118), 0), IF($B17='Project List References'!$B$4, _xlfn.IFNA(_xlfn.XLOOKUP(N$2-$C17, 'GEN-SOLAR'!$D$7:$AW$7, 'GEN-SOLAR'!$D$116:$AW$116), 0), IF($B17='Project List References'!$B$5, _xlfn.IFNA(_xlfn.XLOOKUP(N$2-$C17, 'GEN-BESS'!$D$7:$AW$7, 'GEN-BESS'!$D$120:$AW$120), 0), IF($B17='Project List References'!$B$6, _xlfn.IFNA(_xlfn.XLOOKUP(N$2-$C17, 'GEN-CARBON'!$D$7:$AW$7, 'GEN-CARBON'!$D$118:$AW$118), 0), IF($B17='Project List References'!$B$7, _xlfn.IFNA(_xlfn.XLOOKUP(N$2-$C17, 'SENS Coal'!$D$7:$AW$7, 'SENS Coal'!$D$134:$AW$134), 0), IF($B17='Project List References'!$B$8, _xlfn.IFNA(_xlfn.XLOOKUP(N$2-$C17,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O17" s="743" t="e">
        <f>IF($B17='Project List References'!$B$3, _xlfn.IFNA(_xlfn.XLOOKUP(O$2-$C17, 'GEN-CCGT'!$D$7:$AW$7, 'GEN-CCGT'!$D$118:$AW$118), 0), IF($B17='Project List References'!$B$4, _xlfn.IFNA(_xlfn.XLOOKUP(O$2-$C17, 'GEN-SOLAR'!$D$7:$AW$7, 'GEN-SOLAR'!$D$116:$AW$116), 0), IF($B17='Project List References'!$B$5, _xlfn.IFNA(_xlfn.XLOOKUP(O$2-$C17, 'GEN-BESS'!$D$7:$AW$7, 'GEN-BESS'!$D$120:$AW$120), 0), IF($B17='Project List References'!$B$6, _xlfn.IFNA(_xlfn.XLOOKUP(O$2-$C17, 'GEN-CARBON'!$D$7:$AW$7, 'GEN-CARBON'!$D$118:$AW$118), 0), IF($B17='Project List References'!$B$7, _xlfn.IFNA(_xlfn.XLOOKUP(O$2-$C17, 'SENS Coal'!$D$7:$AW$7, 'SENS Coal'!$D$134:$AW$134), 0), IF($B17='Project List References'!$B$8, _xlfn.IFNA(_xlfn.XLOOKUP(O$2-$C17,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P17" s="743" t="e">
        <f>IF($B17='Project List References'!$B$3, _xlfn.IFNA(_xlfn.XLOOKUP(P$2-$C17, 'GEN-CCGT'!$D$7:$AW$7, 'GEN-CCGT'!$D$118:$AW$118), 0), IF($B17='Project List References'!$B$4, _xlfn.IFNA(_xlfn.XLOOKUP(P$2-$C17, 'GEN-SOLAR'!$D$7:$AW$7, 'GEN-SOLAR'!$D$116:$AW$116), 0), IF($B17='Project List References'!$B$5, _xlfn.IFNA(_xlfn.XLOOKUP(P$2-$C17, 'GEN-BESS'!$D$7:$AW$7, 'GEN-BESS'!$D$120:$AW$120), 0), IF($B17='Project List References'!$B$6, _xlfn.IFNA(_xlfn.XLOOKUP(P$2-$C17, 'GEN-CARBON'!$D$7:$AW$7, 'GEN-CARBON'!$D$118:$AW$118), 0), IF($B17='Project List References'!$B$7, _xlfn.IFNA(_xlfn.XLOOKUP(P$2-$C17, 'SENS Coal'!$D$7:$AW$7, 'SENS Coal'!$D$134:$AW$134), 0), IF($B17='Project List References'!$B$8, _xlfn.IFNA(_xlfn.XLOOKUP(P$2-$C17,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Q17" s="743" t="e">
        <f>IF($B17='Project List References'!$B$3, _xlfn.IFNA(_xlfn.XLOOKUP(Q$2-$C17, 'GEN-CCGT'!$D$7:$AW$7, 'GEN-CCGT'!$D$118:$AW$118), 0), IF($B17='Project List References'!$B$4, _xlfn.IFNA(_xlfn.XLOOKUP(Q$2-$C17, 'GEN-SOLAR'!$D$7:$AW$7, 'GEN-SOLAR'!$D$116:$AW$116), 0), IF($B17='Project List References'!$B$5, _xlfn.IFNA(_xlfn.XLOOKUP(Q$2-$C17, 'GEN-BESS'!$D$7:$AW$7, 'GEN-BESS'!$D$120:$AW$120), 0), IF($B17='Project List References'!$B$6, _xlfn.IFNA(_xlfn.XLOOKUP(Q$2-$C17, 'GEN-CARBON'!$D$7:$AW$7, 'GEN-CARBON'!$D$118:$AW$118), 0), IF($B17='Project List References'!$B$7, _xlfn.IFNA(_xlfn.XLOOKUP(Q$2-$C17, 'SENS Coal'!$D$7:$AW$7, 'SENS Coal'!$D$134:$AW$134), 0), IF($B17='Project List References'!$B$8, _xlfn.IFNA(_xlfn.XLOOKUP(Q$2-$C17,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R17" s="743" t="e">
        <f>IF($B17='Project List References'!$B$3, _xlfn.IFNA(_xlfn.XLOOKUP(R$2-$C17, 'GEN-CCGT'!$D$7:$AW$7, 'GEN-CCGT'!$D$118:$AW$118), 0), IF($B17='Project List References'!$B$4, _xlfn.IFNA(_xlfn.XLOOKUP(R$2-$C17, 'GEN-SOLAR'!$D$7:$AW$7, 'GEN-SOLAR'!$D$116:$AW$116), 0), IF($B17='Project List References'!$B$5, _xlfn.IFNA(_xlfn.XLOOKUP(R$2-$C17, 'GEN-BESS'!$D$7:$AW$7, 'GEN-BESS'!$D$120:$AW$120), 0), IF($B17='Project List References'!$B$6, _xlfn.IFNA(_xlfn.XLOOKUP(R$2-$C17, 'GEN-CARBON'!$D$7:$AW$7, 'GEN-CARBON'!$D$118:$AW$118), 0), IF($B17='Project List References'!$B$7, _xlfn.IFNA(_xlfn.XLOOKUP(R$2-$C17, 'SENS Coal'!$D$7:$AW$7, 'SENS Coal'!$D$134:$AW$134), 0), IF($B17='Project List References'!$B$8, _xlfn.IFNA(_xlfn.XLOOKUP(R$2-$C17,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S17" s="743" t="e">
        <f>IF($B17='Project List References'!$B$3, _xlfn.IFNA(_xlfn.XLOOKUP(S$2-$C17, 'GEN-CCGT'!$D$7:$AW$7, 'GEN-CCGT'!$D$118:$AW$118), 0), IF($B17='Project List References'!$B$4, _xlfn.IFNA(_xlfn.XLOOKUP(S$2-$C17, 'GEN-SOLAR'!$D$7:$AW$7, 'GEN-SOLAR'!$D$116:$AW$116), 0), IF($B17='Project List References'!$B$5, _xlfn.IFNA(_xlfn.XLOOKUP(S$2-$C17, 'GEN-BESS'!$D$7:$AW$7, 'GEN-BESS'!$D$120:$AW$120), 0), IF($B17='Project List References'!$B$6, _xlfn.IFNA(_xlfn.XLOOKUP(S$2-$C17, 'GEN-CARBON'!$D$7:$AW$7, 'GEN-CARBON'!$D$118:$AW$118), 0), IF($B17='Project List References'!$B$7, _xlfn.IFNA(_xlfn.XLOOKUP(S$2-$C17, 'SENS Coal'!$D$7:$AW$7, 'SENS Coal'!$D$134:$AW$134), 0), IF($B17='Project List References'!$B$8, _xlfn.IFNA(_xlfn.XLOOKUP(S$2-$C17,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T17" s="743" t="e">
        <f>IF($B17='Project List References'!$B$3, _xlfn.IFNA(_xlfn.XLOOKUP(T$2-$C17, 'GEN-CCGT'!$D$7:$AW$7, 'GEN-CCGT'!$D$118:$AW$118), 0), IF($B17='Project List References'!$B$4, _xlfn.IFNA(_xlfn.XLOOKUP(T$2-$C17, 'GEN-SOLAR'!$D$7:$AW$7, 'GEN-SOLAR'!$D$116:$AW$116), 0), IF($B17='Project List References'!$B$5, _xlfn.IFNA(_xlfn.XLOOKUP(T$2-$C17, 'GEN-BESS'!$D$7:$AW$7, 'GEN-BESS'!$D$120:$AW$120), 0), IF($B17='Project List References'!$B$6, _xlfn.IFNA(_xlfn.XLOOKUP(T$2-$C17, 'GEN-CARBON'!$D$7:$AW$7, 'GEN-CARBON'!$D$118:$AW$118), 0), IF($B17='Project List References'!$B$7, _xlfn.IFNA(_xlfn.XLOOKUP(T$2-$C17, 'SENS Coal'!$D$7:$AW$7, 'SENS Coal'!$D$134:$AW$134), 0), IF($B17='Project List References'!$B$8, _xlfn.IFNA(_xlfn.XLOOKUP(T$2-$C17, 'SENS Tires'!$D$7:$AW$7, 'SENS Tires'!$D$132:$AW$132),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</row>
    <row r="18" spans="1:20">
      <c r="A18" s="655" t="str">
        <f>IF(ISBLANK('Project Master Sheet'!A18)=FALSE, 'Project Master Sheet'!A18, "")</f>
        <v/>
      </c>
      <c r="B18" s="655" t="str">
        <f>_xlfn.IFNA(_xlfn.XLOOKUP(A18, 'Project Master Sheet'!A:A, 'Project Master Sheet'!D:D), "")</f>
        <v/>
      </c>
      <c r="C18" s="655" t="e">
        <f>_xlfn.XLOOKUP(A18, 'Project Master Sheet'!A:A, 'Project Master Sheet'!I:I)</f>
        <v>#N/A</v>
      </c>
      <c r="E18" s="743" t="e">
        <f>IF($B18='Project List References'!$B$3, _xlfn.IFNA(_xlfn.XLOOKUP(E$2-$C18, 'GEN-CCGT'!$D$7:$AW$7, 'GEN-CCGT'!$D$118:$AW$118), 0), IF($B18='Project List References'!$B$4, _xlfn.IFNA(_xlfn.XLOOKUP(E$2-$C18, 'GEN-SOLAR'!$D$7:$AW$7, 'GEN-SOLAR'!$D$116:$AW$116), 0), IF($B18='Project List References'!$B$5, _xlfn.IFNA(_xlfn.XLOOKUP(E$2-$C18, 'GEN-BESS'!$D$7:$AW$7, 'GEN-BESS'!$D$120:$AW$120), 0), IF($B18='Project List References'!$B$6, _xlfn.IFNA(_xlfn.XLOOKUP(E$2-$C18, 'GEN-CARBON'!$D$7:$AW$7, 'GEN-CARBON'!$D$118:$AW$118), 0), IF($B18='Project List References'!$B$7, _xlfn.IFNA(_xlfn.XLOOKUP(E$2-$C18, 'SENS Coal'!$D$7:$AW$7, 'SENS Coal'!$D$134:$AW$134), 0), IF($B18='Project List References'!$B$8, _xlfn.IFNA(_xlfn.XLOOKUP(E$2-$C18,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F18" s="743" t="e">
        <f>IF($B18='Project List References'!$B$3, _xlfn.IFNA(_xlfn.XLOOKUP(F$2-$C18, 'GEN-CCGT'!$D$7:$AW$7, 'GEN-CCGT'!$D$118:$AW$118), 0), IF($B18='Project List References'!$B$4, _xlfn.IFNA(_xlfn.XLOOKUP(F$2-$C18, 'GEN-SOLAR'!$D$7:$AW$7, 'GEN-SOLAR'!$D$116:$AW$116), 0), IF($B18='Project List References'!$B$5, _xlfn.IFNA(_xlfn.XLOOKUP(F$2-$C18, 'GEN-BESS'!$D$7:$AW$7, 'GEN-BESS'!$D$120:$AW$120), 0), IF($B18='Project List References'!$B$6, _xlfn.IFNA(_xlfn.XLOOKUP(F$2-$C18, 'GEN-CARBON'!$D$7:$AW$7, 'GEN-CARBON'!$D$118:$AW$118), 0), IF($B18='Project List References'!$B$7, _xlfn.IFNA(_xlfn.XLOOKUP(F$2-$C18, 'SENS Coal'!$D$7:$AW$7, 'SENS Coal'!$D$134:$AW$134), 0), IF($B18='Project List References'!$B$8, _xlfn.IFNA(_xlfn.XLOOKUP(F$2-$C18,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G18" s="743" t="e">
        <f>IF($B18='Project List References'!$B$3, _xlfn.IFNA(_xlfn.XLOOKUP(G$2-$C18, 'GEN-CCGT'!$D$7:$AW$7, 'GEN-CCGT'!$D$118:$AW$118), 0), IF($B18='Project List References'!$B$4, _xlfn.IFNA(_xlfn.XLOOKUP(G$2-$C18, 'GEN-SOLAR'!$D$7:$AW$7, 'GEN-SOLAR'!$D$116:$AW$116), 0), IF($B18='Project List References'!$B$5, _xlfn.IFNA(_xlfn.XLOOKUP(G$2-$C18, 'GEN-BESS'!$D$7:$AW$7, 'GEN-BESS'!$D$120:$AW$120), 0), IF($B18='Project List References'!$B$6, _xlfn.IFNA(_xlfn.XLOOKUP(G$2-$C18, 'GEN-CARBON'!$D$7:$AW$7, 'GEN-CARBON'!$D$118:$AW$118), 0), IF($B18='Project List References'!$B$7, _xlfn.IFNA(_xlfn.XLOOKUP(G$2-$C18, 'SENS Coal'!$D$7:$AW$7, 'SENS Coal'!$D$134:$AW$134), 0), IF($B18='Project List References'!$B$8, _xlfn.IFNA(_xlfn.XLOOKUP(G$2-$C18,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H18" s="743" t="e">
        <f>IF($B18='Project List References'!$B$3, _xlfn.IFNA(_xlfn.XLOOKUP(H$2-$C18, 'GEN-CCGT'!$D$7:$AW$7, 'GEN-CCGT'!$D$118:$AW$118), 0), IF($B18='Project List References'!$B$4, _xlfn.IFNA(_xlfn.XLOOKUP(H$2-$C18, 'GEN-SOLAR'!$D$7:$AW$7, 'GEN-SOLAR'!$D$116:$AW$116), 0), IF($B18='Project List References'!$B$5, _xlfn.IFNA(_xlfn.XLOOKUP(H$2-$C18, 'GEN-BESS'!$D$7:$AW$7, 'GEN-BESS'!$D$120:$AW$120), 0), IF($B18='Project List References'!$B$6, _xlfn.IFNA(_xlfn.XLOOKUP(H$2-$C18, 'GEN-CARBON'!$D$7:$AW$7, 'GEN-CARBON'!$D$118:$AW$118), 0), IF($B18='Project List References'!$B$7, _xlfn.IFNA(_xlfn.XLOOKUP(H$2-$C18, 'SENS Coal'!$D$7:$AW$7, 'SENS Coal'!$D$134:$AW$134), 0), IF($B18='Project List References'!$B$8, _xlfn.IFNA(_xlfn.XLOOKUP(H$2-$C18,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I18" s="743" t="e">
        <f>IF($B18='Project List References'!$B$3, _xlfn.IFNA(_xlfn.XLOOKUP(I$2-$C18, 'GEN-CCGT'!$D$7:$AW$7, 'GEN-CCGT'!$D$118:$AW$118), 0), IF($B18='Project List References'!$B$4, _xlfn.IFNA(_xlfn.XLOOKUP(I$2-$C18, 'GEN-SOLAR'!$D$7:$AW$7, 'GEN-SOLAR'!$D$116:$AW$116), 0), IF($B18='Project List References'!$B$5, _xlfn.IFNA(_xlfn.XLOOKUP(I$2-$C18, 'GEN-BESS'!$D$7:$AW$7, 'GEN-BESS'!$D$120:$AW$120), 0), IF($B18='Project List References'!$B$6, _xlfn.IFNA(_xlfn.XLOOKUP(I$2-$C18, 'GEN-CARBON'!$D$7:$AW$7, 'GEN-CARBON'!$D$118:$AW$118), 0), IF($B18='Project List References'!$B$7, _xlfn.IFNA(_xlfn.XLOOKUP(I$2-$C18, 'SENS Coal'!$D$7:$AW$7, 'SENS Coal'!$D$134:$AW$134), 0), IF($B18='Project List References'!$B$8, _xlfn.IFNA(_xlfn.XLOOKUP(I$2-$C18,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J18" s="743" t="e">
        <f>IF($B18='Project List References'!$B$3, _xlfn.IFNA(_xlfn.XLOOKUP(J$2-$C18, 'GEN-CCGT'!$D$7:$AW$7, 'GEN-CCGT'!$D$118:$AW$118), 0), IF($B18='Project List References'!$B$4, _xlfn.IFNA(_xlfn.XLOOKUP(J$2-$C18, 'GEN-SOLAR'!$D$7:$AW$7, 'GEN-SOLAR'!$D$116:$AW$116), 0), IF($B18='Project List References'!$B$5, _xlfn.IFNA(_xlfn.XLOOKUP(J$2-$C18, 'GEN-BESS'!$D$7:$AW$7, 'GEN-BESS'!$D$120:$AW$120), 0), IF($B18='Project List References'!$B$6, _xlfn.IFNA(_xlfn.XLOOKUP(J$2-$C18, 'GEN-CARBON'!$D$7:$AW$7, 'GEN-CARBON'!$D$118:$AW$118), 0), IF($B18='Project List References'!$B$7, _xlfn.IFNA(_xlfn.XLOOKUP(J$2-$C18, 'SENS Coal'!$D$7:$AW$7, 'SENS Coal'!$D$134:$AW$134), 0), IF($B18='Project List References'!$B$8, _xlfn.IFNA(_xlfn.XLOOKUP(J$2-$C18,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K18" s="743" t="e">
        <f>IF($B18='Project List References'!$B$3, _xlfn.IFNA(_xlfn.XLOOKUP(K$2-$C18, 'GEN-CCGT'!$D$7:$AW$7, 'GEN-CCGT'!$D$118:$AW$118), 0), IF($B18='Project List References'!$B$4, _xlfn.IFNA(_xlfn.XLOOKUP(K$2-$C18, 'GEN-SOLAR'!$D$7:$AW$7, 'GEN-SOLAR'!$D$116:$AW$116), 0), IF($B18='Project List References'!$B$5, _xlfn.IFNA(_xlfn.XLOOKUP(K$2-$C18, 'GEN-BESS'!$D$7:$AW$7, 'GEN-BESS'!$D$120:$AW$120), 0), IF($B18='Project List References'!$B$6, _xlfn.IFNA(_xlfn.XLOOKUP(K$2-$C18, 'GEN-CARBON'!$D$7:$AW$7, 'GEN-CARBON'!$D$118:$AW$118), 0), IF($B18='Project List References'!$B$7, _xlfn.IFNA(_xlfn.XLOOKUP(K$2-$C18, 'SENS Coal'!$D$7:$AW$7, 'SENS Coal'!$D$134:$AW$134), 0), IF($B18='Project List References'!$B$8, _xlfn.IFNA(_xlfn.XLOOKUP(K$2-$C18,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L18" s="743" t="e">
        <f>IF($B18='Project List References'!$B$3, _xlfn.IFNA(_xlfn.XLOOKUP(L$2-$C18, 'GEN-CCGT'!$D$7:$AW$7, 'GEN-CCGT'!$D$118:$AW$118), 0), IF($B18='Project List References'!$B$4, _xlfn.IFNA(_xlfn.XLOOKUP(L$2-$C18, 'GEN-SOLAR'!$D$7:$AW$7, 'GEN-SOLAR'!$D$116:$AW$116), 0), IF($B18='Project List References'!$B$5, _xlfn.IFNA(_xlfn.XLOOKUP(L$2-$C18, 'GEN-BESS'!$D$7:$AW$7, 'GEN-BESS'!$D$120:$AW$120), 0), IF($B18='Project List References'!$B$6, _xlfn.IFNA(_xlfn.XLOOKUP(L$2-$C18, 'GEN-CARBON'!$D$7:$AW$7, 'GEN-CARBON'!$D$118:$AW$118), 0), IF($B18='Project List References'!$B$7, _xlfn.IFNA(_xlfn.XLOOKUP(L$2-$C18, 'SENS Coal'!$D$7:$AW$7, 'SENS Coal'!$D$134:$AW$134), 0), IF($B18='Project List References'!$B$8, _xlfn.IFNA(_xlfn.XLOOKUP(L$2-$C18,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M18" s="743" t="e">
        <f>IF($B18='Project List References'!$B$3, _xlfn.IFNA(_xlfn.XLOOKUP(M$2-$C18, 'GEN-CCGT'!$D$7:$AW$7, 'GEN-CCGT'!$D$118:$AW$118), 0), IF($B18='Project List References'!$B$4, _xlfn.IFNA(_xlfn.XLOOKUP(M$2-$C18, 'GEN-SOLAR'!$D$7:$AW$7, 'GEN-SOLAR'!$D$116:$AW$116), 0), IF($B18='Project List References'!$B$5, _xlfn.IFNA(_xlfn.XLOOKUP(M$2-$C18, 'GEN-BESS'!$D$7:$AW$7, 'GEN-BESS'!$D$120:$AW$120), 0), IF($B18='Project List References'!$B$6, _xlfn.IFNA(_xlfn.XLOOKUP(M$2-$C18, 'GEN-CARBON'!$D$7:$AW$7, 'GEN-CARBON'!$D$118:$AW$118), 0), IF($B18='Project List References'!$B$7, _xlfn.IFNA(_xlfn.XLOOKUP(M$2-$C18, 'SENS Coal'!$D$7:$AW$7, 'SENS Coal'!$D$134:$AW$134), 0), IF($B18='Project List References'!$B$8, _xlfn.IFNA(_xlfn.XLOOKUP(M$2-$C18,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N18" s="743" t="e">
        <f>IF($B18='Project List References'!$B$3, _xlfn.IFNA(_xlfn.XLOOKUP(N$2-$C18, 'GEN-CCGT'!$D$7:$AW$7, 'GEN-CCGT'!$D$118:$AW$118), 0), IF($B18='Project List References'!$B$4, _xlfn.IFNA(_xlfn.XLOOKUP(N$2-$C18, 'GEN-SOLAR'!$D$7:$AW$7, 'GEN-SOLAR'!$D$116:$AW$116), 0), IF($B18='Project List References'!$B$5, _xlfn.IFNA(_xlfn.XLOOKUP(N$2-$C18, 'GEN-BESS'!$D$7:$AW$7, 'GEN-BESS'!$D$120:$AW$120), 0), IF($B18='Project List References'!$B$6, _xlfn.IFNA(_xlfn.XLOOKUP(N$2-$C18, 'GEN-CARBON'!$D$7:$AW$7, 'GEN-CARBON'!$D$118:$AW$118), 0), IF($B18='Project List References'!$B$7, _xlfn.IFNA(_xlfn.XLOOKUP(N$2-$C18, 'SENS Coal'!$D$7:$AW$7, 'SENS Coal'!$D$134:$AW$134), 0), IF($B18='Project List References'!$B$8, _xlfn.IFNA(_xlfn.XLOOKUP(N$2-$C18,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O18" s="743" t="e">
        <f>IF($B18='Project List References'!$B$3, _xlfn.IFNA(_xlfn.XLOOKUP(O$2-$C18, 'GEN-CCGT'!$D$7:$AW$7, 'GEN-CCGT'!$D$118:$AW$118), 0), IF($B18='Project List References'!$B$4, _xlfn.IFNA(_xlfn.XLOOKUP(O$2-$C18, 'GEN-SOLAR'!$D$7:$AW$7, 'GEN-SOLAR'!$D$116:$AW$116), 0), IF($B18='Project List References'!$B$5, _xlfn.IFNA(_xlfn.XLOOKUP(O$2-$C18, 'GEN-BESS'!$D$7:$AW$7, 'GEN-BESS'!$D$120:$AW$120), 0), IF($B18='Project List References'!$B$6, _xlfn.IFNA(_xlfn.XLOOKUP(O$2-$C18, 'GEN-CARBON'!$D$7:$AW$7, 'GEN-CARBON'!$D$118:$AW$118), 0), IF($B18='Project List References'!$B$7, _xlfn.IFNA(_xlfn.XLOOKUP(O$2-$C18, 'SENS Coal'!$D$7:$AW$7, 'SENS Coal'!$D$134:$AW$134), 0), IF($B18='Project List References'!$B$8, _xlfn.IFNA(_xlfn.XLOOKUP(O$2-$C18,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P18" s="743" t="e">
        <f>IF($B18='Project List References'!$B$3, _xlfn.IFNA(_xlfn.XLOOKUP(P$2-$C18, 'GEN-CCGT'!$D$7:$AW$7, 'GEN-CCGT'!$D$118:$AW$118), 0), IF($B18='Project List References'!$B$4, _xlfn.IFNA(_xlfn.XLOOKUP(P$2-$C18, 'GEN-SOLAR'!$D$7:$AW$7, 'GEN-SOLAR'!$D$116:$AW$116), 0), IF($B18='Project List References'!$B$5, _xlfn.IFNA(_xlfn.XLOOKUP(P$2-$C18, 'GEN-BESS'!$D$7:$AW$7, 'GEN-BESS'!$D$120:$AW$120), 0), IF($B18='Project List References'!$B$6, _xlfn.IFNA(_xlfn.XLOOKUP(P$2-$C18, 'GEN-CARBON'!$D$7:$AW$7, 'GEN-CARBON'!$D$118:$AW$118), 0), IF($B18='Project List References'!$B$7, _xlfn.IFNA(_xlfn.XLOOKUP(P$2-$C18, 'SENS Coal'!$D$7:$AW$7, 'SENS Coal'!$D$134:$AW$134), 0), IF($B18='Project List References'!$B$8, _xlfn.IFNA(_xlfn.XLOOKUP(P$2-$C18,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Q18" s="743" t="e">
        <f>IF($B18='Project List References'!$B$3, _xlfn.IFNA(_xlfn.XLOOKUP(Q$2-$C18, 'GEN-CCGT'!$D$7:$AW$7, 'GEN-CCGT'!$D$118:$AW$118), 0), IF($B18='Project List References'!$B$4, _xlfn.IFNA(_xlfn.XLOOKUP(Q$2-$C18, 'GEN-SOLAR'!$D$7:$AW$7, 'GEN-SOLAR'!$D$116:$AW$116), 0), IF($B18='Project List References'!$B$5, _xlfn.IFNA(_xlfn.XLOOKUP(Q$2-$C18, 'GEN-BESS'!$D$7:$AW$7, 'GEN-BESS'!$D$120:$AW$120), 0), IF($B18='Project List References'!$B$6, _xlfn.IFNA(_xlfn.XLOOKUP(Q$2-$C18, 'GEN-CARBON'!$D$7:$AW$7, 'GEN-CARBON'!$D$118:$AW$118), 0), IF($B18='Project List References'!$B$7, _xlfn.IFNA(_xlfn.XLOOKUP(Q$2-$C18, 'SENS Coal'!$D$7:$AW$7, 'SENS Coal'!$D$134:$AW$134), 0), IF($B18='Project List References'!$B$8, _xlfn.IFNA(_xlfn.XLOOKUP(Q$2-$C18,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R18" s="743" t="e">
        <f>IF($B18='Project List References'!$B$3, _xlfn.IFNA(_xlfn.XLOOKUP(R$2-$C18, 'GEN-CCGT'!$D$7:$AW$7, 'GEN-CCGT'!$D$118:$AW$118), 0), IF($B18='Project List References'!$B$4, _xlfn.IFNA(_xlfn.XLOOKUP(R$2-$C18, 'GEN-SOLAR'!$D$7:$AW$7, 'GEN-SOLAR'!$D$116:$AW$116), 0), IF($B18='Project List References'!$B$5, _xlfn.IFNA(_xlfn.XLOOKUP(R$2-$C18, 'GEN-BESS'!$D$7:$AW$7, 'GEN-BESS'!$D$120:$AW$120), 0), IF($B18='Project List References'!$B$6, _xlfn.IFNA(_xlfn.XLOOKUP(R$2-$C18, 'GEN-CARBON'!$D$7:$AW$7, 'GEN-CARBON'!$D$118:$AW$118), 0), IF($B18='Project List References'!$B$7, _xlfn.IFNA(_xlfn.XLOOKUP(R$2-$C18, 'SENS Coal'!$D$7:$AW$7, 'SENS Coal'!$D$134:$AW$134), 0), IF($B18='Project List References'!$B$8, _xlfn.IFNA(_xlfn.XLOOKUP(R$2-$C18,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S18" s="743" t="e">
        <f>IF($B18='Project List References'!$B$3, _xlfn.IFNA(_xlfn.XLOOKUP(S$2-$C18, 'GEN-CCGT'!$D$7:$AW$7, 'GEN-CCGT'!$D$118:$AW$118), 0), IF($B18='Project List References'!$B$4, _xlfn.IFNA(_xlfn.XLOOKUP(S$2-$C18, 'GEN-SOLAR'!$D$7:$AW$7, 'GEN-SOLAR'!$D$116:$AW$116), 0), IF($B18='Project List References'!$B$5, _xlfn.IFNA(_xlfn.XLOOKUP(S$2-$C18, 'GEN-BESS'!$D$7:$AW$7, 'GEN-BESS'!$D$120:$AW$120), 0), IF($B18='Project List References'!$B$6, _xlfn.IFNA(_xlfn.XLOOKUP(S$2-$C18, 'GEN-CARBON'!$D$7:$AW$7, 'GEN-CARBON'!$D$118:$AW$118), 0), IF($B18='Project List References'!$B$7, _xlfn.IFNA(_xlfn.XLOOKUP(S$2-$C18, 'SENS Coal'!$D$7:$AW$7, 'SENS Coal'!$D$134:$AW$134), 0), IF($B18='Project List References'!$B$8, _xlfn.IFNA(_xlfn.XLOOKUP(S$2-$C18,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T18" s="743" t="e">
        <f>IF($B18='Project List References'!$B$3, _xlfn.IFNA(_xlfn.XLOOKUP(T$2-$C18, 'GEN-CCGT'!$D$7:$AW$7, 'GEN-CCGT'!$D$118:$AW$118), 0), IF($B18='Project List References'!$B$4, _xlfn.IFNA(_xlfn.XLOOKUP(T$2-$C18, 'GEN-SOLAR'!$D$7:$AW$7, 'GEN-SOLAR'!$D$116:$AW$116), 0), IF($B18='Project List References'!$B$5, _xlfn.IFNA(_xlfn.XLOOKUP(T$2-$C18, 'GEN-BESS'!$D$7:$AW$7, 'GEN-BESS'!$D$120:$AW$120), 0), IF($B18='Project List References'!$B$6, _xlfn.IFNA(_xlfn.XLOOKUP(T$2-$C18, 'GEN-CARBON'!$D$7:$AW$7, 'GEN-CARBON'!$D$118:$AW$118), 0), IF($B18='Project List References'!$B$7, _xlfn.IFNA(_xlfn.XLOOKUP(T$2-$C18, 'SENS Coal'!$D$7:$AW$7, 'SENS Coal'!$D$134:$AW$134), 0), IF($B18='Project List References'!$B$8, _xlfn.IFNA(_xlfn.XLOOKUP(T$2-$C18, 'SENS Tires'!$D$7:$AW$7, 'SENS Tires'!$D$132:$AW$132),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</row>
    <row r="19" spans="1:20">
      <c r="A19" s="655" t="str">
        <f>IF(ISBLANK('Project Master Sheet'!A19)=FALSE, 'Project Master Sheet'!A19, "")</f>
        <v/>
      </c>
      <c r="B19" s="655" t="str">
        <f>_xlfn.IFNA(_xlfn.XLOOKUP(A19, 'Project Master Sheet'!A:A, 'Project Master Sheet'!D:D), "")</f>
        <v/>
      </c>
      <c r="C19" s="655" t="e">
        <f>_xlfn.XLOOKUP(A19, 'Project Master Sheet'!A:A, 'Project Master Sheet'!I:I)</f>
        <v>#N/A</v>
      </c>
      <c r="E19" s="743" t="e">
        <f>IF($B19='Project List References'!$B$3, _xlfn.IFNA(_xlfn.XLOOKUP(E$2-$C19, 'GEN-CCGT'!$D$7:$AW$7, 'GEN-CCGT'!$D$118:$AW$118), 0), IF($B19='Project List References'!$B$4, _xlfn.IFNA(_xlfn.XLOOKUP(E$2-$C19, 'GEN-SOLAR'!$D$7:$AW$7, 'GEN-SOLAR'!$D$116:$AW$116), 0), IF($B19='Project List References'!$B$5, _xlfn.IFNA(_xlfn.XLOOKUP(E$2-$C19, 'GEN-BESS'!$D$7:$AW$7, 'GEN-BESS'!$D$120:$AW$120), 0), IF($B19='Project List References'!$B$6, _xlfn.IFNA(_xlfn.XLOOKUP(E$2-$C19, 'GEN-CARBON'!$D$7:$AW$7, 'GEN-CARBON'!$D$118:$AW$118), 0), IF($B19='Project List References'!$B$7, _xlfn.IFNA(_xlfn.XLOOKUP(E$2-$C19, 'SENS Coal'!$D$7:$AW$7, 'SENS Coal'!$D$134:$AW$134), 0), IF($B19='Project List References'!$B$8, _xlfn.IFNA(_xlfn.XLOOKUP(E$2-$C19,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F19" s="743" t="e">
        <f>IF($B19='Project List References'!$B$3, _xlfn.IFNA(_xlfn.XLOOKUP(F$2-$C19, 'GEN-CCGT'!$D$7:$AW$7, 'GEN-CCGT'!$D$118:$AW$118), 0), IF($B19='Project List References'!$B$4, _xlfn.IFNA(_xlfn.XLOOKUP(F$2-$C19, 'GEN-SOLAR'!$D$7:$AW$7, 'GEN-SOLAR'!$D$116:$AW$116), 0), IF($B19='Project List References'!$B$5, _xlfn.IFNA(_xlfn.XLOOKUP(F$2-$C19, 'GEN-BESS'!$D$7:$AW$7, 'GEN-BESS'!$D$120:$AW$120), 0), IF($B19='Project List References'!$B$6, _xlfn.IFNA(_xlfn.XLOOKUP(F$2-$C19, 'GEN-CARBON'!$D$7:$AW$7, 'GEN-CARBON'!$D$118:$AW$118), 0), IF($B19='Project List References'!$B$7, _xlfn.IFNA(_xlfn.XLOOKUP(F$2-$C19, 'SENS Coal'!$D$7:$AW$7, 'SENS Coal'!$D$134:$AW$134), 0), IF($B19='Project List References'!$B$8, _xlfn.IFNA(_xlfn.XLOOKUP(F$2-$C19,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G19" s="743" t="e">
        <f>IF($B19='Project List References'!$B$3, _xlfn.IFNA(_xlfn.XLOOKUP(G$2-$C19, 'GEN-CCGT'!$D$7:$AW$7, 'GEN-CCGT'!$D$118:$AW$118), 0), IF($B19='Project List References'!$B$4, _xlfn.IFNA(_xlfn.XLOOKUP(G$2-$C19, 'GEN-SOLAR'!$D$7:$AW$7, 'GEN-SOLAR'!$D$116:$AW$116), 0), IF($B19='Project List References'!$B$5, _xlfn.IFNA(_xlfn.XLOOKUP(G$2-$C19, 'GEN-BESS'!$D$7:$AW$7, 'GEN-BESS'!$D$120:$AW$120), 0), IF($B19='Project List References'!$B$6, _xlfn.IFNA(_xlfn.XLOOKUP(G$2-$C19, 'GEN-CARBON'!$D$7:$AW$7, 'GEN-CARBON'!$D$118:$AW$118), 0), IF($B19='Project List References'!$B$7, _xlfn.IFNA(_xlfn.XLOOKUP(G$2-$C19, 'SENS Coal'!$D$7:$AW$7, 'SENS Coal'!$D$134:$AW$134), 0), IF($B19='Project List References'!$B$8, _xlfn.IFNA(_xlfn.XLOOKUP(G$2-$C19,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H19" s="743" t="e">
        <f>IF($B19='Project List References'!$B$3, _xlfn.IFNA(_xlfn.XLOOKUP(H$2-$C19, 'GEN-CCGT'!$D$7:$AW$7, 'GEN-CCGT'!$D$118:$AW$118), 0), IF($B19='Project List References'!$B$4, _xlfn.IFNA(_xlfn.XLOOKUP(H$2-$C19, 'GEN-SOLAR'!$D$7:$AW$7, 'GEN-SOLAR'!$D$116:$AW$116), 0), IF($B19='Project List References'!$B$5, _xlfn.IFNA(_xlfn.XLOOKUP(H$2-$C19, 'GEN-BESS'!$D$7:$AW$7, 'GEN-BESS'!$D$120:$AW$120), 0), IF($B19='Project List References'!$B$6, _xlfn.IFNA(_xlfn.XLOOKUP(H$2-$C19, 'GEN-CARBON'!$D$7:$AW$7, 'GEN-CARBON'!$D$118:$AW$118), 0), IF($B19='Project List References'!$B$7, _xlfn.IFNA(_xlfn.XLOOKUP(H$2-$C19, 'SENS Coal'!$D$7:$AW$7, 'SENS Coal'!$D$134:$AW$134), 0), IF($B19='Project List References'!$B$8, _xlfn.IFNA(_xlfn.XLOOKUP(H$2-$C19,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I19" s="743" t="e">
        <f>IF($B19='Project List References'!$B$3, _xlfn.IFNA(_xlfn.XLOOKUP(I$2-$C19, 'GEN-CCGT'!$D$7:$AW$7, 'GEN-CCGT'!$D$118:$AW$118), 0), IF($B19='Project List References'!$B$4, _xlfn.IFNA(_xlfn.XLOOKUP(I$2-$C19, 'GEN-SOLAR'!$D$7:$AW$7, 'GEN-SOLAR'!$D$116:$AW$116), 0), IF($B19='Project List References'!$B$5, _xlfn.IFNA(_xlfn.XLOOKUP(I$2-$C19, 'GEN-BESS'!$D$7:$AW$7, 'GEN-BESS'!$D$120:$AW$120), 0), IF($B19='Project List References'!$B$6, _xlfn.IFNA(_xlfn.XLOOKUP(I$2-$C19, 'GEN-CARBON'!$D$7:$AW$7, 'GEN-CARBON'!$D$118:$AW$118), 0), IF($B19='Project List References'!$B$7, _xlfn.IFNA(_xlfn.XLOOKUP(I$2-$C19, 'SENS Coal'!$D$7:$AW$7, 'SENS Coal'!$D$134:$AW$134), 0), IF($B19='Project List References'!$B$8, _xlfn.IFNA(_xlfn.XLOOKUP(I$2-$C19,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J19" s="743" t="e">
        <f>IF($B19='Project List References'!$B$3, _xlfn.IFNA(_xlfn.XLOOKUP(J$2-$C19, 'GEN-CCGT'!$D$7:$AW$7, 'GEN-CCGT'!$D$118:$AW$118), 0), IF($B19='Project List References'!$B$4, _xlfn.IFNA(_xlfn.XLOOKUP(J$2-$C19, 'GEN-SOLAR'!$D$7:$AW$7, 'GEN-SOLAR'!$D$116:$AW$116), 0), IF($B19='Project List References'!$B$5, _xlfn.IFNA(_xlfn.XLOOKUP(J$2-$C19, 'GEN-BESS'!$D$7:$AW$7, 'GEN-BESS'!$D$120:$AW$120), 0), IF($B19='Project List References'!$B$6, _xlfn.IFNA(_xlfn.XLOOKUP(J$2-$C19, 'GEN-CARBON'!$D$7:$AW$7, 'GEN-CARBON'!$D$118:$AW$118), 0), IF($B19='Project List References'!$B$7, _xlfn.IFNA(_xlfn.XLOOKUP(J$2-$C19, 'SENS Coal'!$D$7:$AW$7, 'SENS Coal'!$D$134:$AW$134), 0), IF($B19='Project List References'!$B$8, _xlfn.IFNA(_xlfn.XLOOKUP(J$2-$C19,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K19" s="743" t="e">
        <f>IF($B19='Project List References'!$B$3, _xlfn.IFNA(_xlfn.XLOOKUP(K$2-$C19, 'GEN-CCGT'!$D$7:$AW$7, 'GEN-CCGT'!$D$118:$AW$118), 0), IF($B19='Project List References'!$B$4, _xlfn.IFNA(_xlfn.XLOOKUP(K$2-$C19, 'GEN-SOLAR'!$D$7:$AW$7, 'GEN-SOLAR'!$D$116:$AW$116), 0), IF($B19='Project List References'!$B$5, _xlfn.IFNA(_xlfn.XLOOKUP(K$2-$C19, 'GEN-BESS'!$D$7:$AW$7, 'GEN-BESS'!$D$120:$AW$120), 0), IF($B19='Project List References'!$B$6, _xlfn.IFNA(_xlfn.XLOOKUP(K$2-$C19, 'GEN-CARBON'!$D$7:$AW$7, 'GEN-CARBON'!$D$118:$AW$118), 0), IF($B19='Project List References'!$B$7, _xlfn.IFNA(_xlfn.XLOOKUP(K$2-$C19, 'SENS Coal'!$D$7:$AW$7, 'SENS Coal'!$D$134:$AW$134), 0), IF($B19='Project List References'!$B$8, _xlfn.IFNA(_xlfn.XLOOKUP(K$2-$C19,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L19" s="743" t="e">
        <f>IF($B19='Project List References'!$B$3, _xlfn.IFNA(_xlfn.XLOOKUP(L$2-$C19, 'GEN-CCGT'!$D$7:$AW$7, 'GEN-CCGT'!$D$118:$AW$118), 0), IF($B19='Project List References'!$B$4, _xlfn.IFNA(_xlfn.XLOOKUP(L$2-$C19, 'GEN-SOLAR'!$D$7:$AW$7, 'GEN-SOLAR'!$D$116:$AW$116), 0), IF($B19='Project List References'!$B$5, _xlfn.IFNA(_xlfn.XLOOKUP(L$2-$C19, 'GEN-BESS'!$D$7:$AW$7, 'GEN-BESS'!$D$120:$AW$120), 0), IF($B19='Project List References'!$B$6, _xlfn.IFNA(_xlfn.XLOOKUP(L$2-$C19, 'GEN-CARBON'!$D$7:$AW$7, 'GEN-CARBON'!$D$118:$AW$118), 0), IF($B19='Project List References'!$B$7, _xlfn.IFNA(_xlfn.XLOOKUP(L$2-$C19, 'SENS Coal'!$D$7:$AW$7, 'SENS Coal'!$D$134:$AW$134), 0), IF($B19='Project List References'!$B$8, _xlfn.IFNA(_xlfn.XLOOKUP(L$2-$C19,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M19" s="743" t="e">
        <f>IF($B19='Project List References'!$B$3, _xlfn.IFNA(_xlfn.XLOOKUP(M$2-$C19, 'GEN-CCGT'!$D$7:$AW$7, 'GEN-CCGT'!$D$118:$AW$118), 0), IF($B19='Project List References'!$B$4, _xlfn.IFNA(_xlfn.XLOOKUP(M$2-$C19, 'GEN-SOLAR'!$D$7:$AW$7, 'GEN-SOLAR'!$D$116:$AW$116), 0), IF($B19='Project List References'!$B$5, _xlfn.IFNA(_xlfn.XLOOKUP(M$2-$C19, 'GEN-BESS'!$D$7:$AW$7, 'GEN-BESS'!$D$120:$AW$120), 0), IF($B19='Project List References'!$B$6, _xlfn.IFNA(_xlfn.XLOOKUP(M$2-$C19, 'GEN-CARBON'!$D$7:$AW$7, 'GEN-CARBON'!$D$118:$AW$118), 0), IF($B19='Project List References'!$B$7, _xlfn.IFNA(_xlfn.XLOOKUP(M$2-$C19, 'SENS Coal'!$D$7:$AW$7, 'SENS Coal'!$D$134:$AW$134), 0), IF($B19='Project List References'!$B$8, _xlfn.IFNA(_xlfn.XLOOKUP(M$2-$C19,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N19" s="743" t="e">
        <f>IF($B19='Project List References'!$B$3, _xlfn.IFNA(_xlfn.XLOOKUP(N$2-$C19, 'GEN-CCGT'!$D$7:$AW$7, 'GEN-CCGT'!$D$118:$AW$118), 0), IF($B19='Project List References'!$B$4, _xlfn.IFNA(_xlfn.XLOOKUP(N$2-$C19, 'GEN-SOLAR'!$D$7:$AW$7, 'GEN-SOLAR'!$D$116:$AW$116), 0), IF($B19='Project List References'!$B$5, _xlfn.IFNA(_xlfn.XLOOKUP(N$2-$C19, 'GEN-BESS'!$D$7:$AW$7, 'GEN-BESS'!$D$120:$AW$120), 0), IF($B19='Project List References'!$B$6, _xlfn.IFNA(_xlfn.XLOOKUP(N$2-$C19, 'GEN-CARBON'!$D$7:$AW$7, 'GEN-CARBON'!$D$118:$AW$118), 0), IF($B19='Project List References'!$B$7, _xlfn.IFNA(_xlfn.XLOOKUP(N$2-$C19, 'SENS Coal'!$D$7:$AW$7, 'SENS Coal'!$D$134:$AW$134), 0), IF($B19='Project List References'!$B$8, _xlfn.IFNA(_xlfn.XLOOKUP(N$2-$C19,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O19" s="743" t="e">
        <f>IF($B19='Project List References'!$B$3, _xlfn.IFNA(_xlfn.XLOOKUP(O$2-$C19, 'GEN-CCGT'!$D$7:$AW$7, 'GEN-CCGT'!$D$118:$AW$118), 0), IF($B19='Project List References'!$B$4, _xlfn.IFNA(_xlfn.XLOOKUP(O$2-$C19, 'GEN-SOLAR'!$D$7:$AW$7, 'GEN-SOLAR'!$D$116:$AW$116), 0), IF($B19='Project List References'!$B$5, _xlfn.IFNA(_xlfn.XLOOKUP(O$2-$C19, 'GEN-BESS'!$D$7:$AW$7, 'GEN-BESS'!$D$120:$AW$120), 0), IF($B19='Project List References'!$B$6, _xlfn.IFNA(_xlfn.XLOOKUP(O$2-$C19, 'GEN-CARBON'!$D$7:$AW$7, 'GEN-CARBON'!$D$118:$AW$118), 0), IF($B19='Project List References'!$B$7, _xlfn.IFNA(_xlfn.XLOOKUP(O$2-$C19, 'SENS Coal'!$D$7:$AW$7, 'SENS Coal'!$D$134:$AW$134), 0), IF($B19='Project List References'!$B$8, _xlfn.IFNA(_xlfn.XLOOKUP(O$2-$C19,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P19" s="743" t="e">
        <f>IF($B19='Project List References'!$B$3, _xlfn.IFNA(_xlfn.XLOOKUP(P$2-$C19, 'GEN-CCGT'!$D$7:$AW$7, 'GEN-CCGT'!$D$118:$AW$118), 0), IF($B19='Project List References'!$B$4, _xlfn.IFNA(_xlfn.XLOOKUP(P$2-$C19, 'GEN-SOLAR'!$D$7:$AW$7, 'GEN-SOLAR'!$D$116:$AW$116), 0), IF($B19='Project List References'!$B$5, _xlfn.IFNA(_xlfn.XLOOKUP(P$2-$C19, 'GEN-BESS'!$D$7:$AW$7, 'GEN-BESS'!$D$120:$AW$120), 0), IF($B19='Project List References'!$B$6, _xlfn.IFNA(_xlfn.XLOOKUP(P$2-$C19, 'GEN-CARBON'!$D$7:$AW$7, 'GEN-CARBON'!$D$118:$AW$118), 0), IF($B19='Project List References'!$B$7, _xlfn.IFNA(_xlfn.XLOOKUP(P$2-$C19, 'SENS Coal'!$D$7:$AW$7, 'SENS Coal'!$D$134:$AW$134), 0), IF($B19='Project List References'!$B$8, _xlfn.IFNA(_xlfn.XLOOKUP(P$2-$C19,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Q19" s="743" t="e">
        <f>IF($B19='Project List References'!$B$3, _xlfn.IFNA(_xlfn.XLOOKUP(Q$2-$C19, 'GEN-CCGT'!$D$7:$AW$7, 'GEN-CCGT'!$D$118:$AW$118), 0), IF($B19='Project List References'!$B$4, _xlfn.IFNA(_xlfn.XLOOKUP(Q$2-$C19, 'GEN-SOLAR'!$D$7:$AW$7, 'GEN-SOLAR'!$D$116:$AW$116), 0), IF($B19='Project List References'!$B$5, _xlfn.IFNA(_xlfn.XLOOKUP(Q$2-$C19, 'GEN-BESS'!$D$7:$AW$7, 'GEN-BESS'!$D$120:$AW$120), 0), IF($B19='Project List References'!$B$6, _xlfn.IFNA(_xlfn.XLOOKUP(Q$2-$C19, 'GEN-CARBON'!$D$7:$AW$7, 'GEN-CARBON'!$D$118:$AW$118), 0), IF($B19='Project List References'!$B$7, _xlfn.IFNA(_xlfn.XLOOKUP(Q$2-$C19, 'SENS Coal'!$D$7:$AW$7, 'SENS Coal'!$D$134:$AW$134), 0), IF($B19='Project List References'!$B$8, _xlfn.IFNA(_xlfn.XLOOKUP(Q$2-$C19,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R19" s="743" t="e">
        <f>IF($B19='Project List References'!$B$3, _xlfn.IFNA(_xlfn.XLOOKUP(R$2-$C19, 'GEN-CCGT'!$D$7:$AW$7, 'GEN-CCGT'!$D$118:$AW$118), 0), IF($B19='Project List References'!$B$4, _xlfn.IFNA(_xlfn.XLOOKUP(R$2-$C19, 'GEN-SOLAR'!$D$7:$AW$7, 'GEN-SOLAR'!$D$116:$AW$116), 0), IF($B19='Project List References'!$B$5, _xlfn.IFNA(_xlfn.XLOOKUP(R$2-$C19, 'GEN-BESS'!$D$7:$AW$7, 'GEN-BESS'!$D$120:$AW$120), 0), IF($B19='Project List References'!$B$6, _xlfn.IFNA(_xlfn.XLOOKUP(R$2-$C19, 'GEN-CARBON'!$D$7:$AW$7, 'GEN-CARBON'!$D$118:$AW$118), 0), IF($B19='Project List References'!$B$7, _xlfn.IFNA(_xlfn.XLOOKUP(R$2-$C19, 'SENS Coal'!$D$7:$AW$7, 'SENS Coal'!$D$134:$AW$134), 0), IF($B19='Project List References'!$B$8, _xlfn.IFNA(_xlfn.XLOOKUP(R$2-$C19,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S19" s="743" t="e">
        <f>IF($B19='Project List References'!$B$3, _xlfn.IFNA(_xlfn.XLOOKUP(S$2-$C19, 'GEN-CCGT'!$D$7:$AW$7, 'GEN-CCGT'!$D$118:$AW$118), 0), IF($B19='Project List References'!$B$4, _xlfn.IFNA(_xlfn.XLOOKUP(S$2-$C19, 'GEN-SOLAR'!$D$7:$AW$7, 'GEN-SOLAR'!$D$116:$AW$116), 0), IF($B19='Project List References'!$B$5, _xlfn.IFNA(_xlfn.XLOOKUP(S$2-$C19, 'GEN-BESS'!$D$7:$AW$7, 'GEN-BESS'!$D$120:$AW$120), 0), IF($B19='Project List References'!$B$6, _xlfn.IFNA(_xlfn.XLOOKUP(S$2-$C19, 'GEN-CARBON'!$D$7:$AW$7, 'GEN-CARBON'!$D$118:$AW$118), 0), IF($B19='Project List References'!$B$7, _xlfn.IFNA(_xlfn.XLOOKUP(S$2-$C19, 'SENS Coal'!$D$7:$AW$7, 'SENS Coal'!$D$134:$AW$134), 0), IF($B19='Project List References'!$B$8, _xlfn.IFNA(_xlfn.XLOOKUP(S$2-$C19,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T19" s="743" t="e">
        <f>IF($B19='Project List References'!$B$3, _xlfn.IFNA(_xlfn.XLOOKUP(T$2-$C19, 'GEN-CCGT'!$D$7:$AW$7, 'GEN-CCGT'!$D$118:$AW$118), 0), IF($B19='Project List References'!$B$4, _xlfn.IFNA(_xlfn.XLOOKUP(T$2-$C19, 'GEN-SOLAR'!$D$7:$AW$7, 'GEN-SOLAR'!$D$116:$AW$116), 0), IF($B19='Project List References'!$B$5, _xlfn.IFNA(_xlfn.XLOOKUP(T$2-$C19, 'GEN-BESS'!$D$7:$AW$7, 'GEN-BESS'!$D$120:$AW$120), 0), IF($B19='Project List References'!$B$6, _xlfn.IFNA(_xlfn.XLOOKUP(T$2-$C19, 'GEN-CARBON'!$D$7:$AW$7, 'GEN-CARBON'!$D$118:$AW$118), 0), IF($B19='Project List References'!$B$7, _xlfn.IFNA(_xlfn.XLOOKUP(T$2-$C19, 'SENS Coal'!$D$7:$AW$7, 'SENS Coal'!$D$134:$AW$134), 0), IF($B19='Project List References'!$B$8, _xlfn.IFNA(_xlfn.XLOOKUP(T$2-$C19, 'SENS Tires'!$D$7:$AW$7, 'SENS Tires'!$D$132:$AW$132),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</row>
    <row r="20" spans="1:20">
      <c r="A20" s="655" t="str">
        <f>IF(ISBLANK('Project Master Sheet'!A20)=FALSE, 'Project Master Sheet'!A20, "")</f>
        <v/>
      </c>
      <c r="B20" s="655" t="str">
        <f>_xlfn.IFNA(_xlfn.XLOOKUP(A20, 'Project Master Sheet'!A:A, 'Project Master Sheet'!D:D), "")</f>
        <v/>
      </c>
      <c r="C20" s="655" t="e">
        <f>_xlfn.XLOOKUP(A20, 'Project Master Sheet'!A:A, 'Project Master Sheet'!I:I)</f>
        <v>#N/A</v>
      </c>
      <c r="E20" s="743" t="e">
        <f>IF($B20='Project List References'!$B$3, _xlfn.IFNA(_xlfn.XLOOKUP(E$2-$C20, 'GEN-CCGT'!$D$7:$AW$7, 'GEN-CCGT'!$D$118:$AW$118), 0), IF($B20='Project List References'!$B$4, _xlfn.IFNA(_xlfn.XLOOKUP(E$2-$C20, 'GEN-SOLAR'!$D$7:$AW$7, 'GEN-SOLAR'!$D$116:$AW$116), 0), IF($B20='Project List References'!$B$5, _xlfn.IFNA(_xlfn.XLOOKUP(E$2-$C20, 'GEN-BESS'!$D$7:$AW$7, 'GEN-BESS'!$D$120:$AW$120), 0), IF($B20='Project List References'!$B$6, _xlfn.IFNA(_xlfn.XLOOKUP(E$2-$C20, 'GEN-CARBON'!$D$7:$AW$7, 'GEN-CARBON'!$D$118:$AW$118), 0), IF($B20='Project List References'!$B$7, _xlfn.IFNA(_xlfn.XLOOKUP(E$2-$C20, 'SENS Coal'!$D$7:$AW$7, 'SENS Coal'!$D$134:$AW$134), 0), IF($B20='Project List References'!$B$8, _xlfn.IFNA(_xlfn.XLOOKUP(E$2-$C20,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F20" s="743" t="e">
        <f>IF($B20='Project List References'!$B$3, _xlfn.IFNA(_xlfn.XLOOKUP(F$2-$C20, 'GEN-CCGT'!$D$7:$AW$7, 'GEN-CCGT'!$D$118:$AW$118), 0), IF($B20='Project List References'!$B$4, _xlfn.IFNA(_xlfn.XLOOKUP(F$2-$C20, 'GEN-SOLAR'!$D$7:$AW$7, 'GEN-SOLAR'!$D$116:$AW$116), 0), IF($B20='Project List References'!$B$5, _xlfn.IFNA(_xlfn.XLOOKUP(F$2-$C20, 'GEN-BESS'!$D$7:$AW$7, 'GEN-BESS'!$D$120:$AW$120), 0), IF($B20='Project List References'!$B$6, _xlfn.IFNA(_xlfn.XLOOKUP(F$2-$C20, 'GEN-CARBON'!$D$7:$AW$7, 'GEN-CARBON'!$D$118:$AW$118), 0), IF($B20='Project List References'!$B$7, _xlfn.IFNA(_xlfn.XLOOKUP(F$2-$C20, 'SENS Coal'!$D$7:$AW$7, 'SENS Coal'!$D$134:$AW$134), 0), IF($B20='Project List References'!$B$8, _xlfn.IFNA(_xlfn.XLOOKUP(F$2-$C20,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G20" s="743" t="e">
        <f>IF($B20='Project List References'!$B$3, _xlfn.IFNA(_xlfn.XLOOKUP(G$2-$C20, 'GEN-CCGT'!$D$7:$AW$7, 'GEN-CCGT'!$D$118:$AW$118), 0), IF($B20='Project List References'!$B$4, _xlfn.IFNA(_xlfn.XLOOKUP(G$2-$C20, 'GEN-SOLAR'!$D$7:$AW$7, 'GEN-SOLAR'!$D$116:$AW$116), 0), IF($B20='Project List References'!$B$5, _xlfn.IFNA(_xlfn.XLOOKUP(G$2-$C20, 'GEN-BESS'!$D$7:$AW$7, 'GEN-BESS'!$D$120:$AW$120), 0), IF($B20='Project List References'!$B$6, _xlfn.IFNA(_xlfn.XLOOKUP(G$2-$C20, 'GEN-CARBON'!$D$7:$AW$7, 'GEN-CARBON'!$D$118:$AW$118), 0), IF($B20='Project List References'!$B$7, _xlfn.IFNA(_xlfn.XLOOKUP(G$2-$C20, 'SENS Coal'!$D$7:$AW$7, 'SENS Coal'!$D$134:$AW$134), 0), IF($B20='Project List References'!$B$8, _xlfn.IFNA(_xlfn.XLOOKUP(G$2-$C20,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H20" s="743" t="e">
        <f>IF($B20='Project List References'!$B$3, _xlfn.IFNA(_xlfn.XLOOKUP(H$2-$C20, 'GEN-CCGT'!$D$7:$AW$7, 'GEN-CCGT'!$D$118:$AW$118), 0), IF($B20='Project List References'!$B$4, _xlfn.IFNA(_xlfn.XLOOKUP(H$2-$C20, 'GEN-SOLAR'!$D$7:$AW$7, 'GEN-SOLAR'!$D$116:$AW$116), 0), IF($B20='Project List References'!$B$5, _xlfn.IFNA(_xlfn.XLOOKUP(H$2-$C20, 'GEN-BESS'!$D$7:$AW$7, 'GEN-BESS'!$D$120:$AW$120), 0), IF($B20='Project List References'!$B$6, _xlfn.IFNA(_xlfn.XLOOKUP(H$2-$C20, 'GEN-CARBON'!$D$7:$AW$7, 'GEN-CARBON'!$D$118:$AW$118), 0), IF($B20='Project List References'!$B$7, _xlfn.IFNA(_xlfn.XLOOKUP(H$2-$C20, 'SENS Coal'!$D$7:$AW$7, 'SENS Coal'!$D$134:$AW$134), 0), IF($B20='Project List References'!$B$8, _xlfn.IFNA(_xlfn.XLOOKUP(H$2-$C20,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I20" s="743" t="e">
        <f>IF($B20='Project List References'!$B$3, _xlfn.IFNA(_xlfn.XLOOKUP(I$2-$C20, 'GEN-CCGT'!$D$7:$AW$7, 'GEN-CCGT'!$D$118:$AW$118), 0), IF($B20='Project List References'!$B$4, _xlfn.IFNA(_xlfn.XLOOKUP(I$2-$C20, 'GEN-SOLAR'!$D$7:$AW$7, 'GEN-SOLAR'!$D$116:$AW$116), 0), IF($B20='Project List References'!$B$5, _xlfn.IFNA(_xlfn.XLOOKUP(I$2-$C20, 'GEN-BESS'!$D$7:$AW$7, 'GEN-BESS'!$D$120:$AW$120), 0), IF($B20='Project List References'!$B$6, _xlfn.IFNA(_xlfn.XLOOKUP(I$2-$C20, 'GEN-CARBON'!$D$7:$AW$7, 'GEN-CARBON'!$D$118:$AW$118), 0), IF($B20='Project List References'!$B$7, _xlfn.IFNA(_xlfn.XLOOKUP(I$2-$C20, 'SENS Coal'!$D$7:$AW$7, 'SENS Coal'!$D$134:$AW$134), 0), IF($B20='Project List References'!$B$8, _xlfn.IFNA(_xlfn.XLOOKUP(I$2-$C20,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J20" s="743" t="e">
        <f>IF($B20='Project List References'!$B$3, _xlfn.IFNA(_xlfn.XLOOKUP(J$2-$C20, 'GEN-CCGT'!$D$7:$AW$7, 'GEN-CCGT'!$D$118:$AW$118), 0), IF($B20='Project List References'!$B$4, _xlfn.IFNA(_xlfn.XLOOKUP(J$2-$C20, 'GEN-SOLAR'!$D$7:$AW$7, 'GEN-SOLAR'!$D$116:$AW$116), 0), IF($B20='Project List References'!$B$5, _xlfn.IFNA(_xlfn.XLOOKUP(J$2-$C20, 'GEN-BESS'!$D$7:$AW$7, 'GEN-BESS'!$D$120:$AW$120), 0), IF($B20='Project List References'!$B$6, _xlfn.IFNA(_xlfn.XLOOKUP(J$2-$C20, 'GEN-CARBON'!$D$7:$AW$7, 'GEN-CARBON'!$D$118:$AW$118), 0), IF($B20='Project List References'!$B$7, _xlfn.IFNA(_xlfn.XLOOKUP(J$2-$C20, 'SENS Coal'!$D$7:$AW$7, 'SENS Coal'!$D$134:$AW$134), 0), IF($B20='Project List References'!$B$8, _xlfn.IFNA(_xlfn.XLOOKUP(J$2-$C20,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K20" s="743" t="e">
        <f>IF($B20='Project List References'!$B$3, _xlfn.IFNA(_xlfn.XLOOKUP(K$2-$C20, 'GEN-CCGT'!$D$7:$AW$7, 'GEN-CCGT'!$D$118:$AW$118), 0), IF($B20='Project List References'!$B$4, _xlfn.IFNA(_xlfn.XLOOKUP(K$2-$C20, 'GEN-SOLAR'!$D$7:$AW$7, 'GEN-SOLAR'!$D$116:$AW$116), 0), IF($B20='Project List References'!$B$5, _xlfn.IFNA(_xlfn.XLOOKUP(K$2-$C20, 'GEN-BESS'!$D$7:$AW$7, 'GEN-BESS'!$D$120:$AW$120), 0), IF($B20='Project List References'!$B$6, _xlfn.IFNA(_xlfn.XLOOKUP(K$2-$C20, 'GEN-CARBON'!$D$7:$AW$7, 'GEN-CARBON'!$D$118:$AW$118), 0), IF($B20='Project List References'!$B$7, _xlfn.IFNA(_xlfn.XLOOKUP(K$2-$C20, 'SENS Coal'!$D$7:$AW$7, 'SENS Coal'!$D$134:$AW$134), 0), IF($B20='Project List References'!$B$8, _xlfn.IFNA(_xlfn.XLOOKUP(K$2-$C20,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L20" s="743" t="e">
        <f>IF($B20='Project List References'!$B$3, _xlfn.IFNA(_xlfn.XLOOKUP(L$2-$C20, 'GEN-CCGT'!$D$7:$AW$7, 'GEN-CCGT'!$D$118:$AW$118), 0), IF($B20='Project List References'!$B$4, _xlfn.IFNA(_xlfn.XLOOKUP(L$2-$C20, 'GEN-SOLAR'!$D$7:$AW$7, 'GEN-SOLAR'!$D$116:$AW$116), 0), IF($B20='Project List References'!$B$5, _xlfn.IFNA(_xlfn.XLOOKUP(L$2-$C20, 'GEN-BESS'!$D$7:$AW$7, 'GEN-BESS'!$D$120:$AW$120), 0), IF($B20='Project List References'!$B$6, _xlfn.IFNA(_xlfn.XLOOKUP(L$2-$C20, 'GEN-CARBON'!$D$7:$AW$7, 'GEN-CARBON'!$D$118:$AW$118), 0), IF($B20='Project List References'!$B$7, _xlfn.IFNA(_xlfn.XLOOKUP(L$2-$C20, 'SENS Coal'!$D$7:$AW$7, 'SENS Coal'!$D$134:$AW$134), 0), IF($B20='Project List References'!$B$8, _xlfn.IFNA(_xlfn.XLOOKUP(L$2-$C20,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M20" s="743" t="e">
        <f>IF($B20='Project List References'!$B$3, _xlfn.IFNA(_xlfn.XLOOKUP(M$2-$C20, 'GEN-CCGT'!$D$7:$AW$7, 'GEN-CCGT'!$D$118:$AW$118), 0), IF($B20='Project List References'!$B$4, _xlfn.IFNA(_xlfn.XLOOKUP(M$2-$C20, 'GEN-SOLAR'!$D$7:$AW$7, 'GEN-SOLAR'!$D$116:$AW$116), 0), IF($B20='Project List References'!$B$5, _xlfn.IFNA(_xlfn.XLOOKUP(M$2-$C20, 'GEN-BESS'!$D$7:$AW$7, 'GEN-BESS'!$D$120:$AW$120), 0), IF($B20='Project List References'!$B$6, _xlfn.IFNA(_xlfn.XLOOKUP(M$2-$C20, 'GEN-CARBON'!$D$7:$AW$7, 'GEN-CARBON'!$D$118:$AW$118), 0), IF($B20='Project List References'!$B$7, _xlfn.IFNA(_xlfn.XLOOKUP(M$2-$C20, 'SENS Coal'!$D$7:$AW$7, 'SENS Coal'!$D$134:$AW$134), 0), IF($B20='Project List References'!$B$8, _xlfn.IFNA(_xlfn.XLOOKUP(M$2-$C20,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N20" s="743" t="e">
        <f>IF($B20='Project List References'!$B$3, _xlfn.IFNA(_xlfn.XLOOKUP(N$2-$C20, 'GEN-CCGT'!$D$7:$AW$7, 'GEN-CCGT'!$D$118:$AW$118), 0), IF($B20='Project List References'!$B$4, _xlfn.IFNA(_xlfn.XLOOKUP(N$2-$C20, 'GEN-SOLAR'!$D$7:$AW$7, 'GEN-SOLAR'!$D$116:$AW$116), 0), IF($B20='Project List References'!$B$5, _xlfn.IFNA(_xlfn.XLOOKUP(N$2-$C20, 'GEN-BESS'!$D$7:$AW$7, 'GEN-BESS'!$D$120:$AW$120), 0), IF($B20='Project List References'!$B$6, _xlfn.IFNA(_xlfn.XLOOKUP(N$2-$C20, 'GEN-CARBON'!$D$7:$AW$7, 'GEN-CARBON'!$D$118:$AW$118), 0), IF($B20='Project List References'!$B$7, _xlfn.IFNA(_xlfn.XLOOKUP(N$2-$C20, 'SENS Coal'!$D$7:$AW$7, 'SENS Coal'!$D$134:$AW$134), 0), IF($B20='Project List References'!$B$8, _xlfn.IFNA(_xlfn.XLOOKUP(N$2-$C20,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O20" s="743" t="e">
        <f>IF($B20='Project List References'!$B$3, _xlfn.IFNA(_xlfn.XLOOKUP(O$2-$C20, 'GEN-CCGT'!$D$7:$AW$7, 'GEN-CCGT'!$D$118:$AW$118), 0), IF($B20='Project List References'!$B$4, _xlfn.IFNA(_xlfn.XLOOKUP(O$2-$C20, 'GEN-SOLAR'!$D$7:$AW$7, 'GEN-SOLAR'!$D$116:$AW$116), 0), IF($B20='Project List References'!$B$5, _xlfn.IFNA(_xlfn.XLOOKUP(O$2-$C20, 'GEN-BESS'!$D$7:$AW$7, 'GEN-BESS'!$D$120:$AW$120), 0), IF($B20='Project List References'!$B$6, _xlfn.IFNA(_xlfn.XLOOKUP(O$2-$C20, 'GEN-CARBON'!$D$7:$AW$7, 'GEN-CARBON'!$D$118:$AW$118), 0), IF($B20='Project List References'!$B$7, _xlfn.IFNA(_xlfn.XLOOKUP(O$2-$C20, 'SENS Coal'!$D$7:$AW$7, 'SENS Coal'!$D$134:$AW$134), 0), IF($B20='Project List References'!$B$8, _xlfn.IFNA(_xlfn.XLOOKUP(O$2-$C20,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P20" s="743" t="e">
        <f>IF($B20='Project List References'!$B$3, _xlfn.IFNA(_xlfn.XLOOKUP(P$2-$C20, 'GEN-CCGT'!$D$7:$AW$7, 'GEN-CCGT'!$D$118:$AW$118), 0), IF($B20='Project List References'!$B$4, _xlfn.IFNA(_xlfn.XLOOKUP(P$2-$C20, 'GEN-SOLAR'!$D$7:$AW$7, 'GEN-SOLAR'!$D$116:$AW$116), 0), IF($B20='Project List References'!$B$5, _xlfn.IFNA(_xlfn.XLOOKUP(P$2-$C20, 'GEN-BESS'!$D$7:$AW$7, 'GEN-BESS'!$D$120:$AW$120), 0), IF($B20='Project List References'!$B$6, _xlfn.IFNA(_xlfn.XLOOKUP(P$2-$C20, 'GEN-CARBON'!$D$7:$AW$7, 'GEN-CARBON'!$D$118:$AW$118), 0), IF($B20='Project List References'!$B$7, _xlfn.IFNA(_xlfn.XLOOKUP(P$2-$C20, 'SENS Coal'!$D$7:$AW$7, 'SENS Coal'!$D$134:$AW$134), 0), IF($B20='Project List References'!$B$8, _xlfn.IFNA(_xlfn.XLOOKUP(P$2-$C20,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Q20" s="743" t="e">
        <f>IF($B20='Project List References'!$B$3, _xlfn.IFNA(_xlfn.XLOOKUP(Q$2-$C20, 'GEN-CCGT'!$D$7:$AW$7, 'GEN-CCGT'!$D$118:$AW$118), 0), IF($B20='Project List References'!$B$4, _xlfn.IFNA(_xlfn.XLOOKUP(Q$2-$C20, 'GEN-SOLAR'!$D$7:$AW$7, 'GEN-SOLAR'!$D$116:$AW$116), 0), IF($B20='Project List References'!$B$5, _xlfn.IFNA(_xlfn.XLOOKUP(Q$2-$C20, 'GEN-BESS'!$D$7:$AW$7, 'GEN-BESS'!$D$120:$AW$120), 0), IF($B20='Project List References'!$B$6, _xlfn.IFNA(_xlfn.XLOOKUP(Q$2-$C20, 'GEN-CARBON'!$D$7:$AW$7, 'GEN-CARBON'!$D$118:$AW$118), 0), IF($B20='Project List References'!$B$7, _xlfn.IFNA(_xlfn.XLOOKUP(Q$2-$C20, 'SENS Coal'!$D$7:$AW$7, 'SENS Coal'!$D$134:$AW$134), 0), IF($B20='Project List References'!$B$8, _xlfn.IFNA(_xlfn.XLOOKUP(Q$2-$C20,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R20" s="743" t="e">
        <f>IF($B20='Project List References'!$B$3, _xlfn.IFNA(_xlfn.XLOOKUP(R$2-$C20, 'GEN-CCGT'!$D$7:$AW$7, 'GEN-CCGT'!$D$118:$AW$118), 0), IF($B20='Project List References'!$B$4, _xlfn.IFNA(_xlfn.XLOOKUP(R$2-$C20, 'GEN-SOLAR'!$D$7:$AW$7, 'GEN-SOLAR'!$D$116:$AW$116), 0), IF($B20='Project List References'!$B$5, _xlfn.IFNA(_xlfn.XLOOKUP(R$2-$C20, 'GEN-BESS'!$D$7:$AW$7, 'GEN-BESS'!$D$120:$AW$120), 0), IF($B20='Project List References'!$B$6, _xlfn.IFNA(_xlfn.XLOOKUP(R$2-$C20, 'GEN-CARBON'!$D$7:$AW$7, 'GEN-CARBON'!$D$118:$AW$118), 0), IF($B20='Project List References'!$B$7, _xlfn.IFNA(_xlfn.XLOOKUP(R$2-$C20, 'SENS Coal'!$D$7:$AW$7, 'SENS Coal'!$D$134:$AW$134), 0), IF($B20='Project List References'!$B$8, _xlfn.IFNA(_xlfn.XLOOKUP(R$2-$C20,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S20" s="743" t="e">
        <f>IF($B20='Project List References'!$B$3, _xlfn.IFNA(_xlfn.XLOOKUP(S$2-$C20, 'GEN-CCGT'!$D$7:$AW$7, 'GEN-CCGT'!$D$118:$AW$118), 0), IF($B20='Project List References'!$B$4, _xlfn.IFNA(_xlfn.XLOOKUP(S$2-$C20, 'GEN-SOLAR'!$D$7:$AW$7, 'GEN-SOLAR'!$D$116:$AW$116), 0), IF($B20='Project List References'!$B$5, _xlfn.IFNA(_xlfn.XLOOKUP(S$2-$C20, 'GEN-BESS'!$D$7:$AW$7, 'GEN-BESS'!$D$120:$AW$120), 0), IF($B20='Project List References'!$B$6, _xlfn.IFNA(_xlfn.XLOOKUP(S$2-$C20, 'GEN-CARBON'!$D$7:$AW$7, 'GEN-CARBON'!$D$118:$AW$118), 0), IF($B20='Project List References'!$B$7, _xlfn.IFNA(_xlfn.XLOOKUP(S$2-$C20, 'SENS Coal'!$D$7:$AW$7, 'SENS Coal'!$D$134:$AW$134), 0), IF($B20='Project List References'!$B$8, _xlfn.IFNA(_xlfn.XLOOKUP(S$2-$C20,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T20" s="743" t="e">
        <f>IF($B20='Project List References'!$B$3, _xlfn.IFNA(_xlfn.XLOOKUP(T$2-$C20, 'GEN-CCGT'!$D$7:$AW$7, 'GEN-CCGT'!$D$118:$AW$118), 0), IF($B20='Project List References'!$B$4, _xlfn.IFNA(_xlfn.XLOOKUP(T$2-$C20, 'GEN-SOLAR'!$D$7:$AW$7, 'GEN-SOLAR'!$D$116:$AW$116), 0), IF($B20='Project List References'!$B$5, _xlfn.IFNA(_xlfn.XLOOKUP(T$2-$C20, 'GEN-BESS'!$D$7:$AW$7, 'GEN-BESS'!$D$120:$AW$120), 0), IF($B20='Project List References'!$B$6, _xlfn.IFNA(_xlfn.XLOOKUP(T$2-$C20, 'GEN-CARBON'!$D$7:$AW$7, 'GEN-CARBON'!$D$118:$AW$118), 0), IF($B20='Project List References'!$B$7, _xlfn.IFNA(_xlfn.XLOOKUP(T$2-$C20, 'SENS Coal'!$D$7:$AW$7, 'SENS Coal'!$D$134:$AW$134), 0), IF($B20='Project List References'!$B$8, _xlfn.IFNA(_xlfn.XLOOKUP(T$2-$C20, 'SENS Tires'!$D$7:$AW$7, 'SENS Tires'!$D$132:$AW$132),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</row>
    <row r="21" spans="1:20">
      <c r="A21" s="655" t="str">
        <f>IF(ISBLANK('Project Master Sheet'!A21)=FALSE, 'Project Master Sheet'!A21, "")</f>
        <v/>
      </c>
      <c r="B21" s="655" t="str">
        <f>_xlfn.IFNA(_xlfn.XLOOKUP(A21, 'Project Master Sheet'!A:A, 'Project Master Sheet'!D:D), "")</f>
        <v/>
      </c>
      <c r="C21" s="655" t="e">
        <f>_xlfn.XLOOKUP(A21, 'Project Master Sheet'!A:A, 'Project Master Sheet'!I:I)</f>
        <v>#N/A</v>
      </c>
      <c r="E21" s="743" t="e">
        <f>IF($B21='Project List References'!$B$3, _xlfn.IFNA(_xlfn.XLOOKUP(E$2-$C21, 'GEN-CCGT'!$D$7:$AW$7, 'GEN-CCGT'!$D$118:$AW$118), 0), IF($B21='Project List References'!$B$4, _xlfn.IFNA(_xlfn.XLOOKUP(E$2-$C21, 'GEN-SOLAR'!$D$7:$AW$7, 'GEN-SOLAR'!$D$116:$AW$116), 0), IF($B21='Project List References'!$B$5, _xlfn.IFNA(_xlfn.XLOOKUP(E$2-$C21, 'GEN-BESS'!$D$7:$AW$7, 'GEN-BESS'!$D$120:$AW$120), 0), IF($B21='Project List References'!$B$6, _xlfn.IFNA(_xlfn.XLOOKUP(E$2-$C21, 'GEN-CARBON'!$D$7:$AW$7, 'GEN-CARBON'!$D$118:$AW$118), 0), IF($B21='Project List References'!$B$7, _xlfn.IFNA(_xlfn.XLOOKUP(E$2-$C21, 'SENS Coal'!$D$7:$AW$7, 'SENS Coal'!$D$134:$AW$134), 0), IF($B21='Project List References'!$B$8, _xlfn.IFNA(_xlfn.XLOOKUP(E$2-$C21,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F21" s="743" t="e">
        <f>IF($B21='Project List References'!$B$3, _xlfn.IFNA(_xlfn.XLOOKUP(F$2-$C21, 'GEN-CCGT'!$D$7:$AW$7, 'GEN-CCGT'!$D$118:$AW$118), 0), IF($B21='Project List References'!$B$4, _xlfn.IFNA(_xlfn.XLOOKUP(F$2-$C21, 'GEN-SOLAR'!$D$7:$AW$7, 'GEN-SOLAR'!$D$116:$AW$116), 0), IF($B21='Project List References'!$B$5, _xlfn.IFNA(_xlfn.XLOOKUP(F$2-$C21, 'GEN-BESS'!$D$7:$AW$7, 'GEN-BESS'!$D$120:$AW$120), 0), IF($B21='Project List References'!$B$6, _xlfn.IFNA(_xlfn.XLOOKUP(F$2-$C21, 'GEN-CARBON'!$D$7:$AW$7, 'GEN-CARBON'!$D$118:$AW$118), 0), IF($B21='Project List References'!$B$7, _xlfn.IFNA(_xlfn.XLOOKUP(F$2-$C21, 'SENS Coal'!$D$7:$AW$7, 'SENS Coal'!$D$134:$AW$134), 0), IF($B21='Project List References'!$B$8, _xlfn.IFNA(_xlfn.XLOOKUP(F$2-$C21,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G21" s="743" t="e">
        <f>IF($B21='Project List References'!$B$3, _xlfn.IFNA(_xlfn.XLOOKUP(G$2-$C21, 'GEN-CCGT'!$D$7:$AW$7, 'GEN-CCGT'!$D$118:$AW$118), 0), IF($B21='Project List References'!$B$4, _xlfn.IFNA(_xlfn.XLOOKUP(G$2-$C21, 'GEN-SOLAR'!$D$7:$AW$7, 'GEN-SOLAR'!$D$116:$AW$116), 0), IF($B21='Project List References'!$B$5, _xlfn.IFNA(_xlfn.XLOOKUP(G$2-$C21, 'GEN-BESS'!$D$7:$AW$7, 'GEN-BESS'!$D$120:$AW$120), 0), IF($B21='Project List References'!$B$6, _xlfn.IFNA(_xlfn.XLOOKUP(G$2-$C21, 'GEN-CARBON'!$D$7:$AW$7, 'GEN-CARBON'!$D$118:$AW$118), 0), IF($B21='Project List References'!$B$7, _xlfn.IFNA(_xlfn.XLOOKUP(G$2-$C21, 'SENS Coal'!$D$7:$AW$7, 'SENS Coal'!$D$134:$AW$134), 0), IF($B21='Project List References'!$B$8, _xlfn.IFNA(_xlfn.XLOOKUP(G$2-$C21,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H21" s="743" t="e">
        <f>IF($B21='Project List References'!$B$3, _xlfn.IFNA(_xlfn.XLOOKUP(H$2-$C21, 'GEN-CCGT'!$D$7:$AW$7, 'GEN-CCGT'!$D$118:$AW$118), 0), IF($B21='Project List References'!$B$4, _xlfn.IFNA(_xlfn.XLOOKUP(H$2-$C21, 'GEN-SOLAR'!$D$7:$AW$7, 'GEN-SOLAR'!$D$116:$AW$116), 0), IF($B21='Project List References'!$B$5, _xlfn.IFNA(_xlfn.XLOOKUP(H$2-$C21, 'GEN-BESS'!$D$7:$AW$7, 'GEN-BESS'!$D$120:$AW$120), 0), IF($B21='Project List References'!$B$6, _xlfn.IFNA(_xlfn.XLOOKUP(H$2-$C21, 'GEN-CARBON'!$D$7:$AW$7, 'GEN-CARBON'!$D$118:$AW$118), 0), IF($B21='Project List References'!$B$7, _xlfn.IFNA(_xlfn.XLOOKUP(H$2-$C21, 'SENS Coal'!$D$7:$AW$7, 'SENS Coal'!$D$134:$AW$134), 0), IF($B21='Project List References'!$B$8, _xlfn.IFNA(_xlfn.XLOOKUP(H$2-$C21,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I21" s="743" t="e">
        <f>IF($B21='Project List References'!$B$3, _xlfn.IFNA(_xlfn.XLOOKUP(I$2-$C21, 'GEN-CCGT'!$D$7:$AW$7, 'GEN-CCGT'!$D$118:$AW$118), 0), IF($B21='Project List References'!$B$4, _xlfn.IFNA(_xlfn.XLOOKUP(I$2-$C21, 'GEN-SOLAR'!$D$7:$AW$7, 'GEN-SOLAR'!$D$116:$AW$116), 0), IF($B21='Project List References'!$B$5, _xlfn.IFNA(_xlfn.XLOOKUP(I$2-$C21, 'GEN-BESS'!$D$7:$AW$7, 'GEN-BESS'!$D$120:$AW$120), 0), IF($B21='Project List References'!$B$6, _xlfn.IFNA(_xlfn.XLOOKUP(I$2-$C21, 'GEN-CARBON'!$D$7:$AW$7, 'GEN-CARBON'!$D$118:$AW$118), 0), IF($B21='Project List References'!$B$7, _xlfn.IFNA(_xlfn.XLOOKUP(I$2-$C21, 'SENS Coal'!$D$7:$AW$7, 'SENS Coal'!$D$134:$AW$134), 0), IF($B21='Project List References'!$B$8, _xlfn.IFNA(_xlfn.XLOOKUP(I$2-$C21,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J21" s="743" t="e">
        <f>IF($B21='Project List References'!$B$3, _xlfn.IFNA(_xlfn.XLOOKUP(J$2-$C21, 'GEN-CCGT'!$D$7:$AW$7, 'GEN-CCGT'!$D$118:$AW$118), 0), IF($B21='Project List References'!$B$4, _xlfn.IFNA(_xlfn.XLOOKUP(J$2-$C21, 'GEN-SOLAR'!$D$7:$AW$7, 'GEN-SOLAR'!$D$116:$AW$116), 0), IF($B21='Project List References'!$B$5, _xlfn.IFNA(_xlfn.XLOOKUP(J$2-$C21, 'GEN-BESS'!$D$7:$AW$7, 'GEN-BESS'!$D$120:$AW$120), 0), IF($B21='Project List References'!$B$6, _xlfn.IFNA(_xlfn.XLOOKUP(J$2-$C21, 'GEN-CARBON'!$D$7:$AW$7, 'GEN-CARBON'!$D$118:$AW$118), 0), IF($B21='Project List References'!$B$7, _xlfn.IFNA(_xlfn.XLOOKUP(J$2-$C21, 'SENS Coal'!$D$7:$AW$7, 'SENS Coal'!$D$134:$AW$134), 0), IF($B21='Project List References'!$B$8, _xlfn.IFNA(_xlfn.XLOOKUP(J$2-$C21,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K21" s="743" t="e">
        <f>IF($B21='Project List References'!$B$3, _xlfn.IFNA(_xlfn.XLOOKUP(K$2-$C21, 'GEN-CCGT'!$D$7:$AW$7, 'GEN-CCGT'!$D$118:$AW$118), 0), IF($B21='Project List References'!$B$4, _xlfn.IFNA(_xlfn.XLOOKUP(K$2-$C21, 'GEN-SOLAR'!$D$7:$AW$7, 'GEN-SOLAR'!$D$116:$AW$116), 0), IF($B21='Project List References'!$B$5, _xlfn.IFNA(_xlfn.XLOOKUP(K$2-$C21, 'GEN-BESS'!$D$7:$AW$7, 'GEN-BESS'!$D$120:$AW$120), 0), IF($B21='Project List References'!$B$6, _xlfn.IFNA(_xlfn.XLOOKUP(K$2-$C21, 'GEN-CARBON'!$D$7:$AW$7, 'GEN-CARBON'!$D$118:$AW$118), 0), IF($B21='Project List References'!$B$7, _xlfn.IFNA(_xlfn.XLOOKUP(K$2-$C21, 'SENS Coal'!$D$7:$AW$7, 'SENS Coal'!$D$134:$AW$134), 0), IF($B21='Project List References'!$B$8, _xlfn.IFNA(_xlfn.XLOOKUP(K$2-$C21,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L21" s="743" t="e">
        <f>IF($B21='Project List References'!$B$3, _xlfn.IFNA(_xlfn.XLOOKUP(L$2-$C21, 'GEN-CCGT'!$D$7:$AW$7, 'GEN-CCGT'!$D$118:$AW$118), 0), IF($B21='Project List References'!$B$4, _xlfn.IFNA(_xlfn.XLOOKUP(L$2-$C21, 'GEN-SOLAR'!$D$7:$AW$7, 'GEN-SOLAR'!$D$116:$AW$116), 0), IF($B21='Project List References'!$B$5, _xlfn.IFNA(_xlfn.XLOOKUP(L$2-$C21, 'GEN-BESS'!$D$7:$AW$7, 'GEN-BESS'!$D$120:$AW$120), 0), IF($B21='Project List References'!$B$6, _xlfn.IFNA(_xlfn.XLOOKUP(L$2-$C21, 'GEN-CARBON'!$D$7:$AW$7, 'GEN-CARBON'!$D$118:$AW$118), 0), IF($B21='Project List References'!$B$7, _xlfn.IFNA(_xlfn.XLOOKUP(L$2-$C21, 'SENS Coal'!$D$7:$AW$7, 'SENS Coal'!$D$134:$AW$134), 0), IF($B21='Project List References'!$B$8, _xlfn.IFNA(_xlfn.XLOOKUP(L$2-$C21,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M21" s="743" t="e">
        <f>IF($B21='Project List References'!$B$3, _xlfn.IFNA(_xlfn.XLOOKUP(M$2-$C21, 'GEN-CCGT'!$D$7:$AW$7, 'GEN-CCGT'!$D$118:$AW$118), 0), IF($B21='Project List References'!$B$4, _xlfn.IFNA(_xlfn.XLOOKUP(M$2-$C21, 'GEN-SOLAR'!$D$7:$AW$7, 'GEN-SOLAR'!$D$116:$AW$116), 0), IF($B21='Project List References'!$B$5, _xlfn.IFNA(_xlfn.XLOOKUP(M$2-$C21, 'GEN-BESS'!$D$7:$AW$7, 'GEN-BESS'!$D$120:$AW$120), 0), IF($B21='Project List References'!$B$6, _xlfn.IFNA(_xlfn.XLOOKUP(M$2-$C21, 'GEN-CARBON'!$D$7:$AW$7, 'GEN-CARBON'!$D$118:$AW$118), 0), IF($B21='Project List References'!$B$7, _xlfn.IFNA(_xlfn.XLOOKUP(M$2-$C21, 'SENS Coal'!$D$7:$AW$7, 'SENS Coal'!$D$134:$AW$134), 0), IF($B21='Project List References'!$B$8, _xlfn.IFNA(_xlfn.XLOOKUP(M$2-$C21,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N21" s="743" t="e">
        <f>IF($B21='Project List References'!$B$3, _xlfn.IFNA(_xlfn.XLOOKUP(N$2-$C21, 'GEN-CCGT'!$D$7:$AW$7, 'GEN-CCGT'!$D$118:$AW$118), 0), IF($B21='Project List References'!$B$4, _xlfn.IFNA(_xlfn.XLOOKUP(N$2-$C21, 'GEN-SOLAR'!$D$7:$AW$7, 'GEN-SOLAR'!$D$116:$AW$116), 0), IF($B21='Project List References'!$B$5, _xlfn.IFNA(_xlfn.XLOOKUP(N$2-$C21, 'GEN-BESS'!$D$7:$AW$7, 'GEN-BESS'!$D$120:$AW$120), 0), IF($B21='Project List References'!$B$6, _xlfn.IFNA(_xlfn.XLOOKUP(N$2-$C21, 'GEN-CARBON'!$D$7:$AW$7, 'GEN-CARBON'!$D$118:$AW$118), 0), IF($B21='Project List References'!$B$7, _xlfn.IFNA(_xlfn.XLOOKUP(N$2-$C21, 'SENS Coal'!$D$7:$AW$7, 'SENS Coal'!$D$134:$AW$134), 0), IF($B21='Project List References'!$B$8, _xlfn.IFNA(_xlfn.XLOOKUP(N$2-$C21,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O21" s="743" t="e">
        <f>IF($B21='Project List References'!$B$3, _xlfn.IFNA(_xlfn.XLOOKUP(O$2-$C21, 'GEN-CCGT'!$D$7:$AW$7, 'GEN-CCGT'!$D$118:$AW$118), 0), IF($B21='Project List References'!$B$4, _xlfn.IFNA(_xlfn.XLOOKUP(O$2-$C21, 'GEN-SOLAR'!$D$7:$AW$7, 'GEN-SOLAR'!$D$116:$AW$116), 0), IF($B21='Project List References'!$B$5, _xlfn.IFNA(_xlfn.XLOOKUP(O$2-$C21, 'GEN-BESS'!$D$7:$AW$7, 'GEN-BESS'!$D$120:$AW$120), 0), IF($B21='Project List References'!$B$6, _xlfn.IFNA(_xlfn.XLOOKUP(O$2-$C21, 'GEN-CARBON'!$D$7:$AW$7, 'GEN-CARBON'!$D$118:$AW$118), 0), IF($B21='Project List References'!$B$7, _xlfn.IFNA(_xlfn.XLOOKUP(O$2-$C21, 'SENS Coal'!$D$7:$AW$7, 'SENS Coal'!$D$134:$AW$134), 0), IF($B21='Project List References'!$B$8, _xlfn.IFNA(_xlfn.XLOOKUP(O$2-$C21,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P21" s="743" t="e">
        <f>IF($B21='Project List References'!$B$3, _xlfn.IFNA(_xlfn.XLOOKUP(P$2-$C21, 'GEN-CCGT'!$D$7:$AW$7, 'GEN-CCGT'!$D$118:$AW$118), 0), IF($B21='Project List References'!$B$4, _xlfn.IFNA(_xlfn.XLOOKUP(P$2-$C21, 'GEN-SOLAR'!$D$7:$AW$7, 'GEN-SOLAR'!$D$116:$AW$116), 0), IF($B21='Project List References'!$B$5, _xlfn.IFNA(_xlfn.XLOOKUP(P$2-$C21, 'GEN-BESS'!$D$7:$AW$7, 'GEN-BESS'!$D$120:$AW$120), 0), IF($B21='Project List References'!$B$6, _xlfn.IFNA(_xlfn.XLOOKUP(P$2-$C21, 'GEN-CARBON'!$D$7:$AW$7, 'GEN-CARBON'!$D$118:$AW$118), 0), IF($B21='Project List References'!$B$7, _xlfn.IFNA(_xlfn.XLOOKUP(P$2-$C21, 'SENS Coal'!$D$7:$AW$7, 'SENS Coal'!$D$134:$AW$134), 0), IF($B21='Project List References'!$B$8, _xlfn.IFNA(_xlfn.XLOOKUP(P$2-$C21,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Q21" s="743" t="e">
        <f>IF($B21='Project List References'!$B$3, _xlfn.IFNA(_xlfn.XLOOKUP(Q$2-$C21, 'GEN-CCGT'!$D$7:$AW$7, 'GEN-CCGT'!$D$118:$AW$118), 0), IF($B21='Project List References'!$B$4, _xlfn.IFNA(_xlfn.XLOOKUP(Q$2-$C21, 'GEN-SOLAR'!$D$7:$AW$7, 'GEN-SOLAR'!$D$116:$AW$116), 0), IF($B21='Project List References'!$B$5, _xlfn.IFNA(_xlfn.XLOOKUP(Q$2-$C21, 'GEN-BESS'!$D$7:$AW$7, 'GEN-BESS'!$D$120:$AW$120), 0), IF($B21='Project List References'!$B$6, _xlfn.IFNA(_xlfn.XLOOKUP(Q$2-$C21, 'GEN-CARBON'!$D$7:$AW$7, 'GEN-CARBON'!$D$118:$AW$118), 0), IF($B21='Project List References'!$B$7, _xlfn.IFNA(_xlfn.XLOOKUP(Q$2-$C21, 'SENS Coal'!$D$7:$AW$7, 'SENS Coal'!$D$134:$AW$134), 0), IF($B21='Project List References'!$B$8, _xlfn.IFNA(_xlfn.XLOOKUP(Q$2-$C21,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R21" s="743" t="e">
        <f>IF($B21='Project List References'!$B$3, _xlfn.IFNA(_xlfn.XLOOKUP(R$2-$C21, 'GEN-CCGT'!$D$7:$AW$7, 'GEN-CCGT'!$D$118:$AW$118), 0), IF($B21='Project List References'!$B$4, _xlfn.IFNA(_xlfn.XLOOKUP(R$2-$C21, 'GEN-SOLAR'!$D$7:$AW$7, 'GEN-SOLAR'!$D$116:$AW$116), 0), IF($B21='Project List References'!$B$5, _xlfn.IFNA(_xlfn.XLOOKUP(R$2-$C21, 'GEN-BESS'!$D$7:$AW$7, 'GEN-BESS'!$D$120:$AW$120), 0), IF($B21='Project List References'!$B$6, _xlfn.IFNA(_xlfn.XLOOKUP(R$2-$C21, 'GEN-CARBON'!$D$7:$AW$7, 'GEN-CARBON'!$D$118:$AW$118), 0), IF($B21='Project List References'!$B$7, _xlfn.IFNA(_xlfn.XLOOKUP(R$2-$C21, 'SENS Coal'!$D$7:$AW$7, 'SENS Coal'!$D$134:$AW$134), 0), IF($B21='Project List References'!$B$8, _xlfn.IFNA(_xlfn.XLOOKUP(R$2-$C21,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S21" s="743" t="e">
        <f>IF($B21='Project List References'!$B$3, _xlfn.IFNA(_xlfn.XLOOKUP(S$2-$C21, 'GEN-CCGT'!$D$7:$AW$7, 'GEN-CCGT'!$D$118:$AW$118), 0), IF($B21='Project List References'!$B$4, _xlfn.IFNA(_xlfn.XLOOKUP(S$2-$C21, 'GEN-SOLAR'!$D$7:$AW$7, 'GEN-SOLAR'!$D$116:$AW$116), 0), IF($B21='Project List References'!$B$5, _xlfn.IFNA(_xlfn.XLOOKUP(S$2-$C21, 'GEN-BESS'!$D$7:$AW$7, 'GEN-BESS'!$D$120:$AW$120), 0), IF($B21='Project List References'!$B$6, _xlfn.IFNA(_xlfn.XLOOKUP(S$2-$C21, 'GEN-CARBON'!$D$7:$AW$7, 'GEN-CARBON'!$D$118:$AW$118), 0), IF($B21='Project List References'!$B$7, _xlfn.IFNA(_xlfn.XLOOKUP(S$2-$C21, 'SENS Coal'!$D$7:$AW$7, 'SENS Coal'!$D$134:$AW$134), 0), IF($B21='Project List References'!$B$8, _xlfn.IFNA(_xlfn.XLOOKUP(S$2-$C21,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T21" s="743" t="e">
        <f>IF($B21='Project List References'!$B$3, _xlfn.IFNA(_xlfn.XLOOKUP(T$2-$C21, 'GEN-CCGT'!$D$7:$AW$7, 'GEN-CCGT'!$D$118:$AW$118), 0), IF($B21='Project List References'!$B$4, _xlfn.IFNA(_xlfn.XLOOKUP(T$2-$C21, 'GEN-SOLAR'!$D$7:$AW$7, 'GEN-SOLAR'!$D$116:$AW$116), 0), IF($B21='Project List References'!$B$5, _xlfn.IFNA(_xlfn.XLOOKUP(T$2-$C21, 'GEN-BESS'!$D$7:$AW$7, 'GEN-BESS'!$D$120:$AW$120), 0), IF($B21='Project List References'!$B$6, _xlfn.IFNA(_xlfn.XLOOKUP(T$2-$C21, 'GEN-CARBON'!$D$7:$AW$7, 'GEN-CARBON'!$D$118:$AW$118), 0), IF($B21='Project List References'!$B$7, _xlfn.IFNA(_xlfn.XLOOKUP(T$2-$C21, 'SENS Coal'!$D$7:$AW$7, 'SENS Coal'!$D$134:$AW$134), 0), IF($B21='Project List References'!$B$8, _xlfn.IFNA(_xlfn.XLOOKUP(T$2-$C21, 'SENS Tires'!$D$7:$AW$7, 'SENS Tires'!$D$132:$AW$132),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</row>
    <row r="22" spans="1:20">
      <c r="A22" s="655" t="str">
        <f>IF(ISBLANK('Project Master Sheet'!A22)=FALSE, 'Project Master Sheet'!A22, "")</f>
        <v/>
      </c>
      <c r="B22" s="655" t="str">
        <f>_xlfn.IFNA(_xlfn.XLOOKUP(A22, 'Project Master Sheet'!A:A, 'Project Master Sheet'!D:D), "")</f>
        <v/>
      </c>
      <c r="C22" s="655" t="e">
        <f>_xlfn.XLOOKUP(A22, 'Project Master Sheet'!A:A, 'Project Master Sheet'!I:I)</f>
        <v>#N/A</v>
      </c>
      <c r="E22" s="743" t="e">
        <f>IF($B22='Project List References'!$B$3, _xlfn.IFNA(_xlfn.XLOOKUP(E$2-$C22, 'GEN-CCGT'!$D$7:$AW$7, 'GEN-CCGT'!$D$118:$AW$118), 0), IF($B22='Project List References'!$B$4, _xlfn.IFNA(_xlfn.XLOOKUP(E$2-$C22, 'GEN-SOLAR'!$D$7:$AW$7, 'GEN-SOLAR'!$D$116:$AW$116), 0), IF($B22='Project List References'!$B$5, _xlfn.IFNA(_xlfn.XLOOKUP(E$2-$C22, 'GEN-BESS'!$D$7:$AW$7, 'GEN-BESS'!$D$120:$AW$120), 0), IF($B22='Project List References'!$B$6, _xlfn.IFNA(_xlfn.XLOOKUP(E$2-$C22, 'GEN-CARBON'!$D$7:$AW$7, 'GEN-CARBON'!$D$118:$AW$118), 0), IF($B22='Project List References'!$B$7, _xlfn.IFNA(_xlfn.XLOOKUP(E$2-$C22, 'SENS Coal'!$D$7:$AW$7, 'SENS Coal'!$D$134:$AW$134), 0), IF($B22='Project List References'!$B$8, _xlfn.IFNA(_xlfn.XLOOKUP(E$2-$C22,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F22" s="743" t="e">
        <f>IF($B22='Project List References'!$B$3, _xlfn.IFNA(_xlfn.XLOOKUP(F$2-$C22, 'GEN-CCGT'!$D$7:$AW$7, 'GEN-CCGT'!$D$118:$AW$118), 0), IF($B22='Project List References'!$B$4, _xlfn.IFNA(_xlfn.XLOOKUP(F$2-$C22, 'GEN-SOLAR'!$D$7:$AW$7, 'GEN-SOLAR'!$D$116:$AW$116), 0), IF($B22='Project List References'!$B$5, _xlfn.IFNA(_xlfn.XLOOKUP(F$2-$C22, 'GEN-BESS'!$D$7:$AW$7, 'GEN-BESS'!$D$120:$AW$120), 0), IF($B22='Project List References'!$B$6, _xlfn.IFNA(_xlfn.XLOOKUP(F$2-$C22, 'GEN-CARBON'!$D$7:$AW$7, 'GEN-CARBON'!$D$118:$AW$118), 0), IF($B22='Project List References'!$B$7, _xlfn.IFNA(_xlfn.XLOOKUP(F$2-$C22, 'SENS Coal'!$D$7:$AW$7, 'SENS Coal'!$D$134:$AW$134), 0), IF($B22='Project List References'!$B$8, _xlfn.IFNA(_xlfn.XLOOKUP(F$2-$C22,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G22" s="743" t="e">
        <f>IF($B22='Project List References'!$B$3, _xlfn.IFNA(_xlfn.XLOOKUP(G$2-$C22, 'GEN-CCGT'!$D$7:$AW$7, 'GEN-CCGT'!$D$118:$AW$118), 0), IF($B22='Project List References'!$B$4, _xlfn.IFNA(_xlfn.XLOOKUP(G$2-$C22, 'GEN-SOLAR'!$D$7:$AW$7, 'GEN-SOLAR'!$D$116:$AW$116), 0), IF($B22='Project List References'!$B$5, _xlfn.IFNA(_xlfn.XLOOKUP(G$2-$C22, 'GEN-BESS'!$D$7:$AW$7, 'GEN-BESS'!$D$120:$AW$120), 0), IF($B22='Project List References'!$B$6, _xlfn.IFNA(_xlfn.XLOOKUP(G$2-$C22, 'GEN-CARBON'!$D$7:$AW$7, 'GEN-CARBON'!$D$118:$AW$118), 0), IF($B22='Project List References'!$B$7, _xlfn.IFNA(_xlfn.XLOOKUP(G$2-$C22, 'SENS Coal'!$D$7:$AW$7, 'SENS Coal'!$D$134:$AW$134), 0), IF($B22='Project List References'!$B$8, _xlfn.IFNA(_xlfn.XLOOKUP(G$2-$C22,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H22" s="743" t="e">
        <f>IF($B22='Project List References'!$B$3, _xlfn.IFNA(_xlfn.XLOOKUP(H$2-$C22, 'GEN-CCGT'!$D$7:$AW$7, 'GEN-CCGT'!$D$118:$AW$118), 0), IF($B22='Project List References'!$B$4, _xlfn.IFNA(_xlfn.XLOOKUP(H$2-$C22, 'GEN-SOLAR'!$D$7:$AW$7, 'GEN-SOLAR'!$D$116:$AW$116), 0), IF($B22='Project List References'!$B$5, _xlfn.IFNA(_xlfn.XLOOKUP(H$2-$C22, 'GEN-BESS'!$D$7:$AW$7, 'GEN-BESS'!$D$120:$AW$120), 0), IF($B22='Project List References'!$B$6, _xlfn.IFNA(_xlfn.XLOOKUP(H$2-$C22, 'GEN-CARBON'!$D$7:$AW$7, 'GEN-CARBON'!$D$118:$AW$118), 0), IF($B22='Project List References'!$B$7, _xlfn.IFNA(_xlfn.XLOOKUP(H$2-$C22, 'SENS Coal'!$D$7:$AW$7, 'SENS Coal'!$D$134:$AW$134), 0), IF($B22='Project List References'!$B$8, _xlfn.IFNA(_xlfn.XLOOKUP(H$2-$C22,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I22" s="743" t="e">
        <f>IF($B22='Project List References'!$B$3, _xlfn.IFNA(_xlfn.XLOOKUP(I$2-$C22, 'GEN-CCGT'!$D$7:$AW$7, 'GEN-CCGT'!$D$118:$AW$118), 0), IF($B22='Project List References'!$B$4, _xlfn.IFNA(_xlfn.XLOOKUP(I$2-$C22, 'GEN-SOLAR'!$D$7:$AW$7, 'GEN-SOLAR'!$D$116:$AW$116), 0), IF($B22='Project List References'!$B$5, _xlfn.IFNA(_xlfn.XLOOKUP(I$2-$C22, 'GEN-BESS'!$D$7:$AW$7, 'GEN-BESS'!$D$120:$AW$120), 0), IF($B22='Project List References'!$B$6, _xlfn.IFNA(_xlfn.XLOOKUP(I$2-$C22, 'GEN-CARBON'!$D$7:$AW$7, 'GEN-CARBON'!$D$118:$AW$118), 0), IF($B22='Project List References'!$B$7, _xlfn.IFNA(_xlfn.XLOOKUP(I$2-$C22, 'SENS Coal'!$D$7:$AW$7, 'SENS Coal'!$D$134:$AW$134), 0), IF($B22='Project List References'!$B$8, _xlfn.IFNA(_xlfn.XLOOKUP(I$2-$C22,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J22" s="743" t="e">
        <f>IF($B22='Project List References'!$B$3, _xlfn.IFNA(_xlfn.XLOOKUP(J$2-$C22, 'GEN-CCGT'!$D$7:$AW$7, 'GEN-CCGT'!$D$118:$AW$118), 0), IF($B22='Project List References'!$B$4, _xlfn.IFNA(_xlfn.XLOOKUP(J$2-$C22, 'GEN-SOLAR'!$D$7:$AW$7, 'GEN-SOLAR'!$D$116:$AW$116), 0), IF($B22='Project List References'!$B$5, _xlfn.IFNA(_xlfn.XLOOKUP(J$2-$C22, 'GEN-BESS'!$D$7:$AW$7, 'GEN-BESS'!$D$120:$AW$120), 0), IF($B22='Project List References'!$B$6, _xlfn.IFNA(_xlfn.XLOOKUP(J$2-$C22, 'GEN-CARBON'!$D$7:$AW$7, 'GEN-CARBON'!$D$118:$AW$118), 0), IF($B22='Project List References'!$B$7, _xlfn.IFNA(_xlfn.XLOOKUP(J$2-$C22, 'SENS Coal'!$D$7:$AW$7, 'SENS Coal'!$D$134:$AW$134), 0), IF($B22='Project List References'!$B$8, _xlfn.IFNA(_xlfn.XLOOKUP(J$2-$C22,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K22" s="743" t="e">
        <f>IF($B22='Project List References'!$B$3, _xlfn.IFNA(_xlfn.XLOOKUP(K$2-$C22, 'GEN-CCGT'!$D$7:$AW$7, 'GEN-CCGT'!$D$118:$AW$118), 0), IF($B22='Project List References'!$B$4, _xlfn.IFNA(_xlfn.XLOOKUP(K$2-$C22, 'GEN-SOLAR'!$D$7:$AW$7, 'GEN-SOLAR'!$D$116:$AW$116), 0), IF($B22='Project List References'!$B$5, _xlfn.IFNA(_xlfn.XLOOKUP(K$2-$C22, 'GEN-BESS'!$D$7:$AW$7, 'GEN-BESS'!$D$120:$AW$120), 0), IF($B22='Project List References'!$B$6, _xlfn.IFNA(_xlfn.XLOOKUP(K$2-$C22, 'GEN-CARBON'!$D$7:$AW$7, 'GEN-CARBON'!$D$118:$AW$118), 0), IF($B22='Project List References'!$B$7, _xlfn.IFNA(_xlfn.XLOOKUP(K$2-$C22, 'SENS Coal'!$D$7:$AW$7, 'SENS Coal'!$D$134:$AW$134), 0), IF($B22='Project List References'!$B$8, _xlfn.IFNA(_xlfn.XLOOKUP(K$2-$C22,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L22" s="743" t="e">
        <f>IF($B22='Project List References'!$B$3, _xlfn.IFNA(_xlfn.XLOOKUP(L$2-$C22, 'GEN-CCGT'!$D$7:$AW$7, 'GEN-CCGT'!$D$118:$AW$118), 0), IF($B22='Project List References'!$B$4, _xlfn.IFNA(_xlfn.XLOOKUP(L$2-$C22, 'GEN-SOLAR'!$D$7:$AW$7, 'GEN-SOLAR'!$D$116:$AW$116), 0), IF($B22='Project List References'!$B$5, _xlfn.IFNA(_xlfn.XLOOKUP(L$2-$C22, 'GEN-BESS'!$D$7:$AW$7, 'GEN-BESS'!$D$120:$AW$120), 0), IF($B22='Project List References'!$B$6, _xlfn.IFNA(_xlfn.XLOOKUP(L$2-$C22, 'GEN-CARBON'!$D$7:$AW$7, 'GEN-CARBON'!$D$118:$AW$118), 0), IF($B22='Project List References'!$B$7, _xlfn.IFNA(_xlfn.XLOOKUP(L$2-$C22, 'SENS Coal'!$D$7:$AW$7, 'SENS Coal'!$D$134:$AW$134), 0), IF($B22='Project List References'!$B$8, _xlfn.IFNA(_xlfn.XLOOKUP(L$2-$C22,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M22" s="743" t="e">
        <f>IF($B22='Project List References'!$B$3, _xlfn.IFNA(_xlfn.XLOOKUP(M$2-$C22, 'GEN-CCGT'!$D$7:$AW$7, 'GEN-CCGT'!$D$118:$AW$118), 0), IF($B22='Project List References'!$B$4, _xlfn.IFNA(_xlfn.XLOOKUP(M$2-$C22, 'GEN-SOLAR'!$D$7:$AW$7, 'GEN-SOLAR'!$D$116:$AW$116), 0), IF($B22='Project List References'!$B$5, _xlfn.IFNA(_xlfn.XLOOKUP(M$2-$C22, 'GEN-BESS'!$D$7:$AW$7, 'GEN-BESS'!$D$120:$AW$120), 0), IF($B22='Project List References'!$B$6, _xlfn.IFNA(_xlfn.XLOOKUP(M$2-$C22, 'GEN-CARBON'!$D$7:$AW$7, 'GEN-CARBON'!$D$118:$AW$118), 0), IF($B22='Project List References'!$B$7, _xlfn.IFNA(_xlfn.XLOOKUP(M$2-$C22, 'SENS Coal'!$D$7:$AW$7, 'SENS Coal'!$D$134:$AW$134), 0), IF($B22='Project List References'!$B$8, _xlfn.IFNA(_xlfn.XLOOKUP(M$2-$C22,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N22" s="743" t="e">
        <f>IF($B22='Project List References'!$B$3, _xlfn.IFNA(_xlfn.XLOOKUP(N$2-$C22, 'GEN-CCGT'!$D$7:$AW$7, 'GEN-CCGT'!$D$118:$AW$118), 0), IF($B22='Project List References'!$B$4, _xlfn.IFNA(_xlfn.XLOOKUP(N$2-$C22, 'GEN-SOLAR'!$D$7:$AW$7, 'GEN-SOLAR'!$D$116:$AW$116), 0), IF($B22='Project List References'!$B$5, _xlfn.IFNA(_xlfn.XLOOKUP(N$2-$C22, 'GEN-BESS'!$D$7:$AW$7, 'GEN-BESS'!$D$120:$AW$120), 0), IF($B22='Project List References'!$B$6, _xlfn.IFNA(_xlfn.XLOOKUP(N$2-$C22, 'GEN-CARBON'!$D$7:$AW$7, 'GEN-CARBON'!$D$118:$AW$118), 0), IF($B22='Project List References'!$B$7, _xlfn.IFNA(_xlfn.XLOOKUP(N$2-$C22, 'SENS Coal'!$D$7:$AW$7, 'SENS Coal'!$D$134:$AW$134), 0), IF($B22='Project List References'!$B$8, _xlfn.IFNA(_xlfn.XLOOKUP(N$2-$C22,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O22" s="743" t="e">
        <f>IF($B22='Project List References'!$B$3, _xlfn.IFNA(_xlfn.XLOOKUP(O$2-$C22, 'GEN-CCGT'!$D$7:$AW$7, 'GEN-CCGT'!$D$118:$AW$118), 0), IF($B22='Project List References'!$B$4, _xlfn.IFNA(_xlfn.XLOOKUP(O$2-$C22, 'GEN-SOLAR'!$D$7:$AW$7, 'GEN-SOLAR'!$D$116:$AW$116), 0), IF($B22='Project List References'!$B$5, _xlfn.IFNA(_xlfn.XLOOKUP(O$2-$C22, 'GEN-BESS'!$D$7:$AW$7, 'GEN-BESS'!$D$120:$AW$120), 0), IF($B22='Project List References'!$B$6, _xlfn.IFNA(_xlfn.XLOOKUP(O$2-$C22, 'GEN-CARBON'!$D$7:$AW$7, 'GEN-CARBON'!$D$118:$AW$118), 0), IF($B22='Project List References'!$B$7, _xlfn.IFNA(_xlfn.XLOOKUP(O$2-$C22, 'SENS Coal'!$D$7:$AW$7, 'SENS Coal'!$D$134:$AW$134), 0), IF($B22='Project List References'!$B$8, _xlfn.IFNA(_xlfn.XLOOKUP(O$2-$C22,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P22" s="743" t="e">
        <f>IF($B22='Project List References'!$B$3, _xlfn.IFNA(_xlfn.XLOOKUP(P$2-$C22, 'GEN-CCGT'!$D$7:$AW$7, 'GEN-CCGT'!$D$118:$AW$118), 0), IF($B22='Project List References'!$B$4, _xlfn.IFNA(_xlfn.XLOOKUP(P$2-$C22, 'GEN-SOLAR'!$D$7:$AW$7, 'GEN-SOLAR'!$D$116:$AW$116), 0), IF($B22='Project List References'!$B$5, _xlfn.IFNA(_xlfn.XLOOKUP(P$2-$C22, 'GEN-BESS'!$D$7:$AW$7, 'GEN-BESS'!$D$120:$AW$120), 0), IF($B22='Project List References'!$B$6, _xlfn.IFNA(_xlfn.XLOOKUP(P$2-$C22, 'GEN-CARBON'!$D$7:$AW$7, 'GEN-CARBON'!$D$118:$AW$118), 0), IF($B22='Project List References'!$B$7, _xlfn.IFNA(_xlfn.XLOOKUP(P$2-$C22, 'SENS Coal'!$D$7:$AW$7, 'SENS Coal'!$D$134:$AW$134), 0), IF($B22='Project List References'!$B$8, _xlfn.IFNA(_xlfn.XLOOKUP(P$2-$C22,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Q22" s="743" t="e">
        <f>IF($B22='Project List References'!$B$3, _xlfn.IFNA(_xlfn.XLOOKUP(Q$2-$C22, 'GEN-CCGT'!$D$7:$AW$7, 'GEN-CCGT'!$D$118:$AW$118), 0), IF($B22='Project List References'!$B$4, _xlfn.IFNA(_xlfn.XLOOKUP(Q$2-$C22, 'GEN-SOLAR'!$D$7:$AW$7, 'GEN-SOLAR'!$D$116:$AW$116), 0), IF($B22='Project List References'!$B$5, _xlfn.IFNA(_xlfn.XLOOKUP(Q$2-$C22, 'GEN-BESS'!$D$7:$AW$7, 'GEN-BESS'!$D$120:$AW$120), 0), IF($B22='Project List References'!$B$6, _xlfn.IFNA(_xlfn.XLOOKUP(Q$2-$C22, 'GEN-CARBON'!$D$7:$AW$7, 'GEN-CARBON'!$D$118:$AW$118), 0), IF($B22='Project List References'!$B$7, _xlfn.IFNA(_xlfn.XLOOKUP(Q$2-$C22, 'SENS Coal'!$D$7:$AW$7, 'SENS Coal'!$D$134:$AW$134), 0), IF($B22='Project List References'!$B$8, _xlfn.IFNA(_xlfn.XLOOKUP(Q$2-$C22,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R22" s="743" t="e">
        <f>IF($B22='Project List References'!$B$3, _xlfn.IFNA(_xlfn.XLOOKUP(R$2-$C22, 'GEN-CCGT'!$D$7:$AW$7, 'GEN-CCGT'!$D$118:$AW$118), 0), IF($B22='Project List References'!$B$4, _xlfn.IFNA(_xlfn.XLOOKUP(R$2-$C22, 'GEN-SOLAR'!$D$7:$AW$7, 'GEN-SOLAR'!$D$116:$AW$116), 0), IF($B22='Project List References'!$B$5, _xlfn.IFNA(_xlfn.XLOOKUP(R$2-$C22, 'GEN-BESS'!$D$7:$AW$7, 'GEN-BESS'!$D$120:$AW$120), 0), IF($B22='Project List References'!$B$6, _xlfn.IFNA(_xlfn.XLOOKUP(R$2-$C22, 'GEN-CARBON'!$D$7:$AW$7, 'GEN-CARBON'!$D$118:$AW$118), 0), IF($B22='Project List References'!$B$7, _xlfn.IFNA(_xlfn.XLOOKUP(R$2-$C22, 'SENS Coal'!$D$7:$AW$7, 'SENS Coal'!$D$134:$AW$134), 0), IF($B22='Project List References'!$B$8, _xlfn.IFNA(_xlfn.XLOOKUP(R$2-$C22,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S22" s="743" t="e">
        <f>IF($B22='Project List References'!$B$3, _xlfn.IFNA(_xlfn.XLOOKUP(S$2-$C22, 'GEN-CCGT'!$D$7:$AW$7, 'GEN-CCGT'!$D$118:$AW$118), 0), IF($B22='Project List References'!$B$4, _xlfn.IFNA(_xlfn.XLOOKUP(S$2-$C22, 'GEN-SOLAR'!$D$7:$AW$7, 'GEN-SOLAR'!$D$116:$AW$116), 0), IF($B22='Project List References'!$B$5, _xlfn.IFNA(_xlfn.XLOOKUP(S$2-$C22, 'GEN-BESS'!$D$7:$AW$7, 'GEN-BESS'!$D$120:$AW$120), 0), IF($B22='Project List References'!$B$6, _xlfn.IFNA(_xlfn.XLOOKUP(S$2-$C22, 'GEN-CARBON'!$D$7:$AW$7, 'GEN-CARBON'!$D$118:$AW$118), 0), IF($B22='Project List References'!$B$7, _xlfn.IFNA(_xlfn.XLOOKUP(S$2-$C22, 'SENS Coal'!$D$7:$AW$7, 'SENS Coal'!$D$134:$AW$134), 0), IF($B22='Project List References'!$B$8, _xlfn.IFNA(_xlfn.XLOOKUP(S$2-$C22,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T22" s="743" t="e">
        <f>IF($B22='Project List References'!$B$3, _xlfn.IFNA(_xlfn.XLOOKUP(T$2-$C22, 'GEN-CCGT'!$D$7:$AW$7, 'GEN-CCGT'!$D$118:$AW$118), 0), IF($B22='Project List References'!$B$4, _xlfn.IFNA(_xlfn.XLOOKUP(T$2-$C22, 'GEN-SOLAR'!$D$7:$AW$7, 'GEN-SOLAR'!$D$116:$AW$116), 0), IF($B22='Project List References'!$B$5, _xlfn.IFNA(_xlfn.XLOOKUP(T$2-$C22, 'GEN-BESS'!$D$7:$AW$7, 'GEN-BESS'!$D$120:$AW$120), 0), IF($B22='Project List References'!$B$6, _xlfn.IFNA(_xlfn.XLOOKUP(T$2-$C22, 'GEN-CARBON'!$D$7:$AW$7, 'GEN-CARBON'!$D$118:$AW$118), 0), IF($B22='Project List References'!$B$7, _xlfn.IFNA(_xlfn.XLOOKUP(T$2-$C22, 'SENS Coal'!$D$7:$AW$7, 'SENS Coal'!$D$134:$AW$134), 0), IF($B22='Project List References'!$B$8, _xlfn.IFNA(_xlfn.XLOOKUP(T$2-$C22, 'SENS Tires'!$D$7:$AW$7, 'SENS Tires'!$D$132:$AW$132),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</row>
    <row r="23" spans="1:20">
      <c r="A23" s="655" t="str">
        <f>IF(ISBLANK('Project Master Sheet'!A23)=FALSE, 'Project Master Sheet'!A23, "")</f>
        <v/>
      </c>
      <c r="B23" s="655" t="str">
        <f>_xlfn.IFNA(_xlfn.XLOOKUP(A23, 'Project Master Sheet'!A:A, 'Project Master Sheet'!D:D), "")</f>
        <v/>
      </c>
      <c r="C23" s="655" t="e">
        <f>_xlfn.XLOOKUP(A23, 'Project Master Sheet'!A:A, 'Project Master Sheet'!I:I)</f>
        <v>#N/A</v>
      </c>
      <c r="E23" s="743" t="e">
        <f>IF($B23='Project List References'!$B$3, _xlfn.IFNA(_xlfn.XLOOKUP(E$2-$C23, 'GEN-CCGT'!$D$7:$AW$7, 'GEN-CCGT'!$D$118:$AW$118), 0), IF($B23='Project List References'!$B$4, _xlfn.IFNA(_xlfn.XLOOKUP(E$2-$C23, 'GEN-SOLAR'!$D$7:$AW$7, 'GEN-SOLAR'!$D$116:$AW$116), 0), IF($B23='Project List References'!$B$5, _xlfn.IFNA(_xlfn.XLOOKUP(E$2-$C23, 'GEN-BESS'!$D$7:$AW$7, 'GEN-BESS'!$D$120:$AW$120), 0), IF($B23='Project List References'!$B$6, _xlfn.IFNA(_xlfn.XLOOKUP(E$2-$C23, 'GEN-CARBON'!$D$7:$AW$7, 'GEN-CARBON'!$D$118:$AW$118), 0), IF($B23='Project List References'!$B$7, _xlfn.IFNA(_xlfn.XLOOKUP(E$2-$C23, 'SENS Coal'!$D$7:$AW$7, 'SENS Coal'!$D$134:$AW$134), 0), IF($B23='Project List References'!$B$8, _xlfn.IFNA(_xlfn.XLOOKUP(E$2-$C23,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F23" s="743" t="e">
        <f>IF($B23='Project List References'!$B$3, _xlfn.IFNA(_xlfn.XLOOKUP(F$2-$C23, 'GEN-CCGT'!$D$7:$AW$7, 'GEN-CCGT'!$D$118:$AW$118), 0), IF($B23='Project List References'!$B$4, _xlfn.IFNA(_xlfn.XLOOKUP(F$2-$C23, 'GEN-SOLAR'!$D$7:$AW$7, 'GEN-SOLAR'!$D$116:$AW$116), 0), IF($B23='Project List References'!$B$5, _xlfn.IFNA(_xlfn.XLOOKUP(F$2-$C23, 'GEN-BESS'!$D$7:$AW$7, 'GEN-BESS'!$D$120:$AW$120), 0), IF($B23='Project List References'!$B$6, _xlfn.IFNA(_xlfn.XLOOKUP(F$2-$C23, 'GEN-CARBON'!$D$7:$AW$7, 'GEN-CARBON'!$D$118:$AW$118), 0), IF($B23='Project List References'!$B$7, _xlfn.IFNA(_xlfn.XLOOKUP(F$2-$C23, 'SENS Coal'!$D$7:$AW$7, 'SENS Coal'!$D$134:$AW$134), 0), IF($B23='Project List References'!$B$8, _xlfn.IFNA(_xlfn.XLOOKUP(F$2-$C23,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G23" s="743" t="e">
        <f>IF($B23='Project List References'!$B$3, _xlfn.IFNA(_xlfn.XLOOKUP(G$2-$C23, 'GEN-CCGT'!$D$7:$AW$7, 'GEN-CCGT'!$D$118:$AW$118), 0), IF($B23='Project List References'!$B$4, _xlfn.IFNA(_xlfn.XLOOKUP(G$2-$C23, 'GEN-SOLAR'!$D$7:$AW$7, 'GEN-SOLAR'!$D$116:$AW$116), 0), IF($B23='Project List References'!$B$5, _xlfn.IFNA(_xlfn.XLOOKUP(G$2-$C23, 'GEN-BESS'!$D$7:$AW$7, 'GEN-BESS'!$D$120:$AW$120), 0), IF($B23='Project List References'!$B$6, _xlfn.IFNA(_xlfn.XLOOKUP(G$2-$C23, 'GEN-CARBON'!$D$7:$AW$7, 'GEN-CARBON'!$D$118:$AW$118), 0), IF($B23='Project List References'!$B$7, _xlfn.IFNA(_xlfn.XLOOKUP(G$2-$C23, 'SENS Coal'!$D$7:$AW$7, 'SENS Coal'!$D$134:$AW$134), 0), IF($B23='Project List References'!$B$8, _xlfn.IFNA(_xlfn.XLOOKUP(G$2-$C23,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H23" s="743" t="e">
        <f>IF($B23='Project List References'!$B$3, _xlfn.IFNA(_xlfn.XLOOKUP(H$2-$C23, 'GEN-CCGT'!$D$7:$AW$7, 'GEN-CCGT'!$D$118:$AW$118), 0), IF($B23='Project List References'!$B$4, _xlfn.IFNA(_xlfn.XLOOKUP(H$2-$C23, 'GEN-SOLAR'!$D$7:$AW$7, 'GEN-SOLAR'!$D$116:$AW$116), 0), IF($B23='Project List References'!$B$5, _xlfn.IFNA(_xlfn.XLOOKUP(H$2-$C23, 'GEN-BESS'!$D$7:$AW$7, 'GEN-BESS'!$D$120:$AW$120), 0), IF($B23='Project List References'!$B$6, _xlfn.IFNA(_xlfn.XLOOKUP(H$2-$C23, 'GEN-CARBON'!$D$7:$AW$7, 'GEN-CARBON'!$D$118:$AW$118), 0), IF($B23='Project List References'!$B$7, _xlfn.IFNA(_xlfn.XLOOKUP(H$2-$C23, 'SENS Coal'!$D$7:$AW$7, 'SENS Coal'!$D$134:$AW$134), 0), IF($B23='Project List References'!$B$8, _xlfn.IFNA(_xlfn.XLOOKUP(H$2-$C23,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I23" s="743" t="e">
        <f>IF($B23='Project List References'!$B$3, _xlfn.IFNA(_xlfn.XLOOKUP(I$2-$C23, 'GEN-CCGT'!$D$7:$AW$7, 'GEN-CCGT'!$D$118:$AW$118), 0), IF($B23='Project List References'!$B$4, _xlfn.IFNA(_xlfn.XLOOKUP(I$2-$C23, 'GEN-SOLAR'!$D$7:$AW$7, 'GEN-SOLAR'!$D$116:$AW$116), 0), IF($B23='Project List References'!$B$5, _xlfn.IFNA(_xlfn.XLOOKUP(I$2-$C23, 'GEN-BESS'!$D$7:$AW$7, 'GEN-BESS'!$D$120:$AW$120), 0), IF($B23='Project List References'!$B$6, _xlfn.IFNA(_xlfn.XLOOKUP(I$2-$C23, 'GEN-CARBON'!$D$7:$AW$7, 'GEN-CARBON'!$D$118:$AW$118), 0), IF($B23='Project List References'!$B$7, _xlfn.IFNA(_xlfn.XLOOKUP(I$2-$C23, 'SENS Coal'!$D$7:$AW$7, 'SENS Coal'!$D$134:$AW$134), 0), IF($B23='Project List References'!$B$8, _xlfn.IFNA(_xlfn.XLOOKUP(I$2-$C23,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J23" s="743" t="e">
        <f>IF($B23='Project List References'!$B$3, _xlfn.IFNA(_xlfn.XLOOKUP(J$2-$C23, 'GEN-CCGT'!$D$7:$AW$7, 'GEN-CCGT'!$D$118:$AW$118), 0), IF($B23='Project List References'!$B$4, _xlfn.IFNA(_xlfn.XLOOKUP(J$2-$C23, 'GEN-SOLAR'!$D$7:$AW$7, 'GEN-SOLAR'!$D$116:$AW$116), 0), IF($B23='Project List References'!$B$5, _xlfn.IFNA(_xlfn.XLOOKUP(J$2-$C23, 'GEN-BESS'!$D$7:$AW$7, 'GEN-BESS'!$D$120:$AW$120), 0), IF($B23='Project List References'!$B$6, _xlfn.IFNA(_xlfn.XLOOKUP(J$2-$C23, 'GEN-CARBON'!$D$7:$AW$7, 'GEN-CARBON'!$D$118:$AW$118), 0), IF($B23='Project List References'!$B$7, _xlfn.IFNA(_xlfn.XLOOKUP(J$2-$C23, 'SENS Coal'!$D$7:$AW$7, 'SENS Coal'!$D$134:$AW$134), 0), IF($B23='Project List References'!$B$8, _xlfn.IFNA(_xlfn.XLOOKUP(J$2-$C23,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K23" s="743" t="e">
        <f>IF($B23='Project List References'!$B$3, _xlfn.IFNA(_xlfn.XLOOKUP(K$2-$C23, 'GEN-CCGT'!$D$7:$AW$7, 'GEN-CCGT'!$D$118:$AW$118), 0), IF($B23='Project List References'!$B$4, _xlfn.IFNA(_xlfn.XLOOKUP(K$2-$C23, 'GEN-SOLAR'!$D$7:$AW$7, 'GEN-SOLAR'!$D$116:$AW$116), 0), IF($B23='Project List References'!$B$5, _xlfn.IFNA(_xlfn.XLOOKUP(K$2-$C23, 'GEN-BESS'!$D$7:$AW$7, 'GEN-BESS'!$D$120:$AW$120), 0), IF($B23='Project List References'!$B$6, _xlfn.IFNA(_xlfn.XLOOKUP(K$2-$C23, 'GEN-CARBON'!$D$7:$AW$7, 'GEN-CARBON'!$D$118:$AW$118), 0), IF($B23='Project List References'!$B$7, _xlfn.IFNA(_xlfn.XLOOKUP(K$2-$C23, 'SENS Coal'!$D$7:$AW$7, 'SENS Coal'!$D$134:$AW$134), 0), IF($B23='Project List References'!$B$8, _xlfn.IFNA(_xlfn.XLOOKUP(K$2-$C23,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L23" s="743" t="e">
        <f>IF($B23='Project List References'!$B$3, _xlfn.IFNA(_xlfn.XLOOKUP(L$2-$C23, 'GEN-CCGT'!$D$7:$AW$7, 'GEN-CCGT'!$D$118:$AW$118), 0), IF($B23='Project List References'!$B$4, _xlfn.IFNA(_xlfn.XLOOKUP(L$2-$C23, 'GEN-SOLAR'!$D$7:$AW$7, 'GEN-SOLAR'!$D$116:$AW$116), 0), IF($B23='Project List References'!$B$5, _xlfn.IFNA(_xlfn.XLOOKUP(L$2-$C23, 'GEN-BESS'!$D$7:$AW$7, 'GEN-BESS'!$D$120:$AW$120), 0), IF($B23='Project List References'!$B$6, _xlfn.IFNA(_xlfn.XLOOKUP(L$2-$C23, 'GEN-CARBON'!$D$7:$AW$7, 'GEN-CARBON'!$D$118:$AW$118), 0), IF($B23='Project List References'!$B$7, _xlfn.IFNA(_xlfn.XLOOKUP(L$2-$C23, 'SENS Coal'!$D$7:$AW$7, 'SENS Coal'!$D$134:$AW$134), 0), IF($B23='Project List References'!$B$8, _xlfn.IFNA(_xlfn.XLOOKUP(L$2-$C23,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M23" s="743" t="e">
        <f>IF($B23='Project List References'!$B$3, _xlfn.IFNA(_xlfn.XLOOKUP(M$2-$C23, 'GEN-CCGT'!$D$7:$AW$7, 'GEN-CCGT'!$D$118:$AW$118), 0), IF($B23='Project List References'!$B$4, _xlfn.IFNA(_xlfn.XLOOKUP(M$2-$C23, 'GEN-SOLAR'!$D$7:$AW$7, 'GEN-SOLAR'!$D$116:$AW$116), 0), IF($B23='Project List References'!$B$5, _xlfn.IFNA(_xlfn.XLOOKUP(M$2-$C23, 'GEN-BESS'!$D$7:$AW$7, 'GEN-BESS'!$D$120:$AW$120), 0), IF($B23='Project List References'!$B$6, _xlfn.IFNA(_xlfn.XLOOKUP(M$2-$C23, 'GEN-CARBON'!$D$7:$AW$7, 'GEN-CARBON'!$D$118:$AW$118), 0), IF($B23='Project List References'!$B$7, _xlfn.IFNA(_xlfn.XLOOKUP(M$2-$C23, 'SENS Coal'!$D$7:$AW$7, 'SENS Coal'!$D$134:$AW$134), 0), IF($B23='Project List References'!$B$8, _xlfn.IFNA(_xlfn.XLOOKUP(M$2-$C23,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N23" s="743" t="e">
        <f>IF($B23='Project List References'!$B$3, _xlfn.IFNA(_xlfn.XLOOKUP(N$2-$C23, 'GEN-CCGT'!$D$7:$AW$7, 'GEN-CCGT'!$D$118:$AW$118), 0), IF($B23='Project List References'!$B$4, _xlfn.IFNA(_xlfn.XLOOKUP(N$2-$C23, 'GEN-SOLAR'!$D$7:$AW$7, 'GEN-SOLAR'!$D$116:$AW$116), 0), IF($B23='Project List References'!$B$5, _xlfn.IFNA(_xlfn.XLOOKUP(N$2-$C23, 'GEN-BESS'!$D$7:$AW$7, 'GEN-BESS'!$D$120:$AW$120), 0), IF($B23='Project List References'!$B$6, _xlfn.IFNA(_xlfn.XLOOKUP(N$2-$C23, 'GEN-CARBON'!$D$7:$AW$7, 'GEN-CARBON'!$D$118:$AW$118), 0), IF($B23='Project List References'!$B$7, _xlfn.IFNA(_xlfn.XLOOKUP(N$2-$C23, 'SENS Coal'!$D$7:$AW$7, 'SENS Coal'!$D$134:$AW$134), 0), IF($B23='Project List References'!$B$8, _xlfn.IFNA(_xlfn.XLOOKUP(N$2-$C23,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O23" s="743" t="e">
        <f>IF($B23='Project List References'!$B$3, _xlfn.IFNA(_xlfn.XLOOKUP(O$2-$C23, 'GEN-CCGT'!$D$7:$AW$7, 'GEN-CCGT'!$D$118:$AW$118), 0), IF($B23='Project List References'!$B$4, _xlfn.IFNA(_xlfn.XLOOKUP(O$2-$C23, 'GEN-SOLAR'!$D$7:$AW$7, 'GEN-SOLAR'!$D$116:$AW$116), 0), IF($B23='Project List References'!$B$5, _xlfn.IFNA(_xlfn.XLOOKUP(O$2-$C23, 'GEN-BESS'!$D$7:$AW$7, 'GEN-BESS'!$D$120:$AW$120), 0), IF($B23='Project List References'!$B$6, _xlfn.IFNA(_xlfn.XLOOKUP(O$2-$C23, 'GEN-CARBON'!$D$7:$AW$7, 'GEN-CARBON'!$D$118:$AW$118), 0), IF($B23='Project List References'!$B$7, _xlfn.IFNA(_xlfn.XLOOKUP(O$2-$C23, 'SENS Coal'!$D$7:$AW$7, 'SENS Coal'!$D$134:$AW$134), 0), IF($B23='Project List References'!$B$8, _xlfn.IFNA(_xlfn.XLOOKUP(O$2-$C23,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P23" s="743" t="e">
        <f>IF($B23='Project List References'!$B$3, _xlfn.IFNA(_xlfn.XLOOKUP(P$2-$C23, 'GEN-CCGT'!$D$7:$AW$7, 'GEN-CCGT'!$D$118:$AW$118), 0), IF($B23='Project List References'!$B$4, _xlfn.IFNA(_xlfn.XLOOKUP(P$2-$C23, 'GEN-SOLAR'!$D$7:$AW$7, 'GEN-SOLAR'!$D$116:$AW$116), 0), IF($B23='Project List References'!$B$5, _xlfn.IFNA(_xlfn.XLOOKUP(P$2-$C23, 'GEN-BESS'!$D$7:$AW$7, 'GEN-BESS'!$D$120:$AW$120), 0), IF($B23='Project List References'!$B$6, _xlfn.IFNA(_xlfn.XLOOKUP(P$2-$C23, 'GEN-CARBON'!$D$7:$AW$7, 'GEN-CARBON'!$D$118:$AW$118), 0), IF($B23='Project List References'!$B$7, _xlfn.IFNA(_xlfn.XLOOKUP(P$2-$C23, 'SENS Coal'!$D$7:$AW$7, 'SENS Coal'!$D$134:$AW$134), 0), IF($B23='Project List References'!$B$8, _xlfn.IFNA(_xlfn.XLOOKUP(P$2-$C23,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Q23" s="743" t="e">
        <f>IF($B23='Project List References'!$B$3, _xlfn.IFNA(_xlfn.XLOOKUP(Q$2-$C23, 'GEN-CCGT'!$D$7:$AW$7, 'GEN-CCGT'!$D$118:$AW$118), 0), IF($B23='Project List References'!$B$4, _xlfn.IFNA(_xlfn.XLOOKUP(Q$2-$C23, 'GEN-SOLAR'!$D$7:$AW$7, 'GEN-SOLAR'!$D$116:$AW$116), 0), IF($B23='Project List References'!$B$5, _xlfn.IFNA(_xlfn.XLOOKUP(Q$2-$C23, 'GEN-BESS'!$D$7:$AW$7, 'GEN-BESS'!$D$120:$AW$120), 0), IF($B23='Project List References'!$B$6, _xlfn.IFNA(_xlfn.XLOOKUP(Q$2-$C23, 'GEN-CARBON'!$D$7:$AW$7, 'GEN-CARBON'!$D$118:$AW$118), 0), IF($B23='Project List References'!$B$7, _xlfn.IFNA(_xlfn.XLOOKUP(Q$2-$C23, 'SENS Coal'!$D$7:$AW$7, 'SENS Coal'!$D$134:$AW$134), 0), IF($B23='Project List References'!$B$8, _xlfn.IFNA(_xlfn.XLOOKUP(Q$2-$C23,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R23" s="743" t="e">
        <f>IF($B23='Project List References'!$B$3, _xlfn.IFNA(_xlfn.XLOOKUP(R$2-$C23, 'GEN-CCGT'!$D$7:$AW$7, 'GEN-CCGT'!$D$118:$AW$118), 0), IF($B23='Project List References'!$B$4, _xlfn.IFNA(_xlfn.XLOOKUP(R$2-$C23, 'GEN-SOLAR'!$D$7:$AW$7, 'GEN-SOLAR'!$D$116:$AW$116), 0), IF($B23='Project List References'!$B$5, _xlfn.IFNA(_xlfn.XLOOKUP(R$2-$C23, 'GEN-BESS'!$D$7:$AW$7, 'GEN-BESS'!$D$120:$AW$120), 0), IF($B23='Project List References'!$B$6, _xlfn.IFNA(_xlfn.XLOOKUP(R$2-$C23, 'GEN-CARBON'!$D$7:$AW$7, 'GEN-CARBON'!$D$118:$AW$118), 0), IF($B23='Project List References'!$B$7, _xlfn.IFNA(_xlfn.XLOOKUP(R$2-$C23, 'SENS Coal'!$D$7:$AW$7, 'SENS Coal'!$D$134:$AW$134), 0), IF($B23='Project List References'!$B$8, _xlfn.IFNA(_xlfn.XLOOKUP(R$2-$C23,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S23" s="743" t="e">
        <f>IF($B23='Project List References'!$B$3, _xlfn.IFNA(_xlfn.XLOOKUP(S$2-$C23, 'GEN-CCGT'!$D$7:$AW$7, 'GEN-CCGT'!$D$118:$AW$118), 0), IF($B23='Project List References'!$B$4, _xlfn.IFNA(_xlfn.XLOOKUP(S$2-$C23, 'GEN-SOLAR'!$D$7:$AW$7, 'GEN-SOLAR'!$D$116:$AW$116), 0), IF($B23='Project List References'!$B$5, _xlfn.IFNA(_xlfn.XLOOKUP(S$2-$C23, 'GEN-BESS'!$D$7:$AW$7, 'GEN-BESS'!$D$120:$AW$120), 0), IF($B23='Project List References'!$B$6, _xlfn.IFNA(_xlfn.XLOOKUP(S$2-$C23, 'GEN-CARBON'!$D$7:$AW$7, 'GEN-CARBON'!$D$118:$AW$118), 0), IF($B23='Project List References'!$B$7, _xlfn.IFNA(_xlfn.XLOOKUP(S$2-$C23, 'SENS Coal'!$D$7:$AW$7, 'SENS Coal'!$D$134:$AW$134), 0), IF($B23='Project List References'!$B$8, _xlfn.IFNA(_xlfn.XLOOKUP(S$2-$C23,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T23" s="743" t="e">
        <f>IF($B23='Project List References'!$B$3, _xlfn.IFNA(_xlfn.XLOOKUP(T$2-$C23, 'GEN-CCGT'!$D$7:$AW$7, 'GEN-CCGT'!$D$118:$AW$118), 0), IF($B23='Project List References'!$B$4, _xlfn.IFNA(_xlfn.XLOOKUP(T$2-$C23, 'GEN-SOLAR'!$D$7:$AW$7, 'GEN-SOLAR'!$D$116:$AW$116), 0), IF($B23='Project List References'!$B$5, _xlfn.IFNA(_xlfn.XLOOKUP(T$2-$C23, 'GEN-BESS'!$D$7:$AW$7, 'GEN-BESS'!$D$120:$AW$120), 0), IF($B23='Project List References'!$B$6, _xlfn.IFNA(_xlfn.XLOOKUP(T$2-$C23, 'GEN-CARBON'!$D$7:$AW$7, 'GEN-CARBON'!$D$118:$AW$118), 0), IF($B23='Project List References'!$B$7, _xlfn.IFNA(_xlfn.XLOOKUP(T$2-$C23, 'SENS Coal'!$D$7:$AW$7, 'SENS Coal'!$D$134:$AW$134), 0), IF($B23='Project List References'!$B$8, _xlfn.IFNA(_xlfn.XLOOKUP(T$2-$C23, 'SENS Tires'!$D$7:$AW$7, 'SENS Tires'!$D$132:$AW$132),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</row>
    <row r="24" spans="1:20">
      <c r="A24" s="655" t="str">
        <f>IF(ISBLANK('Project Master Sheet'!A24)=FALSE, 'Project Master Sheet'!A24, "")</f>
        <v/>
      </c>
      <c r="B24" s="655" t="str">
        <f>_xlfn.IFNA(_xlfn.XLOOKUP(A24, 'Project Master Sheet'!A:A, 'Project Master Sheet'!D:D), "")</f>
        <v/>
      </c>
      <c r="C24" s="655" t="e">
        <f>_xlfn.XLOOKUP(A24, 'Project Master Sheet'!A:A, 'Project Master Sheet'!I:I)</f>
        <v>#N/A</v>
      </c>
      <c r="E24" s="743" t="e">
        <f>IF($B24='Project List References'!$B$3, _xlfn.IFNA(_xlfn.XLOOKUP(E$2-$C24, 'GEN-CCGT'!$D$7:$AW$7, 'GEN-CCGT'!$D$118:$AW$118), 0), IF($B24='Project List References'!$B$4, _xlfn.IFNA(_xlfn.XLOOKUP(E$2-$C24, 'GEN-SOLAR'!$D$7:$AW$7, 'GEN-SOLAR'!$D$116:$AW$116), 0), IF($B24='Project List References'!$B$5, _xlfn.IFNA(_xlfn.XLOOKUP(E$2-$C24, 'GEN-BESS'!$D$7:$AW$7, 'GEN-BESS'!$D$120:$AW$120), 0), IF($B24='Project List References'!$B$6, _xlfn.IFNA(_xlfn.XLOOKUP(E$2-$C24, 'GEN-CARBON'!$D$7:$AW$7, 'GEN-CARBON'!$D$118:$AW$118), 0), IF($B24='Project List References'!$B$7, _xlfn.IFNA(_xlfn.XLOOKUP(E$2-$C24, 'SENS Coal'!$D$7:$AW$7, 'SENS Coal'!$D$134:$AW$134), 0), IF($B24='Project List References'!$B$8, _xlfn.IFNA(_xlfn.XLOOKUP(E$2-$C24,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F24" s="743" t="e">
        <f>IF($B24='Project List References'!$B$3, _xlfn.IFNA(_xlfn.XLOOKUP(F$2-$C24, 'GEN-CCGT'!$D$7:$AW$7, 'GEN-CCGT'!$D$118:$AW$118), 0), IF($B24='Project List References'!$B$4, _xlfn.IFNA(_xlfn.XLOOKUP(F$2-$C24, 'GEN-SOLAR'!$D$7:$AW$7, 'GEN-SOLAR'!$D$116:$AW$116), 0), IF($B24='Project List References'!$B$5, _xlfn.IFNA(_xlfn.XLOOKUP(F$2-$C24, 'GEN-BESS'!$D$7:$AW$7, 'GEN-BESS'!$D$120:$AW$120), 0), IF($B24='Project List References'!$B$6, _xlfn.IFNA(_xlfn.XLOOKUP(F$2-$C24, 'GEN-CARBON'!$D$7:$AW$7, 'GEN-CARBON'!$D$118:$AW$118), 0), IF($B24='Project List References'!$B$7, _xlfn.IFNA(_xlfn.XLOOKUP(F$2-$C24, 'SENS Coal'!$D$7:$AW$7, 'SENS Coal'!$D$134:$AW$134), 0), IF($B24='Project List References'!$B$8, _xlfn.IFNA(_xlfn.XLOOKUP(F$2-$C24,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G24" s="743" t="e">
        <f>IF($B24='Project List References'!$B$3, _xlfn.IFNA(_xlfn.XLOOKUP(G$2-$C24, 'GEN-CCGT'!$D$7:$AW$7, 'GEN-CCGT'!$D$118:$AW$118), 0), IF($B24='Project List References'!$B$4, _xlfn.IFNA(_xlfn.XLOOKUP(G$2-$C24, 'GEN-SOLAR'!$D$7:$AW$7, 'GEN-SOLAR'!$D$116:$AW$116), 0), IF($B24='Project List References'!$B$5, _xlfn.IFNA(_xlfn.XLOOKUP(G$2-$C24, 'GEN-BESS'!$D$7:$AW$7, 'GEN-BESS'!$D$120:$AW$120), 0), IF($B24='Project List References'!$B$6, _xlfn.IFNA(_xlfn.XLOOKUP(G$2-$C24, 'GEN-CARBON'!$D$7:$AW$7, 'GEN-CARBON'!$D$118:$AW$118), 0), IF($B24='Project List References'!$B$7, _xlfn.IFNA(_xlfn.XLOOKUP(G$2-$C24, 'SENS Coal'!$D$7:$AW$7, 'SENS Coal'!$D$134:$AW$134), 0), IF($B24='Project List References'!$B$8, _xlfn.IFNA(_xlfn.XLOOKUP(G$2-$C24,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H24" s="743" t="e">
        <f>IF($B24='Project List References'!$B$3, _xlfn.IFNA(_xlfn.XLOOKUP(H$2-$C24, 'GEN-CCGT'!$D$7:$AW$7, 'GEN-CCGT'!$D$118:$AW$118), 0), IF($B24='Project List References'!$B$4, _xlfn.IFNA(_xlfn.XLOOKUP(H$2-$C24, 'GEN-SOLAR'!$D$7:$AW$7, 'GEN-SOLAR'!$D$116:$AW$116), 0), IF($B24='Project List References'!$B$5, _xlfn.IFNA(_xlfn.XLOOKUP(H$2-$C24, 'GEN-BESS'!$D$7:$AW$7, 'GEN-BESS'!$D$120:$AW$120), 0), IF($B24='Project List References'!$B$6, _xlfn.IFNA(_xlfn.XLOOKUP(H$2-$C24, 'GEN-CARBON'!$D$7:$AW$7, 'GEN-CARBON'!$D$118:$AW$118), 0), IF($B24='Project List References'!$B$7, _xlfn.IFNA(_xlfn.XLOOKUP(H$2-$C24, 'SENS Coal'!$D$7:$AW$7, 'SENS Coal'!$D$134:$AW$134), 0), IF($B24='Project List References'!$B$8, _xlfn.IFNA(_xlfn.XLOOKUP(H$2-$C24,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I24" s="743" t="e">
        <f>IF($B24='Project List References'!$B$3, _xlfn.IFNA(_xlfn.XLOOKUP(I$2-$C24, 'GEN-CCGT'!$D$7:$AW$7, 'GEN-CCGT'!$D$118:$AW$118), 0), IF($B24='Project List References'!$B$4, _xlfn.IFNA(_xlfn.XLOOKUP(I$2-$C24, 'GEN-SOLAR'!$D$7:$AW$7, 'GEN-SOLAR'!$D$116:$AW$116), 0), IF($B24='Project List References'!$B$5, _xlfn.IFNA(_xlfn.XLOOKUP(I$2-$C24, 'GEN-BESS'!$D$7:$AW$7, 'GEN-BESS'!$D$120:$AW$120), 0), IF($B24='Project List References'!$B$6, _xlfn.IFNA(_xlfn.XLOOKUP(I$2-$C24, 'GEN-CARBON'!$D$7:$AW$7, 'GEN-CARBON'!$D$118:$AW$118), 0), IF($B24='Project List References'!$B$7, _xlfn.IFNA(_xlfn.XLOOKUP(I$2-$C24, 'SENS Coal'!$D$7:$AW$7, 'SENS Coal'!$D$134:$AW$134), 0), IF($B24='Project List References'!$B$8, _xlfn.IFNA(_xlfn.XLOOKUP(I$2-$C24,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J24" s="743" t="e">
        <f>IF($B24='Project List References'!$B$3, _xlfn.IFNA(_xlfn.XLOOKUP(J$2-$C24, 'GEN-CCGT'!$D$7:$AW$7, 'GEN-CCGT'!$D$118:$AW$118), 0), IF($B24='Project List References'!$B$4, _xlfn.IFNA(_xlfn.XLOOKUP(J$2-$C24, 'GEN-SOLAR'!$D$7:$AW$7, 'GEN-SOLAR'!$D$116:$AW$116), 0), IF($B24='Project List References'!$B$5, _xlfn.IFNA(_xlfn.XLOOKUP(J$2-$C24, 'GEN-BESS'!$D$7:$AW$7, 'GEN-BESS'!$D$120:$AW$120), 0), IF($B24='Project List References'!$B$6, _xlfn.IFNA(_xlfn.XLOOKUP(J$2-$C24, 'GEN-CARBON'!$D$7:$AW$7, 'GEN-CARBON'!$D$118:$AW$118), 0), IF($B24='Project List References'!$B$7, _xlfn.IFNA(_xlfn.XLOOKUP(J$2-$C24, 'SENS Coal'!$D$7:$AW$7, 'SENS Coal'!$D$134:$AW$134), 0), IF($B24='Project List References'!$B$8, _xlfn.IFNA(_xlfn.XLOOKUP(J$2-$C24,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K24" s="743" t="e">
        <f>IF($B24='Project List References'!$B$3, _xlfn.IFNA(_xlfn.XLOOKUP(K$2-$C24, 'GEN-CCGT'!$D$7:$AW$7, 'GEN-CCGT'!$D$118:$AW$118), 0), IF($B24='Project List References'!$B$4, _xlfn.IFNA(_xlfn.XLOOKUP(K$2-$C24, 'GEN-SOLAR'!$D$7:$AW$7, 'GEN-SOLAR'!$D$116:$AW$116), 0), IF($B24='Project List References'!$B$5, _xlfn.IFNA(_xlfn.XLOOKUP(K$2-$C24, 'GEN-BESS'!$D$7:$AW$7, 'GEN-BESS'!$D$120:$AW$120), 0), IF($B24='Project List References'!$B$6, _xlfn.IFNA(_xlfn.XLOOKUP(K$2-$C24, 'GEN-CARBON'!$D$7:$AW$7, 'GEN-CARBON'!$D$118:$AW$118), 0), IF($B24='Project List References'!$B$7, _xlfn.IFNA(_xlfn.XLOOKUP(K$2-$C24, 'SENS Coal'!$D$7:$AW$7, 'SENS Coal'!$D$134:$AW$134), 0), IF($B24='Project List References'!$B$8, _xlfn.IFNA(_xlfn.XLOOKUP(K$2-$C24,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L24" s="743" t="e">
        <f>IF($B24='Project List References'!$B$3, _xlfn.IFNA(_xlfn.XLOOKUP(L$2-$C24, 'GEN-CCGT'!$D$7:$AW$7, 'GEN-CCGT'!$D$118:$AW$118), 0), IF($B24='Project List References'!$B$4, _xlfn.IFNA(_xlfn.XLOOKUP(L$2-$C24, 'GEN-SOLAR'!$D$7:$AW$7, 'GEN-SOLAR'!$D$116:$AW$116), 0), IF($B24='Project List References'!$B$5, _xlfn.IFNA(_xlfn.XLOOKUP(L$2-$C24, 'GEN-BESS'!$D$7:$AW$7, 'GEN-BESS'!$D$120:$AW$120), 0), IF($B24='Project List References'!$B$6, _xlfn.IFNA(_xlfn.XLOOKUP(L$2-$C24, 'GEN-CARBON'!$D$7:$AW$7, 'GEN-CARBON'!$D$118:$AW$118), 0), IF($B24='Project List References'!$B$7, _xlfn.IFNA(_xlfn.XLOOKUP(L$2-$C24, 'SENS Coal'!$D$7:$AW$7, 'SENS Coal'!$D$134:$AW$134), 0), IF($B24='Project List References'!$B$8, _xlfn.IFNA(_xlfn.XLOOKUP(L$2-$C24,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M24" s="743" t="e">
        <f>IF($B24='Project List References'!$B$3, _xlfn.IFNA(_xlfn.XLOOKUP(M$2-$C24, 'GEN-CCGT'!$D$7:$AW$7, 'GEN-CCGT'!$D$118:$AW$118), 0), IF($B24='Project List References'!$B$4, _xlfn.IFNA(_xlfn.XLOOKUP(M$2-$C24, 'GEN-SOLAR'!$D$7:$AW$7, 'GEN-SOLAR'!$D$116:$AW$116), 0), IF($B24='Project List References'!$B$5, _xlfn.IFNA(_xlfn.XLOOKUP(M$2-$C24, 'GEN-BESS'!$D$7:$AW$7, 'GEN-BESS'!$D$120:$AW$120), 0), IF($B24='Project List References'!$B$6, _xlfn.IFNA(_xlfn.XLOOKUP(M$2-$C24, 'GEN-CARBON'!$D$7:$AW$7, 'GEN-CARBON'!$D$118:$AW$118), 0), IF($B24='Project List References'!$B$7, _xlfn.IFNA(_xlfn.XLOOKUP(M$2-$C24, 'SENS Coal'!$D$7:$AW$7, 'SENS Coal'!$D$134:$AW$134), 0), IF($B24='Project List References'!$B$8, _xlfn.IFNA(_xlfn.XLOOKUP(M$2-$C24,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N24" s="743" t="e">
        <f>IF($B24='Project List References'!$B$3, _xlfn.IFNA(_xlfn.XLOOKUP(N$2-$C24, 'GEN-CCGT'!$D$7:$AW$7, 'GEN-CCGT'!$D$118:$AW$118), 0), IF($B24='Project List References'!$B$4, _xlfn.IFNA(_xlfn.XLOOKUP(N$2-$C24, 'GEN-SOLAR'!$D$7:$AW$7, 'GEN-SOLAR'!$D$116:$AW$116), 0), IF($B24='Project List References'!$B$5, _xlfn.IFNA(_xlfn.XLOOKUP(N$2-$C24, 'GEN-BESS'!$D$7:$AW$7, 'GEN-BESS'!$D$120:$AW$120), 0), IF($B24='Project List References'!$B$6, _xlfn.IFNA(_xlfn.XLOOKUP(N$2-$C24, 'GEN-CARBON'!$D$7:$AW$7, 'GEN-CARBON'!$D$118:$AW$118), 0), IF($B24='Project List References'!$B$7, _xlfn.IFNA(_xlfn.XLOOKUP(N$2-$C24, 'SENS Coal'!$D$7:$AW$7, 'SENS Coal'!$D$134:$AW$134), 0), IF($B24='Project List References'!$B$8, _xlfn.IFNA(_xlfn.XLOOKUP(N$2-$C24,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O24" s="743" t="e">
        <f>IF($B24='Project List References'!$B$3, _xlfn.IFNA(_xlfn.XLOOKUP(O$2-$C24, 'GEN-CCGT'!$D$7:$AW$7, 'GEN-CCGT'!$D$118:$AW$118), 0), IF($B24='Project List References'!$B$4, _xlfn.IFNA(_xlfn.XLOOKUP(O$2-$C24, 'GEN-SOLAR'!$D$7:$AW$7, 'GEN-SOLAR'!$D$116:$AW$116), 0), IF($B24='Project List References'!$B$5, _xlfn.IFNA(_xlfn.XLOOKUP(O$2-$C24, 'GEN-BESS'!$D$7:$AW$7, 'GEN-BESS'!$D$120:$AW$120), 0), IF($B24='Project List References'!$B$6, _xlfn.IFNA(_xlfn.XLOOKUP(O$2-$C24, 'GEN-CARBON'!$D$7:$AW$7, 'GEN-CARBON'!$D$118:$AW$118), 0), IF($B24='Project List References'!$B$7, _xlfn.IFNA(_xlfn.XLOOKUP(O$2-$C24, 'SENS Coal'!$D$7:$AW$7, 'SENS Coal'!$D$134:$AW$134), 0), IF($B24='Project List References'!$B$8, _xlfn.IFNA(_xlfn.XLOOKUP(O$2-$C24,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P24" s="743" t="e">
        <f>IF($B24='Project List References'!$B$3, _xlfn.IFNA(_xlfn.XLOOKUP(P$2-$C24, 'GEN-CCGT'!$D$7:$AW$7, 'GEN-CCGT'!$D$118:$AW$118), 0), IF($B24='Project List References'!$B$4, _xlfn.IFNA(_xlfn.XLOOKUP(P$2-$C24, 'GEN-SOLAR'!$D$7:$AW$7, 'GEN-SOLAR'!$D$116:$AW$116), 0), IF($B24='Project List References'!$B$5, _xlfn.IFNA(_xlfn.XLOOKUP(P$2-$C24, 'GEN-BESS'!$D$7:$AW$7, 'GEN-BESS'!$D$120:$AW$120), 0), IF($B24='Project List References'!$B$6, _xlfn.IFNA(_xlfn.XLOOKUP(P$2-$C24, 'GEN-CARBON'!$D$7:$AW$7, 'GEN-CARBON'!$D$118:$AW$118), 0), IF($B24='Project List References'!$B$7, _xlfn.IFNA(_xlfn.XLOOKUP(P$2-$C24, 'SENS Coal'!$D$7:$AW$7, 'SENS Coal'!$D$134:$AW$134), 0), IF($B24='Project List References'!$B$8, _xlfn.IFNA(_xlfn.XLOOKUP(P$2-$C24,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Q24" s="743" t="e">
        <f>IF($B24='Project List References'!$B$3, _xlfn.IFNA(_xlfn.XLOOKUP(Q$2-$C24, 'GEN-CCGT'!$D$7:$AW$7, 'GEN-CCGT'!$D$118:$AW$118), 0), IF($B24='Project List References'!$B$4, _xlfn.IFNA(_xlfn.XLOOKUP(Q$2-$C24, 'GEN-SOLAR'!$D$7:$AW$7, 'GEN-SOLAR'!$D$116:$AW$116), 0), IF($B24='Project List References'!$B$5, _xlfn.IFNA(_xlfn.XLOOKUP(Q$2-$C24, 'GEN-BESS'!$D$7:$AW$7, 'GEN-BESS'!$D$120:$AW$120), 0), IF($B24='Project List References'!$B$6, _xlfn.IFNA(_xlfn.XLOOKUP(Q$2-$C24, 'GEN-CARBON'!$D$7:$AW$7, 'GEN-CARBON'!$D$118:$AW$118), 0), IF($B24='Project List References'!$B$7, _xlfn.IFNA(_xlfn.XLOOKUP(Q$2-$C24, 'SENS Coal'!$D$7:$AW$7, 'SENS Coal'!$D$134:$AW$134), 0), IF($B24='Project List References'!$B$8, _xlfn.IFNA(_xlfn.XLOOKUP(Q$2-$C24,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R24" s="743" t="e">
        <f>IF($B24='Project List References'!$B$3, _xlfn.IFNA(_xlfn.XLOOKUP(R$2-$C24, 'GEN-CCGT'!$D$7:$AW$7, 'GEN-CCGT'!$D$118:$AW$118), 0), IF($B24='Project List References'!$B$4, _xlfn.IFNA(_xlfn.XLOOKUP(R$2-$C24, 'GEN-SOLAR'!$D$7:$AW$7, 'GEN-SOLAR'!$D$116:$AW$116), 0), IF($B24='Project List References'!$B$5, _xlfn.IFNA(_xlfn.XLOOKUP(R$2-$C24, 'GEN-BESS'!$D$7:$AW$7, 'GEN-BESS'!$D$120:$AW$120), 0), IF($B24='Project List References'!$B$6, _xlfn.IFNA(_xlfn.XLOOKUP(R$2-$C24, 'GEN-CARBON'!$D$7:$AW$7, 'GEN-CARBON'!$D$118:$AW$118), 0), IF($B24='Project List References'!$B$7, _xlfn.IFNA(_xlfn.XLOOKUP(R$2-$C24, 'SENS Coal'!$D$7:$AW$7, 'SENS Coal'!$D$134:$AW$134), 0), IF($B24='Project List References'!$B$8, _xlfn.IFNA(_xlfn.XLOOKUP(R$2-$C24,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S24" s="743" t="e">
        <f>IF($B24='Project List References'!$B$3, _xlfn.IFNA(_xlfn.XLOOKUP(S$2-$C24, 'GEN-CCGT'!$D$7:$AW$7, 'GEN-CCGT'!$D$118:$AW$118), 0), IF($B24='Project List References'!$B$4, _xlfn.IFNA(_xlfn.XLOOKUP(S$2-$C24, 'GEN-SOLAR'!$D$7:$AW$7, 'GEN-SOLAR'!$D$116:$AW$116), 0), IF($B24='Project List References'!$B$5, _xlfn.IFNA(_xlfn.XLOOKUP(S$2-$C24, 'GEN-BESS'!$D$7:$AW$7, 'GEN-BESS'!$D$120:$AW$120), 0), IF($B24='Project List References'!$B$6, _xlfn.IFNA(_xlfn.XLOOKUP(S$2-$C24, 'GEN-CARBON'!$D$7:$AW$7, 'GEN-CARBON'!$D$118:$AW$118), 0), IF($B24='Project List References'!$B$7, _xlfn.IFNA(_xlfn.XLOOKUP(S$2-$C24, 'SENS Coal'!$D$7:$AW$7, 'SENS Coal'!$D$134:$AW$134), 0), IF($B24='Project List References'!$B$8, _xlfn.IFNA(_xlfn.XLOOKUP(S$2-$C24,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T24" s="743" t="e">
        <f>IF($B24='Project List References'!$B$3, _xlfn.IFNA(_xlfn.XLOOKUP(T$2-$C24, 'GEN-CCGT'!$D$7:$AW$7, 'GEN-CCGT'!$D$118:$AW$118), 0), IF($B24='Project List References'!$B$4, _xlfn.IFNA(_xlfn.XLOOKUP(T$2-$C24, 'GEN-SOLAR'!$D$7:$AW$7, 'GEN-SOLAR'!$D$116:$AW$116), 0), IF($B24='Project List References'!$B$5, _xlfn.IFNA(_xlfn.XLOOKUP(T$2-$C24, 'GEN-BESS'!$D$7:$AW$7, 'GEN-BESS'!$D$120:$AW$120), 0), IF($B24='Project List References'!$B$6, _xlfn.IFNA(_xlfn.XLOOKUP(T$2-$C24, 'GEN-CARBON'!$D$7:$AW$7, 'GEN-CARBON'!$D$118:$AW$118), 0), IF($B24='Project List References'!$B$7, _xlfn.IFNA(_xlfn.XLOOKUP(T$2-$C24, 'SENS Coal'!$D$7:$AW$7, 'SENS Coal'!$D$134:$AW$134), 0), IF($B24='Project List References'!$B$8, _xlfn.IFNA(_xlfn.XLOOKUP(T$2-$C24, 'SENS Tires'!$D$7:$AW$7, 'SENS Tires'!$D$132:$AW$132),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</row>
    <row r="25" spans="1:20">
      <c r="A25" s="655" t="str">
        <f>IF(ISBLANK('Project Master Sheet'!A25)=FALSE, 'Project Master Sheet'!A25, "")</f>
        <v/>
      </c>
      <c r="B25" s="655" t="str">
        <f>_xlfn.IFNA(_xlfn.XLOOKUP(A25, 'Project Master Sheet'!A:A, 'Project Master Sheet'!D:D), "")</f>
        <v/>
      </c>
      <c r="C25" s="655" t="e">
        <f>_xlfn.XLOOKUP(A25, 'Project Master Sheet'!A:A, 'Project Master Sheet'!I:I)</f>
        <v>#N/A</v>
      </c>
      <c r="E25" s="743" t="e">
        <f>IF($B25='Project List References'!$B$3, _xlfn.IFNA(_xlfn.XLOOKUP(E$2-$C25, 'GEN-CCGT'!$D$7:$AW$7, 'GEN-CCGT'!$D$118:$AW$118), 0), IF($B25='Project List References'!$B$4, _xlfn.IFNA(_xlfn.XLOOKUP(E$2-$C25, 'GEN-SOLAR'!$D$7:$AW$7, 'GEN-SOLAR'!$D$116:$AW$116), 0), IF($B25='Project List References'!$B$5, _xlfn.IFNA(_xlfn.XLOOKUP(E$2-$C25, 'GEN-BESS'!$D$7:$AW$7, 'GEN-BESS'!$D$120:$AW$120), 0), IF($B25='Project List References'!$B$6, _xlfn.IFNA(_xlfn.XLOOKUP(E$2-$C25, 'GEN-CARBON'!$D$7:$AW$7, 'GEN-CARBON'!$D$118:$AW$118), 0), IF($B25='Project List References'!$B$7, _xlfn.IFNA(_xlfn.XLOOKUP(E$2-$C25, 'SENS Coal'!$D$7:$AW$7, 'SENS Coal'!$D$134:$AW$134), 0), IF($B25='Project List References'!$B$8, _xlfn.IFNA(_xlfn.XLOOKUP(E$2-$C25,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F25" s="743" t="e">
        <f>IF($B25='Project List References'!$B$3, _xlfn.IFNA(_xlfn.XLOOKUP(F$2-$C25, 'GEN-CCGT'!$D$7:$AW$7, 'GEN-CCGT'!$D$118:$AW$118), 0), IF($B25='Project List References'!$B$4, _xlfn.IFNA(_xlfn.XLOOKUP(F$2-$C25, 'GEN-SOLAR'!$D$7:$AW$7, 'GEN-SOLAR'!$D$116:$AW$116), 0), IF($B25='Project List References'!$B$5, _xlfn.IFNA(_xlfn.XLOOKUP(F$2-$C25, 'GEN-BESS'!$D$7:$AW$7, 'GEN-BESS'!$D$120:$AW$120), 0), IF($B25='Project List References'!$B$6, _xlfn.IFNA(_xlfn.XLOOKUP(F$2-$C25, 'GEN-CARBON'!$D$7:$AW$7, 'GEN-CARBON'!$D$118:$AW$118), 0), IF($B25='Project List References'!$B$7, _xlfn.IFNA(_xlfn.XLOOKUP(F$2-$C25, 'SENS Coal'!$D$7:$AW$7, 'SENS Coal'!$D$134:$AW$134), 0), IF($B25='Project List References'!$B$8, _xlfn.IFNA(_xlfn.XLOOKUP(F$2-$C25,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G25" s="743" t="e">
        <f>IF($B25='Project List References'!$B$3, _xlfn.IFNA(_xlfn.XLOOKUP(G$2-$C25, 'GEN-CCGT'!$D$7:$AW$7, 'GEN-CCGT'!$D$118:$AW$118), 0), IF($B25='Project List References'!$B$4, _xlfn.IFNA(_xlfn.XLOOKUP(G$2-$C25, 'GEN-SOLAR'!$D$7:$AW$7, 'GEN-SOLAR'!$D$116:$AW$116), 0), IF($B25='Project List References'!$B$5, _xlfn.IFNA(_xlfn.XLOOKUP(G$2-$C25, 'GEN-BESS'!$D$7:$AW$7, 'GEN-BESS'!$D$120:$AW$120), 0), IF($B25='Project List References'!$B$6, _xlfn.IFNA(_xlfn.XLOOKUP(G$2-$C25, 'GEN-CARBON'!$D$7:$AW$7, 'GEN-CARBON'!$D$118:$AW$118), 0), IF($B25='Project List References'!$B$7, _xlfn.IFNA(_xlfn.XLOOKUP(G$2-$C25, 'SENS Coal'!$D$7:$AW$7, 'SENS Coal'!$D$134:$AW$134), 0), IF($B25='Project List References'!$B$8, _xlfn.IFNA(_xlfn.XLOOKUP(G$2-$C25,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H25" s="743" t="e">
        <f>IF($B25='Project List References'!$B$3, _xlfn.IFNA(_xlfn.XLOOKUP(H$2-$C25, 'GEN-CCGT'!$D$7:$AW$7, 'GEN-CCGT'!$D$118:$AW$118), 0), IF($B25='Project List References'!$B$4, _xlfn.IFNA(_xlfn.XLOOKUP(H$2-$C25, 'GEN-SOLAR'!$D$7:$AW$7, 'GEN-SOLAR'!$D$116:$AW$116), 0), IF($B25='Project List References'!$B$5, _xlfn.IFNA(_xlfn.XLOOKUP(H$2-$C25, 'GEN-BESS'!$D$7:$AW$7, 'GEN-BESS'!$D$120:$AW$120), 0), IF($B25='Project List References'!$B$6, _xlfn.IFNA(_xlfn.XLOOKUP(H$2-$C25, 'GEN-CARBON'!$D$7:$AW$7, 'GEN-CARBON'!$D$118:$AW$118), 0), IF($B25='Project List References'!$B$7, _xlfn.IFNA(_xlfn.XLOOKUP(H$2-$C25, 'SENS Coal'!$D$7:$AW$7, 'SENS Coal'!$D$134:$AW$134), 0), IF($B25='Project List References'!$B$8, _xlfn.IFNA(_xlfn.XLOOKUP(H$2-$C25,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I25" s="743" t="e">
        <f>IF($B25='Project List References'!$B$3, _xlfn.IFNA(_xlfn.XLOOKUP(I$2-$C25, 'GEN-CCGT'!$D$7:$AW$7, 'GEN-CCGT'!$D$118:$AW$118), 0), IF($B25='Project List References'!$B$4, _xlfn.IFNA(_xlfn.XLOOKUP(I$2-$C25, 'GEN-SOLAR'!$D$7:$AW$7, 'GEN-SOLAR'!$D$116:$AW$116), 0), IF($B25='Project List References'!$B$5, _xlfn.IFNA(_xlfn.XLOOKUP(I$2-$C25, 'GEN-BESS'!$D$7:$AW$7, 'GEN-BESS'!$D$120:$AW$120), 0), IF($B25='Project List References'!$B$6, _xlfn.IFNA(_xlfn.XLOOKUP(I$2-$C25, 'GEN-CARBON'!$D$7:$AW$7, 'GEN-CARBON'!$D$118:$AW$118), 0), IF($B25='Project List References'!$B$7, _xlfn.IFNA(_xlfn.XLOOKUP(I$2-$C25, 'SENS Coal'!$D$7:$AW$7, 'SENS Coal'!$D$134:$AW$134), 0), IF($B25='Project List References'!$B$8, _xlfn.IFNA(_xlfn.XLOOKUP(I$2-$C25,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J25" s="743" t="e">
        <f>IF($B25='Project List References'!$B$3, _xlfn.IFNA(_xlfn.XLOOKUP(J$2-$C25, 'GEN-CCGT'!$D$7:$AW$7, 'GEN-CCGT'!$D$118:$AW$118), 0), IF($B25='Project List References'!$B$4, _xlfn.IFNA(_xlfn.XLOOKUP(J$2-$C25, 'GEN-SOLAR'!$D$7:$AW$7, 'GEN-SOLAR'!$D$116:$AW$116), 0), IF($B25='Project List References'!$B$5, _xlfn.IFNA(_xlfn.XLOOKUP(J$2-$C25, 'GEN-BESS'!$D$7:$AW$7, 'GEN-BESS'!$D$120:$AW$120), 0), IF($B25='Project List References'!$B$6, _xlfn.IFNA(_xlfn.XLOOKUP(J$2-$C25, 'GEN-CARBON'!$D$7:$AW$7, 'GEN-CARBON'!$D$118:$AW$118), 0), IF($B25='Project List References'!$B$7, _xlfn.IFNA(_xlfn.XLOOKUP(J$2-$C25, 'SENS Coal'!$D$7:$AW$7, 'SENS Coal'!$D$134:$AW$134), 0), IF($B25='Project List References'!$B$8, _xlfn.IFNA(_xlfn.XLOOKUP(J$2-$C25,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K25" s="743" t="e">
        <f>IF($B25='Project List References'!$B$3, _xlfn.IFNA(_xlfn.XLOOKUP(K$2-$C25, 'GEN-CCGT'!$D$7:$AW$7, 'GEN-CCGT'!$D$118:$AW$118), 0), IF($B25='Project List References'!$B$4, _xlfn.IFNA(_xlfn.XLOOKUP(K$2-$C25, 'GEN-SOLAR'!$D$7:$AW$7, 'GEN-SOLAR'!$D$116:$AW$116), 0), IF($B25='Project List References'!$B$5, _xlfn.IFNA(_xlfn.XLOOKUP(K$2-$C25, 'GEN-BESS'!$D$7:$AW$7, 'GEN-BESS'!$D$120:$AW$120), 0), IF($B25='Project List References'!$B$6, _xlfn.IFNA(_xlfn.XLOOKUP(K$2-$C25, 'GEN-CARBON'!$D$7:$AW$7, 'GEN-CARBON'!$D$118:$AW$118), 0), IF($B25='Project List References'!$B$7, _xlfn.IFNA(_xlfn.XLOOKUP(K$2-$C25, 'SENS Coal'!$D$7:$AW$7, 'SENS Coal'!$D$134:$AW$134), 0), IF($B25='Project List References'!$B$8, _xlfn.IFNA(_xlfn.XLOOKUP(K$2-$C25,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L25" s="743" t="e">
        <f>IF($B25='Project List References'!$B$3, _xlfn.IFNA(_xlfn.XLOOKUP(L$2-$C25, 'GEN-CCGT'!$D$7:$AW$7, 'GEN-CCGT'!$D$118:$AW$118), 0), IF($B25='Project List References'!$B$4, _xlfn.IFNA(_xlfn.XLOOKUP(L$2-$C25, 'GEN-SOLAR'!$D$7:$AW$7, 'GEN-SOLAR'!$D$116:$AW$116), 0), IF($B25='Project List References'!$B$5, _xlfn.IFNA(_xlfn.XLOOKUP(L$2-$C25, 'GEN-BESS'!$D$7:$AW$7, 'GEN-BESS'!$D$120:$AW$120), 0), IF($B25='Project List References'!$B$6, _xlfn.IFNA(_xlfn.XLOOKUP(L$2-$C25, 'GEN-CARBON'!$D$7:$AW$7, 'GEN-CARBON'!$D$118:$AW$118), 0), IF($B25='Project List References'!$B$7, _xlfn.IFNA(_xlfn.XLOOKUP(L$2-$C25, 'SENS Coal'!$D$7:$AW$7, 'SENS Coal'!$D$134:$AW$134), 0), IF($B25='Project List References'!$B$8, _xlfn.IFNA(_xlfn.XLOOKUP(L$2-$C25,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M25" s="743" t="e">
        <f>IF($B25='Project List References'!$B$3, _xlfn.IFNA(_xlfn.XLOOKUP(M$2-$C25, 'GEN-CCGT'!$D$7:$AW$7, 'GEN-CCGT'!$D$118:$AW$118), 0), IF($B25='Project List References'!$B$4, _xlfn.IFNA(_xlfn.XLOOKUP(M$2-$C25, 'GEN-SOLAR'!$D$7:$AW$7, 'GEN-SOLAR'!$D$116:$AW$116), 0), IF($B25='Project List References'!$B$5, _xlfn.IFNA(_xlfn.XLOOKUP(M$2-$C25, 'GEN-BESS'!$D$7:$AW$7, 'GEN-BESS'!$D$120:$AW$120), 0), IF($B25='Project List References'!$B$6, _xlfn.IFNA(_xlfn.XLOOKUP(M$2-$C25, 'GEN-CARBON'!$D$7:$AW$7, 'GEN-CARBON'!$D$118:$AW$118), 0), IF($B25='Project List References'!$B$7, _xlfn.IFNA(_xlfn.XLOOKUP(M$2-$C25, 'SENS Coal'!$D$7:$AW$7, 'SENS Coal'!$D$134:$AW$134), 0), IF($B25='Project List References'!$B$8, _xlfn.IFNA(_xlfn.XLOOKUP(M$2-$C25,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N25" s="743" t="e">
        <f>IF($B25='Project List References'!$B$3, _xlfn.IFNA(_xlfn.XLOOKUP(N$2-$C25, 'GEN-CCGT'!$D$7:$AW$7, 'GEN-CCGT'!$D$118:$AW$118), 0), IF($B25='Project List References'!$B$4, _xlfn.IFNA(_xlfn.XLOOKUP(N$2-$C25, 'GEN-SOLAR'!$D$7:$AW$7, 'GEN-SOLAR'!$D$116:$AW$116), 0), IF($B25='Project List References'!$B$5, _xlfn.IFNA(_xlfn.XLOOKUP(N$2-$C25, 'GEN-BESS'!$D$7:$AW$7, 'GEN-BESS'!$D$120:$AW$120), 0), IF($B25='Project List References'!$B$6, _xlfn.IFNA(_xlfn.XLOOKUP(N$2-$C25, 'GEN-CARBON'!$D$7:$AW$7, 'GEN-CARBON'!$D$118:$AW$118), 0), IF($B25='Project List References'!$B$7, _xlfn.IFNA(_xlfn.XLOOKUP(N$2-$C25, 'SENS Coal'!$D$7:$AW$7, 'SENS Coal'!$D$134:$AW$134), 0), IF($B25='Project List References'!$B$8, _xlfn.IFNA(_xlfn.XLOOKUP(N$2-$C25,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O25" s="743" t="e">
        <f>IF($B25='Project List References'!$B$3, _xlfn.IFNA(_xlfn.XLOOKUP(O$2-$C25, 'GEN-CCGT'!$D$7:$AW$7, 'GEN-CCGT'!$D$118:$AW$118), 0), IF($B25='Project List References'!$B$4, _xlfn.IFNA(_xlfn.XLOOKUP(O$2-$C25, 'GEN-SOLAR'!$D$7:$AW$7, 'GEN-SOLAR'!$D$116:$AW$116), 0), IF($B25='Project List References'!$B$5, _xlfn.IFNA(_xlfn.XLOOKUP(O$2-$C25, 'GEN-BESS'!$D$7:$AW$7, 'GEN-BESS'!$D$120:$AW$120), 0), IF($B25='Project List References'!$B$6, _xlfn.IFNA(_xlfn.XLOOKUP(O$2-$C25, 'GEN-CARBON'!$D$7:$AW$7, 'GEN-CARBON'!$D$118:$AW$118), 0), IF($B25='Project List References'!$B$7, _xlfn.IFNA(_xlfn.XLOOKUP(O$2-$C25, 'SENS Coal'!$D$7:$AW$7, 'SENS Coal'!$D$134:$AW$134), 0), IF($B25='Project List References'!$B$8, _xlfn.IFNA(_xlfn.XLOOKUP(O$2-$C25,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P25" s="743" t="e">
        <f>IF($B25='Project List References'!$B$3, _xlfn.IFNA(_xlfn.XLOOKUP(P$2-$C25, 'GEN-CCGT'!$D$7:$AW$7, 'GEN-CCGT'!$D$118:$AW$118), 0), IF($B25='Project List References'!$B$4, _xlfn.IFNA(_xlfn.XLOOKUP(P$2-$C25, 'GEN-SOLAR'!$D$7:$AW$7, 'GEN-SOLAR'!$D$116:$AW$116), 0), IF($B25='Project List References'!$B$5, _xlfn.IFNA(_xlfn.XLOOKUP(P$2-$C25, 'GEN-BESS'!$D$7:$AW$7, 'GEN-BESS'!$D$120:$AW$120), 0), IF($B25='Project List References'!$B$6, _xlfn.IFNA(_xlfn.XLOOKUP(P$2-$C25, 'GEN-CARBON'!$D$7:$AW$7, 'GEN-CARBON'!$D$118:$AW$118), 0), IF($B25='Project List References'!$B$7, _xlfn.IFNA(_xlfn.XLOOKUP(P$2-$C25, 'SENS Coal'!$D$7:$AW$7, 'SENS Coal'!$D$134:$AW$134), 0), IF($B25='Project List References'!$B$8, _xlfn.IFNA(_xlfn.XLOOKUP(P$2-$C25,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Q25" s="743" t="e">
        <f>IF($B25='Project List References'!$B$3, _xlfn.IFNA(_xlfn.XLOOKUP(Q$2-$C25, 'GEN-CCGT'!$D$7:$AW$7, 'GEN-CCGT'!$D$118:$AW$118), 0), IF($B25='Project List References'!$B$4, _xlfn.IFNA(_xlfn.XLOOKUP(Q$2-$C25, 'GEN-SOLAR'!$D$7:$AW$7, 'GEN-SOLAR'!$D$116:$AW$116), 0), IF($B25='Project List References'!$B$5, _xlfn.IFNA(_xlfn.XLOOKUP(Q$2-$C25, 'GEN-BESS'!$D$7:$AW$7, 'GEN-BESS'!$D$120:$AW$120), 0), IF($B25='Project List References'!$B$6, _xlfn.IFNA(_xlfn.XLOOKUP(Q$2-$C25, 'GEN-CARBON'!$D$7:$AW$7, 'GEN-CARBON'!$D$118:$AW$118), 0), IF($B25='Project List References'!$B$7, _xlfn.IFNA(_xlfn.XLOOKUP(Q$2-$C25, 'SENS Coal'!$D$7:$AW$7, 'SENS Coal'!$D$134:$AW$134), 0), IF($B25='Project List References'!$B$8, _xlfn.IFNA(_xlfn.XLOOKUP(Q$2-$C25,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R25" s="743" t="e">
        <f>IF($B25='Project List References'!$B$3, _xlfn.IFNA(_xlfn.XLOOKUP(R$2-$C25, 'GEN-CCGT'!$D$7:$AW$7, 'GEN-CCGT'!$D$118:$AW$118), 0), IF($B25='Project List References'!$B$4, _xlfn.IFNA(_xlfn.XLOOKUP(R$2-$C25, 'GEN-SOLAR'!$D$7:$AW$7, 'GEN-SOLAR'!$D$116:$AW$116), 0), IF($B25='Project List References'!$B$5, _xlfn.IFNA(_xlfn.XLOOKUP(R$2-$C25, 'GEN-BESS'!$D$7:$AW$7, 'GEN-BESS'!$D$120:$AW$120), 0), IF($B25='Project List References'!$B$6, _xlfn.IFNA(_xlfn.XLOOKUP(R$2-$C25, 'GEN-CARBON'!$D$7:$AW$7, 'GEN-CARBON'!$D$118:$AW$118), 0), IF($B25='Project List References'!$B$7, _xlfn.IFNA(_xlfn.XLOOKUP(R$2-$C25, 'SENS Coal'!$D$7:$AW$7, 'SENS Coal'!$D$134:$AW$134), 0), IF($B25='Project List References'!$B$8, _xlfn.IFNA(_xlfn.XLOOKUP(R$2-$C25,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S25" s="743" t="e">
        <f>IF($B25='Project List References'!$B$3, _xlfn.IFNA(_xlfn.XLOOKUP(S$2-$C25, 'GEN-CCGT'!$D$7:$AW$7, 'GEN-CCGT'!$D$118:$AW$118), 0), IF($B25='Project List References'!$B$4, _xlfn.IFNA(_xlfn.XLOOKUP(S$2-$C25, 'GEN-SOLAR'!$D$7:$AW$7, 'GEN-SOLAR'!$D$116:$AW$116), 0), IF($B25='Project List References'!$B$5, _xlfn.IFNA(_xlfn.XLOOKUP(S$2-$C25, 'GEN-BESS'!$D$7:$AW$7, 'GEN-BESS'!$D$120:$AW$120), 0), IF($B25='Project List References'!$B$6, _xlfn.IFNA(_xlfn.XLOOKUP(S$2-$C25, 'GEN-CARBON'!$D$7:$AW$7, 'GEN-CARBON'!$D$118:$AW$118), 0), IF($B25='Project List References'!$B$7, _xlfn.IFNA(_xlfn.XLOOKUP(S$2-$C25, 'SENS Coal'!$D$7:$AW$7, 'SENS Coal'!$D$134:$AW$134), 0), IF($B25='Project List References'!$B$8, _xlfn.IFNA(_xlfn.XLOOKUP(S$2-$C25,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T25" s="743" t="e">
        <f>IF($B25='Project List References'!$B$3, _xlfn.IFNA(_xlfn.XLOOKUP(T$2-$C25, 'GEN-CCGT'!$D$7:$AW$7, 'GEN-CCGT'!$D$118:$AW$118), 0), IF($B25='Project List References'!$B$4, _xlfn.IFNA(_xlfn.XLOOKUP(T$2-$C25, 'GEN-SOLAR'!$D$7:$AW$7, 'GEN-SOLAR'!$D$116:$AW$116), 0), IF($B25='Project List References'!$B$5, _xlfn.IFNA(_xlfn.XLOOKUP(T$2-$C25, 'GEN-BESS'!$D$7:$AW$7, 'GEN-BESS'!$D$120:$AW$120), 0), IF($B25='Project List References'!$B$6, _xlfn.IFNA(_xlfn.XLOOKUP(T$2-$C25, 'GEN-CARBON'!$D$7:$AW$7, 'GEN-CARBON'!$D$118:$AW$118), 0), IF($B25='Project List References'!$B$7, _xlfn.IFNA(_xlfn.XLOOKUP(T$2-$C25, 'SENS Coal'!$D$7:$AW$7, 'SENS Coal'!$D$134:$AW$134), 0), IF($B25='Project List References'!$B$8, _xlfn.IFNA(_xlfn.XLOOKUP(T$2-$C25, 'SENS Tires'!$D$7:$AW$7, 'SENS Tires'!$D$132:$AW$132),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</row>
    <row r="26" spans="1:20">
      <c r="A26" s="655" t="str">
        <f>IF(ISBLANK('Project Master Sheet'!A26)=FALSE, 'Project Master Sheet'!A26, "")</f>
        <v/>
      </c>
      <c r="B26" s="655" t="str">
        <f>_xlfn.IFNA(_xlfn.XLOOKUP(A26, 'Project Master Sheet'!A:A, 'Project Master Sheet'!D:D), "")</f>
        <v/>
      </c>
      <c r="C26" s="655" t="e">
        <f>_xlfn.XLOOKUP(A26, 'Project Master Sheet'!A:A, 'Project Master Sheet'!I:I)</f>
        <v>#N/A</v>
      </c>
      <c r="E26" s="743" t="e">
        <f>IF($B26='Project List References'!$B$3, _xlfn.IFNA(_xlfn.XLOOKUP(E$2-$C26, 'GEN-CCGT'!$D$7:$AW$7, 'GEN-CCGT'!$D$118:$AW$118), 0), IF($B26='Project List References'!$B$4, _xlfn.IFNA(_xlfn.XLOOKUP(E$2-$C26, 'GEN-SOLAR'!$D$7:$AW$7, 'GEN-SOLAR'!$D$116:$AW$116), 0), IF($B26='Project List References'!$B$5, _xlfn.IFNA(_xlfn.XLOOKUP(E$2-$C26, 'GEN-BESS'!$D$7:$AW$7, 'GEN-BESS'!$D$120:$AW$120), 0), IF($B26='Project List References'!$B$6, _xlfn.IFNA(_xlfn.XLOOKUP(E$2-$C26, 'GEN-CARBON'!$D$7:$AW$7, 'GEN-CARBON'!$D$118:$AW$118), 0), IF($B26='Project List References'!$B$7, _xlfn.IFNA(_xlfn.XLOOKUP(E$2-$C26, 'SENS Coal'!$D$7:$AW$7, 'SENS Coal'!$D$134:$AW$134), 0), IF($B26='Project List References'!$B$8, _xlfn.IFNA(_xlfn.XLOOKUP(E$2-$C26,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F26" s="743" t="e">
        <f>IF($B26='Project List References'!$B$3, _xlfn.IFNA(_xlfn.XLOOKUP(F$2-$C26, 'GEN-CCGT'!$D$7:$AW$7, 'GEN-CCGT'!$D$118:$AW$118), 0), IF($B26='Project List References'!$B$4, _xlfn.IFNA(_xlfn.XLOOKUP(F$2-$C26, 'GEN-SOLAR'!$D$7:$AW$7, 'GEN-SOLAR'!$D$116:$AW$116), 0), IF($B26='Project List References'!$B$5, _xlfn.IFNA(_xlfn.XLOOKUP(F$2-$C26, 'GEN-BESS'!$D$7:$AW$7, 'GEN-BESS'!$D$120:$AW$120), 0), IF($B26='Project List References'!$B$6, _xlfn.IFNA(_xlfn.XLOOKUP(F$2-$C26, 'GEN-CARBON'!$D$7:$AW$7, 'GEN-CARBON'!$D$118:$AW$118), 0), IF($B26='Project List References'!$B$7, _xlfn.IFNA(_xlfn.XLOOKUP(F$2-$C26, 'SENS Coal'!$D$7:$AW$7, 'SENS Coal'!$D$134:$AW$134), 0), IF($B26='Project List References'!$B$8, _xlfn.IFNA(_xlfn.XLOOKUP(F$2-$C26,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G26" s="743" t="e">
        <f>IF($B26='Project List References'!$B$3, _xlfn.IFNA(_xlfn.XLOOKUP(G$2-$C26, 'GEN-CCGT'!$D$7:$AW$7, 'GEN-CCGT'!$D$118:$AW$118), 0), IF($B26='Project List References'!$B$4, _xlfn.IFNA(_xlfn.XLOOKUP(G$2-$C26, 'GEN-SOLAR'!$D$7:$AW$7, 'GEN-SOLAR'!$D$116:$AW$116), 0), IF($B26='Project List References'!$B$5, _xlfn.IFNA(_xlfn.XLOOKUP(G$2-$C26, 'GEN-BESS'!$D$7:$AW$7, 'GEN-BESS'!$D$120:$AW$120), 0), IF($B26='Project List References'!$B$6, _xlfn.IFNA(_xlfn.XLOOKUP(G$2-$C26, 'GEN-CARBON'!$D$7:$AW$7, 'GEN-CARBON'!$D$118:$AW$118), 0), IF($B26='Project List References'!$B$7, _xlfn.IFNA(_xlfn.XLOOKUP(G$2-$C26, 'SENS Coal'!$D$7:$AW$7, 'SENS Coal'!$D$134:$AW$134), 0), IF($B26='Project List References'!$B$8, _xlfn.IFNA(_xlfn.XLOOKUP(G$2-$C26,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H26" s="743" t="e">
        <f>IF($B26='Project List References'!$B$3, _xlfn.IFNA(_xlfn.XLOOKUP(H$2-$C26, 'GEN-CCGT'!$D$7:$AW$7, 'GEN-CCGT'!$D$118:$AW$118), 0), IF($B26='Project List References'!$B$4, _xlfn.IFNA(_xlfn.XLOOKUP(H$2-$C26, 'GEN-SOLAR'!$D$7:$AW$7, 'GEN-SOLAR'!$D$116:$AW$116), 0), IF($B26='Project List References'!$B$5, _xlfn.IFNA(_xlfn.XLOOKUP(H$2-$C26, 'GEN-BESS'!$D$7:$AW$7, 'GEN-BESS'!$D$120:$AW$120), 0), IF($B26='Project List References'!$B$6, _xlfn.IFNA(_xlfn.XLOOKUP(H$2-$C26, 'GEN-CARBON'!$D$7:$AW$7, 'GEN-CARBON'!$D$118:$AW$118), 0), IF($B26='Project List References'!$B$7, _xlfn.IFNA(_xlfn.XLOOKUP(H$2-$C26, 'SENS Coal'!$D$7:$AW$7, 'SENS Coal'!$D$134:$AW$134), 0), IF($B26='Project List References'!$B$8, _xlfn.IFNA(_xlfn.XLOOKUP(H$2-$C26,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I26" s="743" t="e">
        <f>IF($B26='Project List References'!$B$3, _xlfn.IFNA(_xlfn.XLOOKUP(I$2-$C26, 'GEN-CCGT'!$D$7:$AW$7, 'GEN-CCGT'!$D$118:$AW$118), 0), IF($B26='Project List References'!$B$4, _xlfn.IFNA(_xlfn.XLOOKUP(I$2-$C26, 'GEN-SOLAR'!$D$7:$AW$7, 'GEN-SOLAR'!$D$116:$AW$116), 0), IF($B26='Project List References'!$B$5, _xlfn.IFNA(_xlfn.XLOOKUP(I$2-$C26, 'GEN-BESS'!$D$7:$AW$7, 'GEN-BESS'!$D$120:$AW$120), 0), IF($B26='Project List References'!$B$6, _xlfn.IFNA(_xlfn.XLOOKUP(I$2-$C26, 'GEN-CARBON'!$D$7:$AW$7, 'GEN-CARBON'!$D$118:$AW$118), 0), IF($B26='Project List References'!$B$7, _xlfn.IFNA(_xlfn.XLOOKUP(I$2-$C26, 'SENS Coal'!$D$7:$AW$7, 'SENS Coal'!$D$134:$AW$134), 0), IF($B26='Project List References'!$B$8, _xlfn.IFNA(_xlfn.XLOOKUP(I$2-$C26,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J26" s="743" t="e">
        <f>IF($B26='Project List References'!$B$3, _xlfn.IFNA(_xlfn.XLOOKUP(J$2-$C26, 'GEN-CCGT'!$D$7:$AW$7, 'GEN-CCGT'!$D$118:$AW$118), 0), IF($B26='Project List References'!$B$4, _xlfn.IFNA(_xlfn.XLOOKUP(J$2-$C26, 'GEN-SOLAR'!$D$7:$AW$7, 'GEN-SOLAR'!$D$116:$AW$116), 0), IF($B26='Project List References'!$B$5, _xlfn.IFNA(_xlfn.XLOOKUP(J$2-$C26, 'GEN-BESS'!$D$7:$AW$7, 'GEN-BESS'!$D$120:$AW$120), 0), IF($B26='Project List References'!$B$6, _xlfn.IFNA(_xlfn.XLOOKUP(J$2-$C26, 'GEN-CARBON'!$D$7:$AW$7, 'GEN-CARBON'!$D$118:$AW$118), 0), IF($B26='Project List References'!$B$7, _xlfn.IFNA(_xlfn.XLOOKUP(J$2-$C26, 'SENS Coal'!$D$7:$AW$7, 'SENS Coal'!$D$134:$AW$134), 0), IF($B26='Project List References'!$B$8, _xlfn.IFNA(_xlfn.XLOOKUP(J$2-$C26,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K26" s="743" t="e">
        <f>IF($B26='Project List References'!$B$3, _xlfn.IFNA(_xlfn.XLOOKUP(K$2-$C26, 'GEN-CCGT'!$D$7:$AW$7, 'GEN-CCGT'!$D$118:$AW$118), 0), IF($B26='Project List References'!$B$4, _xlfn.IFNA(_xlfn.XLOOKUP(K$2-$C26, 'GEN-SOLAR'!$D$7:$AW$7, 'GEN-SOLAR'!$D$116:$AW$116), 0), IF($B26='Project List References'!$B$5, _xlfn.IFNA(_xlfn.XLOOKUP(K$2-$C26, 'GEN-BESS'!$D$7:$AW$7, 'GEN-BESS'!$D$120:$AW$120), 0), IF($B26='Project List References'!$B$6, _xlfn.IFNA(_xlfn.XLOOKUP(K$2-$C26, 'GEN-CARBON'!$D$7:$AW$7, 'GEN-CARBON'!$D$118:$AW$118), 0), IF($B26='Project List References'!$B$7, _xlfn.IFNA(_xlfn.XLOOKUP(K$2-$C26, 'SENS Coal'!$D$7:$AW$7, 'SENS Coal'!$D$134:$AW$134), 0), IF($B26='Project List References'!$B$8, _xlfn.IFNA(_xlfn.XLOOKUP(K$2-$C26,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L26" s="743" t="e">
        <f>IF($B26='Project List References'!$B$3, _xlfn.IFNA(_xlfn.XLOOKUP(L$2-$C26, 'GEN-CCGT'!$D$7:$AW$7, 'GEN-CCGT'!$D$118:$AW$118), 0), IF($B26='Project List References'!$B$4, _xlfn.IFNA(_xlfn.XLOOKUP(L$2-$C26, 'GEN-SOLAR'!$D$7:$AW$7, 'GEN-SOLAR'!$D$116:$AW$116), 0), IF($B26='Project List References'!$B$5, _xlfn.IFNA(_xlfn.XLOOKUP(L$2-$C26, 'GEN-BESS'!$D$7:$AW$7, 'GEN-BESS'!$D$120:$AW$120), 0), IF($B26='Project List References'!$B$6, _xlfn.IFNA(_xlfn.XLOOKUP(L$2-$C26, 'GEN-CARBON'!$D$7:$AW$7, 'GEN-CARBON'!$D$118:$AW$118), 0), IF($B26='Project List References'!$B$7, _xlfn.IFNA(_xlfn.XLOOKUP(L$2-$C26, 'SENS Coal'!$D$7:$AW$7, 'SENS Coal'!$D$134:$AW$134), 0), IF($B26='Project List References'!$B$8, _xlfn.IFNA(_xlfn.XLOOKUP(L$2-$C26,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M26" s="743" t="e">
        <f>IF($B26='Project List References'!$B$3, _xlfn.IFNA(_xlfn.XLOOKUP(M$2-$C26, 'GEN-CCGT'!$D$7:$AW$7, 'GEN-CCGT'!$D$118:$AW$118), 0), IF($B26='Project List References'!$B$4, _xlfn.IFNA(_xlfn.XLOOKUP(M$2-$C26, 'GEN-SOLAR'!$D$7:$AW$7, 'GEN-SOLAR'!$D$116:$AW$116), 0), IF($B26='Project List References'!$B$5, _xlfn.IFNA(_xlfn.XLOOKUP(M$2-$C26, 'GEN-BESS'!$D$7:$AW$7, 'GEN-BESS'!$D$120:$AW$120), 0), IF($B26='Project List References'!$B$6, _xlfn.IFNA(_xlfn.XLOOKUP(M$2-$C26, 'GEN-CARBON'!$D$7:$AW$7, 'GEN-CARBON'!$D$118:$AW$118), 0), IF($B26='Project List References'!$B$7, _xlfn.IFNA(_xlfn.XLOOKUP(M$2-$C26, 'SENS Coal'!$D$7:$AW$7, 'SENS Coal'!$D$134:$AW$134), 0), IF($B26='Project List References'!$B$8, _xlfn.IFNA(_xlfn.XLOOKUP(M$2-$C26,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N26" s="743" t="e">
        <f>IF($B26='Project List References'!$B$3, _xlfn.IFNA(_xlfn.XLOOKUP(N$2-$C26, 'GEN-CCGT'!$D$7:$AW$7, 'GEN-CCGT'!$D$118:$AW$118), 0), IF($B26='Project List References'!$B$4, _xlfn.IFNA(_xlfn.XLOOKUP(N$2-$C26, 'GEN-SOLAR'!$D$7:$AW$7, 'GEN-SOLAR'!$D$116:$AW$116), 0), IF($B26='Project List References'!$B$5, _xlfn.IFNA(_xlfn.XLOOKUP(N$2-$C26, 'GEN-BESS'!$D$7:$AW$7, 'GEN-BESS'!$D$120:$AW$120), 0), IF($B26='Project List References'!$B$6, _xlfn.IFNA(_xlfn.XLOOKUP(N$2-$C26, 'GEN-CARBON'!$D$7:$AW$7, 'GEN-CARBON'!$D$118:$AW$118), 0), IF($B26='Project List References'!$B$7, _xlfn.IFNA(_xlfn.XLOOKUP(N$2-$C26, 'SENS Coal'!$D$7:$AW$7, 'SENS Coal'!$D$134:$AW$134), 0), IF($B26='Project List References'!$B$8, _xlfn.IFNA(_xlfn.XLOOKUP(N$2-$C26,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O26" s="743" t="e">
        <f>IF($B26='Project List References'!$B$3, _xlfn.IFNA(_xlfn.XLOOKUP(O$2-$C26, 'GEN-CCGT'!$D$7:$AW$7, 'GEN-CCGT'!$D$118:$AW$118), 0), IF($B26='Project List References'!$B$4, _xlfn.IFNA(_xlfn.XLOOKUP(O$2-$C26, 'GEN-SOLAR'!$D$7:$AW$7, 'GEN-SOLAR'!$D$116:$AW$116), 0), IF($B26='Project List References'!$B$5, _xlfn.IFNA(_xlfn.XLOOKUP(O$2-$C26, 'GEN-BESS'!$D$7:$AW$7, 'GEN-BESS'!$D$120:$AW$120), 0), IF($B26='Project List References'!$B$6, _xlfn.IFNA(_xlfn.XLOOKUP(O$2-$C26, 'GEN-CARBON'!$D$7:$AW$7, 'GEN-CARBON'!$D$118:$AW$118), 0), IF($B26='Project List References'!$B$7, _xlfn.IFNA(_xlfn.XLOOKUP(O$2-$C26, 'SENS Coal'!$D$7:$AW$7, 'SENS Coal'!$D$134:$AW$134), 0), IF($B26='Project List References'!$B$8, _xlfn.IFNA(_xlfn.XLOOKUP(O$2-$C26,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P26" s="743" t="e">
        <f>IF($B26='Project List References'!$B$3, _xlfn.IFNA(_xlfn.XLOOKUP(P$2-$C26, 'GEN-CCGT'!$D$7:$AW$7, 'GEN-CCGT'!$D$118:$AW$118), 0), IF($B26='Project List References'!$B$4, _xlfn.IFNA(_xlfn.XLOOKUP(P$2-$C26, 'GEN-SOLAR'!$D$7:$AW$7, 'GEN-SOLAR'!$D$116:$AW$116), 0), IF($B26='Project List References'!$B$5, _xlfn.IFNA(_xlfn.XLOOKUP(P$2-$C26, 'GEN-BESS'!$D$7:$AW$7, 'GEN-BESS'!$D$120:$AW$120), 0), IF($B26='Project List References'!$B$6, _xlfn.IFNA(_xlfn.XLOOKUP(P$2-$C26, 'GEN-CARBON'!$D$7:$AW$7, 'GEN-CARBON'!$D$118:$AW$118), 0), IF($B26='Project List References'!$B$7, _xlfn.IFNA(_xlfn.XLOOKUP(P$2-$C26, 'SENS Coal'!$D$7:$AW$7, 'SENS Coal'!$D$134:$AW$134), 0), IF($B26='Project List References'!$B$8, _xlfn.IFNA(_xlfn.XLOOKUP(P$2-$C26,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Q26" s="743" t="e">
        <f>IF($B26='Project List References'!$B$3, _xlfn.IFNA(_xlfn.XLOOKUP(Q$2-$C26, 'GEN-CCGT'!$D$7:$AW$7, 'GEN-CCGT'!$D$118:$AW$118), 0), IF($B26='Project List References'!$B$4, _xlfn.IFNA(_xlfn.XLOOKUP(Q$2-$C26, 'GEN-SOLAR'!$D$7:$AW$7, 'GEN-SOLAR'!$D$116:$AW$116), 0), IF($B26='Project List References'!$B$5, _xlfn.IFNA(_xlfn.XLOOKUP(Q$2-$C26, 'GEN-BESS'!$D$7:$AW$7, 'GEN-BESS'!$D$120:$AW$120), 0), IF($B26='Project List References'!$B$6, _xlfn.IFNA(_xlfn.XLOOKUP(Q$2-$C26, 'GEN-CARBON'!$D$7:$AW$7, 'GEN-CARBON'!$D$118:$AW$118), 0), IF($B26='Project List References'!$B$7, _xlfn.IFNA(_xlfn.XLOOKUP(Q$2-$C26, 'SENS Coal'!$D$7:$AW$7, 'SENS Coal'!$D$134:$AW$134), 0), IF($B26='Project List References'!$B$8, _xlfn.IFNA(_xlfn.XLOOKUP(Q$2-$C26,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R26" s="743" t="e">
        <f>IF($B26='Project List References'!$B$3, _xlfn.IFNA(_xlfn.XLOOKUP(R$2-$C26, 'GEN-CCGT'!$D$7:$AW$7, 'GEN-CCGT'!$D$118:$AW$118), 0), IF($B26='Project List References'!$B$4, _xlfn.IFNA(_xlfn.XLOOKUP(R$2-$C26, 'GEN-SOLAR'!$D$7:$AW$7, 'GEN-SOLAR'!$D$116:$AW$116), 0), IF($B26='Project List References'!$B$5, _xlfn.IFNA(_xlfn.XLOOKUP(R$2-$C26, 'GEN-BESS'!$D$7:$AW$7, 'GEN-BESS'!$D$120:$AW$120), 0), IF($B26='Project List References'!$B$6, _xlfn.IFNA(_xlfn.XLOOKUP(R$2-$C26, 'GEN-CARBON'!$D$7:$AW$7, 'GEN-CARBON'!$D$118:$AW$118), 0), IF($B26='Project List References'!$B$7, _xlfn.IFNA(_xlfn.XLOOKUP(R$2-$C26, 'SENS Coal'!$D$7:$AW$7, 'SENS Coal'!$D$134:$AW$134), 0), IF($B26='Project List References'!$B$8, _xlfn.IFNA(_xlfn.XLOOKUP(R$2-$C26,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S26" s="743" t="e">
        <f>IF($B26='Project List References'!$B$3, _xlfn.IFNA(_xlfn.XLOOKUP(S$2-$C26, 'GEN-CCGT'!$D$7:$AW$7, 'GEN-CCGT'!$D$118:$AW$118), 0), IF($B26='Project List References'!$B$4, _xlfn.IFNA(_xlfn.XLOOKUP(S$2-$C26, 'GEN-SOLAR'!$D$7:$AW$7, 'GEN-SOLAR'!$D$116:$AW$116), 0), IF($B26='Project List References'!$B$5, _xlfn.IFNA(_xlfn.XLOOKUP(S$2-$C26, 'GEN-BESS'!$D$7:$AW$7, 'GEN-BESS'!$D$120:$AW$120), 0), IF($B26='Project List References'!$B$6, _xlfn.IFNA(_xlfn.XLOOKUP(S$2-$C26, 'GEN-CARBON'!$D$7:$AW$7, 'GEN-CARBON'!$D$118:$AW$118), 0), IF($B26='Project List References'!$B$7, _xlfn.IFNA(_xlfn.XLOOKUP(S$2-$C26, 'SENS Coal'!$D$7:$AW$7, 'SENS Coal'!$D$134:$AW$134), 0), IF($B26='Project List References'!$B$8, _xlfn.IFNA(_xlfn.XLOOKUP(S$2-$C26,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T26" s="743" t="e">
        <f>IF($B26='Project List References'!$B$3, _xlfn.IFNA(_xlfn.XLOOKUP(T$2-$C26, 'GEN-CCGT'!$D$7:$AW$7, 'GEN-CCGT'!$D$118:$AW$118), 0), IF($B26='Project List References'!$B$4, _xlfn.IFNA(_xlfn.XLOOKUP(T$2-$C26, 'GEN-SOLAR'!$D$7:$AW$7, 'GEN-SOLAR'!$D$116:$AW$116), 0), IF($B26='Project List References'!$B$5, _xlfn.IFNA(_xlfn.XLOOKUP(T$2-$C26, 'GEN-BESS'!$D$7:$AW$7, 'GEN-BESS'!$D$120:$AW$120), 0), IF($B26='Project List References'!$B$6, _xlfn.IFNA(_xlfn.XLOOKUP(T$2-$C26, 'GEN-CARBON'!$D$7:$AW$7, 'GEN-CARBON'!$D$118:$AW$118), 0), IF($B26='Project List References'!$B$7, _xlfn.IFNA(_xlfn.XLOOKUP(T$2-$C26, 'SENS Coal'!$D$7:$AW$7, 'SENS Coal'!$D$134:$AW$134), 0), IF($B26='Project List References'!$B$8, _xlfn.IFNA(_xlfn.XLOOKUP(T$2-$C26, 'SENS Tires'!$D$7:$AW$7, 'SENS Tires'!$D$132:$AW$132),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</row>
    <row r="27" spans="1:20">
      <c r="A27" s="655" t="str">
        <f>IF(ISBLANK('Project Master Sheet'!A27)=FALSE, 'Project Master Sheet'!A27, "")</f>
        <v/>
      </c>
      <c r="B27" s="655" t="str">
        <f>_xlfn.IFNA(_xlfn.XLOOKUP(A27, 'Project Master Sheet'!A:A, 'Project Master Sheet'!D:D), "")</f>
        <v/>
      </c>
      <c r="C27" s="655" t="e">
        <f>_xlfn.XLOOKUP(A27, 'Project Master Sheet'!A:A, 'Project Master Sheet'!I:I)</f>
        <v>#N/A</v>
      </c>
      <c r="E27" s="743" t="e">
        <f>IF($B27='Project List References'!$B$3, _xlfn.IFNA(_xlfn.XLOOKUP(E$2-$C27, 'GEN-CCGT'!$D$7:$AW$7, 'GEN-CCGT'!$D$118:$AW$118), 0), IF($B27='Project List References'!$B$4, _xlfn.IFNA(_xlfn.XLOOKUP(E$2-$C27, 'GEN-SOLAR'!$D$7:$AW$7, 'GEN-SOLAR'!$D$116:$AW$116), 0), IF($B27='Project List References'!$B$5, _xlfn.IFNA(_xlfn.XLOOKUP(E$2-$C27, 'GEN-BESS'!$D$7:$AW$7, 'GEN-BESS'!$D$120:$AW$120), 0), IF($B27='Project List References'!$B$6, _xlfn.IFNA(_xlfn.XLOOKUP(E$2-$C27, 'GEN-CARBON'!$D$7:$AW$7, 'GEN-CARBON'!$D$118:$AW$118), 0), IF($B27='Project List References'!$B$7, _xlfn.IFNA(_xlfn.XLOOKUP(E$2-$C27, 'SENS Coal'!$D$7:$AW$7, 'SENS Coal'!$D$134:$AW$134), 0), IF($B27='Project List References'!$B$8, _xlfn.IFNA(_xlfn.XLOOKUP(E$2-$C27,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F27" s="743" t="e">
        <f>IF($B27='Project List References'!$B$3, _xlfn.IFNA(_xlfn.XLOOKUP(F$2-$C27, 'GEN-CCGT'!$D$7:$AW$7, 'GEN-CCGT'!$D$118:$AW$118), 0), IF($B27='Project List References'!$B$4, _xlfn.IFNA(_xlfn.XLOOKUP(F$2-$C27, 'GEN-SOLAR'!$D$7:$AW$7, 'GEN-SOLAR'!$D$116:$AW$116), 0), IF($B27='Project List References'!$B$5, _xlfn.IFNA(_xlfn.XLOOKUP(F$2-$C27, 'GEN-BESS'!$D$7:$AW$7, 'GEN-BESS'!$D$120:$AW$120), 0), IF($B27='Project List References'!$B$6, _xlfn.IFNA(_xlfn.XLOOKUP(F$2-$C27, 'GEN-CARBON'!$D$7:$AW$7, 'GEN-CARBON'!$D$118:$AW$118), 0), IF($B27='Project List References'!$B$7, _xlfn.IFNA(_xlfn.XLOOKUP(F$2-$C27, 'SENS Coal'!$D$7:$AW$7, 'SENS Coal'!$D$134:$AW$134), 0), IF($B27='Project List References'!$B$8, _xlfn.IFNA(_xlfn.XLOOKUP(F$2-$C27,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G27" s="743" t="e">
        <f>IF($B27='Project List References'!$B$3, _xlfn.IFNA(_xlfn.XLOOKUP(G$2-$C27, 'GEN-CCGT'!$D$7:$AW$7, 'GEN-CCGT'!$D$118:$AW$118), 0), IF($B27='Project List References'!$B$4, _xlfn.IFNA(_xlfn.XLOOKUP(G$2-$C27, 'GEN-SOLAR'!$D$7:$AW$7, 'GEN-SOLAR'!$D$116:$AW$116), 0), IF($B27='Project List References'!$B$5, _xlfn.IFNA(_xlfn.XLOOKUP(G$2-$C27, 'GEN-BESS'!$D$7:$AW$7, 'GEN-BESS'!$D$120:$AW$120), 0), IF($B27='Project List References'!$B$6, _xlfn.IFNA(_xlfn.XLOOKUP(G$2-$C27, 'GEN-CARBON'!$D$7:$AW$7, 'GEN-CARBON'!$D$118:$AW$118), 0), IF($B27='Project List References'!$B$7, _xlfn.IFNA(_xlfn.XLOOKUP(G$2-$C27, 'SENS Coal'!$D$7:$AW$7, 'SENS Coal'!$D$134:$AW$134), 0), IF($B27='Project List References'!$B$8, _xlfn.IFNA(_xlfn.XLOOKUP(G$2-$C27,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H27" s="743" t="e">
        <f>IF($B27='Project List References'!$B$3, _xlfn.IFNA(_xlfn.XLOOKUP(H$2-$C27, 'GEN-CCGT'!$D$7:$AW$7, 'GEN-CCGT'!$D$118:$AW$118), 0), IF($B27='Project List References'!$B$4, _xlfn.IFNA(_xlfn.XLOOKUP(H$2-$C27, 'GEN-SOLAR'!$D$7:$AW$7, 'GEN-SOLAR'!$D$116:$AW$116), 0), IF($B27='Project List References'!$B$5, _xlfn.IFNA(_xlfn.XLOOKUP(H$2-$C27, 'GEN-BESS'!$D$7:$AW$7, 'GEN-BESS'!$D$120:$AW$120), 0), IF($B27='Project List References'!$B$6, _xlfn.IFNA(_xlfn.XLOOKUP(H$2-$C27, 'GEN-CARBON'!$D$7:$AW$7, 'GEN-CARBON'!$D$118:$AW$118), 0), IF($B27='Project List References'!$B$7, _xlfn.IFNA(_xlfn.XLOOKUP(H$2-$C27, 'SENS Coal'!$D$7:$AW$7, 'SENS Coal'!$D$134:$AW$134), 0), IF($B27='Project List References'!$B$8, _xlfn.IFNA(_xlfn.XLOOKUP(H$2-$C27,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I27" s="743" t="e">
        <f>IF($B27='Project List References'!$B$3, _xlfn.IFNA(_xlfn.XLOOKUP(I$2-$C27, 'GEN-CCGT'!$D$7:$AW$7, 'GEN-CCGT'!$D$118:$AW$118), 0), IF($B27='Project List References'!$B$4, _xlfn.IFNA(_xlfn.XLOOKUP(I$2-$C27, 'GEN-SOLAR'!$D$7:$AW$7, 'GEN-SOLAR'!$D$116:$AW$116), 0), IF($B27='Project List References'!$B$5, _xlfn.IFNA(_xlfn.XLOOKUP(I$2-$C27, 'GEN-BESS'!$D$7:$AW$7, 'GEN-BESS'!$D$120:$AW$120), 0), IF($B27='Project List References'!$B$6, _xlfn.IFNA(_xlfn.XLOOKUP(I$2-$C27, 'GEN-CARBON'!$D$7:$AW$7, 'GEN-CARBON'!$D$118:$AW$118), 0), IF($B27='Project List References'!$B$7, _xlfn.IFNA(_xlfn.XLOOKUP(I$2-$C27, 'SENS Coal'!$D$7:$AW$7, 'SENS Coal'!$D$134:$AW$134), 0), IF($B27='Project List References'!$B$8, _xlfn.IFNA(_xlfn.XLOOKUP(I$2-$C27,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J27" s="743" t="e">
        <f>IF($B27='Project List References'!$B$3, _xlfn.IFNA(_xlfn.XLOOKUP(J$2-$C27, 'GEN-CCGT'!$D$7:$AW$7, 'GEN-CCGT'!$D$118:$AW$118), 0), IF($B27='Project List References'!$B$4, _xlfn.IFNA(_xlfn.XLOOKUP(J$2-$C27, 'GEN-SOLAR'!$D$7:$AW$7, 'GEN-SOLAR'!$D$116:$AW$116), 0), IF($B27='Project List References'!$B$5, _xlfn.IFNA(_xlfn.XLOOKUP(J$2-$C27, 'GEN-BESS'!$D$7:$AW$7, 'GEN-BESS'!$D$120:$AW$120), 0), IF($B27='Project List References'!$B$6, _xlfn.IFNA(_xlfn.XLOOKUP(J$2-$C27, 'GEN-CARBON'!$D$7:$AW$7, 'GEN-CARBON'!$D$118:$AW$118), 0), IF($B27='Project List References'!$B$7, _xlfn.IFNA(_xlfn.XLOOKUP(J$2-$C27, 'SENS Coal'!$D$7:$AW$7, 'SENS Coal'!$D$134:$AW$134), 0), IF($B27='Project List References'!$B$8, _xlfn.IFNA(_xlfn.XLOOKUP(J$2-$C27,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K27" s="743" t="e">
        <f>IF($B27='Project List References'!$B$3, _xlfn.IFNA(_xlfn.XLOOKUP(K$2-$C27, 'GEN-CCGT'!$D$7:$AW$7, 'GEN-CCGT'!$D$118:$AW$118), 0), IF($B27='Project List References'!$B$4, _xlfn.IFNA(_xlfn.XLOOKUP(K$2-$C27, 'GEN-SOLAR'!$D$7:$AW$7, 'GEN-SOLAR'!$D$116:$AW$116), 0), IF($B27='Project List References'!$B$5, _xlfn.IFNA(_xlfn.XLOOKUP(K$2-$C27, 'GEN-BESS'!$D$7:$AW$7, 'GEN-BESS'!$D$120:$AW$120), 0), IF($B27='Project List References'!$B$6, _xlfn.IFNA(_xlfn.XLOOKUP(K$2-$C27, 'GEN-CARBON'!$D$7:$AW$7, 'GEN-CARBON'!$D$118:$AW$118), 0), IF($B27='Project List References'!$B$7, _xlfn.IFNA(_xlfn.XLOOKUP(K$2-$C27, 'SENS Coal'!$D$7:$AW$7, 'SENS Coal'!$D$134:$AW$134), 0), IF($B27='Project List References'!$B$8, _xlfn.IFNA(_xlfn.XLOOKUP(K$2-$C27,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L27" s="743" t="e">
        <f>IF($B27='Project List References'!$B$3, _xlfn.IFNA(_xlfn.XLOOKUP(L$2-$C27, 'GEN-CCGT'!$D$7:$AW$7, 'GEN-CCGT'!$D$118:$AW$118), 0), IF($B27='Project List References'!$B$4, _xlfn.IFNA(_xlfn.XLOOKUP(L$2-$C27, 'GEN-SOLAR'!$D$7:$AW$7, 'GEN-SOLAR'!$D$116:$AW$116), 0), IF($B27='Project List References'!$B$5, _xlfn.IFNA(_xlfn.XLOOKUP(L$2-$C27, 'GEN-BESS'!$D$7:$AW$7, 'GEN-BESS'!$D$120:$AW$120), 0), IF($B27='Project List References'!$B$6, _xlfn.IFNA(_xlfn.XLOOKUP(L$2-$C27, 'GEN-CARBON'!$D$7:$AW$7, 'GEN-CARBON'!$D$118:$AW$118), 0), IF($B27='Project List References'!$B$7, _xlfn.IFNA(_xlfn.XLOOKUP(L$2-$C27, 'SENS Coal'!$D$7:$AW$7, 'SENS Coal'!$D$134:$AW$134), 0), IF($B27='Project List References'!$B$8, _xlfn.IFNA(_xlfn.XLOOKUP(L$2-$C27,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M27" s="743" t="e">
        <f>IF($B27='Project List References'!$B$3, _xlfn.IFNA(_xlfn.XLOOKUP(M$2-$C27, 'GEN-CCGT'!$D$7:$AW$7, 'GEN-CCGT'!$D$118:$AW$118), 0), IF($B27='Project List References'!$B$4, _xlfn.IFNA(_xlfn.XLOOKUP(M$2-$C27, 'GEN-SOLAR'!$D$7:$AW$7, 'GEN-SOLAR'!$D$116:$AW$116), 0), IF($B27='Project List References'!$B$5, _xlfn.IFNA(_xlfn.XLOOKUP(M$2-$C27, 'GEN-BESS'!$D$7:$AW$7, 'GEN-BESS'!$D$120:$AW$120), 0), IF($B27='Project List References'!$B$6, _xlfn.IFNA(_xlfn.XLOOKUP(M$2-$C27, 'GEN-CARBON'!$D$7:$AW$7, 'GEN-CARBON'!$D$118:$AW$118), 0), IF($B27='Project List References'!$B$7, _xlfn.IFNA(_xlfn.XLOOKUP(M$2-$C27, 'SENS Coal'!$D$7:$AW$7, 'SENS Coal'!$D$134:$AW$134), 0), IF($B27='Project List References'!$B$8, _xlfn.IFNA(_xlfn.XLOOKUP(M$2-$C27,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N27" s="743" t="e">
        <f>IF($B27='Project List References'!$B$3, _xlfn.IFNA(_xlfn.XLOOKUP(N$2-$C27, 'GEN-CCGT'!$D$7:$AW$7, 'GEN-CCGT'!$D$118:$AW$118), 0), IF($B27='Project List References'!$B$4, _xlfn.IFNA(_xlfn.XLOOKUP(N$2-$C27, 'GEN-SOLAR'!$D$7:$AW$7, 'GEN-SOLAR'!$D$116:$AW$116), 0), IF($B27='Project List References'!$B$5, _xlfn.IFNA(_xlfn.XLOOKUP(N$2-$C27, 'GEN-BESS'!$D$7:$AW$7, 'GEN-BESS'!$D$120:$AW$120), 0), IF($B27='Project List References'!$B$6, _xlfn.IFNA(_xlfn.XLOOKUP(N$2-$C27, 'GEN-CARBON'!$D$7:$AW$7, 'GEN-CARBON'!$D$118:$AW$118), 0), IF($B27='Project List References'!$B$7, _xlfn.IFNA(_xlfn.XLOOKUP(N$2-$C27, 'SENS Coal'!$D$7:$AW$7, 'SENS Coal'!$D$134:$AW$134), 0), IF($B27='Project List References'!$B$8, _xlfn.IFNA(_xlfn.XLOOKUP(N$2-$C27,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O27" s="743" t="e">
        <f>IF($B27='Project List References'!$B$3, _xlfn.IFNA(_xlfn.XLOOKUP(O$2-$C27, 'GEN-CCGT'!$D$7:$AW$7, 'GEN-CCGT'!$D$118:$AW$118), 0), IF($B27='Project List References'!$B$4, _xlfn.IFNA(_xlfn.XLOOKUP(O$2-$C27, 'GEN-SOLAR'!$D$7:$AW$7, 'GEN-SOLAR'!$D$116:$AW$116), 0), IF($B27='Project List References'!$B$5, _xlfn.IFNA(_xlfn.XLOOKUP(O$2-$C27, 'GEN-BESS'!$D$7:$AW$7, 'GEN-BESS'!$D$120:$AW$120), 0), IF($B27='Project List References'!$B$6, _xlfn.IFNA(_xlfn.XLOOKUP(O$2-$C27, 'GEN-CARBON'!$D$7:$AW$7, 'GEN-CARBON'!$D$118:$AW$118), 0), IF($B27='Project List References'!$B$7, _xlfn.IFNA(_xlfn.XLOOKUP(O$2-$C27, 'SENS Coal'!$D$7:$AW$7, 'SENS Coal'!$D$134:$AW$134), 0), IF($B27='Project List References'!$B$8, _xlfn.IFNA(_xlfn.XLOOKUP(O$2-$C27,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P27" s="743" t="e">
        <f>IF($B27='Project List References'!$B$3, _xlfn.IFNA(_xlfn.XLOOKUP(P$2-$C27, 'GEN-CCGT'!$D$7:$AW$7, 'GEN-CCGT'!$D$118:$AW$118), 0), IF($B27='Project List References'!$B$4, _xlfn.IFNA(_xlfn.XLOOKUP(P$2-$C27, 'GEN-SOLAR'!$D$7:$AW$7, 'GEN-SOLAR'!$D$116:$AW$116), 0), IF($B27='Project List References'!$B$5, _xlfn.IFNA(_xlfn.XLOOKUP(P$2-$C27, 'GEN-BESS'!$D$7:$AW$7, 'GEN-BESS'!$D$120:$AW$120), 0), IF($B27='Project List References'!$B$6, _xlfn.IFNA(_xlfn.XLOOKUP(P$2-$C27, 'GEN-CARBON'!$D$7:$AW$7, 'GEN-CARBON'!$D$118:$AW$118), 0), IF($B27='Project List References'!$B$7, _xlfn.IFNA(_xlfn.XLOOKUP(P$2-$C27, 'SENS Coal'!$D$7:$AW$7, 'SENS Coal'!$D$134:$AW$134), 0), IF($B27='Project List References'!$B$8, _xlfn.IFNA(_xlfn.XLOOKUP(P$2-$C27,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Q27" s="743" t="e">
        <f>IF($B27='Project List References'!$B$3, _xlfn.IFNA(_xlfn.XLOOKUP(Q$2-$C27, 'GEN-CCGT'!$D$7:$AW$7, 'GEN-CCGT'!$D$118:$AW$118), 0), IF($B27='Project List References'!$B$4, _xlfn.IFNA(_xlfn.XLOOKUP(Q$2-$C27, 'GEN-SOLAR'!$D$7:$AW$7, 'GEN-SOLAR'!$D$116:$AW$116), 0), IF($B27='Project List References'!$B$5, _xlfn.IFNA(_xlfn.XLOOKUP(Q$2-$C27, 'GEN-BESS'!$D$7:$AW$7, 'GEN-BESS'!$D$120:$AW$120), 0), IF($B27='Project List References'!$B$6, _xlfn.IFNA(_xlfn.XLOOKUP(Q$2-$C27, 'GEN-CARBON'!$D$7:$AW$7, 'GEN-CARBON'!$D$118:$AW$118), 0), IF($B27='Project List References'!$B$7, _xlfn.IFNA(_xlfn.XLOOKUP(Q$2-$C27, 'SENS Coal'!$D$7:$AW$7, 'SENS Coal'!$D$134:$AW$134), 0), IF($B27='Project List References'!$B$8, _xlfn.IFNA(_xlfn.XLOOKUP(Q$2-$C27,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R27" s="743" t="e">
        <f>IF($B27='Project List References'!$B$3, _xlfn.IFNA(_xlfn.XLOOKUP(R$2-$C27, 'GEN-CCGT'!$D$7:$AW$7, 'GEN-CCGT'!$D$118:$AW$118), 0), IF($B27='Project List References'!$B$4, _xlfn.IFNA(_xlfn.XLOOKUP(R$2-$C27, 'GEN-SOLAR'!$D$7:$AW$7, 'GEN-SOLAR'!$D$116:$AW$116), 0), IF($B27='Project List References'!$B$5, _xlfn.IFNA(_xlfn.XLOOKUP(R$2-$C27, 'GEN-BESS'!$D$7:$AW$7, 'GEN-BESS'!$D$120:$AW$120), 0), IF($B27='Project List References'!$B$6, _xlfn.IFNA(_xlfn.XLOOKUP(R$2-$C27, 'GEN-CARBON'!$D$7:$AW$7, 'GEN-CARBON'!$D$118:$AW$118), 0), IF($B27='Project List References'!$B$7, _xlfn.IFNA(_xlfn.XLOOKUP(R$2-$C27, 'SENS Coal'!$D$7:$AW$7, 'SENS Coal'!$D$134:$AW$134), 0), IF($B27='Project List References'!$B$8, _xlfn.IFNA(_xlfn.XLOOKUP(R$2-$C27,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S27" s="743" t="e">
        <f>IF($B27='Project List References'!$B$3, _xlfn.IFNA(_xlfn.XLOOKUP(S$2-$C27, 'GEN-CCGT'!$D$7:$AW$7, 'GEN-CCGT'!$D$118:$AW$118), 0), IF($B27='Project List References'!$B$4, _xlfn.IFNA(_xlfn.XLOOKUP(S$2-$C27, 'GEN-SOLAR'!$D$7:$AW$7, 'GEN-SOLAR'!$D$116:$AW$116), 0), IF($B27='Project List References'!$B$5, _xlfn.IFNA(_xlfn.XLOOKUP(S$2-$C27, 'GEN-BESS'!$D$7:$AW$7, 'GEN-BESS'!$D$120:$AW$120), 0), IF($B27='Project List References'!$B$6, _xlfn.IFNA(_xlfn.XLOOKUP(S$2-$C27, 'GEN-CARBON'!$D$7:$AW$7, 'GEN-CARBON'!$D$118:$AW$118), 0), IF($B27='Project List References'!$B$7, _xlfn.IFNA(_xlfn.XLOOKUP(S$2-$C27, 'SENS Coal'!$D$7:$AW$7, 'SENS Coal'!$D$134:$AW$134), 0), IF($B27='Project List References'!$B$8, _xlfn.IFNA(_xlfn.XLOOKUP(S$2-$C27,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T27" s="743" t="e">
        <f>IF($B27='Project List References'!$B$3, _xlfn.IFNA(_xlfn.XLOOKUP(T$2-$C27, 'GEN-CCGT'!$D$7:$AW$7, 'GEN-CCGT'!$D$118:$AW$118), 0), IF($B27='Project List References'!$B$4, _xlfn.IFNA(_xlfn.XLOOKUP(T$2-$C27, 'GEN-SOLAR'!$D$7:$AW$7, 'GEN-SOLAR'!$D$116:$AW$116), 0), IF($B27='Project List References'!$B$5, _xlfn.IFNA(_xlfn.XLOOKUP(T$2-$C27, 'GEN-BESS'!$D$7:$AW$7, 'GEN-BESS'!$D$120:$AW$120), 0), IF($B27='Project List References'!$B$6, _xlfn.IFNA(_xlfn.XLOOKUP(T$2-$C27, 'GEN-CARBON'!$D$7:$AW$7, 'GEN-CARBON'!$D$118:$AW$118), 0), IF($B27='Project List References'!$B$7, _xlfn.IFNA(_xlfn.XLOOKUP(T$2-$C27, 'SENS Coal'!$D$7:$AW$7, 'SENS Coal'!$D$134:$AW$134), 0), IF($B27='Project List References'!$B$8, _xlfn.IFNA(_xlfn.XLOOKUP(T$2-$C27, 'SENS Tires'!$D$7:$AW$7, 'SENS Tires'!$D$132:$AW$132),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</row>
    <row r="28" spans="1:20">
      <c r="A28" s="655" t="str">
        <f>IF(ISBLANK('Project Master Sheet'!A28)=FALSE, 'Project Master Sheet'!A28, "")</f>
        <v/>
      </c>
      <c r="B28" s="655" t="str">
        <f>_xlfn.IFNA(_xlfn.XLOOKUP(A28, 'Project Master Sheet'!A:A, 'Project Master Sheet'!D:D), "")</f>
        <v/>
      </c>
      <c r="C28" s="655" t="e">
        <f>_xlfn.XLOOKUP(A28, 'Project Master Sheet'!A:A, 'Project Master Sheet'!I:I)</f>
        <v>#N/A</v>
      </c>
      <c r="E28" s="743" t="e">
        <f>IF($B28='Project List References'!$B$3, _xlfn.IFNA(_xlfn.XLOOKUP(E$2-$C28, 'GEN-CCGT'!$D$7:$AW$7, 'GEN-CCGT'!$D$118:$AW$118), 0), IF($B28='Project List References'!$B$4, _xlfn.IFNA(_xlfn.XLOOKUP(E$2-$C28, 'GEN-SOLAR'!$D$7:$AW$7, 'GEN-SOLAR'!$D$116:$AW$116), 0), IF($B28='Project List References'!$B$5, _xlfn.IFNA(_xlfn.XLOOKUP(E$2-$C28, 'GEN-BESS'!$D$7:$AW$7, 'GEN-BESS'!$D$120:$AW$120), 0), IF($B28='Project List References'!$B$6, _xlfn.IFNA(_xlfn.XLOOKUP(E$2-$C28, 'GEN-CARBON'!$D$7:$AW$7, 'GEN-CARBON'!$D$118:$AW$118), 0), IF($B28='Project List References'!$B$7, _xlfn.IFNA(_xlfn.XLOOKUP(E$2-$C28, 'SENS Coal'!$D$7:$AW$7, 'SENS Coal'!$D$134:$AW$134), 0), IF($B28='Project List References'!$B$8, _xlfn.IFNA(_xlfn.XLOOKUP(E$2-$C28,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F28" s="743" t="e">
        <f>IF($B28='Project List References'!$B$3, _xlfn.IFNA(_xlfn.XLOOKUP(F$2-$C28, 'GEN-CCGT'!$D$7:$AW$7, 'GEN-CCGT'!$D$118:$AW$118), 0), IF($B28='Project List References'!$B$4, _xlfn.IFNA(_xlfn.XLOOKUP(F$2-$C28, 'GEN-SOLAR'!$D$7:$AW$7, 'GEN-SOLAR'!$D$116:$AW$116), 0), IF($B28='Project List References'!$B$5, _xlfn.IFNA(_xlfn.XLOOKUP(F$2-$C28, 'GEN-BESS'!$D$7:$AW$7, 'GEN-BESS'!$D$120:$AW$120), 0), IF($B28='Project List References'!$B$6, _xlfn.IFNA(_xlfn.XLOOKUP(F$2-$C28, 'GEN-CARBON'!$D$7:$AW$7, 'GEN-CARBON'!$D$118:$AW$118), 0), IF($B28='Project List References'!$B$7, _xlfn.IFNA(_xlfn.XLOOKUP(F$2-$C28, 'SENS Coal'!$D$7:$AW$7, 'SENS Coal'!$D$134:$AW$134), 0), IF($B28='Project List References'!$B$8, _xlfn.IFNA(_xlfn.XLOOKUP(F$2-$C28,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G28" s="743" t="e">
        <f>IF($B28='Project List References'!$B$3, _xlfn.IFNA(_xlfn.XLOOKUP(G$2-$C28, 'GEN-CCGT'!$D$7:$AW$7, 'GEN-CCGT'!$D$118:$AW$118), 0), IF($B28='Project List References'!$B$4, _xlfn.IFNA(_xlfn.XLOOKUP(G$2-$C28, 'GEN-SOLAR'!$D$7:$AW$7, 'GEN-SOLAR'!$D$116:$AW$116), 0), IF($B28='Project List References'!$B$5, _xlfn.IFNA(_xlfn.XLOOKUP(G$2-$C28, 'GEN-BESS'!$D$7:$AW$7, 'GEN-BESS'!$D$120:$AW$120), 0), IF($B28='Project List References'!$B$6, _xlfn.IFNA(_xlfn.XLOOKUP(G$2-$C28, 'GEN-CARBON'!$D$7:$AW$7, 'GEN-CARBON'!$D$118:$AW$118), 0), IF($B28='Project List References'!$B$7, _xlfn.IFNA(_xlfn.XLOOKUP(G$2-$C28, 'SENS Coal'!$D$7:$AW$7, 'SENS Coal'!$D$134:$AW$134), 0), IF($B28='Project List References'!$B$8, _xlfn.IFNA(_xlfn.XLOOKUP(G$2-$C28,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H28" s="743" t="e">
        <f>IF($B28='Project List References'!$B$3, _xlfn.IFNA(_xlfn.XLOOKUP(H$2-$C28, 'GEN-CCGT'!$D$7:$AW$7, 'GEN-CCGT'!$D$118:$AW$118), 0), IF($B28='Project List References'!$B$4, _xlfn.IFNA(_xlfn.XLOOKUP(H$2-$C28, 'GEN-SOLAR'!$D$7:$AW$7, 'GEN-SOLAR'!$D$116:$AW$116), 0), IF($B28='Project List References'!$B$5, _xlfn.IFNA(_xlfn.XLOOKUP(H$2-$C28, 'GEN-BESS'!$D$7:$AW$7, 'GEN-BESS'!$D$120:$AW$120), 0), IF($B28='Project List References'!$B$6, _xlfn.IFNA(_xlfn.XLOOKUP(H$2-$C28, 'GEN-CARBON'!$D$7:$AW$7, 'GEN-CARBON'!$D$118:$AW$118), 0), IF($B28='Project List References'!$B$7, _xlfn.IFNA(_xlfn.XLOOKUP(H$2-$C28, 'SENS Coal'!$D$7:$AW$7, 'SENS Coal'!$D$134:$AW$134), 0), IF($B28='Project List References'!$B$8, _xlfn.IFNA(_xlfn.XLOOKUP(H$2-$C28,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I28" s="743" t="e">
        <f>IF($B28='Project List References'!$B$3, _xlfn.IFNA(_xlfn.XLOOKUP(I$2-$C28, 'GEN-CCGT'!$D$7:$AW$7, 'GEN-CCGT'!$D$118:$AW$118), 0), IF($B28='Project List References'!$B$4, _xlfn.IFNA(_xlfn.XLOOKUP(I$2-$C28, 'GEN-SOLAR'!$D$7:$AW$7, 'GEN-SOLAR'!$D$116:$AW$116), 0), IF($B28='Project List References'!$B$5, _xlfn.IFNA(_xlfn.XLOOKUP(I$2-$C28, 'GEN-BESS'!$D$7:$AW$7, 'GEN-BESS'!$D$120:$AW$120), 0), IF($B28='Project List References'!$B$6, _xlfn.IFNA(_xlfn.XLOOKUP(I$2-$C28, 'GEN-CARBON'!$D$7:$AW$7, 'GEN-CARBON'!$D$118:$AW$118), 0), IF($B28='Project List References'!$B$7, _xlfn.IFNA(_xlfn.XLOOKUP(I$2-$C28, 'SENS Coal'!$D$7:$AW$7, 'SENS Coal'!$D$134:$AW$134), 0), IF($B28='Project List References'!$B$8, _xlfn.IFNA(_xlfn.XLOOKUP(I$2-$C28,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J28" s="743" t="e">
        <f>IF($B28='Project List References'!$B$3, _xlfn.IFNA(_xlfn.XLOOKUP(J$2-$C28, 'GEN-CCGT'!$D$7:$AW$7, 'GEN-CCGT'!$D$118:$AW$118), 0), IF($B28='Project List References'!$B$4, _xlfn.IFNA(_xlfn.XLOOKUP(J$2-$C28, 'GEN-SOLAR'!$D$7:$AW$7, 'GEN-SOLAR'!$D$116:$AW$116), 0), IF($B28='Project List References'!$B$5, _xlfn.IFNA(_xlfn.XLOOKUP(J$2-$C28, 'GEN-BESS'!$D$7:$AW$7, 'GEN-BESS'!$D$120:$AW$120), 0), IF($B28='Project List References'!$B$6, _xlfn.IFNA(_xlfn.XLOOKUP(J$2-$C28, 'GEN-CARBON'!$D$7:$AW$7, 'GEN-CARBON'!$D$118:$AW$118), 0), IF($B28='Project List References'!$B$7, _xlfn.IFNA(_xlfn.XLOOKUP(J$2-$C28, 'SENS Coal'!$D$7:$AW$7, 'SENS Coal'!$D$134:$AW$134), 0), IF($B28='Project List References'!$B$8, _xlfn.IFNA(_xlfn.XLOOKUP(J$2-$C28,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K28" s="743" t="e">
        <f>IF($B28='Project List References'!$B$3, _xlfn.IFNA(_xlfn.XLOOKUP(K$2-$C28, 'GEN-CCGT'!$D$7:$AW$7, 'GEN-CCGT'!$D$118:$AW$118), 0), IF($B28='Project List References'!$B$4, _xlfn.IFNA(_xlfn.XLOOKUP(K$2-$C28, 'GEN-SOLAR'!$D$7:$AW$7, 'GEN-SOLAR'!$D$116:$AW$116), 0), IF($B28='Project List References'!$B$5, _xlfn.IFNA(_xlfn.XLOOKUP(K$2-$C28, 'GEN-BESS'!$D$7:$AW$7, 'GEN-BESS'!$D$120:$AW$120), 0), IF($B28='Project List References'!$B$6, _xlfn.IFNA(_xlfn.XLOOKUP(K$2-$C28, 'GEN-CARBON'!$D$7:$AW$7, 'GEN-CARBON'!$D$118:$AW$118), 0), IF($B28='Project List References'!$B$7, _xlfn.IFNA(_xlfn.XLOOKUP(K$2-$C28, 'SENS Coal'!$D$7:$AW$7, 'SENS Coal'!$D$134:$AW$134), 0), IF($B28='Project List References'!$B$8, _xlfn.IFNA(_xlfn.XLOOKUP(K$2-$C28,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L28" s="743" t="e">
        <f>IF($B28='Project List References'!$B$3, _xlfn.IFNA(_xlfn.XLOOKUP(L$2-$C28, 'GEN-CCGT'!$D$7:$AW$7, 'GEN-CCGT'!$D$118:$AW$118), 0), IF($B28='Project List References'!$B$4, _xlfn.IFNA(_xlfn.XLOOKUP(L$2-$C28, 'GEN-SOLAR'!$D$7:$AW$7, 'GEN-SOLAR'!$D$116:$AW$116), 0), IF($B28='Project List References'!$B$5, _xlfn.IFNA(_xlfn.XLOOKUP(L$2-$C28, 'GEN-BESS'!$D$7:$AW$7, 'GEN-BESS'!$D$120:$AW$120), 0), IF($B28='Project List References'!$B$6, _xlfn.IFNA(_xlfn.XLOOKUP(L$2-$C28, 'GEN-CARBON'!$D$7:$AW$7, 'GEN-CARBON'!$D$118:$AW$118), 0), IF($B28='Project List References'!$B$7, _xlfn.IFNA(_xlfn.XLOOKUP(L$2-$C28, 'SENS Coal'!$D$7:$AW$7, 'SENS Coal'!$D$134:$AW$134), 0), IF($B28='Project List References'!$B$8, _xlfn.IFNA(_xlfn.XLOOKUP(L$2-$C28,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M28" s="743" t="e">
        <f>IF($B28='Project List References'!$B$3, _xlfn.IFNA(_xlfn.XLOOKUP(M$2-$C28, 'GEN-CCGT'!$D$7:$AW$7, 'GEN-CCGT'!$D$118:$AW$118), 0), IF($B28='Project List References'!$B$4, _xlfn.IFNA(_xlfn.XLOOKUP(M$2-$C28, 'GEN-SOLAR'!$D$7:$AW$7, 'GEN-SOLAR'!$D$116:$AW$116), 0), IF($B28='Project List References'!$B$5, _xlfn.IFNA(_xlfn.XLOOKUP(M$2-$C28, 'GEN-BESS'!$D$7:$AW$7, 'GEN-BESS'!$D$120:$AW$120), 0), IF($B28='Project List References'!$B$6, _xlfn.IFNA(_xlfn.XLOOKUP(M$2-$C28, 'GEN-CARBON'!$D$7:$AW$7, 'GEN-CARBON'!$D$118:$AW$118), 0), IF($B28='Project List References'!$B$7, _xlfn.IFNA(_xlfn.XLOOKUP(M$2-$C28, 'SENS Coal'!$D$7:$AW$7, 'SENS Coal'!$D$134:$AW$134), 0), IF($B28='Project List References'!$B$8, _xlfn.IFNA(_xlfn.XLOOKUP(M$2-$C28,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N28" s="743" t="e">
        <f>IF($B28='Project List References'!$B$3, _xlfn.IFNA(_xlfn.XLOOKUP(N$2-$C28, 'GEN-CCGT'!$D$7:$AW$7, 'GEN-CCGT'!$D$118:$AW$118), 0), IF($B28='Project List References'!$B$4, _xlfn.IFNA(_xlfn.XLOOKUP(N$2-$C28, 'GEN-SOLAR'!$D$7:$AW$7, 'GEN-SOLAR'!$D$116:$AW$116), 0), IF($B28='Project List References'!$B$5, _xlfn.IFNA(_xlfn.XLOOKUP(N$2-$C28, 'GEN-BESS'!$D$7:$AW$7, 'GEN-BESS'!$D$120:$AW$120), 0), IF($B28='Project List References'!$B$6, _xlfn.IFNA(_xlfn.XLOOKUP(N$2-$C28, 'GEN-CARBON'!$D$7:$AW$7, 'GEN-CARBON'!$D$118:$AW$118), 0), IF($B28='Project List References'!$B$7, _xlfn.IFNA(_xlfn.XLOOKUP(N$2-$C28, 'SENS Coal'!$D$7:$AW$7, 'SENS Coal'!$D$134:$AW$134), 0), IF($B28='Project List References'!$B$8, _xlfn.IFNA(_xlfn.XLOOKUP(N$2-$C28,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O28" s="743" t="e">
        <f>IF($B28='Project List References'!$B$3, _xlfn.IFNA(_xlfn.XLOOKUP(O$2-$C28, 'GEN-CCGT'!$D$7:$AW$7, 'GEN-CCGT'!$D$118:$AW$118), 0), IF($B28='Project List References'!$B$4, _xlfn.IFNA(_xlfn.XLOOKUP(O$2-$C28, 'GEN-SOLAR'!$D$7:$AW$7, 'GEN-SOLAR'!$D$116:$AW$116), 0), IF($B28='Project List References'!$B$5, _xlfn.IFNA(_xlfn.XLOOKUP(O$2-$C28, 'GEN-BESS'!$D$7:$AW$7, 'GEN-BESS'!$D$120:$AW$120), 0), IF($B28='Project List References'!$B$6, _xlfn.IFNA(_xlfn.XLOOKUP(O$2-$C28, 'GEN-CARBON'!$D$7:$AW$7, 'GEN-CARBON'!$D$118:$AW$118), 0), IF($B28='Project List References'!$B$7, _xlfn.IFNA(_xlfn.XLOOKUP(O$2-$C28, 'SENS Coal'!$D$7:$AW$7, 'SENS Coal'!$D$134:$AW$134), 0), IF($B28='Project List References'!$B$8, _xlfn.IFNA(_xlfn.XLOOKUP(O$2-$C28,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P28" s="743" t="e">
        <f>IF($B28='Project List References'!$B$3, _xlfn.IFNA(_xlfn.XLOOKUP(P$2-$C28, 'GEN-CCGT'!$D$7:$AW$7, 'GEN-CCGT'!$D$118:$AW$118), 0), IF($B28='Project List References'!$B$4, _xlfn.IFNA(_xlfn.XLOOKUP(P$2-$C28, 'GEN-SOLAR'!$D$7:$AW$7, 'GEN-SOLAR'!$D$116:$AW$116), 0), IF($B28='Project List References'!$B$5, _xlfn.IFNA(_xlfn.XLOOKUP(P$2-$C28, 'GEN-BESS'!$D$7:$AW$7, 'GEN-BESS'!$D$120:$AW$120), 0), IF($B28='Project List References'!$B$6, _xlfn.IFNA(_xlfn.XLOOKUP(P$2-$C28, 'GEN-CARBON'!$D$7:$AW$7, 'GEN-CARBON'!$D$118:$AW$118), 0), IF($B28='Project List References'!$B$7, _xlfn.IFNA(_xlfn.XLOOKUP(P$2-$C28, 'SENS Coal'!$D$7:$AW$7, 'SENS Coal'!$D$134:$AW$134), 0), IF($B28='Project List References'!$B$8, _xlfn.IFNA(_xlfn.XLOOKUP(P$2-$C28,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Q28" s="743" t="e">
        <f>IF($B28='Project List References'!$B$3, _xlfn.IFNA(_xlfn.XLOOKUP(Q$2-$C28, 'GEN-CCGT'!$D$7:$AW$7, 'GEN-CCGT'!$D$118:$AW$118), 0), IF($B28='Project List References'!$B$4, _xlfn.IFNA(_xlfn.XLOOKUP(Q$2-$C28, 'GEN-SOLAR'!$D$7:$AW$7, 'GEN-SOLAR'!$D$116:$AW$116), 0), IF($B28='Project List References'!$B$5, _xlfn.IFNA(_xlfn.XLOOKUP(Q$2-$C28, 'GEN-BESS'!$D$7:$AW$7, 'GEN-BESS'!$D$120:$AW$120), 0), IF($B28='Project List References'!$B$6, _xlfn.IFNA(_xlfn.XLOOKUP(Q$2-$C28, 'GEN-CARBON'!$D$7:$AW$7, 'GEN-CARBON'!$D$118:$AW$118), 0), IF($B28='Project List References'!$B$7, _xlfn.IFNA(_xlfn.XLOOKUP(Q$2-$C28, 'SENS Coal'!$D$7:$AW$7, 'SENS Coal'!$D$134:$AW$134), 0), IF($B28='Project List References'!$B$8, _xlfn.IFNA(_xlfn.XLOOKUP(Q$2-$C28,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R28" s="743" t="e">
        <f>IF($B28='Project List References'!$B$3, _xlfn.IFNA(_xlfn.XLOOKUP(R$2-$C28, 'GEN-CCGT'!$D$7:$AW$7, 'GEN-CCGT'!$D$118:$AW$118), 0), IF($B28='Project List References'!$B$4, _xlfn.IFNA(_xlfn.XLOOKUP(R$2-$C28, 'GEN-SOLAR'!$D$7:$AW$7, 'GEN-SOLAR'!$D$116:$AW$116), 0), IF($B28='Project List References'!$B$5, _xlfn.IFNA(_xlfn.XLOOKUP(R$2-$C28, 'GEN-BESS'!$D$7:$AW$7, 'GEN-BESS'!$D$120:$AW$120), 0), IF($B28='Project List References'!$B$6, _xlfn.IFNA(_xlfn.XLOOKUP(R$2-$C28, 'GEN-CARBON'!$D$7:$AW$7, 'GEN-CARBON'!$D$118:$AW$118), 0), IF($B28='Project List References'!$B$7, _xlfn.IFNA(_xlfn.XLOOKUP(R$2-$C28, 'SENS Coal'!$D$7:$AW$7, 'SENS Coal'!$D$134:$AW$134), 0), IF($B28='Project List References'!$B$8, _xlfn.IFNA(_xlfn.XLOOKUP(R$2-$C28,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S28" s="743" t="e">
        <f>IF($B28='Project List References'!$B$3, _xlfn.IFNA(_xlfn.XLOOKUP(S$2-$C28, 'GEN-CCGT'!$D$7:$AW$7, 'GEN-CCGT'!$D$118:$AW$118), 0), IF($B28='Project List References'!$B$4, _xlfn.IFNA(_xlfn.XLOOKUP(S$2-$C28, 'GEN-SOLAR'!$D$7:$AW$7, 'GEN-SOLAR'!$D$116:$AW$116), 0), IF($B28='Project List References'!$B$5, _xlfn.IFNA(_xlfn.XLOOKUP(S$2-$C28, 'GEN-BESS'!$D$7:$AW$7, 'GEN-BESS'!$D$120:$AW$120), 0), IF($B28='Project List References'!$B$6, _xlfn.IFNA(_xlfn.XLOOKUP(S$2-$C28, 'GEN-CARBON'!$D$7:$AW$7, 'GEN-CARBON'!$D$118:$AW$118), 0), IF($B28='Project List References'!$B$7, _xlfn.IFNA(_xlfn.XLOOKUP(S$2-$C28, 'SENS Coal'!$D$7:$AW$7, 'SENS Coal'!$D$134:$AW$134), 0), IF($B28='Project List References'!$B$8, _xlfn.IFNA(_xlfn.XLOOKUP(S$2-$C28,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T28" s="743" t="e">
        <f>IF($B28='Project List References'!$B$3, _xlfn.IFNA(_xlfn.XLOOKUP(T$2-$C28, 'GEN-CCGT'!$D$7:$AW$7, 'GEN-CCGT'!$D$118:$AW$118), 0), IF($B28='Project List References'!$B$4, _xlfn.IFNA(_xlfn.XLOOKUP(T$2-$C28, 'GEN-SOLAR'!$D$7:$AW$7, 'GEN-SOLAR'!$D$116:$AW$116), 0), IF($B28='Project List References'!$B$5, _xlfn.IFNA(_xlfn.XLOOKUP(T$2-$C28, 'GEN-BESS'!$D$7:$AW$7, 'GEN-BESS'!$D$120:$AW$120), 0), IF($B28='Project List References'!$B$6, _xlfn.IFNA(_xlfn.XLOOKUP(T$2-$C28, 'GEN-CARBON'!$D$7:$AW$7, 'GEN-CARBON'!$D$118:$AW$118), 0), IF($B28='Project List References'!$B$7, _xlfn.IFNA(_xlfn.XLOOKUP(T$2-$C28, 'SENS Coal'!$D$7:$AW$7, 'SENS Coal'!$D$134:$AW$134), 0), IF($B28='Project List References'!$B$8, _xlfn.IFNA(_xlfn.XLOOKUP(T$2-$C28, 'SENS Tires'!$D$7:$AW$7, 'SENS Tires'!$D$132:$AW$132),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</row>
    <row r="29" spans="1:20">
      <c r="A29" s="655" t="str">
        <f>IF(ISBLANK('Project Master Sheet'!A29)=FALSE, 'Project Master Sheet'!A29, "")</f>
        <v/>
      </c>
      <c r="B29" s="655" t="str">
        <f>_xlfn.IFNA(_xlfn.XLOOKUP(A29, 'Project Master Sheet'!A:A, 'Project Master Sheet'!D:D), "")</f>
        <v/>
      </c>
      <c r="C29" s="655" t="e">
        <f>_xlfn.XLOOKUP(A29, 'Project Master Sheet'!A:A, 'Project Master Sheet'!I:I)</f>
        <v>#N/A</v>
      </c>
      <c r="E29" s="743" t="e">
        <f>IF($B29='Project List References'!$B$3, _xlfn.IFNA(_xlfn.XLOOKUP(E$2-$C29, 'GEN-CCGT'!$D$7:$AW$7, 'GEN-CCGT'!$D$118:$AW$118), 0), IF($B29='Project List References'!$B$4, _xlfn.IFNA(_xlfn.XLOOKUP(E$2-$C29, 'GEN-SOLAR'!$D$7:$AW$7, 'GEN-SOLAR'!$D$116:$AW$116), 0), IF($B29='Project List References'!$B$5, _xlfn.IFNA(_xlfn.XLOOKUP(E$2-$C29, 'GEN-BESS'!$D$7:$AW$7, 'GEN-BESS'!$D$120:$AW$120), 0), IF($B29='Project List References'!$B$6, _xlfn.IFNA(_xlfn.XLOOKUP(E$2-$C29, 'GEN-CARBON'!$D$7:$AW$7, 'GEN-CARBON'!$D$118:$AW$118), 0), IF($B29='Project List References'!$B$7, _xlfn.IFNA(_xlfn.XLOOKUP(E$2-$C29, 'SENS Coal'!$D$7:$AW$7, 'SENS Coal'!$D$134:$AW$134), 0), IF($B29='Project List References'!$B$8, _xlfn.IFNA(_xlfn.XLOOKUP(E$2-$C29,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F29" s="743" t="e">
        <f>IF($B29='Project List References'!$B$3, _xlfn.IFNA(_xlfn.XLOOKUP(F$2-$C29, 'GEN-CCGT'!$D$7:$AW$7, 'GEN-CCGT'!$D$118:$AW$118), 0), IF($B29='Project List References'!$B$4, _xlfn.IFNA(_xlfn.XLOOKUP(F$2-$C29, 'GEN-SOLAR'!$D$7:$AW$7, 'GEN-SOLAR'!$D$116:$AW$116), 0), IF($B29='Project List References'!$B$5, _xlfn.IFNA(_xlfn.XLOOKUP(F$2-$C29, 'GEN-BESS'!$D$7:$AW$7, 'GEN-BESS'!$D$120:$AW$120), 0), IF($B29='Project List References'!$B$6, _xlfn.IFNA(_xlfn.XLOOKUP(F$2-$C29, 'GEN-CARBON'!$D$7:$AW$7, 'GEN-CARBON'!$D$118:$AW$118), 0), IF($B29='Project List References'!$B$7, _xlfn.IFNA(_xlfn.XLOOKUP(F$2-$C29, 'SENS Coal'!$D$7:$AW$7, 'SENS Coal'!$D$134:$AW$134), 0), IF($B29='Project List References'!$B$8, _xlfn.IFNA(_xlfn.XLOOKUP(F$2-$C29,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G29" s="743" t="e">
        <f>IF($B29='Project List References'!$B$3, _xlfn.IFNA(_xlfn.XLOOKUP(G$2-$C29, 'GEN-CCGT'!$D$7:$AW$7, 'GEN-CCGT'!$D$118:$AW$118), 0), IF($B29='Project List References'!$B$4, _xlfn.IFNA(_xlfn.XLOOKUP(G$2-$C29, 'GEN-SOLAR'!$D$7:$AW$7, 'GEN-SOLAR'!$D$116:$AW$116), 0), IF($B29='Project List References'!$B$5, _xlfn.IFNA(_xlfn.XLOOKUP(G$2-$C29, 'GEN-BESS'!$D$7:$AW$7, 'GEN-BESS'!$D$120:$AW$120), 0), IF($B29='Project List References'!$B$6, _xlfn.IFNA(_xlfn.XLOOKUP(G$2-$C29, 'GEN-CARBON'!$D$7:$AW$7, 'GEN-CARBON'!$D$118:$AW$118), 0), IF($B29='Project List References'!$B$7, _xlfn.IFNA(_xlfn.XLOOKUP(G$2-$C29, 'SENS Coal'!$D$7:$AW$7, 'SENS Coal'!$D$134:$AW$134), 0), IF($B29='Project List References'!$B$8, _xlfn.IFNA(_xlfn.XLOOKUP(G$2-$C29,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H29" s="743" t="e">
        <f>IF($B29='Project List References'!$B$3, _xlfn.IFNA(_xlfn.XLOOKUP(H$2-$C29, 'GEN-CCGT'!$D$7:$AW$7, 'GEN-CCGT'!$D$118:$AW$118), 0), IF($B29='Project List References'!$B$4, _xlfn.IFNA(_xlfn.XLOOKUP(H$2-$C29, 'GEN-SOLAR'!$D$7:$AW$7, 'GEN-SOLAR'!$D$116:$AW$116), 0), IF($B29='Project List References'!$B$5, _xlfn.IFNA(_xlfn.XLOOKUP(H$2-$C29, 'GEN-BESS'!$D$7:$AW$7, 'GEN-BESS'!$D$120:$AW$120), 0), IF($B29='Project List References'!$B$6, _xlfn.IFNA(_xlfn.XLOOKUP(H$2-$C29, 'GEN-CARBON'!$D$7:$AW$7, 'GEN-CARBON'!$D$118:$AW$118), 0), IF($B29='Project List References'!$B$7, _xlfn.IFNA(_xlfn.XLOOKUP(H$2-$C29, 'SENS Coal'!$D$7:$AW$7, 'SENS Coal'!$D$134:$AW$134), 0), IF($B29='Project List References'!$B$8, _xlfn.IFNA(_xlfn.XLOOKUP(H$2-$C29,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I29" s="743" t="e">
        <f>IF($B29='Project List References'!$B$3, _xlfn.IFNA(_xlfn.XLOOKUP(I$2-$C29, 'GEN-CCGT'!$D$7:$AW$7, 'GEN-CCGT'!$D$118:$AW$118), 0), IF($B29='Project List References'!$B$4, _xlfn.IFNA(_xlfn.XLOOKUP(I$2-$C29, 'GEN-SOLAR'!$D$7:$AW$7, 'GEN-SOLAR'!$D$116:$AW$116), 0), IF($B29='Project List References'!$B$5, _xlfn.IFNA(_xlfn.XLOOKUP(I$2-$C29, 'GEN-BESS'!$D$7:$AW$7, 'GEN-BESS'!$D$120:$AW$120), 0), IF($B29='Project List References'!$B$6, _xlfn.IFNA(_xlfn.XLOOKUP(I$2-$C29, 'GEN-CARBON'!$D$7:$AW$7, 'GEN-CARBON'!$D$118:$AW$118), 0), IF($B29='Project List References'!$B$7, _xlfn.IFNA(_xlfn.XLOOKUP(I$2-$C29, 'SENS Coal'!$D$7:$AW$7, 'SENS Coal'!$D$134:$AW$134), 0), IF($B29='Project List References'!$B$8, _xlfn.IFNA(_xlfn.XLOOKUP(I$2-$C29,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J29" s="743" t="e">
        <f>IF($B29='Project List References'!$B$3, _xlfn.IFNA(_xlfn.XLOOKUP(J$2-$C29, 'GEN-CCGT'!$D$7:$AW$7, 'GEN-CCGT'!$D$118:$AW$118), 0), IF($B29='Project List References'!$B$4, _xlfn.IFNA(_xlfn.XLOOKUP(J$2-$C29, 'GEN-SOLAR'!$D$7:$AW$7, 'GEN-SOLAR'!$D$116:$AW$116), 0), IF($B29='Project List References'!$B$5, _xlfn.IFNA(_xlfn.XLOOKUP(J$2-$C29, 'GEN-BESS'!$D$7:$AW$7, 'GEN-BESS'!$D$120:$AW$120), 0), IF($B29='Project List References'!$B$6, _xlfn.IFNA(_xlfn.XLOOKUP(J$2-$C29, 'GEN-CARBON'!$D$7:$AW$7, 'GEN-CARBON'!$D$118:$AW$118), 0), IF($B29='Project List References'!$B$7, _xlfn.IFNA(_xlfn.XLOOKUP(J$2-$C29, 'SENS Coal'!$D$7:$AW$7, 'SENS Coal'!$D$134:$AW$134), 0), IF($B29='Project List References'!$B$8, _xlfn.IFNA(_xlfn.XLOOKUP(J$2-$C29,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K29" s="743" t="e">
        <f>IF($B29='Project List References'!$B$3, _xlfn.IFNA(_xlfn.XLOOKUP(K$2-$C29, 'GEN-CCGT'!$D$7:$AW$7, 'GEN-CCGT'!$D$118:$AW$118), 0), IF($B29='Project List References'!$B$4, _xlfn.IFNA(_xlfn.XLOOKUP(K$2-$C29, 'GEN-SOLAR'!$D$7:$AW$7, 'GEN-SOLAR'!$D$116:$AW$116), 0), IF($B29='Project List References'!$B$5, _xlfn.IFNA(_xlfn.XLOOKUP(K$2-$C29, 'GEN-BESS'!$D$7:$AW$7, 'GEN-BESS'!$D$120:$AW$120), 0), IF($B29='Project List References'!$B$6, _xlfn.IFNA(_xlfn.XLOOKUP(K$2-$C29, 'GEN-CARBON'!$D$7:$AW$7, 'GEN-CARBON'!$D$118:$AW$118), 0), IF($B29='Project List References'!$B$7, _xlfn.IFNA(_xlfn.XLOOKUP(K$2-$C29, 'SENS Coal'!$D$7:$AW$7, 'SENS Coal'!$D$134:$AW$134), 0), IF($B29='Project List References'!$B$8, _xlfn.IFNA(_xlfn.XLOOKUP(K$2-$C29,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L29" s="743" t="e">
        <f>IF($B29='Project List References'!$B$3, _xlfn.IFNA(_xlfn.XLOOKUP(L$2-$C29, 'GEN-CCGT'!$D$7:$AW$7, 'GEN-CCGT'!$D$118:$AW$118), 0), IF($B29='Project List References'!$B$4, _xlfn.IFNA(_xlfn.XLOOKUP(L$2-$C29, 'GEN-SOLAR'!$D$7:$AW$7, 'GEN-SOLAR'!$D$116:$AW$116), 0), IF($B29='Project List References'!$B$5, _xlfn.IFNA(_xlfn.XLOOKUP(L$2-$C29, 'GEN-BESS'!$D$7:$AW$7, 'GEN-BESS'!$D$120:$AW$120), 0), IF($B29='Project List References'!$B$6, _xlfn.IFNA(_xlfn.XLOOKUP(L$2-$C29, 'GEN-CARBON'!$D$7:$AW$7, 'GEN-CARBON'!$D$118:$AW$118), 0), IF($B29='Project List References'!$B$7, _xlfn.IFNA(_xlfn.XLOOKUP(L$2-$C29, 'SENS Coal'!$D$7:$AW$7, 'SENS Coal'!$D$134:$AW$134), 0), IF($B29='Project List References'!$B$8, _xlfn.IFNA(_xlfn.XLOOKUP(L$2-$C29,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M29" s="743" t="e">
        <f>IF($B29='Project List References'!$B$3, _xlfn.IFNA(_xlfn.XLOOKUP(M$2-$C29, 'GEN-CCGT'!$D$7:$AW$7, 'GEN-CCGT'!$D$118:$AW$118), 0), IF($B29='Project List References'!$B$4, _xlfn.IFNA(_xlfn.XLOOKUP(M$2-$C29, 'GEN-SOLAR'!$D$7:$AW$7, 'GEN-SOLAR'!$D$116:$AW$116), 0), IF($B29='Project List References'!$B$5, _xlfn.IFNA(_xlfn.XLOOKUP(M$2-$C29, 'GEN-BESS'!$D$7:$AW$7, 'GEN-BESS'!$D$120:$AW$120), 0), IF($B29='Project List References'!$B$6, _xlfn.IFNA(_xlfn.XLOOKUP(M$2-$C29, 'GEN-CARBON'!$D$7:$AW$7, 'GEN-CARBON'!$D$118:$AW$118), 0), IF($B29='Project List References'!$B$7, _xlfn.IFNA(_xlfn.XLOOKUP(M$2-$C29, 'SENS Coal'!$D$7:$AW$7, 'SENS Coal'!$D$134:$AW$134), 0), IF($B29='Project List References'!$B$8, _xlfn.IFNA(_xlfn.XLOOKUP(M$2-$C29,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N29" s="743" t="e">
        <f>IF($B29='Project List References'!$B$3, _xlfn.IFNA(_xlfn.XLOOKUP(N$2-$C29, 'GEN-CCGT'!$D$7:$AW$7, 'GEN-CCGT'!$D$118:$AW$118), 0), IF($B29='Project List References'!$B$4, _xlfn.IFNA(_xlfn.XLOOKUP(N$2-$C29, 'GEN-SOLAR'!$D$7:$AW$7, 'GEN-SOLAR'!$D$116:$AW$116), 0), IF($B29='Project List References'!$B$5, _xlfn.IFNA(_xlfn.XLOOKUP(N$2-$C29, 'GEN-BESS'!$D$7:$AW$7, 'GEN-BESS'!$D$120:$AW$120), 0), IF($B29='Project List References'!$B$6, _xlfn.IFNA(_xlfn.XLOOKUP(N$2-$C29, 'GEN-CARBON'!$D$7:$AW$7, 'GEN-CARBON'!$D$118:$AW$118), 0), IF($B29='Project List References'!$B$7, _xlfn.IFNA(_xlfn.XLOOKUP(N$2-$C29, 'SENS Coal'!$D$7:$AW$7, 'SENS Coal'!$D$134:$AW$134), 0), IF($B29='Project List References'!$B$8, _xlfn.IFNA(_xlfn.XLOOKUP(N$2-$C29,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O29" s="743" t="e">
        <f>IF($B29='Project List References'!$B$3, _xlfn.IFNA(_xlfn.XLOOKUP(O$2-$C29, 'GEN-CCGT'!$D$7:$AW$7, 'GEN-CCGT'!$D$118:$AW$118), 0), IF($B29='Project List References'!$B$4, _xlfn.IFNA(_xlfn.XLOOKUP(O$2-$C29, 'GEN-SOLAR'!$D$7:$AW$7, 'GEN-SOLAR'!$D$116:$AW$116), 0), IF($B29='Project List References'!$B$5, _xlfn.IFNA(_xlfn.XLOOKUP(O$2-$C29, 'GEN-BESS'!$D$7:$AW$7, 'GEN-BESS'!$D$120:$AW$120), 0), IF($B29='Project List References'!$B$6, _xlfn.IFNA(_xlfn.XLOOKUP(O$2-$C29, 'GEN-CARBON'!$D$7:$AW$7, 'GEN-CARBON'!$D$118:$AW$118), 0), IF($B29='Project List References'!$B$7, _xlfn.IFNA(_xlfn.XLOOKUP(O$2-$C29, 'SENS Coal'!$D$7:$AW$7, 'SENS Coal'!$D$134:$AW$134), 0), IF($B29='Project List References'!$B$8, _xlfn.IFNA(_xlfn.XLOOKUP(O$2-$C29,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P29" s="743" t="e">
        <f>IF($B29='Project List References'!$B$3, _xlfn.IFNA(_xlfn.XLOOKUP(P$2-$C29, 'GEN-CCGT'!$D$7:$AW$7, 'GEN-CCGT'!$D$118:$AW$118), 0), IF($B29='Project List References'!$B$4, _xlfn.IFNA(_xlfn.XLOOKUP(P$2-$C29, 'GEN-SOLAR'!$D$7:$AW$7, 'GEN-SOLAR'!$D$116:$AW$116), 0), IF($B29='Project List References'!$B$5, _xlfn.IFNA(_xlfn.XLOOKUP(P$2-$C29, 'GEN-BESS'!$D$7:$AW$7, 'GEN-BESS'!$D$120:$AW$120), 0), IF($B29='Project List References'!$B$6, _xlfn.IFNA(_xlfn.XLOOKUP(P$2-$C29, 'GEN-CARBON'!$D$7:$AW$7, 'GEN-CARBON'!$D$118:$AW$118), 0), IF($B29='Project List References'!$B$7, _xlfn.IFNA(_xlfn.XLOOKUP(P$2-$C29, 'SENS Coal'!$D$7:$AW$7, 'SENS Coal'!$D$134:$AW$134), 0), IF($B29='Project List References'!$B$8, _xlfn.IFNA(_xlfn.XLOOKUP(P$2-$C29,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Q29" s="743" t="e">
        <f>IF($B29='Project List References'!$B$3, _xlfn.IFNA(_xlfn.XLOOKUP(Q$2-$C29, 'GEN-CCGT'!$D$7:$AW$7, 'GEN-CCGT'!$D$118:$AW$118), 0), IF($B29='Project List References'!$B$4, _xlfn.IFNA(_xlfn.XLOOKUP(Q$2-$C29, 'GEN-SOLAR'!$D$7:$AW$7, 'GEN-SOLAR'!$D$116:$AW$116), 0), IF($B29='Project List References'!$B$5, _xlfn.IFNA(_xlfn.XLOOKUP(Q$2-$C29, 'GEN-BESS'!$D$7:$AW$7, 'GEN-BESS'!$D$120:$AW$120), 0), IF($B29='Project List References'!$B$6, _xlfn.IFNA(_xlfn.XLOOKUP(Q$2-$C29, 'GEN-CARBON'!$D$7:$AW$7, 'GEN-CARBON'!$D$118:$AW$118), 0), IF($B29='Project List References'!$B$7, _xlfn.IFNA(_xlfn.XLOOKUP(Q$2-$C29, 'SENS Coal'!$D$7:$AW$7, 'SENS Coal'!$D$134:$AW$134), 0), IF($B29='Project List References'!$B$8, _xlfn.IFNA(_xlfn.XLOOKUP(Q$2-$C29,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R29" s="743" t="e">
        <f>IF($B29='Project List References'!$B$3, _xlfn.IFNA(_xlfn.XLOOKUP(R$2-$C29, 'GEN-CCGT'!$D$7:$AW$7, 'GEN-CCGT'!$D$118:$AW$118), 0), IF($B29='Project List References'!$B$4, _xlfn.IFNA(_xlfn.XLOOKUP(R$2-$C29, 'GEN-SOLAR'!$D$7:$AW$7, 'GEN-SOLAR'!$D$116:$AW$116), 0), IF($B29='Project List References'!$B$5, _xlfn.IFNA(_xlfn.XLOOKUP(R$2-$C29, 'GEN-BESS'!$D$7:$AW$7, 'GEN-BESS'!$D$120:$AW$120), 0), IF($B29='Project List References'!$B$6, _xlfn.IFNA(_xlfn.XLOOKUP(R$2-$C29, 'GEN-CARBON'!$D$7:$AW$7, 'GEN-CARBON'!$D$118:$AW$118), 0), IF($B29='Project List References'!$B$7, _xlfn.IFNA(_xlfn.XLOOKUP(R$2-$C29, 'SENS Coal'!$D$7:$AW$7, 'SENS Coal'!$D$134:$AW$134), 0), IF($B29='Project List References'!$B$8, _xlfn.IFNA(_xlfn.XLOOKUP(R$2-$C29,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S29" s="743" t="e">
        <f>IF($B29='Project List References'!$B$3, _xlfn.IFNA(_xlfn.XLOOKUP(S$2-$C29, 'GEN-CCGT'!$D$7:$AW$7, 'GEN-CCGT'!$D$118:$AW$118), 0), IF($B29='Project List References'!$B$4, _xlfn.IFNA(_xlfn.XLOOKUP(S$2-$C29, 'GEN-SOLAR'!$D$7:$AW$7, 'GEN-SOLAR'!$D$116:$AW$116), 0), IF($B29='Project List References'!$B$5, _xlfn.IFNA(_xlfn.XLOOKUP(S$2-$C29, 'GEN-BESS'!$D$7:$AW$7, 'GEN-BESS'!$D$120:$AW$120), 0), IF($B29='Project List References'!$B$6, _xlfn.IFNA(_xlfn.XLOOKUP(S$2-$C29, 'GEN-CARBON'!$D$7:$AW$7, 'GEN-CARBON'!$D$118:$AW$118), 0), IF($B29='Project List References'!$B$7, _xlfn.IFNA(_xlfn.XLOOKUP(S$2-$C29, 'SENS Coal'!$D$7:$AW$7, 'SENS Coal'!$D$134:$AW$134), 0), IF($B29='Project List References'!$B$8, _xlfn.IFNA(_xlfn.XLOOKUP(S$2-$C29,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T29" s="743" t="e">
        <f>IF($B29='Project List References'!$B$3, _xlfn.IFNA(_xlfn.XLOOKUP(T$2-$C29, 'GEN-CCGT'!$D$7:$AW$7, 'GEN-CCGT'!$D$118:$AW$118), 0), IF($B29='Project List References'!$B$4, _xlfn.IFNA(_xlfn.XLOOKUP(T$2-$C29, 'GEN-SOLAR'!$D$7:$AW$7, 'GEN-SOLAR'!$D$116:$AW$116), 0), IF($B29='Project List References'!$B$5, _xlfn.IFNA(_xlfn.XLOOKUP(T$2-$C29, 'GEN-BESS'!$D$7:$AW$7, 'GEN-BESS'!$D$120:$AW$120), 0), IF($B29='Project List References'!$B$6, _xlfn.IFNA(_xlfn.XLOOKUP(T$2-$C29, 'GEN-CARBON'!$D$7:$AW$7, 'GEN-CARBON'!$D$118:$AW$118), 0), IF($B29='Project List References'!$B$7, _xlfn.IFNA(_xlfn.XLOOKUP(T$2-$C29, 'SENS Coal'!$D$7:$AW$7, 'SENS Coal'!$D$134:$AW$134), 0), IF($B29='Project List References'!$B$8, _xlfn.IFNA(_xlfn.XLOOKUP(T$2-$C29, 'SENS Tires'!$D$7:$AW$7, 'SENS Tires'!$D$132:$AW$132),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</row>
    <row r="30" spans="1:20">
      <c r="A30" s="655" t="str">
        <f>IF(ISBLANK('Project Master Sheet'!A30)=FALSE, 'Project Master Sheet'!A30, "")</f>
        <v/>
      </c>
      <c r="B30" s="655" t="str">
        <f>_xlfn.IFNA(_xlfn.XLOOKUP(A30, 'Project Master Sheet'!A:A, 'Project Master Sheet'!D:D), "")</f>
        <v/>
      </c>
      <c r="C30" s="655" t="e">
        <f>_xlfn.XLOOKUP(A30, 'Project Master Sheet'!A:A, 'Project Master Sheet'!I:I)</f>
        <v>#N/A</v>
      </c>
      <c r="E30" s="743" t="e">
        <f>IF($B30='Project List References'!$B$3, _xlfn.IFNA(_xlfn.XLOOKUP(E$2-$C30, 'GEN-CCGT'!$D$7:$AW$7, 'GEN-CCGT'!$D$118:$AW$118), 0), IF($B30='Project List References'!$B$4, _xlfn.IFNA(_xlfn.XLOOKUP(E$2-$C30, 'GEN-SOLAR'!$D$7:$AW$7, 'GEN-SOLAR'!$D$116:$AW$116), 0), IF($B30='Project List References'!$B$5, _xlfn.IFNA(_xlfn.XLOOKUP(E$2-$C30, 'GEN-BESS'!$D$7:$AW$7, 'GEN-BESS'!$D$120:$AW$120), 0), IF($B30='Project List References'!$B$6, _xlfn.IFNA(_xlfn.XLOOKUP(E$2-$C30, 'GEN-CARBON'!$D$7:$AW$7, 'GEN-CARBON'!$D$118:$AW$118), 0), IF($B30='Project List References'!$B$7, _xlfn.IFNA(_xlfn.XLOOKUP(E$2-$C30, 'SENS Coal'!$D$7:$AW$7, 'SENS Coal'!$D$134:$AW$134), 0), IF($B30='Project List References'!$B$8, _xlfn.IFNA(_xlfn.XLOOKUP(E$2-$C30,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F30" s="743" t="e">
        <f>IF($B30='Project List References'!$B$3, _xlfn.IFNA(_xlfn.XLOOKUP(F$2-$C30, 'GEN-CCGT'!$D$7:$AW$7, 'GEN-CCGT'!$D$118:$AW$118), 0), IF($B30='Project List References'!$B$4, _xlfn.IFNA(_xlfn.XLOOKUP(F$2-$C30, 'GEN-SOLAR'!$D$7:$AW$7, 'GEN-SOLAR'!$D$116:$AW$116), 0), IF($B30='Project List References'!$B$5, _xlfn.IFNA(_xlfn.XLOOKUP(F$2-$C30, 'GEN-BESS'!$D$7:$AW$7, 'GEN-BESS'!$D$120:$AW$120), 0), IF($B30='Project List References'!$B$6, _xlfn.IFNA(_xlfn.XLOOKUP(F$2-$C30, 'GEN-CARBON'!$D$7:$AW$7, 'GEN-CARBON'!$D$118:$AW$118), 0), IF($B30='Project List References'!$B$7, _xlfn.IFNA(_xlfn.XLOOKUP(F$2-$C30, 'SENS Coal'!$D$7:$AW$7, 'SENS Coal'!$D$134:$AW$134), 0), IF($B30='Project List References'!$B$8, _xlfn.IFNA(_xlfn.XLOOKUP(F$2-$C30,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G30" s="743" t="e">
        <f>IF($B30='Project List References'!$B$3, _xlfn.IFNA(_xlfn.XLOOKUP(G$2-$C30, 'GEN-CCGT'!$D$7:$AW$7, 'GEN-CCGT'!$D$118:$AW$118), 0), IF($B30='Project List References'!$B$4, _xlfn.IFNA(_xlfn.XLOOKUP(G$2-$C30, 'GEN-SOLAR'!$D$7:$AW$7, 'GEN-SOLAR'!$D$116:$AW$116), 0), IF($B30='Project List References'!$B$5, _xlfn.IFNA(_xlfn.XLOOKUP(G$2-$C30, 'GEN-BESS'!$D$7:$AW$7, 'GEN-BESS'!$D$120:$AW$120), 0), IF($B30='Project List References'!$B$6, _xlfn.IFNA(_xlfn.XLOOKUP(G$2-$C30, 'GEN-CARBON'!$D$7:$AW$7, 'GEN-CARBON'!$D$118:$AW$118), 0), IF($B30='Project List References'!$B$7, _xlfn.IFNA(_xlfn.XLOOKUP(G$2-$C30, 'SENS Coal'!$D$7:$AW$7, 'SENS Coal'!$D$134:$AW$134), 0), IF($B30='Project List References'!$B$8, _xlfn.IFNA(_xlfn.XLOOKUP(G$2-$C30,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H30" s="743" t="e">
        <f>IF($B30='Project List References'!$B$3, _xlfn.IFNA(_xlfn.XLOOKUP(H$2-$C30, 'GEN-CCGT'!$D$7:$AW$7, 'GEN-CCGT'!$D$118:$AW$118), 0), IF($B30='Project List References'!$B$4, _xlfn.IFNA(_xlfn.XLOOKUP(H$2-$C30, 'GEN-SOLAR'!$D$7:$AW$7, 'GEN-SOLAR'!$D$116:$AW$116), 0), IF($B30='Project List References'!$B$5, _xlfn.IFNA(_xlfn.XLOOKUP(H$2-$C30, 'GEN-BESS'!$D$7:$AW$7, 'GEN-BESS'!$D$120:$AW$120), 0), IF($B30='Project List References'!$B$6, _xlfn.IFNA(_xlfn.XLOOKUP(H$2-$C30, 'GEN-CARBON'!$D$7:$AW$7, 'GEN-CARBON'!$D$118:$AW$118), 0), IF($B30='Project List References'!$B$7, _xlfn.IFNA(_xlfn.XLOOKUP(H$2-$C30, 'SENS Coal'!$D$7:$AW$7, 'SENS Coal'!$D$134:$AW$134), 0), IF($B30='Project List References'!$B$8, _xlfn.IFNA(_xlfn.XLOOKUP(H$2-$C30,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I30" s="743" t="e">
        <f>IF($B30='Project List References'!$B$3, _xlfn.IFNA(_xlfn.XLOOKUP(I$2-$C30, 'GEN-CCGT'!$D$7:$AW$7, 'GEN-CCGT'!$D$118:$AW$118), 0), IF($B30='Project List References'!$B$4, _xlfn.IFNA(_xlfn.XLOOKUP(I$2-$C30, 'GEN-SOLAR'!$D$7:$AW$7, 'GEN-SOLAR'!$D$116:$AW$116), 0), IF($B30='Project List References'!$B$5, _xlfn.IFNA(_xlfn.XLOOKUP(I$2-$C30, 'GEN-BESS'!$D$7:$AW$7, 'GEN-BESS'!$D$120:$AW$120), 0), IF($B30='Project List References'!$B$6, _xlfn.IFNA(_xlfn.XLOOKUP(I$2-$C30, 'GEN-CARBON'!$D$7:$AW$7, 'GEN-CARBON'!$D$118:$AW$118), 0), IF($B30='Project List References'!$B$7, _xlfn.IFNA(_xlfn.XLOOKUP(I$2-$C30, 'SENS Coal'!$D$7:$AW$7, 'SENS Coal'!$D$134:$AW$134), 0), IF($B30='Project List References'!$B$8, _xlfn.IFNA(_xlfn.XLOOKUP(I$2-$C30,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J30" s="743" t="e">
        <f>IF($B30='Project List References'!$B$3, _xlfn.IFNA(_xlfn.XLOOKUP(J$2-$C30, 'GEN-CCGT'!$D$7:$AW$7, 'GEN-CCGT'!$D$118:$AW$118), 0), IF($B30='Project List References'!$B$4, _xlfn.IFNA(_xlfn.XLOOKUP(J$2-$C30, 'GEN-SOLAR'!$D$7:$AW$7, 'GEN-SOLAR'!$D$116:$AW$116), 0), IF($B30='Project List References'!$B$5, _xlfn.IFNA(_xlfn.XLOOKUP(J$2-$C30, 'GEN-BESS'!$D$7:$AW$7, 'GEN-BESS'!$D$120:$AW$120), 0), IF($B30='Project List References'!$B$6, _xlfn.IFNA(_xlfn.XLOOKUP(J$2-$C30, 'GEN-CARBON'!$D$7:$AW$7, 'GEN-CARBON'!$D$118:$AW$118), 0), IF($B30='Project List References'!$B$7, _xlfn.IFNA(_xlfn.XLOOKUP(J$2-$C30, 'SENS Coal'!$D$7:$AW$7, 'SENS Coal'!$D$134:$AW$134), 0), IF($B30='Project List References'!$B$8, _xlfn.IFNA(_xlfn.XLOOKUP(J$2-$C30,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K30" s="743" t="e">
        <f>IF($B30='Project List References'!$B$3, _xlfn.IFNA(_xlfn.XLOOKUP(K$2-$C30, 'GEN-CCGT'!$D$7:$AW$7, 'GEN-CCGT'!$D$118:$AW$118), 0), IF($B30='Project List References'!$B$4, _xlfn.IFNA(_xlfn.XLOOKUP(K$2-$C30, 'GEN-SOLAR'!$D$7:$AW$7, 'GEN-SOLAR'!$D$116:$AW$116), 0), IF($B30='Project List References'!$B$5, _xlfn.IFNA(_xlfn.XLOOKUP(K$2-$C30, 'GEN-BESS'!$D$7:$AW$7, 'GEN-BESS'!$D$120:$AW$120), 0), IF($B30='Project List References'!$B$6, _xlfn.IFNA(_xlfn.XLOOKUP(K$2-$C30, 'GEN-CARBON'!$D$7:$AW$7, 'GEN-CARBON'!$D$118:$AW$118), 0), IF($B30='Project List References'!$B$7, _xlfn.IFNA(_xlfn.XLOOKUP(K$2-$C30, 'SENS Coal'!$D$7:$AW$7, 'SENS Coal'!$D$134:$AW$134), 0), IF($B30='Project List References'!$B$8, _xlfn.IFNA(_xlfn.XLOOKUP(K$2-$C30,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L30" s="743" t="e">
        <f>IF($B30='Project List References'!$B$3, _xlfn.IFNA(_xlfn.XLOOKUP(L$2-$C30, 'GEN-CCGT'!$D$7:$AW$7, 'GEN-CCGT'!$D$118:$AW$118), 0), IF($B30='Project List References'!$B$4, _xlfn.IFNA(_xlfn.XLOOKUP(L$2-$C30, 'GEN-SOLAR'!$D$7:$AW$7, 'GEN-SOLAR'!$D$116:$AW$116), 0), IF($B30='Project List References'!$B$5, _xlfn.IFNA(_xlfn.XLOOKUP(L$2-$C30, 'GEN-BESS'!$D$7:$AW$7, 'GEN-BESS'!$D$120:$AW$120), 0), IF($B30='Project List References'!$B$6, _xlfn.IFNA(_xlfn.XLOOKUP(L$2-$C30, 'GEN-CARBON'!$D$7:$AW$7, 'GEN-CARBON'!$D$118:$AW$118), 0), IF($B30='Project List References'!$B$7, _xlfn.IFNA(_xlfn.XLOOKUP(L$2-$C30, 'SENS Coal'!$D$7:$AW$7, 'SENS Coal'!$D$134:$AW$134), 0), IF($B30='Project List References'!$B$8, _xlfn.IFNA(_xlfn.XLOOKUP(L$2-$C30,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M30" s="743" t="e">
        <f>IF($B30='Project List References'!$B$3, _xlfn.IFNA(_xlfn.XLOOKUP(M$2-$C30, 'GEN-CCGT'!$D$7:$AW$7, 'GEN-CCGT'!$D$118:$AW$118), 0), IF($B30='Project List References'!$B$4, _xlfn.IFNA(_xlfn.XLOOKUP(M$2-$C30, 'GEN-SOLAR'!$D$7:$AW$7, 'GEN-SOLAR'!$D$116:$AW$116), 0), IF($B30='Project List References'!$B$5, _xlfn.IFNA(_xlfn.XLOOKUP(M$2-$C30, 'GEN-BESS'!$D$7:$AW$7, 'GEN-BESS'!$D$120:$AW$120), 0), IF($B30='Project List References'!$B$6, _xlfn.IFNA(_xlfn.XLOOKUP(M$2-$C30, 'GEN-CARBON'!$D$7:$AW$7, 'GEN-CARBON'!$D$118:$AW$118), 0), IF($B30='Project List References'!$B$7, _xlfn.IFNA(_xlfn.XLOOKUP(M$2-$C30, 'SENS Coal'!$D$7:$AW$7, 'SENS Coal'!$D$134:$AW$134), 0), IF($B30='Project List References'!$B$8, _xlfn.IFNA(_xlfn.XLOOKUP(M$2-$C30,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N30" s="743" t="e">
        <f>IF($B30='Project List References'!$B$3, _xlfn.IFNA(_xlfn.XLOOKUP(N$2-$C30, 'GEN-CCGT'!$D$7:$AW$7, 'GEN-CCGT'!$D$118:$AW$118), 0), IF($B30='Project List References'!$B$4, _xlfn.IFNA(_xlfn.XLOOKUP(N$2-$C30, 'GEN-SOLAR'!$D$7:$AW$7, 'GEN-SOLAR'!$D$116:$AW$116), 0), IF($B30='Project List References'!$B$5, _xlfn.IFNA(_xlfn.XLOOKUP(N$2-$C30, 'GEN-BESS'!$D$7:$AW$7, 'GEN-BESS'!$D$120:$AW$120), 0), IF($B30='Project List References'!$B$6, _xlfn.IFNA(_xlfn.XLOOKUP(N$2-$C30, 'GEN-CARBON'!$D$7:$AW$7, 'GEN-CARBON'!$D$118:$AW$118), 0), IF($B30='Project List References'!$B$7, _xlfn.IFNA(_xlfn.XLOOKUP(N$2-$C30, 'SENS Coal'!$D$7:$AW$7, 'SENS Coal'!$D$134:$AW$134), 0), IF($B30='Project List References'!$B$8, _xlfn.IFNA(_xlfn.XLOOKUP(N$2-$C30,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O30" s="743" t="e">
        <f>IF($B30='Project List References'!$B$3, _xlfn.IFNA(_xlfn.XLOOKUP(O$2-$C30, 'GEN-CCGT'!$D$7:$AW$7, 'GEN-CCGT'!$D$118:$AW$118), 0), IF($B30='Project List References'!$B$4, _xlfn.IFNA(_xlfn.XLOOKUP(O$2-$C30, 'GEN-SOLAR'!$D$7:$AW$7, 'GEN-SOLAR'!$D$116:$AW$116), 0), IF($B30='Project List References'!$B$5, _xlfn.IFNA(_xlfn.XLOOKUP(O$2-$C30, 'GEN-BESS'!$D$7:$AW$7, 'GEN-BESS'!$D$120:$AW$120), 0), IF($B30='Project List References'!$B$6, _xlfn.IFNA(_xlfn.XLOOKUP(O$2-$C30, 'GEN-CARBON'!$D$7:$AW$7, 'GEN-CARBON'!$D$118:$AW$118), 0), IF($B30='Project List References'!$B$7, _xlfn.IFNA(_xlfn.XLOOKUP(O$2-$C30, 'SENS Coal'!$D$7:$AW$7, 'SENS Coal'!$D$134:$AW$134), 0), IF($B30='Project List References'!$B$8, _xlfn.IFNA(_xlfn.XLOOKUP(O$2-$C30,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P30" s="743" t="e">
        <f>IF($B30='Project List References'!$B$3, _xlfn.IFNA(_xlfn.XLOOKUP(P$2-$C30, 'GEN-CCGT'!$D$7:$AW$7, 'GEN-CCGT'!$D$118:$AW$118), 0), IF($B30='Project List References'!$B$4, _xlfn.IFNA(_xlfn.XLOOKUP(P$2-$C30, 'GEN-SOLAR'!$D$7:$AW$7, 'GEN-SOLAR'!$D$116:$AW$116), 0), IF($B30='Project List References'!$B$5, _xlfn.IFNA(_xlfn.XLOOKUP(P$2-$C30, 'GEN-BESS'!$D$7:$AW$7, 'GEN-BESS'!$D$120:$AW$120), 0), IF($B30='Project List References'!$B$6, _xlfn.IFNA(_xlfn.XLOOKUP(P$2-$C30, 'GEN-CARBON'!$D$7:$AW$7, 'GEN-CARBON'!$D$118:$AW$118), 0), IF($B30='Project List References'!$B$7, _xlfn.IFNA(_xlfn.XLOOKUP(P$2-$C30, 'SENS Coal'!$D$7:$AW$7, 'SENS Coal'!$D$134:$AW$134), 0), IF($B30='Project List References'!$B$8, _xlfn.IFNA(_xlfn.XLOOKUP(P$2-$C30,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Q30" s="743" t="e">
        <f>IF($B30='Project List References'!$B$3, _xlfn.IFNA(_xlfn.XLOOKUP(Q$2-$C30, 'GEN-CCGT'!$D$7:$AW$7, 'GEN-CCGT'!$D$118:$AW$118), 0), IF($B30='Project List References'!$B$4, _xlfn.IFNA(_xlfn.XLOOKUP(Q$2-$C30, 'GEN-SOLAR'!$D$7:$AW$7, 'GEN-SOLAR'!$D$116:$AW$116), 0), IF($B30='Project List References'!$B$5, _xlfn.IFNA(_xlfn.XLOOKUP(Q$2-$C30, 'GEN-BESS'!$D$7:$AW$7, 'GEN-BESS'!$D$120:$AW$120), 0), IF($B30='Project List References'!$B$6, _xlfn.IFNA(_xlfn.XLOOKUP(Q$2-$C30, 'GEN-CARBON'!$D$7:$AW$7, 'GEN-CARBON'!$D$118:$AW$118), 0), IF($B30='Project List References'!$B$7, _xlfn.IFNA(_xlfn.XLOOKUP(Q$2-$C30, 'SENS Coal'!$D$7:$AW$7, 'SENS Coal'!$D$134:$AW$134), 0), IF($B30='Project List References'!$B$8, _xlfn.IFNA(_xlfn.XLOOKUP(Q$2-$C30,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R30" s="743" t="e">
        <f>IF($B30='Project List References'!$B$3, _xlfn.IFNA(_xlfn.XLOOKUP(R$2-$C30, 'GEN-CCGT'!$D$7:$AW$7, 'GEN-CCGT'!$D$118:$AW$118), 0), IF($B30='Project List References'!$B$4, _xlfn.IFNA(_xlfn.XLOOKUP(R$2-$C30, 'GEN-SOLAR'!$D$7:$AW$7, 'GEN-SOLAR'!$D$116:$AW$116), 0), IF($B30='Project List References'!$B$5, _xlfn.IFNA(_xlfn.XLOOKUP(R$2-$C30, 'GEN-BESS'!$D$7:$AW$7, 'GEN-BESS'!$D$120:$AW$120), 0), IF($B30='Project List References'!$B$6, _xlfn.IFNA(_xlfn.XLOOKUP(R$2-$C30, 'GEN-CARBON'!$D$7:$AW$7, 'GEN-CARBON'!$D$118:$AW$118), 0), IF($B30='Project List References'!$B$7, _xlfn.IFNA(_xlfn.XLOOKUP(R$2-$C30, 'SENS Coal'!$D$7:$AW$7, 'SENS Coal'!$D$134:$AW$134), 0), IF($B30='Project List References'!$B$8, _xlfn.IFNA(_xlfn.XLOOKUP(R$2-$C30,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S30" s="743" t="e">
        <f>IF($B30='Project List References'!$B$3, _xlfn.IFNA(_xlfn.XLOOKUP(S$2-$C30, 'GEN-CCGT'!$D$7:$AW$7, 'GEN-CCGT'!$D$118:$AW$118), 0), IF($B30='Project List References'!$B$4, _xlfn.IFNA(_xlfn.XLOOKUP(S$2-$C30, 'GEN-SOLAR'!$D$7:$AW$7, 'GEN-SOLAR'!$D$116:$AW$116), 0), IF($B30='Project List References'!$B$5, _xlfn.IFNA(_xlfn.XLOOKUP(S$2-$C30, 'GEN-BESS'!$D$7:$AW$7, 'GEN-BESS'!$D$120:$AW$120), 0), IF($B30='Project List References'!$B$6, _xlfn.IFNA(_xlfn.XLOOKUP(S$2-$C30, 'GEN-CARBON'!$D$7:$AW$7, 'GEN-CARBON'!$D$118:$AW$118), 0), IF($B30='Project List References'!$B$7, _xlfn.IFNA(_xlfn.XLOOKUP(S$2-$C30, 'SENS Coal'!$D$7:$AW$7, 'SENS Coal'!$D$134:$AW$134), 0), IF($B30='Project List References'!$B$8, _xlfn.IFNA(_xlfn.XLOOKUP(S$2-$C30,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T30" s="743" t="e">
        <f>IF($B30='Project List References'!$B$3, _xlfn.IFNA(_xlfn.XLOOKUP(T$2-$C30, 'GEN-CCGT'!$D$7:$AW$7, 'GEN-CCGT'!$D$118:$AW$118), 0), IF($B30='Project List References'!$B$4, _xlfn.IFNA(_xlfn.XLOOKUP(T$2-$C30, 'GEN-SOLAR'!$D$7:$AW$7, 'GEN-SOLAR'!$D$116:$AW$116), 0), IF($B30='Project List References'!$B$5, _xlfn.IFNA(_xlfn.XLOOKUP(T$2-$C30, 'GEN-BESS'!$D$7:$AW$7, 'GEN-BESS'!$D$120:$AW$120), 0), IF($B30='Project List References'!$B$6, _xlfn.IFNA(_xlfn.XLOOKUP(T$2-$C30, 'GEN-CARBON'!$D$7:$AW$7, 'GEN-CARBON'!$D$118:$AW$118), 0), IF($B30='Project List References'!$B$7, _xlfn.IFNA(_xlfn.XLOOKUP(T$2-$C30, 'SENS Coal'!$D$7:$AW$7, 'SENS Coal'!$D$134:$AW$134), 0), IF($B30='Project List References'!$B$8, _xlfn.IFNA(_xlfn.XLOOKUP(T$2-$C30, 'SENS Tires'!$D$7:$AW$7, 'SENS Tires'!$D$132:$AW$132),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</row>
  </sheetData>
  <mergeCells count="1">
    <mergeCell ref="E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EFCF-AB4B-4E02-9B5C-E02EA075515E}">
  <dimension ref="A1:DG56"/>
  <sheetViews>
    <sheetView workbookViewId="0">
      <selection activeCell="A10" sqref="A10"/>
    </sheetView>
  </sheetViews>
  <sheetFormatPr baseColWidth="10" defaultColWidth="9.1640625" defaultRowHeight="15"/>
  <cols>
    <col min="1" max="1" width="30.1640625" style="655" customWidth="1"/>
    <col min="2" max="2" width="23" style="655" customWidth="1"/>
    <col min="3" max="3" width="18.1640625" style="655" customWidth="1"/>
    <col min="4" max="4" width="5.6640625" style="655" customWidth="1"/>
    <col min="5" max="20" width="12.6640625" style="655" customWidth="1"/>
    <col min="21" max="16384" width="9.1640625" style="655"/>
  </cols>
  <sheetData>
    <row r="1" spans="1:111" ht="27">
      <c r="A1" s="656" t="s">
        <v>40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8"/>
      <c r="AI1" s="658"/>
      <c r="AJ1" s="658"/>
      <c r="AK1" s="658"/>
      <c r="AL1" s="658"/>
      <c r="AM1" s="658"/>
      <c r="AN1" s="658"/>
      <c r="AO1" s="658"/>
      <c r="AP1" s="658"/>
      <c r="AQ1" s="658"/>
      <c r="AR1" s="658"/>
      <c r="AS1" s="658"/>
      <c r="AT1" s="658"/>
      <c r="AU1" s="658"/>
      <c r="AV1" s="658"/>
      <c r="AW1" s="658"/>
      <c r="AX1" s="658"/>
      <c r="AY1" s="658"/>
      <c r="AZ1" s="658"/>
      <c r="BA1" s="658"/>
      <c r="BB1" s="658"/>
      <c r="BC1" s="658"/>
      <c r="BD1" s="658"/>
      <c r="BE1" s="658"/>
      <c r="BF1" s="658"/>
      <c r="BG1" s="658"/>
      <c r="BH1" s="658"/>
      <c r="BI1" s="658"/>
      <c r="BJ1" s="658"/>
      <c r="BK1" s="658"/>
      <c r="BL1" s="658"/>
      <c r="BM1" s="658"/>
      <c r="BN1" s="658"/>
      <c r="BO1" s="658"/>
      <c r="BP1" s="658"/>
      <c r="BQ1" s="658"/>
      <c r="BR1" s="658"/>
      <c r="BS1" s="658"/>
      <c r="BT1" s="658"/>
      <c r="BU1" s="658"/>
      <c r="BV1" s="658"/>
      <c r="BW1" s="658"/>
      <c r="BX1" s="658"/>
      <c r="BY1" s="658"/>
      <c r="BZ1" s="658"/>
      <c r="CA1" s="658"/>
      <c r="CB1" s="658"/>
      <c r="CC1" s="658"/>
      <c r="CD1" s="658"/>
      <c r="CE1" s="658"/>
      <c r="CF1" s="658"/>
      <c r="CG1" s="658"/>
      <c r="CH1" s="658"/>
      <c r="CI1" s="658"/>
      <c r="CJ1" s="658"/>
      <c r="CK1" s="658"/>
      <c r="CL1" s="658"/>
      <c r="CM1" s="658"/>
      <c r="CN1" s="658"/>
      <c r="CO1" s="658"/>
      <c r="CP1" s="658"/>
      <c r="CQ1" s="658"/>
      <c r="CR1" s="658"/>
      <c r="CS1" s="658"/>
      <c r="CT1" s="658"/>
      <c r="CU1" s="658"/>
      <c r="CV1" s="658"/>
      <c r="CW1" s="658"/>
      <c r="CX1" s="658"/>
      <c r="CY1" s="658"/>
      <c r="CZ1" s="658"/>
      <c r="DA1" s="658"/>
      <c r="DB1" s="658"/>
      <c r="DC1" s="658"/>
      <c r="DD1" s="658"/>
      <c r="DE1" s="658"/>
      <c r="DF1" s="658"/>
      <c r="DG1" s="658"/>
    </row>
    <row r="2" spans="1:111">
      <c r="A2" s="655" t="s">
        <v>52</v>
      </c>
      <c r="B2" s="655" t="s">
        <v>45</v>
      </c>
      <c r="C2" s="655" t="s">
        <v>53</v>
      </c>
      <c r="E2" s="655">
        <v>0</v>
      </c>
      <c r="F2" s="655">
        <f>E2+1</f>
        <v>1</v>
      </c>
      <c r="G2" s="655">
        <f t="shared" ref="G2:T2" si="0">F2+1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111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_xlfn.XLOOKUP(A3, 'Project Master Sheet'!A:A, 'Project Master Sheet'!I:I)</f>
        <v>1</v>
      </c>
      <c r="E3" s="743">
        <f>IF($B3='Project List References'!$B$3, _xlfn.IFNA(_xlfn.XLOOKUP(E$2-$C3, 'GEN-CCGT'!$D$7:$AW$7, 'GEN-CCGT'!$D$124:$AW$124), 0), IF($B3='Project List References'!$B$4, _xlfn.IFNA(_xlfn.XLOOKUP(E$2-$C3, 'GEN-SOLAR'!$D$7:$AW$7, 'GEN-SOLAR'!$D$122:$AW$122), 0), IF($B3='Project List References'!$B$5, _xlfn.IFNA(_xlfn.XLOOKUP(E$2-$C3, 'GEN-BESS'!$D$7:$AW$7, 'GEN-BESS'!$D$125:$AW$125), 0), IF($B3='Project List References'!$B$6, _xlfn.IFNA(_xlfn.XLOOKUP(E$2-$C3, 'GEN-CARBON'!$D$7:$AW$7, 'GEN-CARBON'!$D$124:$AW$124), 0), IF($B3='Project List References'!$B$7, _xlfn.IFNA(_xlfn.XLOOKUP(E$2-$C3, 'SENS Coal'!$D$7:$AW$7, 'SENS Coal'!$D$141:$AW$141), 0), IF($B3='Project List References'!$B$8, _xlfn.IFNA(_xlfn.XLOOKUP(E$2-$C3,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F3" s="743">
        <f>IF($B3='Project List References'!$B$3, _xlfn.IFNA(_xlfn.XLOOKUP(F$2-$C3, 'GEN-CCGT'!$D$7:$AW$7, 'GEN-CCGT'!$D$124:$AW$124), 0), IF($B3='Project List References'!$B$4, _xlfn.IFNA(_xlfn.XLOOKUP(F$2-$C3, 'GEN-SOLAR'!$D$7:$AW$7, 'GEN-SOLAR'!$D$122:$AW$122), 0), IF($B3='Project List References'!$B$5, _xlfn.IFNA(_xlfn.XLOOKUP(F$2-$C3, 'GEN-BESS'!$D$7:$AW$7, 'GEN-BESS'!$D$125:$AW$125), 0), IF($B3='Project List References'!$B$6, _xlfn.IFNA(_xlfn.XLOOKUP(F$2-$C3, 'GEN-CARBON'!$D$7:$AW$7, 'GEN-CARBON'!$D$124:$AW$124), 0), IF($B3='Project List References'!$B$7, _xlfn.IFNA(_xlfn.XLOOKUP(F$2-$C3, 'SENS Coal'!$D$7:$AW$7, 'SENS Coal'!$D$141:$AW$141), 0), IF($B3='Project List References'!$B$8, _xlfn.IFNA(_xlfn.XLOOKUP(F$2-$C3,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G3" s="743">
        <f>IF($B3='Project List References'!$B$3, _xlfn.IFNA(_xlfn.XLOOKUP(G$2-$C3, 'GEN-CCGT'!$D$7:$AW$7, 'GEN-CCGT'!$D$124:$AW$124), 0), IF($B3='Project List References'!$B$4, _xlfn.IFNA(_xlfn.XLOOKUP(G$2-$C3, 'GEN-SOLAR'!$D$7:$AW$7, 'GEN-SOLAR'!$D$122:$AW$122), 0), IF($B3='Project List References'!$B$5, _xlfn.IFNA(_xlfn.XLOOKUP(G$2-$C3, 'GEN-BESS'!$D$7:$AW$7, 'GEN-BESS'!$D$125:$AW$125), 0), IF($B3='Project List References'!$B$6, _xlfn.IFNA(_xlfn.XLOOKUP(G$2-$C3, 'GEN-CARBON'!$D$7:$AW$7, 'GEN-CARBON'!$D$124:$AW$124), 0), IF($B3='Project List References'!$B$7, _xlfn.IFNA(_xlfn.XLOOKUP(G$2-$C3, 'SENS Coal'!$D$7:$AW$7, 'SENS Coal'!$D$141:$AW$141), 0), IF($B3='Project List References'!$B$8, _xlfn.IFNA(_xlfn.XLOOKUP(G$2-$C3,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H3" s="743">
        <f>IF($B3='Project List References'!$B$3, _xlfn.IFNA(_xlfn.XLOOKUP(H$2-$C3, 'GEN-CCGT'!$D$7:$AW$7, 'GEN-CCGT'!$D$124:$AW$124), 0), IF($B3='Project List References'!$B$4, _xlfn.IFNA(_xlfn.XLOOKUP(H$2-$C3, 'GEN-SOLAR'!$D$7:$AW$7, 'GEN-SOLAR'!$D$122:$AW$122), 0), IF($B3='Project List References'!$B$5, _xlfn.IFNA(_xlfn.XLOOKUP(H$2-$C3, 'GEN-BESS'!$D$7:$AW$7, 'GEN-BESS'!$D$125:$AW$125), 0), IF($B3='Project List References'!$B$6, _xlfn.IFNA(_xlfn.XLOOKUP(H$2-$C3, 'GEN-CARBON'!$D$7:$AW$7, 'GEN-CARBON'!$D$124:$AW$124), 0), IF($B3='Project List References'!$B$7, _xlfn.IFNA(_xlfn.XLOOKUP(H$2-$C3, 'SENS Coal'!$D$7:$AW$7, 'SENS Coal'!$D$141:$AW$141), 0), IF($B3='Project List References'!$B$8, _xlfn.IFNA(_xlfn.XLOOKUP(H$2-$C3,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I3" s="743">
        <f>IF($B3='Project List References'!$B$3, _xlfn.IFNA(_xlfn.XLOOKUP(I$2-$C3, 'GEN-CCGT'!$D$7:$AW$7, 'GEN-CCGT'!$D$124:$AW$124), 0), IF($B3='Project List References'!$B$4, _xlfn.IFNA(_xlfn.XLOOKUP(I$2-$C3, 'GEN-SOLAR'!$D$7:$AW$7, 'GEN-SOLAR'!$D$122:$AW$122), 0), IF($B3='Project List References'!$B$5, _xlfn.IFNA(_xlfn.XLOOKUP(I$2-$C3, 'GEN-BESS'!$D$7:$AW$7, 'GEN-BESS'!$D$125:$AW$125), 0), IF($B3='Project List References'!$B$6, _xlfn.IFNA(_xlfn.XLOOKUP(I$2-$C3, 'GEN-CARBON'!$D$7:$AW$7, 'GEN-CARBON'!$D$124:$AW$124), 0), IF($B3='Project List References'!$B$7, _xlfn.IFNA(_xlfn.XLOOKUP(I$2-$C3, 'SENS Coal'!$D$7:$AW$7, 'SENS Coal'!$D$141:$AW$141), 0), IF($B3='Project List References'!$B$8, _xlfn.IFNA(_xlfn.XLOOKUP(I$2-$C3,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J3" s="743">
        <f>IF($B3='Project List References'!$B$3, _xlfn.IFNA(_xlfn.XLOOKUP(J$2-$C3, 'GEN-CCGT'!$D$7:$AW$7, 'GEN-CCGT'!$D$124:$AW$124), 0), IF($B3='Project List References'!$B$4, _xlfn.IFNA(_xlfn.XLOOKUP(J$2-$C3, 'GEN-SOLAR'!$D$7:$AW$7, 'GEN-SOLAR'!$D$122:$AW$122), 0), IF($B3='Project List References'!$B$5, _xlfn.IFNA(_xlfn.XLOOKUP(J$2-$C3, 'GEN-BESS'!$D$7:$AW$7, 'GEN-BESS'!$D$125:$AW$125), 0), IF($B3='Project List References'!$B$6, _xlfn.IFNA(_xlfn.XLOOKUP(J$2-$C3, 'GEN-CARBON'!$D$7:$AW$7, 'GEN-CARBON'!$D$124:$AW$124), 0), IF($B3='Project List References'!$B$7, _xlfn.IFNA(_xlfn.XLOOKUP(J$2-$C3, 'SENS Coal'!$D$7:$AW$7, 'SENS Coal'!$D$141:$AW$141), 0), IF($B3='Project List References'!$B$8, _xlfn.IFNA(_xlfn.XLOOKUP(J$2-$C3,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49.169243363855756</v>
      </c>
      <c r="K3" s="743">
        <f>IF($B3='Project List References'!$B$3, _xlfn.IFNA(_xlfn.XLOOKUP(K$2-$C3, 'GEN-CCGT'!$D$7:$AW$7, 'GEN-CCGT'!$D$124:$AW$124), 0), IF($B3='Project List References'!$B$4, _xlfn.IFNA(_xlfn.XLOOKUP(K$2-$C3, 'GEN-SOLAR'!$D$7:$AW$7, 'GEN-SOLAR'!$D$122:$AW$122), 0), IF($B3='Project List References'!$B$5, _xlfn.IFNA(_xlfn.XLOOKUP(K$2-$C3, 'GEN-BESS'!$D$7:$AW$7, 'GEN-BESS'!$D$125:$AW$125), 0), IF($B3='Project List References'!$B$6, _xlfn.IFNA(_xlfn.XLOOKUP(K$2-$C3, 'GEN-CARBON'!$D$7:$AW$7, 'GEN-CARBON'!$D$124:$AW$124), 0), IF($B3='Project List References'!$B$7, _xlfn.IFNA(_xlfn.XLOOKUP(K$2-$C3, 'SENS Coal'!$D$7:$AW$7, 'SENS Coal'!$D$141:$AW$141), 0), IF($B3='Project List References'!$B$8, _xlfn.IFNA(_xlfn.XLOOKUP(K$2-$C3,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59.527068475043421</v>
      </c>
      <c r="L3" s="743">
        <f>IF($B3='Project List References'!$B$3, _xlfn.IFNA(_xlfn.XLOOKUP(L$2-$C3, 'GEN-CCGT'!$D$7:$AW$7, 'GEN-CCGT'!$D$124:$AW$124), 0), IF($B3='Project List References'!$B$4, _xlfn.IFNA(_xlfn.XLOOKUP(L$2-$C3, 'GEN-SOLAR'!$D$7:$AW$7, 'GEN-SOLAR'!$D$122:$AW$122), 0), IF($B3='Project List References'!$B$5, _xlfn.IFNA(_xlfn.XLOOKUP(L$2-$C3, 'GEN-BESS'!$D$7:$AW$7, 'GEN-BESS'!$D$125:$AW$125), 0), IF($B3='Project List References'!$B$6, _xlfn.IFNA(_xlfn.XLOOKUP(L$2-$C3, 'GEN-CARBON'!$D$7:$AW$7, 'GEN-CARBON'!$D$124:$AW$124), 0), IF($B3='Project List References'!$B$7, _xlfn.IFNA(_xlfn.XLOOKUP(L$2-$C3, 'SENS Coal'!$D$7:$AW$7, 'SENS Coal'!$D$141:$AW$141), 0), IF($B3='Project List References'!$B$8, _xlfn.IFNA(_xlfn.XLOOKUP(L$2-$C3,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60.18165080385581</v>
      </c>
      <c r="M3" s="743">
        <f>IF($B3='Project List References'!$B$3, _xlfn.IFNA(_xlfn.XLOOKUP(M$2-$C3, 'GEN-CCGT'!$D$7:$AW$7, 'GEN-CCGT'!$D$124:$AW$124), 0), IF($B3='Project List References'!$B$4, _xlfn.IFNA(_xlfn.XLOOKUP(M$2-$C3, 'GEN-SOLAR'!$D$7:$AW$7, 'GEN-SOLAR'!$D$122:$AW$122), 0), IF($B3='Project List References'!$B$5, _xlfn.IFNA(_xlfn.XLOOKUP(M$2-$C3, 'GEN-BESS'!$D$7:$AW$7, 'GEN-BESS'!$D$125:$AW$125), 0), IF($B3='Project List References'!$B$6, _xlfn.IFNA(_xlfn.XLOOKUP(M$2-$C3, 'GEN-CARBON'!$D$7:$AW$7, 'GEN-CARBON'!$D$124:$AW$124), 0), IF($B3='Project List References'!$B$7, _xlfn.IFNA(_xlfn.XLOOKUP(M$2-$C3, 'SENS Coal'!$D$7:$AW$7, 'SENS Coal'!$D$141:$AW$141), 0), IF($B3='Project List References'!$B$8, _xlfn.IFNA(_xlfn.XLOOKUP(M$2-$C3,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60.858698676846181</v>
      </c>
      <c r="N3" s="743">
        <f>IF($B3='Project List References'!$B$3, _xlfn.IFNA(_xlfn.XLOOKUP(N$2-$C3, 'GEN-CCGT'!$D$7:$AW$7, 'GEN-CCGT'!$D$124:$AW$124), 0), IF($B3='Project List References'!$B$4, _xlfn.IFNA(_xlfn.XLOOKUP(N$2-$C3, 'GEN-SOLAR'!$D$7:$AW$7, 'GEN-SOLAR'!$D$122:$AW$122), 0), IF($B3='Project List References'!$B$5, _xlfn.IFNA(_xlfn.XLOOKUP(N$2-$C3, 'GEN-BESS'!$D$7:$AW$7, 'GEN-BESS'!$D$125:$AW$125), 0), IF($B3='Project List References'!$B$6, _xlfn.IFNA(_xlfn.XLOOKUP(N$2-$C3, 'GEN-CARBON'!$D$7:$AW$7, 'GEN-CARBON'!$D$124:$AW$124), 0), IF($B3='Project List References'!$B$7, _xlfn.IFNA(_xlfn.XLOOKUP(N$2-$C3, 'SENS Coal'!$D$7:$AW$7, 'SENS Coal'!$D$141:$AW$141), 0), IF($B3='Project List References'!$B$8, _xlfn.IFNA(_xlfn.XLOOKUP(N$2-$C3,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61.558878990154078</v>
      </c>
      <c r="O3" s="743">
        <f>IF($B3='Project List References'!$B$3, _xlfn.IFNA(_xlfn.XLOOKUP(O$2-$C3, 'GEN-CCGT'!$D$7:$AW$7, 'GEN-CCGT'!$D$124:$AW$124), 0), IF($B3='Project List References'!$B$4, _xlfn.IFNA(_xlfn.XLOOKUP(O$2-$C3, 'GEN-SOLAR'!$D$7:$AW$7, 'GEN-SOLAR'!$D$122:$AW$122), 0), IF($B3='Project List References'!$B$5, _xlfn.IFNA(_xlfn.XLOOKUP(O$2-$C3, 'GEN-BESS'!$D$7:$AW$7, 'GEN-BESS'!$D$125:$AW$125), 0), IF($B3='Project List References'!$B$6, _xlfn.IFNA(_xlfn.XLOOKUP(O$2-$C3, 'GEN-CARBON'!$D$7:$AW$7, 'GEN-CARBON'!$D$124:$AW$124), 0), IF($B3='Project List References'!$B$7, _xlfn.IFNA(_xlfn.XLOOKUP(O$2-$C3, 'SENS Coal'!$D$7:$AW$7, 'SENS Coal'!$D$141:$AW$141), 0), IF($B3='Project List References'!$B$8, _xlfn.IFNA(_xlfn.XLOOKUP(O$2-$C3,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62.28287866447868</v>
      </c>
      <c r="P3" s="743">
        <f>IF($B3='Project List References'!$B$3, _xlfn.IFNA(_xlfn.XLOOKUP(P$2-$C3, 'GEN-CCGT'!$D$7:$AW$7, 'GEN-CCGT'!$D$124:$AW$124), 0), IF($B3='Project List References'!$B$4, _xlfn.IFNA(_xlfn.XLOOKUP(P$2-$C3, 'GEN-SOLAR'!$D$7:$AW$7, 'GEN-SOLAR'!$D$122:$AW$122), 0), IF($B3='Project List References'!$B$5, _xlfn.IFNA(_xlfn.XLOOKUP(P$2-$C3, 'GEN-BESS'!$D$7:$AW$7, 'GEN-BESS'!$D$125:$AW$125), 0), IF($B3='Project List References'!$B$6, _xlfn.IFNA(_xlfn.XLOOKUP(P$2-$C3, 'GEN-CARBON'!$D$7:$AW$7, 'GEN-CARBON'!$D$124:$AW$124), 0), IF($B3='Project List References'!$B$7, _xlfn.IFNA(_xlfn.XLOOKUP(P$2-$C3, 'SENS Coal'!$D$7:$AW$7, 'SENS Coal'!$D$141:$AW$141), 0), IF($B3='Project List References'!$B$8, _xlfn.IFNA(_xlfn.XLOOKUP(P$2-$C3,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63.031405245771488</v>
      </c>
      <c r="Q3" s="743">
        <f>IF($B3='Project List References'!$B$3, _xlfn.IFNA(_xlfn.XLOOKUP(Q$2-$C3, 'GEN-CCGT'!$D$7:$AW$7, 'GEN-CCGT'!$D$124:$AW$124), 0), IF($B3='Project List References'!$B$4, _xlfn.IFNA(_xlfn.XLOOKUP(Q$2-$C3, 'GEN-SOLAR'!$D$7:$AW$7, 'GEN-SOLAR'!$D$122:$AW$122), 0), IF($B3='Project List References'!$B$5, _xlfn.IFNA(_xlfn.XLOOKUP(Q$2-$C3, 'GEN-BESS'!$D$7:$AW$7, 'GEN-BESS'!$D$125:$AW$125), 0), IF($B3='Project List References'!$B$6, _xlfn.IFNA(_xlfn.XLOOKUP(Q$2-$C3, 'GEN-CARBON'!$D$7:$AW$7, 'GEN-CARBON'!$D$124:$AW$124), 0), IF($B3='Project List References'!$B$7, _xlfn.IFNA(_xlfn.XLOOKUP(Q$2-$C3, 'SENS Coal'!$D$7:$AW$7, 'SENS Coal'!$D$141:$AW$141), 0), IF($B3='Project List References'!$B$8, _xlfn.IFNA(_xlfn.XLOOKUP(Q$2-$C3,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63.805187523949684</v>
      </c>
      <c r="R3" s="743">
        <f>IF($B3='Project List References'!$B$3, _xlfn.IFNA(_xlfn.XLOOKUP(R$2-$C3, 'GEN-CCGT'!$D$7:$AW$7, 'GEN-CCGT'!$D$124:$AW$124), 0), IF($B3='Project List References'!$B$4, _xlfn.IFNA(_xlfn.XLOOKUP(R$2-$C3, 'GEN-SOLAR'!$D$7:$AW$7, 'GEN-SOLAR'!$D$122:$AW$122), 0), IF($B3='Project List References'!$B$5, _xlfn.IFNA(_xlfn.XLOOKUP(R$2-$C3, 'GEN-BESS'!$D$7:$AW$7, 'GEN-BESS'!$D$125:$AW$125), 0), IF($B3='Project List References'!$B$6, _xlfn.IFNA(_xlfn.XLOOKUP(R$2-$C3, 'GEN-CARBON'!$D$7:$AW$7, 'GEN-CARBON'!$D$124:$AW$124), 0), IF($B3='Project List References'!$B$7, _xlfn.IFNA(_xlfn.XLOOKUP(R$2-$C3, 'SENS Coal'!$D$7:$AW$7, 'SENS Coal'!$D$141:$AW$141), 0), IF($B3='Project List References'!$B$8, _xlfn.IFNA(_xlfn.XLOOKUP(R$2-$C3,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64.604976170171199</v>
      </c>
      <c r="S3" s="743">
        <f>IF($B3='Project List References'!$B$3, _xlfn.IFNA(_xlfn.XLOOKUP(S$2-$C3, 'GEN-CCGT'!$D$7:$AW$7, 'GEN-CCGT'!$D$124:$AW$124), 0), IF($B3='Project List References'!$B$4, _xlfn.IFNA(_xlfn.XLOOKUP(S$2-$C3, 'GEN-SOLAR'!$D$7:$AW$7, 'GEN-SOLAR'!$D$122:$AW$122), 0), IF($B3='Project List References'!$B$5, _xlfn.IFNA(_xlfn.XLOOKUP(S$2-$C3, 'GEN-BESS'!$D$7:$AW$7, 'GEN-BESS'!$D$125:$AW$125), 0), IF($B3='Project List References'!$B$6, _xlfn.IFNA(_xlfn.XLOOKUP(S$2-$C3, 'GEN-CARBON'!$D$7:$AW$7, 'GEN-CARBON'!$D$124:$AW$124), 0), IF($B3='Project List References'!$B$7, _xlfn.IFNA(_xlfn.XLOOKUP(S$2-$C3, 'SENS Coal'!$D$7:$AW$7, 'SENS Coal'!$D$141:$AW$141), 0), IF($B3='Project List References'!$B$8, _xlfn.IFNA(_xlfn.XLOOKUP(S$2-$C3,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65.431544393228123</v>
      </c>
      <c r="T3" s="743">
        <f>IF($B3='Project List References'!$B$3, _xlfn.IFNA(_xlfn.XLOOKUP(T$2-$C3, 'GEN-CCGT'!$D$7:$AW$7, 'GEN-CCGT'!$D$124:$AW$124), 0), IF($B3='Project List References'!$B$4, _xlfn.IFNA(_xlfn.XLOOKUP(T$2-$C3, 'GEN-SOLAR'!$D$7:$AW$7, 'GEN-SOLAR'!$D$122:$AW$122), 0), IF($B3='Project List References'!$B$5, _xlfn.IFNA(_xlfn.XLOOKUP(T$2-$C3, 'GEN-BESS'!$D$7:$AW$7, 'GEN-BESS'!$D$125:$AW$125), 0), IF($B3='Project List References'!$B$6, _xlfn.IFNA(_xlfn.XLOOKUP(T$2-$C3, 'GEN-CARBON'!$D$7:$AW$7, 'GEN-CARBON'!$D$124:$AW$124), 0), IF($B3='Project List References'!$B$7, _xlfn.IFNA(_xlfn.XLOOKUP(T$2-$C3, 'SENS Coal'!$D$7:$AW$7, 'SENS Coal'!$D$141:$AW$141), 0), IF($B3='Project List References'!$B$8, _xlfn.IFNA(_xlfn.XLOOKUP(T$2-$C3, 'SENS Tires'!$D$7:$AW$7, 'SENS Tires'!$D$139:$AW$139),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66.285688615631855</v>
      </c>
    </row>
    <row r="4" spans="1:111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_xlfn.XLOOKUP(A4, 'Project Master Sheet'!A:A, 'Project Master Sheet'!I:I)</f>
        <v>1</v>
      </c>
      <c r="E4" s="743">
        <f>IF($B4='Project List References'!$B$3, _xlfn.IFNA(_xlfn.XLOOKUP(E$2-$C4, 'GEN-CCGT'!$D$7:$AW$7, 'GEN-CCGT'!$D$124:$AW$124), 0), IF($B4='Project List References'!$B$4, _xlfn.IFNA(_xlfn.XLOOKUP(E$2-$C4, 'GEN-SOLAR'!$D$7:$AW$7, 'GEN-SOLAR'!$D$122:$AW$122), 0), IF($B4='Project List References'!$B$5, _xlfn.IFNA(_xlfn.XLOOKUP(E$2-$C4, 'GEN-BESS'!$D$7:$AW$7, 'GEN-BESS'!$D$125:$AW$125), 0), IF($B4='Project List References'!$B$6, _xlfn.IFNA(_xlfn.XLOOKUP(E$2-$C4, 'GEN-CARBON'!$D$7:$AW$7, 'GEN-CARBON'!$D$124:$AW$124), 0), IF($B4='Project List References'!$B$7, _xlfn.IFNA(_xlfn.XLOOKUP(E$2-$C4, 'SENS Coal'!$D$7:$AW$7, 'SENS Coal'!$D$141:$AW$141), 0), IF($B4='Project List References'!$B$8, _xlfn.IFNA(_xlfn.XLOOKUP(E$2-$C4,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F4" s="743">
        <f>IF($B4='Project List References'!$B$3, _xlfn.IFNA(_xlfn.XLOOKUP(F$2-$C4, 'GEN-CCGT'!$D$7:$AW$7, 'GEN-CCGT'!$D$124:$AW$124), 0), IF($B4='Project List References'!$B$4, _xlfn.IFNA(_xlfn.XLOOKUP(F$2-$C4, 'GEN-SOLAR'!$D$7:$AW$7, 'GEN-SOLAR'!$D$122:$AW$122), 0), IF($B4='Project List References'!$B$5, _xlfn.IFNA(_xlfn.XLOOKUP(F$2-$C4, 'GEN-BESS'!$D$7:$AW$7, 'GEN-BESS'!$D$125:$AW$125), 0), IF($B4='Project List References'!$B$6, _xlfn.IFNA(_xlfn.XLOOKUP(F$2-$C4, 'GEN-CARBON'!$D$7:$AW$7, 'GEN-CARBON'!$D$124:$AW$124), 0), IF($B4='Project List References'!$B$7, _xlfn.IFNA(_xlfn.XLOOKUP(F$2-$C4, 'SENS Coal'!$D$7:$AW$7, 'SENS Coal'!$D$141:$AW$141), 0), IF($B4='Project List References'!$B$8, _xlfn.IFNA(_xlfn.XLOOKUP(F$2-$C4,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G4" s="743">
        <f>IF($B4='Project List References'!$B$3, _xlfn.IFNA(_xlfn.XLOOKUP(G$2-$C4, 'GEN-CCGT'!$D$7:$AW$7, 'GEN-CCGT'!$D$124:$AW$124), 0), IF($B4='Project List References'!$B$4, _xlfn.IFNA(_xlfn.XLOOKUP(G$2-$C4, 'GEN-SOLAR'!$D$7:$AW$7, 'GEN-SOLAR'!$D$122:$AW$122), 0), IF($B4='Project List References'!$B$5, _xlfn.IFNA(_xlfn.XLOOKUP(G$2-$C4, 'GEN-BESS'!$D$7:$AW$7, 'GEN-BESS'!$D$125:$AW$125), 0), IF($B4='Project List References'!$B$6, _xlfn.IFNA(_xlfn.XLOOKUP(G$2-$C4, 'GEN-CARBON'!$D$7:$AW$7, 'GEN-CARBON'!$D$124:$AW$124), 0), IF($B4='Project List References'!$B$7, _xlfn.IFNA(_xlfn.XLOOKUP(G$2-$C4, 'SENS Coal'!$D$7:$AW$7, 'SENS Coal'!$D$141:$AW$141), 0), IF($B4='Project List References'!$B$8, _xlfn.IFNA(_xlfn.XLOOKUP(G$2-$C4,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0.26</v>
      </c>
      <c r="H4" s="743">
        <f>IF($B4='Project List References'!$B$3, _xlfn.IFNA(_xlfn.XLOOKUP(H$2-$C4, 'GEN-CCGT'!$D$7:$AW$7, 'GEN-CCGT'!$D$124:$AW$124), 0), IF($B4='Project List References'!$B$4, _xlfn.IFNA(_xlfn.XLOOKUP(H$2-$C4, 'GEN-SOLAR'!$D$7:$AW$7, 'GEN-SOLAR'!$D$122:$AW$122), 0), IF($B4='Project List References'!$B$5, _xlfn.IFNA(_xlfn.XLOOKUP(H$2-$C4, 'GEN-BESS'!$D$7:$AW$7, 'GEN-BESS'!$D$125:$AW$125), 0), IF($B4='Project List References'!$B$6, _xlfn.IFNA(_xlfn.XLOOKUP(H$2-$C4, 'GEN-CARBON'!$D$7:$AW$7, 'GEN-CARBON'!$D$124:$AW$124), 0), IF($B4='Project List References'!$B$7, _xlfn.IFNA(_xlfn.XLOOKUP(H$2-$C4, 'SENS Coal'!$D$7:$AW$7, 'SENS Coal'!$D$141:$AW$141), 0), IF($B4='Project List References'!$B$8, _xlfn.IFNA(_xlfn.XLOOKUP(H$2-$C4,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0.26780000000000004</v>
      </c>
      <c r="I4" s="743">
        <f>IF($B4='Project List References'!$B$3, _xlfn.IFNA(_xlfn.XLOOKUP(I$2-$C4, 'GEN-CCGT'!$D$7:$AW$7, 'GEN-CCGT'!$D$124:$AW$124), 0), IF($B4='Project List References'!$B$4, _xlfn.IFNA(_xlfn.XLOOKUP(I$2-$C4, 'GEN-SOLAR'!$D$7:$AW$7, 'GEN-SOLAR'!$D$122:$AW$122), 0), IF($B4='Project List References'!$B$5, _xlfn.IFNA(_xlfn.XLOOKUP(I$2-$C4, 'GEN-BESS'!$D$7:$AW$7, 'GEN-BESS'!$D$125:$AW$125), 0), IF($B4='Project List References'!$B$6, _xlfn.IFNA(_xlfn.XLOOKUP(I$2-$C4, 'GEN-CARBON'!$D$7:$AW$7, 'GEN-CARBON'!$D$124:$AW$124), 0), IF($B4='Project List References'!$B$7, _xlfn.IFNA(_xlfn.XLOOKUP(I$2-$C4, 'SENS Coal'!$D$7:$AW$7, 'SENS Coal'!$D$141:$AW$141), 0), IF($B4='Project List References'!$B$8, _xlfn.IFNA(_xlfn.XLOOKUP(I$2-$C4,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0.27583400000000002</v>
      </c>
      <c r="J4" s="743">
        <f>IF($B4='Project List References'!$B$3, _xlfn.IFNA(_xlfn.XLOOKUP(J$2-$C4, 'GEN-CCGT'!$D$7:$AW$7, 'GEN-CCGT'!$D$124:$AW$124), 0), IF($B4='Project List References'!$B$4, _xlfn.IFNA(_xlfn.XLOOKUP(J$2-$C4, 'GEN-SOLAR'!$D$7:$AW$7, 'GEN-SOLAR'!$D$122:$AW$122), 0), IF($B4='Project List References'!$B$5, _xlfn.IFNA(_xlfn.XLOOKUP(J$2-$C4, 'GEN-BESS'!$D$7:$AW$7, 'GEN-BESS'!$D$125:$AW$125), 0), IF($B4='Project List References'!$B$6, _xlfn.IFNA(_xlfn.XLOOKUP(J$2-$C4, 'GEN-CARBON'!$D$7:$AW$7, 'GEN-CARBON'!$D$124:$AW$124), 0), IF($B4='Project List References'!$B$7, _xlfn.IFNA(_xlfn.XLOOKUP(J$2-$C4, 'SENS Coal'!$D$7:$AW$7, 'SENS Coal'!$D$141:$AW$141), 0), IF($B4='Project List References'!$B$8, _xlfn.IFNA(_xlfn.XLOOKUP(J$2-$C4,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0.28410901999999999</v>
      </c>
      <c r="K4" s="743">
        <f>IF($B4='Project List References'!$B$3, _xlfn.IFNA(_xlfn.XLOOKUP(K$2-$C4, 'GEN-CCGT'!$D$7:$AW$7, 'GEN-CCGT'!$D$124:$AW$124), 0), IF($B4='Project List References'!$B$4, _xlfn.IFNA(_xlfn.XLOOKUP(K$2-$C4, 'GEN-SOLAR'!$D$7:$AW$7, 'GEN-SOLAR'!$D$122:$AW$122), 0), IF($B4='Project List References'!$B$5, _xlfn.IFNA(_xlfn.XLOOKUP(K$2-$C4, 'GEN-BESS'!$D$7:$AW$7, 'GEN-BESS'!$D$125:$AW$125), 0), IF($B4='Project List References'!$B$6, _xlfn.IFNA(_xlfn.XLOOKUP(K$2-$C4, 'GEN-CARBON'!$D$7:$AW$7, 'GEN-CARBON'!$D$124:$AW$124), 0), IF($B4='Project List References'!$B$7, _xlfn.IFNA(_xlfn.XLOOKUP(K$2-$C4, 'SENS Coal'!$D$7:$AW$7, 'SENS Coal'!$D$141:$AW$141), 0), IF($B4='Project List References'!$B$8, _xlfn.IFNA(_xlfn.XLOOKUP(K$2-$C4,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0.29263229060000001</v>
      </c>
      <c r="L4" s="743">
        <f>IF($B4='Project List References'!$B$3, _xlfn.IFNA(_xlfn.XLOOKUP(L$2-$C4, 'GEN-CCGT'!$D$7:$AW$7, 'GEN-CCGT'!$D$124:$AW$124), 0), IF($B4='Project List References'!$B$4, _xlfn.IFNA(_xlfn.XLOOKUP(L$2-$C4, 'GEN-SOLAR'!$D$7:$AW$7, 'GEN-SOLAR'!$D$122:$AW$122), 0), IF($B4='Project List References'!$B$5, _xlfn.IFNA(_xlfn.XLOOKUP(L$2-$C4, 'GEN-BESS'!$D$7:$AW$7, 'GEN-BESS'!$D$125:$AW$125), 0), IF($B4='Project List References'!$B$6, _xlfn.IFNA(_xlfn.XLOOKUP(L$2-$C4, 'GEN-CARBON'!$D$7:$AW$7, 'GEN-CARBON'!$D$124:$AW$124), 0), IF($B4='Project List References'!$B$7, _xlfn.IFNA(_xlfn.XLOOKUP(L$2-$C4, 'SENS Coal'!$D$7:$AW$7, 'SENS Coal'!$D$141:$AW$141), 0), IF($B4='Project List References'!$B$8, _xlfn.IFNA(_xlfn.XLOOKUP(L$2-$C4,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0.30141125931799995</v>
      </c>
      <c r="M4" s="743">
        <f>IF($B4='Project List References'!$B$3, _xlfn.IFNA(_xlfn.XLOOKUP(M$2-$C4, 'GEN-CCGT'!$D$7:$AW$7, 'GEN-CCGT'!$D$124:$AW$124), 0), IF($B4='Project List References'!$B$4, _xlfn.IFNA(_xlfn.XLOOKUP(M$2-$C4, 'GEN-SOLAR'!$D$7:$AW$7, 'GEN-SOLAR'!$D$122:$AW$122), 0), IF($B4='Project List References'!$B$5, _xlfn.IFNA(_xlfn.XLOOKUP(M$2-$C4, 'GEN-BESS'!$D$7:$AW$7, 'GEN-BESS'!$D$125:$AW$125), 0), IF($B4='Project List References'!$B$6, _xlfn.IFNA(_xlfn.XLOOKUP(M$2-$C4, 'GEN-CARBON'!$D$7:$AW$7, 'GEN-CARBON'!$D$124:$AW$124), 0), IF($B4='Project List References'!$B$7, _xlfn.IFNA(_xlfn.XLOOKUP(M$2-$C4, 'SENS Coal'!$D$7:$AW$7, 'SENS Coal'!$D$141:$AW$141), 0), IF($B4='Project List References'!$B$8, _xlfn.IFNA(_xlfn.XLOOKUP(M$2-$C4,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0.31045359709754</v>
      </c>
      <c r="N4" s="743">
        <f>IF($B4='Project List References'!$B$3, _xlfn.IFNA(_xlfn.XLOOKUP(N$2-$C4, 'GEN-CCGT'!$D$7:$AW$7, 'GEN-CCGT'!$D$124:$AW$124), 0), IF($B4='Project List References'!$B$4, _xlfn.IFNA(_xlfn.XLOOKUP(N$2-$C4, 'GEN-SOLAR'!$D$7:$AW$7, 'GEN-SOLAR'!$D$122:$AW$122), 0), IF($B4='Project List References'!$B$5, _xlfn.IFNA(_xlfn.XLOOKUP(N$2-$C4, 'GEN-BESS'!$D$7:$AW$7, 'GEN-BESS'!$D$125:$AW$125), 0), IF($B4='Project List References'!$B$6, _xlfn.IFNA(_xlfn.XLOOKUP(N$2-$C4, 'GEN-CARBON'!$D$7:$AW$7, 'GEN-CARBON'!$D$124:$AW$124), 0), IF($B4='Project List References'!$B$7, _xlfn.IFNA(_xlfn.XLOOKUP(N$2-$C4, 'SENS Coal'!$D$7:$AW$7, 'SENS Coal'!$D$141:$AW$141), 0), IF($B4='Project List References'!$B$8, _xlfn.IFNA(_xlfn.XLOOKUP(N$2-$C4,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0.31976720501046618</v>
      </c>
      <c r="O4" s="743">
        <f>IF($B4='Project List References'!$B$3, _xlfn.IFNA(_xlfn.XLOOKUP(O$2-$C4, 'GEN-CCGT'!$D$7:$AW$7, 'GEN-CCGT'!$D$124:$AW$124), 0), IF($B4='Project List References'!$B$4, _xlfn.IFNA(_xlfn.XLOOKUP(O$2-$C4, 'GEN-SOLAR'!$D$7:$AW$7, 'GEN-SOLAR'!$D$122:$AW$122), 0), IF($B4='Project List References'!$B$5, _xlfn.IFNA(_xlfn.XLOOKUP(O$2-$C4, 'GEN-BESS'!$D$7:$AW$7, 'GEN-BESS'!$D$125:$AW$125), 0), IF($B4='Project List References'!$B$6, _xlfn.IFNA(_xlfn.XLOOKUP(O$2-$C4, 'GEN-CARBON'!$D$7:$AW$7, 'GEN-CARBON'!$D$124:$AW$124), 0), IF($B4='Project List References'!$B$7, _xlfn.IFNA(_xlfn.XLOOKUP(O$2-$C4, 'SENS Coal'!$D$7:$AW$7, 'SENS Coal'!$D$141:$AW$141), 0), IF($B4='Project List References'!$B$8, _xlfn.IFNA(_xlfn.XLOOKUP(O$2-$C4,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0.32936022116078018</v>
      </c>
      <c r="P4" s="743">
        <f>IF($B4='Project List References'!$B$3, _xlfn.IFNA(_xlfn.XLOOKUP(P$2-$C4, 'GEN-CCGT'!$D$7:$AW$7, 'GEN-CCGT'!$D$124:$AW$124), 0), IF($B4='Project List References'!$B$4, _xlfn.IFNA(_xlfn.XLOOKUP(P$2-$C4, 'GEN-SOLAR'!$D$7:$AW$7, 'GEN-SOLAR'!$D$122:$AW$122), 0), IF($B4='Project List References'!$B$5, _xlfn.IFNA(_xlfn.XLOOKUP(P$2-$C4, 'GEN-BESS'!$D$7:$AW$7, 'GEN-BESS'!$D$125:$AW$125), 0), IF($B4='Project List References'!$B$6, _xlfn.IFNA(_xlfn.XLOOKUP(P$2-$C4, 'GEN-CARBON'!$D$7:$AW$7, 'GEN-CARBON'!$D$124:$AW$124), 0), IF($B4='Project List References'!$B$7, _xlfn.IFNA(_xlfn.XLOOKUP(P$2-$C4, 'SENS Coal'!$D$7:$AW$7, 'SENS Coal'!$D$141:$AW$141), 0), IF($B4='Project List References'!$B$8, _xlfn.IFNA(_xlfn.XLOOKUP(P$2-$C4,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0.33924102779560356</v>
      </c>
      <c r="Q4" s="743">
        <f>IF($B4='Project List References'!$B$3, _xlfn.IFNA(_xlfn.XLOOKUP(Q$2-$C4, 'GEN-CCGT'!$D$7:$AW$7, 'GEN-CCGT'!$D$124:$AW$124), 0), IF($B4='Project List References'!$B$4, _xlfn.IFNA(_xlfn.XLOOKUP(Q$2-$C4, 'GEN-SOLAR'!$D$7:$AW$7, 'GEN-SOLAR'!$D$122:$AW$122), 0), IF($B4='Project List References'!$B$5, _xlfn.IFNA(_xlfn.XLOOKUP(Q$2-$C4, 'GEN-BESS'!$D$7:$AW$7, 'GEN-BESS'!$D$125:$AW$125), 0), IF($B4='Project List References'!$B$6, _xlfn.IFNA(_xlfn.XLOOKUP(Q$2-$C4, 'GEN-CARBON'!$D$7:$AW$7, 'GEN-CARBON'!$D$124:$AW$124), 0), IF($B4='Project List References'!$B$7, _xlfn.IFNA(_xlfn.XLOOKUP(Q$2-$C4, 'SENS Coal'!$D$7:$AW$7, 'SENS Coal'!$D$141:$AW$141), 0), IF($B4='Project List References'!$B$8, _xlfn.IFNA(_xlfn.XLOOKUP(Q$2-$C4,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0.34941825862947168</v>
      </c>
      <c r="R4" s="743">
        <f>IF($B4='Project List References'!$B$3, _xlfn.IFNA(_xlfn.XLOOKUP(R$2-$C4, 'GEN-CCGT'!$D$7:$AW$7, 'GEN-CCGT'!$D$124:$AW$124), 0), IF($B4='Project List References'!$B$4, _xlfn.IFNA(_xlfn.XLOOKUP(R$2-$C4, 'GEN-SOLAR'!$D$7:$AW$7, 'GEN-SOLAR'!$D$122:$AW$122), 0), IF($B4='Project List References'!$B$5, _xlfn.IFNA(_xlfn.XLOOKUP(R$2-$C4, 'GEN-BESS'!$D$7:$AW$7, 'GEN-BESS'!$D$125:$AW$125), 0), IF($B4='Project List References'!$B$6, _xlfn.IFNA(_xlfn.XLOOKUP(R$2-$C4, 'GEN-CARBON'!$D$7:$AW$7, 'GEN-CARBON'!$D$124:$AW$124), 0), IF($B4='Project List References'!$B$7, _xlfn.IFNA(_xlfn.XLOOKUP(R$2-$C4, 'SENS Coal'!$D$7:$AW$7, 'SENS Coal'!$D$141:$AW$141), 0), IF($B4='Project List References'!$B$8, _xlfn.IFNA(_xlfn.XLOOKUP(R$2-$C4,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0.35990080638835587</v>
      </c>
      <c r="S4" s="743">
        <f>IF($B4='Project List References'!$B$3, _xlfn.IFNA(_xlfn.XLOOKUP(S$2-$C4, 'GEN-CCGT'!$D$7:$AW$7, 'GEN-CCGT'!$D$124:$AW$124), 0), IF($B4='Project List References'!$B$4, _xlfn.IFNA(_xlfn.XLOOKUP(S$2-$C4, 'GEN-SOLAR'!$D$7:$AW$7, 'GEN-SOLAR'!$D$122:$AW$122), 0), IF($B4='Project List References'!$B$5, _xlfn.IFNA(_xlfn.XLOOKUP(S$2-$C4, 'GEN-BESS'!$D$7:$AW$7, 'GEN-BESS'!$D$125:$AW$125), 0), IF($B4='Project List References'!$B$6, _xlfn.IFNA(_xlfn.XLOOKUP(S$2-$C4, 'GEN-CARBON'!$D$7:$AW$7, 'GEN-CARBON'!$D$124:$AW$124), 0), IF($B4='Project List References'!$B$7, _xlfn.IFNA(_xlfn.XLOOKUP(S$2-$C4, 'SENS Coal'!$D$7:$AW$7, 'SENS Coal'!$D$141:$AW$141), 0), IF($B4='Project List References'!$B$8, _xlfn.IFNA(_xlfn.XLOOKUP(S$2-$C4,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0.37069783058000644</v>
      </c>
      <c r="T4" s="743">
        <f>IF($B4='Project List References'!$B$3, _xlfn.IFNA(_xlfn.XLOOKUP(T$2-$C4, 'GEN-CCGT'!$D$7:$AW$7, 'GEN-CCGT'!$D$124:$AW$124), 0), IF($B4='Project List References'!$B$4, _xlfn.IFNA(_xlfn.XLOOKUP(T$2-$C4, 'GEN-SOLAR'!$D$7:$AW$7, 'GEN-SOLAR'!$D$122:$AW$122), 0), IF($B4='Project List References'!$B$5, _xlfn.IFNA(_xlfn.XLOOKUP(T$2-$C4, 'GEN-BESS'!$D$7:$AW$7, 'GEN-BESS'!$D$125:$AW$125), 0), IF($B4='Project List References'!$B$6, _xlfn.IFNA(_xlfn.XLOOKUP(T$2-$C4, 'GEN-CARBON'!$D$7:$AW$7, 'GEN-CARBON'!$D$124:$AW$124), 0), IF($B4='Project List References'!$B$7, _xlfn.IFNA(_xlfn.XLOOKUP(T$2-$C4, 'SENS Coal'!$D$7:$AW$7, 'SENS Coal'!$D$141:$AW$141), 0), IF($B4='Project List References'!$B$8, _xlfn.IFNA(_xlfn.XLOOKUP(T$2-$C4, 'SENS Tires'!$D$7:$AW$7, 'SENS Tires'!$D$139:$AW$139),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0.38181876549740662</v>
      </c>
    </row>
    <row r="5" spans="1:111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_xlfn.XLOOKUP(A5, 'Project Master Sheet'!A:A, 'Project Master Sheet'!I:I)</f>
        <v>2</v>
      </c>
      <c r="E5" s="743">
        <f>IF($B5='Project List References'!$B$3, _xlfn.IFNA(_xlfn.XLOOKUP(E$2-$C5, 'GEN-CCGT'!$D$7:$AW$7, 'GEN-CCGT'!$D$124:$AW$124), 0), IF($B5='Project List References'!$B$4, _xlfn.IFNA(_xlfn.XLOOKUP(E$2-$C5, 'GEN-SOLAR'!$D$7:$AW$7, 'GEN-SOLAR'!$D$122:$AW$122), 0), IF($B5='Project List References'!$B$5, _xlfn.IFNA(_xlfn.XLOOKUP(E$2-$C5, 'GEN-BESS'!$D$7:$AW$7, 'GEN-BESS'!$D$125:$AW$125), 0), IF($B5='Project List References'!$B$6, _xlfn.IFNA(_xlfn.XLOOKUP(E$2-$C5, 'GEN-CARBON'!$D$7:$AW$7, 'GEN-CARBON'!$D$124:$AW$124), 0), IF($B5='Project List References'!$B$7, _xlfn.IFNA(_xlfn.XLOOKUP(E$2-$C5, 'SENS Coal'!$D$7:$AW$7, 'SENS Coal'!$D$141:$AW$141), 0), IF($B5='Project List References'!$B$8, _xlfn.IFNA(_xlfn.XLOOKUP(E$2-$C5,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F5" s="743">
        <f>IF($B5='Project List References'!$B$3, _xlfn.IFNA(_xlfn.XLOOKUP(F$2-$C5, 'GEN-CCGT'!$D$7:$AW$7, 'GEN-CCGT'!$D$124:$AW$124), 0), IF($B5='Project List References'!$B$4, _xlfn.IFNA(_xlfn.XLOOKUP(F$2-$C5, 'GEN-SOLAR'!$D$7:$AW$7, 'GEN-SOLAR'!$D$122:$AW$122), 0), IF($B5='Project List References'!$B$5, _xlfn.IFNA(_xlfn.XLOOKUP(F$2-$C5, 'GEN-BESS'!$D$7:$AW$7, 'GEN-BESS'!$D$125:$AW$125), 0), IF($B5='Project List References'!$B$6, _xlfn.IFNA(_xlfn.XLOOKUP(F$2-$C5, 'GEN-CARBON'!$D$7:$AW$7, 'GEN-CARBON'!$D$124:$AW$124), 0), IF($B5='Project List References'!$B$7, _xlfn.IFNA(_xlfn.XLOOKUP(F$2-$C5, 'SENS Coal'!$D$7:$AW$7, 'SENS Coal'!$D$141:$AW$141), 0), IF($B5='Project List References'!$B$8, _xlfn.IFNA(_xlfn.XLOOKUP(F$2-$C5,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G5" s="743">
        <f>IF($B5='Project List References'!$B$3, _xlfn.IFNA(_xlfn.XLOOKUP(G$2-$C5, 'GEN-CCGT'!$D$7:$AW$7, 'GEN-CCGT'!$D$124:$AW$124), 0), IF($B5='Project List References'!$B$4, _xlfn.IFNA(_xlfn.XLOOKUP(G$2-$C5, 'GEN-SOLAR'!$D$7:$AW$7, 'GEN-SOLAR'!$D$122:$AW$122), 0), IF($B5='Project List References'!$B$5, _xlfn.IFNA(_xlfn.XLOOKUP(G$2-$C5, 'GEN-BESS'!$D$7:$AW$7, 'GEN-BESS'!$D$125:$AW$125), 0), IF($B5='Project List References'!$B$6, _xlfn.IFNA(_xlfn.XLOOKUP(G$2-$C5, 'GEN-CARBON'!$D$7:$AW$7, 'GEN-CARBON'!$D$124:$AW$124), 0), IF($B5='Project List References'!$B$7, _xlfn.IFNA(_xlfn.XLOOKUP(G$2-$C5, 'SENS Coal'!$D$7:$AW$7, 'SENS Coal'!$D$141:$AW$141), 0), IF($B5='Project List References'!$B$8, _xlfn.IFNA(_xlfn.XLOOKUP(G$2-$C5,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H5" s="743">
        <f>IF($B5='Project List References'!$B$3, _xlfn.IFNA(_xlfn.XLOOKUP(H$2-$C5, 'GEN-CCGT'!$D$7:$AW$7, 'GEN-CCGT'!$D$124:$AW$124), 0), IF($B5='Project List References'!$B$4, _xlfn.IFNA(_xlfn.XLOOKUP(H$2-$C5, 'GEN-SOLAR'!$D$7:$AW$7, 'GEN-SOLAR'!$D$122:$AW$122), 0), IF($B5='Project List References'!$B$5, _xlfn.IFNA(_xlfn.XLOOKUP(H$2-$C5, 'GEN-BESS'!$D$7:$AW$7, 'GEN-BESS'!$D$125:$AW$125), 0), IF($B5='Project List References'!$B$6, _xlfn.IFNA(_xlfn.XLOOKUP(H$2-$C5, 'GEN-CARBON'!$D$7:$AW$7, 'GEN-CARBON'!$D$124:$AW$124), 0), IF($B5='Project List References'!$B$7, _xlfn.IFNA(_xlfn.XLOOKUP(H$2-$C5, 'SENS Coal'!$D$7:$AW$7, 'SENS Coal'!$D$141:$AW$141), 0), IF($B5='Project List References'!$B$8, _xlfn.IFNA(_xlfn.XLOOKUP(H$2-$C5,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104.19707151535633</v>
      </c>
      <c r="I5" s="743">
        <f>IF($B5='Project List References'!$B$3, _xlfn.IFNA(_xlfn.XLOOKUP(I$2-$C5, 'GEN-CCGT'!$D$7:$AW$7, 'GEN-CCGT'!$D$124:$AW$124), 0), IF($B5='Project List References'!$B$4, _xlfn.IFNA(_xlfn.XLOOKUP(I$2-$C5, 'GEN-SOLAR'!$D$7:$AW$7, 'GEN-SOLAR'!$D$122:$AW$122), 0), IF($B5='Project List References'!$B$5, _xlfn.IFNA(_xlfn.XLOOKUP(I$2-$C5, 'GEN-BESS'!$D$7:$AW$7, 'GEN-BESS'!$D$125:$AW$125), 0), IF($B5='Project List References'!$B$6, _xlfn.IFNA(_xlfn.XLOOKUP(I$2-$C5, 'GEN-CARBON'!$D$7:$AW$7, 'GEN-CARBON'!$D$124:$AW$124), 0), IF($B5='Project List References'!$B$7, _xlfn.IFNA(_xlfn.XLOOKUP(I$2-$C5, 'SENS Coal'!$D$7:$AW$7, 'SENS Coal'!$D$141:$AW$141), 0), IF($B5='Project List References'!$B$8, _xlfn.IFNA(_xlfn.XLOOKUP(I$2-$C5,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139.57764712449122</v>
      </c>
      <c r="J5" s="743">
        <f>IF($B5='Project List References'!$B$3, _xlfn.IFNA(_xlfn.XLOOKUP(J$2-$C5, 'GEN-CCGT'!$D$7:$AW$7, 'GEN-CCGT'!$D$124:$AW$124), 0), IF($B5='Project List References'!$B$4, _xlfn.IFNA(_xlfn.XLOOKUP(J$2-$C5, 'GEN-SOLAR'!$D$7:$AW$7, 'GEN-SOLAR'!$D$122:$AW$122), 0), IF($B5='Project List References'!$B$5, _xlfn.IFNA(_xlfn.XLOOKUP(J$2-$C5, 'GEN-BESS'!$D$7:$AW$7, 'GEN-BESS'!$D$125:$AW$125), 0), IF($B5='Project List References'!$B$6, _xlfn.IFNA(_xlfn.XLOOKUP(J$2-$C5, 'GEN-CARBON'!$D$7:$AW$7, 'GEN-CARBON'!$D$124:$AW$124), 0), IF($B5='Project List References'!$B$7, _xlfn.IFNA(_xlfn.XLOOKUP(J$2-$C5, 'SENS Coal'!$D$7:$AW$7, 'SENS Coal'!$D$141:$AW$141), 0), IF($B5='Project List References'!$B$8, _xlfn.IFNA(_xlfn.XLOOKUP(J$2-$C5,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140.21238296114271</v>
      </c>
      <c r="K5" s="743">
        <f>IF($B5='Project List References'!$B$3, _xlfn.IFNA(_xlfn.XLOOKUP(K$2-$C5, 'GEN-CCGT'!$D$7:$AW$7, 'GEN-CCGT'!$D$124:$AW$124), 0), IF($B5='Project List References'!$B$4, _xlfn.IFNA(_xlfn.XLOOKUP(K$2-$C5, 'GEN-SOLAR'!$D$7:$AW$7, 'GEN-SOLAR'!$D$122:$AW$122), 0), IF($B5='Project List References'!$B$5, _xlfn.IFNA(_xlfn.XLOOKUP(K$2-$C5, 'GEN-BESS'!$D$7:$AW$7, 'GEN-BESS'!$D$125:$AW$125), 0), IF($B5='Project List References'!$B$6, _xlfn.IFNA(_xlfn.XLOOKUP(K$2-$C5, 'GEN-CARBON'!$D$7:$AW$7, 'GEN-CARBON'!$D$124:$AW$124), 0), IF($B5='Project List References'!$B$7, _xlfn.IFNA(_xlfn.XLOOKUP(K$2-$C5, 'SENS Coal'!$D$7:$AW$7, 'SENS Coal'!$D$141:$AW$141), 0), IF($B5='Project List References'!$B$8, _xlfn.IFNA(_xlfn.XLOOKUP(K$2-$C5,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141.53955434994202</v>
      </c>
      <c r="L5" s="743">
        <f>IF($B5='Project List References'!$B$3, _xlfn.IFNA(_xlfn.XLOOKUP(L$2-$C5, 'GEN-CCGT'!$D$7:$AW$7, 'GEN-CCGT'!$D$124:$AW$124), 0), IF($B5='Project List References'!$B$4, _xlfn.IFNA(_xlfn.XLOOKUP(L$2-$C5, 'GEN-SOLAR'!$D$7:$AW$7, 'GEN-SOLAR'!$D$122:$AW$122), 0), IF($B5='Project List References'!$B$5, _xlfn.IFNA(_xlfn.XLOOKUP(L$2-$C5, 'GEN-BESS'!$D$7:$AW$7, 'GEN-BESS'!$D$125:$AW$125), 0), IF($B5='Project List References'!$B$6, _xlfn.IFNA(_xlfn.XLOOKUP(L$2-$C5, 'GEN-CARBON'!$D$7:$AW$7, 'GEN-CARBON'!$D$124:$AW$124), 0), IF($B5='Project List References'!$B$7, _xlfn.IFNA(_xlfn.XLOOKUP(L$2-$C5, 'SENS Coal'!$D$7:$AW$7, 'SENS Coal'!$D$141:$AW$141), 0), IF($B5='Project List References'!$B$8, _xlfn.IFNA(_xlfn.XLOOKUP(L$2-$C5,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142.38937064577613</v>
      </c>
      <c r="M5" s="743">
        <f>IF($B5='Project List References'!$B$3, _xlfn.IFNA(_xlfn.XLOOKUP(M$2-$C5, 'GEN-CCGT'!$D$7:$AW$7, 'GEN-CCGT'!$D$124:$AW$124), 0), IF($B5='Project List References'!$B$4, _xlfn.IFNA(_xlfn.XLOOKUP(M$2-$C5, 'GEN-SOLAR'!$D$7:$AW$7, 'GEN-SOLAR'!$D$122:$AW$122), 0), IF($B5='Project List References'!$B$5, _xlfn.IFNA(_xlfn.XLOOKUP(M$2-$C5, 'GEN-BESS'!$D$7:$AW$7, 'GEN-BESS'!$D$125:$AW$125), 0), IF($B5='Project List References'!$B$6, _xlfn.IFNA(_xlfn.XLOOKUP(M$2-$C5, 'GEN-CARBON'!$D$7:$AW$7, 'GEN-CARBON'!$D$124:$AW$124), 0), IF($B5='Project List References'!$B$7, _xlfn.IFNA(_xlfn.XLOOKUP(M$2-$C5, 'SENS Coal'!$D$7:$AW$7, 'SENS Coal'!$D$141:$AW$141), 0), IF($B5='Project List References'!$B$8, _xlfn.IFNA(_xlfn.XLOOKUP(M$2-$C5,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143.09579133944194</v>
      </c>
      <c r="N5" s="743">
        <f>IF($B5='Project List References'!$B$3, _xlfn.IFNA(_xlfn.XLOOKUP(N$2-$C5, 'GEN-CCGT'!$D$7:$AW$7, 'GEN-CCGT'!$D$124:$AW$124), 0), IF($B5='Project List References'!$B$4, _xlfn.IFNA(_xlfn.XLOOKUP(N$2-$C5, 'GEN-SOLAR'!$D$7:$AW$7, 'GEN-SOLAR'!$D$122:$AW$122), 0), IF($B5='Project List References'!$B$5, _xlfn.IFNA(_xlfn.XLOOKUP(N$2-$C5, 'GEN-BESS'!$D$7:$AW$7, 'GEN-BESS'!$D$125:$AW$125), 0), IF($B5='Project List References'!$B$6, _xlfn.IFNA(_xlfn.XLOOKUP(N$2-$C5, 'GEN-CARBON'!$D$7:$AW$7, 'GEN-CARBON'!$D$124:$AW$124), 0), IF($B5='Project List References'!$B$7, _xlfn.IFNA(_xlfn.XLOOKUP(N$2-$C5, 'SENS Coal'!$D$7:$AW$7, 'SENS Coal'!$D$141:$AW$141), 0), IF($B5='Project List References'!$B$8, _xlfn.IFNA(_xlfn.XLOOKUP(N$2-$C5,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143.81640347507306</v>
      </c>
      <c r="O5" s="743">
        <f>IF($B5='Project List References'!$B$3, _xlfn.IFNA(_xlfn.XLOOKUP(O$2-$C5, 'GEN-CCGT'!$D$7:$AW$7, 'GEN-CCGT'!$D$124:$AW$124), 0), IF($B5='Project List References'!$B$4, _xlfn.IFNA(_xlfn.XLOOKUP(O$2-$C5, 'GEN-SOLAR'!$D$7:$AW$7, 'GEN-SOLAR'!$D$122:$AW$122), 0), IF($B5='Project List References'!$B$5, _xlfn.IFNA(_xlfn.XLOOKUP(O$2-$C5, 'GEN-BESS'!$D$7:$AW$7, 'GEN-BESS'!$D$125:$AW$125), 0), IF($B5='Project List References'!$B$6, _xlfn.IFNA(_xlfn.XLOOKUP(O$2-$C5, 'GEN-CARBON'!$D$7:$AW$7, 'GEN-CARBON'!$D$124:$AW$124), 0), IF($B5='Project List References'!$B$7, _xlfn.IFNA(_xlfn.XLOOKUP(O$2-$C5, 'SENS Coal'!$D$7:$AW$7, 'SENS Coal'!$D$141:$AW$141), 0), IF($B5='Project List References'!$B$8, _xlfn.IFNA(_xlfn.XLOOKUP(O$2-$C5,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144.55149084705911</v>
      </c>
      <c r="P5" s="743">
        <f>IF($B5='Project List References'!$B$3, _xlfn.IFNA(_xlfn.XLOOKUP(P$2-$C5, 'GEN-CCGT'!$D$7:$AW$7, 'GEN-CCGT'!$D$124:$AW$124), 0), IF($B5='Project List References'!$B$4, _xlfn.IFNA(_xlfn.XLOOKUP(P$2-$C5, 'GEN-SOLAR'!$D$7:$AW$7, 'GEN-SOLAR'!$D$122:$AW$122), 0), IF($B5='Project List References'!$B$5, _xlfn.IFNA(_xlfn.XLOOKUP(P$2-$C5, 'GEN-BESS'!$D$7:$AW$7, 'GEN-BESS'!$D$125:$AW$125), 0), IF($B5='Project List References'!$B$6, _xlfn.IFNA(_xlfn.XLOOKUP(P$2-$C5, 'GEN-CARBON'!$D$7:$AW$7, 'GEN-CARBON'!$D$124:$AW$124), 0), IF($B5='Project List References'!$B$7, _xlfn.IFNA(_xlfn.XLOOKUP(P$2-$C5, 'SENS Coal'!$D$7:$AW$7, 'SENS Coal'!$D$141:$AW$141), 0), IF($B5='Project List References'!$B$8, _xlfn.IFNA(_xlfn.XLOOKUP(P$2-$C5,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145.30134292776972</v>
      </c>
      <c r="Q5" s="743">
        <f>IF($B5='Project List References'!$B$3, _xlfn.IFNA(_xlfn.XLOOKUP(Q$2-$C5, 'GEN-CCGT'!$D$7:$AW$7, 'GEN-CCGT'!$D$124:$AW$124), 0), IF($B5='Project List References'!$B$4, _xlfn.IFNA(_xlfn.XLOOKUP(Q$2-$C5, 'GEN-SOLAR'!$D$7:$AW$7, 'GEN-SOLAR'!$D$122:$AW$122), 0), IF($B5='Project List References'!$B$5, _xlfn.IFNA(_xlfn.XLOOKUP(Q$2-$C5, 'GEN-BESS'!$D$7:$AW$7, 'GEN-BESS'!$D$125:$AW$125), 0), IF($B5='Project List References'!$B$6, _xlfn.IFNA(_xlfn.XLOOKUP(Q$2-$C5, 'GEN-CARBON'!$D$7:$AW$7, 'GEN-CARBON'!$D$124:$AW$124), 0), IF($B5='Project List References'!$B$7, _xlfn.IFNA(_xlfn.XLOOKUP(Q$2-$C5, 'SENS Coal'!$D$7:$AW$7, 'SENS Coal'!$D$141:$AW$141), 0), IF($B5='Project List References'!$B$8, _xlfn.IFNA(_xlfn.XLOOKUP(Q$2-$C5,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146.06625498114198</v>
      </c>
      <c r="R5" s="743">
        <f>IF($B5='Project List References'!$B$3, _xlfn.IFNA(_xlfn.XLOOKUP(R$2-$C5, 'GEN-CCGT'!$D$7:$AW$7, 'GEN-CCGT'!$D$124:$AW$124), 0), IF($B5='Project List References'!$B$4, _xlfn.IFNA(_xlfn.XLOOKUP(R$2-$C5, 'GEN-SOLAR'!$D$7:$AW$7, 'GEN-SOLAR'!$D$122:$AW$122), 0), IF($B5='Project List References'!$B$5, _xlfn.IFNA(_xlfn.XLOOKUP(R$2-$C5, 'GEN-BESS'!$D$7:$AW$7, 'GEN-BESS'!$D$125:$AW$125), 0), IF($B5='Project List References'!$B$6, _xlfn.IFNA(_xlfn.XLOOKUP(R$2-$C5, 'GEN-CARBON'!$D$7:$AW$7, 'GEN-CARBON'!$D$124:$AW$124), 0), IF($B5='Project List References'!$B$7, _xlfn.IFNA(_xlfn.XLOOKUP(R$2-$C5, 'SENS Coal'!$D$7:$AW$7, 'SENS Coal'!$D$141:$AW$141), 0), IF($B5='Project List References'!$B$8, _xlfn.IFNA(_xlfn.XLOOKUP(R$2-$C5,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146.84652817854004</v>
      </c>
      <c r="S5" s="743">
        <f>IF($B5='Project List References'!$B$3, _xlfn.IFNA(_xlfn.XLOOKUP(S$2-$C5, 'GEN-CCGT'!$D$7:$AW$7, 'GEN-CCGT'!$D$124:$AW$124), 0), IF($B5='Project List References'!$B$4, _xlfn.IFNA(_xlfn.XLOOKUP(S$2-$C5, 'GEN-SOLAR'!$D$7:$AW$7, 'GEN-SOLAR'!$D$122:$AW$122), 0), IF($B5='Project List References'!$B$5, _xlfn.IFNA(_xlfn.XLOOKUP(S$2-$C5, 'GEN-BESS'!$D$7:$AW$7, 'GEN-BESS'!$D$125:$AW$125), 0), IF($B5='Project List References'!$B$6, _xlfn.IFNA(_xlfn.XLOOKUP(S$2-$C5, 'GEN-CARBON'!$D$7:$AW$7, 'GEN-CARBON'!$D$124:$AW$124), 0), IF($B5='Project List References'!$B$7, _xlfn.IFNA(_xlfn.XLOOKUP(S$2-$C5, 'SENS Coal'!$D$7:$AW$7, 'SENS Coal'!$D$141:$AW$141), 0), IF($B5='Project List References'!$B$8, _xlfn.IFNA(_xlfn.XLOOKUP(S$2-$C5,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147.64246971693265</v>
      </c>
      <c r="T5" s="743">
        <f>IF($B5='Project List References'!$B$3, _xlfn.IFNA(_xlfn.XLOOKUP(T$2-$C5, 'GEN-CCGT'!$D$7:$AW$7, 'GEN-CCGT'!$D$124:$AW$124), 0), IF($B5='Project List References'!$B$4, _xlfn.IFNA(_xlfn.XLOOKUP(T$2-$C5, 'GEN-SOLAR'!$D$7:$AW$7, 'GEN-SOLAR'!$D$122:$AW$122), 0), IF($B5='Project List References'!$B$5, _xlfn.IFNA(_xlfn.XLOOKUP(T$2-$C5, 'GEN-BESS'!$D$7:$AW$7, 'GEN-BESS'!$D$125:$AW$125), 0), IF($B5='Project List References'!$B$6, _xlfn.IFNA(_xlfn.XLOOKUP(T$2-$C5, 'GEN-CARBON'!$D$7:$AW$7, 'GEN-CARBON'!$D$124:$AW$124), 0), IF($B5='Project List References'!$B$7, _xlfn.IFNA(_xlfn.XLOOKUP(T$2-$C5, 'SENS Coal'!$D$7:$AW$7, 'SENS Coal'!$D$141:$AW$141), 0), IF($B5='Project List References'!$B$8, _xlfn.IFNA(_xlfn.XLOOKUP(T$2-$C5, 'SENS Tires'!$D$7:$AW$7, 'SENS Tires'!$D$139:$AW$139),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148.45439293943448</v>
      </c>
    </row>
    <row r="6" spans="1:111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_xlfn.XLOOKUP(A6, 'Project Master Sheet'!A:A, 'Project Master Sheet'!I:I)</f>
        <v>0</v>
      </c>
      <c r="E6" s="743">
        <f>IF($B6='Project List References'!$B$3, _xlfn.IFNA(_xlfn.XLOOKUP(E$2-$C6, 'GEN-CCGT'!$D$7:$AW$7, 'GEN-CCGT'!$D$124:$AW$124), 0), IF($B6='Project List References'!$B$4, _xlfn.IFNA(_xlfn.XLOOKUP(E$2-$C6, 'GEN-SOLAR'!$D$7:$AW$7, 'GEN-SOLAR'!$D$122:$AW$122), 0), IF($B6='Project List References'!$B$5, _xlfn.IFNA(_xlfn.XLOOKUP(E$2-$C6, 'GEN-BESS'!$D$7:$AW$7, 'GEN-BESS'!$D$125:$AW$125), 0), IF($B6='Project List References'!$B$6, _xlfn.IFNA(_xlfn.XLOOKUP(E$2-$C6, 'GEN-CARBON'!$D$7:$AW$7, 'GEN-CARBON'!$D$124:$AW$124), 0), IF($B6='Project List References'!$B$7, _xlfn.IFNA(_xlfn.XLOOKUP(E$2-$C6, 'SENS Coal'!$D$7:$AW$7, 'SENS Coal'!$D$141:$AW$141), 0), IF($B6='Project List References'!$B$8, _xlfn.IFNA(_xlfn.XLOOKUP(E$2-$C6,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F6" s="743">
        <f>IF($B6='Project List References'!$B$3, _xlfn.IFNA(_xlfn.XLOOKUP(F$2-$C6, 'GEN-CCGT'!$D$7:$AW$7, 'GEN-CCGT'!$D$124:$AW$124), 0), IF($B6='Project List References'!$B$4, _xlfn.IFNA(_xlfn.XLOOKUP(F$2-$C6, 'GEN-SOLAR'!$D$7:$AW$7, 'GEN-SOLAR'!$D$122:$AW$122), 0), IF($B6='Project List References'!$B$5, _xlfn.IFNA(_xlfn.XLOOKUP(F$2-$C6, 'GEN-BESS'!$D$7:$AW$7, 'GEN-BESS'!$D$125:$AW$125), 0), IF($B6='Project List References'!$B$6, _xlfn.IFNA(_xlfn.XLOOKUP(F$2-$C6, 'GEN-CARBON'!$D$7:$AW$7, 'GEN-CARBON'!$D$124:$AW$124), 0), IF($B6='Project List References'!$B$7, _xlfn.IFNA(_xlfn.XLOOKUP(F$2-$C6, 'SENS Coal'!$D$7:$AW$7, 'SENS Coal'!$D$141:$AW$141), 0), IF($B6='Project List References'!$B$8, _xlfn.IFNA(_xlfn.XLOOKUP(F$2-$C6,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19.150496365034201</v>
      </c>
      <c r="G6" s="743">
        <f>IF($B6='Project List References'!$B$3, _xlfn.IFNA(_xlfn.XLOOKUP(G$2-$C6, 'GEN-CCGT'!$D$7:$AW$7, 'GEN-CCGT'!$D$124:$AW$124), 0), IF($B6='Project List References'!$B$4, _xlfn.IFNA(_xlfn.XLOOKUP(G$2-$C6, 'GEN-SOLAR'!$D$7:$AW$7, 'GEN-SOLAR'!$D$122:$AW$122), 0), IF($B6='Project List References'!$B$5, _xlfn.IFNA(_xlfn.XLOOKUP(G$2-$C6, 'GEN-BESS'!$D$7:$AW$7, 'GEN-BESS'!$D$125:$AW$125), 0), IF($B6='Project List References'!$B$6, _xlfn.IFNA(_xlfn.XLOOKUP(G$2-$C6, 'GEN-CARBON'!$D$7:$AW$7, 'GEN-CARBON'!$D$124:$AW$124), 0), IF($B6='Project List References'!$B$7, _xlfn.IFNA(_xlfn.XLOOKUP(G$2-$C6, 'SENS Coal'!$D$7:$AW$7, 'SENS Coal'!$D$141:$AW$141), 0), IF($B6='Project List References'!$B$8, _xlfn.IFNA(_xlfn.XLOOKUP(G$2-$C6,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25.676104107118714</v>
      </c>
      <c r="H6" s="743">
        <f>IF($B6='Project List References'!$B$3, _xlfn.IFNA(_xlfn.XLOOKUP(H$2-$C6, 'GEN-CCGT'!$D$7:$AW$7, 'GEN-CCGT'!$D$124:$AW$124), 0), IF($B6='Project List References'!$B$4, _xlfn.IFNA(_xlfn.XLOOKUP(H$2-$C6, 'GEN-SOLAR'!$D$7:$AW$7, 'GEN-SOLAR'!$D$122:$AW$122), 0), IF($B6='Project List References'!$B$5, _xlfn.IFNA(_xlfn.XLOOKUP(H$2-$C6, 'GEN-BESS'!$D$7:$AW$7, 'GEN-BESS'!$D$125:$AW$125), 0), IF($B6='Project List References'!$B$6, _xlfn.IFNA(_xlfn.XLOOKUP(H$2-$C6, 'GEN-CARBON'!$D$7:$AW$7, 'GEN-CARBON'!$D$124:$AW$124), 0), IF($B6='Project List References'!$B$7, _xlfn.IFNA(_xlfn.XLOOKUP(H$2-$C6, 'SENS Coal'!$D$7:$AW$7, 'SENS Coal'!$D$141:$AW$141), 0), IF($B6='Project List References'!$B$8, _xlfn.IFNA(_xlfn.XLOOKUP(H$2-$C6,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25.799434842412083</v>
      </c>
      <c r="I6" s="743">
        <f>IF($B6='Project List References'!$B$3, _xlfn.IFNA(_xlfn.XLOOKUP(I$2-$C6, 'GEN-CCGT'!$D$7:$AW$7, 'GEN-CCGT'!$D$124:$AW$124), 0), IF($B6='Project List References'!$B$4, _xlfn.IFNA(_xlfn.XLOOKUP(I$2-$C6, 'GEN-SOLAR'!$D$7:$AW$7, 'GEN-SOLAR'!$D$122:$AW$122), 0), IF($B6='Project List References'!$B$5, _xlfn.IFNA(_xlfn.XLOOKUP(I$2-$C6, 'GEN-BESS'!$D$7:$AW$7, 'GEN-BESS'!$D$125:$AW$125), 0), IF($B6='Project List References'!$B$6, _xlfn.IFNA(_xlfn.XLOOKUP(I$2-$C6, 'GEN-CARBON'!$D$7:$AW$7, 'GEN-CARBON'!$D$124:$AW$124), 0), IF($B6='Project List References'!$B$7, _xlfn.IFNA(_xlfn.XLOOKUP(I$2-$C6, 'SENS Coal'!$D$7:$AW$7, 'SENS Coal'!$D$141:$AW$141), 0), IF($B6='Project List References'!$B$8, _xlfn.IFNA(_xlfn.XLOOKUP(I$2-$C6,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25.900043174975465</v>
      </c>
      <c r="J6" s="743">
        <f>IF($B6='Project List References'!$B$3, _xlfn.IFNA(_xlfn.XLOOKUP(J$2-$C6, 'GEN-CCGT'!$D$7:$AW$7, 'GEN-CCGT'!$D$124:$AW$124), 0), IF($B6='Project List References'!$B$4, _xlfn.IFNA(_xlfn.XLOOKUP(J$2-$C6, 'GEN-SOLAR'!$D$7:$AW$7, 'GEN-SOLAR'!$D$122:$AW$122), 0), IF($B6='Project List References'!$B$5, _xlfn.IFNA(_xlfn.XLOOKUP(J$2-$C6, 'GEN-BESS'!$D$7:$AW$7, 'GEN-BESS'!$D$125:$AW$125), 0), IF($B6='Project List References'!$B$6, _xlfn.IFNA(_xlfn.XLOOKUP(J$2-$C6, 'GEN-CARBON'!$D$7:$AW$7, 'GEN-CARBON'!$D$124:$AW$124), 0), IF($B6='Project List References'!$B$7, _xlfn.IFNA(_xlfn.XLOOKUP(J$2-$C6, 'SENS Coal'!$D$7:$AW$7, 'SENS Coal'!$D$141:$AW$141), 0), IF($B6='Project List References'!$B$8, _xlfn.IFNA(_xlfn.XLOOKUP(J$2-$C6,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26.04885987735328</v>
      </c>
      <c r="K6" s="743">
        <f>IF($B6='Project List References'!$B$3, _xlfn.IFNA(_xlfn.XLOOKUP(K$2-$C6, 'GEN-CCGT'!$D$7:$AW$7, 'GEN-CCGT'!$D$124:$AW$124), 0), IF($B6='Project List References'!$B$4, _xlfn.IFNA(_xlfn.XLOOKUP(K$2-$C6, 'GEN-SOLAR'!$D$7:$AW$7, 'GEN-SOLAR'!$D$122:$AW$122), 0), IF($B6='Project List References'!$B$5, _xlfn.IFNA(_xlfn.XLOOKUP(K$2-$C6, 'GEN-BESS'!$D$7:$AW$7, 'GEN-BESS'!$D$125:$AW$125), 0), IF($B6='Project List References'!$B$6, _xlfn.IFNA(_xlfn.XLOOKUP(K$2-$C6, 'GEN-CARBON'!$D$7:$AW$7, 'GEN-CARBON'!$D$124:$AW$124), 0), IF($B6='Project List References'!$B$7, _xlfn.IFNA(_xlfn.XLOOKUP(K$2-$C6, 'SENS Coal'!$D$7:$AW$7, 'SENS Coal'!$D$141:$AW$141), 0), IF($B6='Project List References'!$B$8, _xlfn.IFNA(_xlfn.XLOOKUP(K$2-$C6,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26.208630772519271</v>
      </c>
      <c r="L6" s="743">
        <f>IF($B6='Project List References'!$B$3, _xlfn.IFNA(_xlfn.XLOOKUP(L$2-$C6, 'GEN-CCGT'!$D$7:$AW$7, 'GEN-CCGT'!$D$124:$AW$124), 0), IF($B6='Project List References'!$B$4, _xlfn.IFNA(_xlfn.XLOOKUP(L$2-$C6, 'GEN-SOLAR'!$D$7:$AW$7, 'GEN-SOLAR'!$D$122:$AW$122), 0), IF($B6='Project List References'!$B$5, _xlfn.IFNA(_xlfn.XLOOKUP(L$2-$C6, 'GEN-BESS'!$D$7:$AW$7, 'GEN-BESS'!$D$125:$AW$125), 0), IF($B6='Project List References'!$B$6, _xlfn.IFNA(_xlfn.XLOOKUP(L$2-$C6, 'GEN-CARBON'!$D$7:$AW$7, 'GEN-CARBON'!$D$124:$AW$124), 0), IF($B6='Project List References'!$B$7, _xlfn.IFNA(_xlfn.XLOOKUP(L$2-$C6, 'SENS Coal'!$D$7:$AW$7, 'SENS Coal'!$D$141:$AW$141), 0), IF($B6='Project List References'!$B$8, _xlfn.IFNA(_xlfn.XLOOKUP(L$2-$C6,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26.371602495471514</v>
      </c>
      <c r="M6" s="743">
        <f>IF($B6='Project List References'!$B$3, _xlfn.IFNA(_xlfn.XLOOKUP(M$2-$C6, 'GEN-CCGT'!$D$7:$AW$7, 'GEN-CCGT'!$D$124:$AW$124), 0), IF($B6='Project List References'!$B$4, _xlfn.IFNA(_xlfn.XLOOKUP(M$2-$C6, 'GEN-SOLAR'!$D$7:$AW$7, 'GEN-SOLAR'!$D$122:$AW$122), 0), IF($B6='Project List References'!$B$5, _xlfn.IFNA(_xlfn.XLOOKUP(M$2-$C6, 'GEN-BESS'!$D$7:$AW$7, 'GEN-BESS'!$D$125:$AW$125), 0), IF($B6='Project List References'!$B$6, _xlfn.IFNA(_xlfn.XLOOKUP(M$2-$C6, 'GEN-CARBON'!$D$7:$AW$7, 'GEN-CARBON'!$D$124:$AW$124), 0), IF($B6='Project List References'!$B$7, _xlfn.IFNA(_xlfn.XLOOKUP(M$2-$C6, 'SENS Coal'!$D$7:$AW$7, 'SENS Coal'!$D$141:$AW$141), 0), IF($B6='Project List References'!$B$8, _xlfn.IFNA(_xlfn.XLOOKUP(M$2-$C6,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26.537839149892093</v>
      </c>
      <c r="N6" s="743">
        <f>IF($B6='Project List References'!$B$3, _xlfn.IFNA(_xlfn.XLOOKUP(N$2-$C6, 'GEN-CCGT'!$D$7:$AW$7, 'GEN-CCGT'!$D$124:$AW$124), 0), IF($B6='Project List References'!$B$4, _xlfn.IFNA(_xlfn.XLOOKUP(N$2-$C6, 'GEN-SOLAR'!$D$7:$AW$7, 'GEN-SOLAR'!$D$122:$AW$122), 0), IF($B6='Project List References'!$B$5, _xlfn.IFNA(_xlfn.XLOOKUP(N$2-$C6, 'GEN-BESS'!$D$7:$AW$7, 'GEN-BESS'!$D$125:$AW$125), 0), IF($B6='Project List References'!$B$6, _xlfn.IFNA(_xlfn.XLOOKUP(N$2-$C6, 'GEN-CARBON'!$D$7:$AW$7, 'GEN-CARBON'!$D$124:$AW$124), 0), IF($B6='Project List References'!$B$7, _xlfn.IFNA(_xlfn.XLOOKUP(N$2-$C6, 'SENS Coal'!$D$7:$AW$7, 'SENS Coal'!$D$141:$AW$141), 0), IF($B6='Project List References'!$B$8, _xlfn.IFNA(_xlfn.XLOOKUP(N$2-$C6,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26.707406122958879</v>
      </c>
      <c r="O6" s="743">
        <f>IF($B6='Project List References'!$B$3, _xlfn.IFNA(_xlfn.XLOOKUP(O$2-$C6, 'GEN-CCGT'!$D$7:$AW$7, 'GEN-CCGT'!$D$124:$AW$124), 0), IF($B6='Project List References'!$B$4, _xlfn.IFNA(_xlfn.XLOOKUP(O$2-$C6, 'GEN-SOLAR'!$D$7:$AW$7, 'GEN-SOLAR'!$D$122:$AW$122), 0), IF($B6='Project List References'!$B$5, _xlfn.IFNA(_xlfn.XLOOKUP(O$2-$C6, 'GEN-BESS'!$D$7:$AW$7, 'GEN-BESS'!$D$125:$AW$125), 0), IF($B6='Project List References'!$B$6, _xlfn.IFNA(_xlfn.XLOOKUP(O$2-$C6, 'GEN-CARBON'!$D$7:$AW$7, 'GEN-CARBON'!$D$124:$AW$124), 0), IF($B6='Project List References'!$B$7, _xlfn.IFNA(_xlfn.XLOOKUP(O$2-$C6, 'SENS Coal'!$D$7:$AW$7, 'SENS Coal'!$D$141:$AW$141), 0), IF($B6='Project List References'!$B$8, _xlfn.IFNA(_xlfn.XLOOKUP(O$2-$C6,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26.880370111038935</v>
      </c>
      <c r="P6" s="743">
        <f>IF($B6='Project List References'!$B$3, _xlfn.IFNA(_xlfn.XLOOKUP(P$2-$C6, 'GEN-CCGT'!$D$7:$AW$7, 'GEN-CCGT'!$D$124:$AW$124), 0), IF($B6='Project List References'!$B$4, _xlfn.IFNA(_xlfn.XLOOKUP(P$2-$C6, 'GEN-SOLAR'!$D$7:$AW$7, 'GEN-SOLAR'!$D$122:$AW$122), 0), IF($B6='Project List References'!$B$5, _xlfn.IFNA(_xlfn.XLOOKUP(P$2-$C6, 'GEN-BESS'!$D$7:$AW$7, 'GEN-BESS'!$D$125:$AW$125), 0), IF($B6='Project List References'!$B$6, _xlfn.IFNA(_xlfn.XLOOKUP(P$2-$C6, 'GEN-CARBON'!$D$7:$AW$7, 'GEN-CARBON'!$D$124:$AW$124), 0), IF($B6='Project List References'!$B$7, _xlfn.IFNA(_xlfn.XLOOKUP(P$2-$C6, 'SENS Coal'!$D$7:$AW$7, 'SENS Coal'!$D$141:$AW$141), 0), IF($B6='Project List References'!$B$8, _xlfn.IFNA(_xlfn.XLOOKUP(P$2-$C6,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27.056799145896179</v>
      </c>
      <c r="Q6" s="743">
        <f>IF($B6='Project List References'!$B$3, _xlfn.IFNA(_xlfn.XLOOKUP(Q$2-$C6, 'GEN-CCGT'!$D$7:$AW$7, 'GEN-CCGT'!$D$124:$AW$124), 0), IF($B6='Project List References'!$B$4, _xlfn.IFNA(_xlfn.XLOOKUP(Q$2-$C6, 'GEN-SOLAR'!$D$7:$AW$7, 'GEN-SOLAR'!$D$122:$AW$122), 0), IF($B6='Project List References'!$B$5, _xlfn.IFNA(_xlfn.XLOOKUP(Q$2-$C6, 'GEN-BESS'!$D$7:$AW$7, 'GEN-BESS'!$D$125:$AW$125), 0), IF($B6='Project List References'!$B$6, _xlfn.IFNA(_xlfn.XLOOKUP(Q$2-$C6, 'GEN-CARBON'!$D$7:$AW$7, 'GEN-CARBON'!$D$124:$AW$124), 0), IF($B6='Project List References'!$B$7, _xlfn.IFNA(_xlfn.XLOOKUP(Q$2-$C6, 'SENS Coal'!$D$7:$AW$7, 'SENS Coal'!$D$141:$AW$141), 0), IF($B6='Project List References'!$B$8, _xlfn.IFNA(_xlfn.XLOOKUP(Q$2-$C6,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27.236762621423651</v>
      </c>
      <c r="R6" s="743">
        <f>IF($B6='Project List References'!$B$3, _xlfn.IFNA(_xlfn.XLOOKUP(R$2-$C6, 'GEN-CCGT'!$D$7:$AW$7, 'GEN-CCGT'!$D$124:$AW$124), 0), IF($B6='Project List References'!$B$4, _xlfn.IFNA(_xlfn.XLOOKUP(R$2-$C6, 'GEN-SOLAR'!$D$7:$AW$7, 'GEN-SOLAR'!$D$122:$AW$122), 0), IF($B6='Project List References'!$B$5, _xlfn.IFNA(_xlfn.XLOOKUP(R$2-$C6, 'GEN-BESS'!$D$7:$AW$7, 'GEN-BESS'!$D$125:$AW$125), 0), IF($B6='Project List References'!$B$6, _xlfn.IFNA(_xlfn.XLOOKUP(R$2-$C6, 'GEN-CARBON'!$D$7:$AW$7, 'GEN-CARBON'!$D$124:$AW$124), 0), IF($B6='Project List References'!$B$7, _xlfn.IFNA(_xlfn.XLOOKUP(R$2-$C6, 'SENS Coal'!$D$7:$AW$7, 'SENS Coal'!$D$141:$AW$141), 0), IF($B6='Project List References'!$B$8, _xlfn.IFNA(_xlfn.XLOOKUP(R$2-$C6,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27.420331320910773</v>
      </c>
      <c r="S6" s="743">
        <f>IF($B6='Project List References'!$B$3, _xlfn.IFNA(_xlfn.XLOOKUP(S$2-$C6, 'GEN-CCGT'!$D$7:$AW$7, 'GEN-CCGT'!$D$124:$AW$124), 0), IF($B6='Project List References'!$B$4, _xlfn.IFNA(_xlfn.XLOOKUP(S$2-$C6, 'GEN-SOLAR'!$D$7:$AW$7, 'GEN-SOLAR'!$D$122:$AW$122), 0), IF($B6='Project List References'!$B$5, _xlfn.IFNA(_xlfn.XLOOKUP(S$2-$C6, 'GEN-BESS'!$D$7:$AW$7, 'GEN-BESS'!$D$125:$AW$125), 0), IF($B6='Project List References'!$B$6, _xlfn.IFNA(_xlfn.XLOOKUP(S$2-$C6, 'GEN-CARBON'!$D$7:$AW$7, 'GEN-CARBON'!$D$124:$AW$124), 0), IF($B6='Project List References'!$B$7, _xlfn.IFNA(_xlfn.XLOOKUP(S$2-$C6, 'SENS Coal'!$D$7:$AW$7, 'SENS Coal'!$D$141:$AW$141), 0), IF($B6='Project List References'!$B$8, _xlfn.IFNA(_xlfn.XLOOKUP(S$2-$C6,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27.60757744485641</v>
      </c>
      <c r="T6" s="743">
        <f>IF($B6='Project List References'!$B$3, _xlfn.IFNA(_xlfn.XLOOKUP(T$2-$C6, 'GEN-CCGT'!$D$7:$AW$7, 'GEN-CCGT'!$D$124:$AW$124), 0), IF($B6='Project List References'!$B$4, _xlfn.IFNA(_xlfn.XLOOKUP(T$2-$C6, 'GEN-SOLAR'!$D$7:$AW$7, 'GEN-SOLAR'!$D$122:$AW$122), 0), IF($B6='Project List References'!$B$5, _xlfn.IFNA(_xlfn.XLOOKUP(T$2-$C6, 'GEN-BESS'!$D$7:$AW$7, 'GEN-BESS'!$D$125:$AW$125), 0), IF($B6='Project List References'!$B$6, _xlfn.IFNA(_xlfn.XLOOKUP(T$2-$C6, 'GEN-CARBON'!$D$7:$AW$7, 'GEN-CARBON'!$D$124:$AW$124), 0), IF($B6='Project List References'!$B$7, _xlfn.IFNA(_xlfn.XLOOKUP(T$2-$C6, 'SENS Coal'!$D$7:$AW$7, 'SENS Coal'!$D$141:$AW$141), 0), IF($B6='Project List References'!$B$8, _xlfn.IFNA(_xlfn.XLOOKUP(T$2-$C6, 'SENS Tires'!$D$7:$AW$7, 'SENS Tires'!$D$139:$AW$139),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27.798574639338568</v>
      </c>
    </row>
    <row r="7" spans="1:111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_xlfn.XLOOKUP(A7, 'Project Master Sheet'!A:A, 'Project Master Sheet'!I:I)</f>
        <v>0</v>
      </c>
      <c r="E7" s="743">
        <f>IF($B7='Project List References'!$B$3, _xlfn.IFNA(_xlfn.XLOOKUP(E$2-$C7, 'GEN-CCGT'!$D$7:$AW$7, 'GEN-CCGT'!$D$124:$AW$124), 0), IF($B7='Project List References'!$B$4, _xlfn.IFNA(_xlfn.XLOOKUP(E$2-$C7, 'GEN-SOLAR'!$D$7:$AW$7, 'GEN-SOLAR'!$D$122:$AW$122), 0), IF($B7='Project List References'!$B$5, _xlfn.IFNA(_xlfn.XLOOKUP(E$2-$C7, 'GEN-BESS'!$D$7:$AW$7, 'GEN-BESS'!$D$125:$AW$125), 0), IF($B7='Project List References'!$B$6, _xlfn.IFNA(_xlfn.XLOOKUP(E$2-$C7, 'GEN-CARBON'!$D$7:$AW$7, 'GEN-CARBON'!$D$124:$AW$124), 0), IF($B7='Project List References'!$B$7, _xlfn.IFNA(_xlfn.XLOOKUP(E$2-$C7, 'SENS Coal'!$D$7:$AW$7, 'SENS Coal'!$D$141:$AW$141), 0), IF($B7='Project List References'!$B$8, _xlfn.IFNA(_xlfn.XLOOKUP(E$2-$C7,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F7" s="743">
        <f>IF($B7='Project List References'!$B$3, _xlfn.IFNA(_xlfn.XLOOKUP(F$2-$C7, 'GEN-CCGT'!$D$7:$AW$7, 'GEN-CCGT'!$D$124:$AW$124), 0), IF($B7='Project List References'!$B$4, _xlfn.IFNA(_xlfn.XLOOKUP(F$2-$C7, 'GEN-SOLAR'!$D$7:$AW$7, 'GEN-SOLAR'!$D$122:$AW$122), 0), IF($B7='Project List References'!$B$5, _xlfn.IFNA(_xlfn.XLOOKUP(F$2-$C7, 'GEN-BESS'!$D$7:$AW$7, 'GEN-BESS'!$D$125:$AW$125), 0), IF($B7='Project List References'!$B$6, _xlfn.IFNA(_xlfn.XLOOKUP(F$2-$C7, 'GEN-CARBON'!$D$7:$AW$7, 'GEN-CARBON'!$D$124:$AW$124), 0), IF($B7='Project List References'!$B$7, _xlfn.IFNA(_xlfn.XLOOKUP(F$2-$C7, 'SENS Coal'!$D$7:$AW$7, 'SENS Coal'!$D$141:$AW$141), 0), IF($B7='Project List References'!$B$8, _xlfn.IFNA(_xlfn.XLOOKUP(F$2-$C7,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0.8621638081242512</v>
      </c>
      <c r="G7" s="743">
        <f>IF($B7='Project List References'!$B$3, _xlfn.IFNA(_xlfn.XLOOKUP(G$2-$C7, 'GEN-CCGT'!$D$7:$AW$7, 'GEN-CCGT'!$D$124:$AW$124), 0), IF($B7='Project List References'!$B$4, _xlfn.IFNA(_xlfn.XLOOKUP(G$2-$C7, 'GEN-SOLAR'!$D$7:$AW$7, 'GEN-SOLAR'!$D$122:$AW$122), 0), IF($B7='Project List References'!$B$5, _xlfn.IFNA(_xlfn.XLOOKUP(G$2-$C7, 'GEN-BESS'!$D$7:$AW$7, 'GEN-BESS'!$D$125:$AW$125), 0), IF($B7='Project List References'!$B$6, _xlfn.IFNA(_xlfn.XLOOKUP(G$2-$C7, 'GEN-CARBON'!$D$7:$AW$7, 'GEN-CARBON'!$D$124:$AW$124), 0), IF($B7='Project List References'!$B$7, _xlfn.IFNA(_xlfn.XLOOKUP(G$2-$C7, 'SENS Coal'!$D$7:$AW$7, 'SENS Coal'!$D$141:$AW$141), 0), IF($B7='Project List References'!$B$8, _xlfn.IFNA(_xlfn.XLOOKUP(G$2-$C7,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0.88802872236797881</v>
      </c>
      <c r="H7" s="743">
        <f>IF($B7='Project List References'!$B$3, _xlfn.IFNA(_xlfn.XLOOKUP(H$2-$C7, 'GEN-CCGT'!$D$7:$AW$7, 'GEN-CCGT'!$D$124:$AW$124), 0), IF($B7='Project List References'!$B$4, _xlfn.IFNA(_xlfn.XLOOKUP(H$2-$C7, 'GEN-SOLAR'!$D$7:$AW$7, 'GEN-SOLAR'!$D$122:$AW$122), 0), IF($B7='Project List References'!$B$5, _xlfn.IFNA(_xlfn.XLOOKUP(H$2-$C7, 'GEN-BESS'!$D$7:$AW$7, 'GEN-BESS'!$D$125:$AW$125), 0), IF($B7='Project List References'!$B$6, _xlfn.IFNA(_xlfn.XLOOKUP(H$2-$C7, 'GEN-CARBON'!$D$7:$AW$7, 'GEN-CARBON'!$D$124:$AW$124), 0), IF($B7='Project List References'!$B$7, _xlfn.IFNA(_xlfn.XLOOKUP(H$2-$C7, 'SENS Coal'!$D$7:$AW$7, 'SENS Coal'!$D$141:$AW$141), 0), IF($B7='Project List References'!$B$8, _xlfn.IFNA(_xlfn.XLOOKUP(H$2-$C7,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0.91466958403901821</v>
      </c>
      <c r="I7" s="743">
        <f>IF($B7='Project List References'!$B$3, _xlfn.IFNA(_xlfn.XLOOKUP(I$2-$C7, 'GEN-CCGT'!$D$7:$AW$7, 'GEN-CCGT'!$D$124:$AW$124), 0), IF($B7='Project List References'!$B$4, _xlfn.IFNA(_xlfn.XLOOKUP(I$2-$C7, 'GEN-SOLAR'!$D$7:$AW$7, 'GEN-SOLAR'!$D$122:$AW$122), 0), IF($B7='Project List References'!$B$5, _xlfn.IFNA(_xlfn.XLOOKUP(I$2-$C7, 'GEN-BESS'!$D$7:$AW$7, 'GEN-BESS'!$D$125:$AW$125), 0), IF($B7='Project List References'!$B$6, _xlfn.IFNA(_xlfn.XLOOKUP(I$2-$C7, 'GEN-CARBON'!$D$7:$AW$7, 'GEN-CARBON'!$D$124:$AW$124), 0), IF($B7='Project List References'!$B$7, _xlfn.IFNA(_xlfn.XLOOKUP(I$2-$C7, 'SENS Coal'!$D$7:$AW$7, 'SENS Coal'!$D$141:$AW$141), 0), IF($B7='Project List References'!$B$8, _xlfn.IFNA(_xlfn.XLOOKUP(I$2-$C7,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0.94210967156018877</v>
      </c>
      <c r="J7" s="743">
        <f>IF($B7='Project List References'!$B$3, _xlfn.IFNA(_xlfn.XLOOKUP(J$2-$C7, 'GEN-CCGT'!$D$7:$AW$7, 'GEN-CCGT'!$D$124:$AW$124), 0), IF($B7='Project List References'!$B$4, _xlfn.IFNA(_xlfn.XLOOKUP(J$2-$C7, 'GEN-SOLAR'!$D$7:$AW$7, 'GEN-SOLAR'!$D$122:$AW$122), 0), IF($B7='Project List References'!$B$5, _xlfn.IFNA(_xlfn.XLOOKUP(J$2-$C7, 'GEN-BESS'!$D$7:$AW$7, 'GEN-BESS'!$D$125:$AW$125), 0), IF($B7='Project List References'!$B$6, _xlfn.IFNA(_xlfn.XLOOKUP(J$2-$C7, 'GEN-CARBON'!$D$7:$AW$7, 'GEN-CARBON'!$D$124:$AW$124), 0), IF($B7='Project List References'!$B$7, _xlfn.IFNA(_xlfn.XLOOKUP(J$2-$C7, 'SENS Coal'!$D$7:$AW$7, 'SENS Coal'!$D$141:$AW$141), 0), IF($B7='Project List References'!$B$8, _xlfn.IFNA(_xlfn.XLOOKUP(J$2-$C7,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0.97037296170699439</v>
      </c>
      <c r="K7" s="743">
        <f>IF($B7='Project List References'!$B$3, _xlfn.IFNA(_xlfn.XLOOKUP(K$2-$C7, 'GEN-CCGT'!$D$7:$AW$7, 'GEN-CCGT'!$D$124:$AW$124), 0), IF($B7='Project List References'!$B$4, _xlfn.IFNA(_xlfn.XLOOKUP(K$2-$C7, 'GEN-SOLAR'!$D$7:$AW$7, 'GEN-SOLAR'!$D$122:$AW$122), 0), IF($B7='Project List References'!$B$5, _xlfn.IFNA(_xlfn.XLOOKUP(K$2-$C7, 'GEN-BESS'!$D$7:$AW$7, 'GEN-BESS'!$D$125:$AW$125), 0), IF($B7='Project List References'!$B$6, _xlfn.IFNA(_xlfn.XLOOKUP(K$2-$C7, 'GEN-CARBON'!$D$7:$AW$7, 'GEN-CARBON'!$D$124:$AW$124), 0), IF($B7='Project List References'!$B$7, _xlfn.IFNA(_xlfn.XLOOKUP(K$2-$C7, 'SENS Coal'!$D$7:$AW$7, 'SENS Coal'!$D$141:$AW$141), 0), IF($B7='Project List References'!$B$8, _xlfn.IFNA(_xlfn.XLOOKUP(K$2-$C7,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0.99948415055820428</v>
      </c>
      <c r="L7" s="743">
        <f>IF($B7='Project List References'!$B$3, _xlfn.IFNA(_xlfn.XLOOKUP(L$2-$C7, 'GEN-CCGT'!$D$7:$AW$7, 'GEN-CCGT'!$D$124:$AW$124), 0), IF($B7='Project List References'!$B$4, _xlfn.IFNA(_xlfn.XLOOKUP(L$2-$C7, 'GEN-SOLAR'!$D$7:$AW$7, 'GEN-SOLAR'!$D$122:$AW$122), 0), IF($B7='Project List References'!$B$5, _xlfn.IFNA(_xlfn.XLOOKUP(L$2-$C7, 'GEN-BESS'!$D$7:$AW$7, 'GEN-BESS'!$D$125:$AW$125), 0), IF($B7='Project List References'!$B$6, _xlfn.IFNA(_xlfn.XLOOKUP(L$2-$C7, 'GEN-CARBON'!$D$7:$AW$7, 'GEN-CARBON'!$D$124:$AW$124), 0), IF($B7='Project List References'!$B$7, _xlfn.IFNA(_xlfn.XLOOKUP(L$2-$C7, 'SENS Coal'!$D$7:$AW$7, 'SENS Coal'!$D$141:$AW$141), 0), IF($B7='Project List References'!$B$8, _xlfn.IFNA(_xlfn.XLOOKUP(L$2-$C7,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1.0294686750749504</v>
      </c>
      <c r="M7" s="743">
        <f>IF($B7='Project List References'!$B$3, _xlfn.IFNA(_xlfn.XLOOKUP(M$2-$C7, 'GEN-CCGT'!$D$7:$AW$7, 'GEN-CCGT'!$D$124:$AW$124), 0), IF($B7='Project List References'!$B$4, _xlfn.IFNA(_xlfn.XLOOKUP(M$2-$C7, 'GEN-SOLAR'!$D$7:$AW$7, 'GEN-SOLAR'!$D$122:$AW$122), 0), IF($B7='Project List References'!$B$5, _xlfn.IFNA(_xlfn.XLOOKUP(M$2-$C7, 'GEN-BESS'!$D$7:$AW$7, 'GEN-BESS'!$D$125:$AW$125), 0), IF($B7='Project List References'!$B$6, _xlfn.IFNA(_xlfn.XLOOKUP(M$2-$C7, 'GEN-CARBON'!$D$7:$AW$7, 'GEN-CARBON'!$D$124:$AW$124), 0), IF($B7='Project List References'!$B$7, _xlfn.IFNA(_xlfn.XLOOKUP(M$2-$C7, 'SENS Coal'!$D$7:$AW$7, 'SENS Coal'!$D$141:$AW$141), 0), IF($B7='Project List References'!$B$8, _xlfn.IFNA(_xlfn.XLOOKUP(M$2-$C7,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1.0603527353271991</v>
      </c>
      <c r="N7" s="743">
        <f>IF($B7='Project List References'!$B$3, _xlfn.IFNA(_xlfn.XLOOKUP(N$2-$C7, 'GEN-CCGT'!$D$7:$AW$7, 'GEN-CCGT'!$D$124:$AW$124), 0), IF($B7='Project List References'!$B$4, _xlfn.IFNA(_xlfn.XLOOKUP(N$2-$C7, 'GEN-SOLAR'!$D$7:$AW$7, 'GEN-SOLAR'!$D$122:$AW$122), 0), IF($B7='Project List References'!$B$5, _xlfn.IFNA(_xlfn.XLOOKUP(N$2-$C7, 'GEN-BESS'!$D$7:$AW$7, 'GEN-BESS'!$D$125:$AW$125), 0), IF($B7='Project List References'!$B$6, _xlfn.IFNA(_xlfn.XLOOKUP(N$2-$C7, 'GEN-CARBON'!$D$7:$AW$7, 'GEN-CARBON'!$D$124:$AW$124), 0), IF($B7='Project List References'!$B$7, _xlfn.IFNA(_xlfn.XLOOKUP(N$2-$C7, 'SENS Coal'!$D$7:$AW$7, 'SENS Coal'!$D$141:$AW$141), 0), IF($B7='Project List References'!$B$8, _xlfn.IFNA(_xlfn.XLOOKUP(N$2-$C7,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1.0921633173870149</v>
      </c>
      <c r="O7" s="743">
        <f>IF($B7='Project List References'!$B$3, _xlfn.IFNA(_xlfn.XLOOKUP(O$2-$C7, 'GEN-CCGT'!$D$7:$AW$7, 'GEN-CCGT'!$D$124:$AW$124), 0), IF($B7='Project List References'!$B$4, _xlfn.IFNA(_xlfn.XLOOKUP(O$2-$C7, 'GEN-SOLAR'!$D$7:$AW$7, 'GEN-SOLAR'!$D$122:$AW$122), 0), IF($B7='Project List References'!$B$5, _xlfn.IFNA(_xlfn.XLOOKUP(O$2-$C7, 'GEN-BESS'!$D$7:$AW$7, 'GEN-BESS'!$D$125:$AW$125), 0), IF($B7='Project List References'!$B$6, _xlfn.IFNA(_xlfn.XLOOKUP(O$2-$C7, 'GEN-CARBON'!$D$7:$AW$7, 'GEN-CARBON'!$D$124:$AW$124), 0), IF($B7='Project List References'!$B$7, _xlfn.IFNA(_xlfn.XLOOKUP(O$2-$C7, 'SENS Coal'!$D$7:$AW$7, 'SENS Coal'!$D$141:$AW$141), 0), IF($B7='Project List References'!$B$8, _xlfn.IFNA(_xlfn.XLOOKUP(O$2-$C7,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1.1249282169086257</v>
      </c>
      <c r="P7" s="743">
        <f>IF($B7='Project List References'!$B$3, _xlfn.IFNA(_xlfn.XLOOKUP(P$2-$C7, 'GEN-CCGT'!$D$7:$AW$7, 'GEN-CCGT'!$D$124:$AW$124), 0), IF($B7='Project List References'!$B$4, _xlfn.IFNA(_xlfn.XLOOKUP(P$2-$C7, 'GEN-SOLAR'!$D$7:$AW$7, 'GEN-SOLAR'!$D$122:$AW$122), 0), IF($B7='Project List References'!$B$5, _xlfn.IFNA(_xlfn.XLOOKUP(P$2-$C7, 'GEN-BESS'!$D$7:$AW$7, 'GEN-BESS'!$D$125:$AW$125), 0), IF($B7='Project List References'!$B$6, _xlfn.IFNA(_xlfn.XLOOKUP(P$2-$C7, 'GEN-CARBON'!$D$7:$AW$7, 'GEN-CARBON'!$D$124:$AW$124), 0), IF($B7='Project List References'!$B$7, _xlfn.IFNA(_xlfn.XLOOKUP(P$2-$C7, 'SENS Coal'!$D$7:$AW$7, 'SENS Coal'!$D$141:$AW$141), 0), IF($B7='Project List References'!$B$8, _xlfn.IFNA(_xlfn.XLOOKUP(P$2-$C7,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1.1586760634158844</v>
      </c>
      <c r="Q7" s="743">
        <f>IF($B7='Project List References'!$B$3, _xlfn.IFNA(_xlfn.XLOOKUP(Q$2-$C7, 'GEN-CCGT'!$D$7:$AW$7, 'GEN-CCGT'!$D$124:$AW$124), 0), IF($B7='Project List References'!$B$4, _xlfn.IFNA(_xlfn.XLOOKUP(Q$2-$C7, 'GEN-SOLAR'!$D$7:$AW$7, 'GEN-SOLAR'!$D$122:$AW$122), 0), IF($B7='Project List References'!$B$5, _xlfn.IFNA(_xlfn.XLOOKUP(Q$2-$C7, 'GEN-BESS'!$D$7:$AW$7, 'GEN-BESS'!$D$125:$AW$125), 0), IF($B7='Project List References'!$B$6, _xlfn.IFNA(_xlfn.XLOOKUP(Q$2-$C7, 'GEN-CARBON'!$D$7:$AW$7, 'GEN-CARBON'!$D$124:$AW$124), 0), IF($B7='Project List References'!$B$7, _xlfn.IFNA(_xlfn.XLOOKUP(Q$2-$C7, 'SENS Coal'!$D$7:$AW$7, 'SENS Coal'!$D$141:$AW$141), 0), IF($B7='Project List References'!$B$8, _xlfn.IFNA(_xlfn.XLOOKUP(Q$2-$C7,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1.193436345318361</v>
      </c>
      <c r="R7" s="743">
        <f>IF($B7='Project List References'!$B$3, _xlfn.IFNA(_xlfn.XLOOKUP(R$2-$C7, 'GEN-CCGT'!$D$7:$AW$7, 'GEN-CCGT'!$D$124:$AW$124), 0), IF($B7='Project List References'!$B$4, _xlfn.IFNA(_xlfn.XLOOKUP(R$2-$C7, 'GEN-SOLAR'!$D$7:$AW$7, 'GEN-SOLAR'!$D$122:$AW$122), 0), IF($B7='Project List References'!$B$5, _xlfn.IFNA(_xlfn.XLOOKUP(R$2-$C7, 'GEN-BESS'!$D$7:$AW$7, 'GEN-BESS'!$D$125:$AW$125), 0), IF($B7='Project List References'!$B$6, _xlfn.IFNA(_xlfn.XLOOKUP(R$2-$C7, 'GEN-CARBON'!$D$7:$AW$7, 'GEN-CARBON'!$D$124:$AW$124), 0), IF($B7='Project List References'!$B$7, _xlfn.IFNA(_xlfn.XLOOKUP(R$2-$C7, 'SENS Coal'!$D$7:$AW$7, 'SENS Coal'!$D$141:$AW$141), 0), IF($B7='Project List References'!$B$8, _xlfn.IFNA(_xlfn.XLOOKUP(R$2-$C7,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1.2292394356779117</v>
      </c>
      <c r="S7" s="743">
        <f>IF($B7='Project List References'!$B$3, _xlfn.IFNA(_xlfn.XLOOKUP(S$2-$C7, 'GEN-CCGT'!$D$7:$AW$7, 'GEN-CCGT'!$D$124:$AW$124), 0), IF($B7='Project List References'!$B$4, _xlfn.IFNA(_xlfn.XLOOKUP(S$2-$C7, 'GEN-SOLAR'!$D$7:$AW$7, 'GEN-SOLAR'!$D$122:$AW$122), 0), IF($B7='Project List References'!$B$5, _xlfn.IFNA(_xlfn.XLOOKUP(S$2-$C7, 'GEN-BESS'!$D$7:$AW$7, 'GEN-BESS'!$D$125:$AW$125), 0), IF($B7='Project List References'!$B$6, _xlfn.IFNA(_xlfn.XLOOKUP(S$2-$C7, 'GEN-CARBON'!$D$7:$AW$7, 'GEN-CARBON'!$D$124:$AW$124), 0), IF($B7='Project List References'!$B$7, _xlfn.IFNA(_xlfn.XLOOKUP(S$2-$C7, 'SENS Coal'!$D$7:$AW$7, 'SENS Coal'!$D$141:$AW$141), 0), IF($B7='Project List References'!$B$8, _xlfn.IFNA(_xlfn.XLOOKUP(S$2-$C7,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1.2661166187482489</v>
      </c>
      <c r="T7" s="743">
        <f>IF($B7='Project List References'!$B$3, _xlfn.IFNA(_xlfn.XLOOKUP(T$2-$C7, 'GEN-CCGT'!$D$7:$AW$7, 'GEN-CCGT'!$D$124:$AW$124), 0), IF($B7='Project List References'!$B$4, _xlfn.IFNA(_xlfn.XLOOKUP(T$2-$C7, 'GEN-SOLAR'!$D$7:$AW$7, 'GEN-SOLAR'!$D$122:$AW$122), 0), IF($B7='Project List References'!$B$5, _xlfn.IFNA(_xlfn.XLOOKUP(T$2-$C7, 'GEN-BESS'!$D$7:$AW$7, 'GEN-BESS'!$D$125:$AW$125), 0), IF($B7='Project List References'!$B$6, _xlfn.IFNA(_xlfn.XLOOKUP(T$2-$C7, 'GEN-CARBON'!$D$7:$AW$7, 'GEN-CARBON'!$D$124:$AW$124), 0), IF($B7='Project List References'!$B$7, _xlfn.IFNA(_xlfn.XLOOKUP(T$2-$C7, 'SENS Coal'!$D$7:$AW$7, 'SENS Coal'!$D$141:$AW$141), 0), IF($B7='Project List References'!$B$8, _xlfn.IFNA(_xlfn.XLOOKUP(T$2-$C7, 'SENS Tires'!$D$7:$AW$7, 'SENS Tires'!$D$139:$AW$139),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1.3041001173106967</v>
      </c>
    </row>
    <row r="8" spans="1:111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_xlfn.XLOOKUP(A8, 'Project Master Sheet'!A:A, 'Project Master Sheet'!I:I)</f>
        <v>#N/A</v>
      </c>
      <c r="E8" s="743" t="e">
        <f>IF($B8='Project List References'!$B$3, _xlfn.IFNA(_xlfn.XLOOKUP(E$2-$C8, 'GEN-CCGT'!$D$7:$AW$7, 'GEN-CCGT'!$D$124:$AW$124), 0), IF($B8='Project List References'!$B$4, _xlfn.IFNA(_xlfn.XLOOKUP(E$2-$C8, 'GEN-SOLAR'!$D$7:$AW$7, 'GEN-SOLAR'!$D$122:$AW$122), 0), IF($B8='Project List References'!$B$5, _xlfn.IFNA(_xlfn.XLOOKUP(E$2-$C8, 'GEN-BESS'!$D$7:$AW$7, 'GEN-BESS'!$D$125:$AW$125), 0), IF($B8='Project List References'!$B$6, _xlfn.IFNA(_xlfn.XLOOKUP(E$2-$C8, 'GEN-CARBON'!$D$7:$AW$7, 'GEN-CARBON'!$D$124:$AW$124), 0), IF($B8='Project List References'!$B$7, _xlfn.IFNA(_xlfn.XLOOKUP(E$2-$C8, 'SENS Coal'!$D$7:$AW$7, 'SENS Coal'!$D$141:$AW$141), 0), IF($B8='Project List References'!$B$8, _xlfn.IFNA(_xlfn.XLOOKUP(E$2-$C8,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F8" s="743" t="e">
        <f>IF($B8='Project List References'!$B$3, _xlfn.IFNA(_xlfn.XLOOKUP(F$2-$C8, 'GEN-CCGT'!$D$7:$AW$7, 'GEN-CCGT'!$D$124:$AW$124), 0), IF($B8='Project List References'!$B$4, _xlfn.IFNA(_xlfn.XLOOKUP(F$2-$C8, 'GEN-SOLAR'!$D$7:$AW$7, 'GEN-SOLAR'!$D$122:$AW$122), 0), IF($B8='Project List References'!$B$5, _xlfn.IFNA(_xlfn.XLOOKUP(F$2-$C8, 'GEN-BESS'!$D$7:$AW$7, 'GEN-BESS'!$D$125:$AW$125), 0), IF($B8='Project List References'!$B$6, _xlfn.IFNA(_xlfn.XLOOKUP(F$2-$C8, 'GEN-CARBON'!$D$7:$AW$7, 'GEN-CARBON'!$D$124:$AW$124), 0), IF($B8='Project List References'!$B$7, _xlfn.IFNA(_xlfn.XLOOKUP(F$2-$C8, 'SENS Coal'!$D$7:$AW$7, 'SENS Coal'!$D$141:$AW$141), 0), IF($B8='Project List References'!$B$8, _xlfn.IFNA(_xlfn.XLOOKUP(F$2-$C8,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G8" s="743" t="e">
        <f>IF($B8='Project List References'!$B$3, _xlfn.IFNA(_xlfn.XLOOKUP(G$2-$C8, 'GEN-CCGT'!$D$7:$AW$7, 'GEN-CCGT'!$D$124:$AW$124), 0), IF($B8='Project List References'!$B$4, _xlfn.IFNA(_xlfn.XLOOKUP(G$2-$C8, 'GEN-SOLAR'!$D$7:$AW$7, 'GEN-SOLAR'!$D$122:$AW$122), 0), IF($B8='Project List References'!$B$5, _xlfn.IFNA(_xlfn.XLOOKUP(G$2-$C8, 'GEN-BESS'!$D$7:$AW$7, 'GEN-BESS'!$D$125:$AW$125), 0), IF($B8='Project List References'!$B$6, _xlfn.IFNA(_xlfn.XLOOKUP(G$2-$C8, 'GEN-CARBON'!$D$7:$AW$7, 'GEN-CARBON'!$D$124:$AW$124), 0), IF($B8='Project List References'!$B$7, _xlfn.IFNA(_xlfn.XLOOKUP(G$2-$C8, 'SENS Coal'!$D$7:$AW$7, 'SENS Coal'!$D$141:$AW$141), 0), IF($B8='Project List References'!$B$8, _xlfn.IFNA(_xlfn.XLOOKUP(G$2-$C8,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H8" s="743" t="e">
        <f>IF($B8='Project List References'!$B$3, _xlfn.IFNA(_xlfn.XLOOKUP(H$2-$C8, 'GEN-CCGT'!$D$7:$AW$7, 'GEN-CCGT'!$D$124:$AW$124), 0), IF($B8='Project List References'!$B$4, _xlfn.IFNA(_xlfn.XLOOKUP(H$2-$C8, 'GEN-SOLAR'!$D$7:$AW$7, 'GEN-SOLAR'!$D$122:$AW$122), 0), IF($B8='Project List References'!$B$5, _xlfn.IFNA(_xlfn.XLOOKUP(H$2-$C8, 'GEN-BESS'!$D$7:$AW$7, 'GEN-BESS'!$D$125:$AW$125), 0), IF($B8='Project List References'!$B$6, _xlfn.IFNA(_xlfn.XLOOKUP(H$2-$C8, 'GEN-CARBON'!$D$7:$AW$7, 'GEN-CARBON'!$D$124:$AW$124), 0), IF($B8='Project List References'!$B$7, _xlfn.IFNA(_xlfn.XLOOKUP(H$2-$C8, 'SENS Coal'!$D$7:$AW$7, 'SENS Coal'!$D$141:$AW$141), 0), IF($B8='Project List References'!$B$8, _xlfn.IFNA(_xlfn.XLOOKUP(H$2-$C8,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I8" s="743" t="e">
        <f>IF($B8='Project List References'!$B$3, _xlfn.IFNA(_xlfn.XLOOKUP(I$2-$C8, 'GEN-CCGT'!$D$7:$AW$7, 'GEN-CCGT'!$D$124:$AW$124), 0), IF($B8='Project List References'!$B$4, _xlfn.IFNA(_xlfn.XLOOKUP(I$2-$C8, 'GEN-SOLAR'!$D$7:$AW$7, 'GEN-SOLAR'!$D$122:$AW$122), 0), IF($B8='Project List References'!$B$5, _xlfn.IFNA(_xlfn.XLOOKUP(I$2-$C8, 'GEN-BESS'!$D$7:$AW$7, 'GEN-BESS'!$D$125:$AW$125), 0), IF($B8='Project List References'!$B$6, _xlfn.IFNA(_xlfn.XLOOKUP(I$2-$C8, 'GEN-CARBON'!$D$7:$AW$7, 'GEN-CARBON'!$D$124:$AW$124), 0), IF($B8='Project List References'!$B$7, _xlfn.IFNA(_xlfn.XLOOKUP(I$2-$C8, 'SENS Coal'!$D$7:$AW$7, 'SENS Coal'!$D$141:$AW$141), 0), IF($B8='Project List References'!$B$8, _xlfn.IFNA(_xlfn.XLOOKUP(I$2-$C8,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J8" s="743" t="e">
        <f>IF($B8='Project List References'!$B$3, _xlfn.IFNA(_xlfn.XLOOKUP(J$2-$C8, 'GEN-CCGT'!$D$7:$AW$7, 'GEN-CCGT'!$D$124:$AW$124), 0), IF($B8='Project List References'!$B$4, _xlfn.IFNA(_xlfn.XLOOKUP(J$2-$C8, 'GEN-SOLAR'!$D$7:$AW$7, 'GEN-SOLAR'!$D$122:$AW$122), 0), IF($B8='Project List References'!$B$5, _xlfn.IFNA(_xlfn.XLOOKUP(J$2-$C8, 'GEN-BESS'!$D$7:$AW$7, 'GEN-BESS'!$D$125:$AW$125), 0), IF($B8='Project List References'!$B$6, _xlfn.IFNA(_xlfn.XLOOKUP(J$2-$C8, 'GEN-CARBON'!$D$7:$AW$7, 'GEN-CARBON'!$D$124:$AW$124), 0), IF($B8='Project List References'!$B$7, _xlfn.IFNA(_xlfn.XLOOKUP(J$2-$C8, 'SENS Coal'!$D$7:$AW$7, 'SENS Coal'!$D$141:$AW$141), 0), IF($B8='Project List References'!$B$8, _xlfn.IFNA(_xlfn.XLOOKUP(J$2-$C8,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K8" s="743" t="e">
        <f>IF($B8='Project List References'!$B$3, _xlfn.IFNA(_xlfn.XLOOKUP(K$2-$C8, 'GEN-CCGT'!$D$7:$AW$7, 'GEN-CCGT'!$D$124:$AW$124), 0), IF($B8='Project List References'!$B$4, _xlfn.IFNA(_xlfn.XLOOKUP(K$2-$C8, 'GEN-SOLAR'!$D$7:$AW$7, 'GEN-SOLAR'!$D$122:$AW$122), 0), IF($B8='Project List References'!$B$5, _xlfn.IFNA(_xlfn.XLOOKUP(K$2-$C8, 'GEN-BESS'!$D$7:$AW$7, 'GEN-BESS'!$D$125:$AW$125), 0), IF($B8='Project List References'!$B$6, _xlfn.IFNA(_xlfn.XLOOKUP(K$2-$C8, 'GEN-CARBON'!$D$7:$AW$7, 'GEN-CARBON'!$D$124:$AW$124), 0), IF($B8='Project List References'!$B$7, _xlfn.IFNA(_xlfn.XLOOKUP(K$2-$C8, 'SENS Coal'!$D$7:$AW$7, 'SENS Coal'!$D$141:$AW$141), 0), IF($B8='Project List References'!$B$8, _xlfn.IFNA(_xlfn.XLOOKUP(K$2-$C8,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L8" s="743" t="e">
        <f>IF($B8='Project List References'!$B$3, _xlfn.IFNA(_xlfn.XLOOKUP(L$2-$C8, 'GEN-CCGT'!$D$7:$AW$7, 'GEN-CCGT'!$D$124:$AW$124), 0), IF($B8='Project List References'!$B$4, _xlfn.IFNA(_xlfn.XLOOKUP(L$2-$C8, 'GEN-SOLAR'!$D$7:$AW$7, 'GEN-SOLAR'!$D$122:$AW$122), 0), IF($B8='Project List References'!$B$5, _xlfn.IFNA(_xlfn.XLOOKUP(L$2-$C8, 'GEN-BESS'!$D$7:$AW$7, 'GEN-BESS'!$D$125:$AW$125), 0), IF($B8='Project List References'!$B$6, _xlfn.IFNA(_xlfn.XLOOKUP(L$2-$C8, 'GEN-CARBON'!$D$7:$AW$7, 'GEN-CARBON'!$D$124:$AW$124), 0), IF($B8='Project List References'!$B$7, _xlfn.IFNA(_xlfn.XLOOKUP(L$2-$C8, 'SENS Coal'!$D$7:$AW$7, 'SENS Coal'!$D$141:$AW$141), 0), IF($B8='Project List References'!$B$8, _xlfn.IFNA(_xlfn.XLOOKUP(L$2-$C8,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M8" s="743" t="e">
        <f>IF($B8='Project List References'!$B$3, _xlfn.IFNA(_xlfn.XLOOKUP(M$2-$C8, 'GEN-CCGT'!$D$7:$AW$7, 'GEN-CCGT'!$D$124:$AW$124), 0), IF($B8='Project List References'!$B$4, _xlfn.IFNA(_xlfn.XLOOKUP(M$2-$C8, 'GEN-SOLAR'!$D$7:$AW$7, 'GEN-SOLAR'!$D$122:$AW$122), 0), IF($B8='Project List References'!$B$5, _xlfn.IFNA(_xlfn.XLOOKUP(M$2-$C8, 'GEN-BESS'!$D$7:$AW$7, 'GEN-BESS'!$D$125:$AW$125), 0), IF($B8='Project List References'!$B$6, _xlfn.IFNA(_xlfn.XLOOKUP(M$2-$C8, 'GEN-CARBON'!$D$7:$AW$7, 'GEN-CARBON'!$D$124:$AW$124), 0), IF($B8='Project List References'!$B$7, _xlfn.IFNA(_xlfn.XLOOKUP(M$2-$C8, 'SENS Coal'!$D$7:$AW$7, 'SENS Coal'!$D$141:$AW$141), 0), IF($B8='Project List References'!$B$8, _xlfn.IFNA(_xlfn.XLOOKUP(M$2-$C8,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N8" s="743" t="e">
        <f>IF($B8='Project List References'!$B$3, _xlfn.IFNA(_xlfn.XLOOKUP(N$2-$C8, 'GEN-CCGT'!$D$7:$AW$7, 'GEN-CCGT'!$D$124:$AW$124), 0), IF($B8='Project List References'!$B$4, _xlfn.IFNA(_xlfn.XLOOKUP(N$2-$C8, 'GEN-SOLAR'!$D$7:$AW$7, 'GEN-SOLAR'!$D$122:$AW$122), 0), IF($B8='Project List References'!$B$5, _xlfn.IFNA(_xlfn.XLOOKUP(N$2-$C8, 'GEN-BESS'!$D$7:$AW$7, 'GEN-BESS'!$D$125:$AW$125), 0), IF($B8='Project List References'!$B$6, _xlfn.IFNA(_xlfn.XLOOKUP(N$2-$C8, 'GEN-CARBON'!$D$7:$AW$7, 'GEN-CARBON'!$D$124:$AW$124), 0), IF($B8='Project List References'!$B$7, _xlfn.IFNA(_xlfn.XLOOKUP(N$2-$C8, 'SENS Coal'!$D$7:$AW$7, 'SENS Coal'!$D$141:$AW$141), 0), IF($B8='Project List References'!$B$8, _xlfn.IFNA(_xlfn.XLOOKUP(N$2-$C8,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O8" s="743" t="e">
        <f>IF($B8='Project List References'!$B$3, _xlfn.IFNA(_xlfn.XLOOKUP(O$2-$C8, 'GEN-CCGT'!$D$7:$AW$7, 'GEN-CCGT'!$D$124:$AW$124), 0), IF($B8='Project List References'!$B$4, _xlfn.IFNA(_xlfn.XLOOKUP(O$2-$C8, 'GEN-SOLAR'!$D$7:$AW$7, 'GEN-SOLAR'!$D$122:$AW$122), 0), IF($B8='Project List References'!$B$5, _xlfn.IFNA(_xlfn.XLOOKUP(O$2-$C8, 'GEN-BESS'!$D$7:$AW$7, 'GEN-BESS'!$D$125:$AW$125), 0), IF($B8='Project List References'!$B$6, _xlfn.IFNA(_xlfn.XLOOKUP(O$2-$C8, 'GEN-CARBON'!$D$7:$AW$7, 'GEN-CARBON'!$D$124:$AW$124), 0), IF($B8='Project List References'!$B$7, _xlfn.IFNA(_xlfn.XLOOKUP(O$2-$C8, 'SENS Coal'!$D$7:$AW$7, 'SENS Coal'!$D$141:$AW$141), 0), IF($B8='Project List References'!$B$8, _xlfn.IFNA(_xlfn.XLOOKUP(O$2-$C8,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P8" s="743" t="e">
        <f>IF($B8='Project List References'!$B$3, _xlfn.IFNA(_xlfn.XLOOKUP(P$2-$C8, 'GEN-CCGT'!$D$7:$AW$7, 'GEN-CCGT'!$D$124:$AW$124), 0), IF($B8='Project List References'!$B$4, _xlfn.IFNA(_xlfn.XLOOKUP(P$2-$C8, 'GEN-SOLAR'!$D$7:$AW$7, 'GEN-SOLAR'!$D$122:$AW$122), 0), IF($B8='Project List References'!$B$5, _xlfn.IFNA(_xlfn.XLOOKUP(P$2-$C8, 'GEN-BESS'!$D$7:$AW$7, 'GEN-BESS'!$D$125:$AW$125), 0), IF($B8='Project List References'!$B$6, _xlfn.IFNA(_xlfn.XLOOKUP(P$2-$C8, 'GEN-CARBON'!$D$7:$AW$7, 'GEN-CARBON'!$D$124:$AW$124), 0), IF($B8='Project List References'!$B$7, _xlfn.IFNA(_xlfn.XLOOKUP(P$2-$C8, 'SENS Coal'!$D$7:$AW$7, 'SENS Coal'!$D$141:$AW$141), 0), IF($B8='Project List References'!$B$8, _xlfn.IFNA(_xlfn.XLOOKUP(P$2-$C8,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Q8" s="743" t="e">
        <f>IF($B8='Project List References'!$B$3, _xlfn.IFNA(_xlfn.XLOOKUP(Q$2-$C8, 'GEN-CCGT'!$D$7:$AW$7, 'GEN-CCGT'!$D$124:$AW$124), 0), IF($B8='Project List References'!$B$4, _xlfn.IFNA(_xlfn.XLOOKUP(Q$2-$C8, 'GEN-SOLAR'!$D$7:$AW$7, 'GEN-SOLAR'!$D$122:$AW$122), 0), IF($B8='Project List References'!$B$5, _xlfn.IFNA(_xlfn.XLOOKUP(Q$2-$C8, 'GEN-BESS'!$D$7:$AW$7, 'GEN-BESS'!$D$125:$AW$125), 0), IF($B8='Project List References'!$B$6, _xlfn.IFNA(_xlfn.XLOOKUP(Q$2-$C8, 'GEN-CARBON'!$D$7:$AW$7, 'GEN-CARBON'!$D$124:$AW$124), 0), IF($B8='Project List References'!$B$7, _xlfn.IFNA(_xlfn.XLOOKUP(Q$2-$C8, 'SENS Coal'!$D$7:$AW$7, 'SENS Coal'!$D$141:$AW$141), 0), IF($B8='Project List References'!$B$8, _xlfn.IFNA(_xlfn.XLOOKUP(Q$2-$C8,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R8" s="743" t="e">
        <f>IF($B8='Project List References'!$B$3, _xlfn.IFNA(_xlfn.XLOOKUP(R$2-$C8, 'GEN-CCGT'!$D$7:$AW$7, 'GEN-CCGT'!$D$124:$AW$124), 0), IF($B8='Project List References'!$B$4, _xlfn.IFNA(_xlfn.XLOOKUP(R$2-$C8, 'GEN-SOLAR'!$D$7:$AW$7, 'GEN-SOLAR'!$D$122:$AW$122), 0), IF($B8='Project List References'!$B$5, _xlfn.IFNA(_xlfn.XLOOKUP(R$2-$C8, 'GEN-BESS'!$D$7:$AW$7, 'GEN-BESS'!$D$125:$AW$125), 0), IF($B8='Project List References'!$B$6, _xlfn.IFNA(_xlfn.XLOOKUP(R$2-$C8, 'GEN-CARBON'!$D$7:$AW$7, 'GEN-CARBON'!$D$124:$AW$124), 0), IF($B8='Project List References'!$B$7, _xlfn.IFNA(_xlfn.XLOOKUP(R$2-$C8, 'SENS Coal'!$D$7:$AW$7, 'SENS Coal'!$D$141:$AW$141), 0), IF($B8='Project List References'!$B$8, _xlfn.IFNA(_xlfn.XLOOKUP(R$2-$C8,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S8" s="743" t="e">
        <f>IF($B8='Project List References'!$B$3, _xlfn.IFNA(_xlfn.XLOOKUP(S$2-$C8, 'GEN-CCGT'!$D$7:$AW$7, 'GEN-CCGT'!$D$124:$AW$124), 0), IF($B8='Project List References'!$B$4, _xlfn.IFNA(_xlfn.XLOOKUP(S$2-$C8, 'GEN-SOLAR'!$D$7:$AW$7, 'GEN-SOLAR'!$D$122:$AW$122), 0), IF($B8='Project List References'!$B$5, _xlfn.IFNA(_xlfn.XLOOKUP(S$2-$C8, 'GEN-BESS'!$D$7:$AW$7, 'GEN-BESS'!$D$125:$AW$125), 0), IF($B8='Project List References'!$B$6, _xlfn.IFNA(_xlfn.XLOOKUP(S$2-$C8, 'GEN-CARBON'!$D$7:$AW$7, 'GEN-CARBON'!$D$124:$AW$124), 0), IF($B8='Project List References'!$B$7, _xlfn.IFNA(_xlfn.XLOOKUP(S$2-$C8, 'SENS Coal'!$D$7:$AW$7, 'SENS Coal'!$D$141:$AW$141), 0), IF($B8='Project List References'!$B$8, _xlfn.IFNA(_xlfn.XLOOKUP(S$2-$C8,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T8" s="743" t="e">
        <f>IF($B8='Project List References'!$B$3, _xlfn.IFNA(_xlfn.XLOOKUP(T$2-$C8, 'GEN-CCGT'!$D$7:$AW$7, 'GEN-CCGT'!$D$124:$AW$124), 0), IF($B8='Project List References'!$B$4, _xlfn.IFNA(_xlfn.XLOOKUP(T$2-$C8, 'GEN-SOLAR'!$D$7:$AW$7, 'GEN-SOLAR'!$D$122:$AW$122), 0), IF($B8='Project List References'!$B$5, _xlfn.IFNA(_xlfn.XLOOKUP(T$2-$C8, 'GEN-BESS'!$D$7:$AW$7, 'GEN-BESS'!$D$125:$AW$125), 0), IF($B8='Project List References'!$B$6, _xlfn.IFNA(_xlfn.XLOOKUP(T$2-$C8, 'GEN-CARBON'!$D$7:$AW$7, 'GEN-CARBON'!$D$124:$AW$124), 0), IF($B8='Project List References'!$B$7, _xlfn.IFNA(_xlfn.XLOOKUP(T$2-$C8, 'SENS Coal'!$D$7:$AW$7, 'SENS Coal'!$D$141:$AW$141), 0), IF($B8='Project List References'!$B$8, _xlfn.IFNA(_xlfn.XLOOKUP(T$2-$C8, 'SENS Tires'!$D$7:$AW$7, 'SENS Tires'!$D$139:$AW$139),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</row>
    <row r="9" spans="1:111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_xlfn.XLOOKUP(A9, 'Project Master Sheet'!A:A, 'Project Master Sheet'!I:I)</f>
        <v>1</v>
      </c>
      <c r="E9" s="743">
        <f>IF($B9='Project List References'!$B$3, _xlfn.IFNA(_xlfn.XLOOKUP(E$2-$C9, 'GEN-CCGT'!$D$7:$AW$7, 'GEN-CCGT'!$D$124:$AW$124), 0), IF($B9='Project List References'!$B$4, _xlfn.IFNA(_xlfn.XLOOKUP(E$2-$C9, 'GEN-SOLAR'!$D$7:$AW$7, 'GEN-SOLAR'!$D$122:$AW$122), 0), IF($B9='Project List References'!$B$5, _xlfn.IFNA(_xlfn.XLOOKUP(E$2-$C9, 'GEN-BESS'!$D$7:$AW$7, 'GEN-BESS'!$D$125:$AW$125), 0), IF($B9='Project List References'!$B$6, _xlfn.IFNA(_xlfn.XLOOKUP(E$2-$C9, 'GEN-CARBON'!$D$7:$AW$7, 'GEN-CARBON'!$D$124:$AW$124), 0), IF($B9='Project List References'!$B$7, _xlfn.IFNA(_xlfn.XLOOKUP(E$2-$C9, 'SENS Coal'!$D$7:$AW$7, 'SENS Coal'!$D$141:$AW$141), 0), IF($B9='Project List References'!$B$8, _xlfn.IFNA(_xlfn.XLOOKUP(E$2-$C9,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F9" s="743">
        <f>IF($B9='Project List References'!$B$3, _xlfn.IFNA(_xlfn.XLOOKUP(F$2-$C9, 'GEN-CCGT'!$D$7:$AW$7, 'GEN-CCGT'!$D$124:$AW$124), 0), IF($B9='Project List References'!$B$4, _xlfn.IFNA(_xlfn.XLOOKUP(F$2-$C9, 'GEN-SOLAR'!$D$7:$AW$7, 'GEN-SOLAR'!$D$122:$AW$122), 0), IF($B9='Project List References'!$B$5, _xlfn.IFNA(_xlfn.XLOOKUP(F$2-$C9, 'GEN-BESS'!$D$7:$AW$7, 'GEN-BESS'!$D$125:$AW$125), 0), IF($B9='Project List References'!$B$6, _xlfn.IFNA(_xlfn.XLOOKUP(F$2-$C9, 'GEN-CARBON'!$D$7:$AW$7, 'GEN-CARBON'!$D$124:$AW$124), 0), IF($B9='Project List References'!$B$7, _xlfn.IFNA(_xlfn.XLOOKUP(F$2-$C9, 'SENS Coal'!$D$7:$AW$7, 'SENS Coal'!$D$141:$AW$141), 0), IF($B9='Project List References'!$B$8, _xlfn.IFNA(_xlfn.XLOOKUP(F$2-$C9,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G9" s="743">
        <f>IF($B9='Project List References'!$B$3, _xlfn.IFNA(_xlfn.XLOOKUP(G$2-$C9, 'GEN-CCGT'!$D$7:$AW$7, 'GEN-CCGT'!$D$124:$AW$124), 0), IF($B9='Project List References'!$B$4, _xlfn.IFNA(_xlfn.XLOOKUP(G$2-$C9, 'GEN-SOLAR'!$D$7:$AW$7, 'GEN-SOLAR'!$D$122:$AW$122), 0), IF($B9='Project List References'!$B$5, _xlfn.IFNA(_xlfn.XLOOKUP(G$2-$C9, 'GEN-BESS'!$D$7:$AW$7, 'GEN-BESS'!$D$125:$AW$125), 0), IF($B9='Project List References'!$B$6, _xlfn.IFNA(_xlfn.XLOOKUP(G$2-$C9, 'GEN-CARBON'!$D$7:$AW$7, 'GEN-CARBON'!$D$124:$AW$124), 0), IF($B9='Project List References'!$B$7, _xlfn.IFNA(_xlfn.XLOOKUP(G$2-$C9, 'SENS Coal'!$D$7:$AW$7, 'SENS Coal'!$D$141:$AW$141), 0), IF($B9='Project List References'!$B$8, _xlfn.IFNA(_xlfn.XLOOKUP(G$2-$C9,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H9" s="743">
        <f>IF($B9='Project List References'!$B$3, _xlfn.IFNA(_xlfn.XLOOKUP(H$2-$C9, 'GEN-CCGT'!$D$7:$AW$7, 'GEN-CCGT'!$D$124:$AW$124), 0), IF($B9='Project List References'!$B$4, _xlfn.IFNA(_xlfn.XLOOKUP(H$2-$C9, 'GEN-SOLAR'!$D$7:$AW$7, 'GEN-SOLAR'!$D$122:$AW$122), 0), IF($B9='Project List References'!$B$5, _xlfn.IFNA(_xlfn.XLOOKUP(H$2-$C9, 'GEN-BESS'!$D$7:$AW$7, 'GEN-BESS'!$D$125:$AW$125), 0), IF($B9='Project List References'!$B$6, _xlfn.IFNA(_xlfn.XLOOKUP(H$2-$C9, 'GEN-CARBON'!$D$7:$AW$7, 'GEN-CARBON'!$D$124:$AW$124), 0), IF($B9='Project List References'!$B$7, _xlfn.IFNA(_xlfn.XLOOKUP(H$2-$C9, 'SENS Coal'!$D$7:$AW$7, 'SENS Coal'!$D$141:$AW$141), 0), IF($B9='Project List References'!$B$8, _xlfn.IFNA(_xlfn.XLOOKUP(H$2-$C9,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I9" s="743">
        <f>IF($B9='Project List References'!$B$3, _xlfn.IFNA(_xlfn.XLOOKUP(I$2-$C9, 'GEN-CCGT'!$D$7:$AW$7, 'GEN-CCGT'!$D$124:$AW$124), 0), IF($B9='Project List References'!$B$4, _xlfn.IFNA(_xlfn.XLOOKUP(I$2-$C9, 'GEN-SOLAR'!$D$7:$AW$7, 'GEN-SOLAR'!$D$122:$AW$122), 0), IF($B9='Project List References'!$B$5, _xlfn.IFNA(_xlfn.XLOOKUP(I$2-$C9, 'GEN-BESS'!$D$7:$AW$7, 'GEN-BESS'!$D$125:$AW$125), 0), IF($B9='Project List References'!$B$6, _xlfn.IFNA(_xlfn.XLOOKUP(I$2-$C9, 'GEN-CARBON'!$D$7:$AW$7, 'GEN-CARBON'!$D$124:$AW$124), 0), IF($B9='Project List References'!$B$7, _xlfn.IFNA(_xlfn.XLOOKUP(I$2-$C9, 'SENS Coal'!$D$7:$AW$7, 'SENS Coal'!$D$141:$AW$141), 0), IF($B9='Project List References'!$B$8, _xlfn.IFNA(_xlfn.XLOOKUP(I$2-$C9,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14.7909816</v>
      </c>
      <c r="J9" s="743">
        <f>IF($B9='Project List References'!$B$3, _xlfn.IFNA(_xlfn.XLOOKUP(J$2-$C9, 'GEN-CCGT'!$D$7:$AW$7, 'GEN-CCGT'!$D$124:$AW$124), 0), IF($B9='Project List References'!$B$4, _xlfn.IFNA(_xlfn.XLOOKUP(J$2-$C9, 'GEN-SOLAR'!$D$7:$AW$7, 'GEN-SOLAR'!$D$122:$AW$122), 0), IF($B9='Project List References'!$B$5, _xlfn.IFNA(_xlfn.XLOOKUP(J$2-$C9, 'GEN-BESS'!$D$7:$AW$7, 'GEN-BESS'!$D$125:$AW$125), 0), IF($B9='Project List References'!$B$6, _xlfn.IFNA(_xlfn.XLOOKUP(J$2-$C9, 'GEN-CARBON'!$D$7:$AW$7, 'GEN-CARBON'!$D$124:$AW$124), 0), IF($B9='Project List References'!$B$7, _xlfn.IFNA(_xlfn.XLOOKUP(J$2-$C9, 'SENS Coal'!$D$7:$AW$7, 'SENS Coal'!$D$141:$AW$141), 0), IF($B9='Project List References'!$B$8, _xlfn.IFNA(_xlfn.XLOOKUP(J$2-$C9,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22.237659899999997</v>
      </c>
      <c r="K9" s="743">
        <f>IF($B9='Project List References'!$B$3, _xlfn.IFNA(_xlfn.XLOOKUP(K$2-$C9, 'GEN-CCGT'!$D$7:$AW$7, 'GEN-CCGT'!$D$124:$AW$124), 0), IF($B9='Project List References'!$B$4, _xlfn.IFNA(_xlfn.XLOOKUP(K$2-$C9, 'GEN-SOLAR'!$D$7:$AW$7, 'GEN-SOLAR'!$D$122:$AW$122), 0), IF($B9='Project List References'!$B$5, _xlfn.IFNA(_xlfn.XLOOKUP(K$2-$C9, 'GEN-BESS'!$D$7:$AW$7, 'GEN-BESS'!$D$125:$AW$125), 0), IF($B9='Project List References'!$B$6, _xlfn.IFNA(_xlfn.XLOOKUP(K$2-$C9, 'GEN-CARBON'!$D$7:$AW$7, 'GEN-CARBON'!$D$124:$AW$124), 0), IF($B9='Project List References'!$B$7, _xlfn.IFNA(_xlfn.XLOOKUP(K$2-$C9, 'SENS Coal'!$D$7:$AW$7, 'SENS Coal'!$D$141:$AW$141), 0), IF($B9='Project List References'!$B$8, _xlfn.IFNA(_xlfn.XLOOKUP(K$2-$C9,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22.239182468999996</v>
      </c>
      <c r="L9" s="743">
        <f>IF($B9='Project List References'!$B$3, _xlfn.IFNA(_xlfn.XLOOKUP(L$2-$C9, 'GEN-CCGT'!$D$7:$AW$7, 'GEN-CCGT'!$D$124:$AW$124), 0), IF($B9='Project List References'!$B$4, _xlfn.IFNA(_xlfn.XLOOKUP(L$2-$C9, 'GEN-SOLAR'!$D$7:$AW$7, 'GEN-SOLAR'!$D$122:$AW$122), 0), IF($B9='Project List References'!$B$5, _xlfn.IFNA(_xlfn.XLOOKUP(L$2-$C9, 'GEN-BESS'!$D$7:$AW$7, 'GEN-BESS'!$D$125:$AW$125), 0), IF($B9='Project List References'!$B$6, _xlfn.IFNA(_xlfn.XLOOKUP(L$2-$C9, 'GEN-CARBON'!$D$7:$AW$7, 'GEN-CARBON'!$D$124:$AW$124), 0), IF($B9='Project List References'!$B$7, _xlfn.IFNA(_xlfn.XLOOKUP(L$2-$C9, 'SENS Coal'!$D$7:$AW$7, 'SENS Coal'!$D$141:$AW$141), 0), IF($B9='Project List References'!$B$8, _xlfn.IFNA(_xlfn.XLOOKUP(L$2-$C9,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22.242414733140002</v>
      </c>
      <c r="M9" s="743">
        <f>IF($B9='Project List References'!$B$3, _xlfn.IFNA(_xlfn.XLOOKUP(M$2-$C9, 'GEN-CCGT'!$D$7:$AW$7, 'GEN-CCGT'!$D$124:$AW$124), 0), IF($B9='Project List References'!$B$4, _xlfn.IFNA(_xlfn.XLOOKUP(M$2-$C9, 'GEN-SOLAR'!$D$7:$AW$7, 'GEN-SOLAR'!$D$122:$AW$122), 0), IF($B9='Project List References'!$B$5, _xlfn.IFNA(_xlfn.XLOOKUP(M$2-$C9, 'GEN-BESS'!$D$7:$AW$7, 'GEN-BESS'!$D$125:$AW$125), 0), IF($B9='Project List References'!$B$6, _xlfn.IFNA(_xlfn.XLOOKUP(M$2-$C9, 'GEN-CARBON'!$D$7:$AW$7, 'GEN-CARBON'!$D$124:$AW$124), 0), IF($B9='Project List References'!$B$7, _xlfn.IFNA(_xlfn.XLOOKUP(M$2-$C9, 'SENS Coal'!$D$7:$AW$7, 'SENS Coal'!$D$141:$AW$141), 0), IF($B9='Project List References'!$B$8, _xlfn.IFNA(_xlfn.XLOOKUP(M$2-$C9,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22.247403823229028</v>
      </c>
      <c r="N9" s="743">
        <f>IF($B9='Project List References'!$B$3, _xlfn.IFNA(_xlfn.XLOOKUP(N$2-$C9, 'GEN-CCGT'!$D$7:$AW$7, 'GEN-CCGT'!$D$124:$AW$124), 0), IF($B9='Project List References'!$B$4, _xlfn.IFNA(_xlfn.XLOOKUP(N$2-$C9, 'GEN-SOLAR'!$D$7:$AW$7, 'GEN-SOLAR'!$D$122:$AW$122), 0), IF($B9='Project List References'!$B$5, _xlfn.IFNA(_xlfn.XLOOKUP(N$2-$C9, 'GEN-BESS'!$D$7:$AW$7, 'GEN-BESS'!$D$125:$AW$125), 0), IF($B9='Project List References'!$B$6, _xlfn.IFNA(_xlfn.XLOOKUP(N$2-$C9, 'GEN-CARBON'!$D$7:$AW$7, 'GEN-CARBON'!$D$124:$AW$124), 0), IF($B9='Project List References'!$B$7, _xlfn.IFNA(_xlfn.XLOOKUP(N$2-$C9, 'SENS Coal'!$D$7:$AW$7, 'SENS Coal'!$D$141:$AW$141), 0), IF($B9='Project List References'!$B$8, _xlfn.IFNA(_xlfn.XLOOKUP(N$2-$C9,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22.254198294400492</v>
      </c>
      <c r="O9" s="743">
        <f>IF($B9='Project List References'!$B$3, _xlfn.IFNA(_xlfn.XLOOKUP(O$2-$C9, 'GEN-CCGT'!$D$7:$AW$7, 'GEN-CCGT'!$D$124:$AW$124), 0), IF($B9='Project List References'!$B$4, _xlfn.IFNA(_xlfn.XLOOKUP(O$2-$C9, 'GEN-SOLAR'!$D$7:$AW$7, 'GEN-SOLAR'!$D$122:$AW$122), 0), IF($B9='Project List References'!$B$5, _xlfn.IFNA(_xlfn.XLOOKUP(O$2-$C9, 'GEN-BESS'!$D$7:$AW$7, 'GEN-BESS'!$D$125:$AW$125), 0), IF($B9='Project List References'!$B$6, _xlfn.IFNA(_xlfn.XLOOKUP(O$2-$C9, 'GEN-CARBON'!$D$7:$AW$7, 'GEN-CARBON'!$D$124:$AW$124), 0), IF($B9='Project List References'!$B$7, _xlfn.IFNA(_xlfn.XLOOKUP(O$2-$C9, 'SENS Coal'!$D$7:$AW$7, 'SENS Coal'!$D$141:$AW$141), 0), IF($B9='Project List References'!$B$8, _xlfn.IFNA(_xlfn.XLOOKUP(O$2-$C9,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22.262848168815907</v>
      </c>
      <c r="P9" s="743">
        <f>IF($B9='Project List References'!$B$3, _xlfn.IFNA(_xlfn.XLOOKUP(P$2-$C9, 'GEN-CCGT'!$D$7:$AW$7, 'GEN-CCGT'!$D$124:$AW$124), 0), IF($B9='Project List References'!$B$4, _xlfn.IFNA(_xlfn.XLOOKUP(P$2-$C9, 'GEN-SOLAR'!$D$7:$AW$7, 'GEN-SOLAR'!$D$122:$AW$122), 0), IF($B9='Project List References'!$B$5, _xlfn.IFNA(_xlfn.XLOOKUP(P$2-$C9, 'GEN-BESS'!$D$7:$AW$7, 'GEN-BESS'!$D$125:$AW$125), 0), IF($B9='Project List References'!$B$6, _xlfn.IFNA(_xlfn.XLOOKUP(P$2-$C9, 'GEN-CARBON'!$D$7:$AW$7, 'GEN-CARBON'!$D$124:$AW$124), 0), IF($B9='Project List References'!$B$7, _xlfn.IFNA(_xlfn.XLOOKUP(P$2-$C9, 'SENS Coal'!$D$7:$AW$7, 'SENS Coal'!$D$141:$AW$141), 0), IF($B9='Project List References'!$B$8, _xlfn.IFNA(_xlfn.XLOOKUP(P$2-$C9,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22.273404979649822</v>
      </c>
      <c r="Q9" s="743">
        <f>IF($B9='Project List References'!$B$3, _xlfn.IFNA(_xlfn.XLOOKUP(Q$2-$C9, 'GEN-CCGT'!$D$7:$AW$7, 'GEN-CCGT'!$D$124:$AW$124), 0), IF($B9='Project List References'!$B$4, _xlfn.IFNA(_xlfn.XLOOKUP(Q$2-$C9, 'GEN-SOLAR'!$D$7:$AW$7, 'GEN-SOLAR'!$D$122:$AW$122), 0), IF($B9='Project List References'!$B$5, _xlfn.IFNA(_xlfn.XLOOKUP(Q$2-$C9, 'GEN-BESS'!$D$7:$AW$7, 'GEN-BESS'!$D$125:$AW$125), 0), IF($B9='Project List References'!$B$6, _xlfn.IFNA(_xlfn.XLOOKUP(Q$2-$C9, 'GEN-CARBON'!$D$7:$AW$7, 'GEN-CARBON'!$D$124:$AW$124), 0), IF($B9='Project List References'!$B$7, _xlfn.IFNA(_xlfn.XLOOKUP(Q$2-$C9, 'SENS Coal'!$D$7:$AW$7, 'SENS Coal'!$D$141:$AW$141), 0), IF($B9='Project List References'!$B$8, _xlfn.IFNA(_xlfn.XLOOKUP(Q$2-$C9,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22.285921816394342</v>
      </c>
      <c r="R9" s="743">
        <f>IF($B9='Project List References'!$B$3, _xlfn.IFNA(_xlfn.XLOOKUP(R$2-$C9, 'GEN-CCGT'!$D$7:$AW$7, 'GEN-CCGT'!$D$124:$AW$124), 0), IF($B9='Project List References'!$B$4, _xlfn.IFNA(_xlfn.XLOOKUP(R$2-$C9, 'GEN-SOLAR'!$D$7:$AW$7, 'GEN-SOLAR'!$D$122:$AW$122), 0), IF($B9='Project List References'!$B$5, _xlfn.IFNA(_xlfn.XLOOKUP(R$2-$C9, 'GEN-BESS'!$D$7:$AW$7, 'GEN-BESS'!$D$125:$AW$125), 0), IF($B9='Project List References'!$B$6, _xlfn.IFNA(_xlfn.XLOOKUP(R$2-$C9, 'GEN-CARBON'!$D$7:$AW$7, 'GEN-CARBON'!$D$124:$AW$124), 0), IF($B9='Project List References'!$B$7, _xlfn.IFNA(_xlfn.XLOOKUP(R$2-$C9, 'SENS Coal'!$D$7:$AW$7, 'SENS Coal'!$D$141:$AW$141), 0), IF($B9='Project List References'!$B$8, _xlfn.IFNA(_xlfn.XLOOKUP(R$2-$C9,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22.300453371522799</v>
      </c>
      <c r="S9" s="743">
        <f>IF($B9='Project List References'!$B$3, _xlfn.IFNA(_xlfn.XLOOKUP(S$2-$C9, 'GEN-CCGT'!$D$7:$AW$7, 'GEN-CCGT'!$D$124:$AW$124), 0), IF($B9='Project List References'!$B$4, _xlfn.IFNA(_xlfn.XLOOKUP(S$2-$C9, 'GEN-SOLAR'!$D$7:$AW$7, 'GEN-SOLAR'!$D$122:$AW$122), 0), IF($B9='Project List References'!$B$5, _xlfn.IFNA(_xlfn.XLOOKUP(S$2-$C9, 'GEN-BESS'!$D$7:$AW$7, 'GEN-BESS'!$D$125:$AW$125), 0), IF($B9='Project List References'!$B$6, _xlfn.IFNA(_xlfn.XLOOKUP(S$2-$C9, 'GEN-CARBON'!$D$7:$AW$7, 'GEN-CARBON'!$D$124:$AW$124), 0), IF($B9='Project List References'!$B$7, _xlfn.IFNA(_xlfn.XLOOKUP(S$2-$C9, 'SENS Coal'!$D$7:$AW$7, 'SENS Coal'!$D$141:$AW$141), 0), IF($B9='Project List References'!$B$8, _xlfn.IFNA(_xlfn.XLOOKUP(S$2-$C9,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22.317055988553527</v>
      </c>
      <c r="T9" s="743">
        <f>IF($B9='Project List References'!$B$3, _xlfn.IFNA(_xlfn.XLOOKUP(T$2-$C9, 'GEN-CCGT'!$D$7:$AW$7, 'GEN-CCGT'!$D$124:$AW$124), 0), IF($B9='Project List References'!$B$4, _xlfn.IFNA(_xlfn.XLOOKUP(T$2-$C9, 'GEN-SOLAR'!$D$7:$AW$7, 'GEN-SOLAR'!$D$122:$AW$122), 0), IF($B9='Project List References'!$B$5, _xlfn.IFNA(_xlfn.XLOOKUP(T$2-$C9, 'GEN-BESS'!$D$7:$AW$7, 'GEN-BESS'!$D$125:$AW$125), 0), IF($B9='Project List References'!$B$6, _xlfn.IFNA(_xlfn.XLOOKUP(T$2-$C9, 'GEN-CARBON'!$D$7:$AW$7, 'GEN-CARBON'!$D$124:$AW$124), 0), IF($B9='Project List References'!$B$7, _xlfn.IFNA(_xlfn.XLOOKUP(T$2-$C9, 'SENS Coal'!$D$7:$AW$7, 'SENS Coal'!$D$141:$AW$141), 0), IF($B9='Project List References'!$B$8, _xlfn.IFNA(_xlfn.XLOOKUP(T$2-$C9, 'SENS Tires'!$D$7:$AW$7, 'SENS Tires'!$D$139:$AW$139),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22.335787711555461</v>
      </c>
    </row>
    <row r="10" spans="1:111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_xlfn.XLOOKUP(A10, 'Project Master Sheet'!A:A, 'Project Master Sheet'!I:I)</f>
        <v>#N/A</v>
      </c>
      <c r="E10" s="743" t="e">
        <f>IF($B10='Project List References'!$B$3, _xlfn.IFNA(_xlfn.XLOOKUP(E$2-$C10, 'GEN-CCGT'!$D$7:$AW$7, 'GEN-CCGT'!$D$124:$AW$124), 0), IF($B10='Project List References'!$B$4, _xlfn.IFNA(_xlfn.XLOOKUP(E$2-$C10, 'GEN-SOLAR'!$D$7:$AW$7, 'GEN-SOLAR'!$D$122:$AW$122), 0), IF($B10='Project List References'!$B$5, _xlfn.IFNA(_xlfn.XLOOKUP(E$2-$C10, 'GEN-BESS'!$D$7:$AW$7, 'GEN-BESS'!$D$125:$AW$125), 0), IF($B10='Project List References'!$B$6, _xlfn.IFNA(_xlfn.XLOOKUP(E$2-$C10, 'GEN-CARBON'!$D$7:$AW$7, 'GEN-CARBON'!$D$124:$AW$124), 0), IF($B10='Project List References'!$B$7, _xlfn.IFNA(_xlfn.XLOOKUP(E$2-$C10, 'SENS Coal'!$D$7:$AW$7, 'SENS Coal'!$D$141:$AW$141), 0), IF($B10='Project List References'!$B$8, _xlfn.IFNA(_xlfn.XLOOKUP(E$2-$C10,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F10" s="743" t="e">
        <f>IF($B10='Project List References'!$B$3, _xlfn.IFNA(_xlfn.XLOOKUP(F$2-$C10, 'GEN-CCGT'!$D$7:$AW$7, 'GEN-CCGT'!$D$124:$AW$124), 0), IF($B10='Project List References'!$B$4, _xlfn.IFNA(_xlfn.XLOOKUP(F$2-$C10, 'GEN-SOLAR'!$D$7:$AW$7, 'GEN-SOLAR'!$D$122:$AW$122), 0), IF($B10='Project List References'!$B$5, _xlfn.IFNA(_xlfn.XLOOKUP(F$2-$C10, 'GEN-BESS'!$D$7:$AW$7, 'GEN-BESS'!$D$125:$AW$125), 0), IF($B10='Project List References'!$B$6, _xlfn.IFNA(_xlfn.XLOOKUP(F$2-$C10, 'GEN-CARBON'!$D$7:$AW$7, 'GEN-CARBON'!$D$124:$AW$124), 0), IF($B10='Project List References'!$B$7, _xlfn.IFNA(_xlfn.XLOOKUP(F$2-$C10, 'SENS Coal'!$D$7:$AW$7, 'SENS Coal'!$D$141:$AW$141), 0), IF($B10='Project List References'!$B$8, _xlfn.IFNA(_xlfn.XLOOKUP(F$2-$C10,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G10" s="743" t="e">
        <f>IF($B10='Project List References'!$B$3, _xlfn.IFNA(_xlfn.XLOOKUP(G$2-$C10, 'GEN-CCGT'!$D$7:$AW$7, 'GEN-CCGT'!$D$124:$AW$124), 0), IF($B10='Project List References'!$B$4, _xlfn.IFNA(_xlfn.XLOOKUP(G$2-$C10, 'GEN-SOLAR'!$D$7:$AW$7, 'GEN-SOLAR'!$D$122:$AW$122), 0), IF($B10='Project List References'!$B$5, _xlfn.IFNA(_xlfn.XLOOKUP(G$2-$C10, 'GEN-BESS'!$D$7:$AW$7, 'GEN-BESS'!$D$125:$AW$125), 0), IF($B10='Project List References'!$B$6, _xlfn.IFNA(_xlfn.XLOOKUP(G$2-$C10, 'GEN-CARBON'!$D$7:$AW$7, 'GEN-CARBON'!$D$124:$AW$124), 0), IF($B10='Project List References'!$B$7, _xlfn.IFNA(_xlfn.XLOOKUP(G$2-$C10, 'SENS Coal'!$D$7:$AW$7, 'SENS Coal'!$D$141:$AW$141), 0), IF($B10='Project List References'!$B$8, _xlfn.IFNA(_xlfn.XLOOKUP(G$2-$C10,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H10" s="743" t="e">
        <f>IF($B10='Project List References'!$B$3, _xlfn.IFNA(_xlfn.XLOOKUP(H$2-$C10, 'GEN-CCGT'!$D$7:$AW$7, 'GEN-CCGT'!$D$124:$AW$124), 0), IF($B10='Project List References'!$B$4, _xlfn.IFNA(_xlfn.XLOOKUP(H$2-$C10, 'GEN-SOLAR'!$D$7:$AW$7, 'GEN-SOLAR'!$D$122:$AW$122), 0), IF($B10='Project List References'!$B$5, _xlfn.IFNA(_xlfn.XLOOKUP(H$2-$C10, 'GEN-BESS'!$D$7:$AW$7, 'GEN-BESS'!$D$125:$AW$125), 0), IF($B10='Project List References'!$B$6, _xlfn.IFNA(_xlfn.XLOOKUP(H$2-$C10, 'GEN-CARBON'!$D$7:$AW$7, 'GEN-CARBON'!$D$124:$AW$124), 0), IF($B10='Project List References'!$B$7, _xlfn.IFNA(_xlfn.XLOOKUP(H$2-$C10, 'SENS Coal'!$D$7:$AW$7, 'SENS Coal'!$D$141:$AW$141), 0), IF($B10='Project List References'!$B$8, _xlfn.IFNA(_xlfn.XLOOKUP(H$2-$C10,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I10" s="743" t="e">
        <f>IF($B10='Project List References'!$B$3, _xlfn.IFNA(_xlfn.XLOOKUP(I$2-$C10, 'GEN-CCGT'!$D$7:$AW$7, 'GEN-CCGT'!$D$124:$AW$124), 0), IF($B10='Project List References'!$B$4, _xlfn.IFNA(_xlfn.XLOOKUP(I$2-$C10, 'GEN-SOLAR'!$D$7:$AW$7, 'GEN-SOLAR'!$D$122:$AW$122), 0), IF($B10='Project List References'!$B$5, _xlfn.IFNA(_xlfn.XLOOKUP(I$2-$C10, 'GEN-BESS'!$D$7:$AW$7, 'GEN-BESS'!$D$125:$AW$125), 0), IF($B10='Project List References'!$B$6, _xlfn.IFNA(_xlfn.XLOOKUP(I$2-$C10, 'GEN-CARBON'!$D$7:$AW$7, 'GEN-CARBON'!$D$124:$AW$124), 0), IF($B10='Project List References'!$B$7, _xlfn.IFNA(_xlfn.XLOOKUP(I$2-$C10, 'SENS Coal'!$D$7:$AW$7, 'SENS Coal'!$D$141:$AW$141), 0), IF($B10='Project List References'!$B$8, _xlfn.IFNA(_xlfn.XLOOKUP(I$2-$C10,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J10" s="743" t="e">
        <f>IF($B10='Project List References'!$B$3, _xlfn.IFNA(_xlfn.XLOOKUP(J$2-$C10, 'GEN-CCGT'!$D$7:$AW$7, 'GEN-CCGT'!$D$124:$AW$124), 0), IF($B10='Project List References'!$B$4, _xlfn.IFNA(_xlfn.XLOOKUP(J$2-$C10, 'GEN-SOLAR'!$D$7:$AW$7, 'GEN-SOLAR'!$D$122:$AW$122), 0), IF($B10='Project List References'!$B$5, _xlfn.IFNA(_xlfn.XLOOKUP(J$2-$C10, 'GEN-BESS'!$D$7:$AW$7, 'GEN-BESS'!$D$125:$AW$125), 0), IF($B10='Project List References'!$B$6, _xlfn.IFNA(_xlfn.XLOOKUP(J$2-$C10, 'GEN-CARBON'!$D$7:$AW$7, 'GEN-CARBON'!$D$124:$AW$124), 0), IF($B10='Project List References'!$B$7, _xlfn.IFNA(_xlfn.XLOOKUP(J$2-$C10, 'SENS Coal'!$D$7:$AW$7, 'SENS Coal'!$D$141:$AW$141), 0), IF($B10='Project List References'!$B$8, _xlfn.IFNA(_xlfn.XLOOKUP(J$2-$C10,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K10" s="743" t="e">
        <f>IF($B10='Project List References'!$B$3, _xlfn.IFNA(_xlfn.XLOOKUP(K$2-$C10, 'GEN-CCGT'!$D$7:$AW$7, 'GEN-CCGT'!$D$124:$AW$124), 0), IF($B10='Project List References'!$B$4, _xlfn.IFNA(_xlfn.XLOOKUP(K$2-$C10, 'GEN-SOLAR'!$D$7:$AW$7, 'GEN-SOLAR'!$D$122:$AW$122), 0), IF($B10='Project List References'!$B$5, _xlfn.IFNA(_xlfn.XLOOKUP(K$2-$C10, 'GEN-BESS'!$D$7:$AW$7, 'GEN-BESS'!$D$125:$AW$125), 0), IF($B10='Project List References'!$B$6, _xlfn.IFNA(_xlfn.XLOOKUP(K$2-$C10, 'GEN-CARBON'!$D$7:$AW$7, 'GEN-CARBON'!$D$124:$AW$124), 0), IF($B10='Project List References'!$B$7, _xlfn.IFNA(_xlfn.XLOOKUP(K$2-$C10, 'SENS Coal'!$D$7:$AW$7, 'SENS Coal'!$D$141:$AW$141), 0), IF($B10='Project List References'!$B$8, _xlfn.IFNA(_xlfn.XLOOKUP(K$2-$C10,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L10" s="743" t="e">
        <f>IF($B10='Project List References'!$B$3, _xlfn.IFNA(_xlfn.XLOOKUP(L$2-$C10, 'GEN-CCGT'!$D$7:$AW$7, 'GEN-CCGT'!$D$124:$AW$124), 0), IF($B10='Project List References'!$B$4, _xlfn.IFNA(_xlfn.XLOOKUP(L$2-$C10, 'GEN-SOLAR'!$D$7:$AW$7, 'GEN-SOLAR'!$D$122:$AW$122), 0), IF($B10='Project List References'!$B$5, _xlfn.IFNA(_xlfn.XLOOKUP(L$2-$C10, 'GEN-BESS'!$D$7:$AW$7, 'GEN-BESS'!$D$125:$AW$125), 0), IF($B10='Project List References'!$B$6, _xlfn.IFNA(_xlfn.XLOOKUP(L$2-$C10, 'GEN-CARBON'!$D$7:$AW$7, 'GEN-CARBON'!$D$124:$AW$124), 0), IF($B10='Project List References'!$B$7, _xlfn.IFNA(_xlfn.XLOOKUP(L$2-$C10, 'SENS Coal'!$D$7:$AW$7, 'SENS Coal'!$D$141:$AW$141), 0), IF($B10='Project List References'!$B$8, _xlfn.IFNA(_xlfn.XLOOKUP(L$2-$C10,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M10" s="743" t="e">
        <f>IF($B10='Project List References'!$B$3, _xlfn.IFNA(_xlfn.XLOOKUP(M$2-$C10, 'GEN-CCGT'!$D$7:$AW$7, 'GEN-CCGT'!$D$124:$AW$124), 0), IF($B10='Project List References'!$B$4, _xlfn.IFNA(_xlfn.XLOOKUP(M$2-$C10, 'GEN-SOLAR'!$D$7:$AW$7, 'GEN-SOLAR'!$D$122:$AW$122), 0), IF($B10='Project List References'!$B$5, _xlfn.IFNA(_xlfn.XLOOKUP(M$2-$C10, 'GEN-BESS'!$D$7:$AW$7, 'GEN-BESS'!$D$125:$AW$125), 0), IF($B10='Project List References'!$B$6, _xlfn.IFNA(_xlfn.XLOOKUP(M$2-$C10, 'GEN-CARBON'!$D$7:$AW$7, 'GEN-CARBON'!$D$124:$AW$124), 0), IF($B10='Project List References'!$B$7, _xlfn.IFNA(_xlfn.XLOOKUP(M$2-$C10, 'SENS Coal'!$D$7:$AW$7, 'SENS Coal'!$D$141:$AW$141), 0), IF($B10='Project List References'!$B$8, _xlfn.IFNA(_xlfn.XLOOKUP(M$2-$C10,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N10" s="743" t="e">
        <f>IF($B10='Project List References'!$B$3, _xlfn.IFNA(_xlfn.XLOOKUP(N$2-$C10, 'GEN-CCGT'!$D$7:$AW$7, 'GEN-CCGT'!$D$124:$AW$124), 0), IF($B10='Project List References'!$B$4, _xlfn.IFNA(_xlfn.XLOOKUP(N$2-$C10, 'GEN-SOLAR'!$D$7:$AW$7, 'GEN-SOLAR'!$D$122:$AW$122), 0), IF($B10='Project List References'!$B$5, _xlfn.IFNA(_xlfn.XLOOKUP(N$2-$C10, 'GEN-BESS'!$D$7:$AW$7, 'GEN-BESS'!$D$125:$AW$125), 0), IF($B10='Project List References'!$B$6, _xlfn.IFNA(_xlfn.XLOOKUP(N$2-$C10, 'GEN-CARBON'!$D$7:$AW$7, 'GEN-CARBON'!$D$124:$AW$124), 0), IF($B10='Project List References'!$B$7, _xlfn.IFNA(_xlfn.XLOOKUP(N$2-$C10, 'SENS Coal'!$D$7:$AW$7, 'SENS Coal'!$D$141:$AW$141), 0), IF($B10='Project List References'!$B$8, _xlfn.IFNA(_xlfn.XLOOKUP(N$2-$C10,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O10" s="743" t="e">
        <f>IF($B10='Project List References'!$B$3, _xlfn.IFNA(_xlfn.XLOOKUP(O$2-$C10, 'GEN-CCGT'!$D$7:$AW$7, 'GEN-CCGT'!$D$124:$AW$124), 0), IF($B10='Project List References'!$B$4, _xlfn.IFNA(_xlfn.XLOOKUP(O$2-$C10, 'GEN-SOLAR'!$D$7:$AW$7, 'GEN-SOLAR'!$D$122:$AW$122), 0), IF($B10='Project List References'!$B$5, _xlfn.IFNA(_xlfn.XLOOKUP(O$2-$C10, 'GEN-BESS'!$D$7:$AW$7, 'GEN-BESS'!$D$125:$AW$125), 0), IF($B10='Project List References'!$B$6, _xlfn.IFNA(_xlfn.XLOOKUP(O$2-$C10, 'GEN-CARBON'!$D$7:$AW$7, 'GEN-CARBON'!$D$124:$AW$124), 0), IF($B10='Project List References'!$B$7, _xlfn.IFNA(_xlfn.XLOOKUP(O$2-$C10, 'SENS Coal'!$D$7:$AW$7, 'SENS Coal'!$D$141:$AW$141), 0), IF($B10='Project List References'!$B$8, _xlfn.IFNA(_xlfn.XLOOKUP(O$2-$C10,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P10" s="743" t="e">
        <f>IF($B10='Project List References'!$B$3, _xlfn.IFNA(_xlfn.XLOOKUP(P$2-$C10, 'GEN-CCGT'!$D$7:$AW$7, 'GEN-CCGT'!$D$124:$AW$124), 0), IF($B10='Project List References'!$B$4, _xlfn.IFNA(_xlfn.XLOOKUP(P$2-$C10, 'GEN-SOLAR'!$D$7:$AW$7, 'GEN-SOLAR'!$D$122:$AW$122), 0), IF($B10='Project List References'!$B$5, _xlfn.IFNA(_xlfn.XLOOKUP(P$2-$C10, 'GEN-BESS'!$D$7:$AW$7, 'GEN-BESS'!$D$125:$AW$125), 0), IF($B10='Project List References'!$B$6, _xlfn.IFNA(_xlfn.XLOOKUP(P$2-$C10, 'GEN-CARBON'!$D$7:$AW$7, 'GEN-CARBON'!$D$124:$AW$124), 0), IF($B10='Project List References'!$B$7, _xlfn.IFNA(_xlfn.XLOOKUP(P$2-$C10, 'SENS Coal'!$D$7:$AW$7, 'SENS Coal'!$D$141:$AW$141), 0), IF($B10='Project List References'!$B$8, _xlfn.IFNA(_xlfn.XLOOKUP(P$2-$C10,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Q10" s="743" t="e">
        <f>IF($B10='Project List References'!$B$3, _xlfn.IFNA(_xlfn.XLOOKUP(Q$2-$C10, 'GEN-CCGT'!$D$7:$AW$7, 'GEN-CCGT'!$D$124:$AW$124), 0), IF($B10='Project List References'!$B$4, _xlfn.IFNA(_xlfn.XLOOKUP(Q$2-$C10, 'GEN-SOLAR'!$D$7:$AW$7, 'GEN-SOLAR'!$D$122:$AW$122), 0), IF($B10='Project List References'!$B$5, _xlfn.IFNA(_xlfn.XLOOKUP(Q$2-$C10, 'GEN-BESS'!$D$7:$AW$7, 'GEN-BESS'!$D$125:$AW$125), 0), IF($B10='Project List References'!$B$6, _xlfn.IFNA(_xlfn.XLOOKUP(Q$2-$C10, 'GEN-CARBON'!$D$7:$AW$7, 'GEN-CARBON'!$D$124:$AW$124), 0), IF($B10='Project List References'!$B$7, _xlfn.IFNA(_xlfn.XLOOKUP(Q$2-$C10, 'SENS Coal'!$D$7:$AW$7, 'SENS Coal'!$D$141:$AW$141), 0), IF($B10='Project List References'!$B$8, _xlfn.IFNA(_xlfn.XLOOKUP(Q$2-$C10,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R10" s="743" t="e">
        <f>IF($B10='Project List References'!$B$3, _xlfn.IFNA(_xlfn.XLOOKUP(R$2-$C10, 'GEN-CCGT'!$D$7:$AW$7, 'GEN-CCGT'!$D$124:$AW$124), 0), IF($B10='Project List References'!$B$4, _xlfn.IFNA(_xlfn.XLOOKUP(R$2-$C10, 'GEN-SOLAR'!$D$7:$AW$7, 'GEN-SOLAR'!$D$122:$AW$122), 0), IF($B10='Project List References'!$B$5, _xlfn.IFNA(_xlfn.XLOOKUP(R$2-$C10, 'GEN-BESS'!$D$7:$AW$7, 'GEN-BESS'!$D$125:$AW$125), 0), IF($B10='Project List References'!$B$6, _xlfn.IFNA(_xlfn.XLOOKUP(R$2-$C10, 'GEN-CARBON'!$D$7:$AW$7, 'GEN-CARBON'!$D$124:$AW$124), 0), IF($B10='Project List References'!$B$7, _xlfn.IFNA(_xlfn.XLOOKUP(R$2-$C10, 'SENS Coal'!$D$7:$AW$7, 'SENS Coal'!$D$141:$AW$141), 0), IF($B10='Project List References'!$B$8, _xlfn.IFNA(_xlfn.XLOOKUP(R$2-$C10,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S10" s="743" t="e">
        <f>IF($B10='Project List References'!$B$3, _xlfn.IFNA(_xlfn.XLOOKUP(S$2-$C10, 'GEN-CCGT'!$D$7:$AW$7, 'GEN-CCGT'!$D$124:$AW$124), 0), IF($B10='Project List References'!$B$4, _xlfn.IFNA(_xlfn.XLOOKUP(S$2-$C10, 'GEN-SOLAR'!$D$7:$AW$7, 'GEN-SOLAR'!$D$122:$AW$122), 0), IF($B10='Project List References'!$B$5, _xlfn.IFNA(_xlfn.XLOOKUP(S$2-$C10, 'GEN-BESS'!$D$7:$AW$7, 'GEN-BESS'!$D$125:$AW$125), 0), IF($B10='Project List References'!$B$6, _xlfn.IFNA(_xlfn.XLOOKUP(S$2-$C10, 'GEN-CARBON'!$D$7:$AW$7, 'GEN-CARBON'!$D$124:$AW$124), 0), IF($B10='Project List References'!$B$7, _xlfn.IFNA(_xlfn.XLOOKUP(S$2-$C10, 'SENS Coal'!$D$7:$AW$7, 'SENS Coal'!$D$141:$AW$141), 0), IF($B10='Project List References'!$B$8, _xlfn.IFNA(_xlfn.XLOOKUP(S$2-$C10,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T10" s="743" t="e">
        <f>IF($B10='Project List References'!$B$3, _xlfn.IFNA(_xlfn.XLOOKUP(T$2-$C10, 'GEN-CCGT'!$D$7:$AW$7, 'GEN-CCGT'!$D$124:$AW$124), 0), IF($B10='Project List References'!$B$4, _xlfn.IFNA(_xlfn.XLOOKUP(T$2-$C10, 'GEN-SOLAR'!$D$7:$AW$7, 'GEN-SOLAR'!$D$122:$AW$122), 0), IF($B10='Project List References'!$B$5, _xlfn.IFNA(_xlfn.XLOOKUP(T$2-$C10, 'GEN-BESS'!$D$7:$AW$7, 'GEN-BESS'!$D$125:$AW$125), 0), IF($B10='Project List References'!$B$6, _xlfn.IFNA(_xlfn.XLOOKUP(T$2-$C10, 'GEN-CARBON'!$D$7:$AW$7, 'GEN-CARBON'!$D$124:$AW$124), 0), IF($B10='Project List References'!$B$7, _xlfn.IFNA(_xlfn.XLOOKUP(T$2-$C10, 'SENS Coal'!$D$7:$AW$7, 'SENS Coal'!$D$141:$AW$141), 0), IF($B10='Project List References'!$B$8, _xlfn.IFNA(_xlfn.XLOOKUP(T$2-$C10, 'SENS Tires'!$D$7:$AW$7, 'SENS Tires'!$D$139:$AW$139),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</row>
    <row r="11" spans="1:111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_xlfn.XLOOKUP(A11, 'Project Master Sheet'!A:A, 'Project Master Sheet'!I:I)</f>
        <v>#N/A</v>
      </c>
      <c r="E11" s="743" t="e">
        <f>IF($B11='Project List References'!$B$3, _xlfn.IFNA(_xlfn.XLOOKUP(E$2-$C11, 'GEN-CCGT'!$D$7:$AW$7, 'GEN-CCGT'!$D$124:$AW$124), 0), IF($B11='Project List References'!$B$4, _xlfn.IFNA(_xlfn.XLOOKUP(E$2-$C11, 'GEN-SOLAR'!$D$7:$AW$7, 'GEN-SOLAR'!$D$122:$AW$122), 0), IF($B11='Project List References'!$B$5, _xlfn.IFNA(_xlfn.XLOOKUP(E$2-$C11, 'GEN-BESS'!$D$7:$AW$7, 'GEN-BESS'!$D$125:$AW$125), 0), IF($B11='Project List References'!$B$6, _xlfn.IFNA(_xlfn.XLOOKUP(E$2-$C11, 'GEN-CARBON'!$D$7:$AW$7, 'GEN-CARBON'!$D$124:$AW$124), 0), IF($B11='Project List References'!$B$7, _xlfn.IFNA(_xlfn.XLOOKUP(E$2-$C11, 'SENS Coal'!$D$7:$AW$7, 'SENS Coal'!$D$141:$AW$141), 0), IF($B11='Project List References'!$B$8, _xlfn.IFNA(_xlfn.XLOOKUP(E$2-$C11,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F11" s="743" t="e">
        <f>IF($B11='Project List References'!$B$3, _xlfn.IFNA(_xlfn.XLOOKUP(F$2-$C11, 'GEN-CCGT'!$D$7:$AW$7, 'GEN-CCGT'!$D$124:$AW$124), 0), IF($B11='Project List References'!$B$4, _xlfn.IFNA(_xlfn.XLOOKUP(F$2-$C11, 'GEN-SOLAR'!$D$7:$AW$7, 'GEN-SOLAR'!$D$122:$AW$122), 0), IF($B11='Project List References'!$B$5, _xlfn.IFNA(_xlfn.XLOOKUP(F$2-$C11, 'GEN-BESS'!$D$7:$AW$7, 'GEN-BESS'!$D$125:$AW$125), 0), IF($B11='Project List References'!$B$6, _xlfn.IFNA(_xlfn.XLOOKUP(F$2-$C11, 'GEN-CARBON'!$D$7:$AW$7, 'GEN-CARBON'!$D$124:$AW$124), 0), IF($B11='Project List References'!$B$7, _xlfn.IFNA(_xlfn.XLOOKUP(F$2-$C11, 'SENS Coal'!$D$7:$AW$7, 'SENS Coal'!$D$141:$AW$141), 0), IF($B11='Project List References'!$B$8, _xlfn.IFNA(_xlfn.XLOOKUP(F$2-$C11,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G11" s="743" t="e">
        <f>IF($B11='Project List References'!$B$3, _xlfn.IFNA(_xlfn.XLOOKUP(G$2-$C11, 'GEN-CCGT'!$D$7:$AW$7, 'GEN-CCGT'!$D$124:$AW$124), 0), IF($B11='Project List References'!$B$4, _xlfn.IFNA(_xlfn.XLOOKUP(G$2-$C11, 'GEN-SOLAR'!$D$7:$AW$7, 'GEN-SOLAR'!$D$122:$AW$122), 0), IF($B11='Project List References'!$B$5, _xlfn.IFNA(_xlfn.XLOOKUP(G$2-$C11, 'GEN-BESS'!$D$7:$AW$7, 'GEN-BESS'!$D$125:$AW$125), 0), IF($B11='Project List References'!$B$6, _xlfn.IFNA(_xlfn.XLOOKUP(G$2-$C11, 'GEN-CARBON'!$D$7:$AW$7, 'GEN-CARBON'!$D$124:$AW$124), 0), IF($B11='Project List References'!$B$7, _xlfn.IFNA(_xlfn.XLOOKUP(G$2-$C11, 'SENS Coal'!$D$7:$AW$7, 'SENS Coal'!$D$141:$AW$141), 0), IF($B11='Project List References'!$B$8, _xlfn.IFNA(_xlfn.XLOOKUP(G$2-$C11,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H11" s="743" t="e">
        <f>IF($B11='Project List References'!$B$3, _xlfn.IFNA(_xlfn.XLOOKUP(H$2-$C11, 'GEN-CCGT'!$D$7:$AW$7, 'GEN-CCGT'!$D$124:$AW$124), 0), IF($B11='Project List References'!$B$4, _xlfn.IFNA(_xlfn.XLOOKUP(H$2-$C11, 'GEN-SOLAR'!$D$7:$AW$7, 'GEN-SOLAR'!$D$122:$AW$122), 0), IF($B11='Project List References'!$B$5, _xlfn.IFNA(_xlfn.XLOOKUP(H$2-$C11, 'GEN-BESS'!$D$7:$AW$7, 'GEN-BESS'!$D$125:$AW$125), 0), IF($B11='Project List References'!$B$6, _xlfn.IFNA(_xlfn.XLOOKUP(H$2-$C11, 'GEN-CARBON'!$D$7:$AW$7, 'GEN-CARBON'!$D$124:$AW$124), 0), IF($B11='Project List References'!$B$7, _xlfn.IFNA(_xlfn.XLOOKUP(H$2-$C11, 'SENS Coal'!$D$7:$AW$7, 'SENS Coal'!$D$141:$AW$141), 0), IF($B11='Project List References'!$B$8, _xlfn.IFNA(_xlfn.XLOOKUP(H$2-$C11,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I11" s="743" t="e">
        <f>IF($B11='Project List References'!$B$3, _xlfn.IFNA(_xlfn.XLOOKUP(I$2-$C11, 'GEN-CCGT'!$D$7:$AW$7, 'GEN-CCGT'!$D$124:$AW$124), 0), IF($B11='Project List References'!$B$4, _xlfn.IFNA(_xlfn.XLOOKUP(I$2-$C11, 'GEN-SOLAR'!$D$7:$AW$7, 'GEN-SOLAR'!$D$122:$AW$122), 0), IF($B11='Project List References'!$B$5, _xlfn.IFNA(_xlfn.XLOOKUP(I$2-$C11, 'GEN-BESS'!$D$7:$AW$7, 'GEN-BESS'!$D$125:$AW$125), 0), IF($B11='Project List References'!$B$6, _xlfn.IFNA(_xlfn.XLOOKUP(I$2-$C11, 'GEN-CARBON'!$D$7:$AW$7, 'GEN-CARBON'!$D$124:$AW$124), 0), IF($B11='Project List References'!$B$7, _xlfn.IFNA(_xlfn.XLOOKUP(I$2-$C11, 'SENS Coal'!$D$7:$AW$7, 'SENS Coal'!$D$141:$AW$141), 0), IF($B11='Project List References'!$B$8, _xlfn.IFNA(_xlfn.XLOOKUP(I$2-$C11,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J11" s="743" t="e">
        <f>IF($B11='Project List References'!$B$3, _xlfn.IFNA(_xlfn.XLOOKUP(J$2-$C11, 'GEN-CCGT'!$D$7:$AW$7, 'GEN-CCGT'!$D$124:$AW$124), 0), IF($B11='Project List References'!$B$4, _xlfn.IFNA(_xlfn.XLOOKUP(J$2-$C11, 'GEN-SOLAR'!$D$7:$AW$7, 'GEN-SOLAR'!$D$122:$AW$122), 0), IF($B11='Project List References'!$B$5, _xlfn.IFNA(_xlfn.XLOOKUP(J$2-$C11, 'GEN-BESS'!$D$7:$AW$7, 'GEN-BESS'!$D$125:$AW$125), 0), IF($B11='Project List References'!$B$6, _xlfn.IFNA(_xlfn.XLOOKUP(J$2-$C11, 'GEN-CARBON'!$D$7:$AW$7, 'GEN-CARBON'!$D$124:$AW$124), 0), IF($B11='Project List References'!$B$7, _xlfn.IFNA(_xlfn.XLOOKUP(J$2-$C11, 'SENS Coal'!$D$7:$AW$7, 'SENS Coal'!$D$141:$AW$141), 0), IF($B11='Project List References'!$B$8, _xlfn.IFNA(_xlfn.XLOOKUP(J$2-$C11,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K11" s="743" t="e">
        <f>IF($B11='Project List References'!$B$3, _xlfn.IFNA(_xlfn.XLOOKUP(K$2-$C11, 'GEN-CCGT'!$D$7:$AW$7, 'GEN-CCGT'!$D$124:$AW$124), 0), IF($B11='Project List References'!$B$4, _xlfn.IFNA(_xlfn.XLOOKUP(K$2-$C11, 'GEN-SOLAR'!$D$7:$AW$7, 'GEN-SOLAR'!$D$122:$AW$122), 0), IF($B11='Project List References'!$B$5, _xlfn.IFNA(_xlfn.XLOOKUP(K$2-$C11, 'GEN-BESS'!$D$7:$AW$7, 'GEN-BESS'!$D$125:$AW$125), 0), IF($B11='Project List References'!$B$6, _xlfn.IFNA(_xlfn.XLOOKUP(K$2-$C11, 'GEN-CARBON'!$D$7:$AW$7, 'GEN-CARBON'!$D$124:$AW$124), 0), IF($B11='Project List References'!$B$7, _xlfn.IFNA(_xlfn.XLOOKUP(K$2-$C11, 'SENS Coal'!$D$7:$AW$7, 'SENS Coal'!$D$141:$AW$141), 0), IF($B11='Project List References'!$B$8, _xlfn.IFNA(_xlfn.XLOOKUP(K$2-$C11,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L11" s="743" t="e">
        <f>IF($B11='Project List References'!$B$3, _xlfn.IFNA(_xlfn.XLOOKUP(L$2-$C11, 'GEN-CCGT'!$D$7:$AW$7, 'GEN-CCGT'!$D$124:$AW$124), 0), IF($B11='Project List References'!$B$4, _xlfn.IFNA(_xlfn.XLOOKUP(L$2-$C11, 'GEN-SOLAR'!$D$7:$AW$7, 'GEN-SOLAR'!$D$122:$AW$122), 0), IF($B11='Project List References'!$B$5, _xlfn.IFNA(_xlfn.XLOOKUP(L$2-$C11, 'GEN-BESS'!$D$7:$AW$7, 'GEN-BESS'!$D$125:$AW$125), 0), IF($B11='Project List References'!$B$6, _xlfn.IFNA(_xlfn.XLOOKUP(L$2-$C11, 'GEN-CARBON'!$D$7:$AW$7, 'GEN-CARBON'!$D$124:$AW$124), 0), IF($B11='Project List References'!$B$7, _xlfn.IFNA(_xlfn.XLOOKUP(L$2-$C11, 'SENS Coal'!$D$7:$AW$7, 'SENS Coal'!$D$141:$AW$141), 0), IF($B11='Project List References'!$B$8, _xlfn.IFNA(_xlfn.XLOOKUP(L$2-$C11,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M11" s="743" t="e">
        <f>IF($B11='Project List References'!$B$3, _xlfn.IFNA(_xlfn.XLOOKUP(M$2-$C11, 'GEN-CCGT'!$D$7:$AW$7, 'GEN-CCGT'!$D$124:$AW$124), 0), IF($B11='Project List References'!$B$4, _xlfn.IFNA(_xlfn.XLOOKUP(M$2-$C11, 'GEN-SOLAR'!$D$7:$AW$7, 'GEN-SOLAR'!$D$122:$AW$122), 0), IF($B11='Project List References'!$B$5, _xlfn.IFNA(_xlfn.XLOOKUP(M$2-$C11, 'GEN-BESS'!$D$7:$AW$7, 'GEN-BESS'!$D$125:$AW$125), 0), IF($B11='Project List References'!$B$6, _xlfn.IFNA(_xlfn.XLOOKUP(M$2-$C11, 'GEN-CARBON'!$D$7:$AW$7, 'GEN-CARBON'!$D$124:$AW$124), 0), IF($B11='Project List References'!$B$7, _xlfn.IFNA(_xlfn.XLOOKUP(M$2-$C11, 'SENS Coal'!$D$7:$AW$7, 'SENS Coal'!$D$141:$AW$141), 0), IF($B11='Project List References'!$B$8, _xlfn.IFNA(_xlfn.XLOOKUP(M$2-$C11,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N11" s="743" t="e">
        <f>IF($B11='Project List References'!$B$3, _xlfn.IFNA(_xlfn.XLOOKUP(N$2-$C11, 'GEN-CCGT'!$D$7:$AW$7, 'GEN-CCGT'!$D$124:$AW$124), 0), IF($B11='Project List References'!$B$4, _xlfn.IFNA(_xlfn.XLOOKUP(N$2-$C11, 'GEN-SOLAR'!$D$7:$AW$7, 'GEN-SOLAR'!$D$122:$AW$122), 0), IF($B11='Project List References'!$B$5, _xlfn.IFNA(_xlfn.XLOOKUP(N$2-$C11, 'GEN-BESS'!$D$7:$AW$7, 'GEN-BESS'!$D$125:$AW$125), 0), IF($B11='Project List References'!$B$6, _xlfn.IFNA(_xlfn.XLOOKUP(N$2-$C11, 'GEN-CARBON'!$D$7:$AW$7, 'GEN-CARBON'!$D$124:$AW$124), 0), IF($B11='Project List References'!$B$7, _xlfn.IFNA(_xlfn.XLOOKUP(N$2-$C11, 'SENS Coal'!$D$7:$AW$7, 'SENS Coal'!$D$141:$AW$141), 0), IF($B11='Project List References'!$B$8, _xlfn.IFNA(_xlfn.XLOOKUP(N$2-$C11,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O11" s="743" t="e">
        <f>IF($B11='Project List References'!$B$3, _xlfn.IFNA(_xlfn.XLOOKUP(O$2-$C11, 'GEN-CCGT'!$D$7:$AW$7, 'GEN-CCGT'!$D$124:$AW$124), 0), IF($B11='Project List References'!$B$4, _xlfn.IFNA(_xlfn.XLOOKUP(O$2-$C11, 'GEN-SOLAR'!$D$7:$AW$7, 'GEN-SOLAR'!$D$122:$AW$122), 0), IF($B11='Project List References'!$B$5, _xlfn.IFNA(_xlfn.XLOOKUP(O$2-$C11, 'GEN-BESS'!$D$7:$AW$7, 'GEN-BESS'!$D$125:$AW$125), 0), IF($B11='Project List References'!$B$6, _xlfn.IFNA(_xlfn.XLOOKUP(O$2-$C11, 'GEN-CARBON'!$D$7:$AW$7, 'GEN-CARBON'!$D$124:$AW$124), 0), IF($B11='Project List References'!$B$7, _xlfn.IFNA(_xlfn.XLOOKUP(O$2-$C11, 'SENS Coal'!$D$7:$AW$7, 'SENS Coal'!$D$141:$AW$141), 0), IF($B11='Project List References'!$B$8, _xlfn.IFNA(_xlfn.XLOOKUP(O$2-$C11,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P11" s="743" t="e">
        <f>IF($B11='Project List References'!$B$3, _xlfn.IFNA(_xlfn.XLOOKUP(P$2-$C11, 'GEN-CCGT'!$D$7:$AW$7, 'GEN-CCGT'!$D$124:$AW$124), 0), IF($B11='Project List References'!$B$4, _xlfn.IFNA(_xlfn.XLOOKUP(P$2-$C11, 'GEN-SOLAR'!$D$7:$AW$7, 'GEN-SOLAR'!$D$122:$AW$122), 0), IF($B11='Project List References'!$B$5, _xlfn.IFNA(_xlfn.XLOOKUP(P$2-$C11, 'GEN-BESS'!$D$7:$AW$7, 'GEN-BESS'!$D$125:$AW$125), 0), IF($B11='Project List References'!$B$6, _xlfn.IFNA(_xlfn.XLOOKUP(P$2-$C11, 'GEN-CARBON'!$D$7:$AW$7, 'GEN-CARBON'!$D$124:$AW$124), 0), IF($B11='Project List References'!$B$7, _xlfn.IFNA(_xlfn.XLOOKUP(P$2-$C11, 'SENS Coal'!$D$7:$AW$7, 'SENS Coal'!$D$141:$AW$141), 0), IF($B11='Project List References'!$B$8, _xlfn.IFNA(_xlfn.XLOOKUP(P$2-$C11,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Q11" s="743" t="e">
        <f>IF($B11='Project List References'!$B$3, _xlfn.IFNA(_xlfn.XLOOKUP(Q$2-$C11, 'GEN-CCGT'!$D$7:$AW$7, 'GEN-CCGT'!$D$124:$AW$124), 0), IF($B11='Project List References'!$B$4, _xlfn.IFNA(_xlfn.XLOOKUP(Q$2-$C11, 'GEN-SOLAR'!$D$7:$AW$7, 'GEN-SOLAR'!$D$122:$AW$122), 0), IF($B11='Project List References'!$B$5, _xlfn.IFNA(_xlfn.XLOOKUP(Q$2-$C11, 'GEN-BESS'!$D$7:$AW$7, 'GEN-BESS'!$D$125:$AW$125), 0), IF($B11='Project List References'!$B$6, _xlfn.IFNA(_xlfn.XLOOKUP(Q$2-$C11, 'GEN-CARBON'!$D$7:$AW$7, 'GEN-CARBON'!$D$124:$AW$124), 0), IF($B11='Project List References'!$B$7, _xlfn.IFNA(_xlfn.XLOOKUP(Q$2-$C11, 'SENS Coal'!$D$7:$AW$7, 'SENS Coal'!$D$141:$AW$141), 0), IF($B11='Project List References'!$B$8, _xlfn.IFNA(_xlfn.XLOOKUP(Q$2-$C11,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R11" s="743" t="e">
        <f>IF($B11='Project List References'!$B$3, _xlfn.IFNA(_xlfn.XLOOKUP(R$2-$C11, 'GEN-CCGT'!$D$7:$AW$7, 'GEN-CCGT'!$D$124:$AW$124), 0), IF($B11='Project List References'!$B$4, _xlfn.IFNA(_xlfn.XLOOKUP(R$2-$C11, 'GEN-SOLAR'!$D$7:$AW$7, 'GEN-SOLAR'!$D$122:$AW$122), 0), IF($B11='Project List References'!$B$5, _xlfn.IFNA(_xlfn.XLOOKUP(R$2-$C11, 'GEN-BESS'!$D$7:$AW$7, 'GEN-BESS'!$D$125:$AW$125), 0), IF($B11='Project List References'!$B$6, _xlfn.IFNA(_xlfn.XLOOKUP(R$2-$C11, 'GEN-CARBON'!$D$7:$AW$7, 'GEN-CARBON'!$D$124:$AW$124), 0), IF($B11='Project List References'!$B$7, _xlfn.IFNA(_xlfn.XLOOKUP(R$2-$C11, 'SENS Coal'!$D$7:$AW$7, 'SENS Coal'!$D$141:$AW$141), 0), IF($B11='Project List References'!$B$8, _xlfn.IFNA(_xlfn.XLOOKUP(R$2-$C11,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S11" s="743" t="e">
        <f>IF($B11='Project List References'!$B$3, _xlfn.IFNA(_xlfn.XLOOKUP(S$2-$C11, 'GEN-CCGT'!$D$7:$AW$7, 'GEN-CCGT'!$D$124:$AW$124), 0), IF($B11='Project List References'!$B$4, _xlfn.IFNA(_xlfn.XLOOKUP(S$2-$C11, 'GEN-SOLAR'!$D$7:$AW$7, 'GEN-SOLAR'!$D$122:$AW$122), 0), IF($B11='Project List References'!$B$5, _xlfn.IFNA(_xlfn.XLOOKUP(S$2-$C11, 'GEN-BESS'!$D$7:$AW$7, 'GEN-BESS'!$D$125:$AW$125), 0), IF($B11='Project List References'!$B$6, _xlfn.IFNA(_xlfn.XLOOKUP(S$2-$C11, 'GEN-CARBON'!$D$7:$AW$7, 'GEN-CARBON'!$D$124:$AW$124), 0), IF($B11='Project List References'!$B$7, _xlfn.IFNA(_xlfn.XLOOKUP(S$2-$C11, 'SENS Coal'!$D$7:$AW$7, 'SENS Coal'!$D$141:$AW$141), 0), IF($B11='Project List References'!$B$8, _xlfn.IFNA(_xlfn.XLOOKUP(S$2-$C11,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T11" s="743" t="e">
        <f>IF($B11='Project List References'!$B$3, _xlfn.IFNA(_xlfn.XLOOKUP(T$2-$C11, 'GEN-CCGT'!$D$7:$AW$7, 'GEN-CCGT'!$D$124:$AW$124), 0), IF($B11='Project List References'!$B$4, _xlfn.IFNA(_xlfn.XLOOKUP(T$2-$C11, 'GEN-SOLAR'!$D$7:$AW$7, 'GEN-SOLAR'!$D$122:$AW$122), 0), IF($B11='Project List References'!$B$5, _xlfn.IFNA(_xlfn.XLOOKUP(T$2-$C11, 'GEN-BESS'!$D$7:$AW$7, 'GEN-BESS'!$D$125:$AW$125), 0), IF($B11='Project List References'!$B$6, _xlfn.IFNA(_xlfn.XLOOKUP(T$2-$C11, 'GEN-CARBON'!$D$7:$AW$7, 'GEN-CARBON'!$D$124:$AW$124), 0), IF($B11='Project List References'!$B$7, _xlfn.IFNA(_xlfn.XLOOKUP(T$2-$C11, 'SENS Coal'!$D$7:$AW$7, 'SENS Coal'!$D$141:$AW$141), 0), IF($B11='Project List References'!$B$8, _xlfn.IFNA(_xlfn.XLOOKUP(T$2-$C11, 'SENS Tires'!$D$7:$AW$7, 'SENS Tires'!$D$139:$AW$139),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</row>
    <row r="12" spans="1:111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_xlfn.XLOOKUP(A12, 'Project Master Sheet'!A:A, 'Project Master Sheet'!I:I)</f>
        <v>#N/A</v>
      </c>
      <c r="E12" s="743" t="e">
        <f>IF($B12='Project List References'!$B$3, _xlfn.IFNA(_xlfn.XLOOKUP(E$2-$C12, 'GEN-CCGT'!$D$7:$AW$7, 'GEN-CCGT'!$D$124:$AW$124), 0), IF($B12='Project List References'!$B$4, _xlfn.IFNA(_xlfn.XLOOKUP(E$2-$C12, 'GEN-SOLAR'!$D$7:$AW$7, 'GEN-SOLAR'!$D$122:$AW$122), 0), IF($B12='Project List References'!$B$5, _xlfn.IFNA(_xlfn.XLOOKUP(E$2-$C12, 'GEN-BESS'!$D$7:$AW$7, 'GEN-BESS'!$D$125:$AW$125), 0), IF($B12='Project List References'!$B$6, _xlfn.IFNA(_xlfn.XLOOKUP(E$2-$C12, 'GEN-CARBON'!$D$7:$AW$7, 'GEN-CARBON'!$D$124:$AW$124), 0), IF($B12='Project List References'!$B$7, _xlfn.IFNA(_xlfn.XLOOKUP(E$2-$C12, 'SENS Coal'!$D$7:$AW$7, 'SENS Coal'!$D$141:$AW$141), 0), IF($B12='Project List References'!$B$8, _xlfn.IFNA(_xlfn.XLOOKUP(E$2-$C12,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F12" s="743" t="e">
        <f>IF($B12='Project List References'!$B$3, _xlfn.IFNA(_xlfn.XLOOKUP(F$2-$C12, 'GEN-CCGT'!$D$7:$AW$7, 'GEN-CCGT'!$D$124:$AW$124), 0), IF($B12='Project List References'!$B$4, _xlfn.IFNA(_xlfn.XLOOKUP(F$2-$C12, 'GEN-SOLAR'!$D$7:$AW$7, 'GEN-SOLAR'!$D$122:$AW$122), 0), IF($B12='Project List References'!$B$5, _xlfn.IFNA(_xlfn.XLOOKUP(F$2-$C12, 'GEN-BESS'!$D$7:$AW$7, 'GEN-BESS'!$D$125:$AW$125), 0), IF($B12='Project List References'!$B$6, _xlfn.IFNA(_xlfn.XLOOKUP(F$2-$C12, 'GEN-CARBON'!$D$7:$AW$7, 'GEN-CARBON'!$D$124:$AW$124), 0), IF($B12='Project List References'!$B$7, _xlfn.IFNA(_xlfn.XLOOKUP(F$2-$C12, 'SENS Coal'!$D$7:$AW$7, 'SENS Coal'!$D$141:$AW$141), 0), IF($B12='Project List References'!$B$8, _xlfn.IFNA(_xlfn.XLOOKUP(F$2-$C12,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G12" s="743" t="e">
        <f>IF($B12='Project List References'!$B$3, _xlfn.IFNA(_xlfn.XLOOKUP(G$2-$C12, 'GEN-CCGT'!$D$7:$AW$7, 'GEN-CCGT'!$D$124:$AW$124), 0), IF($B12='Project List References'!$B$4, _xlfn.IFNA(_xlfn.XLOOKUP(G$2-$C12, 'GEN-SOLAR'!$D$7:$AW$7, 'GEN-SOLAR'!$D$122:$AW$122), 0), IF($B12='Project List References'!$B$5, _xlfn.IFNA(_xlfn.XLOOKUP(G$2-$C12, 'GEN-BESS'!$D$7:$AW$7, 'GEN-BESS'!$D$125:$AW$125), 0), IF($B12='Project List References'!$B$6, _xlfn.IFNA(_xlfn.XLOOKUP(G$2-$C12, 'GEN-CARBON'!$D$7:$AW$7, 'GEN-CARBON'!$D$124:$AW$124), 0), IF($B12='Project List References'!$B$7, _xlfn.IFNA(_xlfn.XLOOKUP(G$2-$C12, 'SENS Coal'!$D$7:$AW$7, 'SENS Coal'!$D$141:$AW$141), 0), IF($B12='Project List References'!$B$8, _xlfn.IFNA(_xlfn.XLOOKUP(G$2-$C12,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H12" s="743" t="e">
        <f>IF($B12='Project List References'!$B$3, _xlfn.IFNA(_xlfn.XLOOKUP(H$2-$C12, 'GEN-CCGT'!$D$7:$AW$7, 'GEN-CCGT'!$D$124:$AW$124), 0), IF($B12='Project List References'!$B$4, _xlfn.IFNA(_xlfn.XLOOKUP(H$2-$C12, 'GEN-SOLAR'!$D$7:$AW$7, 'GEN-SOLAR'!$D$122:$AW$122), 0), IF($B12='Project List References'!$B$5, _xlfn.IFNA(_xlfn.XLOOKUP(H$2-$C12, 'GEN-BESS'!$D$7:$AW$7, 'GEN-BESS'!$D$125:$AW$125), 0), IF($B12='Project List References'!$B$6, _xlfn.IFNA(_xlfn.XLOOKUP(H$2-$C12, 'GEN-CARBON'!$D$7:$AW$7, 'GEN-CARBON'!$D$124:$AW$124), 0), IF($B12='Project List References'!$B$7, _xlfn.IFNA(_xlfn.XLOOKUP(H$2-$C12, 'SENS Coal'!$D$7:$AW$7, 'SENS Coal'!$D$141:$AW$141), 0), IF($B12='Project List References'!$B$8, _xlfn.IFNA(_xlfn.XLOOKUP(H$2-$C12,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I12" s="743" t="e">
        <f>IF($B12='Project List References'!$B$3, _xlfn.IFNA(_xlfn.XLOOKUP(I$2-$C12, 'GEN-CCGT'!$D$7:$AW$7, 'GEN-CCGT'!$D$124:$AW$124), 0), IF($B12='Project List References'!$B$4, _xlfn.IFNA(_xlfn.XLOOKUP(I$2-$C12, 'GEN-SOLAR'!$D$7:$AW$7, 'GEN-SOLAR'!$D$122:$AW$122), 0), IF($B12='Project List References'!$B$5, _xlfn.IFNA(_xlfn.XLOOKUP(I$2-$C12, 'GEN-BESS'!$D$7:$AW$7, 'GEN-BESS'!$D$125:$AW$125), 0), IF($B12='Project List References'!$B$6, _xlfn.IFNA(_xlfn.XLOOKUP(I$2-$C12, 'GEN-CARBON'!$D$7:$AW$7, 'GEN-CARBON'!$D$124:$AW$124), 0), IF($B12='Project List References'!$B$7, _xlfn.IFNA(_xlfn.XLOOKUP(I$2-$C12, 'SENS Coal'!$D$7:$AW$7, 'SENS Coal'!$D$141:$AW$141), 0), IF($B12='Project List References'!$B$8, _xlfn.IFNA(_xlfn.XLOOKUP(I$2-$C12,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J12" s="743" t="e">
        <f>IF($B12='Project List References'!$B$3, _xlfn.IFNA(_xlfn.XLOOKUP(J$2-$C12, 'GEN-CCGT'!$D$7:$AW$7, 'GEN-CCGT'!$D$124:$AW$124), 0), IF($B12='Project List References'!$B$4, _xlfn.IFNA(_xlfn.XLOOKUP(J$2-$C12, 'GEN-SOLAR'!$D$7:$AW$7, 'GEN-SOLAR'!$D$122:$AW$122), 0), IF($B12='Project List References'!$B$5, _xlfn.IFNA(_xlfn.XLOOKUP(J$2-$C12, 'GEN-BESS'!$D$7:$AW$7, 'GEN-BESS'!$D$125:$AW$125), 0), IF($B12='Project List References'!$B$6, _xlfn.IFNA(_xlfn.XLOOKUP(J$2-$C12, 'GEN-CARBON'!$D$7:$AW$7, 'GEN-CARBON'!$D$124:$AW$124), 0), IF($B12='Project List References'!$B$7, _xlfn.IFNA(_xlfn.XLOOKUP(J$2-$C12, 'SENS Coal'!$D$7:$AW$7, 'SENS Coal'!$D$141:$AW$141), 0), IF($B12='Project List References'!$B$8, _xlfn.IFNA(_xlfn.XLOOKUP(J$2-$C12,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K12" s="743" t="e">
        <f>IF($B12='Project List References'!$B$3, _xlfn.IFNA(_xlfn.XLOOKUP(K$2-$C12, 'GEN-CCGT'!$D$7:$AW$7, 'GEN-CCGT'!$D$124:$AW$124), 0), IF($B12='Project List References'!$B$4, _xlfn.IFNA(_xlfn.XLOOKUP(K$2-$C12, 'GEN-SOLAR'!$D$7:$AW$7, 'GEN-SOLAR'!$D$122:$AW$122), 0), IF($B12='Project List References'!$B$5, _xlfn.IFNA(_xlfn.XLOOKUP(K$2-$C12, 'GEN-BESS'!$D$7:$AW$7, 'GEN-BESS'!$D$125:$AW$125), 0), IF($B12='Project List References'!$B$6, _xlfn.IFNA(_xlfn.XLOOKUP(K$2-$C12, 'GEN-CARBON'!$D$7:$AW$7, 'GEN-CARBON'!$D$124:$AW$124), 0), IF($B12='Project List References'!$B$7, _xlfn.IFNA(_xlfn.XLOOKUP(K$2-$C12, 'SENS Coal'!$D$7:$AW$7, 'SENS Coal'!$D$141:$AW$141), 0), IF($B12='Project List References'!$B$8, _xlfn.IFNA(_xlfn.XLOOKUP(K$2-$C12,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L12" s="743" t="e">
        <f>IF($B12='Project List References'!$B$3, _xlfn.IFNA(_xlfn.XLOOKUP(L$2-$C12, 'GEN-CCGT'!$D$7:$AW$7, 'GEN-CCGT'!$D$124:$AW$124), 0), IF($B12='Project List References'!$B$4, _xlfn.IFNA(_xlfn.XLOOKUP(L$2-$C12, 'GEN-SOLAR'!$D$7:$AW$7, 'GEN-SOLAR'!$D$122:$AW$122), 0), IF($B12='Project List References'!$B$5, _xlfn.IFNA(_xlfn.XLOOKUP(L$2-$C12, 'GEN-BESS'!$D$7:$AW$7, 'GEN-BESS'!$D$125:$AW$125), 0), IF($B12='Project List References'!$B$6, _xlfn.IFNA(_xlfn.XLOOKUP(L$2-$C12, 'GEN-CARBON'!$D$7:$AW$7, 'GEN-CARBON'!$D$124:$AW$124), 0), IF($B12='Project List References'!$B$7, _xlfn.IFNA(_xlfn.XLOOKUP(L$2-$C12, 'SENS Coal'!$D$7:$AW$7, 'SENS Coal'!$D$141:$AW$141), 0), IF($B12='Project List References'!$B$8, _xlfn.IFNA(_xlfn.XLOOKUP(L$2-$C12,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M12" s="743" t="e">
        <f>IF($B12='Project List References'!$B$3, _xlfn.IFNA(_xlfn.XLOOKUP(M$2-$C12, 'GEN-CCGT'!$D$7:$AW$7, 'GEN-CCGT'!$D$124:$AW$124), 0), IF($B12='Project List References'!$B$4, _xlfn.IFNA(_xlfn.XLOOKUP(M$2-$C12, 'GEN-SOLAR'!$D$7:$AW$7, 'GEN-SOLAR'!$D$122:$AW$122), 0), IF($B12='Project List References'!$B$5, _xlfn.IFNA(_xlfn.XLOOKUP(M$2-$C12, 'GEN-BESS'!$D$7:$AW$7, 'GEN-BESS'!$D$125:$AW$125), 0), IF($B12='Project List References'!$B$6, _xlfn.IFNA(_xlfn.XLOOKUP(M$2-$C12, 'GEN-CARBON'!$D$7:$AW$7, 'GEN-CARBON'!$D$124:$AW$124), 0), IF($B12='Project List References'!$B$7, _xlfn.IFNA(_xlfn.XLOOKUP(M$2-$C12, 'SENS Coal'!$D$7:$AW$7, 'SENS Coal'!$D$141:$AW$141), 0), IF($B12='Project List References'!$B$8, _xlfn.IFNA(_xlfn.XLOOKUP(M$2-$C12,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N12" s="743" t="e">
        <f>IF($B12='Project List References'!$B$3, _xlfn.IFNA(_xlfn.XLOOKUP(N$2-$C12, 'GEN-CCGT'!$D$7:$AW$7, 'GEN-CCGT'!$D$124:$AW$124), 0), IF($B12='Project List References'!$B$4, _xlfn.IFNA(_xlfn.XLOOKUP(N$2-$C12, 'GEN-SOLAR'!$D$7:$AW$7, 'GEN-SOLAR'!$D$122:$AW$122), 0), IF($B12='Project List References'!$B$5, _xlfn.IFNA(_xlfn.XLOOKUP(N$2-$C12, 'GEN-BESS'!$D$7:$AW$7, 'GEN-BESS'!$D$125:$AW$125), 0), IF($B12='Project List References'!$B$6, _xlfn.IFNA(_xlfn.XLOOKUP(N$2-$C12, 'GEN-CARBON'!$D$7:$AW$7, 'GEN-CARBON'!$D$124:$AW$124), 0), IF($B12='Project List References'!$B$7, _xlfn.IFNA(_xlfn.XLOOKUP(N$2-$C12, 'SENS Coal'!$D$7:$AW$7, 'SENS Coal'!$D$141:$AW$141), 0), IF($B12='Project List References'!$B$8, _xlfn.IFNA(_xlfn.XLOOKUP(N$2-$C12,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O12" s="743" t="e">
        <f>IF($B12='Project List References'!$B$3, _xlfn.IFNA(_xlfn.XLOOKUP(O$2-$C12, 'GEN-CCGT'!$D$7:$AW$7, 'GEN-CCGT'!$D$124:$AW$124), 0), IF($B12='Project List References'!$B$4, _xlfn.IFNA(_xlfn.XLOOKUP(O$2-$C12, 'GEN-SOLAR'!$D$7:$AW$7, 'GEN-SOLAR'!$D$122:$AW$122), 0), IF($B12='Project List References'!$B$5, _xlfn.IFNA(_xlfn.XLOOKUP(O$2-$C12, 'GEN-BESS'!$D$7:$AW$7, 'GEN-BESS'!$D$125:$AW$125), 0), IF($B12='Project List References'!$B$6, _xlfn.IFNA(_xlfn.XLOOKUP(O$2-$C12, 'GEN-CARBON'!$D$7:$AW$7, 'GEN-CARBON'!$D$124:$AW$124), 0), IF($B12='Project List References'!$B$7, _xlfn.IFNA(_xlfn.XLOOKUP(O$2-$C12, 'SENS Coal'!$D$7:$AW$7, 'SENS Coal'!$D$141:$AW$141), 0), IF($B12='Project List References'!$B$8, _xlfn.IFNA(_xlfn.XLOOKUP(O$2-$C12,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P12" s="743" t="e">
        <f>IF($B12='Project List References'!$B$3, _xlfn.IFNA(_xlfn.XLOOKUP(P$2-$C12, 'GEN-CCGT'!$D$7:$AW$7, 'GEN-CCGT'!$D$124:$AW$124), 0), IF($B12='Project List References'!$B$4, _xlfn.IFNA(_xlfn.XLOOKUP(P$2-$C12, 'GEN-SOLAR'!$D$7:$AW$7, 'GEN-SOLAR'!$D$122:$AW$122), 0), IF($B12='Project List References'!$B$5, _xlfn.IFNA(_xlfn.XLOOKUP(P$2-$C12, 'GEN-BESS'!$D$7:$AW$7, 'GEN-BESS'!$D$125:$AW$125), 0), IF($B12='Project List References'!$B$6, _xlfn.IFNA(_xlfn.XLOOKUP(P$2-$C12, 'GEN-CARBON'!$D$7:$AW$7, 'GEN-CARBON'!$D$124:$AW$124), 0), IF($B12='Project List References'!$B$7, _xlfn.IFNA(_xlfn.XLOOKUP(P$2-$C12, 'SENS Coal'!$D$7:$AW$7, 'SENS Coal'!$D$141:$AW$141), 0), IF($B12='Project List References'!$B$8, _xlfn.IFNA(_xlfn.XLOOKUP(P$2-$C12,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Q12" s="743" t="e">
        <f>IF($B12='Project List References'!$B$3, _xlfn.IFNA(_xlfn.XLOOKUP(Q$2-$C12, 'GEN-CCGT'!$D$7:$AW$7, 'GEN-CCGT'!$D$124:$AW$124), 0), IF($B12='Project List References'!$B$4, _xlfn.IFNA(_xlfn.XLOOKUP(Q$2-$C12, 'GEN-SOLAR'!$D$7:$AW$7, 'GEN-SOLAR'!$D$122:$AW$122), 0), IF($B12='Project List References'!$B$5, _xlfn.IFNA(_xlfn.XLOOKUP(Q$2-$C12, 'GEN-BESS'!$D$7:$AW$7, 'GEN-BESS'!$D$125:$AW$125), 0), IF($B12='Project List References'!$B$6, _xlfn.IFNA(_xlfn.XLOOKUP(Q$2-$C12, 'GEN-CARBON'!$D$7:$AW$7, 'GEN-CARBON'!$D$124:$AW$124), 0), IF($B12='Project List References'!$B$7, _xlfn.IFNA(_xlfn.XLOOKUP(Q$2-$C12, 'SENS Coal'!$D$7:$AW$7, 'SENS Coal'!$D$141:$AW$141), 0), IF($B12='Project List References'!$B$8, _xlfn.IFNA(_xlfn.XLOOKUP(Q$2-$C12,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R12" s="743" t="e">
        <f>IF($B12='Project List References'!$B$3, _xlfn.IFNA(_xlfn.XLOOKUP(R$2-$C12, 'GEN-CCGT'!$D$7:$AW$7, 'GEN-CCGT'!$D$124:$AW$124), 0), IF($B12='Project List References'!$B$4, _xlfn.IFNA(_xlfn.XLOOKUP(R$2-$C12, 'GEN-SOLAR'!$D$7:$AW$7, 'GEN-SOLAR'!$D$122:$AW$122), 0), IF($B12='Project List References'!$B$5, _xlfn.IFNA(_xlfn.XLOOKUP(R$2-$C12, 'GEN-BESS'!$D$7:$AW$7, 'GEN-BESS'!$D$125:$AW$125), 0), IF($B12='Project List References'!$B$6, _xlfn.IFNA(_xlfn.XLOOKUP(R$2-$C12, 'GEN-CARBON'!$D$7:$AW$7, 'GEN-CARBON'!$D$124:$AW$124), 0), IF($B12='Project List References'!$B$7, _xlfn.IFNA(_xlfn.XLOOKUP(R$2-$C12, 'SENS Coal'!$D$7:$AW$7, 'SENS Coal'!$D$141:$AW$141), 0), IF($B12='Project List References'!$B$8, _xlfn.IFNA(_xlfn.XLOOKUP(R$2-$C12,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S12" s="743" t="e">
        <f>IF($B12='Project List References'!$B$3, _xlfn.IFNA(_xlfn.XLOOKUP(S$2-$C12, 'GEN-CCGT'!$D$7:$AW$7, 'GEN-CCGT'!$D$124:$AW$124), 0), IF($B12='Project List References'!$B$4, _xlfn.IFNA(_xlfn.XLOOKUP(S$2-$C12, 'GEN-SOLAR'!$D$7:$AW$7, 'GEN-SOLAR'!$D$122:$AW$122), 0), IF($B12='Project List References'!$B$5, _xlfn.IFNA(_xlfn.XLOOKUP(S$2-$C12, 'GEN-BESS'!$D$7:$AW$7, 'GEN-BESS'!$D$125:$AW$125), 0), IF($B12='Project List References'!$B$6, _xlfn.IFNA(_xlfn.XLOOKUP(S$2-$C12, 'GEN-CARBON'!$D$7:$AW$7, 'GEN-CARBON'!$D$124:$AW$124), 0), IF($B12='Project List References'!$B$7, _xlfn.IFNA(_xlfn.XLOOKUP(S$2-$C12, 'SENS Coal'!$D$7:$AW$7, 'SENS Coal'!$D$141:$AW$141), 0), IF($B12='Project List References'!$B$8, _xlfn.IFNA(_xlfn.XLOOKUP(S$2-$C12,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T12" s="743" t="e">
        <f>IF($B12='Project List References'!$B$3, _xlfn.IFNA(_xlfn.XLOOKUP(T$2-$C12, 'GEN-CCGT'!$D$7:$AW$7, 'GEN-CCGT'!$D$124:$AW$124), 0), IF($B12='Project List References'!$B$4, _xlfn.IFNA(_xlfn.XLOOKUP(T$2-$C12, 'GEN-SOLAR'!$D$7:$AW$7, 'GEN-SOLAR'!$D$122:$AW$122), 0), IF($B12='Project List References'!$B$5, _xlfn.IFNA(_xlfn.XLOOKUP(T$2-$C12, 'GEN-BESS'!$D$7:$AW$7, 'GEN-BESS'!$D$125:$AW$125), 0), IF($B12='Project List References'!$B$6, _xlfn.IFNA(_xlfn.XLOOKUP(T$2-$C12, 'GEN-CARBON'!$D$7:$AW$7, 'GEN-CARBON'!$D$124:$AW$124), 0), IF($B12='Project List References'!$B$7, _xlfn.IFNA(_xlfn.XLOOKUP(T$2-$C12, 'SENS Coal'!$D$7:$AW$7, 'SENS Coal'!$D$141:$AW$141), 0), IF($B12='Project List References'!$B$8, _xlfn.IFNA(_xlfn.XLOOKUP(T$2-$C12, 'SENS Tires'!$D$7:$AW$7, 'SENS Tires'!$D$139:$AW$139),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</row>
    <row r="13" spans="1:111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_xlfn.XLOOKUP(A13, 'Project Master Sheet'!A:A, 'Project Master Sheet'!I:I)</f>
        <v>#N/A</v>
      </c>
      <c r="E13" s="743" t="e">
        <f>IF($B13='Project List References'!$B$3, _xlfn.IFNA(_xlfn.XLOOKUP(E$2-$C13, 'GEN-CCGT'!$D$7:$AW$7, 'GEN-CCGT'!$D$124:$AW$124), 0), IF($B13='Project List References'!$B$4, _xlfn.IFNA(_xlfn.XLOOKUP(E$2-$C13, 'GEN-SOLAR'!$D$7:$AW$7, 'GEN-SOLAR'!$D$122:$AW$122), 0), IF($B13='Project List References'!$B$5, _xlfn.IFNA(_xlfn.XLOOKUP(E$2-$C13, 'GEN-BESS'!$D$7:$AW$7, 'GEN-BESS'!$D$125:$AW$125), 0), IF($B13='Project List References'!$B$6, _xlfn.IFNA(_xlfn.XLOOKUP(E$2-$C13, 'GEN-CARBON'!$D$7:$AW$7, 'GEN-CARBON'!$D$124:$AW$124), 0), IF($B13='Project List References'!$B$7, _xlfn.IFNA(_xlfn.XLOOKUP(E$2-$C13, 'SENS Coal'!$D$7:$AW$7, 'SENS Coal'!$D$141:$AW$141), 0), IF($B13='Project List References'!$B$8, _xlfn.IFNA(_xlfn.XLOOKUP(E$2-$C13,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F13" s="743" t="e">
        <f>IF($B13='Project List References'!$B$3, _xlfn.IFNA(_xlfn.XLOOKUP(F$2-$C13, 'GEN-CCGT'!$D$7:$AW$7, 'GEN-CCGT'!$D$124:$AW$124), 0), IF($B13='Project List References'!$B$4, _xlfn.IFNA(_xlfn.XLOOKUP(F$2-$C13, 'GEN-SOLAR'!$D$7:$AW$7, 'GEN-SOLAR'!$D$122:$AW$122), 0), IF($B13='Project List References'!$B$5, _xlfn.IFNA(_xlfn.XLOOKUP(F$2-$C13, 'GEN-BESS'!$D$7:$AW$7, 'GEN-BESS'!$D$125:$AW$125), 0), IF($B13='Project List References'!$B$6, _xlfn.IFNA(_xlfn.XLOOKUP(F$2-$C13, 'GEN-CARBON'!$D$7:$AW$7, 'GEN-CARBON'!$D$124:$AW$124), 0), IF($B13='Project List References'!$B$7, _xlfn.IFNA(_xlfn.XLOOKUP(F$2-$C13, 'SENS Coal'!$D$7:$AW$7, 'SENS Coal'!$D$141:$AW$141), 0), IF($B13='Project List References'!$B$8, _xlfn.IFNA(_xlfn.XLOOKUP(F$2-$C13,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G13" s="743" t="e">
        <f>IF($B13='Project List References'!$B$3, _xlfn.IFNA(_xlfn.XLOOKUP(G$2-$C13, 'GEN-CCGT'!$D$7:$AW$7, 'GEN-CCGT'!$D$124:$AW$124), 0), IF($B13='Project List References'!$B$4, _xlfn.IFNA(_xlfn.XLOOKUP(G$2-$C13, 'GEN-SOLAR'!$D$7:$AW$7, 'GEN-SOLAR'!$D$122:$AW$122), 0), IF($B13='Project List References'!$B$5, _xlfn.IFNA(_xlfn.XLOOKUP(G$2-$C13, 'GEN-BESS'!$D$7:$AW$7, 'GEN-BESS'!$D$125:$AW$125), 0), IF($B13='Project List References'!$B$6, _xlfn.IFNA(_xlfn.XLOOKUP(G$2-$C13, 'GEN-CARBON'!$D$7:$AW$7, 'GEN-CARBON'!$D$124:$AW$124), 0), IF($B13='Project List References'!$B$7, _xlfn.IFNA(_xlfn.XLOOKUP(G$2-$C13, 'SENS Coal'!$D$7:$AW$7, 'SENS Coal'!$D$141:$AW$141), 0), IF($B13='Project List References'!$B$8, _xlfn.IFNA(_xlfn.XLOOKUP(G$2-$C13,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H13" s="743" t="e">
        <f>IF($B13='Project List References'!$B$3, _xlfn.IFNA(_xlfn.XLOOKUP(H$2-$C13, 'GEN-CCGT'!$D$7:$AW$7, 'GEN-CCGT'!$D$124:$AW$124), 0), IF($B13='Project List References'!$B$4, _xlfn.IFNA(_xlfn.XLOOKUP(H$2-$C13, 'GEN-SOLAR'!$D$7:$AW$7, 'GEN-SOLAR'!$D$122:$AW$122), 0), IF($B13='Project List References'!$B$5, _xlfn.IFNA(_xlfn.XLOOKUP(H$2-$C13, 'GEN-BESS'!$D$7:$AW$7, 'GEN-BESS'!$D$125:$AW$125), 0), IF($B13='Project List References'!$B$6, _xlfn.IFNA(_xlfn.XLOOKUP(H$2-$C13, 'GEN-CARBON'!$D$7:$AW$7, 'GEN-CARBON'!$D$124:$AW$124), 0), IF($B13='Project List References'!$B$7, _xlfn.IFNA(_xlfn.XLOOKUP(H$2-$C13, 'SENS Coal'!$D$7:$AW$7, 'SENS Coal'!$D$141:$AW$141), 0), IF($B13='Project List References'!$B$8, _xlfn.IFNA(_xlfn.XLOOKUP(H$2-$C13,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I13" s="743" t="e">
        <f>IF($B13='Project List References'!$B$3, _xlfn.IFNA(_xlfn.XLOOKUP(I$2-$C13, 'GEN-CCGT'!$D$7:$AW$7, 'GEN-CCGT'!$D$124:$AW$124), 0), IF($B13='Project List References'!$B$4, _xlfn.IFNA(_xlfn.XLOOKUP(I$2-$C13, 'GEN-SOLAR'!$D$7:$AW$7, 'GEN-SOLAR'!$D$122:$AW$122), 0), IF($B13='Project List References'!$B$5, _xlfn.IFNA(_xlfn.XLOOKUP(I$2-$C13, 'GEN-BESS'!$D$7:$AW$7, 'GEN-BESS'!$D$125:$AW$125), 0), IF($B13='Project List References'!$B$6, _xlfn.IFNA(_xlfn.XLOOKUP(I$2-$C13, 'GEN-CARBON'!$D$7:$AW$7, 'GEN-CARBON'!$D$124:$AW$124), 0), IF($B13='Project List References'!$B$7, _xlfn.IFNA(_xlfn.XLOOKUP(I$2-$C13, 'SENS Coal'!$D$7:$AW$7, 'SENS Coal'!$D$141:$AW$141), 0), IF($B13='Project List References'!$B$8, _xlfn.IFNA(_xlfn.XLOOKUP(I$2-$C13,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J13" s="743" t="e">
        <f>IF($B13='Project List References'!$B$3, _xlfn.IFNA(_xlfn.XLOOKUP(J$2-$C13, 'GEN-CCGT'!$D$7:$AW$7, 'GEN-CCGT'!$D$124:$AW$124), 0), IF($B13='Project List References'!$B$4, _xlfn.IFNA(_xlfn.XLOOKUP(J$2-$C13, 'GEN-SOLAR'!$D$7:$AW$7, 'GEN-SOLAR'!$D$122:$AW$122), 0), IF($B13='Project List References'!$B$5, _xlfn.IFNA(_xlfn.XLOOKUP(J$2-$C13, 'GEN-BESS'!$D$7:$AW$7, 'GEN-BESS'!$D$125:$AW$125), 0), IF($B13='Project List References'!$B$6, _xlfn.IFNA(_xlfn.XLOOKUP(J$2-$C13, 'GEN-CARBON'!$D$7:$AW$7, 'GEN-CARBON'!$D$124:$AW$124), 0), IF($B13='Project List References'!$B$7, _xlfn.IFNA(_xlfn.XLOOKUP(J$2-$C13, 'SENS Coal'!$D$7:$AW$7, 'SENS Coal'!$D$141:$AW$141), 0), IF($B13='Project List References'!$B$8, _xlfn.IFNA(_xlfn.XLOOKUP(J$2-$C13,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K13" s="743" t="e">
        <f>IF($B13='Project List References'!$B$3, _xlfn.IFNA(_xlfn.XLOOKUP(K$2-$C13, 'GEN-CCGT'!$D$7:$AW$7, 'GEN-CCGT'!$D$124:$AW$124), 0), IF($B13='Project List References'!$B$4, _xlfn.IFNA(_xlfn.XLOOKUP(K$2-$C13, 'GEN-SOLAR'!$D$7:$AW$7, 'GEN-SOLAR'!$D$122:$AW$122), 0), IF($B13='Project List References'!$B$5, _xlfn.IFNA(_xlfn.XLOOKUP(K$2-$C13, 'GEN-BESS'!$D$7:$AW$7, 'GEN-BESS'!$D$125:$AW$125), 0), IF($B13='Project List References'!$B$6, _xlfn.IFNA(_xlfn.XLOOKUP(K$2-$C13, 'GEN-CARBON'!$D$7:$AW$7, 'GEN-CARBON'!$D$124:$AW$124), 0), IF($B13='Project List References'!$B$7, _xlfn.IFNA(_xlfn.XLOOKUP(K$2-$C13, 'SENS Coal'!$D$7:$AW$7, 'SENS Coal'!$D$141:$AW$141), 0), IF($B13='Project List References'!$B$8, _xlfn.IFNA(_xlfn.XLOOKUP(K$2-$C13,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L13" s="743" t="e">
        <f>IF($B13='Project List References'!$B$3, _xlfn.IFNA(_xlfn.XLOOKUP(L$2-$C13, 'GEN-CCGT'!$D$7:$AW$7, 'GEN-CCGT'!$D$124:$AW$124), 0), IF($B13='Project List References'!$B$4, _xlfn.IFNA(_xlfn.XLOOKUP(L$2-$C13, 'GEN-SOLAR'!$D$7:$AW$7, 'GEN-SOLAR'!$D$122:$AW$122), 0), IF($B13='Project List References'!$B$5, _xlfn.IFNA(_xlfn.XLOOKUP(L$2-$C13, 'GEN-BESS'!$D$7:$AW$7, 'GEN-BESS'!$D$125:$AW$125), 0), IF($B13='Project List References'!$B$6, _xlfn.IFNA(_xlfn.XLOOKUP(L$2-$C13, 'GEN-CARBON'!$D$7:$AW$7, 'GEN-CARBON'!$D$124:$AW$124), 0), IF($B13='Project List References'!$B$7, _xlfn.IFNA(_xlfn.XLOOKUP(L$2-$C13, 'SENS Coal'!$D$7:$AW$7, 'SENS Coal'!$D$141:$AW$141), 0), IF($B13='Project List References'!$B$8, _xlfn.IFNA(_xlfn.XLOOKUP(L$2-$C13,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M13" s="743" t="e">
        <f>IF($B13='Project List References'!$B$3, _xlfn.IFNA(_xlfn.XLOOKUP(M$2-$C13, 'GEN-CCGT'!$D$7:$AW$7, 'GEN-CCGT'!$D$124:$AW$124), 0), IF($B13='Project List References'!$B$4, _xlfn.IFNA(_xlfn.XLOOKUP(M$2-$C13, 'GEN-SOLAR'!$D$7:$AW$7, 'GEN-SOLAR'!$D$122:$AW$122), 0), IF($B13='Project List References'!$B$5, _xlfn.IFNA(_xlfn.XLOOKUP(M$2-$C13, 'GEN-BESS'!$D$7:$AW$7, 'GEN-BESS'!$D$125:$AW$125), 0), IF($B13='Project List References'!$B$6, _xlfn.IFNA(_xlfn.XLOOKUP(M$2-$C13, 'GEN-CARBON'!$D$7:$AW$7, 'GEN-CARBON'!$D$124:$AW$124), 0), IF($B13='Project List References'!$B$7, _xlfn.IFNA(_xlfn.XLOOKUP(M$2-$C13, 'SENS Coal'!$D$7:$AW$7, 'SENS Coal'!$D$141:$AW$141), 0), IF($B13='Project List References'!$B$8, _xlfn.IFNA(_xlfn.XLOOKUP(M$2-$C13,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N13" s="743" t="e">
        <f>IF($B13='Project List References'!$B$3, _xlfn.IFNA(_xlfn.XLOOKUP(N$2-$C13, 'GEN-CCGT'!$D$7:$AW$7, 'GEN-CCGT'!$D$124:$AW$124), 0), IF($B13='Project List References'!$B$4, _xlfn.IFNA(_xlfn.XLOOKUP(N$2-$C13, 'GEN-SOLAR'!$D$7:$AW$7, 'GEN-SOLAR'!$D$122:$AW$122), 0), IF($B13='Project List References'!$B$5, _xlfn.IFNA(_xlfn.XLOOKUP(N$2-$C13, 'GEN-BESS'!$D$7:$AW$7, 'GEN-BESS'!$D$125:$AW$125), 0), IF($B13='Project List References'!$B$6, _xlfn.IFNA(_xlfn.XLOOKUP(N$2-$C13, 'GEN-CARBON'!$D$7:$AW$7, 'GEN-CARBON'!$D$124:$AW$124), 0), IF($B13='Project List References'!$B$7, _xlfn.IFNA(_xlfn.XLOOKUP(N$2-$C13, 'SENS Coal'!$D$7:$AW$7, 'SENS Coal'!$D$141:$AW$141), 0), IF($B13='Project List References'!$B$8, _xlfn.IFNA(_xlfn.XLOOKUP(N$2-$C13,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O13" s="743" t="e">
        <f>IF($B13='Project List References'!$B$3, _xlfn.IFNA(_xlfn.XLOOKUP(O$2-$C13, 'GEN-CCGT'!$D$7:$AW$7, 'GEN-CCGT'!$D$124:$AW$124), 0), IF($B13='Project List References'!$B$4, _xlfn.IFNA(_xlfn.XLOOKUP(O$2-$C13, 'GEN-SOLAR'!$D$7:$AW$7, 'GEN-SOLAR'!$D$122:$AW$122), 0), IF($B13='Project List References'!$B$5, _xlfn.IFNA(_xlfn.XLOOKUP(O$2-$C13, 'GEN-BESS'!$D$7:$AW$7, 'GEN-BESS'!$D$125:$AW$125), 0), IF($B13='Project List References'!$B$6, _xlfn.IFNA(_xlfn.XLOOKUP(O$2-$C13, 'GEN-CARBON'!$D$7:$AW$7, 'GEN-CARBON'!$D$124:$AW$124), 0), IF($B13='Project List References'!$B$7, _xlfn.IFNA(_xlfn.XLOOKUP(O$2-$C13, 'SENS Coal'!$D$7:$AW$7, 'SENS Coal'!$D$141:$AW$141), 0), IF($B13='Project List References'!$B$8, _xlfn.IFNA(_xlfn.XLOOKUP(O$2-$C13,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P13" s="743" t="e">
        <f>IF($B13='Project List References'!$B$3, _xlfn.IFNA(_xlfn.XLOOKUP(P$2-$C13, 'GEN-CCGT'!$D$7:$AW$7, 'GEN-CCGT'!$D$124:$AW$124), 0), IF($B13='Project List References'!$B$4, _xlfn.IFNA(_xlfn.XLOOKUP(P$2-$C13, 'GEN-SOLAR'!$D$7:$AW$7, 'GEN-SOLAR'!$D$122:$AW$122), 0), IF($B13='Project List References'!$B$5, _xlfn.IFNA(_xlfn.XLOOKUP(P$2-$C13, 'GEN-BESS'!$D$7:$AW$7, 'GEN-BESS'!$D$125:$AW$125), 0), IF($B13='Project List References'!$B$6, _xlfn.IFNA(_xlfn.XLOOKUP(P$2-$C13, 'GEN-CARBON'!$D$7:$AW$7, 'GEN-CARBON'!$D$124:$AW$124), 0), IF($B13='Project List References'!$B$7, _xlfn.IFNA(_xlfn.XLOOKUP(P$2-$C13, 'SENS Coal'!$D$7:$AW$7, 'SENS Coal'!$D$141:$AW$141), 0), IF($B13='Project List References'!$B$8, _xlfn.IFNA(_xlfn.XLOOKUP(P$2-$C13,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Q13" s="743" t="e">
        <f>IF($B13='Project List References'!$B$3, _xlfn.IFNA(_xlfn.XLOOKUP(Q$2-$C13, 'GEN-CCGT'!$D$7:$AW$7, 'GEN-CCGT'!$D$124:$AW$124), 0), IF($B13='Project List References'!$B$4, _xlfn.IFNA(_xlfn.XLOOKUP(Q$2-$C13, 'GEN-SOLAR'!$D$7:$AW$7, 'GEN-SOLAR'!$D$122:$AW$122), 0), IF($B13='Project List References'!$B$5, _xlfn.IFNA(_xlfn.XLOOKUP(Q$2-$C13, 'GEN-BESS'!$D$7:$AW$7, 'GEN-BESS'!$D$125:$AW$125), 0), IF($B13='Project List References'!$B$6, _xlfn.IFNA(_xlfn.XLOOKUP(Q$2-$C13, 'GEN-CARBON'!$D$7:$AW$7, 'GEN-CARBON'!$D$124:$AW$124), 0), IF($B13='Project List References'!$B$7, _xlfn.IFNA(_xlfn.XLOOKUP(Q$2-$C13, 'SENS Coal'!$D$7:$AW$7, 'SENS Coal'!$D$141:$AW$141), 0), IF($B13='Project List References'!$B$8, _xlfn.IFNA(_xlfn.XLOOKUP(Q$2-$C13,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R13" s="743" t="e">
        <f>IF($B13='Project List References'!$B$3, _xlfn.IFNA(_xlfn.XLOOKUP(R$2-$C13, 'GEN-CCGT'!$D$7:$AW$7, 'GEN-CCGT'!$D$124:$AW$124), 0), IF($B13='Project List References'!$B$4, _xlfn.IFNA(_xlfn.XLOOKUP(R$2-$C13, 'GEN-SOLAR'!$D$7:$AW$7, 'GEN-SOLAR'!$D$122:$AW$122), 0), IF($B13='Project List References'!$B$5, _xlfn.IFNA(_xlfn.XLOOKUP(R$2-$C13, 'GEN-BESS'!$D$7:$AW$7, 'GEN-BESS'!$D$125:$AW$125), 0), IF($B13='Project List References'!$B$6, _xlfn.IFNA(_xlfn.XLOOKUP(R$2-$C13, 'GEN-CARBON'!$D$7:$AW$7, 'GEN-CARBON'!$D$124:$AW$124), 0), IF($B13='Project List References'!$B$7, _xlfn.IFNA(_xlfn.XLOOKUP(R$2-$C13, 'SENS Coal'!$D$7:$AW$7, 'SENS Coal'!$D$141:$AW$141), 0), IF($B13='Project List References'!$B$8, _xlfn.IFNA(_xlfn.XLOOKUP(R$2-$C13,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S13" s="743" t="e">
        <f>IF($B13='Project List References'!$B$3, _xlfn.IFNA(_xlfn.XLOOKUP(S$2-$C13, 'GEN-CCGT'!$D$7:$AW$7, 'GEN-CCGT'!$D$124:$AW$124), 0), IF($B13='Project List References'!$B$4, _xlfn.IFNA(_xlfn.XLOOKUP(S$2-$C13, 'GEN-SOLAR'!$D$7:$AW$7, 'GEN-SOLAR'!$D$122:$AW$122), 0), IF($B13='Project List References'!$B$5, _xlfn.IFNA(_xlfn.XLOOKUP(S$2-$C13, 'GEN-BESS'!$D$7:$AW$7, 'GEN-BESS'!$D$125:$AW$125), 0), IF($B13='Project List References'!$B$6, _xlfn.IFNA(_xlfn.XLOOKUP(S$2-$C13, 'GEN-CARBON'!$D$7:$AW$7, 'GEN-CARBON'!$D$124:$AW$124), 0), IF($B13='Project List References'!$B$7, _xlfn.IFNA(_xlfn.XLOOKUP(S$2-$C13, 'SENS Coal'!$D$7:$AW$7, 'SENS Coal'!$D$141:$AW$141), 0), IF($B13='Project List References'!$B$8, _xlfn.IFNA(_xlfn.XLOOKUP(S$2-$C13,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T13" s="743" t="e">
        <f>IF($B13='Project List References'!$B$3, _xlfn.IFNA(_xlfn.XLOOKUP(T$2-$C13, 'GEN-CCGT'!$D$7:$AW$7, 'GEN-CCGT'!$D$124:$AW$124), 0), IF($B13='Project List References'!$B$4, _xlfn.IFNA(_xlfn.XLOOKUP(T$2-$C13, 'GEN-SOLAR'!$D$7:$AW$7, 'GEN-SOLAR'!$D$122:$AW$122), 0), IF($B13='Project List References'!$B$5, _xlfn.IFNA(_xlfn.XLOOKUP(T$2-$C13, 'GEN-BESS'!$D$7:$AW$7, 'GEN-BESS'!$D$125:$AW$125), 0), IF($B13='Project List References'!$B$6, _xlfn.IFNA(_xlfn.XLOOKUP(T$2-$C13, 'GEN-CARBON'!$D$7:$AW$7, 'GEN-CARBON'!$D$124:$AW$124), 0), IF($B13='Project List References'!$B$7, _xlfn.IFNA(_xlfn.XLOOKUP(T$2-$C13, 'SENS Coal'!$D$7:$AW$7, 'SENS Coal'!$D$141:$AW$141), 0), IF($B13='Project List References'!$B$8, _xlfn.IFNA(_xlfn.XLOOKUP(T$2-$C13, 'SENS Tires'!$D$7:$AW$7, 'SENS Tires'!$D$139:$AW$139),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</row>
    <row r="14" spans="1:111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_xlfn.XLOOKUP(A14, 'Project Master Sheet'!A:A, 'Project Master Sheet'!I:I)</f>
        <v>#N/A</v>
      </c>
      <c r="E14" s="743" t="e">
        <f>IF($B14='Project List References'!$B$3, _xlfn.IFNA(_xlfn.XLOOKUP(E$2-$C14, 'GEN-CCGT'!$D$7:$AW$7, 'GEN-CCGT'!$D$124:$AW$124), 0), IF($B14='Project List References'!$B$4, _xlfn.IFNA(_xlfn.XLOOKUP(E$2-$C14, 'GEN-SOLAR'!$D$7:$AW$7, 'GEN-SOLAR'!$D$122:$AW$122), 0), IF($B14='Project List References'!$B$5, _xlfn.IFNA(_xlfn.XLOOKUP(E$2-$C14, 'GEN-BESS'!$D$7:$AW$7, 'GEN-BESS'!$D$125:$AW$125), 0), IF($B14='Project List References'!$B$6, _xlfn.IFNA(_xlfn.XLOOKUP(E$2-$C14, 'GEN-CARBON'!$D$7:$AW$7, 'GEN-CARBON'!$D$124:$AW$124), 0), IF($B14='Project List References'!$B$7, _xlfn.IFNA(_xlfn.XLOOKUP(E$2-$C14, 'SENS Coal'!$D$7:$AW$7, 'SENS Coal'!$D$141:$AW$141), 0), IF($B14='Project List References'!$B$8, _xlfn.IFNA(_xlfn.XLOOKUP(E$2-$C14,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F14" s="743" t="e">
        <f>IF($B14='Project List References'!$B$3, _xlfn.IFNA(_xlfn.XLOOKUP(F$2-$C14, 'GEN-CCGT'!$D$7:$AW$7, 'GEN-CCGT'!$D$124:$AW$124), 0), IF($B14='Project List References'!$B$4, _xlfn.IFNA(_xlfn.XLOOKUP(F$2-$C14, 'GEN-SOLAR'!$D$7:$AW$7, 'GEN-SOLAR'!$D$122:$AW$122), 0), IF($B14='Project List References'!$B$5, _xlfn.IFNA(_xlfn.XLOOKUP(F$2-$C14, 'GEN-BESS'!$D$7:$AW$7, 'GEN-BESS'!$D$125:$AW$125), 0), IF($B14='Project List References'!$B$6, _xlfn.IFNA(_xlfn.XLOOKUP(F$2-$C14, 'GEN-CARBON'!$D$7:$AW$7, 'GEN-CARBON'!$D$124:$AW$124), 0), IF($B14='Project List References'!$B$7, _xlfn.IFNA(_xlfn.XLOOKUP(F$2-$C14, 'SENS Coal'!$D$7:$AW$7, 'SENS Coal'!$D$141:$AW$141), 0), IF($B14='Project List References'!$B$8, _xlfn.IFNA(_xlfn.XLOOKUP(F$2-$C14,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G14" s="743" t="e">
        <f>IF($B14='Project List References'!$B$3, _xlfn.IFNA(_xlfn.XLOOKUP(G$2-$C14, 'GEN-CCGT'!$D$7:$AW$7, 'GEN-CCGT'!$D$124:$AW$124), 0), IF($B14='Project List References'!$B$4, _xlfn.IFNA(_xlfn.XLOOKUP(G$2-$C14, 'GEN-SOLAR'!$D$7:$AW$7, 'GEN-SOLAR'!$D$122:$AW$122), 0), IF($B14='Project List References'!$B$5, _xlfn.IFNA(_xlfn.XLOOKUP(G$2-$C14, 'GEN-BESS'!$D$7:$AW$7, 'GEN-BESS'!$D$125:$AW$125), 0), IF($B14='Project List References'!$B$6, _xlfn.IFNA(_xlfn.XLOOKUP(G$2-$C14, 'GEN-CARBON'!$D$7:$AW$7, 'GEN-CARBON'!$D$124:$AW$124), 0), IF($B14='Project List References'!$B$7, _xlfn.IFNA(_xlfn.XLOOKUP(G$2-$C14, 'SENS Coal'!$D$7:$AW$7, 'SENS Coal'!$D$141:$AW$141), 0), IF($B14='Project List References'!$B$8, _xlfn.IFNA(_xlfn.XLOOKUP(G$2-$C14,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H14" s="743" t="e">
        <f>IF($B14='Project List References'!$B$3, _xlfn.IFNA(_xlfn.XLOOKUP(H$2-$C14, 'GEN-CCGT'!$D$7:$AW$7, 'GEN-CCGT'!$D$124:$AW$124), 0), IF($B14='Project List References'!$B$4, _xlfn.IFNA(_xlfn.XLOOKUP(H$2-$C14, 'GEN-SOLAR'!$D$7:$AW$7, 'GEN-SOLAR'!$D$122:$AW$122), 0), IF($B14='Project List References'!$B$5, _xlfn.IFNA(_xlfn.XLOOKUP(H$2-$C14, 'GEN-BESS'!$D$7:$AW$7, 'GEN-BESS'!$D$125:$AW$125), 0), IF($B14='Project List References'!$B$6, _xlfn.IFNA(_xlfn.XLOOKUP(H$2-$C14, 'GEN-CARBON'!$D$7:$AW$7, 'GEN-CARBON'!$D$124:$AW$124), 0), IF($B14='Project List References'!$B$7, _xlfn.IFNA(_xlfn.XLOOKUP(H$2-$C14, 'SENS Coal'!$D$7:$AW$7, 'SENS Coal'!$D$141:$AW$141), 0), IF($B14='Project List References'!$B$8, _xlfn.IFNA(_xlfn.XLOOKUP(H$2-$C14,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I14" s="743" t="e">
        <f>IF($B14='Project List References'!$B$3, _xlfn.IFNA(_xlfn.XLOOKUP(I$2-$C14, 'GEN-CCGT'!$D$7:$AW$7, 'GEN-CCGT'!$D$124:$AW$124), 0), IF($B14='Project List References'!$B$4, _xlfn.IFNA(_xlfn.XLOOKUP(I$2-$C14, 'GEN-SOLAR'!$D$7:$AW$7, 'GEN-SOLAR'!$D$122:$AW$122), 0), IF($B14='Project List References'!$B$5, _xlfn.IFNA(_xlfn.XLOOKUP(I$2-$C14, 'GEN-BESS'!$D$7:$AW$7, 'GEN-BESS'!$D$125:$AW$125), 0), IF($B14='Project List References'!$B$6, _xlfn.IFNA(_xlfn.XLOOKUP(I$2-$C14, 'GEN-CARBON'!$D$7:$AW$7, 'GEN-CARBON'!$D$124:$AW$124), 0), IF($B14='Project List References'!$B$7, _xlfn.IFNA(_xlfn.XLOOKUP(I$2-$C14, 'SENS Coal'!$D$7:$AW$7, 'SENS Coal'!$D$141:$AW$141), 0), IF($B14='Project List References'!$B$8, _xlfn.IFNA(_xlfn.XLOOKUP(I$2-$C14,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J14" s="743" t="e">
        <f>IF($B14='Project List References'!$B$3, _xlfn.IFNA(_xlfn.XLOOKUP(J$2-$C14, 'GEN-CCGT'!$D$7:$AW$7, 'GEN-CCGT'!$D$124:$AW$124), 0), IF($B14='Project List References'!$B$4, _xlfn.IFNA(_xlfn.XLOOKUP(J$2-$C14, 'GEN-SOLAR'!$D$7:$AW$7, 'GEN-SOLAR'!$D$122:$AW$122), 0), IF($B14='Project List References'!$B$5, _xlfn.IFNA(_xlfn.XLOOKUP(J$2-$C14, 'GEN-BESS'!$D$7:$AW$7, 'GEN-BESS'!$D$125:$AW$125), 0), IF($B14='Project List References'!$B$6, _xlfn.IFNA(_xlfn.XLOOKUP(J$2-$C14, 'GEN-CARBON'!$D$7:$AW$7, 'GEN-CARBON'!$D$124:$AW$124), 0), IF($B14='Project List References'!$B$7, _xlfn.IFNA(_xlfn.XLOOKUP(J$2-$C14, 'SENS Coal'!$D$7:$AW$7, 'SENS Coal'!$D$141:$AW$141), 0), IF($B14='Project List References'!$B$8, _xlfn.IFNA(_xlfn.XLOOKUP(J$2-$C14,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K14" s="743" t="e">
        <f>IF($B14='Project List References'!$B$3, _xlfn.IFNA(_xlfn.XLOOKUP(K$2-$C14, 'GEN-CCGT'!$D$7:$AW$7, 'GEN-CCGT'!$D$124:$AW$124), 0), IF($B14='Project List References'!$B$4, _xlfn.IFNA(_xlfn.XLOOKUP(K$2-$C14, 'GEN-SOLAR'!$D$7:$AW$7, 'GEN-SOLAR'!$D$122:$AW$122), 0), IF($B14='Project List References'!$B$5, _xlfn.IFNA(_xlfn.XLOOKUP(K$2-$C14, 'GEN-BESS'!$D$7:$AW$7, 'GEN-BESS'!$D$125:$AW$125), 0), IF($B14='Project List References'!$B$6, _xlfn.IFNA(_xlfn.XLOOKUP(K$2-$C14, 'GEN-CARBON'!$D$7:$AW$7, 'GEN-CARBON'!$D$124:$AW$124), 0), IF($B14='Project List References'!$B$7, _xlfn.IFNA(_xlfn.XLOOKUP(K$2-$C14, 'SENS Coal'!$D$7:$AW$7, 'SENS Coal'!$D$141:$AW$141), 0), IF($B14='Project List References'!$B$8, _xlfn.IFNA(_xlfn.XLOOKUP(K$2-$C14,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L14" s="743" t="e">
        <f>IF($B14='Project List References'!$B$3, _xlfn.IFNA(_xlfn.XLOOKUP(L$2-$C14, 'GEN-CCGT'!$D$7:$AW$7, 'GEN-CCGT'!$D$124:$AW$124), 0), IF($B14='Project List References'!$B$4, _xlfn.IFNA(_xlfn.XLOOKUP(L$2-$C14, 'GEN-SOLAR'!$D$7:$AW$7, 'GEN-SOLAR'!$D$122:$AW$122), 0), IF($B14='Project List References'!$B$5, _xlfn.IFNA(_xlfn.XLOOKUP(L$2-$C14, 'GEN-BESS'!$D$7:$AW$7, 'GEN-BESS'!$D$125:$AW$125), 0), IF($B14='Project List References'!$B$6, _xlfn.IFNA(_xlfn.XLOOKUP(L$2-$C14, 'GEN-CARBON'!$D$7:$AW$7, 'GEN-CARBON'!$D$124:$AW$124), 0), IF($B14='Project List References'!$B$7, _xlfn.IFNA(_xlfn.XLOOKUP(L$2-$C14, 'SENS Coal'!$D$7:$AW$7, 'SENS Coal'!$D$141:$AW$141), 0), IF($B14='Project List References'!$B$8, _xlfn.IFNA(_xlfn.XLOOKUP(L$2-$C14,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M14" s="743" t="e">
        <f>IF($B14='Project List References'!$B$3, _xlfn.IFNA(_xlfn.XLOOKUP(M$2-$C14, 'GEN-CCGT'!$D$7:$AW$7, 'GEN-CCGT'!$D$124:$AW$124), 0), IF($B14='Project List References'!$B$4, _xlfn.IFNA(_xlfn.XLOOKUP(M$2-$C14, 'GEN-SOLAR'!$D$7:$AW$7, 'GEN-SOLAR'!$D$122:$AW$122), 0), IF($B14='Project List References'!$B$5, _xlfn.IFNA(_xlfn.XLOOKUP(M$2-$C14, 'GEN-BESS'!$D$7:$AW$7, 'GEN-BESS'!$D$125:$AW$125), 0), IF($B14='Project List References'!$B$6, _xlfn.IFNA(_xlfn.XLOOKUP(M$2-$C14, 'GEN-CARBON'!$D$7:$AW$7, 'GEN-CARBON'!$D$124:$AW$124), 0), IF($B14='Project List References'!$B$7, _xlfn.IFNA(_xlfn.XLOOKUP(M$2-$C14, 'SENS Coal'!$D$7:$AW$7, 'SENS Coal'!$D$141:$AW$141), 0), IF($B14='Project List References'!$B$8, _xlfn.IFNA(_xlfn.XLOOKUP(M$2-$C14,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N14" s="743" t="e">
        <f>IF($B14='Project List References'!$B$3, _xlfn.IFNA(_xlfn.XLOOKUP(N$2-$C14, 'GEN-CCGT'!$D$7:$AW$7, 'GEN-CCGT'!$D$124:$AW$124), 0), IF($B14='Project List References'!$B$4, _xlfn.IFNA(_xlfn.XLOOKUP(N$2-$C14, 'GEN-SOLAR'!$D$7:$AW$7, 'GEN-SOLAR'!$D$122:$AW$122), 0), IF($B14='Project List References'!$B$5, _xlfn.IFNA(_xlfn.XLOOKUP(N$2-$C14, 'GEN-BESS'!$D$7:$AW$7, 'GEN-BESS'!$D$125:$AW$125), 0), IF($B14='Project List References'!$B$6, _xlfn.IFNA(_xlfn.XLOOKUP(N$2-$C14, 'GEN-CARBON'!$D$7:$AW$7, 'GEN-CARBON'!$D$124:$AW$124), 0), IF($B14='Project List References'!$B$7, _xlfn.IFNA(_xlfn.XLOOKUP(N$2-$C14, 'SENS Coal'!$D$7:$AW$7, 'SENS Coal'!$D$141:$AW$141), 0), IF($B14='Project List References'!$B$8, _xlfn.IFNA(_xlfn.XLOOKUP(N$2-$C14,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O14" s="743" t="e">
        <f>IF($B14='Project List References'!$B$3, _xlfn.IFNA(_xlfn.XLOOKUP(O$2-$C14, 'GEN-CCGT'!$D$7:$AW$7, 'GEN-CCGT'!$D$124:$AW$124), 0), IF($B14='Project List References'!$B$4, _xlfn.IFNA(_xlfn.XLOOKUP(O$2-$C14, 'GEN-SOLAR'!$D$7:$AW$7, 'GEN-SOLAR'!$D$122:$AW$122), 0), IF($B14='Project List References'!$B$5, _xlfn.IFNA(_xlfn.XLOOKUP(O$2-$C14, 'GEN-BESS'!$D$7:$AW$7, 'GEN-BESS'!$D$125:$AW$125), 0), IF($B14='Project List References'!$B$6, _xlfn.IFNA(_xlfn.XLOOKUP(O$2-$C14, 'GEN-CARBON'!$D$7:$AW$7, 'GEN-CARBON'!$D$124:$AW$124), 0), IF($B14='Project List References'!$B$7, _xlfn.IFNA(_xlfn.XLOOKUP(O$2-$C14, 'SENS Coal'!$D$7:$AW$7, 'SENS Coal'!$D$141:$AW$141), 0), IF($B14='Project List References'!$B$8, _xlfn.IFNA(_xlfn.XLOOKUP(O$2-$C14,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P14" s="743" t="e">
        <f>IF($B14='Project List References'!$B$3, _xlfn.IFNA(_xlfn.XLOOKUP(P$2-$C14, 'GEN-CCGT'!$D$7:$AW$7, 'GEN-CCGT'!$D$124:$AW$124), 0), IF($B14='Project List References'!$B$4, _xlfn.IFNA(_xlfn.XLOOKUP(P$2-$C14, 'GEN-SOLAR'!$D$7:$AW$7, 'GEN-SOLAR'!$D$122:$AW$122), 0), IF($B14='Project List References'!$B$5, _xlfn.IFNA(_xlfn.XLOOKUP(P$2-$C14, 'GEN-BESS'!$D$7:$AW$7, 'GEN-BESS'!$D$125:$AW$125), 0), IF($B14='Project List References'!$B$6, _xlfn.IFNA(_xlfn.XLOOKUP(P$2-$C14, 'GEN-CARBON'!$D$7:$AW$7, 'GEN-CARBON'!$D$124:$AW$124), 0), IF($B14='Project List References'!$B$7, _xlfn.IFNA(_xlfn.XLOOKUP(P$2-$C14, 'SENS Coal'!$D$7:$AW$7, 'SENS Coal'!$D$141:$AW$141), 0), IF($B14='Project List References'!$B$8, _xlfn.IFNA(_xlfn.XLOOKUP(P$2-$C14,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Q14" s="743" t="e">
        <f>IF($B14='Project List References'!$B$3, _xlfn.IFNA(_xlfn.XLOOKUP(Q$2-$C14, 'GEN-CCGT'!$D$7:$AW$7, 'GEN-CCGT'!$D$124:$AW$124), 0), IF($B14='Project List References'!$B$4, _xlfn.IFNA(_xlfn.XLOOKUP(Q$2-$C14, 'GEN-SOLAR'!$D$7:$AW$7, 'GEN-SOLAR'!$D$122:$AW$122), 0), IF($B14='Project List References'!$B$5, _xlfn.IFNA(_xlfn.XLOOKUP(Q$2-$C14, 'GEN-BESS'!$D$7:$AW$7, 'GEN-BESS'!$D$125:$AW$125), 0), IF($B14='Project List References'!$B$6, _xlfn.IFNA(_xlfn.XLOOKUP(Q$2-$C14, 'GEN-CARBON'!$D$7:$AW$7, 'GEN-CARBON'!$D$124:$AW$124), 0), IF($B14='Project List References'!$B$7, _xlfn.IFNA(_xlfn.XLOOKUP(Q$2-$C14, 'SENS Coal'!$D$7:$AW$7, 'SENS Coal'!$D$141:$AW$141), 0), IF($B14='Project List References'!$B$8, _xlfn.IFNA(_xlfn.XLOOKUP(Q$2-$C14,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R14" s="743" t="e">
        <f>IF($B14='Project List References'!$B$3, _xlfn.IFNA(_xlfn.XLOOKUP(R$2-$C14, 'GEN-CCGT'!$D$7:$AW$7, 'GEN-CCGT'!$D$124:$AW$124), 0), IF($B14='Project List References'!$B$4, _xlfn.IFNA(_xlfn.XLOOKUP(R$2-$C14, 'GEN-SOLAR'!$D$7:$AW$7, 'GEN-SOLAR'!$D$122:$AW$122), 0), IF($B14='Project List References'!$B$5, _xlfn.IFNA(_xlfn.XLOOKUP(R$2-$C14, 'GEN-BESS'!$D$7:$AW$7, 'GEN-BESS'!$D$125:$AW$125), 0), IF($B14='Project List References'!$B$6, _xlfn.IFNA(_xlfn.XLOOKUP(R$2-$C14, 'GEN-CARBON'!$D$7:$AW$7, 'GEN-CARBON'!$D$124:$AW$124), 0), IF($B14='Project List References'!$B$7, _xlfn.IFNA(_xlfn.XLOOKUP(R$2-$C14, 'SENS Coal'!$D$7:$AW$7, 'SENS Coal'!$D$141:$AW$141), 0), IF($B14='Project List References'!$B$8, _xlfn.IFNA(_xlfn.XLOOKUP(R$2-$C14,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S14" s="743" t="e">
        <f>IF($B14='Project List References'!$B$3, _xlfn.IFNA(_xlfn.XLOOKUP(S$2-$C14, 'GEN-CCGT'!$D$7:$AW$7, 'GEN-CCGT'!$D$124:$AW$124), 0), IF($B14='Project List References'!$B$4, _xlfn.IFNA(_xlfn.XLOOKUP(S$2-$C14, 'GEN-SOLAR'!$D$7:$AW$7, 'GEN-SOLAR'!$D$122:$AW$122), 0), IF($B14='Project List References'!$B$5, _xlfn.IFNA(_xlfn.XLOOKUP(S$2-$C14, 'GEN-BESS'!$D$7:$AW$7, 'GEN-BESS'!$D$125:$AW$125), 0), IF($B14='Project List References'!$B$6, _xlfn.IFNA(_xlfn.XLOOKUP(S$2-$C14, 'GEN-CARBON'!$D$7:$AW$7, 'GEN-CARBON'!$D$124:$AW$124), 0), IF($B14='Project List References'!$B$7, _xlfn.IFNA(_xlfn.XLOOKUP(S$2-$C14, 'SENS Coal'!$D$7:$AW$7, 'SENS Coal'!$D$141:$AW$141), 0), IF($B14='Project List References'!$B$8, _xlfn.IFNA(_xlfn.XLOOKUP(S$2-$C14,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T14" s="743" t="e">
        <f>IF($B14='Project List References'!$B$3, _xlfn.IFNA(_xlfn.XLOOKUP(T$2-$C14, 'GEN-CCGT'!$D$7:$AW$7, 'GEN-CCGT'!$D$124:$AW$124), 0), IF($B14='Project List References'!$B$4, _xlfn.IFNA(_xlfn.XLOOKUP(T$2-$C14, 'GEN-SOLAR'!$D$7:$AW$7, 'GEN-SOLAR'!$D$122:$AW$122), 0), IF($B14='Project List References'!$B$5, _xlfn.IFNA(_xlfn.XLOOKUP(T$2-$C14, 'GEN-BESS'!$D$7:$AW$7, 'GEN-BESS'!$D$125:$AW$125), 0), IF($B14='Project List References'!$B$6, _xlfn.IFNA(_xlfn.XLOOKUP(T$2-$C14, 'GEN-CARBON'!$D$7:$AW$7, 'GEN-CARBON'!$D$124:$AW$124), 0), IF($B14='Project List References'!$B$7, _xlfn.IFNA(_xlfn.XLOOKUP(T$2-$C14, 'SENS Coal'!$D$7:$AW$7, 'SENS Coal'!$D$141:$AW$141), 0), IF($B14='Project List References'!$B$8, _xlfn.IFNA(_xlfn.XLOOKUP(T$2-$C14, 'SENS Tires'!$D$7:$AW$7, 'SENS Tires'!$D$139:$AW$139),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</row>
    <row r="15" spans="1:111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_xlfn.XLOOKUP(A15, 'Project Master Sheet'!A:A, 'Project Master Sheet'!I:I)</f>
        <v>#N/A</v>
      </c>
      <c r="E15" s="743" t="e">
        <f>IF($B15='Project List References'!$B$3, _xlfn.IFNA(_xlfn.XLOOKUP(E$2-$C15, 'GEN-CCGT'!$D$7:$AW$7, 'GEN-CCGT'!$D$124:$AW$124), 0), IF($B15='Project List References'!$B$4, _xlfn.IFNA(_xlfn.XLOOKUP(E$2-$C15, 'GEN-SOLAR'!$D$7:$AW$7, 'GEN-SOLAR'!$D$122:$AW$122), 0), IF($B15='Project List References'!$B$5, _xlfn.IFNA(_xlfn.XLOOKUP(E$2-$C15, 'GEN-BESS'!$D$7:$AW$7, 'GEN-BESS'!$D$125:$AW$125), 0), IF($B15='Project List References'!$B$6, _xlfn.IFNA(_xlfn.XLOOKUP(E$2-$C15, 'GEN-CARBON'!$D$7:$AW$7, 'GEN-CARBON'!$D$124:$AW$124), 0), IF($B15='Project List References'!$B$7, _xlfn.IFNA(_xlfn.XLOOKUP(E$2-$C15, 'SENS Coal'!$D$7:$AW$7, 'SENS Coal'!$D$141:$AW$141), 0), IF($B15='Project List References'!$B$8, _xlfn.IFNA(_xlfn.XLOOKUP(E$2-$C15,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F15" s="743" t="e">
        <f>IF($B15='Project List References'!$B$3, _xlfn.IFNA(_xlfn.XLOOKUP(F$2-$C15, 'GEN-CCGT'!$D$7:$AW$7, 'GEN-CCGT'!$D$124:$AW$124), 0), IF($B15='Project List References'!$B$4, _xlfn.IFNA(_xlfn.XLOOKUP(F$2-$C15, 'GEN-SOLAR'!$D$7:$AW$7, 'GEN-SOLAR'!$D$122:$AW$122), 0), IF($B15='Project List References'!$B$5, _xlfn.IFNA(_xlfn.XLOOKUP(F$2-$C15, 'GEN-BESS'!$D$7:$AW$7, 'GEN-BESS'!$D$125:$AW$125), 0), IF($B15='Project List References'!$B$6, _xlfn.IFNA(_xlfn.XLOOKUP(F$2-$C15, 'GEN-CARBON'!$D$7:$AW$7, 'GEN-CARBON'!$D$124:$AW$124), 0), IF($B15='Project List References'!$B$7, _xlfn.IFNA(_xlfn.XLOOKUP(F$2-$C15, 'SENS Coal'!$D$7:$AW$7, 'SENS Coal'!$D$141:$AW$141), 0), IF($B15='Project List References'!$B$8, _xlfn.IFNA(_xlfn.XLOOKUP(F$2-$C15,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G15" s="743" t="e">
        <f>IF($B15='Project List References'!$B$3, _xlfn.IFNA(_xlfn.XLOOKUP(G$2-$C15, 'GEN-CCGT'!$D$7:$AW$7, 'GEN-CCGT'!$D$124:$AW$124), 0), IF($B15='Project List References'!$B$4, _xlfn.IFNA(_xlfn.XLOOKUP(G$2-$C15, 'GEN-SOLAR'!$D$7:$AW$7, 'GEN-SOLAR'!$D$122:$AW$122), 0), IF($B15='Project List References'!$B$5, _xlfn.IFNA(_xlfn.XLOOKUP(G$2-$C15, 'GEN-BESS'!$D$7:$AW$7, 'GEN-BESS'!$D$125:$AW$125), 0), IF($B15='Project List References'!$B$6, _xlfn.IFNA(_xlfn.XLOOKUP(G$2-$C15, 'GEN-CARBON'!$D$7:$AW$7, 'GEN-CARBON'!$D$124:$AW$124), 0), IF($B15='Project List References'!$B$7, _xlfn.IFNA(_xlfn.XLOOKUP(G$2-$C15, 'SENS Coal'!$D$7:$AW$7, 'SENS Coal'!$D$141:$AW$141), 0), IF($B15='Project List References'!$B$8, _xlfn.IFNA(_xlfn.XLOOKUP(G$2-$C15,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H15" s="743" t="e">
        <f>IF($B15='Project List References'!$B$3, _xlfn.IFNA(_xlfn.XLOOKUP(H$2-$C15, 'GEN-CCGT'!$D$7:$AW$7, 'GEN-CCGT'!$D$124:$AW$124), 0), IF($B15='Project List References'!$B$4, _xlfn.IFNA(_xlfn.XLOOKUP(H$2-$C15, 'GEN-SOLAR'!$D$7:$AW$7, 'GEN-SOLAR'!$D$122:$AW$122), 0), IF($B15='Project List References'!$B$5, _xlfn.IFNA(_xlfn.XLOOKUP(H$2-$C15, 'GEN-BESS'!$D$7:$AW$7, 'GEN-BESS'!$D$125:$AW$125), 0), IF($B15='Project List References'!$B$6, _xlfn.IFNA(_xlfn.XLOOKUP(H$2-$C15, 'GEN-CARBON'!$D$7:$AW$7, 'GEN-CARBON'!$D$124:$AW$124), 0), IF($B15='Project List References'!$B$7, _xlfn.IFNA(_xlfn.XLOOKUP(H$2-$C15, 'SENS Coal'!$D$7:$AW$7, 'SENS Coal'!$D$141:$AW$141), 0), IF($B15='Project List References'!$B$8, _xlfn.IFNA(_xlfn.XLOOKUP(H$2-$C15,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I15" s="743" t="e">
        <f>IF($B15='Project List References'!$B$3, _xlfn.IFNA(_xlfn.XLOOKUP(I$2-$C15, 'GEN-CCGT'!$D$7:$AW$7, 'GEN-CCGT'!$D$124:$AW$124), 0), IF($B15='Project List References'!$B$4, _xlfn.IFNA(_xlfn.XLOOKUP(I$2-$C15, 'GEN-SOLAR'!$D$7:$AW$7, 'GEN-SOLAR'!$D$122:$AW$122), 0), IF($B15='Project List References'!$B$5, _xlfn.IFNA(_xlfn.XLOOKUP(I$2-$C15, 'GEN-BESS'!$D$7:$AW$7, 'GEN-BESS'!$D$125:$AW$125), 0), IF($B15='Project List References'!$B$6, _xlfn.IFNA(_xlfn.XLOOKUP(I$2-$C15, 'GEN-CARBON'!$D$7:$AW$7, 'GEN-CARBON'!$D$124:$AW$124), 0), IF($B15='Project List References'!$B$7, _xlfn.IFNA(_xlfn.XLOOKUP(I$2-$C15, 'SENS Coal'!$D$7:$AW$7, 'SENS Coal'!$D$141:$AW$141), 0), IF($B15='Project List References'!$B$8, _xlfn.IFNA(_xlfn.XLOOKUP(I$2-$C15,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J15" s="743" t="e">
        <f>IF($B15='Project List References'!$B$3, _xlfn.IFNA(_xlfn.XLOOKUP(J$2-$C15, 'GEN-CCGT'!$D$7:$AW$7, 'GEN-CCGT'!$D$124:$AW$124), 0), IF($B15='Project List References'!$B$4, _xlfn.IFNA(_xlfn.XLOOKUP(J$2-$C15, 'GEN-SOLAR'!$D$7:$AW$7, 'GEN-SOLAR'!$D$122:$AW$122), 0), IF($B15='Project List References'!$B$5, _xlfn.IFNA(_xlfn.XLOOKUP(J$2-$C15, 'GEN-BESS'!$D$7:$AW$7, 'GEN-BESS'!$D$125:$AW$125), 0), IF($B15='Project List References'!$B$6, _xlfn.IFNA(_xlfn.XLOOKUP(J$2-$C15, 'GEN-CARBON'!$D$7:$AW$7, 'GEN-CARBON'!$D$124:$AW$124), 0), IF($B15='Project List References'!$B$7, _xlfn.IFNA(_xlfn.XLOOKUP(J$2-$C15, 'SENS Coal'!$D$7:$AW$7, 'SENS Coal'!$D$141:$AW$141), 0), IF($B15='Project List References'!$B$8, _xlfn.IFNA(_xlfn.XLOOKUP(J$2-$C15,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K15" s="743" t="e">
        <f>IF($B15='Project List References'!$B$3, _xlfn.IFNA(_xlfn.XLOOKUP(K$2-$C15, 'GEN-CCGT'!$D$7:$AW$7, 'GEN-CCGT'!$D$124:$AW$124), 0), IF($B15='Project List References'!$B$4, _xlfn.IFNA(_xlfn.XLOOKUP(K$2-$C15, 'GEN-SOLAR'!$D$7:$AW$7, 'GEN-SOLAR'!$D$122:$AW$122), 0), IF($B15='Project List References'!$B$5, _xlfn.IFNA(_xlfn.XLOOKUP(K$2-$C15, 'GEN-BESS'!$D$7:$AW$7, 'GEN-BESS'!$D$125:$AW$125), 0), IF($B15='Project List References'!$B$6, _xlfn.IFNA(_xlfn.XLOOKUP(K$2-$C15, 'GEN-CARBON'!$D$7:$AW$7, 'GEN-CARBON'!$D$124:$AW$124), 0), IF($B15='Project List References'!$B$7, _xlfn.IFNA(_xlfn.XLOOKUP(K$2-$C15, 'SENS Coal'!$D$7:$AW$7, 'SENS Coal'!$D$141:$AW$141), 0), IF($B15='Project List References'!$B$8, _xlfn.IFNA(_xlfn.XLOOKUP(K$2-$C15,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L15" s="743" t="e">
        <f>IF($B15='Project List References'!$B$3, _xlfn.IFNA(_xlfn.XLOOKUP(L$2-$C15, 'GEN-CCGT'!$D$7:$AW$7, 'GEN-CCGT'!$D$124:$AW$124), 0), IF($B15='Project List References'!$B$4, _xlfn.IFNA(_xlfn.XLOOKUP(L$2-$C15, 'GEN-SOLAR'!$D$7:$AW$7, 'GEN-SOLAR'!$D$122:$AW$122), 0), IF($B15='Project List References'!$B$5, _xlfn.IFNA(_xlfn.XLOOKUP(L$2-$C15, 'GEN-BESS'!$D$7:$AW$7, 'GEN-BESS'!$D$125:$AW$125), 0), IF($B15='Project List References'!$B$6, _xlfn.IFNA(_xlfn.XLOOKUP(L$2-$C15, 'GEN-CARBON'!$D$7:$AW$7, 'GEN-CARBON'!$D$124:$AW$124), 0), IF($B15='Project List References'!$B$7, _xlfn.IFNA(_xlfn.XLOOKUP(L$2-$C15, 'SENS Coal'!$D$7:$AW$7, 'SENS Coal'!$D$141:$AW$141), 0), IF($B15='Project List References'!$B$8, _xlfn.IFNA(_xlfn.XLOOKUP(L$2-$C15,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M15" s="743" t="e">
        <f>IF($B15='Project List References'!$B$3, _xlfn.IFNA(_xlfn.XLOOKUP(M$2-$C15, 'GEN-CCGT'!$D$7:$AW$7, 'GEN-CCGT'!$D$124:$AW$124), 0), IF($B15='Project List References'!$B$4, _xlfn.IFNA(_xlfn.XLOOKUP(M$2-$C15, 'GEN-SOLAR'!$D$7:$AW$7, 'GEN-SOLAR'!$D$122:$AW$122), 0), IF($B15='Project List References'!$B$5, _xlfn.IFNA(_xlfn.XLOOKUP(M$2-$C15, 'GEN-BESS'!$D$7:$AW$7, 'GEN-BESS'!$D$125:$AW$125), 0), IF($B15='Project List References'!$B$6, _xlfn.IFNA(_xlfn.XLOOKUP(M$2-$C15, 'GEN-CARBON'!$D$7:$AW$7, 'GEN-CARBON'!$D$124:$AW$124), 0), IF($B15='Project List References'!$B$7, _xlfn.IFNA(_xlfn.XLOOKUP(M$2-$C15, 'SENS Coal'!$D$7:$AW$7, 'SENS Coal'!$D$141:$AW$141), 0), IF($B15='Project List References'!$B$8, _xlfn.IFNA(_xlfn.XLOOKUP(M$2-$C15,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N15" s="743" t="e">
        <f>IF($B15='Project List References'!$B$3, _xlfn.IFNA(_xlfn.XLOOKUP(N$2-$C15, 'GEN-CCGT'!$D$7:$AW$7, 'GEN-CCGT'!$D$124:$AW$124), 0), IF($B15='Project List References'!$B$4, _xlfn.IFNA(_xlfn.XLOOKUP(N$2-$C15, 'GEN-SOLAR'!$D$7:$AW$7, 'GEN-SOLAR'!$D$122:$AW$122), 0), IF($B15='Project List References'!$B$5, _xlfn.IFNA(_xlfn.XLOOKUP(N$2-$C15, 'GEN-BESS'!$D$7:$AW$7, 'GEN-BESS'!$D$125:$AW$125), 0), IF($B15='Project List References'!$B$6, _xlfn.IFNA(_xlfn.XLOOKUP(N$2-$C15, 'GEN-CARBON'!$D$7:$AW$7, 'GEN-CARBON'!$D$124:$AW$124), 0), IF($B15='Project List References'!$B$7, _xlfn.IFNA(_xlfn.XLOOKUP(N$2-$C15, 'SENS Coal'!$D$7:$AW$7, 'SENS Coal'!$D$141:$AW$141), 0), IF($B15='Project List References'!$B$8, _xlfn.IFNA(_xlfn.XLOOKUP(N$2-$C15,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O15" s="743" t="e">
        <f>IF($B15='Project List References'!$B$3, _xlfn.IFNA(_xlfn.XLOOKUP(O$2-$C15, 'GEN-CCGT'!$D$7:$AW$7, 'GEN-CCGT'!$D$124:$AW$124), 0), IF($B15='Project List References'!$B$4, _xlfn.IFNA(_xlfn.XLOOKUP(O$2-$C15, 'GEN-SOLAR'!$D$7:$AW$7, 'GEN-SOLAR'!$D$122:$AW$122), 0), IF($B15='Project List References'!$B$5, _xlfn.IFNA(_xlfn.XLOOKUP(O$2-$C15, 'GEN-BESS'!$D$7:$AW$7, 'GEN-BESS'!$D$125:$AW$125), 0), IF($B15='Project List References'!$B$6, _xlfn.IFNA(_xlfn.XLOOKUP(O$2-$C15, 'GEN-CARBON'!$D$7:$AW$7, 'GEN-CARBON'!$D$124:$AW$124), 0), IF($B15='Project List References'!$B$7, _xlfn.IFNA(_xlfn.XLOOKUP(O$2-$C15, 'SENS Coal'!$D$7:$AW$7, 'SENS Coal'!$D$141:$AW$141), 0), IF($B15='Project List References'!$B$8, _xlfn.IFNA(_xlfn.XLOOKUP(O$2-$C15,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P15" s="743" t="e">
        <f>IF($B15='Project List References'!$B$3, _xlfn.IFNA(_xlfn.XLOOKUP(P$2-$C15, 'GEN-CCGT'!$D$7:$AW$7, 'GEN-CCGT'!$D$124:$AW$124), 0), IF($B15='Project List References'!$B$4, _xlfn.IFNA(_xlfn.XLOOKUP(P$2-$C15, 'GEN-SOLAR'!$D$7:$AW$7, 'GEN-SOLAR'!$D$122:$AW$122), 0), IF($B15='Project List References'!$B$5, _xlfn.IFNA(_xlfn.XLOOKUP(P$2-$C15, 'GEN-BESS'!$D$7:$AW$7, 'GEN-BESS'!$D$125:$AW$125), 0), IF($B15='Project List References'!$B$6, _xlfn.IFNA(_xlfn.XLOOKUP(P$2-$C15, 'GEN-CARBON'!$D$7:$AW$7, 'GEN-CARBON'!$D$124:$AW$124), 0), IF($B15='Project List References'!$B$7, _xlfn.IFNA(_xlfn.XLOOKUP(P$2-$C15, 'SENS Coal'!$D$7:$AW$7, 'SENS Coal'!$D$141:$AW$141), 0), IF($B15='Project List References'!$B$8, _xlfn.IFNA(_xlfn.XLOOKUP(P$2-$C15,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Q15" s="743" t="e">
        <f>IF($B15='Project List References'!$B$3, _xlfn.IFNA(_xlfn.XLOOKUP(Q$2-$C15, 'GEN-CCGT'!$D$7:$AW$7, 'GEN-CCGT'!$D$124:$AW$124), 0), IF($B15='Project List References'!$B$4, _xlfn.IFNA(_xlfn.XLOOKUP(Q$2-$C15, 'GEN-SOLAR'!$D$7:$AW$7, 'GEN-SOLAR'!$D$122:$AW$122), 0), IF($B15='Project List References'!$B$5, _xlfn.IFNA(_xlfn.XLOOKUP(Q$2-$C15, 'GEN-BESS'!$D$7:$AW$7, 'GEN-BESS'!$D$125:$AW$125), 0), IF($B15='Project List References'!$B$6, _xlfn.IFNA(_xlfn.XLOOKUP(Q$2-$C15, 'GEN-CARBON'!$D$7:$AW$7, 'GEN-CARBON'!$D$124:$AW$124), 0), IF($B15='Project List References'!$B$7, _xlfn.IFNA(_xlfn.XLOOKUP(Q$2-$C15, 'SENS Coal'!$D$7:$AW$7, 'SENS Coal'!$D$141:$AW$141), 0), IF($B15='Project List References'!$B$8, _xlfn.IFNA(_xlfn.XLOOKUP(Q$2-$C15,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R15" s="743" t="e">
        <f>IF($B15='Project List References'!$B$3, _xlfn.IFNA(_xlfn.XLOOKUP(R$2-$C15, 'GEN-CCGT'!$D$7:$AW$7, 'GEN-CCGT'!$D$124:$AW$124), 0), IF($B15='Project List References'!$B$4, _xlfn.IFNA(_xlfn.XLOOKUP(R$2-$C15, 'GEN-SOLAR'!$D$7:$AW$7, 'GEN-SOLAR'!$D$122:$AW$122), 0), IF($B15='Project List References'!$B$5, _xlfn.IFNA(_xlfn.XLOOKUP(R$2-$C15, 'GEN-BESS'!$D$7:$AW$7, 'GEN-BESS'!$D$125:$AW$125), 0), IF($B15='Project List References'!$B$6, _xlfn.IFNA(_xlfn.XLOOKUP(R$2-$C15, 'GEN-CARBON'!$D$7:$AW$7, 'GEN-CARBON'!$D$124:$AW$124), 0), IF($B15='Project List References'!$B$7, _xlfn.IFNA(_xlfn.XLOOKUP(R$2-$C15, 'SENS Coal'!$D$7:$AW$7, 'SENS Coal'!$D$141:$AW$141), 0), IF($B15='Project List References'!$B$8, _xlfn.IFNA(_xlfn.XLOOKUP(R$2-$C15,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S15" s="743" t="e">
        <f>IF($B15='Project List References'!$B$3, _xlfn.IFNA(_xlfn.XLOOKUP(S$2-$C15, 'GEN-CCGT'!$D$7:$AW$7, 'GEN-CCGT'!$D$124:$AW$124), 0), IF($B15='Project List References'!$B$4, _xlfn.IFNA(_xlfn.XLOOKUP(S$2-$C15, 'GEN-SOLAR'!$D$7:$AW$7, 'GEN-SOLAR'!$D$122:$AW$122), 0), IF($B15='Project List References'!$B$5, _xlfn.IFNA(_xlfn.XLOOKUP(S$2-$C15, 'GEN-BESS'!$D$7:$AW$7, 'GEN-BESS'!$D$125:$AW$125), 0), IF($B15='Project List References'!$B$6, _xlfn.IFNA(_xlfn.XLOOKUP(S$2-$C15, 'GEN-CARBON'!$D$7:$AW$7, 'GEN-CARBON'!$D$124:$AW$124), 0), IF($B15='Project List References'!$B$7, _xlfn.IFNA(_xlfn.XLOOKUP(S$2-$C15, 'SENS Coal'!$D$7:$AW$7, 'SENS Coal'!$D$141:$AW$141), 0), IF($B15='Project List References'!$B$8, _xlfn.IFNA(_xlfn.XLOOKUP(S$2-$C15,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T15" s="743" t="e">
        <f>IF($B15='Project List References'!$B$3, _xlfn.IFNA(_xlfn.XLOOKUP(T$2-$C15, 'GEN-CCGT'!$D$7:$AW$7, 'GEN-CCGT'!$D$124:$AW$124), 0), IF($B15='Project List References'!$B$4, _xlfn.IFNA(_xlfn.XLOOKUP(T$2-$C15, 'GEN-SOLAR'!$D$7:$AW$7, 'GEN-SOLAR'!$D$122:$AW$122), 0), IF($B15='Project List References'!$B$5, _xlfn.IFNA(_xlfn.XLOOKUP(T$2-$C15, 'GEN-BESS'!$D$7:$AW$7, 'GEN-BESS'!$D$125:$AW$125), 0), IF($B15='Project List References'!$B$6, _xlfn.IFNA(_xlfn.XLOOKUP(T$2-$C15, 'GEN-CARBON'!$D$7:$AW$7, 'GEN-CARBON'!$D$124:$AW$124), 0), IF($B15='Project List References'!$B$7, _xlfn.IFNA(_xlfn.XLOOKUP(T$2-$C15, 'SENS Coal'!$D$7:$AW$7, 'SENS Coal'!$D$141:$AW$141), 0), IF($B15='Project List References'!$B$8, _xlfn.IFNA(_xlfn.XLOOKUP(T$2-$C15, 'SENS Tires'!$D$7:$AW$7, 'SENS Tires'!$D$139:$AW$139),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</row>
    <row r="16" spans="1:111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_xlfn.XLOOKUP(A16, 'Project Master Sheet'!A:A, 'Project Master Sheet'!I:I)</f>
        <v>#N/A</v>
      </c>
      <c r="E16" s="743" t="e">
        <f>IF($B16='Project List References'!$B$3, _xlfn.IFNA(_xlfn.XLOOKUP(E$2-$C16, 'GEN-CCGT'!$D$7:$AW$7, 'GEN-CCGT'!$D$124:$AW$124), 0), IF($B16='Project List References'!$B$4, _xlfn.IFNA(_xlfn.XLOOKUP(E$2-$C16, 'GEN-SOLAR'!$D$7:$AW$7, 'GEN-SOLAR'!$D$122:$AW$122), 0), IF($B16='Project List References'!$B$5, _xlfn.IFNA(_xlfn.XLOOKUP(E$2-$C16, 'GEN-BESS'!$D$7:$AW$7, 'GEN-BESS'!$D$125:$AW$125), 0), IF($B16='Project List References'!$B$6, _xlfn.IFNA(_xlfn.XLOOKUP(E$2-$C16, 'GEN-CARBON'!$D$7:$AW$7, 'GEN-CARBON'!$D$124:$AW$124), 0), IF($B16='Project List References'!$B$7, _xlfn.IFNA(_xlfn.XLOOKUP(E$2-$C16, 'SENS Coal'!$D$7:$AW$7, 'SENS Coal'!$D$141:$AW$141), 0), IF($B16='Project List References'!$B$8, _xlfn.IFNA(_xlfn.XLOOKUP(E$2-$C16,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F16" s="743" t="e">
        <f>IF($B16='Project List References'!$B$3, _xlfn.IFNA(_xlfn.XLOOKUP(F$2-$C16, 'GEN-CCGT'!$D$7:$AW$7, 'GEN-CCGT'!$D$124:$AW$124), 0), IF($B16='Project List References'!$B$4, _xlfn.IFNA(_xlfn.XLOOKUP(F$2-$C16, 'GEN-SOLAR'!$D$7:$AW$7, 'GEN-SOLAR'!$D$122:$AW$122), 0), IF($B16='Project List References'!$B$5, _xlfn.IFNA(_xlfn.XLOOKUP(F$2-$C16, 'GEN-BESS'!$D$7:$AW$7, 'GEN-BESS'!$D$125:$AW$125), 0), IF($B16='Project List References'!$B$6, _xlfn.IFNA(_xlfn.XLOOKUP(F$2-$C16, 'GEN-CARBON'!$D$7:$AW$7, 'GEN-CARBON'!$D$124:$AW$124), 0), IF($B16='Project List References'!$B$7, _xlfn.IFNA(_xlfn.XLOOKUP(F$2-$C16, 'SENS Coal'!$D$7:$AW$7, 'SENS Coal'!$D$141:$AW$141), 0), IF($B16='Project List References'!$B$8, _xlfn.IFNA(_xlfn.XLOOKUP(F$2-$C16,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G16" s="743" t="e">
        <f>IF($B16='Project List References'!$B$3, _xlfn.IFNA(_xlfn.XLOOKUP(G$2-$C16, 'GEN-CCGT'!$D$7:$AW$7, 'GEN-CCGT'!$D$124:$AW$124), 0), IF($B16='Project List References'!$B$4, _xlfn.IFNA(_xlfn.XLOOKUP(G$2-$C16, 'GEN-SOLAR'!$D$7:$AW$7, 'GEN-SOLAR'!$D$122:$AW$122), 0), IF($B16='Project List References'!$B$5, _xlfn.IFNA(_xlfn.XLOOKUP(G$2-$C16, 'GEN-BESS'!$D$7:$AW$7, 'GEN-BESS'!$D$125:$AW$125), 0), IF($B16='Project List References'!$B$6, _xlfn.IFNA(_xlfn.XLOOKUP(G$2-$C16, 'GEN-CARBON'!$D$7:$AW$7, 'GEN-CARBON'!$D$124:$AW$124), 0), IF($B16='Project List References'!$B$7, _xlfn.IFNA(_xlfn.XLOOKUP(G$2-$C16, 'SENS Coal'!$D$7:$AW$7, 'SENS Coal'!$D$141:$AW$141), 0), IF($B16='Project List References'!$B$8, _xlfn.IFNA(_xlfn.XLOOKUP(G$2-$C16,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H16" s="743" t="e">
        <f>IF($B16='Project List References'!$B$3, _xlfn.IFNA(_xlfn.XLOOKUP(H$2-$C16, 'GEN-CCGT'!$D$7:$AW$7, 'GEN-CCGT'!$D$124:$AW$124), 0), IF($B16='Project List References'!$B$4, _xlfn.IFNA(_xlfn.XLOOKUP(H$2-$C16, 'GEN-SOLAR'!$D$7:$AW$7, 'GEN-SOLAR'!$D$122:$AW$122), 0), IF($B16='Project List References'!$B$5, _xlfn.IFNA(_xlfn.XLOOKUP(H$2-$C16, 'GEN-BESS'!$D$7:$AW$7, 'GEN-BESS'!$D$125:$AW$125), 0), IF($B16='Project List References'!$B$6, _xlfn.IFNA(_xlfn.XLOOKUP(H$2-$C16, 'GEN-CARBON'!$D$7:$AW$7, 'GEN-CARBON'!$D$124:$AW$124), 0), IF($B16='Project List References'!$B$7, _xlfn.IFNA(_xlfn.XLOOKUP(H$2-$C16, 'SENS Coal'!$D$7:$AW$7, 'SENS Coal'!$D$141:$AW$141), 0), IF($B16='Project List References'!$B$8, _xlfn.IFNA(_xlfn.XLOOKUP(H$2-$C16,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I16" s="743" t="e">
        <f>IF($B16='Project List References'!$B$3, _xlfn.IFNA(_xlfn.XLOOKUP(I$2-$C16, 'GEN-CCGT'!$D$7:$AW$7, 'GEN-CCGT'!$D$124:$AW$124), 0), IF($B16='Project List References'!$B$4, _xlfn.IFNA(_xlfn.XLOOKUP(I$2-$C16, 'GEN-SOLAR'!$D$7:$AW$7, 'GEN-SOLAR'!$D$122:$AW$122), 0), IF($B16='Project List References'!$B$5, _xlfn.IFNA(_xlfn.XLOOKUP(I$2-$C16, 'GEN-BESS'!$D$7:$AW$7, 'GEN-BESS'!$D$125:$AW$125), 0), IF($B16='Project List References'!$B$6, _xlfn.IFNA(_xlfn.XLOOKUP(I$2-$C16, 'GEN-CARBON'!$D$7:$AW$7, 'GEN-CARBON'!$D$124:$AW$124), 0), IF($B16='Project List References'!$B$7, _xlfn.IFNA(_xlfn.XLOOKUP(I$2-$C16, 'SENS Coal'!$D$7:$AW$7, 'SENS Coal'!$D$141:$AW$141), 0), IF($B16='Project List References'!$B$8, _xlfn.IFNA(_xlfn.XLOOKUP(I$2-$C16,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J16" s="743" t="e">
        <f>IF($B16='Project List References'!$B$3, _xlfn.IFNA(_xlfn.XLOOKUP(J$2-$C16, 'GEN-CCGT'!$D$7:$AW$7, 'GEN-CCGT'!$D$124:$AW$124), 0), IF($B16='Project List References'!$B$4, _xlfn.IFNA(_xlfn.XLOOKUP(J$2-$C16, 'GEN-SOLAR'!$D$7:$AW$7, 'GEN-SOLAR'!$D$122:$AW$122), 0), IF($B16='Project List References'!$B$5, _xlfn.IFNA(_xlfn.XLOOKUP(J$2-$C16, 'GEN-BESS'!$D$7:$AW$7, 'GEN-BESS'!$D$125:$AW$125), 0), IF($B16='Project List References'!$B$6, _xlfn.IFNA(_xlfn.XLOOKUP(J$2-$C16, 'GEN-CARBON'!$D$7:$AW$7, 'GEN-CARBON'!$D$124:$AW$124), 0), IF($B16='Project List References'!$B$7, _xlfn.IFNA(_xlfn.XLOOKUP(J$2-$C16, 'SENS Coal'!$D$7:$AW$7, 'SENS Coal'!$D$141:$AW$141), 0), IF($B16='Project List References'!$B$8, _xlfn.IFNA(_xlfn.XLOOKUP(J$2-$C16,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K16" s="743" t="e">
        <f>IF($B16='Project List References'!$B$3, _xlfn.IFNA(_xlfn.XLOOKUP(K$2-$C16, 'GEN-CCGT'!$D$7:$AW$7, 'GEN-CCGT'!$D$124:$AW$124), 0), IF($B16='Project List References'!$B$4, _xlfn.IFNA(_xlfn.XLOOKUP(K$2-$C16, 'GEN-SOLAR'!$D$7:$AW$7, 'GEN-SOLAR'!$D$122:$AW$122), 0), IF($B16='Project List References'!$B$5, _xlfn.IFNA(_xlfn.XLOOKUP(K$2-$C16, 'GEN-BESS'!$D$7:$AW$7, 'GEN-BESS'!$D$125:$AW$125), 0), IF($B16='Project List References'!$B$6, _xlfn.IFNA(_xlfn.XLOOKUP(K$2-$C16, 'GEN-CARBON'!$D$7:$AW$7, 'GEN-CARBON'!$D$124:$AW$124), 0), IF($B16='Project List References'!$B$7, _xlfn.IFNA(_xlfn.XLOOKUP(K$2-$C16, 'SENS Coal'!$D$7:$AW$7, 'SENS Coal'!$D$141:$AW$141), 0), IF($B16='Project List References'!$B$8, _xlfn.IFNA(_xlfn.XLOOKUP(K$2-$C16,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L16" s="743" t="e">
        <f>IF($B16='Project List References'!$B$3, _xlfn.IFNA(_xlfn.XLOOKUP(L$2-$C16, 'GEN-CCGT'!$D$7:$AW$7, 'GEN-CCGT'!$D$124:$AW$124), 0), IF($B16='Project List References'!$B$4, _xlfn.IFNA(_xlfn.XLOOKUP(L$2-$C16, 'GEN-SOLAR'!$D$7:$AW$7, 'GEN-SOLAR'!$D$122:$AW$122), 0), IF($B16='Project List References'!$B$5, _xlfn.IFNA(_xlfn.XLOOKUP(L$2-$C16, 'GEN-BESS'!$D$7:$AW$7, 'GEN-BESS'!$D$125:$AW$125), 0), IF($B16='Project List References'!$B$6, _xlfn.IFNA(_xlfn.XLOOKUP(L$2-$C16, 'GEN-CARBON'!$D$7:$AW$7, 'GEN-CARBON'!$D$124:$AW$124), 0), IF($B16='Project List References'!$B$7, _xlfn.IFNA(_xlfn.XLOOKUP(L$2-$C16, 'SENS Coal'!$D$7:$AW$7, 'SENS Coal'!$D$141:$AW$141), 0), IF($B16='Project List References'!$B$8, _xlfn.IFNA(_xlfn.XLOOKUP(L$2-$C16,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M16" s="743" t="e">
        <f>IF($B16='Project List References'!$B$3, _xlfn.IFNA(_xlfn.XLOOKUP(M$2-$C16, 'GEN-CCGT'!$D$7:$AW$7, 'GEN-CCGT'!$D$124:$AW$124), 0), IF($B16='Project List References'!$B$4, _xlfn.IFNA(_xlfn.XLOOKUP(M$2-$C16, 'GEN-SOLAR'!$D$7:$AW$7, 'GEN-SOLAR'!$D$122:$AW$122), 0), IF($B16='Project List References'!$B$5, _xlfn.IFNA(_xlfn.XLOOKUP(M$2-$C16, 'GEN-BESS'!$D$7:$AW$7, 'GEN-BESS'!$D$125:$AW$125), 0), IF($B16='Project List References'!$B$6, _xlfn.IFNA(_xlfn.XLOOKUP(M$2-$C16, 'GEN-CARBON'!$D$7:$AW$7, 'GEN-CARBON'!$D$124:$AW$124), 0), IF($B16='Project List References'!$B$7, _xlfn.IFNA(_xlfn.XLOOKUP(M$2-$C16, 'SENS Coal'!$D$7:$AW$7, 'SENS Coal'!$D$141:$AW$141), 0), IF($B16='Project List References'!$B$8, _xlfn.IFNA(_xlfn.XLOOKUP(M$2-$C16,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N16" s="743" t="e">
        <f>IF($B16='Project List References'!$B$3, _xlfn.IFNA(_xlfn.XLOOKUP(N$2-$C16, 'GEN-CCGT'!$D$7:$AW$7, 'GEN-CCGT'!$D$124:$AW$124), 0), IF($B16='Project List References'!$B$4, _xlfn.IFNA(_xlfn.XLOOKUP(N$2-$C16, 'GEN-SOLAR'!$D$7:$AW$7, 'GEN-SOLAR'!$D$122:$AW$122), 0), IF($B16='Project List References'!$B$5, _xlfn.IFNA(_xlfn.XLOOKUP(N$2-$C16, 'GEN-BESS'!$D$7:$AW$7, 'GEN-BESS'!$D$125:$AW$125), 0), IF($B16='Project List References'!$B$6, _xlfn.IFNA(_xlfn.XLOOKUP(N$2-$C16, 'GEN-CARBON'!$D$7:$AW$7, 'GEN-CARBON'!$D$124:$AW$124), 0), IF($B16='Project List References'!$B$7, _xlfn.IFNA(_xlfn.XLOOKUP(N$2-$C16, 'SENS Coal'!$D$7:$AW$7, 'SENS Coal'!$D$141:$AW$141), 0), IF($B16='Project List References'!$B$8, _xlfn.IFNA(_xlfn.XLOOKUP(N$2-$C16,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O16" s="743" t="e">
        <f>IF($B16='Project List References'!$B$3, _xlfn.IFNA(_xlfn.XLOOKUP(O$2-$C16, 'GEN-CCGT'!$D$7:$AW$7, 'GEN-CCGT'!$D$124:$AW$124), 0), IF($B16='Project List References'!$B$4, _xlfn.IFNA(_xlfn.XLOOKUP(O$2-$C16, 'GEN-SOLAR'!$D$7:$AW$7, 'GEN-SOLAR'!$D$122:$AW$122), 0), IF($B16='Project List References'!$B$5, _xlfn.IFNA(_xlfn.XLOOKUP(O$2-$C16, 'GEN-BESS'!$D$7:$AW$7, 'GEN-BESS'!$D$125:$AW$125), 0), IF($B16='Project List References'!$B$6, _xlfn.IFNA(_xlfn.XLOOKUP(O$2-$C16, 'GEN-CARBON'!$D$7:$AW$7, 'GEN-CARBON'!$D$124:$AW$124), 0), IF($B16='Project List References'!$B$7, _xlfn.IFNA(_xlfn.XLOOKUP(O$2-$C16, 'SENS Coal'!$D$7:$AW$7, 'SENS Coal'!$D$141:$AW$141), 0), IF($B16='Project List References'!$B$8, _xlfn.IFNA(_xlfn.XLOOKUP(O$2-$C16,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P16" s="743" t="e">
        <f>IF($B16='Project List References'!$B$3, _xlfn.IFNA(_xlfn.XLOOKUP(P$2-$C16, 'GEN-CCGT'!$D$7:$AW$7, 'GEN-CCGT'!$D$124:$AW$124), 0), IF($B16='Project List References'!$B$4, _xlfn.IFNA(_xlfn.XLOOKUP(P$2-$C16, 'GEN-SOLAR'!$D$7:$AW$7, 'GEN-SOLAR'!$D$122:$AW$122), 0), IF($B16='Project List References'!$B$5, _xlfn.IFNA(_xlfn.XLOOKUP(P$2-$C16, 'GEN-BESS'!$D$7:$AW$7, 'GEN-BESS'!$D$125:$AW$125), 0), IF($B16='Project List References'!$B$6, _xlfn.IFNA(_xlfn.XLOOKUP(P$2-$C16, 'GEN-CARBON'!$D$7:$AW$7, 'GEN-CARBON'!$D$124:$AW$124), 0), IF($B16='Project List References'!$B$7, _xlfn.IFNA(_xlfn.XLOOKUP(P$2-$C16, 'SENS Coal'!$D$7:$AW$7, 'SENS Coal'!$D$141:$AW$141), 0), IF($B16='Project List References'!$B$8, _xlfn.IFNA(_xlfn.XLOOKUP(P$2-$C16,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Q16" s="743" t="e">
        <f>IF($B16='Project List References'!$B$3, _xlfn.IFNA(_xlfn.XLOOKUP(Q$2-$C16, 'GEN-CCGT'!$D$7:$AW$7, 'GEN-CCGT'!$D$124:$AW$124), 0), IF($B16='Project List References'!$B$4, _xlfn.IFNA(_xlfn.XLOOKUP(Q$2-$C16, 'GEN-SOLAR'!$D$7:$AW$7, 'GEN-SOLAR'!$D$122:$AW$122), 0), IF($B16='Project List References'!$B$5, _xlfn.IFNA(_xlfn.XLOOKUP(Q$2-$C16, 'GEN-BESS'!$D$7:$AW$7, 'GEN-BESS'!$D$125:$AW$125), 0), IF($B16='Project List References'!$B$6, _xlfn.IFNA(_xlfn.XLOOKUP(Q$2-$C16, 'GEN-CARBON'!$D$7:$AW$7, 'GEN-CARBON'!$D$124:$AW$124), 0), IF($B16='Project List References'!$B$7, _xlfn.IFNA(_xlfn.XLOOKUP(Q$2-$C16, 'SENS Coal'!$D$7:$AW$7, 'SENS Coal'!$D$141:$AW$141), 0), IF($B16='Project List References'!$B$8, _xlfn.IFNA(_xlfn.XLOOKUP(Q$2-$C16,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R16" s="743" t="e">
        <f>IF($B16='Project List References'!$B$3, _xlfn.IFNA(_xlfn.XLOOKUP(R$2-$C16, 'GEN-CCGT'!$D$7:$AW$7, 'GEN-CCGT'!$D$124:$AW$124), 0), IF($B16='Project List References'!$B$4, _xlfn.IFNA(_xlfn.XLOOKUP(R$2-$C16, 'GEN-SOLAR'!$D$7:$AW$7, 'GEN-SOLAR'!$D$122:$AW$122), 0), IF($B16='Project List References'!$B$5, _xlfn.IFNA(_xlfn.XLOOKUP(R$2-$C16, 'GEN-BESS'!$D$7:$AW$7, 'GEN-BESS'!$D$125:$AW$125), 0), IF($B16='Project List References'!$B$6, _xlfn.IFNA(_xlfn.XLOOKUP(R$2-$C16, 'GEN-CARBON'!$D$7:$AW$7, 'GEN-CARBON'!$D$124:$AW$124), 0), IF($B16='Project List References'!$B$7, _xlfn.IFNA(_xlfn.XLOOKUP(R$2-$C16, 'SENS Coal'!$D$7:$AW$7, 'SENS Coal'!$D$141:$AW$141), 0), IF($B16='Project List References'!$B$8, _xlfn.IFNA(_xlfn.XLOOKUP(R$2-$C16,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S16" s="743" t="e">
        <f>IF($B16='Project List References'!$B$3, _xlfn.IFNA(_xlfn.XLOOKUP(S$2-$C16, 'GEN-CCGT'!$D$7:$AW$7, 'GEN-CCGT'!$D$124:$AW$124), 0), IF($B16='Project List References'!$B$4, _xlfn.IFNA(_xlfn.XLOOKUP(S$2-$C16, 'GEN-SOLAR'!$D$7:$AW$7, 'GEN-SOLAR'!$D$122:$AW$122), 0), IF($B16='Project List References'!$B$5, _xlfn.IFNA(_xlfn.XLOOKUP(S$2-$C16, 'GEN-BESS'!$D$7:$AW$7, 'GEN-BESS'!$D$125:$AW$125), 0), IF($B16='Project List References'!$B$6, _xlfn.IFNA(_xlfn.XLOOKUP(S$2-$C16, 'GEN-CARBON'!$D$7:$AW$7, 'GEN-CARBON'!$D$124:$AW$124), 0), IF($B16='Project List References'!$B$7, _xlfn.IFNA(_xlfn.XLOOKUP(S$2-$C16, 'SENS Coal'!$D$7:$AW$7, 'SENS Coal'!$D$141:$AW$141), 0), IF($B16='Project List References'!$B$8, _xlfn.IFNA(_xlfn.XLOOKUP(S$2-$C16,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T16" s="743" t="e">
        <f>IF($B16='Project List References'!$B$3, _xlfn.IFNA(_xlfn.XLOOKUP(T$2-$C16, 'GEN-CCGT'!$D$7:$AW$7, 'GEN-CCGT'!$D$124:$AW$124), 0), IF($B16='Project List References'!$B$4, _xlfn.IFNA(_xlfn.XLOOKUP(T$2-$C16, 'GEN-SOLAR'!$D$7:$AW$7, 'GEN-SOLAR'!$D$122:$AW$122), 0), IF($B16='Project List References'!$B$5, _xlfn.IFNA(_xlfn.XLOOKUP(T$2-$C16, 'GEN-BESS'!$D$7:$AW$7, 'GEN-BESS'!$D$125:$AW$125), 0), IF($B16='Project List References'!$B$6, _xlfn.IFNA(_xlfn.XLOOKUP(T$2-$C16, 'GEN-CARBON'!$D$7:$AW$7, 'GEN-CARBON'!$D$124:$AW$124), 0), IF($B16='Project List References'!$B$7, _xlfn.IFNA(_xlfn.XLOOKUP(T$2-$C16, 'SENS Coal'!$D$7:$AW$7, 'SENS Coal'!$D$141:$AW$141), 0), IF($B16='Project List References'!$B$8, _xlfn.IFNA(_xlfn.XLOOKUP(T$2-$C16, 'SENS Tires'!$D$7:$AW$7, 'SENS Tires'!$D$139:$AW$139),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_xlfn.XLOOKUP(A17, 'Project Master Sheet'!A:A, 'Project Master Sheet'!I:I)</f>
        <v>#N/A</v>
      </c>
      <c r="E17" s="743" t="e">
        <f>IF($B17='Project List References'!$B$3, _xlfn.IFNA(_xlfn.XLOOKUP(E$2-$C17, 'GEN-CCGT'!$D$7:$AW$7, 'GEN-CCGT'!$D$124:$AW$124), 0), IF($B17='Project List References'!$B$4, _xlfn.IFNA(_xlfn.XLOOKUP(E$2-$C17, 'GEN-SOLAR'!$D$7:$AW$7, 'GEN-SOLAR'!$D$122:$AW$122), 0), IF($B17='Project List References'!$B$5, _xlfn.IFNA(_xlfn.XLOOKUP(E$2-$C17, 'GEN-BESS'!$D$7:$AW$7, 'GEN-BESS'!$D$125:$AW$125), 0), IF($B17='Project List References'!$B$6, _xlfn.IFNA(_xlfn.XLOOKUP(E$2-$C17, 'GEN-CARBON'!$D$7:$AW$7, 'GEN-CARBON'!$D$124:$AW$124), 0), IF($B17='Project List References'!$B$7, _xlfn.IFNA(_xlfn.XLOOKUP(E$2-$C17, 'SENS Coal'!$D$7:$AW$7, 'SENS Coal'!$D$141:$AW$141), 0), IF($B17='Project List References'!$B$8, _xlfn.IFNA(_xlfn.XLOOKUP(E$2-$C17,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F17" s="743" t="e">
        <f>IF($B17='Project List References'!$B$3, _xlfn.IFNA(_xlfn.XLOOKUP(F$2-$C17, 'GEN-CCGT'!$D$7:$AW$7, 'GEN-CCGT'!$D$124:$AW$124), 0), IF($B17='Project List References'!$B$4, _xlfn.IFNA(_xlfn.XLOOKUP(F$2-$C17, 'GEN-SOLAR'!$D$7:$AW$7, 'GEN-SOLAR'!$D$122:$AW$122), 0), IF($B17='Project List References'!$B$5, _xlfn.IFNA(_xlfn.XLOOKUP(F$2-$C17, 'GEN-BESS'!$D$7:$AW$7, 'GEN-BESS'!$D$125:$AW$125), 0), IF($B17='Project List References'!$B$6, _xlfn.IFNA(_xlfn.XLOOKUP(F$2-$C17, 'GEN-CARBON'!$D$7:$AW$7, 'GEN-CARBON'!$D$124:$AW$124), 0), IF($B17='Project List References'!$B$7, _xlfn.IFNA(_xlfn.XLOOKUP(F$2-$C17, 'SENS Coal'!$D$7:$AW$7, 'SENS Coal'!$D$141:$AW$141), 0), IF($B17='Project List References'!$B$8, _xlfn.IFNA(_xlfn.XLOOKUP(F$2-$C17,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G17" s="743" t="e">
        <f>IF($B17='Project List References'!$B$3, _xlfn.IFNA(_xlfn.XLOOKUP(G$2-$C17, 'GEN-CCGT'!$D$7:$AW$7, 'GEN-CCGT'!$D$124:$AW$124), 0), IF($B17='Project List References'!$B$4, _xlfn.IFNA(_xlfn.XLOOKUP(G$2-$C17, 'GEN-SOLAR'!$D$7:$AW$7, 'GEN-SOLAR'!$D$122:$AW$122), 0), IF($B17='Project List References'!$B$5, _xlfn.IFNA(_xlfn.XLOOKUP(G$2-$C17, 'GEN-BESS'!$D$7:$AW$7, 'GEN-BESS'!$D$125:$AW$125), 0), IF($B17='Project List References'!$B$6, _xlfn.IFNA(_xlfn.XLOOKUP(G$2-$C17, 'GEN-CARBON'!$D$7:$AW$7, 'GEN-CARBON'!$D$124:$AW$124), 0), IF($B17='Project List References'!$B$7, _xlfn.IFNA(_xlfn.XLOOKUP(G$2-$C17, 'SENS Coal'!$D$7:$AW$7, 'SENS Coal'!$D$141:$AW$141), 0), IF($B17='Project List References'!$B$8, _xlfn.IFNA(_xlfn.XLOOKUP(G$2-$C17,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H17" s="743" t="e">
        <f>IF($B17='Project List References'!$B$3, _xlfn.IFNA(_xlfn.XLOOKUP(H$2-$C17, 'GEN-CCGT'!$D$7:$AW$7, 'GEN-CCGT'!$D$124:$AW$124), 0), IF($B17='Project List References'!$B$4, _xlfn.IFNA(_xlfn.XLOOKUP(H$2-$C17, 'GEN-SOLAR'!$D$7:$AW$7, 'GEN-SOLAR'!$D$122:$AW$122), 0), IF($B17='Project List References'!$B$5, _xlfn.IFNA(_xlfn.XLOOKUP(H$2-$C17, 'GEN-BESS'!$D$7:$AW$7, 'GEN-BESS'!$D$125:$AW$125), 0), IF($B17='Project List References'!$B$6, _xlfn.IFNA(_xlfn.XLOOKUP(H$2-$C17, 'GEN-CARBON'!$D$7:$AW$7, 'GEN-CARBON'!$D$124:$AW$124), 0), IF($B17='Project List References'!$B$7, _xlfn.IFNA(_xlfn.XLOOKUP(H$2-$C17, 'SENS Coal'!$D$7:$AW$7, 'SENS Coal'!$D$141:$AW$141), 0), IF($B17='Project List References'!$B$8, _xlfn.IFNA(_xlfn.XLOOKUP(H$2-$C17,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I17" s="743" t="e">
        <f>IF($B17='Project List References'!$B$3, _xlfn.IFNA(_xlfn.XLOOKUP(I$2-$C17, 'GEN-CCGT'!$D$7:$AW$7, 'GEN-CCGT'!$D$124:$AW$124), 0), IF($B17='Project List References'!$B$4, _xlfn.IFNA(_xlfn.XLOOKUP(I$2-$C17, 'GEN-SOLAR'!$D$7:$AW$7, 'GEN-SOLAR'!$D$122:$AW$122), 0), IF($B17='Project List References'!$B$5, _xlfn.IFNA(_xlfn.XLOOKUP(I$2-$C17, 'GEN-BESS'!$D$7:$AW$7, 'GEN-BESS'!$D$125:$AW$125), 0), IF($B17='Project List References'!$B$6, _xlfn.IFNA(_xlfn.XLOOKUP(I$2-$C17, 'GEN-CARBON'!$D$7:$AW$7, 'GEN-CARBON'!$D$124:$AW$124), 0), IF($B17='Project List References'!$B$7, _xlfn.IFNA(_xlfn.XLOOKUP(I$2-$C17, 'SENS Coal'!$D$7:$AW$7, 'SENS Coal'!$D$141:$AW$141), 0), IF($B17='Project List References'!$B$8, _xlfn.IFNA(_xlfn.XLOOKUP(I$2-$C17,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J17" s="743" t="e">
        <f>IF($B17='Project List References'!$B$3, _xlfn.IFNA(_xlfn.XLOOKUP(J$2-$C17, 'GEN-CCGT'!$D$7:$AW$7, 'GEN-CCGT'!$D$124:$AW$124), 0), IF($B17='Project List References'!$B$4, _xlfn.IFNA(_xlfn.XLOOKUP(J$2-$C17, 'GEN-SOLAR'!$D$7:$AW$7, 'GEN-SOLAR'!$D$122:$AW$122), 0), IF($B17='Project List References'!$B$5, _xlfn.IFNA(_xlfn.XLOOKUP(J$2-$C17, 'GEN-BESS'!$D$7:$AW$7, 'GEN-BESS'!$D$125:$AW$125), 0), IF($B17='Project List References'!$B$6, _xlfn.IFNA(_xlfn.XLOOKUP(J$2-$C17, 'GEN-CARBON'!$D$7:$AW$7, 'GEN-CARBON'!$D$124:$AW$124), 0), IF($B17='Project List References'!$B$7, _xlfn.IFNA(_xlfn.XLOOKUP(J$2-$C17, 'SENS Coal'!$D$7:$AW$7, 'SENS Coal'!$D$141:$AW$141), 0), IF($B17='Project List References'!$B$8, _xlfn.IFNA(_xlfn.XLOOKUP(J$2-$C17,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K17" s="743" t="e">
        <f>IF($B17='Project List References'!$B$3, _xlfn.IFNA(_xlfn.XLOOKUP(K$2-$C17, 'GEN-CCGT'!$D$7:$AW$7, 'GEN-CCGT'!$D$124:$AW$124), 0), IF($B17='Project List References'!$B$4, _xlfn.IFNA(_xlfn.XLOOKUP(K$2-$C17, 'GEN-SOLAR'!$D$7:$AW$7, 'GEN-SOLAR'!$D$122:$AW$122), 0), IF($B17='Project List References'!$B$5, _xlfn.IFNA(_xlfn.XLOOKUP(K$2-$C17, 'GEN-BESS'!$D$7:$AW$7, 'GEN-BESS'!$D$125:$AW$125), 0), IF($B17='Project List References'!$B$6, _xlfn.IFNA(_xlfn.XLOOKUP(K$2-$C17, 'GEN-CARBON'!$D$7:$AW$7, 'GEN-CARBON'!$D$124:$AW$124), 0), IF($B17='Project List References'!$B$7, _xlfn.IFNA(_xlfn.XLOOKUP(K$2-$C17, 'SENS Coal'!$D$7:$AW$7, 'SENS Coal'!$D$141:$AW$141), 0), IF($B17='Project List References'!$B$8, _xlfn.IFNA(_xlfn.XLOOKUP(K$2-$C17,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L17" s="743" t="e">
        <f>IF($B17='Project List References'!$B$3, _xlfn.IFNA(_xlfn.XLOOKUP(L$2-$C17, 'GEN-CCGT'!$D$7:$AW$7, 'GEN-CCGT'!$D$124:$AW$124), 0), IF($B17='Project List References'!$B$4, _xlfn.IFNA(_xlfn.XLOOKUP(L$2-$C17, 'GEN-SOLAR'!$D$7:$AW$7, 'GEN-SOLAR'!$D$122:$AW$122), 0), IF($B17='Project List References'!$B$5, _xlfn.IFNA(_xlfn.XLOOKUP(L$2-$C17, 'GEN-BESS'!$D$7:$AW$7, 'GEN-BESS'!$D$125:$AW$125), 0), IF($B17='Project List References'!$B$6, _xlfn.IFNA(_xlfn.XLOOKUP(L$2-$C17, 'GEN-CARBON'!$D$7:$AW$7, 'GEN-CARBON'!$D$124:$AW$124), 0), IF($B17='Project List References'!$B$7, _xlfn.IFNA(_xlfn.XLOOKUP(L$2-$C17, 'SENS Coal'!$D$7:$AW$7, 'SENS Coal'!$D$141:$AW$141), 0), IF($B17='Project List References'!$B$8, _xlfn.IFNA(_xlfn.XLOOKUP(L$2-$C17,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M17" s="743" t="e">
        <f>IF($B17='Project List References'!$B$3, _xlfn.IFNA(_xlfn.XLOOKUP(M$2-$C17, 'GEN-CCGT'!$D$7:$AW$7, 'GEN-CCGT'!$D$124:$AW$124), 0), IF($B17='Project List References'!$B$4, _xlfn.IFNA(_xlfn.XLOOKUP(M$2-$C17, 'GEN-SOLAR'!$D$7:$AW$7, 'GEN-SOLAR'!$D$122:$AW$122), 0), IF($B17='Project List References'!$B$5, _xlfn.IFNA(_xlfn.XLOOKUP(M$2-$C17, 'GEN-BESS'!$D$7:$AW$7, 'GEN-BESS'!$D$125:$AW$125), 0), IF($B17='Project List References'!$B$6, _xlfn.IFNA(_xlfn.XLOOKUP(M$2-$C17, 'GEN-CARBON'!$D$7:$AW$7, 'GEN-CARBON'!$D$124:$AW$124), 0), IF($B17='Project List References'!$B$7, _xlfn.IFNA(_xlfn.XLOOKUP(M$2-$C17, 'SENS Coal'!$D$7:$AW$7, 'SENS Coal'!$D$141:$AW$141), 0), IF($B17='Project List References'!$B$8, _xlfn.IFNA(_xlfn.XLOOKUP(M$2-$C17,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N17" s="743" t="e">
        <f>IF($B17='Project List References'!$B$3, _xlfn.IFNA(_xlfn.XLOOKUP(N$2-$C17, 'GEN-CCGT'!$D$7:$AW$7, 'GEN-CCGT'!$D$124:$AW$124), 0), IF($B17='Project List References'!$B$4, _xlfn.IFNA(_xlfn.XLOOKUP(N$2-$C17, 'GEN-SOLAR'!$D$7:$AW$7, 'GEN-SOLAR'!$D$122:$AW$122), 0), IF($B17='Project List References'!$B$5, _xlfn.IFNA(_xlfn.XLOOKUP(N$2-$C17, 'GEN-BESS'!$D$7:$AW$7, 'GEN-BESS'!$D$125:$AW$125), 0), IF($B17='Project List References'!$B$6, _xlfn.IFNA(_xlfn.XLOOKUP(N$2-$C17, 'GEN-CARBON'!$D$7:$AW$7, 'GEN-CARBON'!$D$124:$AW$124), 0), IF($B17='Project List References'!$B$7, _xlfn.IFNA(_xlfn.XLOOKUP(N$2-$C17, 'SENS Coal'!$D$7:$AW$7, 'SENS Coal'!$D$141:$AW$141), 0), IF($B17='Project List References'!$B$8, _xlfn.IFNA(_xlfn.XLOOKUP(N$2-$C17,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O17" s="743" t="e">
        <f>IF($B17='Project List References'!$B$3, _xlfn.IFNA(_xlfn.XLOOKUP(O$2-$C17, 'GEN-CCGT'!$D$7:$AW$7, 'GEN-CCGT'!$D$124:$AW$124), 0), IF($B17='Project List References'!$B$4, _xlfn.IFNA(_xlfn.XLOOKUP(O$2-$C17, 'GEN-SOLAR'!$D$7:$AW$7, 'GEN-SOLAR'!$D$122:$AW$122), 0), IF($B17='Project List References'!$B$5, _xlfn.IFNA(_xlfn.XLOOKUP(O$2-$C17, 'GEN-BESS'!$D$7:$AW$7, 'GEN-BESS'!$D$125:$AW$125), 0), IF($B17='Project List References'!$B$6, _xlfn.IFNA(_xlfn.XLOOKUP(O$2-$C17, 'GEN-CARBON'!$D$7:$AW$7, 'GEN-CARBON'!$D$124:$AW$124), 0), IF($B17='Project List References'!$B$7, _xlfn.IFNA(_xlfn.XLOOKUP(O$2-$C17, 'SENS Coal'!$D$7:$AW$7, 'SENS Coal'!$D$141:$AW$141), 0), IF($B17='Project List References'!$B$8, _xlfn.IFNA(_xlfn.XLOOKUP(O$2-$C17,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P17" s="743" t="e">
        <f>IF($B17='Project List References'!$B$3, _xlfn.IFNA(_xlfn.XLOOKUP(P$2-$C17, 'GEN-CCGT'!$D$7:$AW$7, 'GEN-CCGT'!$D$124:$AW$124), 0), IF($B17='Project List References'!$B$4, _xlfn.IFNA(_xlfn.XLOOKUP(P$2-$C17, 'GEN-SOLAR'!$D$7:$AW$7, 'GEN-SOLAR'!$D$122:$AW$122), 0), IF($B17='Project List References'!$B$5, _xlfn.IFNA(_xlfn.XLOOKUP(P$2-$C17, 'GEN-BESS'!$D$7:$AW$7, 'GEN-BESS'!$D$125:$AW$125), 0), IF($B17='Project List References'!$B$6, _xlfn.IFNA(_xlfn.XLOOKUP(P$2-$C17, 'GEN-CARBON'!$D$7:$AW$7, 'GEN-CARBON'!$D$124:$AW$124), 0), IF($B17='Project List References'!$B$7, _xlfn.IFNA(_xlfn.XLOOKUP(P$2-$C17, 'SENS Coal'!$D$7:$AW$7, 'SENS Coal'!$D$141:$AW$141), 0), IF($B17='Project List References'!$B$8, _xlfn.IFNA(_xlfn.XLOOKUP(P$2-$C17,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Q17" s="743" t="e">
        <f>IF($B17='Project List References'!$B$3, _xlfn.IFNA(_xlfn.XLOOKUP(Q$2-$C17, 'GEN-CCGT'!$D$7:$AW$7, 'GEN-CCGT'!$D$124:$AW$124), 0), IF($B17='Project List References'!$B$4, _xlfn.IFNA(_xlfn.XLOOKUP(Q$2-$C17, 'GEN-SOLAR'!$D$7:$AW$7, 'GEN-SOLAR'!$D$122:$AW$122), 0), IF($B17='Project List References'!$B$5, _xlfn.IFNA(_xlfn.XLOOKUP(Q$2-$C17, 'GEN-BESS'!$D$7:$AW$7, 'GEN-BESS'!$D$125:$AW$125), 0), IF($B17='Project List References'!$B$6, _xlfn.IFNA(_xlfn.XLOOKUP(Q$2-$C17, 'GEN-CARBON'!$D$7:$AW$7, 'GEN-CARBON'!$D$124:$AW$124), 0), IF($B17='Project List References'!$B$7, _xlfn.IFNA(_xlfn.XLOOKUP(Q$2-$C17, 'SENS Coal'!$D$7:$AW$7, 'SENS Coal'!$D$141:$AW$141), 0), IF($B17='Project List References'!$B$8, _xlfn.IFNA(_xlfn.XLOOKUP(Q$2-$C17,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R17" s="743" t="e">
        <f>IF($B17='Project List References'!$B$3, _xlfn.IFNA(_xlfn.XLOOKUP(R$2-$C17, 'GEN-CCGT'!$D$7:$AW$7, 'GEN-CCGT'!$D$124:$AW$124), 0), IF($B17='Project List References'!$B$4, _xlfn.IFNA(_xlfn.XLOOKUP(R$2-$C17, 'GEN-SOLAR'!$D$7:$AW$7, 'GEN-SOLAR'!$D$122:$AW$122), 0), IF($B17='Project List References'!$B$5, _xlfn.IFNA(_xlfn.XLOOKUP(R$2-$C17, 'GEN-BESS'!$D$7:$AW$7, 'GEN-BESS'!$D$125:$AW$125), 0), IF($B17='Project List References'!$B$6, _xlfn.IFNA(_xlfn.XLOOKUP(R$2-$C17, 'GEN-CARBON'!$D$7:$AW$7, 'GEN-CARBON'!$D$124:$AW$124), 0), IF($B17='Project List References'!$B$7, _xlfn.IFNA(_xlfn.XLOOKUP(R$2-$C17, 'SENS Coal'!$D$7:$AW$7, 'SENS Coal'!$D$141:$AW$141), 0), IF($B17='Project List References'!$B$8, _xlfn.IFNA(_xlfn.XLOOKUP(R$2-$C17,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S17" s="743" t="e">
        <f>IF($B17='Project List References'!$B$3, _xlfn.IFNA(_xlfn.XLOOKUP(S$2-$C17, 'GEN-CCGT'!$D$7:$AW$7, 'GEN-CCGT'!$D$124:$AW$124), 0), IF($B17='Project List References'!$B$4, _xlfn.IFNA(_xlfn.XLOOKUP(S$2-$C17, 'GEN-SOLAR'!$D$7:$AW$7, 'GEN-SOLAR'!$D$122:$AW$122), 0), IF($B17='Project List References'!$B$5, _xlfn.IFNA(_xlfn.XLOOKUP(S$2-$C17, 'GEN-BESS'!$D$7:$AW$7, 'GEN-BESS'!$D$125:$AW$125), 0), IF($B17='Project List References'!$B$6, _xlfn.IFNA(_xlfn.XLOOKUP(S$2-$C17, 'GEN-CARBON'!$D$7:$AW$7, 'GEN-CARBON'!$D$124:$AW$124), 0), IF($B17='Project List References'!$B$7, _xlfn.IFNA(_xlfn.XLOOKUP(S$2-$C17, 'SENS Coal'!$D$7:$AW$7, 'SENS Coal'!$D$141:$AW$141), 0), IF($B17='Project List References'!$B$8, _xlfn.IFNA(_xlfn.XLOOKUP(S$2-$C17,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T17" s="743" t="e">
        <f>IF($B17='Project List References'!$B$3, _xlfn.IFNA(_xlfn.XLOOKUP(T$2-$C17, 'GEN-CCGT'!$D$7:$AW$7, 'GEN-CCGT'!$D$124:$AW$124), 0), IF($B17='Project List References'!$B$4, _xlfn.IFNA(_xlfn.XLOOKUP(T$2-$C17, 'GEN-SOLAR'!$D$7:$AW$7, 'GEN-SOLAR'!$D$122:$AW$122), 0), IF($B17='Project List References'!$B$5, _xlfn.IFNA(_xlfn.XLOOKUP(T$2-$C17, 'GEN-BESS'!$D$7:$AW$7, 'GEN-BESS'!$D$125:$AW$125), 0), IF($B17='Project List References'!$B$6, _xlfn.IFNA(_xlfn.XLOOKUP(T$2-$C17, 'GEN-CARBON'!$D$7:$AW$7, 'GEN-CARBON'!$D$124:$AW$124), 0), IF($B17='Project List References'!$B$7, _xlfn.IFNA(_xlfn.XLOOKUP(T$2-$C17, 'SENS Coal'!$D$7:$AW$7, 'SENS Coal'!$D$141:$AW$141), 0), IF($B17='Project List References'!$B$8, _xlfn.IFNA(_xlfn.XLOOKUP(T$2-$C17, 'SENS Tires'!$D$7:$AW$7, 'SENS Tires'!$D$139:$AW$139),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</row>
    <row r="18" spans="1:20">
      <c r="A18" s="655" t="str">
        <f>IF(ISBLANK('Project Master Sheet'!A18)=FALSE, 'Project Master Sheet'!A18, "")</f>
        <v/>
      </c>
      <c r="B18" s="655" t="str">
        <f>_xlfn.IFNA(_xlfn.XLOOKUP(A18, 'Project Master Sheet'!A:A, 'Project Master Sheet'!D:D), "")</f>
        <v/>
      </c>
      <c r="C18" s="655" t="e">
        <f>_xlfn.XLOOKUP(A18, 'Project Master Sheet'!A:A, 'Project Master Sheet'!I:I)</f>
        <v>#N/A</v>
      </c>
      <c r="E18" s="743" t="e">
        <f>IF($B18='Project List References'!$B$3, _xlfn.IFNA(_xlfn.XLOOKUP(E$2-$C18, 'GEN-CCGT'!$D$7:$AW$7, 'GEN-CCGT'!$D$124:$AW$124), 0), IF($B18='Project List References'!$B$4, _xlfn.IFNA(_xlfn.XLOOKUP(E$2-$C18, 'GEN-SOLAR'!$D$7:$AW$7, 'GEN-SOLAR'!$D$122:$AW$122), 0), IF($B18='Project List References'!$B$5, _xlfn.IFNA(_xlfn.XLOOKUP(E$2-$C18, 'GEN-BESS'!$D$7:$AW$7, 'GEN-BESS'!$D$125:$AW$125), 0), IF($B18='Project List References'!$B$6, _xlfn.IFNA(_xlfn.XLOOKUP(E$2-$C18, 'GEN-CARBON'!$D$7:$AW$7, 'GEN-CARBON'!$D$124:$AW$124), 0), IF($B18='Project List References'!$B$7, _xlfn.IFNA(_xlfn.XLOOKUP(E$2-$C18, 'SENS Coal'!$D$7:$AW$7, 'SENS Coal'!$D$141:$AW$141), 0), IF($B18='Project List References'!$B$8, _xlfn.IFNA(_xlfn.XLOOKUP(E$2-$C18,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F18" s="743" t="e">
        <f>IF($B18='Project List References'!$B$3, _xlfn.IFNA(_xlfn.XLOOKUP(F$2-$C18, 'GEN-CCGT'!$D$7:$AW$7, 'GEN-CCGT'!$D$124:$AW$124), 0), IF($B18='Project List References'!$B$4, _xlfn.IFNA(_xlfn.XLOOKUP(F$2-$C18, 'GEN-SOLAR'!$D$7:$AW$7, 'GEN-SOLAR'!$D$122:$AW$122), 0), IF($B18='Project List References'!$B$5, _xlfn.IFNA(_xlfn.XLOOKUP(F$2-$C18, 'GEN-BESS'!$D$7:$AW$7, 'GEN-BESS'!$D$125:$AW$125), 0), IF($B18='Project List References'!$B$6, _xlfn.IFNA(_xlfn.XLOOKUP(F$2-$C18, 'GEN-CARBON'!$D$7:$AW$7, 'GEN-CARBON'!$D$124:$AW$124), 0), IF($B18='Project List References'!$B$7, _xlfn.IFNA(_xlfn.XLOOKUP(F$2-$C18, 'SENS Coal'!$D$7:$AW$7, 'SENS Coal'!$D$141:$AW$141), 0), IF($B18='Project List References'!$B$8, _xlfn.IFNA(_xlfn.XLOOKUP(F$2-$C18,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G18" s="743" t="e">
        <f>IF($B18='Project List References'!$B$3, _xlfn.IFNA(_xlfn.XLOOKUP(G$2-$C18, 'GEN-CCGT'!$D$7:$AW$7, 'GEN-CCGT'!$D$124:$AW$124), 0), IF($B18='Project List References'!$B$4, _xlfn.IFNA(_xlfn.XLOOKUP(G$2-$C18, 'GEN-SOLAR'!$D$7:$AW$7, 'GEN-SOLAR'!$D$122:$AW$122), 0), IF($B18='Project List References'!$B$5, _xlfn.IFNA(_xlfn.XLOOKUP(G$2-$C18, 'GEN-BESS'!$D$7:$AW$7, 'GEN-BESS'!$D$125:$AW$125), 0), IF($B18='Project List References'!$B$6, _xlfn.IFNA(_xlfn.XLOOKUP(G$2-$C18, 'GEN-CARBON'!$D$7:$AW$7, 'GEN-CARBON'!$D$124:$AW$124), 0), IF($B18='Project List References'!$B$7, _xlfn.IFNA(_xlfn.XLOOKUP(G$2-$C18, 'SENS Coal'!$D$7:$AW$7, 'SENS Coal'!$D$141:$AW$141), 0), IF($B18='Project List References'!$B$8, _xlfn.IFNA(_xlfn.XLOOKUP(G$2-$C18,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H18" s="743" t="e">
        <f>IF($B18='Project List References'!$B$3, _xlfn.IFNA(_xlfn.XLOOKUP(H$2-$C18, 'GEN-CCGT'!$D$7:$AW$7, 'GEN-CCGT'!$D$124:$AW$124), 0), IF($B18='Project List References'!$B$4, _xlfn.IFNA(_xlfn.XLOOKUP(H$2-$C18, 'GEN-SOLAR'!$D$7:$AW$7, 'GEN-SOLAR'!$D$122:$AW$122), 0), IF($B18='Project List References'!$B$5, _xlfn.IFNA(_xlfn.XLOOKUP(H$2-$C18, 'GEN-BESS'!$D$7:$AW$7, 'GEN-BESS'!$D$125:$AW$125), 0), IF($B18='Project List References'!$B$6, _xlfn.IFNA(_xlfn.XLOOKUP(H$2-$C18, 'GEN-CARBON'!$D$7:$AW$7, 'GEN-CARBON'!$D$124:$AW$124), 0), IF($B18='Project List References'!$B$7, _xlfn.IFNA(_xlfn.XLOOKUP(H$2-$C18, 'SENS Coal'!$D$7:$AW$7, 'SENS Coal'!$D$141:$AW$141), 0), IF($B18='Project List References'!$B$8, _xlfn.IFNA(_xlfn.XLOOKUP(H$2-$C18,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I18" s="743" t="e">
        <f>IF($B18='Project List References'!$B$3, _xlfn.IFNA(_xlfn.XLOOKUP(I$2-$C18, 'GEN-CCGT'!$D$7:$AW$7, 'GEN-CCGT'!$D$124:$AW$124), 0), IF($B18='Project List References'!$B$4, _xlfn.IFNA(_xlfn.XLOOKUP(I$2-$C18, 'GEN-SOLAR'!$D$7:$AW$7, 'GEN-SOLAR'!$D$122:$AW$122), 0), IF($B18='Project List References'!$B$5, _xlfn.IFNA(_xlfn.XLOOKUP(I$2-$C18, 'GEN-BESS'!$D$7:$AW$7, 'GEN-BESS'!$D$125:$AW$125), 0), IF($B18='Project List References'!$B$6, _xlfn.IFNA(_xlfn.XLOOKUP(I$2-$C18, 'GEN-CARBON'!$D$7:$AW$7, 'GEN-CARBON'!$D$124:$AW$124), 0), IF($B18='Project List References'!$B$7, _xlfn.IFNA(_xlfn.XLOOKUP(I$2-$C18, 'SENS Coal'!$D$7:$AW$7, 'SENS Coal'!$D$141:$AW$141), 0), IF($B18='Project List References'!$B$8, _xlfn.IFNA(_xlfn.XLOOKUP(I$2-$C18,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J18" s="743" t="e">
        <f>IF($B18='Project List References'!$B$3, _xlfn.IFNA(_xlfn.XLOOKUP(J$2-$C18, 'GEN-CCGT'!$D$7:$AW$7, 'GEN-CCGT'!$D$124:$AW$124), 0), IF($B18='Project List References'!$B$4, _xlfn.IFNA(_xlfn.XLOOKUP(J$2-$C18, 'GEN-SOLAR'!$D$7:$AW$7, 'GEN-SOLAR'!$D$122:$AW$122), 0), IF($B18='Project List References'!$B$5, _xlfn.IFNA(_xlfn.XLOOKUP(J$2-$C18, 'GEN-BESS'!$D$7:$AW$7, 'GEN-BESS'!$D$125:$AW$125), 0), IF($B18='Project List References'!$B$6, _xlfn.IFNA(_xlfn.XLOOKUP(J$2-$C18, 'GEN-CARBON'!$D$7:$AW$7, 'GEN-CARBON'!$D$124:$AW$124), 0), IF($B18='Project List References'!$B$7, _xlfn.IFNA(_xlfn.XLOOKUP(J$2-$C18, 'SENS Coal'!$D$7:$AW$7, 'SENS Coal'!$D$141:$AW$141), 0), IF($B18='Project List References'!$B$8, _xlfn.IFNA(_xlfn.XLOOKUP(J$2-$C18,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K18" s="743" t="e">
        <f>IF($B18='Project List References'!$B$3, _xlfn.IFNA(_xlfn.XLOOKUP(K$2-$C18, 'GEN-CCGT'!$D$7:$AW$7, 'GEN-CCGT'!$D$124:$AW$124), 0), IF($B18='Project List References'!$B$4, _xlfn.IFNA(_xlfn.XLOOKUP(K$2-$C18, 'GEN-SOLAR'!$D$7:$AW$7, 'GEN-SOLAR'!$D$122:$AW$122), 0), IF($B18='Project List References'!$B$5, _xlfn.IFNA(_xlfn.XLOOKUP(K$2-$C18, 'GEN-BESS'!$D$7:$AW$7, 'GEN-BESS'!$D$125:$AW$125), 0), IF($B18='Project List References'!$B$6, _xlfn.IFNA(_xlfn.XLOOKUP(K$2-$C18, 'GEN-CARBON'!$D$7:$AW$7, 'GEN-CARBON'!$D$124:$AW$124), 0), IF($B18='Project List References'!$B$7, _xlfn.IFNA(_xlfn.XLOOKUP(K$2-$C18, 'SENS Coal'!$D$7:$AW$7, 'SENS Coal'!$D$141:$AW$141), 0), IF($B18='Project List References'!$B$8, _xlfn.IFNA(_xlfn.XLOOKUP(K$2-$C18,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L18" s="743" t="e">
        <f>IF($B18='Project List References'!$B$3, _xlfn.IFNA(_xlfn.XLOOKUP(L$2-$C18, 'GEN-CCGT'!$D$7:$AW$7, 'GEN-CCGT'!$D$124:$AW$124), 0), IF($B18='Project List References'!$B$4, _xlfn.IFNA(_xlfn.XLOOKUP(L$2-$C18, 'GEN-SOLAR'!$D$7:$AW$7, 'GEN-SOLAR'!$D$122:$AW$122), 0), IF($B18='Project List References'!$B$5, _xlfn.IFNA(_xlfn.XLOOKUP(L$2-$C18, 'GEN-BESS'!$D$7:$AW$7, 'GEN-BESS'!$D$125:$AW$125), 0), IF($B18='Project List References'!$B$6, _xlfn.IFNA(_xlfn.XLOOKUP(L$2-$C18, 'GEN-CARBON'!$D$7:$AW$7, 'GEN-CARBON'!$D$124:$AW$124), 0), IF($B18='Project List References'!$B$7, _xlfn.IFNA(_xlfn.XLOOKUP(L$2-$C18, 'SENS Coal'!$D$7:$AW$7, 'SENS Coal'!$D$141:$AW$141), 0), IF($B18='Project List References'!$B$8, _xlfn.IFNA(_xlfn.XLOOKUP(L$2-$C18,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M18" s="743" t="e">
        <f>IF($B18='Project List References'!$B$3, _xlfn.IFNA(_xlfn.XLOOKUP(M$2-$C18, 'GEN-CCGT'!$D$7:$AW$7, 'GEN-CCGT'!$D$124:$AW$124), 0), IF($B18='Project List References'!$B$4, _xlfn.IFNA(_xlfn.XLOOKUP(M$2-$C18, 'GEN-SOLAR'!$D$7:$AW$7, 'GEN-SOLAR'!$D$122:$AW$122), 0), IF($B18='Project List References'!$B$5, _xlfn.IFNA(_xlfn.XLOOKUP(M$2-$C18, 'GEN-BESS'!$D$7:$AW$7, 'GEN-BESS'!$D$125:$AW$125), 0), IF($B18='Project List References'!$B$6, _xlfn.IFNA(_xlfn.XLOOKUP(M$2-$C18, 'GEN-CARBON'!$D$7:$AW$7, 'GEN-CARBON'!$D$124:$AW$124), 0), IF($B18='Project List References'!$B$7, _xlfn.IFNA(_xlfn.XLOOKUP(M$2-$C18, 'SENS Coal'!$D$7:$AW$7, 'SENS Coal'!$D$141:$AW$141), 0), IF($B18='Project List References'!$B$8, _xlfn.IFNA(_xlfn.XLOOKUP(M$2-$C18,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N18" s="743" t="e">
        <f>IF($B18='Project List References'!$B$3, _xlfn.IFNA(_xlfn.XLOOKUP(N$2-$C18, 'GEN-CCGT'!$D$7:$AW$7, 'GEN-CCGT'!$D$124:$AW$124), 0), IF($B18='Project List References'!$B$4, _xlfn.IFNA(_xlfn.XLOOKUP(N$2-$C18, 'GEN-SOLAR'!$D$7:$AW$7, 'GEN-SOLAR'!$D$122:$AW$122), 0), IF($B18='Project List References'!$B$5, _xlfn.IFNA(_xlfn.XLOOKUP(N$2-$C18, 'GEN-BESS'!$D$7:$AW$7, 'GEN-BESS'!$D$125:$AW$125), 0), IF($B18='Project List References'!$B$6, _xlfn.IFNA(_xlfn.XLOOKUP(N$2-$C18, 'GEN-CARBON'!$D$7:$AW$7, 'GEN-CARBON'!$D$124:$AW$124), 0), IF($B18='Project List References'!$B$7, _xlfn.IFNA(_xlfn.XLOOKUP(N$2-$C18, 'SENS Coal'!$D$7:$AW$7, 'SENS Coal'!$D$141:$AW$141), 0), IF($B18='Project List References'!$B$8, _xlfn.IFNA(_xlfn.XLOOKUP(N$2-$C18,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O18" s="743" t="e">
        <f>IF($B18='Project List References'!$B$3, _xlfn.IFNA(_xlfn.XLOOKUP(O$2-$C18, 'GEN-CCGT'!$D$7:$AW$7, 'GEN-CCGT'!$D$124:$AW$124), 0), IF($B18='Project List References'!$B$4, _xlfn.IFNA(_xlfn.XLOOKUP(O$2-$C18, 'GEN-SOLAR'!$D$7:$AW$7, 'GEN-SOLAR'!$D$122:$AW$122), 0), IF($B18='Project List References'!$B$5, _xlfn.IFNA(_xlfn.XLOOKUP(O$2-$C18, 'GEN-BESS'!$D$7:$AW$7, 'GEN-BESS'!$D$125:$AW$125), 0), IF($B18='Project List References'!$B$6, _xlfn.IFNA(_xlfn.XLOOKUP(O$2-$C18, 'GEN-CARBON'!$D$7:$AW$7, 'GEN-CARBON'!$D$124:$AW$124), 0), IF($B18='Project List References'!$B$7, _xlfn.IFNA(_xlfn.XLOOKUP(O$2-$C18, 'SENS Coal'!$D$7:$AW$7, 'SENS Coal'!$D$141:$AW$141), 0), IF($B18='Project List References'!$B$8, _xlfn.IFNA(_xlfn.XLOOKUP(O$2-$C18,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P18" s="743" t="e">
        <f>IF($B18='Project List References'!$B$3, _xlfn.IFNA(_xlfn.XLOOKUP(P$2-$C18, 'GEN-CCGT'!$D$7:$AW$7, 'GEN-CCGT'!$D$124:$AW$124), 0), IF($B18='Project List References'!$B$4, _xlfn.IFNA(_xlfn.XLOOKUP(P$2-$C18, 'GEN-SOLAR'!$D$7:$AW$7, 'GEN-SOLAR'!$D$122:$AW$122), 0), IF($B18='Project List References'!$B$5, _xlfn.IFNA(_xlfn.XLOOKUP(P$2-$C18, 'GEN-BESS'!$D$7:$AW$7, 'GEN-BESS'!$D$125:$AW$125), 0), IF($B18='Project List References'!$B$6, _xlfn.IFNA(_xlfn.XLOOKUP(P$2-$C18, 'GEN-CARBON'!$D$7:$AW$7, 'GEN-CARBON'!$D$124:$AW$124), 0), IF($B18='Project List References'!$B$7, _xlfn.IFNA(_xlfn.XLOOKUP(P$2-$C18, 'SENS Coal'!$D$7:$AW$7, 'SENS Coal'!$D$141:$AW$141), 0), IF($B18='Project List References'!$B$8, _xlfn.IFNA(_xlfn.XLOOKUP(P$2-$C18,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Q18" s="743" t="e">
        <f>IF($B18='Project List References'!$B$3, _xlfn.IFNA(_xlfn.XLOOKUP(Q$2-$C18, 'GEN-CCGT'!$D$7:$AW$7, 'GEN-CCGT'!$D$124:$AW$124), 0), IF($B18='Project List References'!$B$4, _xlfn.IFNA(_xlfn.XLOOKUP(Q$2-$C18, 'GEN-SOLAR'!$D$7:$AW$7, 'GEN-SOLAR'!$D$122:$AW$122), 0), IF($B18='Project List References'!$B$5, _xlfn.IFNA(_xlfn.XLOOKUP(Q$2-$C18, 'GEN-BESS'!$D$7:$AW$7, 'GEN-BESS'!$D$125:$AW$125), 0), IF($B18='Project List References'!$B$6, _xlfn.IFNA(_xlfn.XLOOKUP(Q$2-$C18, 'GEN-CARBON'!$D$7:$AW$7, 'GEN-CARBON'!$D$124:$AW$124), 0), IF($B18='Project List References'!$B$7, _xlfn.IFNA(_xlfn.XLOOKUP(Q$2-$C18, 'SENS Coal'!$D$7:$AW$7, 'SENS Coal'!$D$141:$AW$141), 0), IF($B18='Project List References'!$B$8, _xlfn.IFNA(_xlfn.XLOOKUP(Q$2-$C18,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R18" s="743" t="e">
        <f>IF($B18='Project List References'!$B$3, _xlfn.IFNA(_xlfn.XLOOKUP(R$2-$C18, 'GEN-CCGT'!$D$7:$AW$7, 'GEN-CCGT'!$D$124:$AW$124), 0), IF($B18='Project List References'!$B$4, _xlfn.IFNA(_xlfn.XLOOKUP(R$2-$C18, 'GEN-SOLAR'!$D$7:$AW$7, 'GEN-SOLAR'!$D$122:$AW$122), 0), IF($B18='Project List References'!$B$5, _xlfn.IFNA(_xlfn.XLOOKUP(R$2-$C18, 'GEN-BESS'!$D$7:$AW$7, 'GEN-BESS'!$D$125:$AW$125), 0), IF($B18='Project List References'!$B$6, _xlfn.IFNA(_xlfn.XLOOKUP(R$2-$C18, 'GEN-CARBON'!$D$7:$AW$7, 'GEN-CARBON'!$D$124:$AW$124), 0), IF($B18='Project List References'!$B$7, _xlfn.IFNA(_xlfn.XLOOKUP(R$2-$C18, 'SENS Coal'!$D$7:$AW$7, 'SENS Coal'!$D$141:$AW$141), 0), IF($B18='Project List References'!$B$8, _xlfn.IFNA(_xlfn.XLOOKUP(R$2-$C18,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S18" s="743" t="e">
        <f>IF($B18='Project List References'!$B$3, _xlfn.IFNA(_xlfn.XLOOKUP(S$2-$C18, 'GEN-CCGT'!$D$7:$AW$7, 'GEN-CCGT'!$D$124:$AW$124), 0), IF($B18='Project List References'!$B$4, _xlfn.IFNA(_xlfn.XLOOKUP(S$2-$C18, 'GEN-SOLAR'!$D$7:$AW$7, 'GEN-SOLAR'!$D$122:$AW$122), 0), IF($B18='Project List References'!$B$5, _xlfn.IFNA(_xlfn.XLOOKUP(S$2-$C18, 'GEN-BESS'!$D$7:$AW$7, 'GEN-BESS'!$D$125:$AW$125), 0), IF($B18='Project List References'!$B$6, _xlfn.IFNA(_xlfn.XLOOKUP(S$2-$C18, 'GEN-CARBON'!$D$7:$AW$7, 'GEN-CARBON'!$D$124:$AW$124), 0), IF($B18='Project List References'!$B$7, _xlfn.IFNA(_xlfn.XLOOKUP(S$2-$C18, 'SENS Coal'!$D$7:$AW$7, 'SENS Coal'!$D$141:$AW$141), 0), IF($B18='Project List References'!$B$8, _xlfn.IFNA(_xlfn.XLOOKUP(S$2-$C18,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T18" s="743" t="e">
        <f>IF($B18='Project List References'!$B$3, _xlfn.IFNA(_xlfn.XLOOKUP(T$2-$C18, 'GEN-CCGT'!$D$7:$AW$7, 'GEN-CCGT'!$D$124:$AW$124), 0), IF($B18='Project List References'!$B$4, _xlfn.IFNA(_xlfn.XLOOKUP(T$2-$C18, 'GEN-SOLAR'!$D$7:$AW$7, 'GEN-SOLAR'!$D$122:$AW$122), 0), IF($B18='Project List References'!$B$5, _xlfn.IFNA(_xlfn.XLOOKUP(T$2-$C18, 'GEN-BESS'!$D$7:$AW$7, 'GEN-BESS'!$D$125:$AW$125), 0), IF($B18='Project List References'!$B$6, _xlfn.IFNA(_xlfn.XLOOKUP(T$2-$C18, 'GEN-CARBON'!$D$7:$AW$7, 'GEN-CARBON'!$D$124:$AW$124), 0), IF($B18='Project List References'!$B$7, _xlfn.IFNA(_xlfn.XLOOKUP(T$2-$C18, 'SENS Coal'!$D$7:$AW$7, 'SENS Coal'!$D$141:$AW$141), 0), IF($B18='Project List References'!$B$8, _xlfn.IFNA(_xlfn.XLOOKUP(T$2-$C18, 'SENS Tires'!$D$7:$AW$7, 'SENS Tires'!$D$139:$AW$139),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</row>
    <row r="19" spans="1:20">
      <c r="A19" s="655" t="str">
        <f>IF(ISBLANK('Project Master Sheet'!A19)=FALSE, 'Project Master Sheet'!A19, "")</f>
        <v/>
      </c>
      <c r="B19" s="655" t="str">
        <f>_xlfn.IFNA(_xlfn.XLOOKUP(A19, 'Project Master Sheet'!A:A, 'Project Master Sheet'!D:D), "")</f>
        <v/>
      </c>
      <c r="C19" s="655" t="e">
        <f>_xlfn.XLOOKUP(A19, 'Project Master Sheet'!A:A, 'Project Master Sheet'!I:I)</f>
        <v>#N/A</v>
      </c>
      <c r="E19" s="743" t="e">
        <f>IF($B19='Project List References'!$B$3, _xlfn.IFNA(_xlfn.XLOOKUP(E$2-$C19, 'GEN-CCGT'!$D$7:$AW$7, 'GEN-CCGT'!$D$124:$AW$124), 0), IF($B19='Project List References'!$B$4, _xlfn.IFNA(_xlfn.XLOOKUP(E$2-$C19, 'GEN-SOLAR'!$D$7:$AW$7, 'GEN-SOLAR'!$D$122:$AW$122), 0), IF($B19='Project List References'!$B$5, _xlfn.IFNA(_xlfn.XLOOKUP(E$2-$C19, 'GEN-BESS'!$D$7:$AW$7, 'GEN-BESS'!$D$125:$AW$125), 0), IF($B19='Project List References'!$B$6, _xlfn.IFNA(_xlfn.XLOOKUP(E$2-$C19, 'GEN-CARBON'!$D$7:$AW$7, 'GEN-CARBON'!$D$124:$AW$124), 0), IF($B19='Project List References'!$B$7, _xlfn.IFNA(_xlfn.XLOOKUP(E$2-$C19, 'SENS Coal'!$D$7:$AW$7, 'SENS Coal'!$D$141:$AW$141), 0), IF($B19='Project List References'!$B$8, _xlfn.IFNA(_xlfn.XLOOKUP(E$2-$C19,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F19" s="743" t="e">
        <f>IF($B19='Project List References'!$B$3, _xlfn.IFNA(_xlfn.XLOOKUP(F$2-$C19, 'GEN-CCGT'!$D$7:$AW$7, 'GEN-CCGT'!$D$124:$AW$124), 0), IF($B19='Project List References'!$B$4, _xlfn.IFNA(_xlfn.XLOOKUP(F$2-$C19, 'GEN-SOLAR'!$D$7:$AW$7, 'GEN-SOLAR'!$D$122:$AW$122), 0), IF($B19='Project List References'!$B$5, _xlfn.IFNA(_xlfn.XLOOKUP(F$2-$C19, 'GEN-BESS'!$D$7:$AW$7, 'GEN-BESS'!$D$125:$AW$125), 0), IF($B19='Project List References'!$B$6, _xlfn.IFNA(_xlfn.XLOOKUP(F$2-$C19, 'GEN-CARBON'!$D$7:$AW$7, 'GEN-CARBON'!$D$124:$AW$124), 0), IF($B19='Project List References'!$B$7, _xlfn.IFNA(_xlfn.XLOOKUP(F$2-$C19, 'SENS Coal'!$D$7:$AW$7, 'SENS Coal'!$D$141:$AW$141), 0), IF($B19='Project List References'!$B$8, _xlfn.IFNA(_xlfn.XLOOKUP(F$2-$C19,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G19" s="743" t="e">
        <f>IF($B19='Project List References'!$B$3, _xlfn.IFNA(_xlfn.XLOOKUP(G$2-$C19, 'GEN-CCGT'!$D$7:$AW$7, 'GEN-CCGT'!$D$124:$AW$124), 0), IF($B19='Project List References'!$B$4, _xlfn.IFNA(_xlfn.XLOOKUP(G$2-$C19, 'GEN-SOLAR'!$D$7:$AW$7, 'GEN-SOLAR'!$D$122:$AW$122), 0), IF($B19='Project List References'!$B$5, _xlfn.IFNA(_xlfn.XLOOKUP(G$2-$C19, 'GEN-BESS'!$D$7:$AW$7, 'GEN-BESS'!$D$125:$AW$125), 0), IF($B19='Project List References'!$B$6, _xlfn.IFNA(_xlfn.XLOOKUP(G$2-$C19, 'GEN-CARBON'!$D$7:$AW$7, 'GEN-CARBON'!$D$124:$AW$124), 0), IF($B19='Project List References'!$B$7, _xlfn.IFNA(_xlfn.XLOOKUP(G$2-$C19, 'SENS Coal'!$D$7:$AW$7, 'SENS Coal'!$D$141:$AW$141), 0), IF($B19='Project List References'!$B$8, _xlfn.IFNA(_xlfn.XLOOKUP(G$2-$C19,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H19" s="743" t="e">
        <f>IF($B19='Project List References'!$B$3, _xlfn.IFNA(_xlfn.XLOOKUP(H$2-$C19, 'GEN-CCGT'!$D$7:$AW$7, 'GEN-CCGT'!$D$124:$AW$124), 0), IF($B19='Project List References'!$B$4, _xlfn.IFNA(_xlfn.XLOOKUP(H$2-$C19, 'GEN-SOLAR'!$D$7:$AW$7, 'GEN-SOLAR'!$D$122:$AW$122), 0), IF($B19='Project List References'!$B$5, _xlfn.IFNA(_xlfn.XLOOKUP(H$2-$C19, 'GEN-BESS'!$D$7:$AW$7, 'GEN-BESS'!$D$125:$AW$125), 0), IF($B19='Project List References'!$B$6, _xlfn.IFNA(_xlfn.XLOOKUP(H$2-$C19, 'GEN-CARBON'!$D$7:$AW$7, 'GEN-CARBON'!$D$124:$AW$124), 0), IF($B19='Project List References'!$B$7, _xlfn.IFNA(_xlfn.XLOOKUP(H$2-$C19, 'SENS Coal'!$D$7:$AW$7, 'SENS Coal'!$D$141:$AW$141), 0), IF($B19='Project List References'!$B$8, _xlfn.IFNA(_xlfn.XLOOKUP(H$2-$C19,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I19" s="743" t="e">
        <f>IF($B19='Project List References'!$B$3, _xlfn.IFNA(_xlfn.XLOOKUP(I$2-$C19, 'GEN-CCGT'!$D$7:$AW$7, 'GEN-CCGT'!$D$124:$AW$124), 0), IF($B19='Project List References'!$B$4, _xlfn.IFNA(_xlfn.XLOOKUP(I$2-$C19, 'GEN-SOLAR'!$D$7:$AW$7, 'GEN-SOLAR'!$D$122:$AW$122), 0), IF($B19='Project List References'!$B$5, _xlfn.IFNA(_xlfn.XLOOKUP(I$2-$C19, 'GEN-BESS'!$D$7:$AW$7, 'GEN-BESS'!$D$125:$AW$125), 0), IF($B19='Project List References'!$B$6, _xlfn.IFNA(_xlfn.XLOOKUP(I$2-$C19, 'GEN-CARBON'!$D$7:$AW$7, 'GEN-CARBON'!$D$124:$AW$124), 0), IF($B19='Project List References'!$B$7, _xlfn.IFNA(_xlfn.XLOOKUP(I$2-$C19, 'SENS Coal'!$D$7:$AW$7, 'SENS Coal'!$D$141:$AW$141), 0), IF($B19='Project List References'!$B$8, _xlfn.IFNA(_xlfn.XLOOKUP(I$2-$C19,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J19" s="743" t="e">
        <f>IF($B19='Project List References'!$B$3, _xlfn.IFNA(_xlfn.XLOOKUP(J$2-$C19, 'GEN-CCGT'!$D$7:$AW$7, 'GEN-CCGT'!$D$124:$AW$124), 0), IF($B19='Project List References'!$B$4, _xlfn.IFNA(_xlfn.XLOOKUP(J$2-$C19, 'GEN-SOLAR'!$D$7:$AW$7, 'GEN-SOLAR'!$D$122:$AW$122), 0), IF($B19='Project List References'!$B$5, _xlfn.IFNA(_xlfn.XLOOKUP(J$2-$C19, 'GEN-BESS'!$D$7:$AW$7, 'GEN-BESS'!$D$125:$AW$125), 0), IF($B19='Project List References'!$B$6, _xlfn.IFNA(_xlfn.XLOOKUP(J$2-$C19, 'GEN-CARBON'!$D$7:$AW$7, 'GEN-CARBON'!$D$124:$AW$124), 0), IF($B19='Project List References'!$B$7, _xlfn.IFNA(_xlfn.XLOOKUP(J$2-$C19, 'SENS Coal'!$D$7:$AW$7, 'SENS Coal'!$D$141:$AW$141), 0), IF($B19='Project List References'!$B$8, _xlfn.IFNA(_xlfn.XLOOKUP(J$2-$C19,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K19" s="743" t="e">
        <f>IF($B19='Project List References'!$B$3, _xlfn.IFNA(_xlfn.XLOOKUP(K$2-$C19, 'GEN-CCGT'!$D$7:$AW$7, 'GEN-CCGT'!$D$124:$AW$124), 0), IF($B19='Project List References'!$B$4, _xlfn.IFNA(_xlfn.XLOOKUP(K$2-$C19, 'GEN-SOLAR'!$D$7:$AW$7, 'GEN-SOLAR'!$D$122:$AW$122), 0), IF($B19='Project List References'!$B$5, _xlfn.IFNA(_xlfn.XLOOKUP(K$2-$C19, 'GEN-BESS'!$D$7:$AW$7, 'GEN-BESS'!$D$125:$AW$125), 0), IF($B19='Project List References'!$B$6, _xlfn.IFNA(_xlfn.XLOOKUP(K$2-$C19, 'GEN-CARBON'!$D$7:$AW$7, 'GEN-CARBON'!$D$124:$AW$124), 0), IF($B19='Project List References'!$B$7, _xlfn.IFNA(_xlfn.XLOOKUP(K$2-$C19, 'SENS Coal'!$D$7:$AW$7, 'SENS Coal'!$D$141:$AW$141), 0), IF($B19='Project List References'!$B$8, _xlfn.IFNA(_xlfn.XLOOKUP(K$2-$C19,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L19" s="743" t="e">
        <f>IF($B19='Project List References'!$B$3, _xlfn.IFNA(_xlfn.XLOOKUP(L$2-$C19, 'GEN-CCGT'!$D$7:$AW$7, 'GEN-CCGT'!$D$124:$AW$124), 0), IF($B19='Project List References'!$B$4, _xlfn.IFNA(_xlfn.XLOOKUP(L$2-$C19, 'GEN-SOLAR'!$D$7:$AW$7, 'GEN-SOLAR'!$D$122:$AW$122), 0), IF($B19='Project List References'!$B$5, _xlfn.IFNA(_xlfn.XLOOKUP(L$2-$C19, 'GEN-BESS'!$D$7:$AW$7, 'GEN-BESS'!$D$125:$AW$125), 0), IF($B19='Project List References'!$B$6, _xlfn.IFNA(_xlfn.XLOOKUP(L$2-$C19, 'GEN-CARBON'!$D$7:$AW$7, 'GEN-CARBON'!$D$124:$AW$124), 0), IF($B19='Project List References'!$B$7, _xlfn.IFNA(_xlfn.XLOOKUP(L$2-$C19, 'SENS Coal'!$D$7:$AW$7, 'SENS Coal'!$D$141:$AW$141), 0), IF($B19='Project List References'!$B$8, _xlfn.IFNA(_xlfn.XLOOKUP(L$2-$C19,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M19" s="743" t="e">
        <f>IF($B19='Project List References'!$B$3, _xlfn.IFNA(_xlfn.XLOOKUP(M$2-$C19, 'GEN-CCGT'!$D$7:$AW$7, 'GEN-CCGT'!$D$124:$AW$124), 0), IF($B19='Project List References'!$B$4, _xlfn.IFNA(_xlfn.XLOOKUP(M$2-$C19, 'GEN-SOLAR'!$D$7:$AW$7, 'GEN-SOLAR'!$D$122:$AW$122), 0), IF($B19='Project List References'!$B$5, _xlfn.IFNA(_xlfn.XLOOKUP(M$2-$C19, 'GEN-BESS'!$D$7:$AW$7, 'GEN-BESS'!$D$125:$AW$125), 0), IF($B19='Project List References'!$B$6, _xlfn.IFNA(_xlfn.XLOOKUP(M$2-$C19, 'GEN-CARBON'!$D$7:$AW$7, 'GEN-CARBON'!$D$124:$AW$124), 0), IF($B19='Project List References'!$B$7, _xlfn.IFNA(_xlfn.XLOOKUP(M$2-$C19, 'SENS Coal'!$D$7:$AW$7, 'SENS Coal'!$D$141:$AW$141), 0), IF($B19='Project List References'!$B$8, _xlfn.IFNA(_xlfn.XLOOKUP(M$2-$C19,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N19" s="743" t="e">
        <f>IF($B19='Project List References'!$B$3, _xlfn.IFNA(_xlfn.XLOOKUP(N$2-$C19, 'GEN-CCGT'!$D$7:$AW$7, 'GEN-CCGT'!$D$124:$AW$124), 0), IF($B19='Project List References'!$B$4, _xlfn.IFNA(_xlfn.XLOOKUP(N$2-$C19, 'GEN-SOLAR'!$D$7:$AW$7, 'GEN-SOLAR'!$D$122:$AW$122), 0), IF($B19='Project List References'!$B$5, _xlfn.IFNA(_xlfn.XLOOKUP(N$2-$C19, 'GEN-BESS'!$D$7:$AW$7, 'GEN-BESS'!$D$125:$AW$125), 0), IF($B19='Project List References'!$B$6, _xlfn.IFNA(_xlfn.XLOOKUP(N$2-$C19, 'GEN-CARBON'!$D$7:$AW$7, 'GEN-CARBON'!$D$124:$AW$124), 0), IF($B19='Project List References'!$B$7, _xlfn.IFNA(_xlfn.XLOOKUP(N$2-$C19, 'SENS Coal'!$D$7:$AW$7, 'SENS Coal'!$D$141:$AW$141), 0), IF($B19='Project List References'!$B$8, _xlfn.IFNA(_xlfn.XLOOKUP(N$2-$C19,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O19" s="743" t="e">
        <f>IF($B19='Project List References'!$B$3, _xlfn.IFNA(_xlfn.XLOOKUP(O$2-$C19, 'GEN-CCGT'!$D$7:$AW$7, 'GEN-CCGT'!$D$124:$AW$124), 0), IF($B19='Project List References'!$B$4, _xlfn.IFNA(_xlfn.XLOOKUP(O$2-$C19, 'GEN-SOLAR'!$D$7:$AW$7, 'GEN-SOLAR'!$D$122:$AW$122), 0), IF($B19='Project List References'!$B$5, _xlfn.IFNA(_xlfn.XLOOKUP(O$2-$C19, 'GEN-BESS'!$D$7:$AW$7, 'GEN-BESS'!$D$125:$AW$125), 0), IF($B19='Project List References'!$B$6, _xlfn.IFNA(_xlfn.XLOOKUP(O$2-$C19, 'GEN-CARBON'!$D$7:$AW$7, 'GEN-CARBON'!$D$124:$AW$124), 0), IF($B19='Project List References'!$B$7, _xlfn.IFNA(_xlfn.XLOOKUP(O$2-$C19, 'SENS Coal'!$D$7:$AW$7, 'SENS Coal'!$D$141:$AW$141), 0), IF($B19='Project List References'!$B$8, _xlfn.IFNA(_xlfn.XLOOKUP(O$2-$C19,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P19" s="743" t="e">
        <f>IF($B19='Project List References'!$B$3, _xlfn.IFNA(_xlfn.XLOOKUP(P$2-$C19, 'GEN-CCGT'!$D$7:$AW$7, 'GEN-CCGT'!$D$124:$AW$124), 0), IF($B19='Project List References'!$B$4, _xlfn.IFNA(_xlfn.XLOOKUP(P$2-$C19, 'GEN-SOLAR'!$D$7:$AW$7, 'GEN-SOLAR'!$D$122:$AW$122), 0), IF($B19='Project List References'!$B$5, _xlfn.IFNA(_xlfn.XLOOKUP(P$2-$C19, 'GEN-BESS'!$D$7:$AW$7, 'GEN-BESS'!$D$125:$AW$125), 0), IF($B19='Project List References'!$B$6, _xlfn.IFNA(_xlfn.XLOOKUP(P$2-$C19, 'GEN-CARBON'!$D$7:$AW$7, 'GEN-CARBON'!$D$124:$AW$124), 0), IF($B19='Project List References'!$B$7, _xlfn.IFNA(_xlfn.XLOOKUP(P$2-$C19, 'SENS Coal'!$D$7:$AW$7, 'SENS Coal'!$D$141:$AW$141), 0), IF($B19='Project List References'!$B$8, _xlfn.IFNA(_xlfn.XLOOKUP(P$2-$C19,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Q19" s="743" t="e">
        <f>IF($B19='Project List References'!$B$3, _xlfn.IFNA(_xlfn.XLOOKUP(Q$2-$C19, 'GEN-CCGT'!$D$7:$AW$7, 'GEN-CCGT'!$D$124:$AW$124), 0), IF($B19='Project List References'!$B$4, _xlfn.IFNA(_xlfn.XLOOKUP(Q$2-$C19, 'GEN-SOLAR'!$D$7:$AW$7, 'GEN-SOLAR'!$D$122:$AW$122), 0), IF($B19='Project List References'!$B$5, _xlfn.IFNA(_xlfn.XLOOKUP(Q$2-$C19, 'GEN-BESS'!$D$7:$AW$7, 'GEN-BESS'!$D$125:$AW$125), 0), IF($B19='Project List References'!$B$6, _xlfn.IFNA(_xlfn.XLOOKUP(Q$2-$C19, 'GEN-CARBON'!$D$7:$AW$7, 'GEN-CARBON'!$D$124:$AW$124), 0), IF($B19='Project List References'!$B$7, _xlfn.IFNA(_xlfn.XLOOKUP(Q$2-$C19, 'SENS Coal'!$D$7:$AW$7, 'SENS Coal'!$D$141:$AW$141), 0), IF($B19='Project List References'!$B$8, _xlfn.IFNA(_xlfn.XLOOKUP(Q$2-$C19,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R19" s="743" t="e">
        <f>IF($B19='Project List References'!$B$3, _xlfn.IFNA(_xlfn.XLOOKUP(R$2-$C19, 'GEN-CCGT'!$D$7:$AW$7, 'GEN-CCGT'!$D$124:$AW$124), 0), IF($B19='Project List References'!$B$4, _xlfn.IFNA(_xlfn.XLOOKUP(R$2-$C19, 'GEN-SOLAR'!$D$7:$AW$7, 'GEN-SOLAR'!$D$122:$AW$122), 0), IF($B19='Project List References'!$B$5, _xlfn.IFNA(_xlfn.XLOOKUP(R$2-$C19, 'GEN-BESS'!$D$7:$AW$7, 'GEN-BESS'!$D$125:$AW$125), 0), IF($B19='Project List References'!$B$6, _xlfn.IFNA(_xlfn.XLOOKUP(R$2-$C19, 'GEN-CARBON'!$D$7:$AW$7, 'GEN-CARBON'!$D$124:$AW$124), 0), IF($B19='Project List References'!$B$7, _xlfn.IFNA(_xlfn.XLOOKUP(R$2-$C19, 'SENS Coal'!$D$7:$AW$7, 'SENS Coal'!$D$141:$AW$141), 0), IF($B19='Project List References'!$B$8, _xlfn.IFNA(_xlfn.XLOOKUP(R$2-$C19,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S19" s="743" t="e">
        <f>IF($B19='Project List References'!$B$3, _xlfn.IFNA(_xlfn.XLOOKUP(S$2-$C19, 'GEN-CCGT'!$D$7:$AW$7, 'GEN-CCGT'!$D$124:$AW$124), 0), IF($B19='Project List References'!$B$4, _xlfn.IFNA(_xlfn.XLOOKUP(S$2-$C19, 'GEN-SOLAR'!$D$7:$AW$7, 'GEN-SOLAR'!$D$122:$AW$122), 0), IF($B19='Project List References'!$B$5, _xlfn.IFNA(_xlfn.XLOOKUP(S$2-$C19, 'GEN-BESS'!$D$7:$AW$7, 'GEN-BESS'!$D$125:$AW$125), 0), IF($B19='Project List References'!$B$6, _xlfn.IFNA(_xlfn.XLOOKUP(S$2-$C19, 'GEN-CARBON'!$D$7:$AW$7, 'GEN-CARBON'!$D$124:$AW$124), 0), IF($B19='Project List References'!$B$7, _xlfn.IFNA(_xlfn.XLOOKUP(S$2-$C19, 'SENS Coal'!$D$7:$AW$7, 'SENS Coal'!$D$141:$AW$141), 0), IF($B19='Project List References'!$B$8, _xlfn.IFNA(_xlfn.XLOOKUP(S$2-$C19,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T19" s="743" t="e">
        <f>IF($B19='Project List References'!$B$3, _xlfn.IFNA(_xlfn.XLOOKUP(T$2-$C19, 'GEN-CCGT'!$D$7:$AW$7, 'GEN-CCGT'!$D$124:$AW$124), 0), IF($B19='Project List References'!$B$4, _xlfn.IFNA(_xlfn.XLOOKUP(T$2-$C19, 'GEN-SOLAR'!$D$7:$AW$7, 'GEN-SOLAR'!$D$122:$AW$122), 0), IF($B19='Project List References'!$B$5, _xlfn.IFNA(_xlfn.XLOOKUP(T$2-$C19, 'GEN-BESS'!$D$7:$AW$7, 'GEN-BESS'!$D$125:$AW$125), 0), IF($B19='Project List References'!$B$6, _xlfn.IFNA(_xlfn.XLOOKUP(T$2-$C19, 'GEN-CARBON'!$D$7:$AW$7, 'GEN-CARBON'!$D$124:$AW$124), 0), IF($B19='Project List References'!$B$7, _xlfn.IFNA(_xlfn.XLOOKUP(T$2-$C19, 'SENS Coal'!$D$7:$AW$7, 'SENS Coal'!$D$141:$AW$141), 0), IF($B19='Project List References'!$B$8, _xlfn.IFNA(_xlfn.XLOOKUP(T$2-$C19, 'SENS Tires'!$D$7:$AW$7, 'SENS Tires'!$D$139:$AW$139),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</row>
    <row r="20" spans="1:20">
      <c r="A20" s="655" t="str">
        <f>IF(ISBLANK('Project Master Sheet'!A20)=FALSE, 'Project Master Sheet'!A20, "")</f>
        <v/>
      </c>
      <c r="B20" s="655" t="str">
        <f>_xlfn.IFNA(_xlfn.XLOOKUP(A20, 'Project Master Sheet'!A:A, 'Project Master Sheet'!D:D), "")</f>
        <v/>
      </c>
      <c r="C20" s="655" t="e">
        <f>_xlfn.XLOOKUP(A20, 'Project Master Sheet'!A:A, 'Project Master Sheet'!I:I)</f>
        <v>#N/A</v>
      </c>
      <c r="E20" s="743" t="e">
        <f>IF($B20='Project List References'!$B$3, _xlfn.IFNA(_xlfn.XLOOKUP(E$2-$C20, 'GEN-CCGT'!$D$7:$AW$7, 'GEN-CCGT'!$D$124:$AW$124), 0), IF($B20='Project List References'!$B$4, _xlfn.IFNA(_xlfn.XLOOKUP(E$2-$C20, 'GEN-SOLAR'!$D$7:$AW$7, 'GEN-SOLAR'!$D$122:$AW$122), 0), IF($B20='Project List References'!$B$5, _xlfn.IFNA(_xlfn.XLOOKUP(E$2-$C20, 'GEN-BESS'!$D$7:$AW$7, 'GEN-BESS'!$D$125:$AW$125), 0), IF($B20='Project List References'!$B$6, _xlfn.IFNA(_xlfn.XLOOKUP(E$2-$C20, 'GEN-CARBON'!$D$7:$AW$7, 'GEN-CARBON'!$D$124:$AW$124), 0), IF($B20='Project List References'!$B$7, _xlfn.IFNA(_xlfn.XLOOKUP(E$2-$C20, 'SENS Coal'!$D$7:$AW$7, 'SENS Coal'!$D$141:$AW$141), 0), IF($B20='Project List References'!$B$8, _xlfn.IFNA(_xlfn.XLOOKUP(E$2-$C20,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F20" s="743" t="e">
        <f>IF($B20='Project List References'!$B$3, _xlfn.IFNA(_xlfn.XLOOKUP(F$2-$C20, 'GEN-CCGT'!$D$7:$AW$7, 'GEN-CCGT'!$D$124:$AW$124), 0), IF($B20='Project List References'!$B$4, _xlfn.IFNA(_xlfn.XLOOKUP(F$2-$C20, 'GEN-SOLAR'!$D$7:$AW$7, 'GEN-SOLAR'!$D$122:$AW$122), 0), IF($B20='Project List References'!$B$5, _xlfn.IFNA(_xlfn.XLOOKUP(F$2-$C20, 'GEN-BESS'!$D$7:$AW$7, 'GEN-BESS'!$D$125:$AW$125), 0), IF($B20='Project List References'!$B$6, _xlfn.IFNA(_xlfn.XLOOKUP(F$2-$C20, 'GEN-CARBON'!$D$7:$AW$7, 'GEN-CARBON'!$D$124:$AW$124), 0), IF($B20='Project List References'!$B$7, _xlfn.IFNA(_xlfn.XLOOKUP(F$2-$C20, 'SENS Coal'!$D$7:$AW$7, 'SENS Coal'!$D$141:$AW$141), 0), IF($B20='Project List References'!$B$8, _xlfn.IFNA(_xlfn.XLOOKUP(F$2-$C20,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G20" s="743" t="e">
        <f>IF($B20='Project List References'!$B$3, _xlfn.IFNA(_xlfn.XLOOKUP(G$2-$C20, 'GEN-CCGT'!$D$7:$AW$7, 'GEN-CCGT'!$D$124:$AW$124), 0), IF($B20='Project List References'!$B$4, _xlfn.IFNA(_xlfn.XLOOKUP(G$2-$C20, 'GEN-SOLAR'!$D$7:$AW$7, 'GEN-SOLAR'!$D$122:$AW$122), 0), IF($B20='Project List References'!$B$5, _xlfn.IFNA(_xlfn.XLOOKUP(G$2-$C20, 'GEN-BESS'!$D$7:$AW$7, 'GEN-BESS'!$D$125:$AW$125), 0), IF($B20='Project List References'!$B$6, _xlfn.IFNA(_xlfn.XLOOKUP(G$2-$C20, 'GEN-CARBON'!$D$7:$AW$7, 'GEN-CARBON'!$D$124:$AW$124), 0), IF($B20='Project List References'!$B$7, _xlfn.IFNA(_xlfn.XLOOKUP(G$2-$C20, 'SENS Coal'!$D$7:$AW$7, 'SENS Coal'!$D$141:$AW$141), 0), IF($B20='Project List References'!$B$8, _xlfn.IFNA(_xlfn.XLOOKUP(G$2-$C20,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H20" s="743" t="e">
        <f>IF($B20='Project List References'!$B$3, _xlfn.IFNA(_xlfn.XLOOKUP(H$2-$C20, 'GEN-CCGT'!$D$7:$AW$7, 'GEN-CCGT'!$D$124:$AW$124), 0), IF($B20='Project List References'!$B$4, _xlfn.IFNA(_xlfn.XLOOKUP(H$2-$C20, 'GEN-SOLAR'!$D$7:$AW$7, 'GEN-SOLAR'!$D$122:$AW$122), 0), IF($B20='Project List References'!$B$5, _xlfn.IFNA(_xlfn.XLOOKUP(H$2-$C20, 'GEN-BESS'!$D$7:$AW$7, 'GEN-BESS'!$D$125:$AW$125), 0), IF($B20='Project List References'!$B$6, _xlfn.IFNA(_xlfn.XLOOKUP(H$2-$C20, 'GEN-CARBON'!$D$7:$AW$7, 'GEN-CARBON'!$D$124:$AW$124), 0), IF($B20='Project List References'!$B$7, _xlfn.IFNA(_xlfn.XLOOKUP(H$2-$C20, 'SENS Coal'!$D$7:$AW$7, 'SENS Coal'!$D$141:$AW$141), 0), IF($B20='Project List References'!$B$8, _xlfn.IFNA(_xlfn.XLOOKUP(H$2-$C20,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I20" s="743" t="e">
        <f>IF($B20='Project List References'!$B$3, _xlfn.IFNA(_xlfn.XLOOKUP(I$2-$C20, 'GEN-CCGT'!$D$7:$AW$7, 'GEN-CCGT'!$D$124:$AW$124), 0), IF($B20='Project List References'!$B$4, _xlfn.IFNA(_xlfn.XLOOKUP(I$2-$C20, 'GEN-SOLAR'!$D$7:$AW$7, 'GEN-SOLAR'!$D$122:$AW$122), 0), IF($B20='Project List References'!$B$5, _xlfn.IFNA(_xlfn.XLOOKUP(I$2-$C20, 'GEN-BESS'!$D$7:$AW$7, 'GEN-BESS'!$D$125:$AW$125), 0), IF($B20='Project List References'!$B$6, _xlfn.IFNA(_xlfn.XLOOKUP(I$2-$C20, 'GEN-CARBON'!$D$7:$AW$7, 'GEN-CARBON'!$D$124:$AW$124), 0), IF($B20='Project List References'!$B$7, _xlfn.IFNA(_xlfn.XLOOKUP(I$2-$C20, 'SENS Coal'!$D$7:$AW$7, 'SENS Coal'!$D$141:$AW$141), 0), IF($B20='Project List References'!$B$8, _xlfn.IFNA(_xlfn.XLOOKUP(I$2-$C20,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J20" s="743" t="e">
        <f>IF($B20='Project List References'!$B$3, _xlfn.IFNA(_xlfn.XLOOKUP(J$2-$C20, 'GEN-CCGT'!$D$7:$AW$7, 'GEN-CCGT'!$D$124:$AW$124), 0), IF($B20='Project List References'!$B$4, _xlfn.IFNA(_xlfn.XLOOKUP(J$2-$C20, 'GEN-SOLAR'!$D$7:$AW$7, 'GEN-SOLAR'!$D$122:$AW$122), 0), IF($B20='Project List References'!$B$5, _xlfn.IFNA(_xlfn.XLOOKUP(J$2-$C20, 'GEN-BESS'!$D$7:$AW$7, 'GEN-BESS'!$D$125:$AW$125), 0), IF($B20='Project List References'!$B$6, _xlfn.IFNA(_xlfn.XLOOKUP(J$2-$C20, 'GEN-CARBON'!$D$7:$AW$7, 'GEN-CARBON'!$D$124:$AW$124), 0), IF($B20='Project List References'!$B$7, _xlfn.IFNA(_xlfn.XLOOKUP(J$2-$C20, 'SENS Coal'!$D$7:$AW$7, 'SENS Coal'!$D$141:$AW$141), 0), IF($B20='Project List References'!$B$8, _xlfn.IFNA(_xlfn.XLOOKUP(J$2-$C20,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K20" s="743" t="e">
        <f>IF($B20='Project List References'!$B$3, _xlfn.IFNA(_xlfn.XLOOKUP(K$2-$C20, 'GEN-CCGT'!$D$7:$AW$7, 'GEN-CCGT'!$D$124:$AW$124), 0), IF($B20='Project List References'!$B$4, _xlfn.IFNA(_xlfn.XLOOKUP(K$2-$C20, 'GEN-SOLAR'!$D$7:$AW$7, 'GEN-SOLAR'!$D$122:$AW$122), 0), IF($B20='Project List References'!$B$5, _xlfn.IFNA(_xlfn.XLOOKUP(K$2-$C20, 'GEN-BESS'!$D$7:$AW$7, 'GEN-BESS'!$D$125:$AW$125), 0), IF($B20='Project List References'!$B$6, _xlfn.IFNA(_xlfn.XLOOKUP(K$2-$C20, 'GEN-CARBON'!$D$7:$AW$7, 'GEN-CARBON'!$D$124:$AW$124), 0), IF($B20='Project List References'!$B$7, _xlfn.IFNA(_xlfn.XLOOKUP(K$2-$C20, 'SENS Coal'!$D$7:$AW$7, 'SENS Coal'!$D$141:$AW$141), 0), IF($B20='Project List References'!$B$8, _xlfn.IFNA(_xlfn.XLOOKUP(K$2-$C20,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L20" s="743" t="e">
        <f>IF($B20='Project List References'!$B$3, _xlfn.IFNA(_xlfn.XLOOKUP(L$2-$C20, 'GEN-CCGT'!$D$7:$AW$7, 'GEN-CCGT'!$D$124:$AW$124), 0), IF($B20='Project List References'!$B$4, _xlfn.IFNA(_xlfn.XLOOKUP(L$2-$C20, 'GEN-SOLAR'!$D$7:$AW$7, 'GEN-SOLAR'!$D$122:$AW$122), 0), IF($B20='Project List References'!$B$5, _xlfn.IFNA(_xlfn.XLOOKUP(L$2-$C20, 'GEN-BESS'!$D$7:$AW$7, 'GEN-BESS'!$D$125:$AW$125), 0), IF($B20='Project List References'!$B$6, _xlfn.IFNA(_xlfn.XLOOKUP(L$2-$C20, 'GEN-CARBON'!$D$7:$AW$7, 'GEN-CARBON'!$D$124:$AW$124), 0), IF($B20='Project List References'!$B$7, _xlfn.IFNA(_xlfn.XLOOKUP(L$2-$C20, 'SENS Coal'!$D$7:$AW$7, 'SENS Coal'!$D$141:$AW$141), 0), IF($B20='Project List References'!$B$8, _xlfn.IFNA(_xlfn.XLOOKUP(L$2-$C20,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M20" s="743" t="e">
        <f>IF($B20='Project List References'!$B$3, _xlfn.IFNA(_xlfn.XLOOKUP(M$2-$C20, 'GEN-CCGT'!$D$7:$AW$7, 'GEN-CCGT'!$D$124:$AW$124), 0), IF($B20='Project List References'!$B$4, _xlfn.IFNA(_xlfn.XLOOKUP(M$2-$C20, 'GEN-SOLAR'!$D$7:$AW$7, 'GEN-SOLAR'!$D$122:$AW$122), 0), IF($B20='Project List References'!$B$5, _xlfn.IFNA(_xlfn.XLOOKUP(M$2-$C20, 'GEN-BESS'!$D$7:$AW$7, 'GEN-BESS'!$D$125:$AW$125), 0), IF($B20='Project List References'!$B$6, _xlfn.IFNA(_xlfn.XLOOKUP(M$2-$C20, 'GEN-CARBON'!$D$7:$AW$7, 'GEN-CARBON'!$D$124:$AW$124), 0), IF($B20='Project List References'!$B$7, _xlfn.IFNA(_xlfn.XLOOKUP(M$2-$C20, 'SENS Coal'!$D$7:$AW$7, 'SENS Coal'!$D$141:$AW$141), 0), IF($B20='Project List References'!$B$8, _xlfn.IFNA(_xlfn.XLOOKUP(M$2-$C20,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N20" s="743" t="e">
        <f>IF($B20='Project List References'!$B$3, _xlfn.IFNA(_xlfn.XLOOKUP(N$2-$C20, 'GEN-CCGT'!$D$7:$AW$7, 'GEN-CCGT'!$D$124:$AW$124), 0), IF($B20='Project List References'!$B$4, _xlfn.IFNA(_xlfn.XLOOKUP(N$2-$C20, 'GEN-SOLAR'!$D$7:$AW$7, 'GEN-SOLAR'!$D$122:$AW$122), 0), IF($B20='Project List References'!$B$5, _xlfn.IFNA(_xlfn.XLOOKUP(N$2-$C20, 'GEN-BESS'!$D$7:$AW$7, 'GEN-BESS'!$D$125:$AW$125), 0), IF($B20='Project List References'!$B$6, _xlfn.IFNA(_xlfn.XLOOKUP(N$2-$C20, 'GEN-CARBON'!$D$7:$AW$7, 'GEN-CARBON'!$D$124:$AW$124), 0), IF($B20='Project List References'!$B$7, _xlfn.IFNA(_xlfn.XLOOKUP(N$2-$C20, 'SENS Coal'!$D$7:$AW$7, 'SENS Coal'!$D$141:$AW$141), 0), IF($B20='Project List References'!$B$8, _xlfn.IFNA(_xlfn.XLOOKUP(N$2-$C20,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O20" s="743" t="e">
        <f>IF($B20='Project List References'!$B$3, _xlfn.IFNA(_xlfn.XLOOKUP(O$2-$C20, 'GEN-CCGT'!$D$7:$AW$7, 'GEN-CCGT'!$D$124:$AW$124), 0), IF($B20='Project List References'!$B$4, _xlfn.IFNA(_xlfn.XLOOKUP(O$2-$C20, 'GEN-SOLAR'!$D$7:$AW$7, 'GEN-SOLAR'!$D$122:$AW$122), 0), IF($B20='Project List References'!$B$5, _xlfn.IFNA(_xlfn.XLOOKUP(O$2-$C20, 'GEN-BESS'!$D$7:$AW$7, 'GEN-BESS'!$D$125:$AW$125), 0), IF($B20='Project List References'!$B$6, _xlfn.IFNA(_xlfn.XLOOKUP(O$2-$C20, 'GEN-CARBON'!$D$7:$AW$7, 'GEN-CARBON'!$D$124:$AW$124), 0), IF($B20='Project List References'!$B$7, _xlfn.IFNA(_xlfn.XLOOKUP(O$2-$C20, 'SENS Coal'!$D$7:$AW$7, 'SENS Coal'!$D$141:$AW$141), 0), IF($B20='Project List References'!$B$8, _xlfn.IFNA(_xlfn.XLOOKUP(O$2-$C20,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P20" s="743" t="e">
        <f>IF($B20='Project List References'!$B$3, _xlfn.IFNA(_xlfn.XLOOKUP(P$2-$C20, 'GEN-CCGT'!$D$7:$AW$7, 'GEN-CCGT'!$D$124:$AW$124), 0), IF($B20='Project List References'!$B$4, _xlfn.IFNA(_xlfn.XLOOKUP(P$2-$C20, 'GEN-SOLAR'!$D$7:$AW$7, 'GEN-SOLAR'!$D$122:$AW$122), 0), IF($B20='Project List References'!$B$5, _xlfn.IFNA(_xlfn.XLOOKUP(P$2-$C20, 'GEN-BESS'!$D$7:$AW$7, 'GEN-BESS'!$D$125:$AW$125), 0), IF($B20='Project List References'!$B$6, _xlfn.IFNA(_xlfn.XLOOKUP(P$2-$C20, 'GEN-CARBON'!$D$7:$AW$7, 'GEN-CARBON'!$D$124:$AW$124), 0), IF($B20='Project List References'!$B$7, _xlfn.IFNA(_xlfn.XLOOKUP(P$2-$C20, 'SENS Coal'!$D$7:$AW$7, 'SENS Coal'!$D$141:$AW$141), 0), IF($B20='Project List References'!$B$8, _xlfn.IFNA(_xlfn.XLOOKUP(P$2-$C20,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Q20" s="743" t="e">
        <f>IF($B20='Project List References'!$B$3, _xlfn.IFNA(_xlfn.XLOOKUP(Q$2-$C20, 'GEN-CCGT'!$D$7:$AW$7, 'GEN-CCGT'!$D$124:$AW$124), 0), IF($B20='Project List References'!$B$4, _xlfn.IFNA(_xlfn.XLOOKUP(Q$2-$C20, 'GEN-SOLAR'!$D$7:$AW$7, 'GEN-SOLAR'!$D$122:$AW$122), 0), IF($B20='Project List References'!$B$5, _xlfn.IFNA(_xlfn.XLOOKUP(Q$2-$C20, 'GEN-BESS'!$D$7:$AW$7, 'GEN-BESS'!$D$125:$AW$125), 0), IF($B20='Project List References'!$B$6, _xlfn.IFNA(_xlfn.XLOOKUP(Q$2-$C20, 'GEN-CARBON'!$D$7:$AW$7, 'GEN-CARBON'!$D$124:$AW$124), 0), IF($B20='Project List References'!$B$7, _xlfn.IFNA(_xlfn.XLOOKUP(Q$2-$C20, 'SENS Coal'!$D$7:$AW$7, 'SENS Coal'!$D$141:$AW$141), 0), IF($B20='Project List References'!$B$8, _xlfn.IFNA(_xlfn.XLOOKUP(Q$2-$C20,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R20" s="743" t="e">
        <f>IF($B20='Project List References'!$B$3, _xlfn.IFNA(_xlfn.XLOOKUP(R$2-$C20, 'GEN-CCGT'!$D$7:$AW$7, 'GEN-CCGT'!$D$124:$AW$124), 0), IF($B20='Project List References'!$B$4, _xlfn.IFNA(_xlfn.XLOOKUP(R$2-$C20, 'GEN-SOLAR'!$D$7:$AW$7, 'GEN-SOLAR'!$D$122:$AW$122), 0), IF($B20='Project List References'!$B$5, _xlfn.IFNA(_xlfn.XLOOKUP(R$2-$C20, 'GEN-BESS'!$D$7:$AW$7, 'GEN-BESS'!$D$125:$AW$125), 0), IF($B20='Project List References'!$B$6, _xlfn.IFNA(_xlfn.XLOOKUP(R$2-$C20, 'GEN-CARBON'!$D$7:$AW$7, 'GEN-CARBON'!$D$124:$AW$124), 0), IF($B20='Project List References'!$B$7, _xlfn.IFNA(_xlfn.XLOOKUP(R$2-$C20, 'SENS Coal'!$D$7:$AW$7, 'SENS Coal'!$D$141:$AW$141), 0), IF($B20='Project List References'!$B$8, _xlfn.IFNA(_xlfn.XLOOKUP(R$2-$C20,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S20" s="743" t="e">
        <f>IF($B20='Project List References'!$B$3, _xlfn.IFNA(_xlfn.XLOOKUP(S$2-$C20, 'GEN-CCGT'!$D$7:$AW$7, 'GEN-CCGT'!$D$124:$AW$124), 0), IF($B20='Project List References'!$B$4, _xlfn.IFNA(_xlfn.XLOOKUP(S$2-$C20, 'GEN-SOLAR'!$D$7:$AW$7, 'GEN-SOLAR'!$D$122:$AW$122), 0), IF($B20='Project List References'!$B$5, _xlfn.IFNA(_xlfn.XLOOKUP(S$2-$C20, 'GEN-BESS'!$D$7:$AW$7, 'GEN-BESS'!$D$125:$AW$125), 0), IF($B20='Project List References'!$B$6, _xlfn.IFNA(_xlfn.XLOOKUP(S$2-$C20, 'GEN-CARBON'!$D$7:$AW$7, 'GEN-CARBON'!$D$124:$AW$124), 0), IF($B20='Project List References'!$B$7, _xlfn.IFNA(_xlfn.XLOOKUP(S$2-$C20, 'SENS Coal'!$D$7:$AW$7, 'SENS Coal'!$D$141:$AW$141), 0), IF($B20='Project List References'!$B$8, _xlfn.IFNA(_xlfn.XLOOKUP(S$2-$C20,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T20" s="743" t="e">
        <f>IF($B20='Project List References'!$B$3, _xlfn.IFNA(_xlfn.XLOOKUP(T$2-$C20, 'GEN-CCGT'!$D$7:$AW$7, 'GEN-CCGT'!$D$124:$AW$124), 0), IF($B20='Project List References'!$B$4, _xlfn.IFNA(_xlfn.XLOOKUP(T$2-$C20, 'GEN-SOLAR'!$D$7:$AW$7, 'GEN-SOLAR'!$D$122:$AW$122), 0), IF($B20='Project List References'!$B$5, _xlfn.IFNA(_xlfn.XLOOKUP(T$2-$C20, 'GEN-BESS'!$D$7:$AW$7, 'GEN-BESS'!$D$125:$AW$125), 0), IF($B20='Project List References'!$B$6, _xlfn.IFNA(_xlfn.XLOOKUP(T$2-$C20, 'GEN-CARBON'!$D$7:$AW$7, 'GEN-CARBON'!$D$124:$AW$124), 0), IF($B20='Project List References'!$B$7, _xlfn.IFNA(_xlfn.XLOOKUP(T$2-$C20, 'SENS Coal'!$D$7:$AW$7, 'SENS Coal'!$D$141:$AW$141), 0), IF($B20='Project List References'!$B$8, _xlfn.IFNA(_xlfn.XLOOKUP(T$2-$C20, 'SENS Tires'!$D$7:$AW$7, 'SENS Tires'!$D$139:$AW$139),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</row>
    <row r="21" spans="1:20">
      <c r="A21" s="655" t="str">
        <f>IF(ISBLANK('Project Master Sheet'!A21)=FALSE, 'Project Master Sheet'!A21, "")</f>
        <v/>
      </c>
      <c r="B21" s="655" t="str">
        <f>_xlfn.IFNA(_xlfn.XLOOKUP(A21, 'Project Master Sheet'!A:A, 'Project Master Sheet'!D:D), "")</f>
        <v/>
      </c>
      <c r="C21" s="655" t="e">
        <f>_xlfn.XLOOKUP(A21, 'Project Master Sheet'!A:A, 'Project Master Sheet'!I:I)</f>
        <v>#N/A</v>
      </c>
      <c r="E21" s="743" t="e">
        <f>IF($B21='Project List References'!$B$3, _xlfn.IFNA(_xlfn.XLOOKUP(E$2-$C21, 'GEN-CCGT'!$D$7:$AW$7, 'GEN-CCGT'!$D$124:$AW$124), 0), IF($B21='Project List References'!$B$4, _xlfn.IFNA(_xlfn.XLOOKUP(E$2-$C21, 'GEN-SOLAR'!$D$7:$AW$7, 'GEN-SOLAR'!$D$122:$AW$122), 0), IF($B21='Project List References'!$B$5, _xlfn.IFNA(_xlfn.XLOOKUP(E$2-$C21, 'GEN-BESS'!$D$7:$AW$7, 'GEN-BESS'!$D$125:$AW$125), 0), IF($B21='Project List References'!$B$6, _xlfn.IFNA(_xlfn.XLOOKUP(E$2-$C21, 'GEN-CARBON'!$D$7:$AW$7, 'GEN-CARBON'!$D$124:$AW$124), 0), IF($B21='Project List References'!$B$7, _xlfn.IFNA(_xlfn.XLOOKUP(E$2-$C21, 'SENS Coal'!$D$7:$AW$7, 'SENS Coal'!$D$141:$AW$141), 0), IF($B21='Project List References'!$B$8, _xlfn.IFNA(_xlfn.XLOOKUP(E$2-$C21,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F21" s="743" t="e">
        <f>IF($B21='Project List References'!$B$3, _xlfn.IFNA(_xlfn.XLOOKUP(F$2-$C21, 'GEN-CCGT'!$D$7:$AW$7, 'GEN-CCGT'!$D$124:$AW$124), 0), IF($B21='Project List References'!$B$4, _xlfn.IFNA(_xlfn.XLOOKUP(F$2-$C21, 'GEN-SOLAR'!$D$7:$AW$7, 'GEN-SOLAR'!$D$122:$AW$122), 0), IF($B21='Project List References'!$B$5, _xlfn.IFNA(_xlfn.XLOOKUP(F$2-$C21, 'GEN-BESS'!$D$7:$AW$7, 'GEN-BESS'!$D$125:$AW$125), 0), IF($B21='Project List References'!$B$6, _xlfn.IFNA(_xlfn.XLOOKUP(F$2-$C21, 'GEN-CARBON'!$D$7:$AW$7, 'GEN-CARBON'!$D$124:$AW$124), 0), IF($B21='Project List References'!$B$7, _xlfn.IFNA(_xlfn.XLOOKUP(F$2-$C21, 'SENS Coal'!$D$7:$AW$7, 'SENS Coal'!$D$141:$AW$141), 0), IF($B21='Project List References'!$B$8, _xlfn.IFNA(_xlfn.XLOOKUP(F$2-$C21,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G21" s="743" t="e">
        <f>IF($B21='Project List References'!$B$3, _xlfn.IFNA(_xlfn.XLOOKUP(G$2-$C21, 'GEN-CCGT'!$D$7:$AW$7, 'GEN-CCGT'!$D$124:$AW$124), 0), IF($B21='Project List References'!$B$4, _xlfn.IFNA(_xlfn.XLOOKUP(G$2-$C21, 'GEN-SOLAR'!$D$7:$AW$7, 'GEN-SOLAR'!$D$122:$AW$122), 0), IF($B21='Project List References'!$B$5, _xlfn.IFNA(_xlfn.XLOOKUP(G$2-$C21, 'GEN-BESS'!$D$7:$AW$7, 'GEN-BESS'!$D$125:$AW$125), 0), IF($B21='Project List References'!$B$6, _xlfn.IFNA(_xlfn.XLOOKUP(G$2-$C21, 'GEN-CARBON'!$D$7:$AW$7, 'GEN-CARBON'!$D$124:$AW$124), 0), IF($B21='Project List References'!$B$7, _xlfn.IFNA(_xlfn.XLOOKUP(G$2-$C21, 'SENS Coal'!$D$7:$AW$7, 'SENS Coal'!$D$141:$AW$141), 0), IF($B21='Project List References'!$B$8, _xlfn.IFNA(_xlfn.XLOOKUP(G$2-$C21,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H21" s="743" t="e">
        <f>IF($B21='Project List References'!$B$3, _xlfn.IFNA(_xlfn.XLOOKUP(H$2-$C21, 'GEN-CCGT'!$D$7:$AW$7, 'GEN-CCGT'!$D$124:$AW$124), 0), IF($B21='Project List References'!$B$4, _xlfn.IFNA(_xlfn.XLOOKUP(H$2-$C21, 'GEN-SOLAR'!$D$7:$AW$7, 'GEN-SOLAR'!$D$122:$AW$122), 0), IF($B21='Project List References'!$B$5, _xlfn.IFNA(_xlfn.XLOOKUP(H$2-$C21, 'GEN-BESS'!$D$7:$AW$7, 'GEN-BESS'!$D$125:$AW$125), 0), IF($B21='Project List References'!$B$6, _xlfn.IFNA(_xlfn.XLOOKUP(H$2-$C21, 'GEN-CARBON'!$D$7:$AW$7, 'GEN-CARBON'!$D$124:$AW$124), 0), IF($B21='Project List References'!$B$7, _xlfn.IFNA(_xlfn.XLOOKUP(H$2-$C21, 'SENS Coal'!$D$7:$AW$7, 'SENS Coal'!$D$141:$AW$141), 0), IF($B21='Project List References'!$B$8, _xlfn.IFNA(_xlfn.XLOOKUP(H$2-$C21,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I21" s="743" t="e">
        <f>IF($B21='Project List References'!$B$3, _xlfn.IFNA(_xlfn.XLOOKUP(I$2-$C21, 'GEN-CCGT'!$D$7:$AW$7, 'GEN-CCGT'!$D$124:$AW$124), 0), IF($B21='Project List References'!$B$4, _xlfn.IFNA(_xlfn.XLOOKUP(I$2-$C21, 'GEN-SOLAR'!$D$7:$AW$7, 'GEN-SOLAR'!$D$122:$AW$122), 0), IF($B21='Project List References'!$B$5, _xlfn.IFNA(_xlfn.XLOOKUP(I$2-$C21, 'GEN-BESS'!$D$7:$AW$7, 'GEN-BESS'!$D$125:$AW$125), 0), IF($B21='Project List References'!$B$6, _xlfn.IFNA(_xlfn.XLOOKUP(I$2-$C21, 'GEN-CARBON'!$D$7:$AW$7, 'GEN-CARBON'!$D$124:$AW$124), 0), IF($B21='Project List References'!$B$7, _xlfn.IFNA(_xlfn.XLOOKUP(I$2-$C21, 'SENS Coal'!$D$7:$AW$7, 'SENS Coal'!$D$141:$AW$141), 0), IF($B21='Project List References'!$B$8, _xlfn.IFNA(_xlfn.XLOOKUP(I$2-$C21,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J21" s="743" t="e">
        <f>IF($B21='Project List References'!$B$3, _xlfn.IFNA(_xlfn.XLOOKUP(J$2-$C21, 'GEN-CCGT'!$D$7:$AW$7, 'GEN-CCGT'!$D$124:$AW$124), 0), IF($B21='Project List References'!$B$4, _xlfn.IFNA(_xlfn.XLOOKUP(J$2-$C21, 'GEN-SOLAR'!$D$7:$AW$7, 'GEN-SOLAR'!$D$122:$AW$122), 0), IF($B21='Project List References'!$B$5, _xlfn.IFNA(_xlfn.XLOOKUP(J$2-$C21, 'GEN-BESS'!$D$7:$AW$7, 'GEN-BESS'!$D$125:$AW$125), 0), IF($B21='Project List References'!$B$6, _xlfn.IFNA(_xlfn.XLOOKUP(J$2-$C21, 'GEN-CARBON'!$D$7:$AW$7, 'GEN-CARBON'!$D$124:$AW$124), 0), IF($B21='Project List References'!$B$7, _xlfn.IFNA(_xlfn.XLOOKUP(J$2-$C21, 'SENS Coal'!$D$7:$AW$7, 'SENS Coal'!$D$141:$AW$141), 0), IF($B21='Project List References'!$B$8, _xlfn.IFNA(_xlfn.XLOOKUP(J$2-$C21,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K21" s="743" t="e">
        <f>IF($B21='Project List References'!$B$3, _xlfn.IFNA(_xlfn.XLOOKUP(K$2-$C21, 'GEN-CCGT'!$D$7:$AW$7, 'GEN-CCGT'!$D$124:$AW$124), 0), IF($B21='Project List References'!$B$4, _xlfn.IFNA(_xlfn.XLOOKUP(K$2-$C21, 'GEN-SOLAR'!$D$7:$AW$7, 'GEN-SOLAR'!$D$122:$AW$122), 0), IF($B21='Project List References'!$B$5, _xlfn.IFNA(_xlfn.XLOOKUP(K$2-$C21, 'GEN-BESS'!$D$7:$AW$7, 'GEN-BESS'!$D$125:$AW$125), 0), IF($B21='Project List References'!$B$6, _xlfn.IFNA(_xlfn.XLOOKUP(K$2-$C21, 'GEN-CARBON'!$D$7:$AW$7, 'GEN-CARBON'!$D$124:$AW$124), 0), IF($B21='Project List References'!$B$7, _xlfn.IFNA(_xlfn.XLOOKUP(K$2-$C21, 'SENS Coal'!$D$7:$AW$7, 'SENS Coal'!$D$141:$AW$141), 0), IF($B21='Project List References'!$B$8, _xlfn.IFNA(_xlfn.XLOOKUP(K$2-$C21,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L21" s="743" t="e">
        <f>IF($B21='Project List References'!$B$3, _xlfn.IFNA(_xlfn.XLOOKUP(L$2-$C21, 'GEN-CCGT'!$D$7:$AW$7, 'GEN-CCGT'!$D$124:$AW$124), 0), IF($B21='Project List References'!$B$4, _xlfn.IFNA(_xlfn.XLOOKUP(L$2-$C21, 'GEN-SOLAR'!$D$7:$AW$7, 'GEN-SOLAR'!$D$122:$AW$122), 0), IF($B21='Project List References'!$B$5, _xlfn.IFNA(_xlfn.XLOOKUP(L$2-$C21, 'GEN-BESS'!$D$7:$AW$7, 'GEN-BESS'!$D$125:$AW$125), 0), IF($B21='Project List References'!$B$6, _xlfn.IFNA(_xlfn.XLOOKUP(L$2-$C21, 'GEN-CARBON'!$D$7:$AW$7, 'GEN-CARBON'!$D$124:$AW$124), 0), IF($B21='Project List References'!$B$7, _xlfn.IFNA(_xlfn.XLOOKUP(L$2-$C21, 'SENS Coal'!$D$7:$AW$7, 'SENS Coal'!$D$141:$AW$141), 0), IF($B21='Project List References'!$B$8, _xlfn.IFNA(_xlfn.XLOOKUP(L$2-$C21,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M21" s="743" t="e">
        <f>IF($B21='Project List References'!$B$3, _xlfn.IFNA(_xlfn.XLOOKUP(M$2-$C21, 'GEN-CCGT'!$D$7:$AW$7, 'GEN-CCGT'!$D$124:$AW$124), 0), IF($B21='Project List References'!$B$4, _xlfn.IFNA(_xlfn.XLOOKUP(M$2-$C21, 'GEN-SOLAR'!$D$7:$AW$7, 'GEN-SOLAR'!$D$122:$AW$122), 0), IF($B21='Project List References'!$B$5, _xlfn.IFNA(_xlfn.XLOOKUP(M$2-$C21, 'GEN-BESS'!$D$7:$AW$7, 'GEN-BESS'!$D$125:$AW$125), 0), IF($B21='Project List References'!$B$6, _xlfn.IFNA(_xlfn.XLOOKUP(M$2-$C21, 'GEN-CARBON'!$D$7:$AW$7, 'GEN-CARBON'!$D$124:$AW$124), 0), IF($B21='Project List References'!$B$7, _xlfn.IFNA(_xlfn.XLOOKUP(M$2-$C21, 'SENS Coal'!$D$7:$AW$7, 'SENS Coal'!$D$141:$AW$141), 0), IF($B21='Project List References'!$B$8, _xlfn.IFNA(_xlfn.XLOOKUP(M$2-$C21,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N21" s="743" t="e">
        <f>IF($B21='Project List References'!$B$3, _xlfn.IFNA(_xlfn.XLOOKUP(N$2-$C21, 'GEN-CCGT'!$D$7:$AW$7, 'GEN-CCGT'!$D$124:$AW$124), 0), IF($B21='Project List References'!$B$4, _xlfn.IFNA(_xlfn.XLOOKUP(N$2-$C21, 'GEN-SOLAR'!$D$7:$AW$7, 'GEN-SOLAR'!$D$122:$AW$122), 0), IF($B21='Project List References'!$B$5, _xlfn.IFNA(_xlfn.XLOOKUP(N$2-$C21, 'GEN-BESS'!$D$7:$AW$7, 'GEN-BESS'!$D$125:$AW$125), 0), IF($B21='Project List References'!$B$6, _xlfn.IFNA(_xlfn.XLOOKUP(N$2-$C21, 'GEN-CARBON'!$D$7:$AW$7, 'GEN-CARBON'!$D$124:$AW$124), 0), IF($B21='Project List References'!$B$7, _xlfn.IFNA(_xlfn.XLOOKUP(N$2-$C21, 'SENS Coal'!$D$7:$AW$7, 'SENS Coal'!$D$141:$AW$141), 0), IF($B21='Project List References'!$B$8, _xlfn.IFNA(_xlfn.XLOOKUP(N$2-$C21,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O21" s="743" t="e">
        <f>IF($B21='Project List References'!$B$3, _xlfn.IFNA(_xlfn.XLOOKUP(O$2-$C21, 'GEN-CCGT'!$D$7:$AW$7, 'GEN-CCGT'!$D$124:$AW$124), 0), IF($B21='Project List References'!$B$4, _xlfn.IFNA(_xlfn.XLOOKUP(O$2-$C21, 'GEN-SOLAR'!$D$7:$AW$7, 'GEN-SOLAR'!$D$122:$AW$122), 0), IF($B21='Project List References'!$B$5, _xlfn.IFNA(_xlfn.XLOOKUP(O$2-$C21, 'GEN-BESS'!$D$7:$AW$7, 'GEN-BESS'!$D$125:$AW$125), 0), IF($B21='Project List References'!$B$6, _xlfn.IFNA(_xlfn.XLOOKUP(O$2-$C21, 'GEN-CARBON'!$D$7:$AW$7, 'GEN-CARBON'!$D$124:$AW$124), 0), IF($B21='Project List References'!$B$7, _xlfn.IFNA(_xlfn.XLOOKUP(O$2-$C21, 'SENS Coal'!$D$7:$AW$7, 'SENS Coal'!$D$141:$AW$141), 0), IF($B21='Project List References'!$B$8, _xlfn.IFNA(_xlfn.XLOOKUP(O$2-$C21,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P21" s="743" t="e">
        <f>IF($B21='Project List References'!$B$3, _xlfn.IFNA(_xlfn.XLOOKUP(P$2-$C21, 'GEN-CCGT'!$D$7:$AW$7, 'GEN-CCGT'!$D$124:$AW$124), 0), IF($B21='Project List References'!$B$4, _xlfn.IFNA(_xlfn.XLOOKUP(P$2-$C21, 'GEN-SOLAR'!$D$7:$AW$7, 'GEN-SOLAR'!$D$122:$AW$122), 0), IF($B21='Project List References'!$B$5, _xlfn.IFNA(_xlfn.XLOOKUP(P$2-$C21, 'GEN-BESS'!$D$7:$AW$7, 'GEN-BESS'!$D$125:$AW$125), 0), IF($B21='Project List References'!$B$6, _xlfn.IFNA(_xlfn.XLOOKUP(P$2-$C21, 'GEN-CARBON'!$D$7:$AW$7, 'GEN-CARBON'!$D$124:$AW$124), 0), IF($B21='Project List References'!$B$7, _xlfn.IFNA(_xlfn.XLOOKUP(P$2-$C21, 'SENS Coal'!$D$7:$AW$7, 'SENS Coal'!$D$141:$AW$141), 0), IF($B21='Project List References'!$B$8, _xlfn.IFNA(_xlfn.XLOOKUP(P$2-$C21,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Q21" s="743" t="e">
        <f>IF($B21='Project List References'!$B$3, _xlfn.IFNA(_xlfn.XLOOKUP(Q$2-$C21, 'GEN-CCGT'!$D$7:$AW$7, 'GEN-CCGT'!$D$124:$AW$124), 0), IF($B21='Project List References'!$B$4, _xlfn.IFNA(_xlfn.XLOOKUP(Q$2-$C21, 'GEN-SOLAR'!$D$7:$AW$7, 'GEN-SOLAR'!$D$122:$AW$122), 0), IF($B21='Project List References'!$B$5, _xlfn.IFNA(_xlfn.XLOOKUP(Q$2-$C21, 'GEN-BESS'!$D$7:$AW$7, 'GEN-BESS'!$D$125:$AW$125), 0), IF($B21='Project List References'!$B$6, _xlfn.IFNA(_xlfn.XLOOKUP(Q$2-$C21, 'GEN-CARBON'!$D$7:$AW$7, 'GEN-CARBON'!$D$124:$AW$124), 0), IF($B21='Project List References'!$B$7, _xlfn.IFNA(_xlfn.XLOOKUP(Q$2-$C21, 'SENS Coal'!$D$7:$AW$7, 'SENS Coal'!$D$141:$AW$141), 0), IF($B21='Project List References'!$B$8, _xlfn.IFNA(_xlfn.XLOOKUP(Q$2-$C21,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R21" s="743" t="e">
        <f>IF($B21='Project List References'!$B$3, _xlfn.IFNA(_xlfn.XLOOKUP(R$2-$C21, 'GEN-CCGT'!$D$7:$AW$7, 'GEN-CCGT'!$D$124:$AW$124), 0), IF($B21='Project List References'!$B$4, _xlfn.IFNA(_xlfn.XLOOKUP(R$2-$C21, 'GEN-SOLAR'!$D$7:$AW$7, 'GEN-SOLAR'!$D$122:$AW$122), 0), IF($B21='Project List References'!$B$5, _xlfn.IFNA(_xlfn.XLOOKUP(R$2-$C21, 'GEN-BESS'!$D$7:$AW$7, 'GEN-BESS'!$D$125:$AW$125), 0), IF($B21='Project List References'!$B$6, _xlfn.IFNA(_xlfn.XLOOKUP(R$2-$C21, 'GEN-CARBON'!$D$7:$AW$7, 'GEN-CARBON'!$D$124:$AW$124), 0), IF($B21='Project List References'!$B$7, _xlfn.IFNA(_xlfn.XLOOKUP(R$2-$C21, 'SENS Coal'!$D$7:$AW$7, 'SENS Coal'!$D$141:$AW$141), 0), IF($B21='Project List References'!$B$8, _xlfn.IFNA(_xlfn.XLOOKUP(R$2-$C21,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S21" s="743" t="e">
        <f>IF($B21='Project List References'!$B$3, _xlfn.IFNA(_xlfn.XLOOKUP(S$2-$C21, 'GEN-CCGT'!$D$7:$AW$7, 'GEN-CCGT'!$D$124:$AW$124), 0), IF($B21='Project List References'!$B$4, _xlfn.IFNA(_xlfn.XLOOKUP(S$2-$C21, 'GEN-SOLAR'!$D$7:$AW$7, 'GEN-SOLAR'!$D$122:$AW$122), 0), IF($B21='Project List References'!$B$5, _xlfn.IFNA(_xlfn.XLOOKUP(S$2-$C21, 'GEN-BESS'!$D$7:$AW$7, 'GEN-BESS'!$D$125:$AW$125), 0), IF($B21='Project List References'!$B$6, _xlfn.IFNA(_xlfn.XLOOKUP(S$2-$C21, 'GEN-CARBON'!$D$7:$AW$7, 'GEN-CARBON'!$D$124:$AW$124), 0), IF($B21='Project List References'!$B$7, _xlfn.IFNA(_xlfn.XLOOKUP(S$2-$C21, 'SENS Coal'!$D$7:$AW$7, 'SENS Coal'!$D$141:$AW$141), 0), IF($B21='Project List References'!$B$8, _xlfn.IFNA(_xlfn.XLOOKUP(S$2-$C21,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T21" s="743" t="e">
        <f>IF($B21='Project List References'!$B$3, _xlfn.IFNA(_xlfn.XLOOKUP(T$2-$C21, 'GEN-CCGT'!$D$7:$AW$7, 'GEN-CCGT'!$D$124:$AW$124), 0), IF($B21='Project List References'!$B$4, _xlfn.IFNA(_xlfn.XLOOKUP(T$2-$C21, 'GEN-SOLAR'!$D$7:$AW$7, 'GEN-SOLAR'!$D$122:$AW$122), 0), IF($B21='Project List References'!$B$5, _xlfn.IFNA(_xlfn.XLOOKUP(T$2-$C21, 'GEN-BESS'!$D$7:$AW$7, 'GEN-BESS'!$D$125:$AW$125), 0), IF($B21='Project List References'!$B$6, _xlfn.IFNA(_xlfn.XLOOKUP(T$2-$C21, 'GEN-CARBON'!$D$7:$AW$7, 'GEN-CARBON'!$D$124:$AW$124), 0), IF($B21='Project List References'!$B$7, _xlfn.IFNA(_xlfn.XLOOKUP(T$2-$C21, 'SENS Coal'!$D$7:$AW$7, 'SENS Coal'!$D$141:$AW$141), 0), IF($B21='Project List References'!$B$8, _xlfn.IFNA(_xlfn.XLOOKUP(T$2-$C21, 'SENS Tires'!$D$7:$AW$7, 'SENS Tires'!$D$139:$AW$139),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</row>
    <row r="22" spans="1:20">
      <c r="A22" s="655" t="str">
        <f>IF(ISBLANK('Project Master Sheet'!A22)=FALSE, 'Project Master Sheet'!A22, "")</f>
        <v/>
      </c>
      <c r="B22" s="655" t="str">
        <f>_xlfn.IFNA(_xlfn.XLOOKUP(A22, 'Project Master Sheet'!A:A, 'Project Master Sheet'!D:D), "")</f>
        <v/>
      </c>
      <c r="C22" s="655" t="e">
        <f>_xlfn.XLOOKUP(A22, 'Project Master Sheet'!A:A, 'Project Master Sheet'!I:I)</f>
        <v>#N/A</v>
      </c>
      <c r="E22" s="743" t="e">
        <f>IF($B22='Project List References'!$B$3, _xlfn.IFNA(_xlfn.XLOOKUP(E$2-$C22, 'GEN-CCGT'!$D$7:$AW$7, 'GEN-CCGT'!$D$124:$AW$124), 0), IF($B22='Project List References'!$B$4, _xlfn.IFNA(_xlfn.XLOOKUP(E$2-$C22, 'GEN-SOLAR'!$D$7:$AW$7, 'GEN-SOLAR'!$D$122:$AW$122), 0), IF($B22='Project List References'!$B$5, _xlfn.IFNA(_xlfn.XLOOKUP(E$2-$C22, 'GEN-BESS'!$D$7:$AW$7, 'GEN-BESS'!$D$125:$AW$125), 0), IF($B22='Project List References'!$B$6, _xlfn.IFNA(_xlfn.XLOOKUP(E$2-$C22, 'GEN-CARBON'!$D$7:$AW$7, 'GEN-CARBON'!$D$124:$AW$124), 0), IF($B22='Project List References'!$B$7, _xlfn.IFNA(_xlfn.XLOOKUP(E$2-$C22, 'SENS Coal'!$D$7:$AW$7, 'SENS Coal'!$D$141:$AW$141), 0), IF($B22='Project List References'!$B$8, _xlfn.IFNA(_xlfn.XLOOKUP(E$2-$C22,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F22" s="743" t="e">
        <f>IF($B22='Project List References'!$B$3, _xlfn.IFNA(_xlfn.XLOOKUP(F$2-$C22, 'GEN-CCGT'!$D$7:$AW$7, 'GEN-CCGT'!$D$124:$AW$124), 0), IF($B22='Project List References'!$B$4, _xlfn.IFNA(_xlfn.XLOOKUP(F$2-$C22, 'GEN-SOLAR'!$D$7:$AW$7, 'GEN-SOLAR'!$D$122:$AW$122), 0), IF($B22='Project List References'!$B$5, _xlfn.IFNA(_xlfn.XLOOKUP(F$2-$C22, 'GEN-BESS'!$D$7:$AW$7, 'GEN-BESS'!$D$125:$AW$125), 0), IF($B22='Project List References'!$B$6, _xlfn.IFNA(_xlfn.XLOOKUP(F$2-$C22, 'GEN-CARBON'!$D$7:$AW$7, 'GEN-CARBON'!$D$124:$AW$124), 0), IF($B22='Project List References'!$B$7, _xlfn.IFNA(_xlfn.XLOOKUP(F$2-$C22, 'SENS Coal'!$D$7:$AW$7, 'SENS Coal'!$D$141:$AW$141), 0), IF($B22='Project List References'!$B$8, _xlfn.IFNA(_xlfn.XLOOKUP(F$2-$C22,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G22" s="743" t="e">
        <f>IF($B22='Project List References'!$B$3, _xlfn.IFNA(_xlfn.XLOOKUP(G$2-$C22, 'GEN-CCGT'!$D$7:$AW$7, 'GEN-CCGT'!$D$124:$AW$124), 0), IF($B22='Project List References'!$B$4, _xlfn.IFNA(_xlfn.XLOOKUP(G$2-$C22, 'GEN-SOLAR'!$D$7:$AW$7, 'GEN-SOLAR'!$D$122:$AW$122), 0), IF($B22='Project List References'!$B$5, _xlfn.IFNA(_xlfn.XLOOKUP(G$2-$C22, 'GEN-BESS'!$D$7:$AW$7, 'GEN-BESS'!$D$125:$AW$125), 0), IF($B22='Project List References'!$B$6, _xlfn.IFNA(_xlfn.XLOOKUP(G$2-$C22, 'GEN-CARBON'!$D$7:$AW$7, 'GEN-CARBON'!$D$124:$AW$124), 0), IF($B22='Project List References'!$B$7, _xlfn.IFNA(_xlfn.XLOOKUP(G$2-$C22, 'SENS Coal'!$D$7:$AW$7, 'SENS Coal'!$D$141:$AW$141), 0), IF($B22='Project List References'!$B$8, _xlfn.IFNA(_xlfn.XLOOKUP(G$2-$C22,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H22" s="743" t="e">
        <f>IF($B22='Project List References'!$B$3, _xlfn.IFNA(_xlfn.XLOOKUP(H$2-$C22, 'GEN-CCGT'!$D$7:$AW$7, 'GEN-CCGT'!$D$124:$AW$124), 0), IF($B22='Project List References'!$B$4, _xlfn.IFNA(_xlfn.XLOOKUP(H$2-$C22, 'GEN-SOLAR'!$D$7:$AW$7, 'GEN-SOLAR'!$D$122:$AW$122), 0), IF($B22='Project List References'!$B$5, _xlfn.IFNA(_xlfn.XLOOKUP(H$2-$C22, 'GEN-BESS'!$D$7:$AW$7, 'GEN-BESS'!$D$125:$AW$125), 0), IF($B22='Project List References'!$B$6, _xlfn.IFNA(_xlfn.XLOOKUP(H$2-$C22, 'GEN-CARBON'!$D$7:$AW$7, 'GEN-CARBON'!$D$124:$AW$124), 0), IF($B22='Project List References'!$B$7, _xlfn.IFNA(_xlfn.XLOOKUP(H$2-$C22, 'SENS Coal'!$D$7:$AW$7, 'SENS Coal'!$D$141:$AW$141), 0), IF($B22='Project List References'!$B$8, _xlfn.IFNA(_xlfn.XLOOKUP(H$2-$C22,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I22" s="743" t="e">
        <f>IF($B22='Project List References'!$B$3, _xlfn.IFNA(_xlfn.XLOOKUP(I$2-$C22, 'GEN-CCGT'!$D$7:$AW$7, 'GEN-CCGT'!$D$124:$AW$124), 0), IF($B22='Project List References'!$B$4, _xlfn.IFNA(_xlfn.XLOOKUP(I$2-$C22, 'GEN-SOLAR'!$D$7:$AW$7, 'GEN-SOLAR'!$D$122:$AW$122), 0), IF($B22='Project List References'!$B$5, _xlfn.IFNA(_xlfn.XLOOKUP(I$2-$C22, 'GEN-BESS'!$D$7:$AW$7, 'GEN-BESS'!$D$125:$AW$125), 0), IF($B22='Project List References'!$B$6, _xlfn.IFNA(_xlfn.XLOOKUP(I$2-$C22, 'GEN-CARBON'!$D$7:$AW$7, 'GEN-CARBON'!$D$124:$AW$124), 0), IF($B22='Project List References'!$B$7, _xlfn.IFNA(_xlfn.XLOOKUP(I$2-$C22, 'SENS Coal'!$D$7:$AW$7, 'SENS Coal'!$D$141:$AW$141), 0), IF($B22='Project List References'!$B$8, _xlfn.IFNA(_xlfn.XLOOKUP(I$2-$C22,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J22" s="743" t="e">
        <f>IF($B22='Project List References'!$B$3, _xlfn.IFNA(_xlfn.XLOOKUP(J$2-$C22, 'GEN-CCGT'!$D$7:$AW$7, 'GEN-CCGT'!$D$124:$AW$124), 0), IF($B22='Project List References'!$B$4, _xlfn.IFNA(_xlfn.XLOOKUP(J$2-$C22, 'GEN-SOLAR'!$D$7:$AW$7, 'GEN-SOLAR'!$D$122:$AW$122), 0), IF($B22='Project List References'!$B$5, _xlfn.IFNA(_xlfn.XLOOKUP(J$2-$C22, 'GEN-BESS'!$D$7:$AW$7, 'GEN-BESS'!$D$125:$AW$125), 0), IF($B22='Project List References'!$B$6, _xlfn.IFNA(_xlfn.XLOOKUP(J$2-$C22, 'GEN-CARBON'!$D$7:$AW$7, 'GEN-CARBON'!$D$124:$AW$124), 0), IF($B22='Project List References'!$B$7, _xlfn.IFNA(_xlfn.XLOOKUP(J$2-$C22, 'SENS Coal'!$D$7:$AW$7, 'SENS Coal'!$D$141:$AW$141), 0), IF($B22='Project List References'!$B$8, _xlfn.IFNA(_xlfn.XLOOKUP(J$2-$C22,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K22" s="743" t="e">
        <f>IF($B22='Project List References'!$B$3, _xlfn.IFNA(_xlfn.XLOOKUP(K$2-$C22, 'GEN-CCGT'!$D$7:$AW$7, 'GEN-CCGT'!$D$124:$AW$124), 0), IF($B22='Project List References'!$B$4, _xlfn.IFNA(_xlfn.XLOOKUP(K$2-$C22, 'GEN-SOLAR'!$D$7:$AW$7, 'GEN-SOLAR'!$D$122:$AW$122), 0), IF($B22='Project List References'!$B$5, _xlfn.IFNA(_xlfn.XLOOKUP(K$2-$C22, 'GEN-BESS'!$D$7:$AW$7, 'GEN-BESS'!$D$125:$AW$125), 0), IF($B22='Project List References'!$B$6, _xlfn.IFNA(_xlfn.XLOOKUP(K$2-$C22, 'GEN-CARBON'!$D$7:$AW$7, 'GEN-CARBON'!$D$124:$AW$124), 0), IF($B22='Project List References'!$B$7, _xlfn.IFNA(_xlfn.XLOOKUP(K$2-$C22, 'SENS Coal'!$D$7:$AW$7, 'SENS Coal'!$D$141:$AW$141), 0), IF($B22='Project List References'!$B$8, _xlfn.IFNA(_xlfn.XLOOKUP(K$2-$C22,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L22" s="743" t="e">
        <f>IF($B22='Project List References'!$B$3, _xlfn.IFNA(_xlfn.XLOOKUP(L$2-$C22, 'GEN-CCGT'!$D$7:$AW$7, 'GEN-CCGT'!$D$124:$AW$124), 0), IF($B22='Project List References'!$B$4, _xlfn.IFNA(_xlfn.XLOOKUP(L$2-$C22, 'GEN-SOLAR'!$D$7:$AW$7, 'GEN-SOLAR'!$D$122:$AW$122), 0), IF($B22='Project List References'!$B$5, _xlfn.IFNA(_xlfn.XLOOKUP(L$2-$C22, 'GEN-BESS'!$D$7:$AW$7, 'GEN-BESS'!$D$125:$AW$125), 0), IF($B22='Project List References'!$B$6, _xlfn.IFNA(_xlfn.XLOOKUP(L$2-$C22, 'GEN-CARBON'!$D$7:$AW$7, 'GEN-CARBON'!$D$124:$AW$124), 0), IF($B22='Project List References'!$B$7, _xlfn.IFNA(_xlfn.XLOOKUP(L$2-$C22, 'SENS Coal'!$D$7:$AW$7, 'SENS Coal'!$D$141:$AW$141), 0), IF($B22='Project List References'!$B$8, _xlfn.IFNA(_xlfn.XLOOKUP(L$2-$C22,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M22" s="743" t="e">
        <f>IF($B22='Project List References'!$B$3, _xlfn.IFNA(_xlfn.XLOOKUP(M$2-$C22, 'GEN-CCGT'!$D$7:$AW$7, 'GEN-CCGT'!$D$124:$AW$124), 0), IF($B22='Project List References'!$B$4, _xlfn.IFNA(_xlfn.XLOOKUP(M$2-$C22, 'GEN-SOLAR'!$D$7:$AW$7, 'GEN-SOLAR'!$D$122:$AW$122), 0), IF($B22='Project List References'!$B$5, _xlfn.IFNA(_xlfn.XLOOKUP(M$2-$C22, 'GEN-BESS'!$D$7:$AW$7, 'GEN-BESS'!$D$125:$AW$125), 0), IF($B22='Project List References'!$B$6, _xlfn.IFNA(_xlfn.XLOOKUP(M$2-$C22, 'GEN-CARBON'!$D$7:$AW$7, 'GEN-CARBON'!$D$124:$AW$124), 0), IF($B22='Project List References'!$B$7, _xlfn.IFNA(_xlfn.XLOOKUP(M$2-$C22, 'SENS Coal'!$D$7:$AW$7, 'SENS Coal'!$D$141:$AW$141), 0), IF($B22='Project List References'!$B$8, _xlfn.IFNA(_xlfn.XLOOKUP(M$2-$C22,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N22" s="743" t="e">
        <f>IF($B22='Project List References'!$B$3, _xlfn.IFNA(_xlfn.XLOOKUP(N$2-$C22, 'GEN-CCGT'!$D$7:$AW$7, 'GEN-CCGT'!$D$124:$AW$124), 0), IF($B22='Project List References'!$B$4, _xlfn.IFNA(_xlfn.XLOOKUP(N$2-$C22, 'GEN-SOLAR'!$D$7:$AW$7, 'GEN-SOLAR'!$D$122:$AW$122), 0), IF($B22='Project List References'!$B$5, _xlfn.IFNA(_xlfn.XLOOKUP(N$2-$C22, 'GEN-BESS'!$D$7:$AW$7, 'GEN-BESS'!$D$125:$AW$125), 0), IF($B22='Project List References'!$B$6, _xlfn.IFNA(_xlfn.XLOOKUP(N$2-$C22, 'GEN-CARBON'!$D$7:$AW$7, 'GEN-CARBON'!$D$124:$AW$124), 0), IF($B22='Project List References'!$B$7, _xlfn.IFNA(_xlfn.XLOOKUP(N$2-$C22, 'SENS Coal'!$D$7:$AW$7, 'SENS Coal'!$D$141:$AW$141), 0), IF($B22='Project List References'!$B$8, _xlfn.IFNA(_xlfn.XLOOKUP(N$2-$C22,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O22" s="743" t="e">
        <f>IF($B22='Project List References'!$B$3, _xlfn.IFNA(_xlfn.XLOOKUP(O$2-$C22, 'GEN-CCGT'!$D$7:$AW$7, 'GEN-CCGT'!$D$124:$AW$124), 0), IF($B22='Project List References'!$B$4, _xlfn.IFNA(_xlfn.XLOOKUP(O$2-$C22, 'GEN-SOLAR'!$D$7:$AW$7, 'GEN-SOLAR'!$D$122:$AW$122), 0), IF($B22='Project List References'!$B$5, _xlfn.IFNA(_xlfn.XLOOKUP(O$2-$C22, 'GEN-BESS'!$D$7:$AW$7, 'GEN-BESS'!$D$125:$AW$125), 0), IF($B22='Project List References'!$B$6, _xlfn.IFNA(_xlfn.XLOOKUP(O$2-$C22, 'GEN-CARBON'!$D$7:$AW$7, 'GEN-CARBON'!$D$124:$AW$124), 0), IF($B22='Project List References'!$B$7, _xlfn.IFNA(_xlfn.XLOOKUP(O$2-$C22, 'SENS Coal'!$D$7:$AW$7, 'SENS Coal'!$D$141:$AW$141), 0), IF($B22='Project List References'!$B$8, _xlfn.IFNA(_xlfn.XLOOKUP(O$2-$C22,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P22" s="743" t="e">
        <f>IF($B22='Project List References'!$B$3, _xlfn.IFNA(_xlfn.XLOOKUP(P$2-$C22, 'GEN-CCGT'!$D$7:$AW$7, 'GEN-CCGT'!$D$124:$AW$124), 0), IF($B22='Project List References'!$B$4, _xlfn.IFNA(_xlfn.XLOOKUP(P$2-$C22, 'GEN-SOLAR'!$D$7:$AW$7, 'GEN-SOLAR'!$D$122:$AW$122), 0), IF($B22='Project List References'!$B$5, _xlfn.IFNA(_xlfn.XLOOKUP(P$2-$C22, 'GEN-BESS'!$D$7:$AW$7, 'GEN-BESS'!$D$125:$AW$125), 0), IF($B22='Project List References'!$B$6, _xlfn.IFNA(_xlfn.XLOOKUP(P$2-$C22, 'GEN-CARBON'!$D$7:$AW$7, 'GEN-CARBON'!$D$124:$AW$124), 0), IF($B22='Project List References'!$B$7, _xlfn.IFNA(_xlfn.XLOOKUP(P$2-$C22, 'SENS Coal'!$D$7:$AW$7, 'SENS Coal'!$D$141:$AW$141), 0), IF($B22='Project List References'!$B$8, _xlfn.IFNA(_xlfn.XLOOKUP(P$2-$C22,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Q22" s="743" t="e">
        <f>IF($B22='Project List References'!$B$3, _xlfn.IFNA(_xlfn.XLOOKUP(Q$2-$C22, 'GEN-CCGT'!$D$7:$AW$7, 'GEN-CCGT'!$D$124:$AW$124), 0), IF($B22='Project List References'!$B$4, _xlfn.IFNA(_xlfn.XLOOKUP(Q$2-$C22, 'GEN-SOLAR'!$D$7:$AW$7, 'GEN-SOLAR'!$D$122:$AW$122), 0), IF($B22='Project List References'!$B$5, _xlfn.IFNA(_xlfn.XLOOKUP(Q$2-$C22, 'GEN-BESS'!$D$7:$AW$7, 'GEN-BESS'!$D$125:$AW$125), 0), IF($B22='Project List References'!$B$6, _xlfn.IFNA(_xlfn.XLOOKUP(Q$2-$C22, 'GEN-CARBON'!$D$7:$AW$7, 'GEN-CARBON'!$D$124:$AW$124), 0), IF($B22='Project List References'!$B$7, _xlfn.IFNA(_xlfn.XLOOKUP(Q$2-$C22, 'SENS Coal'!$D$7:$AW$7, 'SENS Coal'!$D$141:$AW$141), 0), IF($B22='Project List References'!$B$8, _xlfn.IFNA(_xlfn.XLOOKUP(Q$2-$C22,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R22" s="743" t="e">
        <f>IF($B22='Project List References'!$B$3, _xlfn.IFNA(_xlfn.XLOOKUP(R$2-$C22, 'GEN-CCGT'!$D$7:$AW$7, 'GEN-CCGT'!$D$124:$AW$124), 0), IF($B22='Project List References'!$B$4, _xlfn.IFNA(_xlfn.XLOOKUP(R$2-$C22, 'GEN-SOLAR'!$D$7:$AW$7, 'GEN-SOLAR'!$D$122:$AW$122), 0), IF($B22='Project List References'!$B$5, _xlfn.IFNA(_xlfn.XLOOKUP(R$2-$C22, 'GEN-BESS'!$D$7:$AW$7, 'GEN-BESS'!$D$125:$AW$125), 0), IF($B22='Project List References'!$B$6, _xlfn.IFNA(_xlfn.XLOOKUP(R$2-$C22, 'GEN-CARBON'!$D$7:$AW$7, 'GEN-CARBON'!$D$124:$AW$124), 0), IF($B22='Project List References'!$B$7, _xlfn.IFNA(_xlfn.XLOOKUP(R$2-$C22, 'SENS Coal'!$D$7:$AW$7, 'SENS Coal'!$D$141:$AW$141), 0), IF($B22='Project List References'!$B$8, _xlfn.IFNA(_xlfn.XLOOKUP(R$2-$C22,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S22" s="743" t="e">
        <f>IF($B22='Project List References'!$B$3, _xlfn.IFNA(_xlfn.XLOOKUP(S$2-$C22, 'GEN-CCGT'!$D$7:$AW$7, 'GEN-CCGT'!$D$124:$AW$124), 0), IF($B22='Project List References'!$B$4, _xlfn.IFNA(_xlfn.XLOOKUP(S$2-$C22, 'GEN-SOLAR'!$D$7:$AW$7, 'GEN-SOLAR'!$D$122:$AW$122), 0), IF($B22='Project List References'!$B$5, _xlfn.IFNA(_xlfn.XLOOKUP(S$2-$C22, 'GEN-BESS'!$D$7:$AW$7, 'GEN-BESS'!$D$125:$AW$125), 0), IF($B22='Project List References'!$B$6, _xlfn.IFNA(_xlfn.XLOOKUP(S$2-$C22, 'GEN-CARBON'!$D$7:$AW$7, 'GEN-CARBON'!$D$124:$AW$124), 0), IF($B22='Project List References'!$B$7, _xlfn.IFNA(_xlfn.XLOOKUP(S$2-$C22, 'SENS Coal'!$D$7:$AW$7, 'SENS Coal'!$D$141:$AW$141), 0), IF($B22='Project List References'!$B$8, _xlfn.IFNA(_xlfn.XLOOKUP(S$2-$C22,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T22" s="743" t="e">
        <f>IF($B22='Project List References'!$B$3, _xlfn.IFNA(_xlfn.XLOOKUP(T$2-$C22, 'GEN-CCGT'!$D$7:$AW$7, 'GEN-CCGT'!$D$124:$AW$124), 0), IF($B22='Project List References'!$B$4, _xlfn.IFNA(_xlfn.XLOOKUP(T$2-$C22, 'GEN-SOLAR'!$D$7:$AW$7, 'GEN-SOLAR'!$D$122:$AW$122), 0), IF($B22='Project List References'!$B$5, _xlfn.IFNA(_xlfn.XLOOKUP(T$2-$C22, 'GEN-BESS'!$D$7:$AW$7, 'GEN-BESS'!$D$125:$AW$125), 0), IF($B22='Project List References'!$B$6, _xlfn.IFNA(_xlfn.XLOOKUP(T$2-$C22, 'GEN-CARBON'!$D$7:$AW$7, 'GEN-CARBON'!$D$124:$AW$124), 0), IF($B22='Project List References'!$B$7, _xlfn.IFNA(_xlfn.XLOOKUP(T$2-$C22, 'SENS Coal'!$D$7:$AW$7, 'SENS Coal'!$D$141:$AW$141), 0), IF($B22='Project List References'!$B$8, _xlfn.IFNA(_xlfn.XLOOKUP(T$2-$C22, 'SENS Tires'!$D$7:$AW$7, 'SENS Tires'!$D$139:$AW$139),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</row>
    <row r="23" spans="1:20">
      <c r="A23" s="655" t="str">
        <f>IF(ISBLANK('Project Master Sheet'!A23)=FALSE, 'Project Master Sheet'!A23, "")</f>
        <v/>
      </c>
      <c r="B23" s="655" t="str">
        <f>_xlfn.IFNA(_xlfn.XLOOKUP(A23, 'Project Master Sheet'!A:A, 'Project Master Sheet'!D:D), "")</f>
        <v/>
      </c>
      <c r="C23" s="655" t="e">
        <f>_xlfn.XLOOKUP(A23, 'Project Master Sheet'!A:A, 'Project Master Sheet'!I:I)</f>
        <v>#N/A</v>
      </c>
      <c r="E23" s="743" t="e">
        <f>IF($B23='Project List References'!$B$3, _xlfn.IFNA(_xlfn.XLOOKUP(E$2-$C23, 'GEN-CCGT'!$D$7:$AW$7, 'GEN-CCGT'!$D$124:$AW$124), 0), IF($B23='Project List References'!$B$4, _xlfn.IFNA(_xlfn.XLOOKUP(E$2-$C23, 'GEN-SOLAR'!$D$7:$AW$7, 'GEN-SOLAR'!$D$122:$AW$122), 0), IF($B23='Project List References'!$B$5, _xlfn.IFNA(_xlfn.XLOOKUP(E$2-$C23, 'GEN-BESS'!$D$7:$AW$7, 'GEN-BESS'!$D$125:$AW$125), 0), IF($B23='Project List References'!$B$6, _xlfn.IFNA(_xlfn.XLOOKUP(E$2-$C23, 'GEN-CARBON'!$D$7:$AW$7, 'GEN-CARBON'!$D$124:$AW$124), 0), IF($B23='Project List References'!$B$7, _xlfn.IFNA(_xlfn.XLOOKUP(E$2-$C23, 'SENS Coal'!$D$7:$AW$7, 'SENS Coal'!$D$141:$AW$141), 0), IF($B23='Project List References'!$B$8, _xlfn.IFNA(_xlfn.XLOOKUP(E$2-$C23,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F23" s="743" t="e">
        <f>IF($B23='Project List References'!$B$3, _xlfn.IFNA(_xlfn.XLOOKUP(F$2-$C23, 'GEN-CCGT'!$D$7:$AW$7, 'GEN-CCGT'!$D$124:$AW$124), 0), IF($B23='Project List References'!$B$4, _xlfn.IFNA(_xlfn.XLOOKUP(F$2-$C23, 'GEN-SOLAR'!$D$7:$AW$7, 'GEN-SOLAR'!$D$122:$AW$122), 0), IF($B23='Project List References'!$B$5, _xlfn.IFNA(_xlfn.XLOOKUP(F$2-$C23, 'GEN-BESS'!$D$7:$AW$7, 'GEN-BESS'!$D$125:$AW$125), 0), IF($B23='Project List References'!$B$6, _xlfn.IFNA(_xlfn.XLOOKUP(F$2-$C23, 'GEN-CARBON'!$D$7:$AW$7, 'GEN-CARBON'!$D$124:$AW$124), 0), IF($B23='Project List References'!$B$7, _xlfn.IFNA(_xlfn.XLOOKUP(F$2-$C23, 'SENS Coal'!$D$7:$AW$7, 'SENS Coal'!$D$141:$AW$141), 0), IF($B23='Project List References'!$B$8, _xlfn.IFNA(_xlfn.XLOOKUP(F$2-$C23,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G23" s="743" t="e">
        <f>IF($B23='Project List References'!$B$3, _xlfn.IFNA(_xlfn.XLOOKUP(G$2-$C23, 'GEN-CCGT'!$D$7:$AW$7, 'GEN-CCGT'!$D$124:$AW$124), 0), IF($B23='Project List References'!$B$4, _xlfn.IFNA(_xlfn.XLOOKUP(G$2-$C23, 'GEN-SOLAR'!$D$7:$AW$7, 'GEN-SOLAR'!$D$122:$AW$122), 0), IF($B23='Project List References'!$B$5, _xlfn.IFNA(_xlfn.XLOOKUP(G$2-$C23, 'GEN-BESS'!$D$7:$AW$7, 'GEN-BESS'!$D$125:$AW$125), 0), IF($B23='Project List References'!$B$6, _xlfn.IFNA(_xlfn.XLOOKUP(G$2-$C23, 'GEN-CARBON'!$D$7:$AW$7, 'GEN-CARBON'!$D$124:$AW$124), 0), IF($B23='Project List References'!$B$7, _xlfn.IFNA(_xlfn.XLOOKUP(G$2-$C23, 'SENS Coal'!$D$7:$AW$7, 'SENS Coal'!$D$141:$AW$141), 0), IF($B23='Project List References'!$B$8, _xlfn.IFNA(_xlfn.XLOOKUP(G$2-$C23,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H23" s="743" t="e">
        <f>IF($B23='Project List References'!$B$3, _xlfn.IFNA(_xlfn.XLOOKUP(H$2-$C23, 'GEN-CCGT'!$D$7:$AW$7, 'GEN-CCGT'!$D$124:$AW$124), 0), IF($B23='Project List References'!$B$4, _xlfn.IFNA(_xlfn.XLOOKUP(H$2-$C23, 'GEN-SOLAR'!$D$7:$AW$7, 'GEN-SOLAR'!$D$122:$AW$122), 0), IF($B23='Project List References'!$B$5, _xlfn.IFNA(_xlfn.XLOOKUP(H$2-$C23, 'GEN-BESS'!$D$7:$AW$7, 'GEN-BESS'!$D$125:$AW$125), 0), IF($B23='Project List References'!$B$6, _xlfn.IFNA(_xlfn.XLOOKUP(H$2-$C23, 'GEN-CARBON'!$D$7:$AW$7, 'GEN-CARBON'!$D$124:$AW$124), 0), IF($B23='Project List References'!$B$7, _xlfn.IFNA(_xlfn.XLOOKUP(H$2-$C23, 'SENS Coal'!$D$7:$AW$7, 'SENS Coal'!$D$141:$AW$141), 0), IF($B23='Project List References'!$B$8, _xlfn.IFNA(_xlfn.XLOOKUP(H$2-$C23,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I23" s="743" t="e">
        <f>IF($B23='Project List References'!$B$3, _xlfn.IFNA(_xlfn.XLOOKUP(I$2-$C23, 'GEN-CCGT'!$D$7:$AW$7, 'GEN-CCGT'!$D$124:$AW$124), 0), IF($B23='Project List References'!$B$4, _xlfn.IFNA(_xlfn.XLOOKUP(I$2-$C23, 'GEN-SOLAR'!$D$7:$AW$7, 'GEN-SOLAR'!$D$122:$AW$122), 0), IF($B23='Project List References'!$B$5, _xlfn.IFNA(_xlfn.XLOOKUP(I$2-$C23, 'GEN-BESS'!$D$7:$AW$7, 'GEN-BESS'!$D$125:$AW$125), 0), IF($B23='Project List References'!$B$6, _xlfn.IFNA(_xlfn.XLOOKUP(I$2-$C23, 'GEN-CARBON'!$D$7:$AW$7, 'GEN-CARBON'!$D$124:$AW$124), 0), IF($B23='Project List References'!$B$7, _xlfn.IFNA(_xlfn.XLOOKUP(I$2-$C23, 'SENS Coal'!$D$7:$AW$7, 'SENS Coal'!$D$141:$AW$141), 0), IF($B23='Project List References'!$B$8, _xlfn.IFNA(_xlfn.XLOOKUP(I$2-$C23,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J23" s="743" t="e">
        <f>IF($B23='Project List References'!$B$3, _xlfn.IFNA(_xlfn.XLOOKUP(J$2-$C23, 'GEN-CCGT'!$D$7:$AW$7, 'GEN-CCGT'!$D$124:$AW$124), 0), IF($B23='Project List References'!$B$4, _xlfn.IFNA(_xlfn.XLOOKUP(J$2-$C23, 'GEN-SOLAR'!$D$7:$AW$7, 'GEN-SOLAR'!$D$122:$AW$122), 0), IF($B23='Project List References'!$B$5, _xlfn.IFNA(_xlfn.XLOOKUP(J$2-$C23, 'GEN-BESS'!$D$7:$AW$7, 'GEN-BESS'!$D$125:$AW$125), 0), IF($B23='Project List References'!$B$6, _xlfn.IFNA(_xlfn.XLOOKUP(J$2-$C23, 'GEN-CARBON'!$D$7:$AW$7, 'GEN-CARBON'!$D$124:$AW$124), 0), IF($B23='Project List References'!$B$7, _xlfn.IFNA(_xlfn.XLOOKUP(J$2-$C23, 'SENS Coal'!$D$7:$AW$7, 'SENS Coal'!$D$141:$AW$141), 0), IF($B23='Project List References'!$B$8, _xlfn.IFNA(_xlfn.XLOOKUP(J$2-$C23,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K23" s="743" t="e">
        <f>IF($B23='Project List References'!$B$3, _xlfn.IFNA(_xlfn.XLOOKUP(K$2-$C23, 'GEN-CCGT'!$D$7:$AW$7, 'GEN-CCGT'!$D$124:$AW$124), 0), IF($B23='Project List References'!$B$4, _xlfn.IFNA(_xlfn.XLOOKUP(K$2-$C23, 'GEN-SOLAR'!$D$7:$AW$7, 'GEN-SOLAR'!$D$122:$AW$122), 0), IF($B23='Project List References'!$B$5, _xlfn.IFNA(_xlfn.XLOOKUP(K$2-$C23, 'GEN-BESS'!$D$7:$AW$7, 'GEN-BESS'!$D$125:$AW$125), 0), IF($B23='Project List References'!$B$6, _xlfn.IFNA(_xlfn.XLOOKUP(K$2-$C23, 'GEN-CARBON'!$D$7:$AW$7, 'GEN-CARBON'!$D$124:$AW$124), 0), IF($B23='Project List References'!$B$7, _xlfn.IFNA(_xlfn.XLOOKUP(K$2-$C23, 'SENS Coal'!$D$7:$AW$7, 'SENS Coal'!$D$141:$AW$141), 0), IF($B23='Project List References'!$B$8, _xlfn.IFNA(_xlfn.XLOOKUP(K$2-$C23,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L23" s="743" t="e">
        <f>IF($B23='Project List References'!$B$3, _xlfn.IFNA(_xlfn.XLOOKUP(L$2-$C23, 'GEN-CCGT'!$D$7:$AW$7, 'GEN-CCGT'!$D$124:$AW$124), 0), IF($B23='Project List References'!$B$4, _xlfn.IFNA(_xlfn.XLOOKUP(L$2-$C23, 'GEN-SOLAR'!$D$7:$AW$7, 'GEN-SOLAR'!$D$122:$AW$122), 0), IF($B23='Project List References'!$B$5, _xlfn.IFNA(_xlfn.XLOOKUP(L$2-$C23, 'GEN-BESS'!$D$7:$AW$7, 'GEN-BESS'!$D$125:$AW$125), 0), IF($B23='Project List References'!$B$6, _xlfn.IFNA(_xlfn.XLOOKUP(L$2-$C23, 'GEN-CARBON'!$D$7:$AW$7, 'GEN-CARBON'!$D$124:$AW$124), 0), IF($B23='Project List References'!$B$7, _xlfn.IFNA(_xlfn.XLOOKUP(L$2-$C23, 'SENS Coal'!$D$7:$AW$7, 'SENS Coal'!$D$141:$AW$141), 0), IF($B23='Project List References'!$B$8, _xlfn.IFNA(_xlfn.XLOOKUP(L$2-$C23,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M23" s="743" t="e">
        <f>IF($B23='Project List References'!$B$3, _xlfn.IFNA(_xlfn.XLOOKUP(M$2-$C23, 'GEN-CCGT'!$D$7:$AW$7, 'GEN-CCGT'!$D$124:$AW$124), 0), IF($B23='Project List References'!$B$4, _xlfn.IFNA(_xlfn.XLOOKUP(M$2-$C23, 'GEN-SOLAR'!$D$7:$AW$7, 'GEN-SOLAR'!$D$122:$AW$122), 0), IF($B23='Project List References'!$B$5, _xlfn.IFNA(_xlfn.XLOOKUP(M$2-$C23, 'GEN-BESS'!$D$7:$AW$7, 'GEN-BESS'!$D$125:$AW$125), 0), IF($B23='Project List References'!$B$6, _xlfn.IFNA(_xlfn.XLOOKUP(M$2-$C23, 'GEN-CARBON'!$D$7:$AW$7, 'GEN-CARBON'!$D$124:$AW$124), 0), IF($B23='Project List References'!$B$7, _xlfn.IFNA(_xlfn.XLOOKUP(M$2-$C23, 'SENS Coal'!$D$7:$AW$7, 'SENS Coal'!$D$141:$AW$141), 0), IF($B23='Project List References'!$B$8, _xlfn.IFNA(_xlfn.XLOOKUP(M$2-$C23,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N23" s="743" t="e">
        <f>IF($B23='Project List References'!$B$3, _xlfn.IFNA(_xlfn.XLOOKUP(N$2-$C23, 'GEN-CCGT'!$D$7:$AW$7, 'GEN-CCGT'!$D$124:$AW$124), 0), IF($B23='Project List References'!$B$4, _xlfn.IFNA(_xlfn.XLOOKUP(N$2-$C23, 'GEN-SOLAR'!$D$7:$AW$7, 'GEN-SOLAR'!$D$122:$AW$122), 0), IF($B23='Project List References'!$B$5, _xlfn.IFNA(_xlfn.XLOOKUP(N$2-$C23, 'GEN-BESS'!$D$7:$AW$7, 'GEN-BESS'!$D$125:$AW$125), 0), IF($B23='Project List References'!$B$6, _xlfn.IFNA(_xlfn.XLOOKUP(N$2-$C23, 'GEN-CARBON'!$D$7:$AW$7, 'GEN-CARBON'!$D$124:$AW$124), 0), IF($B23='Project List References'!$B$7, _xlfn.IFNA(_xlfn.XLOOKUP(N$2-$C23, 'SENS Coal'!$D$7:$AW$7, 'SENS Coal'!$D$141:$AW$141), 0), IF($B23='Project List References'!$B$8, _xlfn.IFNA(_xlfn.XLOOKUP(N$2-$C23,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O23" s="743" t="e">
        <f>IF($B23='Project List References'!$B$3, _xlfn.IFNA(_xlfn.XLOOKUP(O$2-$C23, 'GEN-CCGT'!$D$7:$AW$7, 'GEN-CCGT'!$D$124:$AW$124), 0), IF($B23='Project List References'!$B$4, _xlfn.IFNA(_xlfn.XLOOKUP(O$2-$C23, 'GEN-SOLAR'!$D$7:$AW$7, 'GEN-SOLAR'!$D$122:$AW$122), 0), IF($B23='Project List References'!$B$5, _xlfn.IFNA(_xlfn.XLOOKUP(O$2-$C23, 'GEN-BESS'!$D$7:$AW$7, 'GEN-BESS'!$D$125:$AW$125), 0), IF($B23='Project List References'!$B$6, _xlfn.IFNA(_xlfn.XLOOKUP(O$2-$C23, 'GEN-CARBON'!$D$7:$AW$7, 'GEN-CARBON'!$D$124:$AW$124), 0), IF($B23='Project List References'!$B$7, _xlfn.IFNA(_xlfn.XLOOKUP(O$2-$C23, 'SENS Coal'!$D$7:$AW$7, 'SENS Coal'!$D$141:$AW$141), 0), IF($B23='Project List References'!$B$8, _xlfn.IFNA(_xlfn.XLOOKUP(O$2-$C23,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P23" s="743" t="e">
        <f>IF($B23='Project List References'!$B$3, _xlfn.IFNA(_xlfn.XLOOKUP(P$2-$C23, 'GEN-CCGT'!$D$7:$AW$7, 'GEN-CCGT'!$D$124:$AW$124), 0), IF($B23='Project List References'!$B$4, _xlfn.IFNA(_xlfn.XLOOKUP(P$2-$C23, 'GEN-SOLAR'!$D$7:$AW$7, 'GEN-SOLAR'!$D$122:$AW$122), 0), IF($B23='Project List References'!$B$5, _xlfn.IFNA(_xlfn.XLOOKUP(P$2-$C23, 'GEN-BESS'!$D$7:$AW$7, 'GEN-BESS'!$D$125:$AW$125), 0), IF($B23='Project List References'!$B$6, _xlfn.IFNA(_xlfn.XLOOKUP(P$2-$C23, 'GEN-CARBON'!$D$7:$AW$7, 'GEN-CARBON'!$D$124:$AW$124), 0), IF($B23='Project List References'!$B$7, _xlfn.IFNA(_xlfn.XLOOKUP(P$2-$C23, 'SENS Coal'!$D$7:$AW$7, 'SENS Coal'!$D$141:$AW$141), 0), IF($B23='Project List References'!$B$8, _xlfn.IFNA(_xlfn.XLOOKUP(P$2-$C23,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Q23" s="743" t="e">
        <f>IF($B23='Project List References'!$B$3, _xlfn.IFNA(_xlfn.XLOOKUP(Q$2-$C23, 'GEN-CCGT'!$D$7:$AW$7, 'GEN-CCGT'!$D$124:$AW$124), 0), IF($B23='Project List References'!$B$4, _xlfn.IFNA(_xlfn.XLOOKUP(Q$2-$C23, 'GEN-SOLAR'!$D$7:$AW$7, 'GEN-SOLAR'!$D$122:$AW$122), 0), IF($B23='Project List References'!$B$5, _xlfn.IFNA(_xlfn.XLOOKUP(Q$2-$C23, 'GEN-BESS'!$D$7:$AW$7, 'GEN-BESS'!$D$125:$AW$125), 0), IF($B23='Project List References'!$B$6, _xlfn.IFNA(_xlfn.XLOOKUP(Q$2-$C23, 'GEN-CARBON'!$D$7:$AW$7, 'GEN-CARBON'!$D$124:$AW$124), 0), IF($B23='Project List References'!$B$7, _xlfn.IFNA(_xlfn.XLOOKUP(Q$2-$C23, 'SENS Coal'!$D$7:$AW$7, 'SENS Coal'!$D$141:$AW$141), 0), IF($B23='Project List References'!$B$8, _xlfn.IFNA(_xlfn.XLOOKUP(Q$2-$C23,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R23" s="743" t="e">
        <f>IF($B23='Project List References'!$B$3, _xlfn.IFNA(_xlfn.XLOOKUP(R$2-$C23, 'GEN-CCGT'!$D$7:$AW$7, 'GEN-CCGT'!$D$124:$AW$124), 0), IF($B23='Project List References'!$B$4, _xlfn.IFNA(_xlfn.XLOOKUP(R$2-$C23, 'GEN-SOLAR'!$D$7:$AW$7, 'GEN-SOLAR'!$D$122:$AW$122), 0), IF($B23='Project List References'!$B$5, _xlfn.IFNA(_xlfn.XLOOKUP(R$2-$C23, 'GEN-BESS'!$D$7:$AW$7, 'GEN-BESS'!$D$125:$AW$125), 0), IF($B23='Project List References'!$B$6, _xlfn.IFNA(_xlfn.XLOOKUP(R$2-$C23, 'GEN-CARBON'!$D$7:$AW$7, 'GEN-CARBON'!$D$124:$AW$124), 0), IF($B23='Project List References'!$B$7, _xlfn.IFNA(_xlfn.XLOOKUP(R$2-$C23, 'SENS Coal'!$D$7:$AW$7, 'SENS Coal'!$D$141:$AW$141), 0), IF($B23='Project List References'!$B$8, _xlfn.IFNA(_xlfn.XLOOKUP(R$2-$C23,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S23" s="743" t="e">
        <f>IF($B23='Project List References'!$B$3, _xlfn.IFNA(_xlfn.XLOOKUP(S$2-$C23, 'GEN-CCGT'!$D$7:$AW$7, 'GEN-CCGT'!$D$124:$AW$124), 0), IF($B23='Project List References'!$B$4, _xlfn.IFNA(_xlfn.XLOOKUP(S$2-$C23, 'GEN-SOLAR'!$D$7:$AW$7, 'GEN-SOLAR'!$D$122:$AW$122), 0), IF($B23='Project List References'!$B$5, _xlfn.IFNA(_xlfn.XLOOKUP(S$2-$C23, 'GEN-BESS'!$D$7:$AW$7, 'GEN-BESS'!$D$125:$AW$125), 0), IF($B23='Project List References'!$B$6, _xlfn.IFNA(_xlfn.XLOOKUP(S$2-$C23, 'GEN-CARBON'!$D$7:$AW$7, 'GEN-CARBON'!$D$124:$AW$124), 0), IF($B23='Project List References'!$B$7, _xlfn.IFNA(_xlfn.XLOOKUP(S$2-$C23, 'SENS Coal'!$D$7:$AW$7, 'SENS Coal'!$D$141:$AW$141), 0), IF($B23='Project List References'!$B$8, _xlfn.IFNA(_xlfn.XLOOKUP(S$2-$C23,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T23" s="743" t="e">
        <f>IF($B23='Project List References'!$B$3, _xlfn.IFNA(_xlfn.XLOOKUP(T$2-$C23, 'GEN-CCGT'!$D$7:$AW$7, 'GEN-CCGT'!$D$124:$AW$124), 0), IF($B23='Project List References'!$B$4, _xlfn.IFNA(_xlfn.XLOOKUP(T$2-$C23, 'GEN-SOLAR'!$D$7:$AW$7, 'GEN-SOLAR'!$D$122:$AW$122), 0), IF($B23='Project List References'!$B$5, _xlfn.IFNA(_xlfn.XLOOKUP(T$2-$C23, 'GEN-BESS'!$D$7:$AW$7, 'GEN-BESS'!$D$125:$AW$125), 0), IF($B23='Project List References'!$B$6, _xlfn.IFNA(_xlfn.XLOOKUP(T$2-$C23, 'GEN-CARBON'!$D$7:$AW$7, 'GEN-CARBON'!$D$124:$AW$124), 0), IF($B23='Project List References'!$B$7, _xlfn.IFNA(_xlfn.XLOOKUP(T$2-$C23, 'SENS Coal'!$D$7:$AW$7, 'SENS Coal'!$D$141:$AW$141), 0), IF($B23='Project List References'!$B$8, _xlfn.IFNA(_xlfn.XLOOKUP(T$2-$C23, 'SENS Tires'!$D$7:$AW$7, 'SENS Tires'!$D$139:$AW$139),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</row>
    <row r="24" spans="1:20">
      <c r="A24" s="655" t="str">
        <f>IF(ISBLANK('Project Master Sheet'!A24)=FALSE, 'Project Master Sheet'!A24, "")</f>
        <v/>
      </c>
      <c r="B24" s="655" t="str">
        <f>_xlfn.IFNA(_xlfn.XLOOKUP(A24, 'Project Master Sheet'!A:A, 'Project Master Sheet'!D:D), "")</f>
        <v/>
      </c>
      <c r="C24" s="655" t="e">
        <f>_xlfn.XLOOKUP(A24, 'Project Master Sheet'!A:A, 'Project Master Sheet'!I:I)</f>
        <v>#N/A</v>
      </c>
      <c r="E24" s="743" t="e">
        <f>IF($B24='Project List References'!$B$3, _xlfn.IFNA(_xlfn.XLOOKUP(E$2-$C24, 'GEN-CCGT'!$D$7:$AW$7, 'GEN-CCGT'!$D$124:$AW$124), 0), IF($B24='Project List References'!$B$4, _xlfn.IFNA(_xlfn.XLOOKUP(E$2-$C24, 'GEN-SOLAR'!$D$7:$AW$7, 'GEN-SOLAR'!$D$122:$AW$122), 0), IF($B24='Project List References'!$B$5, _xlfn.IFNA(_xlfn.XLOOKUP(E$2-$C24, 'GEN-BESS'!$D$7:$AW$7, 'GEN-BESS'!$D$125:$AW$125), 0), IF($B24='Project List References'!$B$6, _xlfn.IFNA(_xlfn.XLOOKUP(E$2-$C24, 'GEN-CARBON'!$D$7:$AW$7, 'GEN-CARBON'!$D$124:$AW$124), 0), IF($B24='Project List References'!$B$7, _xlfn.IFNA(_xlfn.XLOOKUP(E$2-$C24, 'SENS Coal'!$D$7:$AW$7, 'SENS Coal'!$D$141:$AW$141), 0), IF($B24='Project List References'!$B$8, _xlfn.IFNA(_xlfn.XLOOKUP(E$2-$C24,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F24" s="743" t="e">
        <f>IF($B24='Project List References'!$B$3, _xlfn.IFNA(_xlfn.XLOOKUP(F$2-$C24, 'GEN-CCGT'!$D$7:$AW$7, 'GEN-CCGT'!$D$124:$AW$124), 0), IF($B24='Project List References'!$B$4, _xlfn.IFNA(_xlfn.XLOOKUP(F$2-$C24, 'GEN-SOLAR'!$D$7:$AW$7, 'GEN-SOLAR'!$D$122:$AW$122), 0), IF($B24='Project List References'!$B$5, _xlfn.IFNA(_xlfn.XLOOKUP(F$2-$C24, 'GEN-BESS'!$D$7:$AW$7, 'GEN-BESS'!$D$125:$AW$125), 0), IF($B24='Project List References'!$B$6, _xlfn.IFNA(_xlfn.XLOOKUP(F$2-$C24, 'GEN-CARBON'!$D$7:$AW$7, 'GEN-CARBON'!$D$124:$AW$124), 0), IF($B24='Project List References'!$B$7, _xlfn.IFNA(_xlfn.XLOOKUP(F$2-$C24, 'SENS Coal'!$D$7:$AW$7, 'SENS Coal'!$D$141:$AW$141), 0), IF($B24='Project List References'!$B$8, _xlfn.IFNA(_xlfn.XLOOKUP(F$2-$C24,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G24" s="743" t="e">
        <f>IF($B24='Project List References'!$B$3, _xlfn.IFNA(_xlfn.XLOOKUP(G$2-$C24, 'GEN-CCGT'!$D$7:$AW$7, 'GEN-CCGT'!$D$124:$AW$124), 0), IF($B24='Project List References'!$B$4, _xlfn.IFNA(_xlfn.XLOOKUP(G$2-$C24, 'GEN-SOLAR'!$D$7:$AW$7, 'GEN-SOLAR'!$D$122:$AW$122), 0), IF($B24='Project List References'!$B$5, _xlfn.IFNA(_xlfn.XLOOKUP(G$2-$C24, 'GEN-BESS'!$D$7:$AW$7, 'GEN-BESS'!$D$125:$AW$125), 0), IF($B24='Project List References'!$B$6, _xlfn.IFNA(_xlfn.XLOOKUP(G$2-$C24, 'GEN-CARBON'!$D$7:$AW$7, 'GEN-CARBON'!$D$124:$AW$124), 0), IF($B24='Project List References'!$B$7, _xlfn.IFNA(_xlfn.XLOOKUP(G$2-$C24, 'SENS Coal'!$D$7:$AW$7, 'SENS Coal'!$D$141:$AW$141), 0), IF($B24='Project List References'!$B$8, _xlfn.IFNA(_xlfn.XLOOKUP(G$2-$C24,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H24" s="743" t="e">
        <f>IF($B24='Project List References'!$B$3, _xlfn.IFNA(_xlfn.XLOOKUP(H$2-$C24, 'GEN-CCGT'!$D$7:$AW$7, 'GEN-CCGT'!$D$124:$AW$124), 0), IF($B24='Project List References'!$B$4, _xlfn.IFNA(_xlfn.XLOOKUP(H$2-$C24, 'GEN-SOLAR'!$D$7:$AW$7, 'GEN-SOLAR'!$D$122:$AW$122), 0), IF($B24='Project List References'!$B$5, _xlfn.IFNA(_xlfn.XLOOKUP(H$2-$C24, 'GEN-BESS'!$D$7:$AW$7, 'GEN-BESS'!$D$125:$AW$125), 0), IF($B24='Project List References'!$B$6, _xlfn.IFNA(_xlfn.XLOOKUP(H$2-$C24, 'GEN-CARBON'!$D$7:$AW$7, 'GEN-CARBON'!$D$124:$AW$124), 0), IF($B24='Project List References'!$B$7, _xlfn.IFNA(_xlfn.XLOOKUP(H$2-$C24, 'SENS Coal'!$D$7:$AW$7, 'SENS Coal'!$D$141:$AW$141), 0), IF($B24='Project List References'!$B$8, _xlfn.IFNA(_xlfn.XLOOKUP(H$2-$C24,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I24" s="743" t="e">
        <f>IF($B24='Project List References'!$B$3, _xlfn.IFNA(_xlfn.XLOOKUP(I$2-$C24, 'GEN-CCGT'!$D$7:$AW$7, 'GEN-CCGT'!$D$124:$AW$124), 0), IF($B24='Project List References'!$B$4, _xlfn.IFNA(_xlfn.XLOOKUP(I$2-$C24, 'GEN-SOLAR'!$D$7:$AW$7, 'GEN-SOLAR'!$D$122:$AW$122), 0), IF($B24='Project List References'!$B$5, _xlfn.IFNA(_xlfn.XLOOKUP(I$2-$C24, 'GEN-BESS'!$D$7:$AW$7, 'GEN-BESS'!$D$125:$AW$125), 0), IF($B24='Project List References'!$B$6, _xlfn.IFNA(_xlfn.XLOOKUP(I$2-$C24, 'GEN-CARBON'!$D$7:$AW$7, 'GEN-CARBON'!$D$124:$AW$124), 0), IF($B24='Project List References'!$B$7, _xlfn.IFNA(_xlfn.XLOOKUP(I$2-$C24, 'SENS Coal'!$D$7:$AW$7, 'SENS Coal'!$D$141:$AW$141), 0), IF($B24='Project List References'!$B$8, _xlfn.IFNA(_xlfn.XLOOKUP(I$2-$C24,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J24" s="743" t="e">
        <f>IF($B24='Project List References'!$B$3, _xlfn.IFNA(_xlfn.XLOOKUP(J$2-$C24, 'GEN-CCGT'!$D$7:$AW$7, 'GEN-CCGT'!$D$124:$AW$124), 0), IF($B24='Project List References'!$B$4, _xlfn.IFNA(_xlfn.XLOOKUP(J$2-$C24, 'GEN-SOLAR'!$D$7:$AW$7, 'GEN-SOLAR'!$D$122:$AW$122), 0), IF($B24='Project List References'!$B$5, _xlfn.IFNA(_xlfn.XLOOKUP(J$2-$C24, 'GEN-BESS'!$D$7:$AW$7, 'GEN-BESS'!$D$125:$AW$125), 0), IF($B24='Project List References'!$B$6, _xlfn.IFNA(_xlfn.XLOOKUP(J$2-$C24, 'GEN-CARBON'!$D$7:$AW$7, 'GEN-CARBON'!$D$124:$AW$124), 0), IF($B24='Project List References'!$B$7, _xlfn.IFNA(_xlfn.XLOOKUP(J$2-$C24, 'SENS Coal'!$D$7:$AW$7, 'SENS Coal'!$D$141:$AW$141), 0), IF($B24='Project List References'!$B$8, _xlfn.IFNA(_xlfn.XLOOKUP(J$2-$C24,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K24" s="743" t="e">
        <f>IF($B24='Project List References'!$B$3, _xlfn.IFNA(_xlfn.XLOOKUP(K$2-$C24, 'GEN-CCGT'!$D$7:$AW$7, 'GEN-CCGT'!$D$124:$AW$124), 0), IF($B24='Project List References'!$B$4, _xlfn.IFNA(_xlfn.XLOOKUP(K$2-$C24, 'GEN-SOLAR'!$D$7:$AW$7, 'GEN-SOLAR'!$D$122:$AW$122), 0), IF($B24='Project List References'!$B$5, _xlfn.IFNA(_xlfn.XLOOKUP(K$2-$C24, 'GEN-BESS'!$D$7:$AW$7, 'GEN-BESS'!$D$125:$AW$125), 0), IF($B24='Project List References'!$B$6, _xlfn.IFNA(_xlfn.XLOOKUP(K$2-$C24, 'GEN-CARBON'!$D$7:$AW$7, 'GEN-CARBON'!$D$124:$AW$124), 0), IF($B24='Project List References'!$B$7, _xlfn.IFNA(_xlfn.XLOOKUP(K$2-$C24, 'SENS Coal'!$D$7:$AW$7, 'SENS Coal'!$D$141:$AW$141), 0), IF($B24='Project List References'!$B$8, _xlfn.IFNA(_xlfn.XLOOKUP(K$2-$C24,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L24" s="743" t="e">
        <f>IF($B24='Project List References'!$B$3, _xlfn.IFNA(_xlfn.XLOOKUP(L$2-$C24, 'GEN-CCGT'!$D$7:$AW$7, 'GEN-CCGT'!$D$124:$AW$124), 0), IF($B24='Project List References'!$B$4, _xlfn.IFNA(_xlfn.XLOOKUP(L$2-$C24, 'GEN-SOLAR'!$D$7:$AW$7, 'GEN-SOLAR'!$D$122:$AW$122), 0), IF($B24='Project List References'!$B$5, _xlfn.IFNA(_xlfn.XLOOKUP(L$2-$C24, 'GEN-BESS'!$D$7:$AW$7, 'GEN-BESS'!$D$125:$AW$125), 0), IF($B24='Project List References'!$B$6, _xlfn.IFNA(_xlfn.XLOOKUP(L$2-$C24, 'GEN-CARBON'!$D$7:$AW$7, 'GEN-CARBON'!$D$124:$AW$124), 0), IF($B24='Project List References'!$B$7, _xlfn.IFNA(_xlfn.XLOOKUP(L$2-$C24, 'SENS Coal'!$D$7:$AW$7, 'SENS Coal'!$D$141:$AW$141), 0), IF($B24='Project List References'!$B$8, _xlfn.IFNA(_xlfn.XLOOKUP(L$2-$C24,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M24" s="743" t="e">
        <f>IF($B24='Project List References'!$B$3, _xlfn.IFNA(_xlfn.XLOOKUP(M$2-$C24, 'GEN-CCGT'!$D$7:$AW$7, 'GEN-CCGT'!$D$124:$AW$124), 0), IF($B24='Project List References'!$B$4, _xlfn.IFNA(_xlfn.XLOOKUP(M$2-$C24, 'GEN-SOLAR'!$D$7:$AW$7, 'GEN-SOLAR'!$D$122:$AW$122), 0), IF($B24='Project List References'!$B$5, _xlfn.IFNA(_xlfn.XLOOKUP(M$2-$C24, 'GEN-BESS'!$D$7:$AW$7, 'GEN-BESS'!$D$125:$AW$125), 0), IF($B24='Project List References'!$B$6, _xlfn.IFNA(_xlfn.XLOOKUP(M$2-$C24, 'GEN-CARBON'!$D$7:$AW$7, 'GEN-CARBON'!$D$124:$AW$124), 0), IF($B24='Project List References'!$B$7, _xlfn.IFNA(_xlfn.XLOOKUP(M$2-$C24, 'SENS Coal'!$D$7:$AW$7, 'SENS Coal'!$D$141:$AW$141), 0), IF($B24='Project List References'!$B$8, _xlfn.IFNA(_xlfn.XLOOKUP(M$2-$C24,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N24" s="743" t="e">
        <f>IF($B24='Project List References'!$B$3, _xlfn.IFNA(_xlfn.XLOOKUP(N$2-$C24, 'GEN-CCGT'!$D$7:$AW$7, 'GEN-CCGT'!$D$124:$AW$124), 0), IF($B24='Project List References'!$B$4, _xlfn.IFNA(_xlfn.XLOOKUP(N$2-$C24, 'GEN-SOLAR'!$D$7:$AW$7, 'GEN-SOLAR'!$D$122:$AW$122), 0), IF($B24='Project List References'!$B$5, _xlfn.IFNA(_xlfn.XLOOKUP(N$2-$C24, 'GEN-BESS'!$D$7:$AW$7, 'GEN-BESS'!$D$125:$AW$125), 0), IF($B24='Project List References'!$B$6, _xlfn.IFNA(_xlfn.XLOOKUP(N$2-$C24, 'GEN-CARBON'!$D$7:$AW$7, 'GEN-CARBON'!$D$124:$AW$124), 0), IF($B24='Project List References'!$B$7, _xlfn.IFNA(_xlfn.XLOOKUP(N$2-$C24, 'SENS Coal'!$D$7:$AW$7, 'SENS Coal'!$D$141:$AW$141), 0), IF($B24='Project List References'!$B$8, _xlfn.IFNA(_xlfn.XLOOKUP(N$2-$C24,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O24" s="743" t="e">
        <f>IF($B24='Project List References'!$B$3, _xlfn.IFNA(_xlfn.XLOOKUP(O$2-$C24, 'GEN-CCGT'!$D$7:$AW$7, 'GEN-CCGT'!$D$124:$AW$124), 0), IF($B24='Project List References'!$B$4, _xlfn.IFNA(_xlfn.XLOOKUP(O$2-$C24, 'GEN-SOLAR'!$D$7:$AW$7, 'GEN-SOLAR'!$D$122:$AW$122), 0), IF($B24='Project List References'!$B$5, _xlfn.IFNA(_xlfn.XLOOKUP(O$2-$C24, 'GEN-BESS'!$D$7:$AW$7, 'GEN-BESS'!$D$125:$AW$125), 0), IF($B24='Project List References'!$B$6, _xlfn.IFNA(_xlfn.XLOOKUP(O$2-$C24, 'GEN-CARBON'!$D$7:$AW$7, 'GEN-CARBON'!$D$124:$AW$124), 0), IF($B24='Project List References'!$B$7, _xlfn.IFNA(_xlfn.XLOOKUP(O$2-$C24, 'SENS Coal'!$D$7:$AW$7, 'SENS Coal'!$D$141:$AW$141), 0), IF($B24='Project List References'!$B$8, _xlfn.IFNA(_xlfn.XLOOKUP(O$2-$C24,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P24" s="743" t="e">
        <f>IF($B24='Project List References'!$B$3, _xlfn.IFNA(_xlfn.XLOOKUP(P$2-$C24, 'GEN-CCGT'!$D$7:$AW$7, 'GEN-CCGT'!$D$124:$AW$124), 0), IF($B24='Project List References'!$B$4, _xlfn.IFNA(_xlfn.XLOOKUP(P$2-$C24, 'GEN-SOLAR'!$D$7:$AW$7, 'GEN-SOLAR'!$D$122:$AW$122), 0), IF($B24='Project List References'!$B$5, _xlfn.IFNA(_xlfn.XLOOKUP(P$2-$C24, 'GEN-BESS'!$D$7:$AW$7, 'GEN-BESS'!$D$125:$AW$125), 0), IF($B24='Project List References'!$B$6, _xlfn.IFNA(_xlfn.XLOOKUP(P$2-$C24, 'GEN-CARBON'!$D$7:$AW$7, 'GEN-CARBON'!$D$124:$AW$124), 0), IF($B24='Project List References'!$B$7, _xlfn.IFNA(_xlfn.XLOOKUP(P$2-$C24, 'SENS Coal'!$D$7:$AW$7, 'SENS Coal'!$D$141:$AW$141), 0), IF($B24='Project List References'!$B$8, _xlfn.IFNA(_xlfn.XLOOKUP(P$2-$C24,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Q24" s="743" t="e">
        <f>IF($B24='Project List References'!$B$3, _xlfn.IFNA(_xlfn.XLOOKUP(Q$2-$C24, 'GEN-CCGT'!$D$7:$AW$7, 'GEN-CCGT'!$D$124:$AW$124), 0), IF($B24='Project List References'!$B$4, _xlfn.IFNA(_xlfn.XLOOKUP(Q$2-$C24, 'GEN-SOLAR'!$D$7:$AW$7, 'GEN-SOLAR'!$D$122:$AW$122), 0), IF($B24='Project List References'!$B$5, _xlfn.IFNA(_xlfn.XLOOKUP(Q$2-$C24, 'GEN-BESS'!$D$7:$AW$7, 'GEN-BESS'!$D$125:$AW$125), 0), IF($B24='Project List References'!$B$6, _xlfn.IFNA(_xlfn.XLOOKUP(Q$2-$C24, 'GEN-CARBON'!$D$7:$AW$7, 'GEN-CARBON'!$D$124:$AW$124), 0), IF($B24='Project List References'!$B$7, _xlfn.IFNA(_xlfn.XLOOKUP(Q$2-$C24, 'SENS Coal'!$D$7:$AW$7, 'SENS Coal'!$D$141:$AW$141), 0), IF($B24='Project List References'!$B$8, _xlfn.IFNA(_xlfn.XLOOKUP(Q$2-$C24,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R24" s="743" t="e">
        <f>IF($B24='Project List References'!$B$3, _xlfn.IFNA(_xlfn.XLOOKUP(R$2-$C24, 'GEN-CCGT'!$D$7:$AW$7, 'GEN-CCGT'!$D$124:$AW$124), 0), IF($B24='Project List References'!$B$4, _xlfn.IFNA(_xlfn.XLOOKUP(R$2-$C24, 'GEN-SOLAR'!$D$7:$AW$7, 'GEN-SOLAR'!$D$122:$AW$122), 0), IF($B24='Project List References'!$B$5, _xlfn.IFNA(_xlfn.XLOOKUP(R$2-$C24, 'GEN-BESS'!$D$7:$AW$7, 'GEN-BESS'!$D$125:$AW$125), 0), IF($B24='Project List References'!$B$6, _xlfn.IFNA(_xlfn.XLOOKUP(R$2-$C24, 'GEN-CARBON'!$D$7:$AW$7, 'GEN-CARBON'!$D$124:$AW$124), 0), IF($B24='Project List References'!$B$7, _xlfn.IFNA(_xlfn.XLOOKUP(R$2-$C24, 'SENS Coal'!$D$7:$AW$7, 'SENS Coal'!$D$141:$AW$141), 0), IF($B24='Project List References'!$B$8, _xlfn.IFNA(_xlfn.XLOOKUP(R$2-$C24,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S24" s="743" t="e">
        <f>IF($B24='Project List References'!$B$3, _xlfn.IFNA(_xlfn.XLOOKUP(S$2-$C24, 'GEN-CCGT'!$D$7:$AW$7, 'GEN-CCGT'!$D$124:$AW$124), 0), IF($B24='Project List References'!$B$4, _xlfn.IFNA(_xlfn.XLOOKUP(S$2-$C24, 'GEN-SOLAR'!$D$7:$AW$7, 'GEN-SOLAR'!$D$122:$AW$122), 0), IF($B24='Project List References'!$B$5, _xlfn.IFNA(_xlfn.XLOOKUP(S$2-$C24, 'GEN-BESS'!$D$7:$AW$7, 'GEN-BESS'!$D$125:$AW$125), 0), IF($B24='Project List References'!$B$6, _xlfn.IFNA(_xlfn.XLOOKUP(S$2-$C24, 'GEN-CARBON'!$D$7:$AW$7, 'GEN-CARBON'!$D$124:$AW$124), 0), IF($B24='Project List References'!$B$7, _xlfn.IFNA(_xlfn.XLOOKUP(S$2-$C24, 'SENS Coal'!$D$7:$AW$7, 'SENS Coal'!$D$141:$AW$141), 0), IF($B24='Project List References'!$B$8, _xlfn.IFNA(_xlfn.XLOOKUP(S$2-$C24,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T24" s="743" t="e">
        <f>IF($B24='Project List References'!$B$3, _xlfn.IFNA(_xlfn.XLOOKUP(T$2-$C24, 'GEN-CCGT'!$D$7:$AW$7, 'GEN-CCGT'!$D$124:$AW$124), 0), IF($B24='Project List References'!$B$4, _xlfn.IFNA(_xlfn.XLOOKUP(T$2-$C24, 'GEN-SOLAR'!$D$7:$AW$7, 'GEN-SOLAR'!$D$122:$AW$122), 0), IF($B24='Project List References'!$B$5, _xlfn.IFNA(_xlfn.XLOOKUP(T$2-$C24, 'GEN-BESS'!$D$7:$AW$7, 'GEN-BESS'!$D$125:$AW$125), 0), IF($B24='Project List References'!$B$6, _xlfn.IFNA(_xlfn.XLOOKUP(T$2-$C24, 'GEN-CARBON'!$D$7:$AW$7, 'GEN-CARBON'!$D$124:$AW$124), 0), IF($B24='Project List References'!$B$7, _xlfn.IFNA(_xlfn.XLOOKUP(T$2-$C24, 'SENS Coal'!$D$7:$AW$7, 'SENS Coal'!$D$141:$AW$141), 0), IF($B24='Project List References'!$B$8, _xlfn.IFNA(_xlfn.XLOOKUP(T$2-$C24, 'SENS Tires'!$D$7:$AW$7, 'SENS Tires'!$D$139:$AW$139),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</row>
    <row r="25" spans="1:20">
      <c r="A25" s="655" t="str">
        <f>IF(ISBLANK('Project Master Sheet'!A25)=FALSE, 'Project Master Sheet'!A25, "")</f>
        <v/>
      </c>
      <c r="B25" s="655" t="str">
        <f>_xlfn.IFNA(_xlfn.XLOOKUP(A25, 'Project Master Sheet'!A:A, 'Project Master Sheet'!D:D), "")</f>
        <v/>
      </c>
      <c r="C25" s="655" t="e">
        <f>_xlfn.XLOOKUP(A25, 'Project Master Sheet'!A:A, 'Project Master Sheet'!I:I)</f>
        <v>#N/A</v>
      </c>
      <c r="E25" s="743" t="e">
        <f>IF($B25='Project List References'!$B$3, _xlfn.IFNA(_xlfn.XLOOKUP(E$2-$C25, 'GEN-CCGT'!$D$7:$AW$7, 'GEN-CCGT'!$D$124:$AW$124), 0), IF($B25='Project List References'!$B$4, _xlfn.IFNA(_xlfn.XLOOKUP(E$2-$C25, 'GEN-SOLAR'!$D$7:$AW$7, 'GEN-SOLAR'!$D$122:$AW$122), 0), IF($B25='Project List References'!$B$5, _xlfn.IFNA(_xlfn.XLOOKUP(E$2-$C25, 'GEN-BESS'!$D$7:$AW$7, 'GEN-BESS'!$D$125:$AW$125), 0), IF($B25='Project List References'!$B$6, _xlfn.IFNA(_xlfn.XLOOKUP(E$2-$C25, 'GEN-CARBON'!$D$7:$AW$7, 'GEN-CARBON'!$D$124:$AW$124), 0), IF($B25='Project List References'!$B$7, _xlfn.IFNA(_xlfn.XLOOKUP(E$2-$C25, 'SENS Coal'!$D$7:$AW$7, 'SENS Coal'!$D$141:$AW$141), 0), IF($B25='Project List References'!$B$8, _xlfn.IFNA(_xlfn.XLOOKUP(E$2-$C25,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F25" s="743" t="e">
        <f>IF($B25='Project List References'!$B$3, _xlfn.IFNA(_xlfn.XLOOKUP(F$2-$C25, 'GEN-CCGT'!$D$7:$AW$7, 'GEN-CCGT'!$D$124:$AW$124), 0), IF($B25='Project List References'!$B$4, _xlfn.IFNA(_xlfn.XLOOKUP(F$2-$C25, 'GEN-SOLAR'!$D$7:$AW$7, 'GEN-SOLAR'!$D$122:$AW$122), 0), IF($B25='Project List References'!$B$5, _xlfn.IFNA(_xlfn.XLOOKUP(F$2-$C25, 'GEN-BESS'!$D$7:$AW$7, 'GEN-BESS'!$D$125:$AW$125), 0), IF($B25='Project List References'!$B$6, _xlfn.IFNA(_xlfn.XLOOKUP(F$2-$C25, 'GEN-CARBON'!$D$7:$AW$7, 'GEN-CARBON'!$D$124:$AW$124), 0), IF($B25='Project List References'!$B$7, _xlfn.IFNA(_xlfn.XLOOKUP(F$2-$C25, 'SENS Coal'!$D$7:$AW$7, 'SENS Coal'!$D$141:$AW$141), 0), IF($B25='Project List References'!$B$8, _xlfn.IFNA(_xlfn.XLOOKUP(F$2-$C25,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G25" s="743" t="e">
        <f>IF($B25='Project List References'!$B$3, _xlfn.IFNA(_xlfn.XLOOKUP(G$2-$C25, 'GEN-CCGT'!$D$7:$AW$7, 'GEN-CCGT'!$D$124:$AW$124), 0), IF($B25='Project List References'!$B$4, _xlfn.IFNA(_xlfn.XLOOKUP(G$2-$C25, 'GEN-SOLAR'!$D$7:$AW$7, 'GEN-SOLAR'!$D$122:$AW$122), 0), IF($B25='Project List References'!$B$5, _xlfn.IFNA(_xlfn.XLOOKUP(G$2-$C25, 'GEN-BESS'!$D$7:$AW$7, 'GEN-BESS'!$D$125:$AW$125), 0), IF($B25='Project List References'!$B$6, _xlfn.IFNA(_xlfn.XLOOKUP(G$2-$C25, 'GEN-CARBON'!$D$7:$AW$7, 'GEN-CARBON'!$D$124:$AW$124), 0), IF($B25='Project List References'!$B$7, _xlfn.IFNA(_xlfn.XLOOKUP(G$2-$C25, 'SENS Coal'!$D$7:$AW$7, 'SENS Coal'!$D$141:$AW$141), 0), IF($B25='Project List References'!$B$8, _xlfn.IFNA(_xlfn.XLOOKUP(G$2-$C25,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H25" s="743" t="e">
        <f>IF($B25='Project List References'!$B$3, _xlfn.IFNA(_xlfn.XLOOKUP(H$2-$C25, 'GEN-CCGT'!$D$7:$AW$7, 'GEN-CCGT'!$D$124:$AW$124), 0), IF($B25='Project List References'!$B$4, _xlfn.IFNA(_xlfn.XLOOKUP(H$2-$C25, 'GEN-SOLAR'!$D$7:$AW$7, 'GEN-SOLAR'!$D$122:$AW$122), 0), IF($B25='Project List References'!$B$5, _xlfn.IFNA(_xlfn.XLOOKUP(H$2-$C25, 'GEN-BESS'!$D$7:$AW$7, 'GEN-BESS'!$D$125:$AW$125), 0), IF($B25='Project List References'!$B$6, _xlfn.IFNA(_xlfn.XLOOKUP(H$2-$C25, 'GEN-CARBON'!$D$7:$AW$7, 'GEN-CARBON'!$D$124:$AW$124), 0), IF($B25='Project List References'!$B$7, _xlfn.IFNA(_xlfn.XLOOKUP(H$2-$C25, 'SENS Coal'!$D$7:$AW$7, 'SENS Coal'!$D$141:$AW$141), 0), IF($B25='Project List References'!$B$8, _xlfn.IFNA(_xlfn.XLOOKUP(H$2-$C25,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I25" s="743" t="e">
        <f>IF($B25='Project List References'!$B$3, _xlfn.IFNA(_xlfn.XLOOKUP(I$2-$C25, 'GEN-CCGT'!$D$7:$AW$7, 'GEN-CCGT'!$D$124:$AW$124), 0), IF($B25='Project List References'!$B$4, _xlfn.IFNA(_xlfn.XLOOKUP(I$2-$C25, 'GEN-SOLAR'!$D$7:$AW$7, 'GEN-SOLAR'!$D$122:$AW$122), 0), IF($B25='Project List References'!$B$5, _xlfn.IFNA(_xlfn.XLOOKUP(I$2-$C25, 'GEN-BESS'!$D$7:$AW$7, 'GEN-BESS'!$D$125:$AW$125), 0), IF($B25='Project List References'!$B$6, _xlfn.IFNA(_xlfn.XLOOKUP(I$2-$C25, 'GEN-CARBON'!$D$7:$AW$7, 'GEN-CARBON'!$D$124:$AW$124), 0), IF($B25='Project List References'!$B$7, _xlfn.IFNA(_xlfn.XLOOKUP(I$2-$C25, 'SENS Coal'!$D$7:$AW$7, 'SENS Coal'!$D$141:$AW$141), 0), IF($B25='Project List References'!$B$8, _xlfn.IFNA(_xlfn.XLOOKUP(I$2-$C25,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J25" s="743" t="e">
        <f>IF($B25='Project List References'!$B$3, _xlfn.IFNA(_xlfn.XLOOKUP(J$2-$C25, 'GEN-CCGT'!$D$7:$AW$7, 'GEN-CCGT'!$D$124:$AW$124), 0), IF($B25='Project List References'!$B$4, _xlfn.IFNA(_xlfn.XLOOKUP(J$2-$C25, 'GEN-SOLAR'!$D$7:$AW$7, 'GEN-SOLAR'!$D$122:$AW$122), 0), IF($B25='Project List References'!$B$5, _xlfn.IFNA(_xlfn.XLOOKUP(J$2-$C25, 'GEN-BESS'!$D$7:$AW$7, 'GEN-BESS'!$D$125:$AW$125), 0), IF($B25='Project List References'!$B$6, _xlfn.IFNA(_xlfn.XLOOKUP(J$2-$C25, 'GEN-CARBON'!$D$7:$AW$7, 'GEN-CARBON'!$D$124:$AW$124), 0), IF($B25='Project List References'!$B$7, _xlfn.IFNA(_xlfn.XLOOKUP(J$2-$C25, 'SENS Coal'!$D$7:$AW$7, 'SENS Coal'!$D$141:$AW$141), 0), IF($B25='Project List References'!$B$8, _xlfn.IFNA(_xlfn.XLOOKUP(J$2-$C25,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K25" s="743" t="e">
        <f>IF($B25='Project List References'!$B$3, _xlfn.IFNA(_xlfn.XLOOKUP(K$2-$C25, 'GEN-CCGT'!$D$7:$AW$7, 'GEN-CCGT'!$D$124:$AW$124), 0), IF($B25='Project List References'!$B$4, _xlfn.IFNA(_xlfn.XLOOKUP(K$2-$C25, 'GEN-SOLAR'!$D$7:$AW$7, 'GEN-SOLAR'!$D$122:$AW$122), 0), IF($B25='Project List References'!$B$5, _xlfn.IFNA(_xlfn.XLOOKUP(K$2-$C25, 'GEN-BESS'!$D$7:$AW$7, 'GEN-BESS'!$D$125:$AW$125), 0), IF($B25='Project List References'!$B$6, _xlfn.IFNA(_xlfn.XLOOKUP(K$2-$C25, 'GEN-CARBON'!$D$7:$AW$7, 'GEN-CARBON'!$D$124:$AW$124), 0), IF($B25='Project List References'!$B$7, _xlfn.IFNA(_xlfn.XLOOKUP(K$2-$C25, 'SENS Coal'!$D$7:$AW$7, 'SENS Coal'!$D$141:$AW$141), 0), IF($B25='Project List References'!$B$8, _xlfn.IFNA(_xlfn.XLOOKUP(K$2-$C25,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L25" s="743" t="e">
        <f>IF($B25='Project List References'!$B$3, _xlfn.IFNA(_xlfn.XLOOKUP(L$2-$C25, 'GEN-CCGT'!$D$7:$AW$7, 'GEN-CCGT'!$D$124:$AW$124), 0), IF($B25='Project List References'!$B$4, _xlfn.IFNA(_xlfn.XLOOKUP(L$2-$C25, 'GEN-SOLAR'!$D$7:$AW$7, 'GEN-SOLAR'!$D$122:$AW$122), 0), IF($B25='Project List References'!$B$5, _xlfn.IFNA(_xlfn.XLOOKUP(L$2-$C25, 'GEN-BESS'!$D$7:$AW$7, 'GEN-BESS'!$D$125:$AW$125), 0), IF($B25='Project List References'!$B$6, _xlfn.IFNA(_xlfn.XLOOKUP(L$2-$C25, 'GEN-CARBON'!$D$7:$AW$7, 'GEN-CARBON'!$D$124:$AW$124), 0), IF($B25='Project List References'!$B$7, _xlfn.IFNA(_xlfn.XLOOKUP(L$2-$C25, 'SENS Coal'!$D$7:$AW$7, 'SENS Coal'!$D$141:$AW$141), 0), IF($B25='Project List References'!$B$8, _xlfn.IFNA(_xlfn.XLOOKUP(L$2-$C25,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M25" s="743" t="e">
        <f>IF($B25='Project List References'!$B$3, _xlfn.IFNA(_xlfn.XLOOKUP(M$2-$C25, 'GEN-CCGT'!$D$7:$AW$7, 'GEN-CCGT'!$D$124:$AW$124), 0), IF($B25='Project List References'!$B$4, _xlfn.IFNA(_xlfn.XLOOKUP(M$2-$C25, 'GEN-SOLAR'!$D$7:$AW$7, 'GEN-SOLAR'!$D$122:$AW$122), 0), IF($B25='Project List References'!$B$5, _xlfn.IFNA(_xlfn.XLOOKUP(M$2-$C25, 'GEN-BESS'!$D$7:$AW$7, 'GEN-BESS'!$D$125:$AW$125), 0), IF($B25='Project List References'!$B$6, _xlfn.IFNA(_xlfn.XLOOKUP(M$2-$C25, 'GEN-CARBON'!$D$7:$AW$7, 'GEN-CARBON'!$D$124:$AW$124), 0), IF($B25='Project List References'!$B$7, _xlfn.IFNA(_xlfn.XLOOKUP(M$2-$C25, 'SENS Coal'!$D$7:$AW$7, 'SENS Coal'!$D$141:$AW$141), 0), IF($B25='Project List References'!$B$8, _xlfn.IFNA(_xlfn.XLOOKUP(M$2-$C25,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N25" s="743" t="e">
        <f>IF($B25='Project List References'!$B$3, _xlfn.IFNA(_xlfn.XLOOKUP(N$2-$C25, 'GEN-CCGT'!$D$7:$AW$7, 'GEN-CCGT'!$D$124:$AW$124), 0), IF($B25='Project List References'!$B$4, _xlfn.IFNA(_xlfn.XLOOKUP(N$2-$C25, 'GEN-SOLAR'!$D$7:$AW$7, 'GEN-SOLAR'!$D$122:$AW$122), 0), IF($B25='Project List References'!$B$5, _xlfn.IFNA(_xlfn.XLOOKUP(N$2-$C25, 'GEN-BESS'!$D$7:$AW$7, 'GEN-BESS'!$D$125:$AW$125), 0), IF($B25='Project List References'!$B$6, _xlfn.IFNA(_xlfn.XLOOKUP(N$2-$C25, 'GEN-CARBON'!$D$7:$AW$7, 'GEN-CARBON'!$D$124:$AW$124), 0), IF($B25='Project List References'!$B$7, _xlfn.IFNA(_xlfn.XLOOKUP(N$2-$C25, 'SENS Coal'!$D$7:$AW$7, 'SENS Coal'!$D$141:$AW$141), 0), IF($B25='Project List References'!$B$8, _xlfn.IFNA(_xlfn.XLOOKUP(N$2-$C25,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O25" s="743" t="e">
        <f>IF($B25='Project List References'!$B$3, _xlfn.IFNA(_xlfn.XLOOKUP(O$2-$C25, 'GEN-CCGT'!$D$7:$AW$7, 'GEN-CCGT'!$D$124:$AW$124), 0), IF($B25='Project List References'!$B$4, _xlfn.IFNA(_xlfn.XLOOKUP(O$2-$C25, 'GEN-SOLAR'!$D$7:$AW$7, 'GEN-SOLAR'!$D$122:$AW$122), 0), IF($B25='Project List References'!$B$5, _xlfn.IFNA(_xlfn.XLOOKUP(O$2-$C25, 'GEN-BESS'!$D$7:$AW$7, 'GEN-BESS'!$D$125:$AW$125), 0), IF($B25='Project List References'!$B$6, _xlfn.IFNA(_xlfn.XLOOKUP(O$2-$C25, 'GEN-CARBON'!$D$7:$AW$7, 'GEN-CARBON'!$D$124:$AW$124), 0), IF($B25='Project List References'!$B$7, _xlfn.IFNA(_xlfn.XLOOKUP(O$2-$C25, 'SENS Coal'!$D$7:$AW$7, 'SENS Coal'!$D$141:$AW$141), 0), IF($B25='Project List References'!$B$8, _xlfn.IFNA(_xlfn.XLOOKUP(O$2-$C25,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P25" s="743" t="e">
        <f>IF($B25='Project List References'!$B$3, _xlfn.IFNA(_xlfn.XLOOKUP(P$2-$C25, 'GEN-CCGT'!$D$7:$AW$7, 'GEN-CCGT'!$D$124:$AW$124), 0), IF($B25='Project List References'!$B$4, _xlfn.IFNA(_xlfn.XLOOKUP(P$2-$C25, 'GEN-SOLAR'!$D$7:$AW$7, 'GEN-SOLAR'!$D$122:$AW$122), 0), IF($B25='Project List References'!$B$5, _xlfn.IFNA(_xlfn.XLOOKUP(P$2-$C25, 'GEN-BESS'!$D$7:$AW$7, 'GEN-BESS'!$D$125:$AW$125), 0), IF($B25='Project List References'!$B$6, _xlfn.IFNA(_xlfn.XLOOKUP(P$2-$C25, 'GEN-CARBON'!$D$7:$AW$7, 'GEN-CARBON'!$D$124:$AW$124), 0), IF($B25='Project List References'!$B$7, _xlfn.IFNA(_xlfn.XLOOKUP(P$2-$C25, 'SENS Coal'!$D$7:$AW$7, 'SENS Coal'!$D$141:$AW$141), 0), IF($B25='Project List References'!$B$8, _xlfn.IFNA(_xlfn.XLOOKUP(P$2-$C25,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Q25" s="743" t="e">
        <f>IF($B25='Project List References'!$B$3, _xlfn.IFNA(_xlfn.XLOOKUP(Q$2-$C25, 'GEN-CCGT'!$D$7:$AW$7, 'GEN-CCGT'!$D$124:$AW$124), 0), IF($B25='Project List References'!$B$4, _xlfn.IFNA(_xlfn.XLOOKUP(Q$2-$C25, 'GEN-SOLAR'!$D$7:$AW$7, 'GEN-SOLAR'!$D$122:$AW$122), 0), IF($B25='Project List References'!$B$5, _xlfn.IFNA(_xlfn.XLOOKUP(Q$2-$C25, 'GEN-BESS'!$D$7:$AW$7, 'GEN-BESS'!$D$125:$AW$125), 0), IF($B25='Project List References'!$B$6, _xlfn.IFNA(_xlfn.XLOOKUP(Q$2-$C25, 'GEN-CARBON'!$D$7:$AW$7, 'GEN-CARBON'!$D$124:$AW$124), 0), IF($B25='Project List References'!$B$7, _xlfn.IFNA(_xlfn.XLOOKUP(Q$2-$C25, 'SENS Coal'!$D$7:$AW$7, 'SENS Coal'!$D$141:$AW$141), 0), IF($B25='Project List References'!$B$8, _xlfn.IFNA(_xlfn.XLOOKUP(Q$2-$C25,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R25" s="743" t="e">
        <f>IF($B25='Project List References'!$B$3, _xlfn.IFNA(_xlfn.XLOOKUP(R$2-$C25, 'GEN-CCGT'!$D$7:$AW$7, 'GEN-CCGT'!$D$124:$AW$124), 0), IF($B25='Project List References'!$B$4, _xlfn.IFNA(_xlfn.XLOOKUP(R$2-$C25, 'GEN-SOLAR'!$D$7:$AW$7, 'GEN-SOLAR'!$D$122:$AW$122), 0), IF($B25='Project List References'!$B$5, _xlfn.IFNA(_xlfn.XLOOKUP(R$2-$C25, 'GEN-BESS'!$D$7:$AW$7, 'GEN-BESS'!$D$125:$AW$125), 0), IF($B25='Project List References'!$B$6, _xlfn.IFNA(_xlfn.XLOOKUP(R$2-$C25, 'GEN-CARBON'!$D$7:$AW$7, 'GEN-CARBON'!$D$124:$AW$124), 0), IF($B25='Project List References'!$B$7, _xlfn.IFNA(_xlfn.XLOOKUP(R$2-$C25, 'SENS Coal'!$D$7:$AW$7, 'SENS Coal'!$D$141:$AW$141), 0), IF($B25='Project List References'!$B$8, _xlfn.IFNA(_xlfn.XLOOKUP(R$2-$C25,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S25" s="743" t="e">
        <f>IF($B25='Project List References'!$B$3, _xlfn.IFNA(_xlfn.XLOOKUP(S$2-$C25, 'GEN-CCGT'!$D$7:$AW$7, 'GEN-CCGT'!$D$124:$AW$124), 0), IF($B25='Project List References'!$B$4, _xlfn.IFNA(_xlfn.XLOOKUP(S$2-$C25, 'GEN-SOLAR'!$D$7:$AW$7, 'GEN-SOLAR'!$D$122:$AW$122), 0), IF($B25='Project List References'!$B$5, _xlfn.IFNA(_xlfn.XLOOKUP(S$2-$C25, 'GEN-BESS'!$D$7:$AW$7, 'GEN-BESS'!$D$125:$AW$125), 0), IF($B25='Project List References'!$B$6, _xlfn.IFNA(_xlfn.XLOOKUP(S$2-$C25, 'GEN-CARBON'!$D$7:$AW$7, 'GEN-CARBON'!$D$124:$AW$124), 0), IF($B25='Project List References'!$B$7, _xlfn.IFNA(_xlfn.XLOOKUP(S$2-$C25, 'SENS Coal'!$D$7:$AW$7, 'SENS Coal'!$D$141:$AW$141), 0), IF($B25='Project List References'!$B$8, _xlfn.IFNA(_xlfn.XLOOKUP(S$2-$C25,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T25" s="743" t="e">
        <f>IF($B25='Project List References'!$B$3, _xlfn.IFNA(_xlfn.XLOOKUP(T$2-$C25, 'GEN-CCGT'!$D$7:$AW$7, 'GEN-CCGT'!$D$124:$AW$124), 0), IF($B25='Project List References'!$B$4, _xlfn.IFNA(_xlfn.XLOOKUP(T$2-$C25, 'GEN-SOLAR'!$D$7:$AW$7, 'GEN-SOLAR'!$D$122:$AW$122), 0), IF($B25='Project List References'!$B$5, _xlfn.IFNA(_xlfn.XLOOKUP(T$2-$C25, 'GEN-BESS'!$D$7:$AW$7, 'GEN-BESS'!$D$125:$AW$125), 0), IF($B25='Project List References'!$B$6, _xlfn.IFNA(_xlfn.XLOOKUP(T$2-$C25, 'GEN-CARBON'!$D$7:$AW$7, 'GEN-CARBON'!$D$124:$AW$124), 0), IF($B25='Project List References'!$B$7, _xlfn.IFNA(_xlfn.XLOOKUP(T$2-$C25, 'SENS Coal'!$D$7:$AW$7, 'SENS Coal'!$D$141:$AW$141), 0), IF($B25='Project List References'!$B$8, _xlfn.IFNA(_xlfn.XLOOKUP(T$2-$C25, 'SENS Tires'!$D$7:$AW$7, 'SENS Tires'!$D$139:$AW$139),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</row>
    <row r="26" spans="1:20">
      <c r="A26" s="655" t="str">
        <f>IF(ISBLANK('Project Master Sheet'!A26)=FALSE, 'Project Master Sheet'!A26, "")</f>
        <v/>
      </c>
      <c r="B26" s="655" t="str">
        <f>_xlfn.IFNA(_xlfn.XLOOKUP(A26, 'Project Master Sheet'!A:A, 'Project Master Sheet'!D:D), "")</f>
        <v/>
      </c>
      <c r="C26" s="655" t="e">
        <f>_xlfn.XLOOKUP(A26, 'Project Master Sheet'!A:A, 'Project Master Sheet'!I:I)</f>
        <v>#N/A</v>
      </c>
      <c r="E26" s="743" t="e">
        <f>IF($B26='Project List References'!$B$3, _xlfn.IFNA(_xlfn.XLOOKUP(E$2-$C26, 'GEN-CCGT'!$D$7:$AW$7, 'GEN-CCGT'!$D$124:$AW$124), 0), IF($B26='Project List References'!$B$4, _xlfn.IFNA(_xlfn.XLOOKUP(E$2-$C26, 'GEN-SOLAR'!$D$7:$AW$7, 'GEN-SOLAR'!$D$122:$AW$122), 0), IF($B26='Project List References'!$B$5, _xlfn.IFNA(_xlfn.XLOOKUP(E$2-$C26, 'GEN-BESS'!$D$7:$AW$7, 'GEN-BESS'!$D$125:$AW$125), 0), IF($B26='Project List References'!$B$6, _xlfn.IFNA(_xlfn.XLOOKUP(E$2-$C26, 'GEN-CARBON'!$D$7:$AW$7, 'GEN-CARBON'!$D$124:$AW$124), 0), IF($B26='Project List References'!$B$7, _xlfn.IFNA(_xlfn.XLOOKUP(E$2-$C26, 'SENS Coal'!$D$7:$AW$7, 'SENS Coal'!$D$141:$AW$141), 0), IF($B26='Project List References'!$B$8, _xlfn.IFNA(_xlfn.XLOOKUP(E$2-$C26,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F26" s="743" t="e">
        <f>IF($B26='Project List References'!$B$3, _xlfn.IFNA(_xlfn.XLOOKUP(F$2-$C26, 'GEN-CCGT'!$D$7:$AW$7, 'GEN-CCGT'!$D$124:$AW$124), 0), IF($B26='Project List References'!$B$4, _xlfn.IFNA(_xlfn.XLOOKUP(F$2-$C26, 'GEN-SOLAR'!$D$7:$AW$7, 'GEN-SOLAR'!$D$122:$AW$122), 0), IF($B26='Project List References'!$B$5, _xlfn.IFNA(_xlfn.XLOOKUP(F$2-$C26, 'GEN-BESS'!$D$7:$AW$7, 'GEN-BESS'!$D$125:$AW$125), 0), IF($B26='Project List References'!$B$6, _xlfn.IFNA(_xlfn.XLOOKUP(F$2-$C26, 'GEN-CARBON'!$D$7:$AW$7, 'GEN-CARBON'!$D$124:$AW$124), 0), IF($B26='Project List References'!$B$7, _xlfn.IFNA(_xlfn.XLOOKUP(F$2-$C26, 'SENS Coal'!$D$7:$AW$7, 'SENS Coal'!$D$141:$AW$141), 0), IF($B26='Project List References'!$B$8, _xlfn.IFNA(_xlfn.XLOOKUP(F$2-$C26,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G26" s="743" t="e">
        <f>IF($B26='Project List References'!$B$3, _xlfn.IFNA(_xlfn.XLOOKUP(G$2-$C26, 'GEN-CCGT'!$D$7:$AW$7, 'GEN-CCGT'!$D$124:$AW$124), 0), IF($B26='Project List References'!$B$4, _xlfn.IFNA(_xlfn.XLOOKUP(G$2-$C26, 'GEN-SOLAR'!$D$7:$AW$7, 'GEN-SOLAR'!$D$122:$AW$122), 0), IF($B26='Project List References'!$B$5, _xlfn.IFNA(_xlfn.XLOOKUP(G$2-$C26, 'GEN-BESS'!$D$7:$AW$7, 'GEN-BESS'!$D$125:$AW$125), 0), IF($B26='Project List References'!$B$6, _xlfn.IFNA(_xlfn.XLOOKUP(G$2-$C26, 'GEN-CARBON'!$D$7:$AW$7, 'GEN-CARBON'!$D$124:$AW$124), 0), IF($B26='Project List References'!$B$7, _xlfn.IFNA(_xlfn.XLOOKUP(G$2-$C26, 'SENS Coal'!$D$7:$AW$7, 'SENS Coal'!$D$141:$AW$141), 0), IF($B26='Project List References'!$B$8, _xlfn.IFNA(_xlfn.XLOOKUP(G$2-$C26,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H26" s="743" t="e">
        <f>IF($B26='Project List References'!$B$3, _xlfn.IFNA(_xlfn.XLOOKUP(H$2-$C26, 'GEN-CCGT'!$D$7:$AW$7, 'GEN-CCGT'!$D$124:$AW$124), 0), IF($B26='Project List References'!$B$4, _xlfn.IFNA(_xlfn.XLOOKUP(H$2-$C26, 'GEN-SOLAR'!$D$7:$AW$7, 'GEN-SOLAR'!$D$122:$AW$122), 0), IF($B26='Project List References'!$B$5, _xlfn.IFNA(_xlfn.XLOOKUP(H$2-$C26, 'GEN-BESS'!$D$7:$AW$7, 'GEN-BESS'!$D$125:$AW$125), 0), IF($B26='Project List References'!$B$6, _xlfn.IFNA(_xlfn.XLOOKUP(H$2-$C26, 'GEN-CARBON'!$D$7:$AW$7, 'GEN-CARBON'!$D$124:$AW$124), 0), IF($B26='Project List References'!$B$7, _xlfn.IFNA(_xlfn.XLOOKUP(H$2-$C26, 'SENS Coal'!$D$7:$AW$7, 'SENS Coal'!$D$141:$AW$141), 0), IF($B26='Project List References'!$B$8, _xlfn.IFNA(_xlfn.XLOOKUP(H$2-$C26,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I26" s="743" t="e">
        <f>IF($B26='Project List References'!$B$3, _xlfn.IFNA(_xlfn.XLOOKUP(I$2-$C26, 'GEN-CCGT'!$D$7:$AW$7, 'GEN-CCGT'!$D$124:$AW$124), 0), IF($B26='Project List References'!$B$4, _xlfn.IFNA(_xlfn.XLOOKUP(I$2-$C26, 'GEN-SOLAR'!$D$7:$AW$7, 'GEN-SOLAR'!$D$122:$AW$122), 0), IF($B26='Project List References'!$B$5, _xlfn.IFNA(_xlfn.XLOOKUP(I$2-$C26, 'GEN-BESS'!$D$7:$AW$7, 'GEN-BESS'!$D$125:$AW$125), 0), IF($B26='Project List References'!$B$6, _xlfn.IFNA(_xlfn.XLOOKUP(I$2-$C26, 'GEN-CARBON'!$D$7:$AW$7, 'GEN-CARBON'!$D$124:$AW$124), 0), IF($B26='Project List References'!$B$7, _xlfn.IFNA(_xlfn.XLOOKUP(I$2-$C26, 'SENS Coal'!$D$7:$AW$7, 'SENS Coal'!$D$141:$AW$141), 0), IF($B26='Project List References'!$B$8, _xlfn.IFNA(_xlfn.XLOOKUP(I$2-$C26,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J26" s="743" t="e">
        <f>IF($B26='Project List References'!$B$3, _xlfn.IFNA(_xlfn.XLOOKUP(J$2-$C26, 'GEN-CCGT'!$D$7:$AW$7, 'GEN-CCGT'!$D$124:$AW$124), 0), IF($B26='Project List References'!$B$4, _xlfn.IFNA(_xlfn.XLOOKUP(J$2-$C26, 'GEN-SOLAR'!$D$7:$AW$7, 'GEN-SOLAR'!$D$122:$AW$122), 0), IF($B26='Project List References'!$B$5, _xlfn.IFNA(_xlfn.XLOOKUP(J$2-$C26, 'GEN-BESS'!$D$7:$AW$7, 'GEN-BESS'!$D$125:$AW$125), 0), IF($B26='Project List References'!$B$6, _xlfn.IFNA(_xlfn.XLOOKUP(J$2-$C26, 'GEN-CARBON'!$D$7:$AW$7, 'GEN-CARBON'!$D$124:$AW$124), 0), IF($B26='Project List References'!$B$7, _xlfn.IFNA(_xlfn.XLOOKUP(J$2-$C26, 'SENS Coal'!$D$7:$AW$7, 'SENS Coal'!$D$141:$AW$141), 0), IF($B26='Project List References'!$B$8, _xlfn.IFNA(_xlfn.XLOOKUP(J$2-$C26,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K26" s="743" t="e">
        <f>IF($B26='Project List References'!$B$3, _xlfn.IFNA(_xlfn.XLOOKUP(K$2-$C26, 'GEN-CCGT'!$D$7:$AW$7, 'GEN-CCGT'!$D$124:$AW$124), 0), IF($B26='Project List References'!$B$4, _xlfn.IFNA(_xlfn.XLOOKUP(K$2-$C26, 'GEN-SOLAR'!$D$7:$AW$7, 'GEN-SOLAR'!$D$122:$AW$122), 0), IF($B26='Project List References'!$B$5, _xlfn.IFNA(_xlfn.XLOOKUP(K$2-$C26, 'GEN-BESS'!$D$7:$AW$7, 'GEN-BESS'!$D$125:$AW$125), 0), IF($B26='Project List References'!$B$6, _xlfn.IFNA(_xlfn.XLOOKUP(K$2-$C26, 'GEN-CARBON'!$D$7:$AW$7, 'GEN-CARBON'!$D$124:$AW$124), 0), IF($B26='Project List References'!$B$7, _xlfn.IFNA(_xlfn.XLOOKUP(K$2-$C26, 'SENS Coal'!$D$7:$AW$7, 'SENS Coal'!$D$141:$AW$141), 0), IF($B26='Project List References'!$B$8, _xlfn.IFNA(_xlfn.XLOOKUP(K$2-$C26,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L26" s="743" t="e">
        <f>IF($B26='Project List References'!$B$3, _xlfn.IFNA(_xlfn.XLOOKUP(L$2-$C26, 'GEN-CCGT'!$D$7:$AW$7, 'GEN-CCGT'!$D$124:$AW$124), 0), IF($B26='Project List References'!$B$4, _xlfn.IFNA(_xlfn.XLOOKUP(L$2-$C26, 'GEN-SOLAR'!$D$7:$AW$7, 'GEN-SOLAR'!$D$122:$AW$122), 0), IF($B26='Project List References'!$B$5, _xlfn.IFNA(_xlfn.XLOOKUP(L$2-$C26, 'GEN-BESS'!$D$7:$AW$7, 'GEN-BESS'!$D$125:$AW$125), 0), IF($B26='Project List References'!$B$6, _xlfn.IFNA(_xlfn.XLOOKUP(L$2-$C26, 'GEN-CARBON'!$D$7:$AW$7, 'GEN-CARBON'!$D$124:$AW$124), 0), IF($B26='Project List References'!$B$7, _xlfn.IFNA(_xlfn.XLOOKUP(L$2-$C26, 'SENS Coal'!$D$7:$AW$7, 'SENS Coal'!$D$141:$AW$141), 0), IF($B26='Project List References'!$B$8, _xlfn.IFNA(_xlfn.XLOOKUP(L$2-$C26,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M26" s="743" t="e">
        <f>IF($B26='Project List References'!$B$3, _xlfn.IFNA(_xlfn.XLOOKUP(M$2-$C26, 'GEN-CCGT'!$D$7:$AW$7, 'GEN-CCGT'!$D$124:$AW$124), 0), IF($B26='Project List References'!$B$4, _xlfn.IFNA(_xlfn.XLOOKUP(M$2-$C26, 'GEN-SOLAR'!$D$7:$AW$7, 'GEN-SOLAR'!$D$122:$AW$122), 0), IF($B26='Project List References'!$B$5, _xlfn.IFNA(_xlfn.XLOOKUP(M$2-$C26, 'GEN-BESS'!$D$7:$AW$7, 'GEN-BESS'!$D$125:$AW$125), 0), IF($B26='Project List References'!$B$6, _xlfn.IFNA(_xlfn.XLOOKUP(M$2-$C26, 'GEN-CARBON'!$D$7:$AW$7, 'GEN-CARBON'!$D$124:$AW$124), 0), IF($B26='Project List References'!$B$7, _xlfn.IFNA(_xlfn.XLOOKUP(M$2-$C26, 'SENS Coal'!$D$7:$AW$7, 'SENS Coal'!$D$141:$AW$141), 0), IF($B26='Project List References'!$B$8, _xlfn.IFNA(_xlfn.XLOOKUP(M$2-$C26,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N26" s="743" t="e">
        <f>IF($B26='Project List References'!$B$3, _xlfn.IFNA(_xlfn.XLOOKUP(N$2-$C26, 'GEN-CCGT'!$D$7:$AW$7, 'GEN-CCGT'!$D$124:$AW$124), 0), IF($B26='Project List References'!$B$4, _xlfn.IFNA(_xlfn.XLOOKUP(N$2-$C26, 'GEN-SOLAR'!$D$7:$AW$7, 'GEN-SOLAR'!$D$122:$AW$122), 0), IF($B26='Project List References'!$B$5, _xlfn.IFNA(_xlfn.XLOOKUP(N$2-$C26, 'GEN-BESS'!$D$7:$AW$7, 'GEN-BESS'!$D$125:$AW$125), 0), IF($B26='Project List References'!$B$6, _xlfn.IFNA(_xlfn.XLOOKUP(N$2-$C26, 'GEN-CARBON'!$D$7:$AW$7, 'GEN-CARBON'!$D$124:$AW$124), 0), IF($B26='Project List References'!$B$7, _xlfn.IFNA(_xlfn.XLOOKUP(N$2-$C26, 'SENS Coal'!$D$7:$AW$7, 'SENS Coal'!$D$141:$AW$141), 0), IF($B26='Project List References'!$B$8, _xlfn.IFNA(_xlfn.XLOOKUP(N$2-$C26,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O26" s="743" t="e">
        <f>IF($B26='Project List References'!$B$3, _xlfn.IFNA(_xlfn.XLOOKUP(O$2-$C26, 'GEN-CCGT'!$D$7:$AW$7, 'GEN-CCGT'!$D$124:$AW$124), 0), IF($B26='Project List References'!$B$4, _xlfn.IFNA(_xlfn.XLOOKUP(O$2-$C26, 'GEN-SOLAR'!$D$7:$AW$7, 'GEN-SOLAR'!$D$122:$AW$122), 0), IF($B26='Project List References'!$B$5, _xlfn.IFNA(_xlfn.XLOOKUP(O$2-$C26, 'GEN-BESS'!$D$7:$AW$7, 'GEN-BESS'!$D$125:$AW$125), 0), IF($B26='Project List References'!$B$6, _xlfn.IFNA(_xlfn.XLOOKUP(O$2-$C26, 'GEN-CARBON'!$D$7:$AW$7, 'GEN-CARBON'!$D$124:$AW$124), 0), IF($B26='Project List References'!$B$7, _xlfn.IFNA(_xlfn.XLOOKUP(O$2-$C26, 'SENS Coal'!$D$7:$AW$7, 'SENS Coal'!$D$141:$AW$141), 0), IF($B26='Project List References'!$B$8, _xlfn.IFNA(_xlfn.XLOOKUP(O$2-$C26,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P26" s="743" t="e">
        <f>IF($B26='Project List References'!$B$3, _xlfn.IFNA(_xlfn.XLOOKUP(P$2-$C26, 'GEN-CCGT'!$D$7:$AW$7, 'GEN-CCGT'!$D$124:$AW$124), 0), IF($B26='Project List References'!$B$4, _xlfn.IFNA(_xlfn.XLOOKUP(P$2-$C26, 'GEN-SOLAR'!$D$7:$AW$7, 'GEN-SOLAR'!$D$122:$AW$122), 0), IF($B26='Project List References'!$B$5, _xlfn.IFNA(_xlfn.XLOOKUP(P$2-$C26, 'GEN-BESS'!$D$7:$AW$7, 'GEN-BESS'!$D$125:$AW$125), 0), IF($B26='Project List References'!$B$6, _xlfn.IFNA(_xlfn.XLOOKUP(P$2-$C26, 'GEN-CARBON'!$D$7:$AW$7, 'GEN-CARBON'!$D$124:$AW$124), 0), IF($B26='Project List References'!$B$7, _xlfn.IFNA(_xlfn.XLOOKUP(P$2-$C26, 'SENS Coal'!$D$7:$AW$7, 'SENS Coal'!$D$141:$AW$141), 0), IF($B26='Project List References'!$B$8, _xlfn.IFNA(_xlfn.XLOOKUP(P$2-$C26,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Q26" s="743" t="e">
        <f>IF($B26='Project List References'!$B$3, _xlfn.IFNA(_xlfn.XLOOKUP(Q$2-$C26, 'GEN-CCGT'!$D$7:$AW$7, 'GEN-CCGT'!$D$124:$AW$124), 0), IF($B26='Project List References'!$B$4, _xlfn.IFNA(_xlfn.XLOOKUP(Q$2-$C26, 'GEN-SOLAR'!$D$7:$AW$7, 'GEN-SOLAR'!$D$122:$AW$122), 0), IF($B26='Project List References'!$B$5, _xlfn.IFNA(_xlfn.XLOOKUP(Q$2-$C26, 'GEN-BESS'!$D$7:$AW$7, 'GEN-BESS'!$D$125:$AW$125), 0), IF($B26='Project List References'!$B$6, _xlfn.IFNA(_xlfn.XLOOKUP(Q$2-$C26, 'GEN-CARBON'!$D$7:$AW$7, 'GEN-CARBON'!$D$124:$AW$124), 0), IF($B26='Project List References'!$B$7, _xlfn.IFNA(_xlfn.XLOOKUP(Q$2-$C26, 'SENS Coal'!$D$7:$AW$7, 'SENS Coal'!$D$141:$AW$141), 0), IF($B26='Project List References'!$B$8, _xlfn.IFNA(_xlfn.XLOOKUP(Q$2-$C26,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R26" s="743" t="e">
        <f>IF($B26='Project List References'!$B$3, _xlfn.IFNA(_xlfn.XLOOKUP(R$2-$C26, 'GEN-CCGT'!$D$7:$AW$7, 'GEN-CCGT'!$D$124:$AW$124), 0), IF($B26='Project List References'!$B$4, _xlfn.IFNA(_xlfn.XLOOKUP(R$2-$C26, 'GEN-SOLAR'!$D$7:$AW$7, 'GEN-SOLAR'!$D$122:$AW$122), 0), IF($B26='Project List References'!$B$5, _xlfn.IFNA(_xlfn.XLOOKUP(R$2-$C26, 'GEN-BESS'!$D$7:$AW$7, 'GEN-BESS'!$D$125:$AW$125), 0), IF($B26='Project List References'!$B$6, _xlfn.IFNA(_xlfn.XLOOKUP(R$2-$C26, 'GEN-CARBON'!$D$7:$AW$7, 'GEN-CARBON'!$D$124:$AW$124), 0), IF($B26='Project List References'!$B$7, _xlfn.IFNA(_xlfn.XLOOKUP(R$2-$C26, 'SENS Coal'!$D$7:$AW$7, 'SENS Coal'!$D$141:$AW$141), 0), IF($B26='Project List References'!$B$8, _xlfn.IFNA(_xlfn.XLOOKUP(R$2-$C26,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S26" s="743" t="e">
        <f>IF($B26='Project List References'!$B$3, _xlfn.IFNA(_xlfn.XLOOKUP(S$2-$C26, 'GEN-CCGT'!$D$7:$AW$7, 'GEN-CCGT'!$D$124:$AW$124), 0), IF($B26='Project List References'!$B$4, _xlfn.IFNA(_xlfn.XLOOKUP(S$2-$C26, 'GEN-SOLAR'!$D$7:$AW$7, 'GEN-SOLAR'!$D$122:$AW$122), 0), IF($B26='Project List References'!$B$5, _xlfn.IFNA(_xlfn.XLOOKUP(S$2-$C26, 'GEN-BESS'!$D$7:$AW$7, 'GEN-BESS'!$D$125:$AW$125), 0), IF($B26='Project List References'!$B$6, _xlfn.IFNA(_xlfn.XLOOKUP(S$2-$C26, 'GEN-CARBON'!$D$7:$AW$7, 'GEN-CARBON'!$D$124:$AW$124), 0), IF($B26='Project List References'!$B$7, _xlfn.IFNA(_xlfn.XLOOKUP(S$2-$C26, 'SENS Coal'!$D$7:$AW$7, 'SENS Coal'!$D$141:$AW$141), 0), IF($B26='Project List References'!$B$8, _xlfn.IFNA(_xlfn.XLOOKUP(S$2-$C26,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T26" s="743" t="e">
        <f>IF($B26='Project List References'!$B$3, _xlfn.IFNA(_xlfn.XLOOKUP(T$2-$C26, 'GEN-CCGT'!$D$7:$AW$7, 'GEN-CCGT'!$D$124:$AW$124), 0), IF($B26='Project List References'!$B$4, _xlfn.IFNA(_xlfn.XLOOKUP(T$2-$C26, 'GEN-SOLAR'!$D$7:$AW$7, 'GEN-SOLAR'!$D$122:$AW$122), 0), IF($B26='Project List References'!$B$5, _xlfn.IFNA(_xlfn.XLOOKUP(T$2-$C26, 'GEN-BESS'!$D$7:$AW$7, 'GEN-BESS'!$D$125:$AW$125), 0), IF($B26='Project List References'!$B$6, _xlfn.IFNA(_xlfn.XLOOKUP(T$2-$C26, 'GEN-CARBON'!$D$7:$AW$7, 'GEN-CARBON'!$D$124:$AW$124), 0), IF($B26='Project List References'!$B$7, _xlfn.IFNA(_xlfn.XLOOKUP(T$2-$C26, 'SENS Coal'!$D$7:$AW$7, 'SENS Coal'!$D$141:$AW$141), 0), IF($B26='Project List References'!$B$8, _xlfn.IFNA(_xlfn.XLOOKUP(T$2-$C26, 'SENS Tires'!$D$7:$AW$7, 'SENS Tires'!$D$139:$AW$139),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</row>
    <row r="27" spans="1:20">
      <c r="A27" s="655" t="str">
        <f>IF(ISBLANK('Project Master Sheet'!A27)=FALSE, 'Project Master Sheet'!A27, "")</f>
        <v/>
      </c>
      <c r="B27" s="655" t="str">
        <f>_xlfn.IFNA(_xlfn.XLOOKUP(A27, 'Project Master Sheet'!A:A, 'Project Master Sheet'!D:D), "")</f>
        <v/>
      </c>
      <c r="C27" s="655" t="e">
        <f>_xlfn.XLOOKUP(A27, 'Project Master Sheet'!A:A, 'Project Master Sheet'!I:I)</f>
        <v>#N/A</v>
      </c>
      <c r="E27" s="743" t="e">
        <f>IF($B27='Project List References'!$B$3, _xlfn.IFNA(_xlfn.XLOOKUP(E$2-$C27, 'GEN-CCGT'!$D$7:$AW$7, 'GEN-CCGT'!$D$124:$AW$124), 0), IF($B27='Project List References'!$B$4, _xlfn.IFNA(_xlfn.XLOOKUP(E$2-$C27, 'GEN-SOLAR'!$D$7:$AW$7, 'GEN-SOLAR'!$D$122:$AW$122), 0), IF($B27='Project List References'!$B$5, _xlfn.IFNA(_xlfn.XLOOKUP(E$2-$C27, 'GEN-BESS'!$D$7:$AW$7, 'GEN-BESS'!$D$125:$AW$125), 0), IF($B27='Project List References'!$B$6, _xlfn.IFNA(_xlfn.XLOOKUP(E$2-$C27, 'GEN-CARBON'!$D$7:$AW$7, 'GEN-CARBON'!$D$124:$AW$124), 0), IF($B27='Project List References'!$B$7, _xlfn.IFNA(_xlfn.XLOOKUP(E$2-$C27, 'SENS Coal'!$D$7:$AW$7, 'SENS Coal'!$D$141:$AW$141), 0), IF($B27='Project List References'!$B$8, _xlfn.IFNA(_xlfn.XLOOKUP(E$2-$C27,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F27" s="743" t="e">
        <f>IF($B27='Project List References'!$B$3, _xlfn.IFNA(_xlfn.XLOOKUP(F$2-$C27, 'GEN-CCGT'!$D$7:$AW$7, 'GEN-CCGT'!$D$124:$AW$124), 0), IF($B27='Project List References'!$B$4, _xlfn.IFNA(_xlfn.XLOOKUP(F$2-$C27, 'GEN-SOLAR'!$D$7:$AW$7, 'GEN-SOLAR'!$D$122:$AW$122), 0), IF($B27='Project List References'!$B$5, _xlfn.IFNA(_xlfn.XLOOKUP(F$2-$C27, 'GEN-BESS'!$D$7:$AW$7, 'GEN-BESS'!$D$125:$AW$125), 0), IF($B27='Project List References'!$B$6, _xlfn.IFNA(_xlfn.XLOOKUP(F$2-$C27, 'GEN-CARBON'!$D$7:$AW$7, 'GEN-CARBON'!$D$124:$AW$124), 0), IF($B27='Project List References'!$B$7, _xlfn.IFNA(_xlfn.XLOOKUP(F$2-$C27, 'SENS Coal'!$D$7:$AW$7, 'SENS Coal'!$D$141:$AW$141), 0), IF($B27='Project List References'!$B$8, _xlfn.IFNA(_xlfn.XLOOKUP(F$2-$C27,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G27" s="743" t="e">
        <f>IF($B27='Project List References'!$B$3, _xlfn.IFNA(_xlfn.XLOOKUP(G$2-$C27, 'GEN-CCGT'!$D$7:$AW$7, 'GEN-CCGT'!$D$124:$AW$124), 0), IF($B27='Project List References'!$B$4, _xlfn.IFNA(_xlfn.XLOOKUP(G$2-$C27, 'GEN-SOLAR'!$D$7:$AW$7, 'GEN-SOLAR'!$D$122:$AW$122), 0), IF($B27='Project List References'!$B$5, _xlfn.IFNA(_xlfn.XLOOKUP(G$2-$C27, 'GEN-BESS'!$D$7:$AW$7, 'GEN-BESS'!$D$125:$AW$125), 0), IF($B27='Project List References'!$B$6, _xlfn.IFNA(_xlfn.XLOOKUP(G$2-$C27, 'GEN-CARBON'!$D$7:$AW$7, 'GEN-CARBON'!$D$124:$AW$124), 0), IF($B27='Project List References'!$B$7, _xlfn.IFNA(_xlfn.XLOOKUP(G$2-$C27, 'SENS Coal'!$D$7:$AW$7, 'SENS Coal'!$D$141:$AW$141), 0), IF($B27='Project List References'!$B$8, _xlfn.IFNA(_xlfn.XLOOKUP(G$2-$C27,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H27" s="743" t="e">
        <f>IF($B27='Project List References'!$B$3, _xlfn.IFNA(_xlfn.XLOOKUP(H$2-$C27, 'GEN-CCGT'!$D$7:$AW$7, 'GEN-CCGT'!$D$124:$AW$124), 0), IF($B27='Project List References'!$B$4, _xlfn.IFNA(_xlfn.XLOOKUP(H$2-$C27, 'GEN-SOLAR'!$D$7:$AW$7, 'GEN-SOLAR'!$D$122:$AW$122), 0), IF($B27='Project List References'!$B$5, _xlfn.IFNA(_xlfn.XLOOKUP(H$2-$C27, 'GEN-BESS'!$D$7:$AW$7, 'GEN-BESS'!$D$125:$AW$125), 0), IF($B27='Project List References'!$B$6, _xlfn.IFNA(_xlfn.XLOOKUP(H$2-$C27, 'GEN-CARBON'!$D$7:$AW$7, 'GEN-CARBON'!$D$124:$AW$124), 0), IF($B27='Project List References'!$B$7, _xlfn.IFNA(_xlfn.XLOOKUP(H$2-$C27, 'SENS Coal'!$D$7:$AW$7, 'SENS Coal'!$D$141:$AW$141), 0), IF($B27='Project List References'!$B$8, _xlfn.IFNA(_xlfn.XLOOKUP(H$2-$C27,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I27" s="743" t="e">
        <f>IF($B27='Project List References'!$B$3, _xlfn.IFNA(_xlfn.XLOOKUP(I$2-$C27, 'GEN-CCGT'!$D$7:$AW$7, 'GEN-CCGT'!$D$124:$AW$124), 0), IF($B27='Project List References'!$B$4, _xlfn.IFNA(_xlfn.XLOOKUP(I$2-$C27, 'GEN-SOLAR'!$D$7:$AW$7, 'GEN-SOLAR'!$D$122:$AW$122), 0), IF($B27='Project List References'!$B$5, _xlfn.IFNA(_xlfn.XLOOKUP(I$2-$C27, 'GEN-BESS'!$D$7:$AW$7, 'GEN-BESS'!$D$125:$AW$125), 0), IF($B27='Project List References'!$B$6, _xlfn.IFNA(_xlfn.XLOOKUP(I$2-$C27, 'GEN-CARBON'!$D$7:$AW$7, 'GEN-CARBON'!$D$124:$AW$124), 0), IF($B27='Project List References'!$B$7, _xlfn.IFNA(_xlfn.XLOOKUP(I$2-$C27, 'SENS Coal'!$D$7:$AW$7, 'SENS Coal'!$D$141:$AW$141), 0), IF($B27='Project List References'!$B$8, _xlfn.IFNA(_xlfn.XLOOKUP(I$2-$C27,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J27" s="743" t="e">
        <f>IF($B27='Project List References'!$B$3, _xlfn.IFNA(_xlfn.XLOOKUP(J$2-$C27, 'GEN-CCGT'!$D$7:$AW$7, 'GEN-CCGT'!$D$124:$AW$124), 0), IF($B27='Project List References'!$B$4, _xlfn.IFNA(_xlfn.XLOOKUP(J$2-$C27, 'GEN-SOLAR'!$D$7:$AW$7, 'GEN-SOLAR'!$D$122:$AW$122), 0), IF($B27='Project List References'!$B$5, _xlfn.IFNA(_xlfn.XLOOKUP(J$2-$C27, 'GEN-BESS'!$D$7:$AW$7, 'GEN-BESS'!$D$125:$AW$125), 0), IF($B27='Project List References'!$B$6, _xlfn.IFNA(_xlfn.XLOOKUP(J$2-$C27, 'GEN-CARBON'!$D$7:$AW$7, 'GEN-CARBON'!$D$124:$AW$124), 0), IF($B27='Project List References'!$B$7, _xlfn.IFNA(_xlfn.XLOOKUP(J$2-$C27, 'SENS Coal'!$D$7:$AW$7, 'SENS Coal'!$D$141:$AW$141), 0), IF($B27='Project List References'!$B$8, _xlfn.IFNA(_xlfn.XLOOKUP(J$2-$C27,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K27" s="743" t="e">
        <f>IF($B27='Project List References'!$B$3, _xlfn.IFNA(_xlfn.XLOOKUP(K$2-$C27, 'GEN-CCGT'!$D$7:$AW$7, 'GEN-CCGT'!$D$124:$AW$124), 0), IF($B27='Project List References'!$B$4, _xlfn.IFNA(_xlfn.XLOOKUP(K$2-$C27, 'GEN-SOLAR'!$D$7:$AW$7, 'GEN-SOLAR'!$D$122:$AW$122), 0), IF($B27='Project List References'!$B$5, _xlfn.IFNA(_xlfn.XLOOKUP(K$2-$C27, 'GEN-BESS'!$D$7:$AW$7, 'GEN-BESS'!$D$125:$AW$125), 0), IF($B27='Project List References'!$B$6, _xlfn.IFNA(_xlfn.XLOOKUP(K$2-$C27, 'GEN-CARBON'!$D$7:$AW$7, 'GEN-CARBON'!$D$124:$AW$124), 0), IF($B27='Project List References'!$B$7, _xlfn.IFNA(_xlfn.XLOOKUP(K$2-$C27, 'SENS Coal'!$D$7:$AW$7, 'SENS Coal'!$D$141:$AW$141), 0), IF($B27='Project List References'!$B$8, _xlfn.IFNA(_xlfn.XLOOKUP(K$2-$C27,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L27" s="743" t="e">
        <f>IF($B27='Project List References'!$B$3, _xlfn.IFNA(_xlfn.XLOOKUP(L$2-$C27, 'GEN-CCGT'!$D$7:$AW$7, 'GEN-CCGT'!$D$124:$AW$124), 0), IF($B27='Project List References'!$B$4, _xlfn.IFNA(_xlfn.XLOOKUP(L$2-$C27, 'GEN-SOLAR'!$D$7:$AW$7, 'GEN-SOLAR'!$D$122:$AW$122), 0), IF($B27='Project List References'!$B$5, _xlfn.IFNA(_xlfn.XLOOKUP(L$2-$C27, 'GEN-BESS'!$D$7:$AW$7, 'GEN-BESS'!$D$125:$AW$125), 0), IF($B27='Project List References'!$B$6, _xlfn.IFNA(_xlfn.XLOOKUP(L$2-$C27, 'GEN-CARBON'!$D$7:$AW$7, 'GEN-CARBON'!$D$124:$AW$124), 0), IF($B27='Project List References'!$B$7, _xlfn.IFNA(_xlfn.XLOOKUP(L$2-$C27, 'SENS Coal'!$D$7:$AW$7, 'SENS Coal'!$D$141:$AW$141), 0), IF($B27='Project List References'!$B$8, _xlfn.IFNA(_xlfn.XLOOKUP(L$2-$C27,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M27" s="743" t="e">
        <f>IF($B27='Project List References'!$B$3, _xlfn.IFNA(_xlfn.XLOOKUP(M$2-$C27, 'GEN-CCGT'!$D$7:$AW$7, 'GEN-CCGT'!$D$124:$AW$124), 0), IF($B27='Project List References'!$B$4, _xlfn.IFNA(_xlfn.XLOOKUP(M$2-$C27, 'GEN-SOLAR'!$D$7:$AW$7, 'GEN-SOLAR'!$D$122:$AW$122), 0), IF($B27='Project List References'!$B$5, _xlfn.IFNA(_xlfn.XLOOKUP(M$2-$C27, 'GEN-BESS'!$D$7:$AW$7, 'GEN-BESS'!$D$125:$AW$125), 0), IF($B27='Project List References'!$B$6, _xlfn.IFNA(_xlfn.XLOOKUP(M$2-$C27, 'GEN-CARBON'!$D$7:$AW$7, 'GEN-CARBON'!$D$124:$AW$124), 0), IF($B27='Project List References'!$B$7, _xlfn.IFNA(_xlfn.XLOOKUP(M$2-$C27, 'SENS Coal'!$D$7:$AW$7, 'SENS Coal'!$D$141:$AW$141), 0), IF($B27='Project List References'!$B$8, _xlfn.IFNA(_xlfn.XLOOKUP(M$2-$C27,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N27" s="743" t="e">
        <f>IF($B27='Project List References'!$B$3, _xlfn.IFNA(_xlfn.XLOOKUP(N$2-$C27, 'GEN-CCGT'!$D$7:$AW$7, 'GEN-CCGT'!$D$124:$AW$124), 0), IF($B27='Project List References'!$B$4, _xlfn.IFNA(_xlfn.XLOOKUP(N$2-$C27, 'GEN-SOLAR'!$D$7:$AW$7, 'GEN-SOLAR'!$D$122:$AW$122), 0), IF($B27='Project List References'!$B$5, _xlfn.IFNA(_xlfn.XLOOKUP(N$2-$C27, 'GEN-BESS'!$D$7:$AW$7, 'GEN-BESS'!$D$125:$AW$125), 0), IF($B27='Project List References'!$B$6, _xlfn.IFNA(_xlfn.XLOOKUP(N$2-$C27, 'GEN-CARBON'!$D$7:$AW$7, 'GEN-CARBON'!$D$124:$AW$124), 0), IF($B27='Project List References'!$B$7, _xlfn.IFNA(_xlfn.XLOOKUP(N$2-$C27, 'SENS Coal'!$D$7:$AW$7, 'SENS Coal'!$D$141:$AW$141), 0), IF($B27='Project List References'!$B$8, _xlfn.IFNA(_xlfn.XLOOKUP(N$2-$C27,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O27" s="743" t="e">
        <f>IF($B27='Project List References'!$B$3, _xlfn.IFNA(_xlfn.XLOOKUP(O$2-$C27, 'GEN-CCGT'!$D$7:$AW$7, 'GEN-CCGT'!$D$124:$AW$124), 0), IF($B27='Project List References'!$B$4, _xlfn.IFNA(_xlfn.XLOOKUP(O$2-$C27, 'GEN-SOLAR'!$D$7:$AW$7, 'GEN-SOLAR'!$D$122:$AW$122), 0), IF($B27='Project List References'!$B$5, _xlfn.IFNA(_xlfn.XLOOKUP(O$2-$C27, 'GEN-BESS'!$D$7:$AW$7, 'GEN-BESS'!$D$125:$AW$125), 0), IF($B27='Project List References'!$B$6, _xlfn.IFNA(_xlfn.XLOOKUP(O$2-$C27, 'GEN-CARBON'!$D$7:$AW$7, 'GEN-CARBON'!$D$124:$AW$124), 0), IF($B27='Project List References'!$B$7, _xlfn.IFNA(_xlfn.XLOOKUP(O$2-$C27, 'SENS Coal'!$D$7:$AW$7, 'SENS Coal'!$D$141:$AW$141), 0), IF($B27='Project List References'!$B$8, _xlfn.IFNA(_xlfn.XLOOKUP(O$2-$C27,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P27" s="743" t="e">
        <f>IF($B27='Project List References'!$B$3, _xlfn.IFNA(_xlfn.XLOOKUP(P$2-$C27, 'GEN-CCGT'!$D$7:$AW$7, 'GEN-CCGT'!$D$124:$AW$124), 0), IF($B27='Project List References'!$B$4, _xlfn.IFNA(_xlfn.XLOOKUP(P$2-$C27, 'GEN-SOLAR'!$D$7:$AW$7, 'GEN-SOLAR'!$D$122:$AW$122), 0), IF($B27='Project List References'!$B$5, _xlfn.IFNA(_xlfn.XLOOKUP(P$2-$C27, 'GEN-BESS'!$D$7:$AW$7, 'GEN-BESS'!$D$125:$AW$125), 0), IF($B27='Project List References'!$B$6, _xlfn.IFNA(_xlfn.XLOOKUP(P$2-$C27, 'GEN-CARBON'!$D$7:$AW$7, 'GEN-CARBON'!$D$124:$AW$124), 0), IF($B27='Project List References'!$B$7, _xlfn.IFNA(_xlfn.XLOOKUP(P$2-$C27, 'SENS Coal'!$D$7:$AW$7, 'SENS Coal'!$D$141:$AW$141), 0), IF($B27='Project List References'!$B$8, _xlfn.IFNA(_xlfn.XLOOKUP(P$2-$C27,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Q27" s="743" t="e">
        <f>IF($B27='Project List References'!$B$3, _xlfn.IFNA(_xlfn.XLOOKUP(Q$2-$C27, 'GEN-CCGT'!$D$7:$AW$7, 'GEN-CCGT'!$D$124:$AW$124), 0), IF($B27='Project List References'!$B$4, _xlfn.IFNA(_xlfn.XLOOKUP(Q$2-$C27, 'GEN-SOLAR'!$D$7:$AW$7, 'GEN-SOLAR'!$D$122:$AW$122), 0), IF($B27='Project List References'!$B$5, _xlfn.IFNA(_xlfn.XLOOKUP(Q$2-$C27, 'GEN-BESS'!$D$7:$AW$7, 'GEN-BESS'!$D$125:$AW$125), 0), IF($B27='Project List References'!$B$6, _xlfn.IFNA(_xlfn.XLOOKUP(Q$2-$C27, 'GEN-CARBON'!$D$7:$AW$7, 'GEN-CARBON'!$D$124:$AW$124), 0), IF($B27='Project List References'!$B$7, _xlfn.IFNA(_xlfn.XLOOKUP(Q$2-$C27, 'SENS Coal'!$D$7:$AW$7, 'SENS Coal'!$D$141:$AW$141), 0), IF($B27='Project List References'!$B$8, _xlfn.IFNA(_xlfn.XLOOKUP(Q$2-$C27,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R27" s="743" t="e">
        <f>IF($B27='Project List References'!$B$3, _xlfn.IFNA(_xlfn.XLOOKUP(R$2-$C27, 'GEN-CCGT'!$D$7:$AW$7, 'GEN-CCGT'!$D$124:$AW$124), 0), IF($B27='Project List References'!$B$4, _xlfn.IFNA(_xlfn.XLOOKUP(R$2-$C27, 'GEN-SOLAR'!$D$7:$AW$7, 'GEN-SOLAR'!$D$122:$AW$122), 0), IF($B27='Project List References'!$B$5, _xlfn.IFNA(_xlfn.XLOOKUP(R$2-$C27, 'GEN-BESS'!$D$7:$AW$7, 'GEN-BESS'!$D$125:$AW$125), 0), IF($B27='Project List References'!$B$6, _xlfn.IFNA(_xlfn.XLOOKUP(R$2-$C27, 'GEN-CARBON'!$D$7:$AW$7, 'GEN-CARBON'!$D$124:$AW$124), 0), IF($B27='Project List References'!$B$7, _xlfn.IFNA(_xlfn.XLOOKUP(R$2-$C27, 'SENS Coal'!$D$7:$AW$7, 'SENS Coal'!$D$141:$AW$141), 0), IF($B27='Project List References'!$B$8, _xlfn.IFNA(_xlfn.XLOOKUP(R$2-$C27,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S27" s="743" t="e">
        <f>IF($B27='Project List References'!$B$3, _xlfn.IFNA(_xlfn.XLOOKUP(S$2-$C27, 'GEN-CCGT'!$D$7:$AW$7, 'GEN-CCGT'!$D$124:$AW$124), 0), IF($B27='Project List References'!$B$4, _xlfn.IFNA(_xlfn.XLOOKUP(S$2-$C27, 'GEN-SOLAR'!$D$7:$AW$7, 'GEN-SOLAR'!$D$122:$AW$122), 0), IF($B27='Project List References'!$B$5, _xlfn.IFNA(_xlfn.XLOOKUP(S$2-$C27, 'GEN-BESS'!$D$7:$AW$7, 'GEN-BESS'!$D$125:$AW$125), 0), IF($B27='Project List References'!$B$6, _xlfn.IFNA(_xlfn.XLOOKUP(S$2-$C27, 'GEN-CARBON'!$D$7:$AW$7, 'GEN-CARBON'!$D$124:$AW$124), 0), IF($B27='Project List References'!$B$7, _xlfn.IFNA(_xlfn.XLOOKUP(S$2-$C27, 'SENS Coal'!$D$7:$AW$7, 'SENS Coal'!$D$141:$AW$141), 0), IF($B27='Project List References'!$B$8, _xlfn.IFNA(_xlfn.XLOOKUP(S$2-$C27,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T27" s="743" t="e">
        <f>IF($B27='Project List References'!$B$3, _xlfn.IFNA(_xlfn.XLOOKUP(T$2-$C27, 'GEN-CCGT'!$D$7:$AW$7, 'GEN-CCGT'!$D$124:$AW$124), 0), IF($B27='Project List References'!$B$4, _xlfn.IFNA(_xlfn.XLOOKUP(T$2-$C27, 'GEN-SOLAR'!$D$7:$AW$7, 'GEN-SOLAR'!$D$122:$AW$122), 0), IF($B27='Project List References'!$B$5, _xlfn.IFNA(_xlfn.XLOOKUP(T$2-$C27, 'GEN-BESS'!$D$7:$AW$7, 'GEN-BESS'!$D$125:$AW$125), 0), IF($B27='Project List References'!$B$6, _xlfn.IFNA(_xlfn.XLOOKUP(T$2-$C27, 'GEN-CARBON'!$D$7:$AW$7, 'GEN-CARBON'!$D$124:$AW$124), 0), IF($B27='Project List References'!$B$7, _xlfn.IFNA(_xlfn.XLOOKUP(T$2-$C27, 'SENS Coal'!$D$7:$AW$7, 'SENS Coal'!$D$141:$AW$141), 0), IF($B27='Project List References'!$B$8, _xlfn.IFNA(_xlfn.XLOOKUP(T$2-$C27, 'SENS Tires'!$D$7:$AW$7, 'SENS Tires'!$D$139:$AW$139),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</row>
    <row r="28" spans="1:20">
      <c r="A28" s="655" t="str">
        <f>IF(ISBLANK('Project Master Sheet'!A28)=FALSE, 'Project Master Sheet'!A28, "")</f>
        <v/>
      </c>
      <c r="B28" s="655" t="str">
        <f>_xlfn.IFNA(_xlfn.XLOOKUP(A28, 'Project Master Sheet'!A:A, 'Project Master Sheet'!D:D), "")</f>
        <v/>
      </c>
      <c r="C28" s="655" t="e">
        <f>_xlfn.XLOOKUP(A28, 'Project Master Sheet'!A:A, 'Project Master Sheet'!I:I)</f>
        <v>#N/A</v>
      </c>
      <c r="E28" s="743" t="e">
        <f>IF($B28='Project List References'!$B$3, _xlfn.IFNA(_xlfn.XLOOKUP(E$2-$C28, 'GEN-CCGT'!$D$7:$AW$7, 'GEN-CCGT'!$D$124:$AW$124), 0), IF($B28='Project List References'!$B$4, _xlfn.IFNA(_xlfn.XLOOKUP(E$2-$C28, 'GEN-SOLAR'!$D$7:$AW$7, 'GEN-SOLAR'!$D$122:$AW$122), 0), IF($B28='Project List References'!$B$5, _xlfn.IFNA(_xlfn.XLOOKUP(E$2-$C28, 'GEN-BESS'!$D$7:$AW$7, 'GEN-BESS'!$D$125:$AW$125), 0), IF($B28='Project List References'!$B$6, _xlfn.IFNA(_xlfn.XLOOKUP(E$2-$C28, 'GEN-CARBON'!$D$7:$AW$7, 'GEN-CARBON'!$D$124:$AW$124), 0), IF($B28='Project List References'!$B$7, _xlfn.IFNA(_xlfn.XLOOKUP(E$2-$C28, 'SENS Coal'!$D$7:$AW$7, 'SENS Coal'!$D$141:$AW$141), 0), IF($B28='Project List References'!$B$8, _xlfn.IFNA(_xlfn.XLOOKUP(E$2-$C28,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F28" s="743" t="e">
        <f>IF($B28='Project List References'!$B$3, _xlfn.IFNA(_xlfn.XLOOKUP(F$2-$C28, 'GEN-CCGT'!$D$7:$AW$7, 'GEN-CCGT'!$D$124:$AW$124), 0), IF($B28='Project List References'!$B$4, _xlfn.IFNA(_xlfn.XLOOKUP(F$2-$C28, 'GEN-SOLAR'!$D$7:$AW$7, 'GEN-SOLAR'!$D$122:$AW$122), 0), IF($B28='Project List References'!$B$5, _xlfn.IFNA(_xlfn.XLOOKUP(F$2-$C28, 'GEN-BESS'!$D$7:$AW$7, 'GEN-BESS'!$D$125:$AW$125), 0), IF($B28='Project List References'!$B$6, _xlfn.IFNA(_xlfn.XLOOKUP(F$2-$C28, 'GEN-CARBON'!$D$7:$AW$7, 'GEN-CARBON'!$D$124:$AW$124), 0), IF($B28='Project List References'!$B$7, _xlfn.IFNA(_xlfn.XLOOKUP(F$2-$C28, 'SENS Coal'!$D$7:$AW$7, 'SENS Coal'!$D$141:$AW$141), 0), IF($B28='Project List References'!$B$8, _xlfn.IFNA(_xlfn.XLOOKUP(F$2-$C28,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G28" s="743" t="e">
        <f>IF($B28='Project List References'!$B$3, _xlfn.IFNA(_xlfn.XLOOKUP(G$2-$C28, 'GEN-CCGT'!$D$7:$AW$7, 'GEN-CCGT'!$D$124:$AW$124), 0), IF($B28='Project List References'!$B$4, _xlfn.IFNA(_xlfn.XLOOKUP(G$2-$C28, 'GEN-SOLAR'!$D$7:$AW$7, 'GEN-SOLAR'!$D$122:$AW$122), 0), IF($B28='Project List References'!$B$5, _xlfn.IFNA(_xlfn.XLOOKUP(G$2-$C28, 'GEN-BESS'!$D$7:$AW$7, 'GEN-BESS'!$D$125:$AW$125), 0), IF($B28='Project List References'!$B$6, _xlfn.IFNA(_xlfn.XLOOKUP(G$2-$C28, 'GEN-CARBON'!$D$7:$AW$7, 'GEN-CARBON'!$D$124:$AW$124), 0), IF($B28='Project List References'!$B$7, _xlfn.IFNA(_xlfn.XLOOKUP(G$2-$C28, 'SENS Coal'!$D$7:$AW$7, 'SENS Coal'!$D$141:$AW$141), 0), IF($B28='Project List References'!$B$8, _xlfn.IFNA(_xlfn.XLOOKUP(G$2-$C28,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H28" s="743" t="e">
        <f>IF($B28='Project List References'!$B$3, _xlfn.IFNA(_xlfn.XLOOKUP(H$2-$C28, 'GEN-CCGT'!$D$7:$AW$7, 'GEN-CCGT'!$D$124:$AW$124), 0), IF($B28='Project List References'!$B$4, _xlfn.IFNA(_xlfn.XLOOKUP(H$2-$C28, 'GEN-SOLAR'!$D$7:$AW$7, 'GEN-SOLAR'!$D$122:$AW$122), 0), IF($B28='Project List References'!$B$5, _xlfn.IFNA(_xlfn.XLOOKUP(H$2-$C28, 'GEN-BESS'!$D$7:$AW$7, 'GEN-BESS'!$D$125:$AW$125), 0), IF($B28='Project List References'!$B$6, _xlfn.IFNA(_xlfn.XLOOKUP(H$2-$C28, 'GEN-CARBON'!$D$7:$AW$7, 'GEN-CARBON'!$D$124:$AW$124), 0), IF($B28='Project List References'!$B$7, _xlfn.IFNA(_xlfn.XLOOKUP(H$2-$C28, 'SENS Coal'!$D$7:$AW$7, 'SENS Coal'!$D$141:$AW$141), 0), IF($B28='Project List References'!$B$8, _xlfn.IFNA(_xlfn.XLOOKUP(H$2-$C28,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I28" s="743" t="e">
        <f>IF($B28='Project List References'!$B$3, _xlfn.IFNA(_xlfn.XLOOKUP(I$2-$C28, 'GEN-CCGT'!$D$7:$AW$7, 'GEN-CCGT'!$D$124:$AW$124), 0), IF($B28='Project List References'!$B$4, _xlfn.IFNA(_xlfn.XLOOKUP(I$2-$C28, 'GEN-SOLAR'!$D$7:$AW$7, 'GEN-SOLAR'!$D$122:$AW$122), 0), IF($B28='Project List References'!$B$5, _xlfn.IFNA(_xlfn.XLOOKUP(I$2-$C28, 'GEN-BESS'!$D$7:$AW$7, 'GEN-BESS'!$D$125:$AW$125), 0), IF($B28='Project List References'!$B$6, _xlfn.IFNA(_xlfn.XLOOKUP(I$2-$C28, 'GEN-CARBON'!$D$7:$AW$7, 'GEN-CARBON'!$D$124:$AW$124), 0), IF($B28='Project List References'!$B$7, _xlfn.IFNA(_xlfn.XLOOKUP(I$2-$C28, 'SENS Coal'!$D$7:$AW$7, 'SENS Coal'!$D$141:$AW$141), 0), IF($B28='Project List References'!$B$8, _xlfn.IFNA(_xlfn.XLOOKUP(I$2-$C28,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J28" s="743" t="e">
        <f>IF($B28='Project List References'!$B$3, _xlfn.IFNA(_xlfn.XLOOKUP(J$2-$C28, 'GEN-CCGT'!$D$7:$AW$7, 'GEN-CCGT'!$D$124:$AW$124), 0), IF($B28='Project List References'!$B$4, _xlfn.IFNA(_xlfn.XLOOKUP(J$2-$C28, 'GEN-SOLAR'!$D$7:$AW$7, 'GEN-SOLAR'!$D$122:$AW$122), 0), IF($B28='Project List References'!$B$5, _xlfn.IFNA(_xlfn.XLOOKUP(J$2-$C28, 'GEN-BESS'!$D$7:$AW$7, 'GEN-BESS'!$D$125:$AW$125), 0), IF($B28='Project List References'!$B$6, _xlfn.IFNA(_xlfn.XLOOKUP(J$2-$C28, 'GEN-CARBON'!$D$7:$AW$7, 'GEN-CARBON'!$D$124:$AW$124), 0), IF($B28='Project List References'!$B$7, _xlfn.IFNA(_xlfn.XLOOKUP(J$2-$C28, 'SENS Coal'!$D$7:$AW$7, 'SENS Coal'!$D$141:$AW$141), 0), IF($B28='Project List References'!$B$8, _xlfn.IFNA(_xlfn.XLOOKUP(J$2-$C28,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K28" s="743" t="e">
        <f>IF($B28='Project List References'!$B$3, _xlfn.IFNA(_xlfn.XLOOKUP(K$2-$C28, 'GEN-CCGT'!$D$7:$AW$7, 'GEN-CCGT'!$D$124:$AW$124), 0), IF($B28='Project List References'!$B$4, _xlfn.IFNA(_xlfn.XLOOKUP(K$2-$C28, 'GEN-SOLAR'!$D$7:$AW$7, 'GEN-SOLAR'!$D$122:$AW$122), 0), IF($B28='Project List References'!$B$5, _xlfn.IFNA(_xlfn.XLOOKUP(K$2-$C28, 'GEN-BESS'!$D$7:$AW$7, 'GEN-BESS'!$D$125:$AW$125), 0), IF($B28='Project List References'!$B$6, _xlfn.IFNA(_xlfn.XLOOKUP(K$2-$C28, 'GEN-CARBON'!$D$7:$AW$7, 'GEN-CARBON'!$D$124:$AW$124), 0), IF($B28='Project List References'!$B$7, _xlfn.IFNA(_xlfn.XLOOKUP(K$2-$C28, 'SENS Coal'!$D$7:$AW$7, 'SENS Coal'!$D$141:$AW$141), 0), IF($B28='Project List References'!$B$8, _xlfn.IFNA(_xlfn.XLOOKUP(K$2-$C28,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L28" s="743" t="e">
        <f>IF($B28='Project List References'!$B$3, _xlfn.IFNA(_xlfn.XLOOKUP(L$2-$C28, 'GEN-CCGT'!$D$7:$AW$7, 'GEN-CCGT'!$D$124:$AW$124), 0), IF($B28='Project List References'!$B$4, _xlfn.IFNA(_xlfn.XLOOKUP(L$2-$C28, 'GEN-SOLAR'!$D$7:$AW$7, 'GEN-SOLAR'!$D$122:$AW$122), 0), IF($B28='Project List References'!$B$5, _xlfn.IFNA(_xlfn.XLOOKUP(L$2-$C28, 'GEN-BESS'!$D$7:$AW$7, 'GEN-BESS'!$D$125:$AW$125), 0), IF($B28='Project List References'!$B$6, _xlfn.IFNA(_xlfn.XLOOKUP(L$2-$C28, 'GEN-CARBON'!$D$7:$AW$7, 'GEN-CARBON'!$D$124:$AW$124), 0), IF($B28='Project List References'!$B$7, _xlfn.IFNA(_xlfn.XLOOKUP(L$2-$C28, 'SENS Coal'!$D$7:$AW$7, 'SENS Coal'!$D$141:$AW$141), 0), IF($B28='Project List References'!$B$8, _xlfn.IFNA(_xlfn.XLOOKUP(L$2-$C28,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M28" s="743" t="e">
        <f>IF($B28='Project List References'!$B$3, _xlfn.IFNA(_xlfn.XLOOKUP(M$2-$C28, 'GEN-CCGT'!$D$7:$AW$7, 'GEN-CCGT'!$D$124:$AW$124), 0), IF($B28='Project List References'!$B$4, _xlfn.IFNA(_xlfn.XLOOKUP(M$2-$C28, 'GEN-SOLAR'!$D$7:$AW$7, 'GEN-SOLAR'!$D$122:$AW$122), 0), IF($B28='Project List References'!$B$5, _xlfn.IFNA(_xlfn.XLOOKUP(M$2-$C28, 'GEN-BESS'!$D$7:$AW$7, 'GEN-BESS'!$D$125:$AW$125), 0), IF($B28='Project List References'!$B$6, _xlfn.IFNA(_xlfn.XLOOKUP(M$2-$C28, 'GEN-CARBON'!$D$7:$AW$7, 'GEN-CARBON'!$D$124:$AW$124), 0), IF($B28='Project List References'!$B$7, _xlfn.IFNA(_xlfn.XLOOKUP(M$2-$C28, 'SENS Coal'!$D$7:$AW$7, 'SENS Coal'!$D$141:$AW$141), 0), IF($B28='Project List References'!$B$8, _xlfn.IFNA(_xlfn.XLOOKUP(M$2-$C28,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N28" s="743" t="e">
        <f>IF($B28='Project List References'!$B$3, _xlfn.IFNA(_xlfn.XLOOKUP(N$2-$C28, 'GEN-CCGT'!$D$7:$AW$7, 'GEN-CCGT'!$D$124:$AW$124), 0), IF($B28='Project List References'!$B$4, _xlfn.IFNA(_xlfn.XLOOKUP(N$2-$C28, 'GEN-SOLAR'!$D$7:$AW$7, 'GEN-SOLAR'!$D$122:$AW$122), 0), IF($B28='Project List References'!$B$5, _xlfn.IFNA(_xlfn.XLOOKUP(N$2-$C28, 'GEN-BESS'!$D$7:$AW$7, 'GEN-BESS'!$D$125:$AW$125), 0), IF($B28='Project List References'!$B$6, _xlfn.IFNA(_xlfn.XLOOKUP(N$2-$C28, 'GEN-CARBON'!$D$7:$AW$7, 'GEN-CARBON'!$D$124:$AW$124), 0), IF($B28='Project List References'!$B$7, _xlfn.IFNA(_xlfn.XLOOKUP(N$2-$C28, 'SENS Coal'!$D$7:$AW$7, 'SENS Coal'!$D$141:$AW$141), 0), IF($B28='Project List References'!$B$8, _xlfn.IFNA(_xlfn.XLOOKUP(N$2-$C28,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O28" s="743" t="e">
        <f>IF($B28='Project List References'!$B$3, _xlfn.IFNA(_xlfn.XLOOKUP(O$2-$C28, 'GEN-CCGT'!$D$7:$AW$7, 'GEN-CCGT'!$D$124:$AW$124), 0), IF($B28='Project List References'!$B$4, _xlfn.IFNA(_xlfn.XLOOKUP(O$2-$C28, 'GEN-SOLAR'!$D$7:$AW$7, 'GEN-SOLAR'!$D$122:$AW$122), 0), IF($B28='Project List References'!$B$5, _xlfn.IFNA(_xlfn.XLOOKUP(O$2-$C28, 'GEN-BESS'!$D$7:$AW$7, 'GEN-BESS'!$D$125:$AW$125), 0), IF($B28='Project List References'!$B$6, _xlfn.IFNA(_xlfn.XLOOKUP(O$2-$C28, 'GEN-CARBON'!$D$7:$AW$7, 'GEN-CARBON'!$D$124:$AW$124), 0), IF($B28='Project List References'!$B$7, _xlfn.IFNA(_xlfn.XLOOKUP(O$2-$C28, 'SENS Coal'!$D$7:$AW$7, 'SENS Coal'!$D$141:$AW$141), 0), IF($B28='Project List References'!$B$8, _xlfn.IFNA(_xlfn.XLOOKUP(O$2-$C28,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P28" s="743" t="e">
        <f>IF($B28='Project List References'!$B$3, _xlfn.IFNA(_xlfn.XLOOKUP(P$2-$C28, 'GEN-CCGT'!$D$7:$AW$7, 'GEN-CCGT'!$D$124:$AW$124), 0), IF($B28='Project List References'!$B$4, _xlfn.IFNA(_xlfn.XLOOKUP(P$2-$C28, 'GEN-SOLAR'!$D$7:$AW$7, 'GEN-SOLAR'!$D$122:$AW$122), 0), IF($B28='Project List References'!$B$5, _xlfn.IFNA(_xlfn.XLOOKUP(P$2-$C28, 'GEN-BESS'!$D$7:$AW$7, 'GEN-BESS'!$D$125:$AW$125), 0), IF($B28='Project List References'!$B$6, _xlfn.IFNA(_xlfn.XLOOKUP(P$2-$C28, 'GEN-CARBON'!$D$7:$AW$7, 'GEN-CARBON'!$D$124:$AW$124), 0), IF($B28='Project List References'!$B$7, _xlfn.IFNA(_xlfn.XLOOKUP(P$2-$C28, 'SENS Coal'!$D$7:$AW$7, 'SENS Coal'!$D$141:$AW$141), 0), IF($B28='Project List References'!$B$8, _xlfn.IFNA(_xlfn.XLOOKUP(P$2-$C28,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Q28" s="743" t="e">
        <f>IF($B28='Project List References'!$B$3, _xlfn.IFNA(_xlfn.XLOOKUP(Q$2-$C28, 'GEN-CCGT'!$D$7:$AW$7, 'GEN-CCGT'!$D$124:$AW$124), 0), IF($B28='Project List References'!$B$4, _xlfn.IFNA(_xlfn.XLOOKUP(Q$2-$C28, 'GEN-SOLAR'!$D$7:$AW$7, 'GEN-SOLAR'!$D$122:$AW$122), 0), IF($B28='Project List References'!$B$5, _xlfn.IFNA(_xlfn.XLOOKUP(Q$2-$C28, 'GEN-BESS'!$D$7:$AW$7, 'GEN-BESS'!$D$125:$AW$125), 0), IF($B28='Project List References'!$B$6, _xlfn.IFNA(_xlfn.XLOOKUP(Q$2-$C28, 'GEN-CARBON'!$D$7:$AW$7, 'GEN-CARBON'!$D$124:$AW$124), 0), IF($B28='Project List References'!$B$7, _xlfn.IFNA(_xlfn.XLOOKUP(Q$2-$C28, 'SENS Coal'!$D$7:$AW$7, 'SENS Coal'!$D$141:$AW$141), 0), IF($B28='Project List References'!$B$8, _xlfn.IFNA(_xlfn.XLOOKUP(Q$2-$C28,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R28" s="743" t="e">
        <f>IF($B28='Project List References'!$B$3, _xlfn.IFNA(_xlfn.XLOOKUP(R$2-$C28, 'GEN-CCGT'!$D$7:$AW$7, 'GEN-CCGT'!$D$124:$AW$124), 0), IF($B28='Project List References'!$B$4, _xlfn.IFNA(_xlfn.XLOOKUP(R$2-$C28, 'GEN-SOLAR'!$D$7:$AW$7, 'GEN-SOLAR'!$D$122:$AW$122), 0), IF($B28='Project List References'!$B$5, _xlfn.IFNA(_xlfn.XLOOKUP(R$2-$C28, 'GEN-BESS'!$D$7:$AW$7, 'GEN-BESS'!$D$125:$AW$125), 0), IF($B28='Project List References'!$B$6, _xlfn.IFNA(_xlfn.XLOOKUP(R$2-$C28, 'GEN-CARBON'!$D$7:$AW$7, 'GEN-CARBON'!$D$124:$AW$124), 0), IF($B28='Project List References'!$B$7, _xlfn.IFNA(_xlfn.XLOOKUP(R$2-$C28, 'SENS Coal'!$D$7:$AW$7, 'SENS Coal'!$D$141:$AW$141), 0), IF($B28='Project List References'!$B$8, _xlfn.IFNA(_xlfn.XLOOKUP(R$2-$C28,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S28" s="743" t="e">
        <f>IF($B28='Project List References'!$B$3, _xlfn.IFNA(_xlfn.XLOOKUP(S$2-$C28, 'GEN-CCGT'!$D$7:$AW$7, 'GEN-CCGT'!$D$124:$AW$124), 0), IF($B28='Project List References'!$B$4, _xlfn.IFNA(_xlfn.XLOOKUP(S$2-$C28, 'GEN-SOLAR'!$D$7:$AW$7, 'GEN-SOLAR'!$D$122:$AW$122), 0), IF($B28='Project List References'!$B$5, _xlfn.IFNA(_xlfn.XLOOKUP(S$2-$C28, 'GEN-BESS'!$D$7:$AW$7, 'GEN-BESS'!$D$125:$AW$125), 0), IF($B28='Project List References'!$B$6, _xlfn.IFNA(_xlfn.XLOOKUP(S$2-$C28, 'GEN-CARBON'!$D$7:$AW$7, 'GEN-CARBON'!$D$124:$AW$124), 0), IF($B28='Project List References'!$B$7, _xlfn.IFNA(_xlfn.XLOOKUP(S$2-$C28, 'SENS Coal'!$D$7:$AW$7, 'SENS Coal'!$D$141:$AW$141), 0), IF($B28='Project List References'!$B$8, _xlfn.IFNA(_xlfn.XLOOKUP(S$2-$C28,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T28" s="743" t="e">
        <f>IF($B28='Project List References'!$B$3, _xlfn.IFNA(_xlfn.XLOOKUP(T$2-$C28, 'GEN-CCGT'!$D$7:$AW$7, 'GEN-CCGT'!$D$124:$AW$124), 0), IF($B28='Project List References'!$B$4, _xlfn.IFNA(_xlfn.XLOOKUP(T$2-$C28, 'GEN-SOLAR'!$D$7:$AW$7, 'GEN-SOLAR'!$D$122:$AW$122), 0), IF($B28='Project List References'!$B$5, _xlfn.IFNA(_xlfn.XLOOKUP(T$2-$C28, 'GEN-BESS'!$D$7:$AW$7, 'GEN-BESS'!$D$125:$AW$125), 0), IF($B28='Project List References'!$B$6, _xlfn.IFNA(_xlfn.XLOOKUP(T$2-$C28, 'GEN-CARBON'!$D$7:$AW$7, 'GEN-CARBON'!$D$124:$AW$124), 0), IF($B28='Project List References'!$B$7, _xlfn.IFNA(_xlfn.XLOOKUP(T$2-$C28, 'SENS Coal'!$D$7:$AW$7, 'SENS Coal'!$D$141:$AW$141), 0), IF($B28='Project List References'!$B$8, _xlfn.IFNA(_xlfn.XLOOKUP(T$2-$C28, 'SENS Tires'!$D$7:$AW$7, 'SENS Tires'!$D$139:$AW$139),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</row>
    <row r="29" spans="1:20">
      <c r="A29" s="655" t="str">
        <f>IF(ISBLANK('Project Master Sheet'!A29)=FALSE, 'Project Master Sheet'!A29, "")</f>
        <v/>
      </c>
      <c r="B29" s="655" t="str">
        <f>_xlfn.IFNA(_xlfn.XLOOKUP(A29, 'Project Master Sheet'!A:A, 'Project Master Sheet'!D:D), "")</f>
        <v/>
      </c>
      <c r="C29" s="655" t="e">
        <f>_xlfn.XLOOKUP(A29, 'Project Master Sheet'!A:A, 'Project Master Sheet'!I:I)</f>
        <v>#N/A</v>
      </c>
      <c r="E29" s="743" t="e">
        <f>IF($B29='Project List References'!$B$3, _xlfn.IFNA(_xlfn.XLOOKUP(E$2-$C29, 'GEN-CCGT'!$D$7:$AW$7, 'GEN-CCGT'!$D$124:$AW$124), 0), IF($B29='Project List References'!$B$4, _xlfn.IFNA(_xlfn.XLOOKUP(E$2-$C29, 'GEN-SOLAR'!$D$7:$AW$7, 'GEN-SOLAR'!$D$122:$AW$122), 0), IF($B29='Project List References'!$B$5, _xlfn.IFNA(_xlfn.XLOOKUP(E$2-$C29, 'GEN-BESS'!$D$7:$AW$7, 'GEN-BESS'!$D$125:$AW$125), 0), IF($B29='Project List References'!$B$6, _xlfn.IFNA(_xlfn.XLOOKUP(E$2-$C29, 'GEN-CARBON'!$D$7:$AW$7, 'GEN-CARBON'!$D$124:$AW$124), 0), IF($B29='Project List References'!$B$7, _xlfn.IFNA(_xlfn.XLOOKUP(E$2-$C29, 'SENS Coal'!$D$7:$AW$7, 'SENS Coal'!$D$141:$AW$141), 0), IF($B29='Project List References'!$B$8, _xlfn.IFNA(_xlfn.XLOOKUP(E$2-$C29,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F29" s="743" t="e">
        <f>IF($B29='Project List References'!$B$3, _xlfn.IFNA(_xlfn.XLOOKUP(F$2-$C29, 'GEN-CCGT'!$D$7:$AW$7, 'GEN-CCGT'!$D$124:$AW$124), 0), IF($B29='Project List References'!$B$4, _xlfn.IFNA(_xlfn.XLOOKUP(F$2-$C29, 'GEN-SOLAR'!$D$7:$AW$7, 'GEN-SOLAR'!$D$122:$AW$122), 0), IF($B29='Project List References'!$B$5, _xlfn.IFNA(_xlfn.XLOOKUP(F$2-$C29, 'GEN-BESS'!$D$7:$AW$7, 'GEN-BESS'!$D$125:$AW$125), 0), IF($B29='Project List References'!$B$6, _xlfn.IFNA(_xlfn.XLOOKUP(F$2-$C29, 'GEN-CARBON'!$D$7:$AW$7, 'GEN-CARBON'!$D$124:$AW$124), 0), IF($B29='Project List References'!$B$7, _xlfn.IFNA(_xlfn.XLOOKUP(F$2-$C29, 'SENS Coal'!$D$7:$AW$7, 'SENS Coal'!$D$141:$AW$141), 0), IF($B29='Project List References'!$B$8, _xlfn.IFNA(_xlfn.XLOOKUP(F$2-$C29,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G29" s="743" t="e">
        <f>IF($B29='Project List References'!$B$3, _xlfn.IFNA(_xlfn.XLOOKUP(G$2-$C29, 'GEN-CCGT'!$D$7:$AW$7, 'GEN-CCGT'!$D$124:$AW$124), 0), IF($B29='Project List References'!$B$4, _xlfn.IFNA(_xlfn.XLOOKUP(G$2-$C29, 'GEN-SOLAR'!$D$7:$AW$7, 'GEN-SOLAR'!$D$122:$AW$122), 0), IF($B29='Project List References'!$B$5, _xlfn.IFNA(_xlfn.XLOOKUP(G$2-$C29, 'GEN-BESS'!$D$7:$AW$7, 'GEN-BESS'!$D$125:$AW$125), 0), IF($B29='Project List References'!$B$6, _xlfn.IFNA(_xlfn.XLOOKUP(G$2-$C29, 'GEN-CARBON'!$D$7:$AW$7, 'GEN-CARBON'!$D$124:$AW$124), 0), IF($B29='Project List References'!$B$7, _xlfn.IFNA(_xlfn.XLOOKUP(G$2-$C29, 'SENS Coal'!$D$7:$AW$7, 'SENS Coal'!$D$141:$AW$141), 0), IF($B29='Project List References'!$B$8, _xlfn.IFNA(_xlfn.XLOOKUP(G$2-$C29,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H29" s="743" t="e">
        <f>IF($B29='Project List References'!$B$3, _xlfn.IFNA(_xlfn.XLOOKUP(H$2-$C29, 'GEN-CCGT'!$D$7:$AW$7, 'GEN-CCGT'!$D$124:$AW$124), 0), IF($B29='Project List References'!$B$4, _xlfn.IFNA(_xlfn.XLOOKUP(H$2-$C29, 'GEN-SOLAR'!$D$7:$AW$7, 'GEN-SOLAR'!$D$122:$AW$122), 0), IF($B29='Project List References'!$B$5, _xlfn.IFNA(_xlfn.XLOOKUP(H$2-$C29, 'GEN-BESS'!$D$7:$AW$7, 'GEN-BESS'!$D$125:$AW$125), 0), IF($B29='Project List References'!$B$6, _xlfn.IFNA(_xlfn.XLOOKUP(H$2-$C29, 'GEN-CARBON'!$D$7:$AW$7, 'GEN-CARBON'!$D$124:$AW$124), 0), IF($B29='Project List References'!$B$7, _xlfn.IFNA(_xlfn.XLOOKUP(H$2-$C29, 'SENS Coal'!$D$7:$AW$7, 'SENS Coal'!$D$141:$AW$141), 0), IF($B29='Project List References'!$B$8, _xlfn.IFNA(_xlfn.XLOOKUP(H$2-$C29,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I29" s="743" t="e">
        <f>IF($B29='Project List References'!$B$3, _xlfn.IFNA(_xlfn.XLOOKUP(I$2-$C29, 'GEN-CCGT'!$D$7:$AW$7, 'GEN-CCGT'!$D$124:$AW$124), 0), IF($B29='Project List References'!$B$4, _xlfn.IFNA(_xlfn.XLOOKUP(I$2-$C29, 'GEN-SOLAR'!$D$7:$AW$7, 'GEN-SOLAR'!$D$122:$AW$122), 0), IF($B29='Project List References'!$B$5, _xlfn.IFNA(_xlfn.XLOOKUP(I$2-$C29, 'GEN-BESS'!$D$7:$AW$7, 'GEN-BESS'!$D$125:$AW$125), 0), IF($B29='Project List References'!$B$6, _xlfn.IFNA(_xlfn.XLOOKUP(I$2-$C29, 'GEN-CARBON'!$D$7:$AW$7, 'GEN-CARBON'!$D$124:$AW$124), 0), IF($B29='Project List References'!$B$7, _xlfn.IFNA(_xlfn.XLOOKUP(I$2-$C29, 'SENS Coal'!$D$7:$AW$7, 'SENS Coal'!$D$141:$AW$141), 0), IF($B29='Project List References'!$B$8, _xlfn.IFNA(_xlfn.XLOOKUP(I$2-$C29,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J29" s="743" t="e">
        <f>IF($B29='Project List References'!$B$3, _xlfn.IFNA(_xlfn.XLOOKUP(J$2-$C29, 'GEN-CCGT'!$D$7:$AW$7, 'GEN-CCGT'!$D$124:$AW$124), 0), IF($B29='Project List References'!$B$4, _xlfn.IFNA(_xlfn.XLOOKUP(J$2-$C29, 'GEN-SOLAR'!$D$7:$AW$7, 'GEN-SOLAR'!$D$122:$AW$122), 0), IF($B29='Project List References'!$B$5, _xlfn.IFNA(_xlfn.XLOOKUP(J$2-$C29, 'GEN-BESS'!$D$7:$AW$7, 'GEN-BESS'!$D$125:$AW$125), 0), IF($B29='Project List References'!$B$6, _xlfn.IFNA(_xlfn.XLOOKUP(J$2-$C29, 'GEN-CARBON'!$D$7:$AW$7, 'GEN-CARBON'!$D$124:$AW$124), 0), IF($B29='Project List References'!$B$7, _xlfn.IFNA(_xlfn.XLOOKUP(J$2-$C29, 'SENS Coal'!$D$7:$AW$7, 'SENS Coal'!$D$141:$AW$141), 0), IF($B29='Project List References'!$B$8, _xlfn.IFNA(_xlfn.XLOOKUP(J$2-$C29,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K29" s="743" t="e">
        <f>IF($B29='Project List References'!$B$3, _xlfn.IFNA(_xlfn.XLOOKUP(K$2-$C29, 'GEN-CCGT'!$D$7:$AW$7, 'GEN-CCGT'!$D$124:$AW$124), 0), IF($B29='Project List References'!$B$4, _xlfn.IFNA(_xlfn.XLOOKUP(K$2-$C29, 'GEN-SOLAR'!$D$7:$AW$7, 'GEN-SOLAR'!$D$122:$AW$122), 0), IF($B29='Project List References'!$B$5, _xlfn.IFNA(_xlfn.XLOOKUP(K$2-$C29, 'GEN-BESS'!$D$7:$AW$7, 'GEN-BESS'!$D$125:$AW$125), 0), IF($B29='Project List References'!$B$6, _xlfn.IFNA(_xlfn.XLOOKUP(K$2-$C29, 'GEN-CARBON'!$D$7:$AW$7, 'GEN-CARBON'!$D$124:$AW$124), 0), IF($B29='Project List References'!$B$7, _xlfn.IFNA(_xlfn.XLOOKUP(K$2-$C29, 'SENS Coal'!$D$7:$AW$7, 'SENS Coal'!$D$141:$AW$141), 0), IF($B29='Project List References'!$B$8, _xlfn.IFNA(_xlfn.XLOOKUP(K$2-$C29,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L29" s="743" t="e">
        <f>IF($B29='Project List References'!$B$3, _xlfn.IFNA(_xlfn.XLOOKUP(L$2-$C29, 'GEN-CCGT'!$D$7:$AW$7, 'GEN-CCGT'!$D$124:$AW$124), 0), IF($B29='Project List References'!$B$4, _xlfn.IFNA(_xlfn.XLOOKUP(L$2-$C29, 'GEN-SOLAR'!$D$7:$AW$7, 'GEN-SOLAR'!$D$122:$AW$122), 0), IF($B29='Project List References'!$B$5, _xlfn.IFNA(_xlfn.XLOOKUP(L$2-$C29, 'GEN-BESS'!$D$7:$AW$7, 'GEN-BESS'!$D$125:$AW$125), 0), IF($B29='Project List References'!$B$6, _xlfn.IFNA(_xlfn.XLOOKUP(L$2-$C29, 'GEN-CARBON'!$D$7:$AW$7, 'GEN-CARBON'!$D$124:$AW$124), 0), IF($B29='Project List References'!$B$7, _xlfn.IFNA(_xlfn.XLOOKUP(L$2-$C29, 'SENS Coal'!$D$7:$AW$7, 'SENS Coal'!$D$141:$AW$141), 0), IF($B29='Project List References'!$B$8, _xlfn.IFNA(_xlfn.XLOOKUP(L$2-$C29,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M29" s="743" t="e">
        <f>IF($B29='Project List References'!$B$3, _xlfn.IFNA(_xlfn.XLOOKUP(M$2-$C29, 'GEN-CCGT'!$D$7:$AW$7, 'GEN-CCGT'!$D$124:$AW$124), 0), IF($B29='Project List References'!$B$4, _xlfn.IFNA(_xlfn.XLOOKUP(M$2-$C29, 'GEN-SOLAR'!$D$7:$AW$7, 'GEN-SOLAR'!$D$122:$AW$122), 0), IF($B29='Project List References'!$B$5, _xlfn.IFNA(_xlfn.XLOOKUP(M$2-$C29, 'GEN-BESS'!$D$7:$AW$7, 'GEN-BESS'!$D$125:$AW$125), 0), IF($B29='Project List References'!$B$6, _xlfn.IFNA(_xlfn.XLOOKUP(M$2-$C29, 'GEN-CARBON'!$D$7:$AW$7, 'GEN-CARBON'!$D$124:$AW$124), 0), IF($B29='Project List References'!$B$7, _xlfn.IFNA(_xlfn.XLOOKUP(M$2-$C29, 'SENS Coal'!$D$7:$AW$7, 'SENS Coal'!$D$141:$AW$141), 0), IF($B29='Project List References'!$B$8, _xlfn.IFNA(_xlfn.XLOOKUP(M$2-$C29,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N29" s="743" t="e">
        <f>IF($B29='Project List References'!$B$3, _xlfn.IFNA(_xlfn.XLOOKUP(N$2-$C29, 'GEN-CCGT'!$D$7:$AW$7, 'GEN-CCGT'!$D$124:$AW$124), 0), IF($B29='Project List References'!$B$4, _xlfn.IFNA(_xlfn.XLOOKUP(N$2-$C29, 'GEN-SOLAR'!$D$7:$AW$7, 'GEN-SOLAR'!$D$122:$AW$122), 0), IF($B29='Project List References'!$B$5, _xlfn.IFNA(_xlfn.XLOOKUP(N$2-$C29, 'GEN-BESS'!$D$7:$AW$7, 'GEN-BESS'!$D$125:$AW$125), 0), IF($B29='Project List References'!$B$6, _xlfn.IFNA(_xlfn.XLOOKUP(N$2-$C29, 'GEN-CARBON'!$D$7:$AW$7, 'GEN-CARBON'!$D$124:$AW$124), 0), IF($B29='Project List References'!$B$7, _xlfn.IFNA(_xlfn.XLOOKUP(N$2-$C29, 'SENS Coal'!$D$7:$AW$7, 'SENS Coal'!$D$141:$AW$141), 0), IF($B29='Project List References'!$B$8, _xlfn.IFNA(_xlfn.XLOOKUP(N$2-$C29,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O29" s="743" t="e">
        <f>IF($B29='Project List References'!$B$3, _xlfn.IFNA(_xlfn.XLOOKUP(O$2-$C29, 'GEN-CCGT'!$D$7:$AW$7, 'GEN-CCGT'!$D$124:$AW$124), 0), IF($B29='Project List References'!$B$4, _xlfn.IFNA(_xlfn.XLOOKUP(O$2-$C29, 'GEN-SOLAR'!$D$7:$AW$7, 'GEN-SOLAR'!$D$122:$AW$122), 0), IF($B29='Project List References'!$B$5, _xlfn.IFNA(_xlfn.XLOOKUP(O$2-$C29, 'GEN-BESS'!$D$7:$AW$7, 'GEN-BESS'!$D$125:$AW$125), 0), IF($B29='Project List References'!$B$6, _xlfn.IFNA(_xlfn.XLOOKUP(O$2-$C29, 'GEN-CARBON'!$D$7:$AW$7, 'GEN-CARBON'!$D$124:$AW$124), 0), IF($B29='Project List References'!$B$7, _xlfn.IFNA(_xlfn.XLOOKUP(O$2-$C29, 'SENS Coal'!$D$7:$AW$7, 'SENS Coal'!$D$141:$AW$141), 0), IF($B29='Project List References'!$B$8, _xlfn.IFNA(_xlfn.XLOOKUP(O$2-$C29,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P29" s="743" t="e">
        <f>IF($B29='Project List References'!$B$3, _xlfn.IFNA(_xlfn.XLOOKUP(P$2-$C29, 'GEN-CCGT'!$D$7:$AW$7, 'GEN-CCGT'!$D$124:$AW$124), 0), IF($B29='Project List References'!$B$4, _xlfn.IFNA(_xlfn.XLOOKUP(P$2-$C29, 'GEN-SOLAR'!$D$7:$AW$7, 'GEN-SOLAR'!$D$122:$AW$122), 0), IF($B29='Project List References'!$B$5, _xlfn.IFNA(_xlfn.XLOOKUP(P$2-$C29, 'GEN-BESS'!$D$7:$AW$7, 'GEN-BESS'!$D$125:$AW$125), 0), IF($B29='Project List References'!$B$6, _xlfn.IFNA(_xlfn.XLOOKUP(P$2-$C29, 'GEN-CARBON'!$D$7:$AW$7, 'GEN-CARBON'!$D$124:$AW$124), 0), IF($B29='Project List References'!$B$7, _xlfn.IFNA(_xlfn.XLOOKUP(P$2-$C29, 'SENS Coal'!$D$7:$AW$7, 'SENS Coal'!$D$141:$AW$141), 0), IF($B29='Project List References'!$B$8, _xlfn.IFNA(_xlfn.XLOOKUP(P$2-$C29,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Q29" s="743" t="e">
        <f>IF($B29='Project List References'!$B$3, _xlfn.IFNA(_xlfn.XLOOKUP(Q$2-$C29, 'GEN-CCGT'!$D$7:$AW$7, 'GEN-CCGT'!$D$124:$AW$124), 0), IF($B29='Project List References'!$B$4, _xlfn.IFNA(_xlfn.XLOOKUP(Q$2-$C29, 'GEN-SOLAR'!$D$7:$AW$7, 'GEN-SOLAR'!$D$122:$AW$122), 0), IF($B29='Project List References'!$B$5, _xlfn.IFNA(_xlfn.XLOOKUP(Q$2-$C29, 'GEN-BESS'!$D$7:$AW$7, 'GEN-BESS'!$D$125:$AW$125), 0), IF($B29='Project List References'!$B$6, _xlfn.IFNA(_xlfn.XLOOKUP(Q$2-$C29, 'GEN-CARBON'!$D$7:$AW$7, 'GEN-CARBON'!$D$124:$AW$124), 0), IF($B29='Project List References'!$B$7, _xlfn.IFNA(_xlfn.XLOOKUP(Q$2-$C29, 'SENS Coal'!$D$7:$AW$7, 'SENS Coal'!$D$141:$AW$141), 0), IF($B29='Project List References'!$B$8, _xlfn.IFNA(_xlfn.XLOOKUP(Q$2-$C29,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R29" s="743" t="e">
        <f>IF($B29='Project List References'!$B$3, _xlfn.IFNA(_xlfn.XLOOKUP(R$2-$C29, 'GEN-CCGT'!$D$7:$AW$7, 'GEN-CCGT'!$D$124:$AW$124), 0), IF($B29='Project List References'!$B$4, _xlfn.IFNA(_xlfn.XLOOKUP(R$2-$C29, 'GEN-SOLAR'!$D$7:$AW$7, 'GEN-SOLAR'!$D$122:$AW$122), 0), IF($B29='Project List References'!$B$5, _xlfn.IFNA(_xlfn.XLOOKUP(R$2-$C29, 'GEN-BESS'!$D$7:$AW$7, 'GEN-BESS'!$D$125:$AW$125), 0), IF($B29='Project List References'!$B$6, _xlfn.IFNA(_xlfn.XLOOKUP(R$2-$C29, 'GEN-CARBON'!$D$7:$AW$7, 'GEN-CARBON'!$D$124:$AW$124), 0), IF($B29='Project List References'!$B$7, _xlfn.IFNA(_xlfn.XLOOKUP(R$2-$C29, 'SENS Coal'!$D$7:$AW$7, 'SENS Coal'!$D$141:$AW$141), 0), IF($B29='Project List References'!$B$8, _xlfn.IFNA(_xlfn.XLOOKUP(R$2-$C29,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S29" s="743" t="e">
        <f>IF($B29='Project List References'!$B$3, _xlfn.IFNA(_xlfn.XLOOKUP(S$2-$C29, 'GEN-CCGT'!$D$7:$AW$7, 'GEN-CCGT'!$D$124:$AW$124), 0), IF($B29='Project List References'!$B$4, _xlfn.IFNA(_xlfn.XLOOKUP(S$2-$C29, 'GEN-SOLAR'!$D$7:$AW$7, 'GEN-SOLAR'!$D$122:$AW$122), 0), IF($B29='Project List References'!$B$5, _xlfn.IFNA(_xlfn.XLOOKUP(S$2-$C29, 'GEN-BESS'!$D$7:$AW$7, 'GEN-BESS'!$D$125:$AW$125), 0), IF($B29='Project List References'!$B$6, _xlfn.IFNA(_xlfn.XLOOKUP(S$2-$C29, 'GEN-CARBON'!$D$7:$AW$7, 'GEN-CARBON'!$D$124:$AW$124), 0), IF($B29='Project List References'!$B$7, _xlfn.IFNA(_xlfn.XLOOKUP(S$2-$C29, 'SENS Coal'!$D$7:$AW$7, 'SENS Coal'!$D$141:$AW$141), 0), IF($B29='Project List References'!$B$8, _xlfn.IFNA(_xlfn.XLOOKUP(S$2-$C29,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T29" s="743" t="e">
        <f>IF($B29='Project List References'!$B$3, _xlfn.IFNA(_xlfn.XLOOKUP(T$2-$C29, 'GEN-CCGT'!$D$7:$AW$7, 'GEN-CCGT'!$D$124:$AW$124), 0), IF($B29='Project List References'!$B$4, _xlfn.IFNA(_xlfn.XLOOKUP(T$2-$C29, 'GEN-SOLAR'!$D$7:$AW$7, 'GEN-SOLAR'!$D$122:$AW$122), 0), IF($B29='Project List References'!$B$5, _xlfn.IFNA(_xlfn.XLOOKUP(T$2-$C29, 'GEN-BESS'!$D$7:$AW$7, 'GEN-BESS'!$D$125:$AW$125), 0), IF($B29='Project List References'!$B$6, _xlfn.IFNA(_xlfn.XLOOKUP(T$2-$C29, 'GEN-CARBON'!$D$7:$AW$7, 'GEN-CARBON'!$D$124:$AW$124), 0), IF($B29='Project List References'!$B$7, _xlfn.IFNA(_xlfn.XLOOKUP(T$2-$C29, 'SENS Coal'!$D$7:$AW$7, 'SENS Coal'!$D$141:$AW$141), 0), IF($B29='Project List References'!$B$8, _xlfn.IFNA(_xlfn.XLOOKUP(T$2-$C29, 'SENS Tires'!$D$7:$AW$7, 'SENS Tires'!$D$139:$AW$139),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</row>
    <row r="30" spans="1:20">
      <c r="A30" s="655" t="str">
        <f>IF(ISBLANK('Project Master Sheet'!A30)=FALSE, 'Project Master Sheet'!A30, "")</f>
        <v/>
      </c>
      <c r="B30" s="655" t="str">
        <f>_xlfn.IFNA(_xlfn.XLOOKUP(A30, 'Project Master Sheet'!A:A, 'Project Master Sheet'!D:D), "")</f>
        <v/>
      </c>
      <c r="C30" s="655" t="e">
        <f>_xlfn.XLOOKUP(A30, 'Project Master Sheet'!A:A, 'Project Master Sheet'!I:I)</f>
        <v>#N/A</v>
      </c>
      <c r="E30" s="743" t="e">
        <f>IF($B30='Project List References'!$B$3, _xlfn.IFNA(_xlfn.XLOOKUP(E$2-$C30, 'GEN-CCGT'!$D$7:$AW$7, 'GEN-CCGT'!$D$124:$AW$124), 0), IF($B30='Project List References'!$B$4, _xlfn.IFNA(_xlfn.XLOOKUP(E$2-$C30, 'GEN-SOLAR'!$D$7:$AW$7, 'GEN-SOLAR'!$D$122:$AW$122), 0), IF($B30='Project List References'!$B$5, _xlfn.IFNA(_xlfn.XLOOKUP(E$2-$C30, 'GEN-BESS'!$D$7:$AW$7, 'GEN-BESS'!$D$125:$AW$125), 0), IF($B30='Project List References'!$B$6, _xlfn.IFNA(_xlfn.XLOOKUP(E$2-$C30, 'GEN-CARBON'!$D$7:$AW$7, 'GEN-CARBON'!$D$124:$AW$124), 0), IF($B30='Project List References'!$B$7, _xlfn.IFNA(_xlfn.XLOOKUP(E$2-$C30, 'SENS Coal'!$D$7:$AW$7, 'SENS Coal'!$D$141:$AW$141), 0), IF($B30='Project List References'!$B$8, _xlfn.IFNA(_xlfn.XLOOKUP(E$2-$C30,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F30" s="743" t="e">
        <f>IF($B30='Project List References'!$B$3, _xlfn.IFNA(_xlfn.XLOOKUP(F$2-$C30, 'GEN-CCGT'!$D$7:$AW$7, 'GEN-CCGT'!$D$124:$AW$124), 0), IF($B30='Project List References'!$B$4, _xlfn.IFNA(_xlfn.XLOOKUP(F$2-$C30, 'GEN-SOLAR'!$D$7:$AW$7, 'GEN-SOLAR'!$D$122:$AW$122), 0), IF($B30='Project List References'!$B$5, _xlfn.IFNA(_xlfn.XLOOKUP(F$2-$C30, 'GEN-BESS'!$D$7:$AW$7, 'GEN-BESS'!$D$125:$AW$125), 0), IF($B30='Project List References'!$B$6, _xlfn.IFNA(_xlfn.XLOOKUP(F$2-$C30, 'GEN-CARBON'!$D$7:$AW$7, 'GEN-CARBON'!$D$124:$AW$124), 0), IF($B30='Project List References'!$B$7, _xlfn.IFNA(_xlfn.XLOOKUP(F$2-$C30, 'SENS Coal'!$D$7:$AW$7, 'SENS Coal'!$D$141:$AW$141), 0), IF($B30='Project List References'!$B$8, _xlfn.IFNA(_xlfn.XLOOKUP(F$2-$C30,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G30" s="743" t="e">
        <f>IF($B30='Project List References'!$B$3, _xlfn.IFNA(_xlfn.XLOOKUP(G$2-$C30, 'GEN-CCGT'!$D$7:$AW$7, 'GEN-CCGT'!$D$124:$AW$124), 0), IF($B30='Project List References'!$B$4, _xlfn.IFNA(_xlfn.XLOOKUP(G$2-$C30, 'GEN-SOLAR'!$D$7:$AW$7, 'GEN-SOLAR'!$D$122:$AW$122), 0), IF($B30='Project List References'!$B$5, _xlfn.IFNA(_xlfn.XLOOKUP(G$2-$C30, 'GEN-BESS'!$D$7:$AW$7, 'GEN-BESS'!$D$125:$AW$125), 0), IF($B30='Project List References'!$B$6, _xlfn.IFNA(_xlfn.XLOOKUP(G$2-$C30, 'GEN-CARBON'!$D$7:$AW$7, 'GEN-CARBON'!$D$124:$AW$124), 0), IF($B30='Project List References'!$B$7, _xlfn.IFNA(_xlfn.XLOOKUP(G$2-$C30, 'SENS Coal'!$D$7:$AW$7, 'SENS Coal'!$D$141:$AW$141), 0), IF($B30='Project List References'!$B$8, _xlfn.IFNA(_xlfn.XLOOKUP(G$2-$C30,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H30" s="743" t="e">
        <f>IF($B30='Project List References'!$B$3, _xlfn.IFNA(_xlfn.XLOOKUP(H$2-$C30, 'GEN-CCGT'!$D$7:$AW$7, 'GEN-CCGT'!$D$124:$AW$124), 0), IF($B30='Project List References'!$B$4, _xlfn.IFNA(_xlfn.XLOOKUP(H$2-$C30, 'GEN-SOLAR'!$D$7:$AW$7, 'GEN-SOLAR'!$D$122:$AW$122), 0), IF($B30='Project List References'!$B$5, _xlfn.IFNA(_xlfn.XLOOKUP(H$2-$C30, 'GEN-BESS'!$D$7:$AW$7, 'GEN-BESS'!$D$125:$AW$125), 0), IF($B30='Project List References'!$B$6, _xlfn.IFNA(_xlfn.XLOOKUP(H$2-$C30, 'GEN-CARBON'!$D$7:$AW$7, 'GEN-CARBON'!$D$124:$AW$124), 0), IF($B30='Project List References'!$B$7, _xlfn.IFNA(_xlfn.XLOOKUP(H$2-$C30, 'SENS Coal'!$D$7:$AW$7, 'SENS Coal'!$D$141:$AW$141), 0), IF($B30='Project List References'!$B$8, _xlfn.IFNA(_xlfn.XLOOKUP(H$2-$C30,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I30" s="743" t="e">
        <f>IF($B30='Project List References'!$B$3, _xlfn.IFNA(_xlfn.XLOOKUP(I$2-$C30, 'GEN-CCGT'!$D$7:$AW$7, 'GEN-CCGT'!$D$124:$AW$124), 0), IF($B30='Project List References'!$B$4, _xlfn.IFNA(_xlfn.XLOOKUP(I$2-$C30, 'GEN-SOLAR'!$D$7:$AW$7, 'GEN-SOLAR'!$D$122:$AW$122), 0), IF($B30='Project List References'!$B$5, _xlfn.IFNA(_xlfn.XLOOKUP(I$2-$C30, 'GEN-BESS'!$D$7:$AW$7, 'GEN-BESS'!$D$125:$AW$125), 0), IF($B30='Project List References'!$B$6, _xlfn.IFNA(_xlfn.XLOOKUP(I$2-$C30, 'GEN-CARBON'!$D$7:$AW$7, 'GEN-CARBON'!$D$124:$AW$124), 0), IF($B30='Project List References'!$B$7, _xlfn.IFNA(_xlfn.XLOOKUP(I$2-$C30, 'SENS Coal'!$D$7:$AW$7, 'SENS Coal'!$D$141:$AW$141), 0), IF($B30='Project List References'!$B$8, _xlfn.IFNA(_xlfn.XLOOKUP(I$2-$C30,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J30" s="743" t="e">
        <f>IF($B30='Project List References'!$B$3, _xlfn.IFNA(_xlfn.XLOOKUP(J$2-$C30, 'GEN-CCGT'!$D$7:$AW$7, 'GEN-CCGT'!$D$124:$AW$124), 0), IF($B30='Project List References'!$B$4, _xlfn.IFNA(_xlfn.XLOOKUP(J$2-$C30, 'GEN-SOLAR'!$D$7:$AW$7, 'GEN-SOLAR'!$D$122:$AW$122), 0), IF($B30='Project List References'!$B$5, _xlfn.IFNA(_xlfn.XLOOKUP(J$2-$C30, 'GEN-BESS'!$D$7:$AW$7, 'GEN-BESS'!$D$125:$AW$125), 0), IF($B30='Project List References'!$B$6, _xlfn.IFNA(_xlfn.XLOOKUP(J$2-$C30, 'GEN-CARBON'!$D$7:$AW$7, 'GEN-CARBON'!$D$124:$AW$124), 0), IF($B30='Project List References'!$B$7, _xlfn.IFNA(_xlfn.XLOOKUP(J$2-$C30, 'SENS Coal'!$D$7:$AW$7, 'SENS Coal'!$D$141:$AW$141), 0), IF($B30='Project List References'!$B$8, _xlfn.IFNA(_xlfn.XLOOKUP(J$2-$C30,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K30" s="743" t="e">
        <f>IF($B30='Project List References'!$B$3, _xlfn.IFNA(_xlfn.XLOOKUP(K$2-$C30, 'GEN-CCGT'!$D$7:$AW$7, 'GEN-CCGT'!$D$124:$AW$124), 0), IF($B30='Project List References'!$B$4, _xlfn.IFNA(_xlfn.XLOOKUP(K$2-$C30, 'GEN-SOLAR'!$D$7:$AW$7, 'GEN-SOLAR'!$D$122:$AW$122), 0), IF($B30='Project List References'!$B$5, _xlfn.IFNA(_xlfn.XLOOKUP(K$2-$C30, 'GEN-BESS'!$D$7:$AW$7, 'GEN-BESS'!$D$125:$AW$125), 0), IF($B30='Project List References'!$B$6, _xlfn.IFNA(_xlfn.XLOOKUP(K$2-$C30, 'GEN-CARBON'!$D$7:$AW$7, 'GEN-CARBON'!$D$124:$AW$124), 0), IF($B30='Project List References'!$B$7, _xlfn.IFNA(_xlfn.XLOOKUP(K$2-$C30, 'SENS Coal'!$D$7:$AW$7, 'SENS Coal'!$D$141:$AW$141), 0), IF($B30='Project List References'!$B$8, _xlfn.IFNA(_xlfn.XLOOKUP(K$2-$C30,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L30" s="743" t="e">
        <f>IF($B30='Project List References'!$B$3, _xlfn.IFNA(_xlfn.XLOOKUP(L$2-$C30, 'GEN-CCGT'!$D$7:$AW$7, 'GEN-CCGT'!$D$124:$AW$124), 0), IF($B30='Project List References'!$B$4, _xlfn.IFNA(_xlfn.XLOOKUP(L$2-$C30, 'GEN-SOLAR'!$D$7:$AW$7, 'GEN-SOLAR'!$D$122:$AW$122), 0), IF($B30='Project List References'!$B$5, _xlfn.IFNA(_xlfn.XLOOKUP(L$2-$C30, 'GEN-BESS'!$D$7:$AW$7, 'GEN-BESS'!$D$125:$AW$125), 0), IF($B30='Project List References'!$B$6, _xlfn.IFNA(_xlfn.XLOOKUP(L$2-$C30, 'GEN-CARBON'!$D$7:$AW$7, 'GEN-CARBON'!$D$124:$AW$124), 0), IF($B30='Project List References'!$B$7, _xlfn.IFNA(_xlfn.XLOOKUP(L$2-$C30, 'SENS Coal'!$D$7:$AW$7, 'SENS Coal'!$D$141:$AW$141), 0), IF($B30='Project List References'!$B$8, _xlfn.IFNA(_xlfn.XLOOKUP(L$2-$C30,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M30" s="743" t="e">
        <f>IF($B30='Project List References'!$B$3, _xlfn.IFNA(_xlfn.XLOOKUP(M$2-$C30, 'GEN-CCGT'!$D$7:$AW$7, 'GEN-CCGT'!$D$124:$AW$124), 0), IF($B30='Project List References'!$B$4, _xlfn.IFNA(_xlfn.XLOOKUP(M$2-$C30, 'GEN-SOLAR'!$D$7:$AW$7, 'GEN-SOLAR'!$D$122:$AW$122), 0), IF($B30='Project List References'!$B$5, _xlfn.IFNA(_xlfn.XLOOKUP(M$2-$C30, 'GEN-BESS'!$D$7:$AW$7, 'GEN-BESS'!$D$125:$AW$125), 0), IF($B30='Project List References'!$B$6, _xlfn.IFNA(_xlfn.XLOOKUP(M$2-$C30, 'GEN-CARBON'!$D$7:$AW$7, 'GEN-CARBON'!$D$124:$AW$124), 0), IF($B30='Project List References'!$B$7, _xlfn.IFNA(_xlfn.XLOOKUP(M$2-$C30, 'SENS Coal'!$D$7:$AW$7, 'SENS Coal'!$D$141:$AW$141), 0), IF($B30='Project List References'!$B$8, _xlfn.IFNA(_xlfn.XLOOKUP(M$2-$C30,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N30" s="743" t="e">
        <f>IF($B30='Project List References'!$B$3, _xlfn.IFNA(_xlfn.XLOOKUP(N$2-$C30, 'GEN-CCGT'!$D$7:$AW$7, 'GEN-CCGT'!$D$124:$AW$124), 0), IF($B30='Project List References'!$B$4, _xlfn.IFNA(_xlfn.XLOOKUP(N$2-$C30, 'GEN-SOLAR'!$D$7:$AW$7, 'GEN-SOLAR'!$D$122:$AW$122), 0), IF($B30='Project List References'!$B$5, _xlfn.IFNA(_xlfn.XLOOKUP(N$2-$C30, 'GEN-BESS'!$D$7:$AW$7, 'GEN-BESS'!$D$125:$AW$125), 0), IF($B30='Project List References'!$B$6, _xlfn.IFNA(_xlfn.XLOOKUP(N$2-$C30, 'GEN-CARBON'!$D$7:$AW$7, 'GEN-CARBON'!$D$124:$AW$124), 0), IF($B30='Project List References'!$B$7, _xlfn.IFNA(_xlfn.XLOOKUP(N$2-$C30, 'SENS Coal'!$D$7:$AW$7, 'SENS Coal'!$D$141:$AW$141), 0), IF($B30='Project List References'!$B$8, _xlfn.IFNA(_xlfn.XLOOKUP(N$2-$C30,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O30" s="743" t="e">
        <f>IF($B30='Project List References'!$B$3, _xlfn.IFNA(_xlfn.XLOOKUP(O$2-$C30, 'GEN-CCGT'!$D$7:$AW$7, 'GEN-CCGT'!$D$124:$AW$124), 0), IF($B30='Project List References'!$B$4, _xlfn.IFNA(_xlfn.XLOOKUP(O$2-$C30, 'GEN-SOLAR'!$D$7:$AW$7, 'GEN-SOLAR'!$D$122:$AW$122), 0), IF($B30='Project List References'!$B$5, _xlfn.IFNA(_xlfn.XLOOKUP(O$2-$C30, 'GEN-BESS'!$D$7:$AW$7, 'GEN-BESS'!$D$125:$AW$125), 0), IF($B30='Project List References'!$B$6, _xlfn.IFNA(_xlfn.XLOOKUP(O$2-$C30, 'GEN-CARBON'!$D$7:$AW$7, 'GEN-CARBON'!$D$124:$AW$124), 0), IF($B30='Project List References'!$B$7, _xlfn.IFNA(_xlfn.XLOOKUP(O$2-$C30, 'SENS Coal'!$D$7:$AW$7, 'SENS Coal'!$D$141:$AW$141), 0), IF($B30='Project List References'!$B$8, _xlfn.IFNA(_xlfn.XLOOKUP(O$2-$C30,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P30" s="743" t="e">
        <f>IF($B30='Project List References'!$B$3, _xlfn.IFNA(_xlfn.XLOOKUP(P$2-$C30, 'GEN-CCGT'!$D$7:$AW$7, 'GEN-CCGT'!$D$124:$AW$124), 0), IF($B30='Project List References'!$B$4, _xlfn.IFNA(_xlfn.XLOOKUP(P$2-$C30, 'GEN-SOLAR'!$D$7:$AW$7, 'GEN-SOLAR'!$D$122:$AW$122), 0), IF($B30='Project List References'!$B$5, _xlfn.IFNA(_xlfn.XLOOKUP(P$2-$C30, 'GEN-BESS'!$D$7:$AW$7, 'GEN-BESS'!$D$125:$AW$125), 0), IF($B30='Project List References'!$B$6, _xlfn.IFNA(_xlfn.XLOOKUP(P$2-$C30, 'GEN-CARBON'!$D$7:$AW$7, 'GEN-CARBON'!$D$124:$AW$124), 0), IF($B30='Project List References'!$B$7, _xlfn.IFNA(_xlfn.XLOOKUP(P$2-$C30, 'SENS Coal'!$D$7:$AW$7, 'SENS Coal'!$D$141:$AW$141), 0), IF($B30='Project List References'!$B$8, _xlfn.IFNA(_xlfn.XLOOKUP(P$2-$C30,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Q30" s="743" t="e">
        <f>IF($B30='Project List References'!$B$3, _xlfn.IFNA(_xlfn.XLOOKUP(Q$2-$C30, 'GEN-CCGT'!$D$7:$AW$7, 'GEN-CCGT'!$D$124:$AW$124), 0), IF($B30='Project List References'!$B$4, _xlfn.IFNA(_xlfn.XLOOKUP(Q$2-$C30, 'GEN-SOLAR'!$D$7:$AW$7, 'GEN-SOLAR'!$D$122:$AW$122), 0), IF($B30='Project List References'!$B$5, _xlfn.IFNA(_xlfn.XLOOKUP(Q$2-$C30, 'GEN-BESS'!$D$7:$AW$7, 'GEN-BESS'!$D$125:$AW$125), 0), IF($B30='Project List References'!$B$6, _xlfn.IFNA(_xlfn.XLOOKUP(Q$2-$C30, 'GEN-CARBON'!$D$7:$AW$7, 'GEN-CARBON'!$D$124:$AW$124), 0), IF($B30='Project List References'!$B$7, _xlfn.IFNA(_xlfn.XLOOKUP(Q$2-$C30, 'SENS Coal'!$D$7:$AW$7, 'SENS Coal'!$D$141:$AW$141), 0), IF($B30='Project List References'!$B$8, _xlfn.IFNA(_xlfn.XLOOKUP(Q$2-$C30,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R30" s="743" t="e">
        <f>IF($B30='Project List References'!$B$3, _xlfn.IFNA(_xlfn.XLOOKUP(R$2-$C30, 'GEN-CCGT'!$D$7:$AW$7, 'GEN-CCGT'!$D$124:$AW$124), 0), IF($B30='Project List References'!$B$4, _xlfn.IFNA(_xlfn.XLOOKUP(R$2-$C30, 'GEN-SOLAR'!$D$7:$AW$7, 'GEN-SOLAR'!$D$122:$AW$122), 0), IF($B30='Project List References'!$B$5, _xlfn.IFNA(_xlfn.XLOOKUP(R$2-$C30, 'GEN-BESS'!$D$7:$AW$7, 'GEN-BESS'!$D$125:$AW$125), 0), IF($B30='Project List References'!$B$6, _xlfn.IFNA(_xlfn.XLOOKUP(R$2-$C30, 'GEN-CARBON'!$D$7:$AW$7, 'GEN-CARBON'!$D$124:$AW$124), 0), IF($B30='Project List References'!$B$7, _xlfn.IFNA(_xlfn.XLOOKUP(R$2-$C30, 'SENS Coal'!$D$7:$AW$7, 'SENS Coal'!$D$141:$AW$141), 0), IF($B30='Project List References'!$B$8, _xlfn.IFNA(_xlfn.XLOOKUP(R$2-$C30,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S30" s="743" t="e">
        <f>IF($B30='Project List References'!$B$3, _xlfn.IFNA(_xlfn.XLOOKUP(S$2-$C30, 'GEN-CCGT'!$D$7:$AW$7, 'GEN-CCGT'!$D$124:$AW$124), 0), IF($B30='Project List References'!$B$4, _xlfn.IFNA(_xlfn.XLOOKUP(S$2-$C30, 'GEN-SOLAR'!$D$7:$AW$7, 'GEN-SOLAR'!$D$122:$AW$122), 0), IF($B30='Project List References'!$B$5, _xlfn.IFNA(_xlfn.XLOOKUP(S$2-$C30, 'GEN-BESS'!$D$7:$AW$7, 'GEN-BESS'!$D$125:$AW$125), 0), IF($B30='Project List References'!$B$6, _xlfn.IFNA(_xlfn.XLOOKUP(S$2-$C30, 'GEN-CARBON'!$D$7:$AW$7, 'GEN-CARBON'!$D$124:$AW$124), 0), IF($B30='Project List References'!$B$7, _xlfn.IFNA(_xlfn.XLOOKUP(S$2-$C30, 'SENS Coal'!$D$7:$AW$7, 'SENS Coal'!$D$141:$AW$141), 0), IF($B30='Project List References'!$B$8, _xlfn.IFNA(_xlfn.XLOOKUP(S$2-$C30,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T30" s="743" t="e">
        <f>IF($B30='Project List References'!$B$3, _xlfn.IFNA(_xlfn.XLOOKUP(T$2-$C30, 'GEN-CCGT'!$D$7:$AW$7, 'GEN-CCGT'!$D$124:$AW$124), 0), IF($B30='Project List References'!$B$4, _xlfn.IFNA(_xlfn.XLOOKUP(T$2-$C30, 'GEN-SOLAR'!$D$7:$AW$7, 'GEN-SOLAR'!$D$122:$AW$122), 0), IF($B30='Project List References'!$B$5, _xlfn.IFNA(_xlfn.XLOOKUP(T$2-$C30, 'GEN-BESS'!$D$7:$AW$7, 'GEN-BESS'!$D$125:$AW$125), 0), IF($B30='Project List References'!$B$6, _xlfn.IFNA(_xlfn.XLOOKUP(T$2-$C30, 'GEN-CARBON'!$D$7:$AW$7, 'GEN-CARBON'!$D$124:$AW$124), 0), IF($B30='Project List References'!$B$7, _xlfn.IFNA(_xlfn.XLOOKUP(T$2-$C30, 'SENS Coal'!$D$7:$AW$7, 'SENS Coal'!$D$141:$AW$141), 0), IF($B30='Project List References'!$B$8, _xlfn.IFNA(_xlfn.XLOOKUP(T$2-$C30, 'SENS Tires'!$D$7:$AW$7, 'SENS Tires'!$D$139:$AW$139),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</row>
    <row r="31" spans="1:20">
      <c r="A31" s="655" t="str">
        <f>IF(ISBLANK('Project Master Sheet'!A31)=FALSE, 'Project Master Sheet'!A31, "")</f>
        <v/>
      </c>
      <c r="B31" s="655" t="str">
        <f>_xlfn.IFNA(_xlfn.XLOOKUP(A31, 'Project Master Sheet'!A:A, 'Project Master Sheet'!D:D), "")</f>
        <v/>
      </c>
      <c r="C31" s="655" t="e">
        <f>_xlfn.XLOOKUP(A31, 'Project Master Sheet'!A:A, 'Project Master Sheet'!I:I)</f>
        <v>#N/A</v>
      </c>
      <c r="E31" s="743" t="e">
        <f>IF($B31='Project List References'!$B$3, _xlfn.IFNA(_xlfn.XLOOKUP(E$2-$C31, 'GEN-CCGT'!$D$7:$AW$7, 'GEN-CCGT'!$D$124:$AW$124), 0), IF($B31='Project List References'!$B$4, _xlfn.IFNA(_xlfn.XLOOKUP(E$2-$C31, 'GEN-SOLAR'!$D$7:$AW$7, 'GEN-SOLAR'!$D$122:$AW$122), 0), IF($B31='Project List References'!$B$5, _xlfn.IFNA(_xlfn.XLOOKUP(E$2-$C31, 'GEN-BESS'!$D$7:$AW$7, 'GEN-BESS'!$D$125:$AW$125), 0), IF($B31='Project List References'!$B$6, _xlfn.IFNA(_xlfn.XLOOKUP(E$2-$C31, 'GEN-CARBON'!$D$7:$AW$7, 'GEN-CARBON'!$D$124:$AW$124), 0), IF($B31='Project List References'!$B$7, _xlfn.IFNA(_xlfn.XLOOKUP(E$2-$C31, 'SENS Coal'!$D$7:$AW$7, 'SENS Coal'!$D$141:$AW$141), 0), IF($B31='Project List References'!$B$8, _xlfn.IFNA(_xlfn.XLOOKUP(E$2-$C31,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F31" s="743" t="e">
        <f>IF($B31='Project List References'!$B$3, _xlfn.IFNA(_xlfn.XLOOKUP(F$2-$C31, 'GEN-CCGT'!$D$7:$AW$7, 'GEN-CCGT'!$D$124:$AW$124), 0), IF($B31='Project List References'!$B$4, _xlfn.IFNA(_xlfn.XLOOKUP(F$2-$C31, 'GEN-SOLAR'!$D$7:$AW$7, 'GEN-SOLAR'!$D$122:$AW$122), 0), IF($B31='Project List References'!$B$5, _xlfn.IFNA(_xlfn.XLOOKUP(F$2-$C31, 'GEN-BESS'!$D$7:$AW$7, 'GEN-BESS'!$D$125:$AW$125), 0), IF($B31='Project List References'!$B$6, _xlfn.IFNA(_xlfn.XLOOKUP(F$2-$C31, 'GEN-CARBON'!$D$7:$AW$7, 'GEN-CARBON'!$D$124:$AW$124), 0), IF($B31='Project List References'!$B$7, _xlfn.IFNA(_xlfn.XLOOKUP(F$2-$C31, 'SENS Coal'!$D$7:$AW$7, 'SENS Coal'!$D$141:$AW$141), 0), IF($B31='Project List References'!$B$8, _xlfn.IFNA(_xlfn.XLOOKUP(F$2-$C31,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G31" s="743" t="e">
        <f>IF($B31='Project List References'!$B$3, _xlfn.IFNA(_xlfn.XLOOKUP(G$2-$C31, 'GEN-CCGT'!$D$7:$AW$7, 'GEN-CCGT'!$D$124:$AW$124), 0), IF($B31='Project List References'!$B$4, _xlfn.IFNA(_xlfn.XLOOKUP(G$2-$C31, 'GEN-SOLAR'!$D$7:$AW$7, 'GEN-SOLAR'!$D$122:$AW$122), 0), IF($B31='Project List References'!$B$5, _xlfn.IFNA(_xlfn.XLOOKUP(G$2-$C31, 'GEN-BESS'!$D$7:$AW$7, 'GEN-BESS'!$D$125:$AW$125), 0), IF($B31='Project List References'!$B$6, _xlfn.IFNA(_xlfn.XLOOKUP(G$2-$C31, 'GEN-CARBON'!$D$7:$AW$7, 'GEN-CARBON'!$D$124:$AW$124), 0), IF($B31='Project List References'!$B$7, _xlfn.IFNA(_xlfn.XLOOKUP(G$2-$C31, 'SENS Coal'!$D$7:$AW$7, 'SENS Coal'!$D$141:$AW$141), 0), IF($B31='Project List References'!$B$8, _xlfn.IFNA(_xlfn.XLOOKUP(G$2-$C31,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H31" s="743" t="e">
        <f>IF($B31='Project List References'!$B$3, _xlfn.IFNA(_xlfn.XLOOKUP(H$2-$C31, 'GEN-CCGT'!$D$7:$AW$7, 'GEN-CCGT'!$D$124:$AW$124), 0), IF($B31='Project List References'!$B$4, _xlfn.IFNA(_xlfn.XLOOKUP(H$2-$C31, 'GEN-SOLAR'!$D$7:$AW$7, 'GEN-SOLAR'!$D$122:$AW$122), 0), IF($B31='Project List References'!$B$5, _xlfn.IFNA(_xlfn.XLOOKUP(H$2-$C31, 'GEN-BESS'!$D$7:$AW$7, 'GEN-BESS'!$D$125:$AW$125), 0), IF($B31='Project List References'!$B$6, _xlfn.IFNA(_xlfn.XLOOKUP(H$2-$C31, 'GEN-CARBON'!$D$7:$AW$7, 'GEN-CARBON'!$D$124:$AW$124), 0), IF($B31='Project List References'!$B$7, _xlfn.IFNA(_xlfn.XLOOKUP(H$2-$C31, 'SENS Coal'!$D$7:$AW$7, 'SENS Coal'!$D$141:$AW$141), 0), IF($B31='Project List References'!$B$8, _xlfn.IFNA(_xlfn.XLOOKUP(H$2-$C31,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I31" s="743" t="e">
        <f>IF($B31='Project List References'!$B$3, _xlfn.IFNA(_xlfn.XLOOKUP(I$2-$C31, 'GEN-CCGT'!$D$7:$AW$7, 'GEN-CCGT'!$D$124:$AW$124), 0), IF($B31='Project List References'!$B$4, _xlfn.IFNA(_xlfn.XLOOKUP(I$2-$C31, 'GEN-SOLAR'!$D$7:$AW$7, 'GEN-SOLAR'!$D$122:$AW$122), 0), IF($B31='Project List References'!$B$5, _xlfn.IFNA(_xlfn.XLOOKUP(I$2-$C31, 'GEN-BESS'!$D$7:$AW$7, 'GEN-BESS'!$D$125:$AW$125), 0), IF($B31='Project List References'!$B$6, _xlfn.IFNA(_xlfn.XLOOKUP(I$2-$C31, 'GEN-CARBON'!$D$7:$AW$7, 'GEN-CARBON'!$D$124:$AW$124), 0), IF($B31='Project List References'!$B$7, _xlfn.IFNA(_xlfn.XLOOKUP(I$2-$C31, 'SENS Coal'!$D$7:$AW$7, 'SENS Coal'!$D$141:$AW$141), 0), IF($B31='Project List References'!$B$8, _xlfn.IFNA(_xlfn.XLOOKUP(I$2-$C31,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J31" s="743" t="e">
        <f>IF($B31='Project List References'!$B$3, _xlfn.IFNA(_xlfn.XLOOKUP(J$2-$C31, 'GEN-CCGT'!$D$7:$AW$7, 'GEN-CCGT'!$D$124:$AW$124), 0), IF($B31='Project List References'!$B$4, _xlfn.IFNA(_xlfn.XLOOKUP(J$2-$C31, 'GEN-SOLAR'!$D$7:$AW$7, 'GEN-SOLAR'!$D$122:$AW$122), 0), IF($B31='Project List References'!$B$5, _xlfn.IFNA(_xlfn.XLOOKUP(J$2-$C31, 'GEN-BESS'!$D$7:$AW$7, 'GEN-BESS'!$D$125:$AW$125), 0), IF($B31='Project List References'!$B$6, _xlfn.IFNA(_xlfn.XLOOKUP(J$2-$C31, 'GEN-CARBON'!$D$7:$AW$7, 'GEN-CARBON'!$D$124:$AW$124), 0), IF($B31='Project List References'!$B$7, _xlfn.IFNA(_xlfn.XLOOKUP(J$2-$C31, 'SENS Coal'!$D$7:$AW$7, 'SENS Coal'!$D$141:$AW$141), 0), IF($B31='Project List References'!$B$8, _xlfn.IFNA(_xlfn.XLOOKUP(J$2-$C31,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K31" s="743" t="e">
        <f>IF($B31='Project List References'!$B$3, _xlfn.IFNA(_xlfn.XLOOKUP(K$2-$C31, 'GEN-CCGT'!$D$7:$AW$7, 'GEN-CCGT'!$D$124:$AW$124), 0), IF($B31='Project List References'!$B$4, _xlfn.IFNA(_xlfn.XLOOKUP(K$2-$C31, 'GEN-SOLAR'!$D$7:$AW$7, 'GEN-SOLAR'!$D$122:$AW$122), 0), IF($B31='Project List References'!$B$5, _xlfn.IFNA(_xlfn.XLOOKUP(K$2-$C31, 'GEN-BESS'!$D$7:$AW$7, 'GEN-BESS'!$D$125:$AW$125), 0), IF($B31='Project List References'!$B$6, _xlfn.IFNA(_xlfn.XLOOKUP(K$2-$C31, 'GEN-CARBON'!$D$7:$AW$7, 'GEN-CARBON'!$D$124:$AW$124), 0), IF($B31='Project List References'!$B$7, _xlfn.IFNA(_xlfn.XLOOKUP(K$2-$C31, 'SENS Coal'!$D$7:$AW$7, 'SENS Coal'!$D$141:$AW$141), 0), IF($B31='Project List References'!$B$8, _xlfn.IFNA(_xlfn.XLOOKUP(K$2-$C31,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L31" s="743" t="e">
        <f>IF($B31='Project List References'!$B$3, _xlfn.IFNA(_xlfn.XLOOKUP(L$2-$C31, 'GEN-CCGT'!$D$7:$AW$7, 'GEN-CCGT'!$D$124:$AW$124), 0), IF($B31='Project List References'!$B$4, _xlfn.IFNA(_xlfn.XLOOKUP(L$2-$C31, 'GEN-SOLAR'!$D$7:$AW$7, 'GEN-SOLAR'!$D$122:$AW$122), 0), IF($B31='Project List References'!$B$5, _xlfn.IFNA(_xlfn.XLOOKUP(L$2-$C31, 'GEN-BESS'!$D$7:$AW$7, 'GEN-BESS'!$D$125:$AW$125), 0), IF($B31='Project List References'!$B$6, _xlfn.IFNA(_xlfn.XLOOKUP(L$2-$C31, 'GEN-CARBON'!$D$7:$AW$7, 'GEN-CARBON'!$D$124:$AW$124), 0), IF($B31='Project List References'!$B$7, _xlfn.IFNA(_xlfn.XLOOKUP(L$2-$C31, 'SENS Coal'!$D$7:$AW$7, 'SENS Coal'!$D$141:$AW$141), 0), IF($B31='Project List References'!$B$8, _xlfn.IFNA(_xlfn.XLOOKUP(L$2-$C31,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M31" s="743" t="e">
        <f>IF($B31='Project List References'!$B$3, _xlfn.IFNA(_xlfn.XLOOKUP(M$2-$C31, 'GEN-CCGT'!$D$7:$AW$7, 'GEN-CCGT'!$D$124:$AW$124), 0), IF($B31='Project List References'!$B$4, _xlfn.IFNA(_xlfn.XLOOKUP(M$2-$C31, 'GEN-SOLAR'!$D$7:$AW$7, 'GEN-SOLAR'!$D$122:$AW$122), 0), IF($B31='Project List References'!$B$5, _xlfn.IFNA(_xlfn.XLOOKUP(M$2-$C31, 'GEN-BESS'!$D$7:$AW$7, 'GEN-BESS'!$D$125:$AW$125), 0), IF($B31='Project List References'!$B$6, _xlfn.IFNA(_xlfn.XLOOKUP(M$2-$C31, 'GEN-CARBON'!$D$7:$AW$7, 'GEN-CARBON'!$D$124:$AW$124), 0), IF($B31='Project List References'!$B$7, _xlfn.IFNA(_xlfn.XLOOKUP(M$2-$C31, 'SENS Coal'!$D$7:$AW$7, 'SENS Coal'!$D$141:$AW$141), 0), IF($B31='Project List References'!$B$8, _xlfn.IFNA(_xlfn.XLOOKUP(M$2-$C31,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N31" s="743" t="e">
        <f>IF($B31='Project List References'!$B$3, _xlfn.IFNA(_xlfn.XLOOKUP(N$2-$C31, 'GEN-CCGT'!$D$7:$AW$7, 'GEN-CCGT'!$D$124:$AW$124), 0), IF($B31='Project List References'!$B$4, _xlfn.IFNA(_xlfn.XLOOKUP(N$2-$C31, 'GEN-SOLAR'!$D$7:$AW$7, 'GEN-SOLAR'!$D$122:$AW$122), 0), IF($B31='Project List References'!$B$5, _xlfn.IFNA(_xlfn.XLOOKUP(N$2-$C31, 'GEN-BESS'!$D$7:$AW$7, 'GEN-BESS'!$D$125:$AW$125), 0), IF($B31='Project List References'!$B$6, _xlfn.IFNA(_xlfn.XLOOKUP(N$2-$C31, 'GEN-CARBON'!$D$7:$AW$7, 'GEN-CARBON'!$D$124:$AW$124), 0), IF($B31='Project List References'!$B$7, _xlfn.IFNA(_xlfn.XLOOKUP(N$2-$C31, 'SENS Coal'!$D$7:$AW$7, 'SENS Coal'!$D$141:$AW$141), 0), IF($B31='Project List References'!$B$8, _xlfn.IFNA(_xlfn.XLOOKUP(N$2-$C31,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O31" s="743" t="e">
        <f>IF($B31='Project List References'!$B$3, _xlfn.IFNA(_xlfn.XLOOKUP(O$2-$C31, 'GEN-CCGT'!$D$7:$AW$7, 'GEN-CCGT'!$D$124:$AW$124), 0), IF($B31='Project List References'!$B$4, _xlfn.IFNA(_xlfn.XLOOKUP(O$2-$C31, 'GEN-SOLAR'!$D$7:$AW$7, 'GEN-SOLAR'!$D$122:$AW$122), 0), IF($B31='Project List References'!$B$5, _xlfn.IFNA(_xlfn.XLOOKUP(O$2-$C31, 'GEN-BESS'!$D$7:$AW$7, 'GEN-BESS'!$D$125:$AW$125), 0), IF($B31='Project List References'!$B$6, _xlfn.IFNA(_xlfn.XLOOKUP(O$2-$C31, 'GEN-CARBON'!$D$7:$AW$7, 'GEN-CARBON'!$D$124:$AW$124), 0), IF($B31='Project List References'!$B$7, _xlfn.IFNA(_xlfn.XLOOKUP(O$2-$C31, 'SENS Coal'!$D$7:$AW$7, 'SENS Coal'!$D$141:$AW$141), 0), IF($B31='Project List References'!$B$8, _xlfn.IFNA(_xlfn.XLOOKUP(O$2-$C31,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P31" s="743" t="e">
        <f>IF($B31='Project List References'!$B$3, _xlfn.IFNA(_xlfn.XLOOKUP(P$2-$C31, 'GEN-CCGT'!$D$7:$AW$7, 'GEN-CCGT'!$D$124:$AW$124), 0), IF($B31='Project List References'!$B$4, _xlfn.IFNA(_xlfn.XLOOKUP(P$2-$C31, 'GEN-SOLAR'!$D$7:$AW$7, 'GEN-SOLAR'!$D$122:$AW$122), 0), IF($B31='Project List References'!$B$5, _xlfn.IFNA(_xlfn.XLOOKUP(P$2-$C31, 'GEN-BESS'!$D$7:$AW$7, 'GEN-BESS'!$D$125:$AW$125), 0), IF($B31='Project List References'!$B$6, _xlfn.IFNA(_xlfn.XLOOKUP(P$2-$C31, 'GEN-CARBON'!$D$7:$AW$7, 'GEN-CARBON'!$D$124:$AW$124), 0), IF($B31='Project List References'!$B$7, _xlfn.IFNA(_xlfn.XLOOKUP(P$2-$C31, 'SENS Coal'!$D$7:$AW$7, 'SENS Coal'!$D$141:$AW$141), 0), IF($B31='Project List References'!$B$8, _xlfn.IFNA(_xlfn.XLOOKUP(P$2-$C31,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Q31" s="743" t="e">
        <f>IF($B31='Project List References'!$B$3, _xlfn.IFNA(_xlfn.XLOOKUP(Q$2-$C31, 'GEN-CCGT'!$D$7:$AW$7, 'GEN-CCGT'!$D$124:$AW$124), 0), IF($B31='Project List References'!$B$4, _xlfn.IFNA(_xlfn.XLOOKUP(Q$2-$C31, 'GEN-SOLAR'!$D$7:$AW$7, 'GEN-SOLAR'!$D$122:$AW$122), 0), IF($B31='Project List References'!$B$5, _xlfn.IFNA(_xlfn.XLOOKUP(Q$2-$C31, 'GEN-BESS'!$D$7:$AW$7, 'GEN-BESS'!$D$125:$AW$125), 0), IF($B31='Project List References'!$B$6, _xlfn.IFNA(_xlfn.XLOOKUP(Q$2-$C31, 'GEN-CARBON'!$D$7:$AW$7, 'GEN-CARBON'!$D$124:$AW$124), 0), IF($B31='Project List References'!$B$7, _xlfn.IFNA(_xlfn.XLOOKUP(Q$2-$C31, 'SENS Coal'!$D$7:$AW$7, 'SENS Coal'!$D$141:$AW$141), 0), IF($B31='Project List References'!$B$8, _xlfn.IFNA(_xlfn.XLOOKUP(Q$2-$C31,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R31" s="743" t="e">
        <f>IF($B31='Project List References'!$B$3, _xlfn.IFNA(_xlfn.XLOOKUP(R$2-$C31, 'GEN-CCGT'!$D$7:$AW$7, 'GEN-CCGT'!$D$124:$AW$124), 0), IF($B31='Project List References'!$B$4, _xlfn.IFNA(_xlfn.XLOOKUP(R$2-$C31, 'GEN-SOLAR'!$D$7:$AW$7, 'GEN-SOLAR'!$D$122:$AW$122), 0), IF($B31='Project List References'!$B$5, _xlfn.IFNA(_xlfn.XLOOKUP(R$2-$C31, 'GEN-BESS'!$D$7:$AW$7, 'GEN-BESS'!$D$125:$AW$125), 0), IF($B31='Project List References'!$B$6, _xlfn.IFNA(_xlfn.XLOOKUP(R$2-$C31, 'GEN-CARBON'!$D$7:$AW$7, 'GEN-CARBON'!$D$124:$AW$124), 0), IF($B31='Project List References'!$B$7, _xlfn.IFNA(_xlfn.XLOOKUP(R$2-$C31, 'SENS Coal'!$D$7:$AW$7, 'SENS Coal'!$D$141:$AW$141), 0), IF($B31='Project List References'!$B$8, _xlfn.IFNA(_xlfn.XLOOKUP(R$2-$C31,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S31" s="743" t="e">
        <f>IF($B31='Project List References'!$B$3, _xlfn.IFNA(_xlfn.XLOOKUP(S$2-$C31, 'GEN-CCGT'!$D$7:$AW$7, 'GEN-CCGT'!$D$124:$AW$124), 0), IF($B31='Project List References'!$B$4, _xlfn.IFNA(_xlfn.XLOOKUP(S$2-$C31, 'GEN-SOLAR'!$D$7:$AW$7, 'GEN-SOLAR'!$D$122:$AW$122), 0), IF($B31='Project List References'!$B$5, _xlfn.IFNA(_xlfn.XLOOKUP(S$2-$C31, 'GEN-BESS'!$D$7:$AW$7, 'GEN-BESS'!$D$125:$AW$125), 0), IF($B31='Project List References'!$B$6, _xlfn.IFNA(_xlfn.XLOOKUP(S$2-$C31, 'GEN-CARBON'!$D$7:$AW$7, 'GEN-CARBON'!$D$124:$AW$124), 0), IF($B31='Project List References'!$B$7, _xlfn.IFNA(_xlfn.XLOOKUP(S$2-$C31, 'SENS Coal'!$D$7:$AW$7, 'SENS Coal'!$D$141:$AW$141), 0), IF($B31='Project List References'!$B$8, _xlfn.IFNA(_xlfn.XLOOKUP(S$2-$C31,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T31" s="743" t="e">
        <f>IF($B31='Project List References'!$B$3, _xlfn.IFNA(_xlfn.XLOOKUP(T$2-$C31, 'GEN-CCGT'!$D$7:$AW$7, 'GEN-CCGT'!$D$124:$AW$124), 0), IF($B31='Project List References'!$B$4, _xlfn.IFNA(_xlfn.XLOOKUP(T$2-$C31, 'GEN-SOLAR'!$D$7:$AW$7, 'GEN-SOLAR'!$D$122:$AW$122), 0), IF($B31='Project List References'!$B$5, _xlfn.IFNA(_xlfn.XLOOKUP(T$2-$C31, 'GEN-BESS'!$D$7:$AW$7, 'GEN-BESS'!$D$125:$AW$125), 0), IF($B31='Project List References'!$B$6, _xlfn.IFNA(_xlfn.XLOOKUP(T$2-$C31, 'GEN-CARBON'!$D$7:$AW$7, 'GEN-CARBON'!$D$124:$AW$124), 0), IF($B31='Project List References'!$B$7, _xlfn.IFNA(_xlfn.XLOOKUP(T$2-$C31, 'SENS Coal'!$D$7:$AW$7, 'SENS Coal'!$D$141:$AW$141), 0), IF($B31='Project List References'!$B$8, _xlfn.IFNA(_xlfn.XLOOKUP(T$2-$C31, 'SENS Tires'!$D$7:$AW$7, 'SENS Tires'!$D$139:$AW$139),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</row>
    <row r="32" spans="1:20">
      <c r="A32" s="655" t="str">
        <f>IF(ISBLANK('Project Master Sheet'!A32)=FALSE, 'Project Master Sheet'!A32, "")</f>
        <v/>
      </c>
      <c r="B32" s="655" t="str">
        <f>_xlfn.IFNA(_xlfn.XLOOKUP(A32, 'Project Master Sheet'!A:A, 'Project Master Sheet'!D:D), "")</f>
        <v/>
      </c>
      <c r="C32" s="655" t="e">
        <f>_xlfn.XLOOKUP(A32, 'Project Master Sheet'!A:A, 'Project Master Sheet'!I:I)</f>
        <v>#N/A</v>
      </c>
      <c r="E32" s="743" t="e">
        <f>IF($B32='Project List References'!$B$3, _xlfn.IFNA(_xlfn.XLOOKUP(E$2-$C32, 'GEN-CCGT'!$D$7:$AW$7, 'GEN-CCGT'!$D$124:$AW$124), 0), IF($B32='Project List References'!$B$4, _xlfn.IFNA(_xlfn.XLOOKUP(E$2-$C32, 'GEN-SOLAR'!$D$7:$AW$7, 'GEN-SOLAR'!$D$122:$AW$122), 0), IF($B32='Project List References'!$B$5, _xlfn.IFNA(_xlfn.XLOOKUP(E$2-$C32, 'GEN-BESS'!$D$7:$AW$7, 'GEN-BESS'!$D$125:$AW$125), 0), IF($B32='Project List References'!$B$6, _xlfn.IFNA(_xlfn.XLOOKUP(E$2-$C32, 'GEN-CARBON'!$D$7:$AW$7, 'GEN-CARBON'!$D$124:$AW$124), 0), IF($B32='Project List References'!$B$7, _xlfn.IFNA(_xlfn.XLOOKUP(E$2-$C32, 'SENS Coal'!$D$7:$AW$7, 'SENS Coal'!$D$141:$AW$141), 0), IF($B32='Project List References'!$B$8, _xlfn.IFNA(_xlfn.XLOOKUP(E$2-$C32,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F32" s="743" t="e">
        <f>IF($B32='Project List References'!$B$3, _xlfn.IFNA(_xlfn.XLOOKUP(F$2-$C32, 'GEN-CCGT'!$D$7:$AW$7, 'GEN-CCGT'!$D$124:$AW$124), 0), IF($B32='Project List References'!$B$4, _xlfn.IFNA(_xlfn.XLOOKUP(F$2-$C32, 'GEN-SOLAR'!$D$7:$AW$7, 'GEN-SOLAR'!$D$122:$AW$122), 0), IF($B32='Project List References'!$B$5, _xlfn.IFNA(_xlfn.XLOOKUP(F$2-$C32, 'GEN-BESS'!$D$7:$AW$7, 'GEN-BESS'!$D$125:$AW$125), 0), IF($B32='Project List References'!$B$6, _xlfn.IFNA(_xlfn.XLOOKUP(F$2-$C32, 'GEN-CARBON'!$D$7:$AW$7, 'GEN-CARBON'!$D$124:$AW$124), 0), IF($B32='Project List References'!$B$7, _xlfn.IFNA(_xlfn.XLOOKUP(F$2-$C32, 'SENS Coal'!$D$7:$AW$7, 'SENS Coal'!$D$141:$AW$141), 0), IF($B32='Project List References'!$B$8, _xlfn.IFNA(_xlfn.XLOOKUP(F$2-$C32,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G32" s="743" t="e">
        <f>IF($B32='Project List References'!$B$3, _xlfn.IFNA(_xlfn.XLOOKUP(G$2-$C32, 'GEN-CCGT'!$D$7:$AW$7, 'GEN-CCGT'!$D$124:$AW$124), 0), IF($B32='Project List References'!$B$4, _xlfn.IFNA(_xlfn.XLOOKUP(G$2-$C32, 'GEN-SOLAR'!$D$7:$AW$7, 'GEN-SOLAR'!$D$122:$AW$122), 0), IF($B32='Project List References'!$B$5, _xlfn.IFNA(_xlfn.XLOOKUP(G$2-$C32, 'GEN-BESS'!$D$7:$AW$7, 'GEN-BESS'!$D$125:$AW$125), 0), IF($B32='Project List References'!$B$6, _xlfn.IFNA(_xlfn.XLOOKUP(G$2-$C32, 'GEN-CARBON'!$D$7:$AW$7, 'GEN-CARBON'!$D$124:$AW$124), 0), IF($B32='Project List References'!$B$7, _xlfn.IFNA(_xlfn.XLOOKUP(G$2-$C32, 'SENS Coal'!$D$7:$AW$7, 'SENS Coal'!$D$141:$AW$141), 0), IF($B32='Project List References'!$B$8, _xlfn.IFNA(_xlfn.XLOOKUP(G$2-$C32,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H32" s="743" t="e">
        <f>IF($B32='Project List References'!$B$3, _xlfn.IFNA(_xlfn.XLOOKUP(H$2-$C32, 'GEN-CCGT'!$D$7:$AW$7, 'GEN-CCGT'!$D$124:$AW$124), 0), IF($B32='Project List References'!$B$4, _xlfn.IFNA(_xlfn.XLOOKUP(H$2-$C32, 'GEN-SOLAR'!$D$7:$AW$7, 'GEN-SOLAR'!$D$122:$AW$122), 0), IF($B32='Project List References'!$B$5, _xlfn.IFNA(_xlfn.XLOOKUP(H$2-$C32, 'GEN-BESS'!$D$7:$AW$7, 'GEN-BESS'!$D$125:$AW$125), 0), IF($B32='Project List References'!$B$6, _xlfn.IFNA(_xlfn.XLOOKUP(H$2-$C32, 'GEN-CARBON'!$D$7:$AW$7, 'GEN-CARBON'!$D$124:$AW$124), 0), IF($B32='Project List References'!$B$7, _xlfn.IFNA(_xlfn.XLOOKUP(H$2-$C32, 'SENS Coal'!$D$7:$AW$7, 'SENS Coal'!$D$141:$AW$141), 0), IF($B32='Project List References'!$B$8, _xlfn.IFNA(_xlfn.XLOOKUP(H$2-$C32,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I32" s="743" t="e">
        <f>IF($B32='Project List References'!$B$3, _xlfn.IFNA(_xlfn.XLOOKUP(I$2-$C32, 'GEN-CCGT'!$D$7:$AW$7, 'GEN-CCGT'!$D$124:$AW$124), 0), IF($B32='Project List References'!$B$4, _xlfn.IFNA(_xlfn.XLOOKUP(I$2-$C32, 'GEN-SOLAR'!$D$7:$AW$7, 'GEN-SOLAR'!$D$122:$AW$122), 0), IF($B32='Project List References'!$B$5, _xlfn.IFNA(_xlfn.XLOOKUP(I$2-$C32, 'GEN-BESS'!$D$7:$AW$7, 'GEN-BESS'!$D$125:$AW$125), 0), IF($B32='Project List References'!$B$6, _xlfn.IFNA(_xlfn.XLOOKUP(I$2-$C32, 'GEN-CARBON'!$D$7:$AW$7, 'GEN-CARBON'!$D$124:$AW$124), 0), IF($B32='Project List References'!$B$7, _xlfn.IFNA(_xlfn.XLOOKUP(I$2-$C32, 'SENS Coal'!$D$7:$AW$7, 'SENS Coal'!$D$141:$AW$141), 0), IF($B32='Project List References'!$B$8, _xlfn.IFNA(_xlfn.XLOOKUP(I$2-$C32,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J32" s="743" t="e">
        <f>IF($B32='Project List References'!$B$3, _xlfn.IFNA(_xlfn.XLOOKUP(J$2-$C32, 'GEN-CCGT'!$D$7:$AW$7, 'GEN-CCGT'!$D$124:$AW$124), 0), IF($B32='Project List References'!$B$4, _xlfn.IFNA(_xlfn.XLOOKUP(J$2-$C32, 'GEN-SOLAR'!$D$7:$AW$7, 'GEN-SOLAR'!$D$122:$AW$122), 0), IF($B32='Project List References'!$B$5, _xlfn.IFNA(_xlfn.XLOOKUP(J$2-$C32, 'GEN-BESS'!$D$7:$AW$7, 'GEN-BESS'!$D$125:$AW$125), 0), IF($B32='Project List References'!$B$6, _xlfn.IFNA(_xlfn.XLOOKUP(J$2-$C32, 'GEN-CARBON'!$D$7:$AW$7, 'GEN-CARBON'!$D$124:$AW$124), 0), IF($B32='Project List References'!$B$7, _xlfn.IFNA(_xlfn.XLOOKUP(J$2-$C32, 'SENS Coal'!$D$7:$AW$7, 'SENS Coal'!$D$141:$AW$141), 0), IF($B32='Project List References'!$B$8, _xlfn.IFNA(_xlfn.XLOOKUP(J$2-$C32,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K32" s="743" t="e">
        <f>IF($B32='Project List References'!$B$3, _xlfn.IFNA(_xlfn.XLOOKUP(K$2-$C32, 'GEN-CCGT'!$D$7:$AW$7, 'GEN-CCGT'!$D$124:$AW$124), 0), IF($B32='Project List References'!$B$4, _xlfn.IFNA(_xlfn.XLOOKUP(K$2-$C32, 'GEN-SOLAR'!$D$7:$AW$7, 'GEN-SOLAR'!$D$122:$AW$122), 0), IF($B32='Project List References'!$B$5, _xlfn.IFNA(_xlfn.XLOOKUP(K$2-$C32, 'GEN-BESS'!$D$7:$AW$7, 'GEN-BESS'!$D$125:$AW$125), 0), IF($B32='Project List References'!$B$6, _xlfn.IFNA(_xlfn.XLOOKUP(K$2-$C32, 'GEN-CARBON'!$D$7:$AW$7, 'GEN-CARBON'!$D$124:$AW$124), 0), IF($B32='Project List References'!$B$7, _xlfn.IFNA(_xlfn.XLOOKUP(K$2-$C32, 'SENS Coal'!$D$7:$AW$7, 'SENS Coal'!$D$141:$AW$141), 0), IF($B32='Project List References'!$B$8, _xlfn.IFNA(_xlfn.XLOOKUP(K$2-$C32,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L32" s="743" t="e">
        <f>IF($B32='Project List References'!$B$3, _xlfn.IFNA(_xlfn.XLOOKUP(L$2-$C32, 'GEN-CCGT'!$D$7:$AW$7, 'GEN-CCGT'!$D$124:$AW$124), 0), IF($B32='Project List References'!$B$4, _xlfn.IFNA(_xlfn.XLOOKUP(L$2-$C32, 'GEN-SOLAR'!$D$7:$AW$7, 'GEN-SOLAR'!$D$122:$AW$122), 0), IF($B32='Project List References'!$B$5, _xlfn.IFNA(_xlfn.XLOOKUP(L$2-$C32, 'GEN-BESS'!$D$7:$AW$7, 'GEN-BESS'!$D$125:$AW$125), 0), IF($B32='Project List References'!$B$6, _xlfn.IFNA(_xlfn.XLOOKUP(L$2-$C32, 'GEN-CARBON'!$D$7:$AW$7, 'GEN-CARBON'!$D$124:$AW$124), 0), IF($B32='Project List References'!$B$7, _xlfn.IFNA(_xlfn.XLOOKUP(L$2-$C32, 'SENS Coal'!$D$7:$AW$7, 'SENS Coal'!$D$141:$AW$141), 0), IF($B32='Project List References'!$B$8, _xlfn.IFNA(_xlfn.XLOOKUP(L$2-$C32,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M32" s="743" t="e">
        <f>IF($B32='Project List References'!$B$3, _xlfn.IFNA(_xlfn.XLOOKUP(M$2-$C32, 'GEN-CCGT'!$D$7:$AW$7, 'GEN-CCGT'!$D$124:$AW$124), 0), IF($B32='Project List References'!$B$4, _xlfn.IFNA(_xlfn.XLOOKUP(M$2-$C32, 'GEN-SOLAR'!$D$7:$AW$7, 'GEN-SOLAR'!$D$122:$AW$122), 0), IF($B32='Project List References'!$B$5, _xlfn.IFNA(_xlfn.XLOOKUP(M$2-$C32, 'GEN-BESS'!$D$7:$AW$7, 'GEN-BESS'!$D$125:$AW$125), 0), IF($B32='Project List References'!$B$6, _xlfn.IFNA(_xlfn.XLOOKUP(M$2-$C32, 'GEN-CARBON'!$D$7:$AW$7, 'GEN-CARBON'!$D$124:$AW$124), 0), IF($B32='Project List References'!$B$7, _xlfn.IFNA(_xlfn.XLOOKUP(M$2-$C32, 'SENS Coal'!$D$7:$AW$7, 'SENS Coal'!$D$141:$AW$141), 0), IF($B32='Project List References'!$B$8, _xlfn.IFNA(_xlfn.XLOOKUP(M$2-$C32,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N32" s="743" t="e">
        <f>IF($B32='Project List References'!$B$3, _xlfn.IFNA(_xlfn.XLOOKUP(N$2-$C32, 'GEN-CCGT'!$D$7:$AW$7, 'GEN-CCGT'!$D$124:$AW$124), 0), IF($B32='Project List References'!$B$4, _xlfn.IFNA(_xlfn.XLOOKUP(N$2-$C32, 'GEN-SOLAR'!$D$7:$AW$7, 'GEN-SOLAR'!$D$122:$AW$122), 0), IF($B32='Project List References'!$B$5, _xlfn.IFNA(_xlfn.XLOOKUP(N$2-$C32, 'GEN-BESS'!$D$7:$AW$7, 'GEN-BESS'!$D$125:$AW$125), 0), IF($B32='Project List References'!$B$6, _xlfn.IFNA(_xlfn.XLOOKUP(N$2-$C32, 'GEN-CARBON'!$D$7:$AW$7, 'GEN-CARBON'!$D$124:$AW$124), 0), IF($B32='Project List References'!$B$7, _xlfn.IFNA(_xlfn.XLOOKUP(N$2-$C32, 'SENS Coal'!$D$7:$AW$7, 'SENS Coal'!$D$141:$AW$141), 0), IF($B32='Project List References'!$B$8, _xlfn.IFNA(_xlfn.XLOOKUP(N$2-$C32,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O32" s="743" t="e">
        <f>IF($B32='Project List References'!$B$3, _xlfn.IFNA(_xlfn.XLOOKUP(O$2-$C32, 'GEN-CCGT'!$D$7:$AW$7, 'GEN-CCGT'!$D$124:$AW$124), 0), IF($B32='Project List References'!$B$4, _xlfn.IFNA(_xlfn.XLOOKUP(O$2-$C32, 'GEN-SOLAR'!$D$7:$AW$7, 'GEN-SOLAR'!$D$122:$AW$122), 0), IF($B32='Project List References'!$B$5, _xlfn.IFNA(_xlfn.XLOOKUP(O$2-$C32, 'GEN-BESS'!$D$7:$AW$7, 'GEN-BESS'!$D$125:$AW$125), 0), IF($B32='Project List References'!$B$6, _xlfn.IFNA(_xlfn.XLOOKUP(O$2-$C32, 'GEN-CARBON'!$D$7:$AW$7, 'GEN-CARBON'!$D$124:$AW$124), 0), IF($B32='Project List References'!$B$7, _xlfn.IFNA(_xlfn.XLOOKUP(O$2-$C32, 'SENS Coal'!$D$7:$AW$7, 'SENS Coal'!$D$141:$AW$141), 0), IF($B32='Project List References'!$B$8, _xlfn.IFNA(_xlfn.XLOOKUP(O$2-$C32,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P32" s="743" t="e">
        <f>IF($B32='Project List References'!$B$3, _xlfn.IFNA(_xlfn.XLOOKUP(P$2-$C32, 'GEN-CCGT'!$D$7:$AW$7, 'GEN-CCGT'!$D$124:$AW$124), 0), IF($B32='Project List References'!$B$4, _xlfn.IFNA(_xlfn.XLOOKUP(P$2-$C32, 'GEN-SOLAR'!$D$7:$AW$7, 'GEN-SOLAR'!$D$122:$AW$122), 0), IF($B32='Project List References'!$B$5, _xlfn.IFNA(_xlfn.XLOOKUP(P$2-$C32, 'GEN-BESS'!$D$7:$AW$7, 'GEN-BESS'!$D$125:$AW$125), 0), IF($B32='Project List References'!$B$6, _xlfn.IFNA(_xlfn.XLOOKUP(P$2-$C32, 'GEN-CARBON'!$D$7:$AW$7, 'GEN-CARBON'!$D$124:$AW$124), 0), IF($B32='Project List References'!$B$7, _xlfn.IFNA(_xlfn.XLOOKUP(P$2-$C32, 'SENS Coal'!$D$7:$AW$7, 'SENS Coal'!$D$141:$AW$141), 0), IF($B32='Project List References'!$B$8, _xlfn.IFNA(_xlfn.XLOOKUP(P$2-$C32,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Q32" s="743" t="e">
        <f>IF($B32='Project List References'!$B$3, _xlfn.IFNA(_xlfn.XLOOKUP(Q$2-$C32, 'GEN-CCGT'!$D$7:$AW$7, 'GEN-CCGT'!$D$124:$AW$124), 0), IF($B32='Project List References'!$B$4, _xlfn.IFNA(_xlfn.XLOOKUP(Q$2-$C32, 'GEN-SOLAR'!$D$7:$AW$7, 'GEN-SOLAR'!$D$122:$AW$122), 0), IF($B32='Project List References'!$B$5, _xlfn.IFNA(_xlfn.XLOOKUP(Q$2-$C32, 'GEN-BESS'!$D$7:$AW$7, 'GEN-BESS'!$D$125:$AW$125), 0), IF($B32='Project List References'!$B$6, _xlfn.IFNA(_xlfn.XLOOKUP(Q$2-$C32, 'GEN-CARBON'!$D$7:$AW$7, 'GEN-CARBON'!$D$124:$AW$124), 0), IF($B32='Project List References'!$B$7, _xlfn.IFNA(_xlfn.XLOOKUP(Q$2-$C32, 'SENS Coal'!$D$7:$AW$7, 'SENS Coal'!$D$141:$AW$141), 0), IF($B32='Project List References'!$B$8, _xlfn.IFNA(_xlfn.XLOOKUP(Q$2-$C32,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R32" s="743" t="e">
        <f>IF($B32='Project List References'!$B$3, _xlfn.IFNA(_xlfn.XLOOKUP(R$2-$C32, 'GEN-CCGT'!$D$7:$AW$7, 'GEN-CCGT'!$D$124:$AW$124), 0), IF($B32='Project List References'!$B$4, _xlfn.IFNA(_xlfn.XLOOKUP(R$2-$C32, 'GEN-SOLAR'!$D$7:$AW$7, 'GEN-SOLAR'!$D$122:$AW$122), 0), IF($B32='Project List References'!$B$5, _xlfn.IFNA(_xlfn.XLOOKUP(R$2-$C32, 'GEN-BESS'!$D$7:$AW$7, 'GEN-BESS'!$D$125:$AW$125), 0), IF($B32='Project List References'!$B$6, _xlfn.IFNA(_xlfn.XLOOKUP(R$2-$C32, 'GEN-CARBON'!$D$7:$AW$7, 'GEN-CARBON'!$D$124:$AW$124), 0), IF($B32='Project List References'!$B$7, _xlfn.IFNA(_xlfn.XLOOKUP(R$2-$C32, 'SENS Coal'!$D$7:$AW$7, 'SENS Coal'!$D$141:$AW$141), 0), IF($B32='Project List References'!$B$8, _xlfn.IFNA(_xlfn.XLOOKUP(R$2-$C32,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S32" s="743" t="e">
        <f>IF($B32='Project List References'!$B$3, _xlfn.IFNA(_xlfn.XLOOKUP(S$2-$C32, 'GEN-CCGT'!$D$7:$AW$7, 'GEN-CCGT'!$D$124:$AW$124), 0), IF($B32='Project List References'!$B$4, _xlfn.IFNA(_xlfn.XLOOKUP(S$2-$C32, 'GEN-SOLAR'!$D$7:$AW$7, 'GEN-SOLAR'!$D$122:$AW$122), 0), IF($B32='Project List References'!$B$5, _xlfn.IFNA(_xlfn.XLOOKUP(S$2-$C32, 'GEN-BESS'!$D$7:$AW$7, 'GEN-BESS'!$D$125:$AW$125), 0), IF($B32='Project List References'!$B$6, _xlfn.IFNA(_xlfn.XLOOKUP(S$2-$C32, 'GEN-CARBON'!$D$7:$AW$7, 'GEN-CARBON'!$D$124:$AW$124), 0), IF($B32='Project List References'!$B$7, _xlfn.IFNA(_xlfn.XLOOKUP(S$2-$C32, 'SENS Coal'!$D$7:$AW$7, 'SENS Coal'!$D$141:$AW$141), 0), IF($B32='Project List References'!$B$8, _xlfn.IFNA(_xlfn.XLOOKUP(S$2-$C32,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T32" s="743" t="e">
        <f>IF($B32='Project List References'!$B$3, _xlfn.IFNA(_xlfn.XLOOKUP(T$2-$C32, 'GEN-CCGT'!$D$7:$AW$7, 'GEN-CCGT'!$D$124:$AW$124), 0), IF($B32='Project List References'!$B$4, _xlfn.IFNA(_xlfn.XLOOKUP(T$2-$C32, 'GEN-SOLAR'!$D$7:$AW$7, 'GEN-SOLAR'!$D$122:$AW$122), 0), IF($B32='Project List References'!$B$5, _xlfn.IFNA(_xlfn.XLOOKUP(T$2-$C32, 'GEN-BESS'!$D$7:$AW$7, 'GEN-BESS'!$D$125:$AW$125), 0), IF($B32='Project List References'!$B$6, _xlfn.IFNA(_xlfn.XLOOKUP(T$2-$C32, 'GEN-CARBON'!$D$7:$AW$7, 'GEN-CARBON'!$D$124:$AW$124), 0), IF($B32='Project List References'!$B$7, _xlfn.IFNA(_xlfn.XLOOKUP(T$2-$C32, 'SENS Coal'!$D$7:$AW$7, 'SENS Coal'!$D$141:$AW$141), 0), IF($B32='Project List References'!$B$8, _xlfn.IFNA(_xlfn.XLOOKUP(T$2-$C32, 'SENS Tires'!$D$7:$AW$7, 'SENS Tires'!$D$139:$AW$139),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</row>
    <row r="33" spans="1:20">
      <c r="A33" s="655" t="str">
        <f>IF(ISBLANK('Project Master Sheet'!A33)=FALSE, 'Project Master Sheet'!A33, "")</f>
        <v/>
      </c>
      <c r="B33" s="655" t="str">
        <f>_xlfn.IFNA(_xlfn.XLOOKUP(A33, 'Project Master Sheet'!A:A, 'Project Master Sheet'!D:D), "")</f>
        <v/>
      </c>
      <c r="C33" s="655" t="e">
        <f>_xlfn.XLOOKUP(A33, 'Project Master Sheet'!A:A, 'Project Master Sheet'!I:I)</f>
        <v>#N/A</v>
      </c>
      <c r="E33" s="743" t="e">
        <f>IF($B33='Project List References'!$B$3, _xlfn.IFNA(_xlfn.XLOOKUP(E$2-$C33, 'GEN-CCGT'!$D$7:$AW$7, 'GEN-CCGT'!$D$124:$AW$124), 0), IF($B33='Project List References'!$B$4, _xlfn.IFNA(_xlfn.XLOOKUP(E$2-$C33, 'GEN-SOLAR'!$D$7:$AW$7, 'GEN-SOLAR'!$D$122:$AW$122), 0), IF($B33='Project List References'!$B$5, _xlfn.IFNA(_xlfn.XLOOKUP(E$2-$C33, 'GEN-BESS'!$D$7:$AW$7, 'GEN-BESS'!$D$125:$AW$125), 0), IF($B33='Project List References'!$B$6, _xlfn.IFNA(_xlfn.XLOOKUP(E$2-$C33, 'GEN-CARBON'!$D$7:$AW$7, 'GEN-CARBON'!$D$124:$AW$124), 0), IF($B33='Project List References'!$B$7, _xlfn.IFNA(_xlfn.XLOOKUP(E$2-$C33, 'SENS Coal'!$D$7:$AW$7, 'SENS Coal'!$D$141:$AW$141), 0), IF($B33='Project List References'!$B$8, _xlfn.IFNA(_xlfn.XLOOKUP(E$2-$C33,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F33" s="743" t="e">
        <f>IF($B33='Project List References'!$B$3, _xlfn.IFNA(_xlfn.XLOOKUP(F$2-$C33, 'GEN-CCGT'!$D$7:$AW$7, 'GEN-CCGT'!$D$124:$AW$124), 0), IF($B33='Project List References'!$B$4, _xlfn.IFNA(_xlfn.XLOOKUP(F$2-$C33, 'GEN-SOLAR'!$D$7:$AW$7, 'GEN-SOLAR'!$D$122:$AW$122), 0), IF($B33='Project List References'!$B$5, _xlfn.IFNA(_xlfn.XLOOKUP(F$2-$C33, 'GEN-BESS'!$D$7:$AW$7, 'GEN-BESS'!$D$125:$AW$125), 0), IF($B33='Project List References'!$B$6, _xlfn.IFNA(_xlfn.XLOOKUP(F$2-$C33, 'GEN-CARBON'!$D$7:$AW$7, 'GEN-CARBON'!$D$124:$AW$124), 0), IF($B33='Project List References'!$B$7, _xlfn.IFNA(_xlfn.XLOOKUP(F$2-$C33, 'SENS Coal'!$D$7:$AW$7, 'SENS Coal'!$D$141:$AW$141), 0), IF($B33='Project List References'!$B$8, _xlfn.IFNA(_xlfn.XLOOKUP(F$2-$C33,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G33" s="743" t="e">
        <f>IF($B33='Project List References'!$B$3, _xlfn.IFNA(_xlfn.XLOOKUP(G$2-$C33, 'GEN-CCGT'!$D$7:$AW$7, 'GEN-CCGT'!$D$124:$AW$124), 0), IF($B33='Project List References'!$B$4, _xlfn.IFNA(_xlfn.XLOOKUP(G$2-$C33, 'GEN-SOLAR'!$D$7:$AW$7, 'GEN-SOLAR'!$D$122:$AW$122), 0), IF($B33='Project List References'!$B$5, _xlfn.IFNA(_xlfn.XLOOKUP(G$2-$C33, 'GEN-BESS'!$D$7:$AW$7, 'GEN-BESS'!$D$125:$AW$125), 0), IF($B33='Project List References'!$B$6, _xlfn.IFNA(_xlfn.XLOOKUP(G$2-$C33, 'GEN-CARBON'!$D$7:$AW$7, 'GEN-CARBON'!$D$124:$AW$124), 0), IF($B33='Project List References'!$B$7, _xlfn.IFNA(_xlfn.XLOOKUP(G$2-$C33, 'SENS Coal'!$D$7:$AW$7, 'SENS Coal'!$D$141:$AW$141), 0), IF($B33='Project List References'!$B$8, _xlfn.IFNA(_xlfn.XLOOKUP(G$2-$C33,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H33" s="743" t="e">
        <f>IF($B33='Project List References'!$B$3, _xlfn.IFNA(_xlfn.XLOOKUP(H$2-$C33, 'GEN-CCGT'!$D$7:$AW$7, 'GEN-CCGT'!$D$124:$AW$124), 0), IF($B33='Project List References'!$B$4, _xlfn.IFNA(_xlfn.XLOOKUP(H$2-$C33, 'GEN-SOLAR'!$D$7:$AW$7, 'GEN-SOLAR'!$D$122:$AW$122), 0), IF($B33='Project List References'!$B$5, _xlfn.IFNA(_xlfn.XLOOKUP(H$2-$C33, 'GEN-BESS'!$D$7:$AW$7, 'GEN-BESS'!$D$125:$AW$125), 0), IF($B33='Project List References'!$B$6, _xlfn.IFNA(_xlfn.XLOOKUP(H$2-$C33, 'GEN-CARBON'!$D$7:$AW$7, 'GEN-CARBON'!$D$124:$AW$124), 0), IF($B33='Project List References'!$B$7, _xlfn.IFNA(_xlfn.XLOOKUP(H$2-$C33, 'SENS Coal'!$D$7:$AW$7, 'SENS Coal'!$D$141:$AW$141), 0), IF($B33='Project List References'!$B$8, _xlfn.IFNA(_xlfn.XLOOKUP(H$2-$C33,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I33" s="743" t="e">
        <f>IF($B33='Project List References'!$B$3, _xlfn.IFNA(_xlfn.XLOOKUP(I$2-$C33, 'GEN-CCGT'!$D$7:$AW$7, 'GEN-CCGT'!$D$124:$AW$124), 0), IF($B33='Project List References'!$B$4, _xlfn.IFNA(_xlfn.XLOOKUP(I$2-$C33, 'GEN-SOLAR'!$D$7:$AW$7, 'GEN-SOLAR'!$D$122:$AW$122), 0), IF($B33='Project List References'!$B$5, _xlfn.IFNA(_xlfn.XLOOKUP(I$2-$C33, 'GEN-BESS'!$D$7:$AW$7, 'GEN-BESS'!$D$125:$AW$125), 0), IF($B33='Project List References'!$B$6, _xlfn.IFNA(_xlfn.XLOOKUP(I$2-$C33, 'GEN-CARBON'!$D$7:$AW$7, 'GEN-CARBON'!$D$124:$AW$124), 0), IF($B33='Project List References'!$B$7, _xlfn.IFNA(_xlfn.XLOOKUP(I$2-$C33, 'SENS Coal'!$D$7:$AW$7, 'SENS Coal'!$D$141:$AW$141), 0), IF($B33='Project List References'!$B$8, _xlfn.IFNA(_xlfn.XLOOKUP(I$2-$C33,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J33" s="743" t="e">
        <f>IF($B33='Project List References'!$B$3, _xlfn.IFNA(_xlfn.XLOOKUP(J$2-$C33, 'GEN-CCGT'!$D$7:$AW$7, 'GEN-CCGT'!$D$124:$AW$124), 0), IF($B33='Project List References'!$B$4, _xlfn.IFNA(_xlfn.XLOOKUP(J$2-$C33, 'GEN-SOLAR'!$D$7:$AW$7, 'GEN-SOLAR'!$D$122:$AW$122), 0), IF($B33='Project List References'!$B$5, _xlfn.IFNA(_xlfn.XLOOKUP(J$2-$C33, 'GEN-BESS'!$D$7:$AW$7, 'GEN-BESS'!$D$125:$AW$125), 0), IF($B33='Project List References'!$B$6, _xlfn.IFNA(_xlfn.XLOOKUP(J$2-$C33, 'GEN-CARBON'!$D$7:$AW$7, 'GEN-CARBON'!$D$124:$AW$124), 0), IF($B33='Project List References'!$B$7, _xlfn.IFNA(_xlfn.XLOOKUP(J$2-$C33, 'SENS Coal'!$D$7:$AW$7, 'SENS Coal'!$D$141:$AW$141), 0), IF($B33='Project List References'!$B$8, _xlfn.IFNA(_xlfn.XLOOKUP(J$2-$C33,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K33" s="743" t="e">
        <f>IF($B33='Project List References'!$B$3, _xlfn.IFNA(_xlfn.XLOOKUP(K$2-$C33, 'GEN-CCGT'!$D$7:$AW$7, 'GEN-CCGT'!$D$124:$AW$124), 0), IF($B33='Project List References'!$B$4, _xlfn.IFNA(_xlfn.XLOOKUP(K$2-$C33, 'GEN-SOLAR'!$D$7:$AW$7, 'GEN-SOLAR'!$D$122:$AW$122), 0), IF($B33='Project List References'!$B$5, _xlfn.IFNA(_xlfn.XLOOKUP(K$2-$C33, 'GEN-BESS'!$D$7:$AW$7, 'GEN-BESS'!$D$125:$AW$125), 0), IF($B33='Project List References'!$B$6, _xlfn.IFNA(_xlfn.XLOOKUP(K$2-$C33, 'GEN-CARBON'!$D$7:$AW$7, 'GEN-CARBON'!$D$124:$AW$124), 0), IF($B33='Project List References'!$B$7, _xlfn.IFNA(_xlfn.XLOOKUP(K$2-$C33, 'SENS Coal'!$D$7:$AW$7, 'SENS Coal'!$D$141:$AW$141), 0), IF($B33='Project List References'!$B$8, _xlfn.IFNA(_xlfn.XLOOKUP(K$2-$C33,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L33" s="743" t="e">
        <f>IF($B33='Project List References'!$B$3, _xlfn.IFNA(_xlfn.XLOOKUP(L$2-$C33, 'GEN-CCGT'!$D$7:$AW$7, 'GEN-CCGT'!$D$124:$AW$124), 0), IF($B33='Project List References'!$B$4, _xlfn.IFNA(_xlfn.XLOOKUP(L$2-$C33, 'GEN-SOLAR'!$D$7:$AW$7, 'GEN-SOLAR'!$D$122:$AW$122), 0), IF($B33='Project List References'!$B$5, _xlfn.IFNA(_xlfn.XLOOKUP(L$2-$C33, 'GEN-BESS'!$D$7:$AW$7, 'GEN-BESS'!$D$125:$AW$125), 0), IF($B33='Project List References'!$B$6, _xlfn.IFNA(_xlfn.XLOOKUP(L$2-$C33, 'GEN-CARBON'!$D$7:$AW$7, 'GEN-CARBON'!$D$124:$AW$124), 0), IF($B33='Project List References'!$B$7, _xlfn.IFNA(_xlfn.XLOOKUP(L$2-$C33, 'SENS Coal'!$D$7:$AW$7, 'SENS Coal'!$D$141:$AW$141), 0), IF($B33='Project List References'!$B$8, _xlfn.IFNA(_xlfn.XLOOKUP(L$2-$C33,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M33" s="743" t="e">
        <f>IF($B33='Project List References'!$B$3, _xlfn.IFNA(_xlfn.XLOOKUP(M$2-$C33, 'GEN-CCGT'!$D$7:$AW$7, 'GEN-CCGT'!$D$124:$AW$124), 0), IF($B33='Project List References'!$B$4, _xlfn.IFNA(_xlfn.XLOOKUP(M$2-$C33, 'GEN-SOLAR'!$D$7:$AW$7, 'GEN-SOLAR'!$D$122:$AW$122), 0), IF($B33='Project List References'!$B$5, _xlfn.IFNA(_xlfn.XLOOKUP(M$2-$C33, 'GEN-BESS'!$D$7:$AW$7, 'GEN-BESS'!$D$125:$AW$125), 0), IF($B33='Project List References'!$B$6, _xlfn.IFNA(_xlfn.XLOOKUP(M$2-$C33, 'GEN-CARBON'!$D$7:$AW$7, 'GEN-CARBON'!$D$124:$AW$124), 0), IF($B33='Project List References'!$B$7, _xlfn.IFNA(_xlfn.XLOOKUP(M$2-$C33, 'SENS Coal'!$D$7:$AW$7, 'SENS Coal'!$D$141:$AW$141), 0), IF($B33='Project List References'!$B$8, _xlfn.IFNA(_xlfn.XLOOKUP(M$2-$C33,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N33" s="743" t="e">
        <f>IF($B33='Project List References'!$B$3, _xlfn.IFNA(_xlfn.XLOOKUP(N$2-$C33, 'GEN-CCGT'!$D$7:$AW$7, 'GEN-CCGT'!$D$124:$AW$124), 0), IF($B33='Project List References'!$B$4, _xlfn.IFNA(_xlfn.XLOOKUP(N$2-$C33, 'GEN-SOLAR'!$D$7:$AW$7, 'GEN-SOLAR'!$D$122:$AW$122), 0), IF($B33='Project List References'!$B$5, _xlfn.IFNA(_xlfn.XLOOKUP(N$2-$C33, 'GEN-BESS'!$D$7:$AW$7, 'GEN-BESS'!$D$125:$AW$125), 0), IF($B33='Project List References'!$B$6, _xlfn.IFNA(_xlfn.XLOOKUP(N$2-$C33, 'GEN-CARBON'!$D$7:$AW$7, 'GEN-CARBON'!$D$124:$AW$124), 0), IF($B33='Project List References'!$B$7, _xlfn.IFNA(_xlfn.XLOOKUP(N$2-$C33, 'SENS Coal'!$D$7:$AW$7, 'SENS Coal'!$D$141:$AW$141), 0), IF($B33='Project List References'!$B$8, _xlfn.IFNA(_xlfn.XLOOKUP(N$2-$C33,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O33" s="743" t="e">
        <f>IF($B33='Project List References'!$B$3, _xlfn.IFNA(_xlfn.XLOOKUP(O$2-$C33, 'GEN-CCGT'!$D$7:$AW$7, 'GEN-CCGT'!$D$124:$AW$124), 0), IF($B33='Project List References'!$B$4, _xlfn.IFNA(_xlfn.XLOOKUP(O$2-$C33, 'GEN-SOLAR'!$D$7:$AW$7, 'GEN-SOLAR'!$D$122:$AW$122), 0), IF($B33='Project List References'!$B$5, _xlfn.IFNA(_xlfn.XLOOKUP(O$2-$C33, 'GEN-BESS'!$D$7:$AW$7, 'GEN-BESS'!$D$125:$AW$125), 0), IF($B33='Project List References'!$B$6, _xlfn.IFNA(_xlfn.XLOOKUP(O$2-$C33, 'GEN-CARBON'!$D$7:$AW$7, 'GEN-CARBON'!$D$124:$AW$124), 0), IF($B33='Project List References'!$B$7, _xlfn.IFNA(_xlfn.XLOOKUP(O$2-$C33, 'SENS Coal'!$D$7:$AW$7, 'SENS Coal'!$D$141:$AW$141), 0), IF($B33='Project List References'!$B$8, _xlfn.IFNA(_xlfn.XLOOKUP(O$2-$C33,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P33" s="743" t="e">
        <f>IF($B33='Project List References'!$B$3, _xlfn.IFNA(_xlfn.XLOOKUP(P$2-$C33, 'GEN-CCGT'!$D$7:$AW$7, 'GEN-CCGT'!$D$124:$AW$124), 0), IF($B33='Project List References'!$B$4, _xlfn.IFNA(_xlfn.XLOOKUP(P$2-$C33, 'GEN-SOLAR'!$D$7:$AW$7, 'GEN-SOLAR'!$D$122:$AW$122), 0), IF($B33='Project List References'!$B$5, _xlfn.IFNA(_xlfn.XLOOKUP(P$2-$C33, 'GEN-BESS'!$D$7:$AW$7, 'GEN-BESS'!$D$125:$AW$125), 0), IF($B33='Project List References'!$B$6, _xlfn.IFNA(_xlfn.XLOOKUP(P$2-$C33, 'GEN-CARBON'!$D$7:$AW$7, 'GEN-CARBON'!$D$124:$AW$124), 0), IF($B33='Project List References'!$B$7, _xlfn.IFNA(_xlfn.XLOOKUP(P$2-$C33, 'SENS Coal'!$D$7:$AW$7, 'SENS Coal'!$D$141:$AW$141), 0), IF($B33='Project List References'!$B$8, _xlfn.IFNA(_xlfn.XLOOKUP(P$2-$C33,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Q33" s="743" t="e">
        <f>IF($B33='Project List References'!$B$3, _xlfn.IFNA(_xlfn.XLOOKUP(Q$2-$C33, 'GEN-CCGT'!$D$7:$AW$7, 'GEN-CCGT'!$D$124:$AW$124), 0), IF($B33='Project List References'!$B$4, _xlfn.IFNA(_xlfn.XLOOKUP(Q$2-$C33, 'GEN-SOLAR'!$D$7:$AW$7, 'GEN-SOLAR'!$D$122:$AW$122), 0), IF($B33='Project List References'!$B$5, _xlfn.IFNA(_xlfn.XLOOKUP(Q$2-$C33, 'GEN-BESS'!$D$7:$AW$7, 'GEN-BESS'!$D$125:$AW$125), 0), IF($B33='Project List References'!$B$6, _xlfn.IFNA(_xlfn.XLOOKUP(Q$2-$C33, 'GEN-CARBON'!$D$7:$AW$7, 'GEN-CARBON'!$D$124:$AW$124), 0), IF($B33='Project List References'!$B$7, _xlfn.IFNA(_xlfn.XLOOKUP(Q$2-$C33, 'SENS Coal'!$D$7:$AW$7, 'SENS Coal'!$D$141:$AW$141), 0), IF($B33='Project List References'!$B$8, _xlfn.IFNA(_xlfn.XLOOKUP(Q$2-$C33,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R33" s="743" t="e">
        <f>IF($B33='Project List References'!$B$3, _xlfn.IFNA(_xlfn.XLOOKUP(R$2-$C33, 'GEN-CCGT'!$D$7:$AW$7, 'GEN-CCGT'!$D$124:$AW$124), 0), IF($B33='Project List References'!$B$4, _xlfn.IFNA(_xlfn.XLOOKUP(R$2-$C33, 'GEN-SOLAR'!$D$7:$AW$7, 'GEN-SOLAR'!$D$122:$AW$122), 0), IF($B33='Project List References'!$B$5, _xlfn.IFNA(_xlfn.XLOOKUP(R$2-$C33, 'GEN-BESS'!$D$7:$AW$7, 'GEN-BESS'!$D$125:$AW$125), 0), IF($B33='Project List References'!$B$6, _xlfn.IFNA(_xlfn.XLOOKUP(R$2-$C33, 'GEN-CARBON'!$D$7:$AW$7, 'GEN-CARBON'!$D$124:$AW$124), 0), IF($B33='Project List References'!$B$7, _xlfn.IFNA(_xlfn.XLOOKUP(R$2-$C33, 'SENS Coal'!$D$7:$AW$7, 'SENS Coal'!$D$141:$AW$141), 0), IF($B33='Project List References'!$B$8, _xlfn.IFNA(_xlfn.XLOOKUP(R$2-$C33,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S33" s="743" t="e">
        <f>IF($B33='Project List References'!$B$3, _xlfn.IFNA(_xlfn.XLOOKUP(S$2-$C33, 'GEN-CCGT'!$D$7:$AW$7, 'GEN-CCGT'!$D$124:$AW$124), 0), IF($B33='Project List References'!$B$4, _xlfn.IFNA(_xlfn.XLOOKUP(S$2-$C33, 'GEN-SOLAR'!$D$7:$AW$7, 'GEN-SOLAR'!$D$122:$AW$122), 0), IF($B33='Project List References'!$B$5, _xlfn.IFNA(_xlfn.XLOOKUP(S$2-$C33, 'GEN-BESS'!$D$7:$AW$7, 'GEN-BESS'!$D$125:$AW$125), 0), IF($B33='Project List References'!$B$6, _xlfn.IFNA(_xlfn.XLOOKUP(S$2-$C33, 'GEN-CARBON'!$D$7:$AW$7, 'GEN-CARBON'!$D$124:$AW$124), 0), IF($B33='Project List References'!$B$7, _xlfn.IFNA(_xlfn.XLOOKUP(S$2-$C33, 'SENS Coal'!$D$7:$AW$7, 'SENS Coal'!$D$141:$AW$141), 0), IF($B33='Project List References'!$B$8, _xlfn.IFNA(_xlfn.XLOOKUP(S$2-$C33,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T33" s="743" t="e">
        <f>IF($B33='Project List References'!$B$3, _xlfn.IFNA(_xlfn.XLOOKUP(T$2-$C33, 'GEN-CCGT'!$D$7:$AW$7, 'GEN-CCGT'!$D$124:$AW$124), 0), IF($B33='Project List References'!$B$4, _xlfn.IFNA(_xlfn.XLOOKUP(T$2-$C33, 'GEN-SOLAR'!$D$7:$AW$7, 'GEN-SOLAR'!$D$122:$AW$122), 0), IF($B33='Project List References'!$B$5, _xlfn.IFNA(_xlfn.XLOOKUP(T$2-$C33, 'GEN-BESS'!$D$7:$AW$7, 'GEN-BESS'!$D$125:$AW$125), 0), IF($B33='Project List References'!$B$6, _xlfn.IFNA(_xlfn.XLOOKUP(T$2-$C33, 'GEN-CARBON'!$D$7:$AW$7, 'GEN-CARBON'!$D$124:$AW$124), 0), IF($B33='Project List References'!$B$7, _xlfn.IFNA(_xlfn.XLOOKUP(T$2-$C33, 'SENS Coal'!$D$7:$AW$7, 'SENS Coal'!$D$141:$AW$141), 0), IF($B33='Project List References'!$B$8, _xlfn.IFNA(_xlfn.XLOOKUP(T$2-$C33, 'SENS Tires'!$D$7:$AW$7, 'SENS Tires'!$D$139:$AW$139),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</row>
    <row r="34" spans="1:20">
      <c r="A34" s="655" t="str">
        <f>IF(ISBLANK('Project Master Sheet'!A34)=FALSE, 'Project Master Sheet'!A34, "")</f>
        <v/>
      </c>
      <c r="B34" s="655" t="str">
        <f>_xlfn.IFNA(_xlfn.XLOOKUP(A34, 'Project Master Sheet'!A:A, 'Project Master Sheet'!D:D), "")</f>
        <v/>
      </c>
      <c r="C34" s="655" t="e">
        <f>_xlfn.XLOOKUP(A34, 'Project Master Sheet'!A:A, 'Project Master Sheet'!I:I)</f>
        <v>#N/A</v>
      </c>
      <c r="E34" s="743" t="e">
        <f>IF($B34='Project List References'!$B$3, _xlfn.IFNA(_xlfn.XLOOKUP(E$2-$C34, 'GEN-CCGT'!$D$7:$AW$7, 'GEN-CCGT'!$D$124:$AW$124), 0), IF($B34='Project List References'!$B$4, _xlfn.IFNA(_xlfn.XLOOKUP(E$2-$C34, 'GEN-SOLAR'!$D$7:$AW$7, 'GEN-SOLAR'!$D$122:$AW$122), 0), IF($B34='Project List References'!$B$5, _xlfn.IFNA(_xlfn.XLOOKUP(E$2-$C34, 'GEN-BESS'!$D$7:$AW$7, 'GEN-BESS'!$D$125:$AW$125), 0), IF($B34='Project List References'!$B$6, _xlfn.IFNA(_xlfn.XLOOKUP(E$2-$C34, 'GEN-CARBON'!$D$7:$AW$7, 'GEN-CARBON'!$D$124:$AW$124), 0), IF($B34='Project List References'!$B$7, _xlfn.IFNA(_xlfn.XLOOKUP(E$2-$C34, 'SENS Coal'!$D$7:$AW$7, 'SENS Coal'!$D$141:$AW$141), 0), IF($B34='Project List References'!$B$8, _xlfn.IFNA(_xlfn.XLOOKUP(E$2-$C34,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F34" s="743" t="e">
        <f>IF($B34='Project List References'!$B$3, _xlfn.IFNA(_xlfn.XLOOKUP(F$2-$C34, 'GEN-CCGT'!$D$7:$AW$7, 'GEN-CCGT'!$D$124:$AW$124), 0), IF($B34='Project List References'!$B$4, _xlfn.IFNA(_xlfn.XLOOKUP(F$2-$C34, 'GEN-SOLAR'!$D$7:$AW$7, 'GEN-SOLAR'!$D$122:$AW$122), 0), IF($B34='Project List References'!$B$5, _xlfn.IFNA(_xlfn.XLOOKUP(F$2-$C34, 'GEN-BESS'!$D$7:$AW$7, 'GEN-BESS'!$D$125:$AW$125), 0), IF($B34='Project List References'!$B$6, _xlfn.IFNA(_xlfn.XLOOKUP(F$2-$C34, 'GEN-CARBON'!$D$7:$AW$7, 'GEN-CARBON'!$D$124:$AW$124), 0), IF($B34='Project List References'!$B$7, _xlfn.IFNA(_xlfn.XLOOKUP(F$2-$C34, 'SENS Coal'!$D$7:$AW$7, 'SENS Coal'!$D$141:$AW$141), 0), IF($B34='Project List References'!$B$8, _xlfn.IFNA(_xlfn.XLOOKUP(F$2-$C34,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G34" s="743" t="e">
        <f>IF($B34='Project List References'!$B$3, _xlfn.IFNA(_xlfn.XLOOKUP(G$2-$C34, 'GEN-CCGT'!$D$7:$AW$7, 'GEN-CCGT'!$D$124:$AW$124), 0), IF($B34='Project List References'!$B$4, _xlfn.IFNA(_xlfn.XLOOKUP(G$2-$C34, 'GEN-SOLAR'!$D$7:$AW$7, 'GEN-SOLAR'!$D$122:$AW$122), 0), IF($B34='Project List References'!$B$5, _xlfn.IFNA(_xlfn.XLOOKUP(G$2-$C34, 'GEN-BESS'!$D$7:$AW$7, 'GEN-BESS'!$D$125:$AW$125), 0), IF($B34='Project List References'!$B$6, _xlfn.IFNA(_xlfn.XLOOKUP(G$2-$C34, 'GEN-CARBON'!$D$7:$AW$7, 'GEN-CARBON'!$D$124:$AW$124), 0), IF($B34='Project List References'!$B$7, _xlfn.IFNA(_xlfn.XLOOKUP(G$2-$C34, 'SENS Coal'!$D$7:$AW$7, 'SENS Coal'!$D$141:$AW$141), 0), IF($B34='Project List References'!$B$8, _xlfn.IFNA(_xlfn.XLOOKUP(G$2-$C34,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H34" s="743" t="e">
        <f>IF($B34='Project List References'!$B$3, _xlfn.IFNA(_xlfn.XLOOKUP(H$2-$C34, 'GEN-CCGT'!$D$7:$AW$7, 'GEN-CCGT'!$D$124:$AW$124), 0), IF($B34='Project List References'!$B$4, _xlfn.IFNA(_xlfn.XLOOKUP(H$2-$C34, 'GEN-SOLAR'!$D$7:$AW$7, 'GEN-SOLAR'!$D$122:$AW$122), 0), IF($B34='Project List References'!$B$5, _xlfn.IFNA(_xlfn.XLOOKUP(H$2-$C34, 'GEN-BESS'!$D$7:$AW$7, 'GEN-BESS'!$D$125:$AW$125), 0), IF($B34='Project List References'!$B$6, _xlfn.IFNA(_xlfn.XLOOKUP(H$2-$C34, 'GEN-CARBON'!$D$7:$AW$7, 'GEN-CARBON'!$D$124:$AW$124), 0), IF($B34='Project List References'!$B$7, _xlfn.IFNA(_xlfn.XLOOKUP(H$2-$C34, 'SENS Coal'!$D$7:$AW$7, 'SENS Coal'!$D$141:$AW$141), 0), IF($B34='Project List References'!$B$8, _xlfn.IFNA(_xlfn.XLOOKUP(H$2-$C34,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I34" s="743" t="e">
        <f>IF($B34='Project List References'!$B$3, _xlfn.IFNA(_xlfn.XLOOKUP(I$2-$C34, 'GEN-CCGT'!$D$7:$AW$7, 'GEN-CCGT'!$D$124:$AW$124), 0), IF($B34='Project List References'!$B$4, _xlfn.IFNA(_xlfn.XLOOKUP(I$2-$C34, 'GEN-SOLAR'!$D$7:$AW$7, 'GEN-SOLAR'!$D$122:$AW$122), 0), IF($B34='Project List References'!$B$5, _xlfn.IFNA(_xlfn.XLOOKUP(I$2-$C34, 'GEN-BESS'!$D$7:$AW$7, 'GEN-BESS'!$D$125:$AW$125), 0), IF($B34='Project List References'!$B$6, _xlfn.IFNA(_xlfn.XLOOKUP(I$2-$C34, 'GEN-CARBON'!$D$7:$AW$7, 'GEN-CARBON'!$D$124:$AW$124), 0), IF($B34='Project List References'!$B$7, _xlfn.IFNA(_xlfn.XLOOKUP(I$2-$C34, 'SENS Coal'!$D$7:$AW$7, 'SENS Coal'!$D$141:$AW$141), 0), IF($B34='Project List References'!$B$8, _xlfn.IFNA(_xlfn.XLOOKUP(I$2-$C34,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J34" s="743" t="e">
        <f>IF($B34='Project List References'!$B$3, _xlfn.IFNA(_xlfn.XLOOKUP(J$2-$C34, 'GEN-CCGT'!$D$7:$AW$7, 'GEN-CCGT'!$D$124:$AW$124), 0), IF($B34='Project List References'!$B$4, _xlfn.IFNA(_xlfn.XLOOKUP(J$2-$C34, 'GEN-SOLAR'!$D$7:$AW$7, 'GEN-SOLAR'!$D$122:$AW$122), 0), IF($B34='Project List References'!$B$5, _xlfn.IFNA(_xlfn.XLOOKUP(J$2-$C34, 'GEN-BESS'!$D$7:$AW$7, 'GEN-BESS'!$D$125:$AW$125), 0), IF($B34='Project List References'!$B$6, _xlfn.IFNA(_xlfn.XLOOKUP(J$2-$C34, 'GEN-CARBON'!$D$7:$AW$7, 'GEN-CARBON'!$D$124:$AW$124), 0), IF($B34='Project List References'!$B$7, _xlfn.IFNA(_xlfn.XLOOKUP(J$2-$C34, 'SENS Coal'!$D$7:$AW$7, 'SENS Coal'!$D$141:$AW$141), 0), IF($B34='Project List References'!$B$8, _xlfn.IFNA(_xlfn.XLOOKUP(J$2-$C34,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K34" s="743" t="e">
        <f>IF($B34='Project List References'!$B$3, _xlfn.IFNA(_xlfn.XLOOKUP(K$2-$C34, 'GEN-CCGT'!$D$7:$AW$7, 'GEN-CCGT'!$D$124:$AW$124), 0), IF($B34='Project List References'!$B$4, _xlfn.IFNA(_xlfn.XLOOKUP(K$2-$C34, 'GEN-SOLAR'!$D$7:$AW$7, 'GEN-SOLAR'!$D$122:$AW$122), 0), IF($B34='Project List References'!$B$5, _xlfn.IFNA(_xlfn.XLOOKUP(K$2-$C34, 'GEN-BESS'!$D$7:$AW$7, 'GEN-BESS'!$D$125:$AW$125), 0), IF($B34='Project List References'!$B$6, _xlfn.IFNA(_xlfn.XLOOKUP(K$2-$C34, 'GEN-CARBON'!$D$7:$AW$7, 'GEN-CARBON'!$D$124:$AW$124), 0), IF($B34='Project List References'!$B$7, _xlfn.IFNA(_xlfn.XLOOKUP(K$2-$C34, 'SENS Coal'!$D$7:$AW$7, 'SENS Coal'!$D$141:$AW$141), 0), IF($B34='Project List References'!$B$8, _xlfn.IFNA(_xlfn.XLOOKUP(K$2-$C34,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L34" s="743" t="e">
        <f>IF($B34='Project List References'!$B$3, _xlfn.IFNA(_xlfn.XLOOKUP(L$2-$C34, 'GEN-CCGT'!$D$7:$AW$7, 'GEN-CCGT'!$D$124:$AW$124), 0), IF($B34='Project List References'!$B$4, _xlfn.IFNA(_xlfn.XLOOKUP(L$2-$C34, 'GEN-SOLAR'!$D$7:$AW$7, 'GEN-SOLAR'!$D$122:$AW$122), 0), IF($B34='Project List References'!$B$5, _xlfn.IFNA(_xlfn.XLOOKUP(L$2-$C34, 'GEN-BESS'!$D$7:$AW$7, 'GEN-BESS'!$D$125:$AW$125), 0), IF($B34='Project List References'!$B$6, _xlfn.IFNA(_xlfn.XLOOKUP(L$2-$C34, 'GEN-CARBON'!$D$7:$AW$7, 'GEN-CARBON'!$D$124:$AW$124), 0), IF($B34='Project List References'!$B$7, _xlfn.IFNA(_xlfn.XLOOKUP(L$2-$C34, 'SENS Coal'!$D$7:$AW$7, 'SENS Coal'!$D$141:$AW$141), 0), IF($B34='Project List References'!$B$8, _xlfn.IFNA(_xlfn.XLOOKUP(L$2-$C34,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M34" s="743" t="e">
        <f>IF($B34='Project List References'!$B$3, _xlfn.IFNA(_xlfn.XLOOKUP(M$2-$C34, 'GEN-CCGT'!$D$7:$AW$7, 'GEN-CCGT'!$D$124:$AW$124), 0), IF($B34='Project List References'!$B$4, _xlfn.IFNA(_xlfn.XLOOKUP(M$2-$C34, 'GEN-SOLAR'!$D$7:$AW$7, 'GEN-SOLAR'!$D$122:$AW$122), 0), IF($B34='Project List References'!$B$5, _xlfn.IFNA(_xlfn.XLOOKUP(M$2-$C34, 'GEN-BESS'!$D$7:$AW$7, 'GEN-BESS'!$D$125:$AW$125), 0), IF($B34='Project List References'!$B$6, _xlfn.IFNA(_xlfn.XLOOKUP(M$2-$C34, 'GEN-CARBON'!$D$7:$AW$7, 'GEN-CARBON'!$D$124:$AW$124), 0), IF($B34='Project List References'!$B$7, _xlfn.IFNA(_xlfn.XLOOKUP(M$2-$C34, 'SENS Coal'!$D$7:$AW$7, 'SENS Coal'!$D$141:$AW$141), 0), IF($B34='Project List References'!$B$8, _xlfn.IFNA(_xlfn.XLOOKUP(M$2-$C34,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N34" s="743" t="e">
        <f>IF($B34='Project List References'!$B$3, _xlfn.IFNA(_xlfn.XLOOKUP(N$2-$C34, 'GEN-CCGT'!$D$7:$AW$7, 'GEN-CCGT'!$D$124:$AW$124), 0), IF($B34='Project List References'!$B$4, _xlfn.IFNA(_xlfn.XLOOKUP(N$2-$C34, 'GEN-SOLAR'!$D$7:$AW$7, 'GEN-SOLAR'!$D$122:$AW$122), 0), IF($B34='Project List References'!$B$5, _xlfn.IFNA(_xlfn.XLOOKUP(N$2-$C34, 'GEN-BESS'!$D$7:$AW$7, 'GEN-BESS'!$D$125:$AW$125), 0), IF($B34='Project List References'!$B$6, _xlfn.IFNA(_xlfn.XLOOKUP(N$2-$C34, 'GEN-CARBON'!$D$7:$AW$7, 'GEN-CARBON'!$D$124:$AW$124), 0), IF($B34='Project List References'!$B$7, _xlfn.IFNA(_xlfn.XLOOKUP(N$2-$C34, 'SENS Coal'!$D$7:$AW$7, 'SENS Coal'!$D$141:$AW$141), 0), IF($B34='Project List References'!$B$8, _xlfn.IFNA(_xlfn.XLOOKUP(N$2-$C34,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O34" s="743" t="e">
        <f>IF($B34='Project List References'!$B$3, _xlfn.IFNA(_xlfn.XLOOKUP(O$2-$C34, 'GEN-CCGT'!$D$7:$AW$7, 'GEN-CCGT'!$D$124:$AW$124), 0), IF($B34='Project List References'!$B$4, _xlfn.IFNA(_xlfn.XLOOKUP(O$2-$C34, 'GEN-SOLAR'!$D$7:$AW$7, 'GEN-SOLAR'!$D$122:$AW$122), 0), IF($B34='Project List References'!$B$5, _xlfn.IFNA(_xlfn.XLOOKUP(O$2-$C34, 'GEN-BESS'!$D$7:$AW$7, 'GEN-BESS'!$D$125:$AW$125), 0), IF($B34='Project List References'!$B$6, _xlfn.IFNA(_xlfn.XLOOKUP(O$2-$C34, 'GEN-CARBON'!$D$7:$AW$7, 'GEN-CARBON'!$D$124:$AW$124), 0), IF($B34='Project List References'!$B$7, _xlfn.IFNA(_xlfn.XLOOKUP(O$2-$C34, 'SENS Coal'!$D$7:$AW$7, 'SENS Coal'!$D$141:$AW$141), 0), IF($B34='Project List References'!$B$8, _xlfn.IFNA(_xlfn.XLOOKUP(O$2-$C34,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P34" s="743" t="e">
        <f>IF($B34='Project List References'!$B$3, _xlfn.IFNA(_xlfn.XLOOKUP(P$2-$C34, 'GEN-CCGT'!$D$7:$AW$7, 'GEN-CCGT'!$D$124:$AW$124), 0), IF($B34='Project List References'!$B$4, _xlfn.IFNA(_xlfn.XLOOKUP(P$2-$C34, 'GEN-SOLAR'!$D$7:$AW$7, 'GEN-SOLAR'!$D$122:$AW$122), 0), IF($B34='Project List References'!$B$5, _xlfn.IFNA(_xlfn.XLOOKUP(P$2-$C34, 'GEN-BESS'!$D$7:$AW$7, 'GEN-BESS'!$D$125:$AW$125), 0), IF($B34='Project List References'!$B$6, _xlfn.IFNA(_xlfn.XLOOKUP(P$2-$C34, 'GEN-CARBON'!$D$7:$AW$7, 'GEN-CARBON'!$D$124:$AW$124), 0), IF($B34='Project List References'!$B$7, _xlfn.IFNA(_xlfn.XLOOKUP(P$2-$C34, 'SENS Coal'!$D$7:$AW$7, 'SENS Coal'!$D$141:$AW$141), 0), IF($B34='Project List References'!$B$8, _xlfn.IFNA(_xlfn.XLOOKUP(P$2-$C34,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Q34" s="743" t="e">
        <f>IF($B34='Project List References'!$B$3, _xlfn.IFNA(_xlfn.XLOOKUP(Q$2-$C34, 'GEN-CCGT'!$D$7:$AW$7, 'GEN-CCGT'!$D$124:$AW$124), 0), IF($B34='Project List References'!$B$4, _xlfn.IFNA(_xlfn.XLOOKUP(Q$2-$C34, 'GEN-SOLAR'!$D$7:$AW$7, 'GEN-SOLAR'!$D$122:$AW$122), 0), IF($B34='Project List References'!$B$5, _xlfn.IFNA(_xlfn.XLOOKUP(Q$2-$C34, 'GEN-BESS'!$D$7:$AW$7, 'GEN-BESS'!$D$125:$AW$125), 0), IF($B34='Project List References'!$B$6, _xlfn.IFNA(_xlfn.XLOOKUP(Q$2-$C34, 'GEN-CARBON'!$D$7:$AW$7, 'GEN-CARBON'!$D$124:$AW$124), 0), IF($B34='Project List References'!$B$7, _xlfn.IFNA(_xlfn.XLOOKUP(Q$2-$C34, 'SENS Coal'!$D$7:$AW$7, 'SENS Coal'!$D$141:$AW$141), 0), IF($B34='Project List References'!$B$8, _xlfn.IFNA(_xlfn.XLOOKUP(Q$2-$C34,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R34" s="743" t="e">
        <f>IF($B34='Project List References'!$B$3, _xlfn.IFNA(_xlfn.XLOOKUP(R$2-$C34, 'GEN-CCGT'!$D$7:$AW$7, 'GEN-CCGT'!$D$124:$AW$124), 0), IF($B34='Project List References'!$B$4, _xlfn.IFNA(_xlfn.XLOOKUP(R$2-$C34, 'GEN-SOLAR'!$D$7:$AW$7, 'GEN-SOLAR'!$D$122:$AW$122), 0), IF($B34='Project List References'!$B$5, _xlfn.IFNA(_xlfn.XLOOKUP(R$2-$C34, 'GEN-BESS'!$D$7:$AW$7, 'GEN-BESS'!$D$125:$AW$125), 0), IF($B34='Project List References'!$B$6, _xlfn.IFNA(_xlfn.XLOOKUP(R$2-$C34, 'GEN-CARBON'!$D$7:$AW$7, 'GEN-CARBON'!$D$124:$AW$124), 0), IF($B34='Project List References'!$B$7, _xlfn.IFNA(_xlfn.XLOOKUP(R$2-$C34, 'SENS Coal'!$D$7:$AW$7, 'SENS Coal'!$D$141:$AW$141), 0), IF($B34='Project List References'!$B$8, _xlfn.IFNA(_xlfn.XLOOKUP(R$2-$C34,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S34" s="743" t="e">
        <f>IF($B34='Project List References'!$B$3, _xlfn.IFNA(_xlfn.XLOOKUP(S$2-$C34, 'GEN-CCGT'!$D$7:$AW$7, 'GEN-CCGT'!$D$124:$AW$124), 0), IF($B34='Project List References'!$B$4, _xlfn.IFNA(_xlfn.XLOOKUP(S$2-$C34, 'GEN-SOLAR'!$D$7:$AW$7, 'GEN-SOLAR'!$D$122:$AW$122), 0), IF($B34='Project List References'!$B$5, _xlfn.IFNA(_xlfn.XLOOKUP(S$2-$C34, 'GEN-BESS'!$D$7:$AW$7, 'GEN-BESS'!$D$125:$AW$125), 0), IF($B34='Project List References'!$B$6, _xlfn.IFNA(_xlfn.XLOOKUP(S$2-$C34, 'GEN-CARBON'!$D$7:$AW$7, 'GEN-CARBON'!$D$124:$AW$124), 0), IF($B34='Project List References'!$B$7, _xlfn.IFNA(_xlfn.XLOOKUP(S$2-$C34, 'SENS Coal'!$D$7:$AW$7, 'SENS Coal'!$D$141:$AW$141), 0), IF($B34='Project List References'!$B$8, _xlfn.IFNA(_xlfn.XLOOKUP(S$2-$C34,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T34" s="743" t="e">
        <f>IF($B34='Project List References'!$B$3, _xlfn.IFNA(_xlfn.XLOOKUP(T$2-$C34, 'GEN-CCGT'!$D$7:$AW$7, 'GEN-CCGT'!$D$124:$AW$124), 0), IF($B34='Project List References'!$B$4, _xlfn.IFNA(_xlfn.XLOOKUP(T$2-$C34, 'GEN-SOLAR'!$D$7:$AW$7, 'GEN-SOLAR'!$D$122:$AW$122), 0), IF($B34='Project List References'!$B$5, _xlfn.IFNA(_xlfn.XLOOKUP(T$2-$C34, 'GEN-BESS'!$D$7:$AW$7, 'GEN-BESS'!$D$125:$AW$125), 0), IF($B34='Project List References'!$B$6, _xlfn.IFNA(_xlfn.XLOOKUP(T$2-$C34, 'GEN-CARBON'!$D$7:$AW$7, 'GEN-CARBON'!$D$124:$AW$124), 0), IF($B34='Project List References'!$B$7, _xlfn.IFNA(_xlfn.XLOOKUP(T$2-$C34, 'SENS Coal'!$D$7:$AW$7, 'SENS Coal'!$D$141:$AW$141), 0), IF($B34='Project List References'!$B$8, _xlfn.IFNA(_xlfn.XLOOKUP(T$2-$C34, 'SENS Tires'!$D$7:$AW$7, 'SENS Tires'!$D$139:$AW$139),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</row>
    <row r="35" spans="1:20">
      <c r="A35" s="655" t="str">
        <f>IF(ISBLANK('Project Master Sheet'!A35)=FALSE, 'Project Master Sheet'!A35, "")</f>
        <v/>
      </c>
      <c r="B35" s="655" t="str">
        <f>_xlfn.IFNA(_xlfn.XLOOKUP(A35, 'Project Master Sheet'!A:A, 'Project Master Sheet'!D:D), "")</f>
        <v/>
      </c>
      <c r="C35" s="655" t="e">
        <f>_xlfn.XLOOKUP(A35, 'Project Master Sheet'!A:A, 'Project Master Sheet'!I:I)</f>
        <v>#N/A</v>
      </c>
      <c r="E35" s="743" t="e">
        <f>IF($B35='Project List References'!$B$3, _xlfn.IFNA(_xlfn.XLOOKUP(E$2-$C35, 'GEN-CCGT'!$D$7:$AW$7, 'GEN-CCGT'!$D$124:$AW$124), 0), IF($B35='Project List References'!$B$4, _xlfn.IFNA(_xlfn.XLOOKUP(E$2-$C35, 'GEN-SOLAR'!$D$7:$AW$7, 'GEN-SOLAR'!$D$122:$AW$122), 0), IF($B35='Project List References'!$B$5, _xlfn.IFNA(_xlfn.XLOOKUP(E$2-$C35, 'GEN-BESS'!$D$7:$AW$7, 'GEN-BESS'!$D$125:$AW$125), 0), IF($B35='Project List References'!$B$6, _xlfn.IFNA(_xlfn.XLOOKUP(E$2-$C35, 'GEN-CARBON'!$D$7:$AW$7, 'GEN-CARBON'!$D$124:$AW$124), 0), IF($B35='Project List References'!$B$7, _xlfn.IFNA(_xlfn.XLOOKUP(E$2-$C35, 'SENS Coal'!$D$7:$AW$7, 'SENS Coal'!$D$141:$AW$141), 0), IF($B35='Project List References'!$B$8, _xlfn.IFNA(_xlfn.XLOOKUP(E$2-$C35,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F35" s="743" t="e">
        <f>IF($B35='Project List References'!$B$3, _xlfn.IFNA(_xlfn.XLOOKUP(F$2-$C35, 'GEN-CCGT'!$D$7:$AW$7, 'GEN-CCGT'!$D$124:$AW$124), 0), IF($B35='Project List References'!$B$4, _xlfn.IFNA(_xlfn.XLOOKUP(F$2-$C35, 'GEN-SOLAR'!$D$7:$AW$7, 'GEN-SOLAR'!$D$122:$AW$122), 0), IF($B35='Project List References'!$B$5, _xlfn.IFNA(_xlfn.XLOOKUP(F$2-$C35, 'GEN-BESS'!$D$7:$AW$7, 'GEN-BESS'!$D$125:$AW$125), 0), IF($B35='Project List References'!$B$6, _xlfn.IFNA(_xlfn.XLOOKUP(F$2-$C35, 'GEN-CARBON'!$D$7:$AW$7, 'GEN-CARBON'!$D$124:$AW$124), 0), IF($B35='Project List References'!$B$7, _xlfn.IFNA(_xlfn.XLOOKUP(F$2-$C35, 'SENS Coal'!$D$7:$AW$7, 'SENS Coal'!$D$141:$AW$141), 0), IF($B35='Project List References'!$B$8, _xlfn.IFNA(_xlfn.XLOOKUP(F$2-$C35,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G35" s="743" t="e">
        <f>IF($B35='Project List References'!$B$3, _xlfn.IFNA(_xlfn.XLOOKUP(G$2-$C35, 'GEN-CCGT'!$D$7:$AW$7, 'GEN-CCGT'!$D$124:$AW$124), 0), IF($B35='Project List References'!$B$4, _xlfn.IFNA(_xlfn.XLOOKUP(G$2-$C35, 'GEN-SOLAR'!$D$7:$AW$7, 'GEN-SOLAR'!$D$122:$AW$122), 0), IF($B35='Project List References'!$B$5, _xlfn.IFNA(_xlfn.XLOOKUP(G$2-$C35, 'GEN-BESS'!$D$7:$AW$7, 'GEN-BESS'!$D$125:$AW$125), 0), IF($B35='Project List References'!$B$6, _xlfn.IFNA(_xlfn.XLOOKUP(G$2-$C35, 'GEN-CARBON'!$D$7:$AW$7, 'GEN-CARBON'!$D$124:$AW$124), 0), IF($B35='Project List References'!$B$7, _xlfn.IFNA(_xlfn.XLOOKUP(G$2-$C35, 'SENS Coal'!$D$7:$AW$7, 'SENS Coal'!$D$141:$AW$141), 0), IF($B35='Project List References'!$B$8, _xlfn.IFNA(_xlfn.XLOOKUP(G$2-$C35,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H35" s="743" t="e">
        <f>IF($B35='Project List References'!$B$3, _xlfn.IFNA(_xlfn.XLOOKUP(H$2-$C35, 'GEN-CCGT'!$D$7:$AW$7, 'GEN-CCGT'!$D$124:$AW$124), 0), IF($B35='Project List References'!$B$4, _xlfn.IFNA(_xlfn.XLOOKUP(H$2-$C35, 'GEN-SOLAR'!$D$7:$AW$7, 'GEN-SOLAR'!$D$122:$AW$122), 0), IF($B35='Project List References'!$B$5, _xlfn.IFNA(_xlfn.XLOOKUP(H$2-$C35, 'GEN-BESS'!$D$7:$AW$7, 'GEN-BESS'!$D$125:$AW$125), 0), IF($B35='Project List References'!$B$6, _xlfn.IFNA(_xlfn.XLOOKUP(H$2-$C35, 'GEN-CARBON'!$D$7:$AW$7, 'GEN-CARBON'!$D$124:$AW$124), 0), IF($B35='Project List References'!$B$7, _xlfn.IFNA(_xlfn.XLOOKUP(H$2-$C35, 'SENS Coal'!$D$7:$AW$7, 'SENS Coal'!$D$141:$AW$141), 0), IF($B35='Project List References'!$B$8, _xlfn.IFNA(_xlfn.XLOOKUP(H$2-$C35,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I35" s="743" t="e">
        <f>IF($B35='Project List References'!$B$3, _xlfn.IFNA(_xlfn.XLOOKUP(I$2-$C35, 'GEN-CCGT'!$D$7:$AW$7, 'GEN-CCGT'!$D$124:$AW$124), 0), IF($B35='Project List References'!$B$4, _xlfn.IFNA(_xlfn.XLOOKUP(I$2-$C35, 'GEN-SOLAR'!$D$7:$AW$7, 'GEN-SOLAR'!$D$122:$AW$122), 0), IF($B35='Project List References'!$B$5, _xlfn.IFNA(_xlfn.XLOOKUP(I$2-$C35, 'GEN-BESS'!$D$7:$AW$7, 'GEN-BESS'!$D$125:$AW$125), 0), IF($B35='Project List References'!$B$6, _xlfn.IFNA(_xlfn.XLOOKUP(I$2-$C35, 'GEN-CARBON'!$D$7:$AW$7, 'GEN-CARBON'!$D$124:$AW$124), 0), IF($B35='Project List References'!$B$7, _xlfn.IFNA(_xlfn.XLOOKUP(I$2-$C35, 'SENS Coal'!$D$7:$AW$7, 'SENS Coal'!$D$141:$AW$141), 0), IF($B35='Project List References'!$B$8, _xlfn.IFNA(_xlfn.XLOOKUP(I$2-$C35,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J35" s="743" t="e">
        <f>IF($B35='Project List References'!$B$3, _xlfn.IFNA(_xlfn.XLOOKUP(J$2-$C35, 'GEN-CCGT'!$D$7:$AW$7, 'GEN-CCGT'!$D$124:$AW$124), 0), IF($B35='Project List References'!$B$4, _xlfn.IFNA(_xlfn.XLOOKUP(J$2-$C35, 'GEN-SOLAR'!$D$7:$AW$7, 'GEN-SOLAR'!$D$122:$AW$122), 0), IF($B35='Project List References'!$B$5, _xlfn.IFNA(_xlfn.XLOOKUP(J$2-$C35, 'GEN-BESS'!$D$7:$AW$7, 'GEN-BESS'!$D$125:$AW$125), 0), IF($B35='Project List References'!$B$6, _xlfn.IFNA(_xlfn.XLOOKUP(J$2-$C35, 'GEN-CARBON'!$D$7:$AW$7, 'GEN-CARBON'!$D$124:$AW$124), 0), IF($B35='Project List References'!$B$7, _xlfn.IFNA(_xlfn.XLOOKUP(J$2-$C35, 'SENS Coal'!$D$7:$AW$7, 'SENS Coal'!$D$141:$AW$141), 0), IF($B35='Project List References'!$B$8, _xlfn.IFNA(_xlfn.XLOOKUP(J$2-$C35,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K35" s="743" t="e">
        <f>IF($B35='Project List References'!$B$3, _xlfn.IFNA(_xlfn.XLOOKUP(K$2-$C35, 'GEN-CCGT'!$D$7:$AW$7, 'GEN-CCGT'!$D$124:$AW$124), 0), IF($B35='Project List References'!$B$4, _xlfn.IFNA(_xlfn.XLOOKUP(K$2-$C35, 'GEN-SOLAR'!$D$7:$AW$7, 'GEN-SOLAR'!$D$122:$AW$122), 0), IF($B35='Project List References'!$B$5, _xlfn.IFNA(_xlfn.XLOOKUP(K$2-$C35, 'GEN-BESS'!$D$7:$AW$7, 'GEN-BESS'!$D$125:$AW$125), 0), IF($B35='Project List References'!$B$6, _xlfn.IFNA(_xlfn.XLOOKUP(K$2-$C35, 'GEN-CARBON'!$D$7:$AW$7, 'GEN-CARBON'!$D$124:$AW$124), 0), IF($B35='Project List References'!$B$7, _xlfn.IFNA(_xlfn.XLOOKUP(K$2-$C35, 'SENS Coal'!$D$7:$AW$7, 'SENS Coal'!$D$141:$AW$141), 0), IF($B35='Project List References'!$B$8, _xlfn.IFNA(_xlfn.XLOOKUP(K$2-$C35,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L35" s="743" t="e">
        <f>IF($B35='Project List References'!$B$3, _xlfn.IFNA(_xlfn.XLOOKUP(L$2-$C35, 'GEN-CCGT'!$D$7:$AW$7, 'GEN-CCGT'!$D$124:$AW$124), 0), IF($B35='Project List References'!$B$4, _xlfn.IFNA(_xlfn.XLOOKUP(L$2-$C35, 'GEN-SOLAR'!$D$7:$AW$7, 'GEN-SOLAR'!$D$122:$AW$122), 0), IF($B35='Project List References'!$B$5, _xlfn.IFNA(_xlfn.XLOOKUP(L$2-$C35, 'GEN-BESS'!$D$7:$AW$7, 'GEN-BESS'!$D$125:$AW$125), 0), IF($B35='Project List References'!$B$6, _xlfn.IFNA(_xlfn.XLOOKUP(L$2-$C35, 'GEN-CARBON'!$D$7:$AW$7, 'GEN-CARBON'!$D$124:$AW$124), 0), IF($B35='Project List References'!$B$7, _xlfn.IFNA(_xlfn.XLOOKUP(L$2-$C35, 'SENS Coal'!$D$7:$AW$7, 'SENS Coal'!$D$141:$AW$141), 0), IF($B35='Project List References'!$B$8, _xlfn.IFNA(_xlfn.XLOOKUP(L$2-$C35,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M35" s="743" t="e">
        <f>IF($B35='Project List References'!$B$3, _xlfn.IFNA(_xlfn.XLOOKUP(M$2-$C35, 'GEN-CCGT'!$D$7:$AW$7, 'GEN-CCGT'!$D$124:$AW$124), 0), IF($B35='Project List References'!$B$4, _xlfn.IFNA(_xlfn.XLOOKUP(M$2-$C35, 'GEN-SOLAR'!$D$7:$AW$7, 'GEN-SOLAR'!$D$122:$AW$122), 0), IF($B35='Project List References'!$B$5, _xlfn.IFNA(_xlfn.XLOOKUP(M$2-$C35, 'GEN-BESS'!$D$7:$AW$7, 'GEN-BESS'!$D$125:$AW$125), 0), IF($B35='Project List References'!$B$6, _xlfn.IFNA(_xlfn.XLOOKUP(M$2-$C35, 'GEN-CARBON'!$D$7:$AW$7, 'GEN-CARBON'!$D$124:$AW$124), 0), IF($B35='Project List References'!$B$7, _xlfn.IFNA(_xlfn.XLOOKUP(M$2-$C35, 'SENS Coal'!$D$7:$AW$7, 'SENS Coal'!$D$141:$AW$141), 0), IF($B35='Project List References'!$B$8, _xlfn.IFNA(_xlfn.XLOOKUP(M$2-$C35,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N35" s="743" t="e">
        <f>IF($B35='Project List References'!$B$3, _xlfn.IFNA(_xlfn.XLOOKUP(N$2-$C35, 'GEN-CCGT'!$D$7:$AW$7, 'GEN-CCGT'!$D$124:$AW$124), 0), IF($B35='Project List References'!$B$4, _xlfn.IFNA(_xlfn.XLOOKUP(N$2-$C35, 'GEN-SOLAR'!$D$7:$AW$7, 'GEN-SOLAR'!$D$122:$AW$122), 0), IF($B35='Project List References'!$B$5, _xlfn.IFNA(_xlfn.XLOOKUP(N$2-$C35, 'GEN-BESS'!$D$7:$AW$7, 'GEN-BESS'!$D$125:$AW$125), 0), IF($B35='Project List References'!$B$6, _xlfn.IFNA(_xlfn.XLOOKUP(N$2-$C35, 'GEN-CARBON'!$D$7:$AW$7, 'GEN-CARBON'!$D$124:$AW$124), 0), IF($B35='Project List References'!$B$7, _xlfn.IFNA(_xlfn.XLOOKUP(N$2-$C35, 'SENS Coal'!$D$7:$AW$7, 'SENS Coal'!$D$141:$AW$141), 0), IF($B35='Project List References'!$B$8, _xlfn.IFNA(_xlfn.XLOOKUP(N$2-$C35,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O35" s="743" t="e">
        <f>IF($B35='Project List References'!$B$3, _xlfn.IFNA(_xlfn.XLOOKUP(O$2-$C35, 'GEN-CCGT'!$D$7:$AW$7, 'GEN-CCGT'!$D$124:$AW$124), 0), IF($B35='Project List References'!$B$4, _xlfn.IFNA(_xlfn.XLOOKUP(O$2-$C35, 'GEN-SOLAR'!$D$7:$AW$7, 'GEN-SOLAR'!$D$122:$AW$122), 0), IF($B35='Project List References'!$B$5, _xlfn.IFNA(_xlfn.XLOOKUP(O$2-$C35, 'GEN-BESS'!$D$7:$AW$7, 'GEN-BESS'!$D$125:$AW$125), 0), IF($B35='Project List References'!$B$6, _xlfn.IFNA(_xlfn.XLOOKUP(O$2-$C35, 'GEN-CARBON'!$D$7:$AW$7, 'GEN-CARBON'!$D$124:$AW$124), 0), IF($B35='Project List References'!$B$7, _xlfn.IFNA(_xlfn.XLOOKUP(O$2-$C35, 'SENS Coal'!$D$7:$AW$7, 'SENS Coal'!$D$141:$AW$141), 0), IF($B35='Project List References'!$B$8, _xlfn.IFNA(_xlfn.XLOOKUP(O$2-$C35,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P35" s="743" t="e">
        <f>IF($B35='Project List References'!$B$3, _xlfn.IFNA(_xlfn.XLOOKUP(P$2-$C35, 'GEN-CCGT'!$D$7:$AW$7, 'GEN-CCGT'!$D$124:$AW$124), 0), IF($B35='Project List References'!$B$4, _xlfn.IFNA(_xlfn.XLOOKUP(P$2-$C35, 'GEN-SOLAR'!$D$7:$AW$7, 'GEN-SOLAR'!$D$122:$AW$122), 0), IF($B35='Project List References'!$B$5, _xlfn.IFNA(_xlfn.XLOOKUP(P$2-$C35, 'GEN-BESS'!$D$7:$AW$7, 'GEN-BESS'!$D$125:$AW$125), 0), IF($B35='Project List References'!$B$6, _xlfn.IFNA(_xlfn.XLOOKUP(P$2-$C35, 'GEN-CARBON'!$D$7:$AW$7, 'GEN-CARBON'!$D$124:$AW$124), 0), IF($B35='Project List References'!$B$7, _xlfn.IFNA(_xlfn.XLOOKUP(P$2-$C35, 'SENS Coal'!$D$7:$AW$7, 'SENS Coal'!$D$141:$AW$141), 0), IF($B35='Project List References'!$B$8, _xlfn.IFNA(_xlfn.XLOOKUP(P$2-$C35,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Q35" s="743" t="e">
        <f>IF($B35='Project List References'!$B$3, _xlfn.IFNA(_xlfn.XLOOKUP(Q$2-$C35, 'GEN-CCGT'!$D$7:$AW$7, 'GEN-CCGT'!$D$124:$AW$124), 0), IF($B35='Project List References'!$B$4, _xlfn.IFNA(_xlfn.XLOOKUP(Q$2-$C35, 'GEN-SOLAR'!$D$7:$AW$7, 'GEN-SOLAR'!$D$122:$AW$122), 0), IF($B35='Project List References'!$B$5, _xlfn.IFNA(_xlfn.XLOOKUP(Q$2-$C35, 'GEN-BESS'!$D$7:$AW$7, 'GEN-BESS'!$D$125:$AW$125), 0), IF($B35='Project List References'!$B$6, _xlfn.IFNA(_xlfn.XLOOKUP(Q$2-$C35, 'GEN-CARBON'!$D$7:$AW$7, 'GEN-CARBON'!$D$124:$AW$124), 0), IF($B35='Project List References'!$B$7, _xlfn.IFNA(_xlfn.XLOOKUP(Q$2-$C35, 'SENS Coal'!$D$7:$AW$7, 'SENS Coal'!$D$141:$AW$141), 0), IF($B35='Project List References'!$B$8, _xlfn.IFNA(_xlfn.XLOOKUP(Q$2-$C35,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R35" s="743" t="e">
        <f>IF($B35='Project List References'!$B$3, _xlfn.IFNA(_xlfn.XLOOKUP(R$2-$C35, 'GEN-CCGT'!$D$7:$AW$7, 'GEN-CCGT'!$D$124:$AW$124), 0), IF($B35='Project List References'!$B$4, _xlfn.IFNA(_xlfn.XLOOKUP(R$2-$C35, 'GEN-SOLAR'!$D$7:$AW$7, 'GEN-SOLAR'!$D$122:$AW$122), 0), IF($B35='Project List References'!$B$5, _xlfn.IFNA(_xlfn.XLOOKUP(R$2-$C35, 'GEN-BESS'!$D$7:$AW$7, 'GEN-BESS'!$D$125:$AW$125), 0), IF($B35='Project List References'!$B$6, _xlfn.IFNA(_xlfn.XLOOKUP(R$2-$C35, 'GEN-CARBON'!$D$7:$AW$7, 'GEN-CARBON'!$D$124:$AW$124), 0), IF($B35='Project List References'!$B$7, _xlfn.IFNA(_xlfn.XLOOKUP(R$2-$C35, 'SENS Coal'!$D$7:$AW$7, 'SENS Coal'!$D$141:$AW$141), 0), IF($B35='Project List References'!$B$8, _xlfn.IFNA(_xlfn.XLOOKUP(R$2-$C35,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S35" s="743" t="e">
        <f>IF($B35='Project List References'!$B$3, _xlfn.IFNA(_xlfn.XLOOKUP(S$2-$C35, 'GEN-CCGT'!$D$7:$AW$7, 'GEN-CCGT'!$D$124:$AW$124), 0), IF($B35='Project List References'!$B$4, _xlfn.IFNA(_xlfn.XLOOKUP(S$2-$C35, 'GEN-SOLAR'!$D$7:$AW$7, 'GEN-SOLAR'!$D$122:$AW$122), 0), IF($B35='Project List References'!$B$5, _xlfn.IFNA(_xlfn.XLOOKUP(S$2-$C35, 'GEN-BESS'!$D$7:$AW$7, 'GEN-BESS'!$D$125:$AW$125), 0), IF($B35='Project List References'!$B$6, _xlfn.IFNA(_xlfn.XLOOKUP(S$2-$C35, 'GEN-CARBON'!$D$7:$AW$7, 'GEN-CARBON'!$D$124:$AW$124), 0), IF($B35='Project List References'!$B$7, _xlfn.IFNA(_xlfn.XLOOKUP(S$2-$C35, 'SENS Coal'!$D$7:$AW$7, 'SENS Coal'!$D$141:$AW$141), 0), IF($B35='Project List References'!$B$8, _xlfn.IFNA(_xlfn.XLOOKUP(S$2-$C35,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T35" s="743" t="e">
        <f>IF($B35='Project List References'!$B$3, _xlfn.IFNA(_xlfn.XLOOKUP(T$2-$C35, 'GEN-CCGT'!$D$7:$AW$7, 'GEN-CCGT'!$D$124:$AW$124), 0), IF($B35='Project List References'!$B$4, _xlfn.IFNA(_xlfn.XLOOKUP(T$2-$C35, 'GEN-SOLAR'!$D$7:$AW$7, 'GEN-SOLAR'!$D$122:$AW$122), 0), IF($B35='Project List References'!$B$5, _xlfn.IFNA(_xlfn.XLOOKUP(T$2-$C35, 'GEN-BESS'!$D$7:$AW$7, 'GEN-BESS'!$D$125:$AW$125), 0), IF($B35='Project List References'!$B$6, _xlfn.IFNA(_xlfn.XLOOKUP(T$2-$C35, 'GEN-CARBON'!$D$7:$AW$7, 'GEN-CARBON'!$D$124:$AW$124), 0), IF($B35='Project List References'!$B$7, _xlfn.IFNA(_xlfn.XLOOKUP(T$2-$C35, 'SENS Coal'!$D$7:$AW$7, 'SENS Coal'!$D$141:$AW$141), 0), IF($B35='Project List References'!$B$8, _xlfn.IFNA(_xlfn.XLOOKUP(T$2-$C35, 'SENS Tires'!$D$7:$AW$7, 'SENS Tires'!$D$139:$AW$139),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</row>
    <row r="36" spans="1:20">
      <c r="A36" s="655" t="str">
        <f>IF(ISBLANK('Project Master Sheet'!A36)=FALSE, 'Project Master Sheet'!A36, "")</f>
        <v/>
      </c>
      <c r="B36" s="655" t="str">
        <f>_xlfn.IFNA(_xlfn.XLOOKUP(A36, 'Project Master Sheet'!A:A, 'Project Master Sheet'!D:D), "")</f>
        <v/>
      </c>
      <c r="C36" s="655" t="e">
        <f>_xlfn.XLOOKUP(A36, 'Project Master Sheet'!A:A, 'Project Master Sheet'!I:I)</f>
        <v>#N/A</v>
      </c>
      <c r="E36" s="743" t="e">
        <f>IF($B36='Project List References'!$B$3, _xlfn.IFNA(_xlfn.XLOOKUP(E$2-$C36, 'GEN-CCGT'!$D$7:$AW$7, 'GEN-CCGT'!$D$124:$AW$124), 0), IF($B36='Project List References'!$B$4, _xlfn.IFNA(_xlfn.XLOOKUP(E$2-$C36, 'GEN-SOLAR'!$D$7:$AW$7, 'GEN-SOLAR'!$D$122:$AW$122), 0), IF($B36='Project List References'!$B$5, _xlfn.IFNA(_xlfn.XLOOKUP(E$2-$C36, 'GEN-BESS'!$D$7:$AW$7, 'GEN-BESS'!$D$125:$AW$125), 0), IF($B36='Project List References'!$B$6, _xlfn.IFNA(_xlfn.XLOOKUP(E$2-$C36, 'GEN-CARBON'!$D$7:$AW$7, 'GEN-CARBON'!$D$124:$AW$124), 0), IF($B36='Project List References'!$B$7, _xlfn.IFNA(_xlfn.XLOOKUP(E$2-$C36, 'SENS Coal'!$D$7:$AW$7, 'SENS Coal'!$D$141:$AW$141), 0), IF($B36='Project List References'!$B$8, _xlfn.IFNA(_xlfn.XLOOKUP(E$2-$C36,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F36" s="743" t="e">
        <f>IF($B36='Project List References'!$B$3, _xlfn.IFNA(_xlfn.XLOOKUP(F$2-$C36, 'GEN-CCGT'!$D$7:$AW$7, 'GEN-CCGT'!$D$124:$AW$124), 0), IF($B36='Project List References'!$B$4, _xlfn.IFNA(_xlfn.XLOOKUP(F$2-$C36, 'GEN-SOLAR'!$D$7:$AW$7, 'GEN-SOLAR'!$D$122:$AW$122), 0), IF($B36='Project List References'!$B$5, _xlfn.IFNA(_xlfn.XLOOKUP(F$2-$C36, 'GEN-BESS'!$D$7:$AW$7, 'GEN-BESS'!$D$125:$AW$125), 0), IF($B36='Project List References'!$B$6, _xlfn.IFNA(_xlfn.XLOOKUP(F$2-$C36, 'GEN-CARBON'!$D$7:$AW$7, 'GEN-CARBON'!$D$124:$AW$124), 0), IF($B36='Project List References'!$B$7, _xlfn.IFNA(_xlfn.XLOOKUP(F$2-$C36, 'SENS Coal'!$D$7:$AW$7, 'SENS Coal'!$D$141:$AW$141), 0), IF($B36='Project List References'!$B$8, _xlfn.IFNA(_xlfn.XLOOKUP(F$2-$C36,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G36" s="743" t="e">
        <f>IF($B36='Project List References'!$B$3, _xlfn.IFNA(_xlfn.XLOOKUP(G$2-$C36, 'GEN-CCGT'!$D$7:$AW$7, 'GEN-CCGT'!$D$124:$AW$124), 0), IF($B36='Project List References'!$B$4, _xlfn.IFNA(_xlfn.XLOOKUP(G$2-$C36, 'GEN-SOLAR'!$D$7:$AW$7, 'GEN-SOLAR'!$D$122:$AW$122), 0), IF($B36='Project List References'!$B$5, _xlfn.IFNA(_xlfn.XLOOKUP(G$2-$C36, 'GEN-BESS'!$D$7:$AW$7, 'GEN-BESS'!$D$125:$AW$125), 0), IF($B36='Project List References'!$B$6, _xlfn.IFNA(_xlfn.XLOOKUP(G$2-$C36, 'GEN-CARBON'!$D$7:$AW$7, 'GEN-CARBON'!$D$124:$AW$124), 0), IF($B36='Project List References'!$B$7, _xlfn.IFNA(_xlfn.XLOOKUP(G$2-$C36, 'SENS Coal'!$D$7:$AW$7, 'SENS Coal'!$D$141:$AW$141), 0), IF($B36='Project List References'!$B$8, _xlfn.IFNA(_xlfn.XLOOKUP(G$2-$C36,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H36" s="743" t="e">
        <f>IF($B36='Project List References'!$B$3, _xlfn.IFNA(_xlfn.XLOOKUP(H$2-$C36, 'GEN-CCGT'!$D$7:$AW$7, 'GEN-CCGT'!$D$124:$AW$124), 0), IF($B36='Project List References'!$B$4, _xlfn.IFNA(_xlfn.XLOOKUP(H$2-$C36, 'GEN-SOLAR'!$D$7:$AW$7, 'GEN-SOLAR'!$D$122:$AW$122), 0), IF($B36='Project List References'!$B$5, _xlfn.IFNA(_xlfn.XLOOKUP(H$2-$C36, 'GEN-BESS'!$D$7:$AW$7, 'GEN-BESS'!$D$125:$AW$125), 0), IF($B36='Project List References'!$B$6, _xlfn.IFNA(_xlfn.XLOOKUP(H$2-$C36, 'GEN-CARBON'!$D$7:$AW$7, 'GEN-CARBON'!$D$124:$AW$124), 0), IF($B36='Project List References'!$B$7, _xlfn.IFNA(_xlfn.XLOOKUP(H$2-$C36, 'SENS Coal'!$D$7:$AW$7, 'SENS Coal'!$D$141:$AW$141), 0), IF($B36='Project List References'!$B$8, _xlfn.IFNA(_xlfn.XLOOKUP(H$2-$C36,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I36" s="743" t="e">
        <f>IF($B36='Project List References'!$B$3, _xlfn.IFNA(_xlfn.XLOOKUP(I$2-$C36, 'GEN-CCGT'!$D$7:$AW$7, 'GEN-CCGT'!$D$124:$AW$124), 0), IF($B36='Project List References'!$B$4, _xlfn.IFNA(_xlfn.XLOOKUP(I$2-$C36, 'GEN-SOLAR'!$D$7:$AW$7, 'GEN-SOLAR'!$D$122:$AW$122), 0), IF($B36='Project List References'!$B$5, _xlfn.IFNA(_xlfn.XLOOKUP(I$2-$C36, 'GEN-BESS'!$D$7:$AW$7, 'GEN-BESS'!$D$125:$AW$125), 0), IF($B36='Project List References'!$B$6, _xlfn.IFNA(_xlfn.XLOOKUP(I$2-$C36, 'GEN-CARBON'!$D$7:$AW$7, 'GEN-CARBON'!$D$124:$AW$124), 0), IF($B36='Project List References'!$B$7, _xlfn.IFNA(_xlfn.XLOOKUP(I$2-$C36, 'SENS Coal'!$D$7:$AW$7, 'SENS Coal'!$D$141:$AW$141), 0), IF($B36='Project List References'!$B$8, _xlfn.IFNA(_xlfn.XLOOKUP(I$2-$C36,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J36" s="743" t="e">
        <f>IF($B36='Project List References'!$B$3, _xlfn.IFNA(_xlfn.XLOOKUP(J$2-$C36, 'GEN-CCGT'!$D$7:$AW$7, 'GEN-CCGT'!$D$124:$AW$124), 0), IF($B36='Project List References'!$B$4, _xlfn.IFNA(_xlfn.XLOOKUP(J$2-$C36, 'GEN-SOLAR'!$D$7:$AW$7, 'GEN-SOLAR'!$D$122:$AW$122), 0), IF($B36='Project List References'!$B$5, _xlfn.IFNA(_xlfn.XLOOKUP(J$2-$C36, 'GEN-BESS'!$D$7:$AW$7, 'GEN-BESS'!$D$125:$AW$125), 0), IF($B36='Project List References'!$B$6, _xlfn.IFNA(_xlfn.XLOOKUP(J$2-$C36, 'GEN-CARBON'!$D$7:$AW$7, 'GEN-CARBON'!$D$124:$AW$124), 0), IF($B36='Project List References'!$B$7, _xlfn.IFNA(_xlfn.XLOOKUP(J$2-$C36, 'SENS Coal'!$D$7:$AW$7, 'SENS Coal'!$D$141:$AW$141), 0), IF($B36='Project List References'!$B$8, _xlfn.IFNA(_xlfn.XLOOKUP(J$2-$C36,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K36" s="743" t="e">
        <f>IF($B36='Project List References'!$B$3, _xlfn.IFNA(_xlfn.XLOOKUP(K$2-$C36, 'GEN-CCGT'!$D$7:$AW$7, 'GEN-CCGT'!$D$124:$AW$124), 0), IF($B36='Project List References'!$B$4, _xlfn.IFNA(_xlfn.XLOOKUP(K$2-$C36, 'GEN-SOLAR'!$D$7:$AW$7, 'GEN-SOLAR'!$D$122:$AW$122), 0), IF($B36='Project List References'!$B$5, _xlfn.IFNA(_xlfn.XLOOKUP(K$2-$C36, 'GEN-BESS'!$D$7:$AW$7, 'GEN-BESS'!$D$125:$AW$125), 0), IF($B36='Project List References'!$B$6, _xlfn.IFNA(_xlfn.XLOOKUP(K$2-$C36, 'GEN-CARBON'!$D$7:$AW$7, 'GEN-CARBON'!$D$124:$AW$124), 0), IF($B36='Project List References'!$B$7, _xlfn.IFNA(_xlfn.XLOOKUP(K$2-$C36, 'SENS Coal'!$D$7:$AW$7, 'SENS Coal'!$D$141:$AW$141), 0), IF($B36='Project List References'!$B$8, _xlfn.IFNA(_xlfn.XLOOKUP(K$2-$C36,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L36" s="743" t="e">
        <f>IF($B36='Project List References'!$B$3, _xlfn.IFNA(_xlfn.XLOOKUP(L$2-$C36, 'GEN-CCGT'!$D$7:$AW$7, 'GEN-CCGT'!$D$124:$AW$124), 0), IF($B36='Project List References'!$B$4, _xlfn.IFNA(_xlfn.XLOOKUP(L$2-$C36, 'GEN-SOLAR'!$D$7:$AW$7, 'GEN-SOLAR'!$D$122:$AW$122), 0), IF($B36='Project List References'!$B$5, _xlfn.IFNA(_xlfn.XLOOKUP(L$2-$C36, 'GEN-BESS'!$D$7:$AW$7, 'GEN-BESS'!$D$125:$AW$125), 0), IF($B36='Project List References'!$B$6, _xlfn.IFNA(_xlfn.XLOOKUP(L$2-$C36, 'GEN-CARBON'!$D$7:$AW$7, 'GEN-CARBON'!$D$124:$AW$124), 0), IF($B36='Project List References'!$B$7, _xlfn.IFNA(_xlfn.XLOOKUP(L$2-$C36, 'SENS Coal'!$D$7:$AW$7, 'SENS Coal'!$D$141:$AW$141), 0), IF($B36='Project List References'!$B$8, _xlfn.IFNA(_xlfn.XLOOKUP(L$2-$C36,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M36" s="743" t="e">
        <f>IF($B36='Project List References'!$B$3, _xlfn.IFNA(_xlfn.XLOOKUP(M$2-$C36, 'GEN-CCGT'!$D$7:$AW$7, 'GEN-CCGT'!$D$124:$AW$124), 0), IF($B36='Project List References'!$B$4, _xlfn.IFNA(_xlfn.XLOOKUP(M$2-$C36, 'GEN-SOLAR'!$D$7:$AW$7, 'GEN-SOLAR'!$D$122:$AW$122), 0), IF($B36='Project List References'!$B$5, _xlfn.IFNA(_xlfn.XLOOKUP(M$2-$C36, 'GEN-BESS'!$D$7:$AW$7, 'GEN-BESS'!$D$125:$AW$125), 0), IF($B36='Project List References'!$B$6, _xlfn.IFNA(_xlfn.XLOOKUP(M$2-$C36, 'GEN-CARBON'!$D$7:$AW$7, 'GEN-CARBON'!$D$124:$AW$124), 0), IF($B36='Project List References'!$B$7, _xlfn.IFNA(_xlfn.XLOOKUP(M$2-$C36, 'SENS Coal'!$D$7:$AW$7, 'SENS Coal'!$D$141:$AW$141), 0), IF($B36='Project List References'!$B$8, _xlfn.IFNA(_xlfn.XLOOKUP(M$2-$C36,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N36" s="743" t="e">
        <f>IF($B36='Project List References'!$B$3, _xlfn.IFNA(_xlfn.XLOOKUP(N$2-$C36, 'GEN-CCGT'!$D$7:$AW$7, 'GEN-CCGT'!$D$124:$AW$124), 0), IF($B36='Project List References'!$B$4, _xlfn.IFNA(_xlfn.XLOOKUP(N$2-$C36, 'GEN-SOLAR'!$D$7:$AW$7, 'GEN-SOLAR'!$D$122:$AW$122), 0), IF($B36='Project List References'!$B$5, _xlfn.IFNA(_xlfn.XLOOKUP(N$2-$C36, 'GEN-BESS'!$D$7:$AW$7, 'GEN-BESS'!$D$125:$AW$125), 0), IF($B36='Project List References'!$B$6, _xlfn.IFNA(_xlfn.XLOOKUP(N$2-$C36, 'GEN-CARBON'!$D$7:$AW$7, 'GEN-CARBON'!$D$124:$AW$124), 0), IF($B36='Project List References'!$B$7, _xlfn.IFNA(_xlfn.XLOOKUP(N$2-$C36, 'SENS Coal'!$D$7:$AW$7, 'SENS Coal'!$D$141:$AW$141), 0), IF($B36='Project List References'!$B$8, _xlfn.IFNA(_xlfn.XLOOKUP(N$2-$C36,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O36" s="743" t="e">
        <f>IF($B36='Project List References'!$B$3, _xlfn.IFNA(_xlfn.XLOOKUP(O$2-$C36, 'GEN-CCGT'!$D$7:$AW$7, 'GEN-CCGT'!$D$124:$AW$124), 0), IF($B36='Project List References'!$B$4, _xlfn.IFNA(_xlfn.XLOOKUP(O$2-$C36, 'GEN-SOLAR'!$D$7:$AW$7, 'GEN-SOLAR'!$D$122:$AW$122), 0), IF($B36='Project List References'!$B$5, _xlfn.IFNA(_xlfn.XLOOKUP(O$2-$C36, 'GEN-BESS'!$D$7:$AW$7, 'GEN-BESS'!$D$125:$AW$125), 0), IF($B36='Project List References'!$B$6, _xlfn.IFNA(_xlfn.XLOOKUP(O$2-$C36, 'GEN-CARBON'!$D$7:$AW$7, 'GEN-CARBON'!$D$124:$AW$124), 0), IF($B36='Project List References'!$B$7, _xlfn.IFNA(_xlfn.XLOOKUP(O$2-$C36, 'SENS Coal'!$D$7:$AW$7, 'SENS Coal'!$D$141:$AW$141), 0), IF($B36='Project List References'!$B$8, _xlfn.IFNA(_xlfn.XLOOKUP(O$2-$C36,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P36" s="743" t="e">
        <f>IF($B36='Project List References'!$B$3, _xlfn.IFNA(_xlfn.XLOOKUP(P$2-$C36, 'GEN-CCGT'!$D$7:$AW$7, 'GEN-CCGT'!$D$124:$AW$124), 0), IF($B36='Project List References'!$B$4, _xlfn.IFNA(_xlfn.XLOOKUP(P$2-$C36, 'GEN-SOLAR'!$D$7:$AW$7, 'GEN-SOLAR'!$D$122:$AW$122), 0), IF($B36='Project List References'!$B$5, _xlfn.IFNA(_xlfn.XLOOKUP(P$2-$C36, 'GEN-BESS'!$D$7:$AW$7, 'GEN-BESS'!$D$125:$AW$125), 0), IF($B36='Project List References'!$B$6, _xlfn.IFNA(_xlfn.XLOOKUP(P$2-$C36, 'GEN-CARBON'!$D$7:$AW$7, 'GEN-CARBON'!$D$124:$AW$124), 0), IF($B36='Project List References'!$B$7, _xlfn.IFNA(_xlfn.XLOOKUP(P$2-$C36, 'SENS Coal'!$D$7:$AW$7, 'SENS Coal'!$D$141:$AW$141), 0), IF($B36='Project List References'!$B$8, _xlfn.IFNA(_xlfn.XLOOKUP(P$2-$C36,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Q36" s="743" t="e">
        <f>IF($B36='Project List References'!$B$3, _xlfn.IFNA(_xlfn.XLOOKUP(Q$2-$C36, 'GEN-CCGT'!$D$7:$AW$7, 'GEN-CCGT'!$D$124:$AW$124), 0), IF($B36='Project List References'!$B$4, _xlfn.IFNA(_xlfn.XLOOKUP(Q$2-$C36, 'GEN-SOLAR'!$D$7:$AW$7, 'GEN-SOLAR'!$D$122:$AW$122), 0), IF($B36='Project List References'!$B$5, _xlfn.IFNA(_xlfn.XLOOKUP(Q$2-$C36, 'GEN-BESS'!$D$7:$AW$7, 'GEN-BESS'!$D$125:$AW$125), 0), IF($B36='Project List References'!$B$6, _xlfn.IFNA(_xlfn.XLOOKUP(Q$2-$C36, 'GEN-CARBON'!$D$7:$AW$7, 'GEN-CARBON'!$D$124:$AW$124), 0), IF($B36='Project List References'!$B$7, _xlfn.IFNA(_xlfn.XLOOKUP(Q$2-$C36, 'SENS Coal'!$D$7:$AW$7, 'SENS Coal'!$D$141:$AW$141), 0), IF($B36='Project List References'!$B$8, _xlfn.IFNA(_xlfn.XLOOKUP(Q$2-$C36,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R36" s="743" t="e">
        <f>IF($B36='Project List References'!$B$3, _xlfn.IFNA(_xlfn.XLOOKUP(R$2-$C36, 'GEN-CCGT'!$D$7:$AW$7, 'GEN-CCGT'!$D$124:$AW$124), 0), IF($B36='Project List References'!$B$4, _xlfn.IFNA(_xlfn.XLOOKUP(R$2-$C36, 'GEN-SOLAR'!$D$7:$AW$7, 'GEN-SOLAR'!$D$122:$AW$122), 0), IF($B36='Project List References'!$B$5, _xlfn.IFNA(_xlfn.XLOOKUP(R$2-$C36, 'GEN-BESS'!$D$7:$AW$7, 'GEN-BESS'!$D$125:$AW$125), 0), IF($B36='Project List References'!$B$6, _xlfn.IFNA(_xlfn.XLOOKUP(R$2-$C36, 'GEN-CARBON'!$D$7:$AW$7, 'GEN-CARBON'!$D$124:$AW$124), 0), IF($B36='Project List References'!$B$7, _xlfn.IFNA(_xlfn.XLOOKUP(R$2-$C36, 'SENS Coal'!$D$7:$AW$7, 'SENS Coal'!$D$141:$AW$141), 0), IF($B36='Project List References'!$B$8, _xlfn.IFNA(_xlfn.XLOOKUP(R$2-$C36,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S36" s="743" t="e">
        <f>IF($B36='Project List References'!$B$3, _xlfn.IFNA(_xlfn.XLOOKUP(S$2-$C36, 'GEN-CCGT'!$D$7:$AW$7, 'GEN-CCGT'!$D$124:$AW$124), 0), IF($B36='Project List References'!$B$4, _xlfn.IFNA(_xlfn.XLOOKUP(S$2-$C36, 'GEN-SOLAR'!$D$7:$AW$7, 'GEN-SOLAR'!$D$122:$AW$122), 0), IF($B36='Project List References'!$B$5, _xlfn.IFNA(_xlfn.XLOOKUP(S$2-$C36, 'GEN-BESS'!$D$7:$AW$7, 'GEN-BESS'!$D$125:$AW$125), 0), IF($B36='Project List References'!$B$6, _xlfn.IFNA(_xlfn.XLOOKUP(S$2-$C36, 'GEN-CARBON'!$D$7:$AW$7, 'GEN-CARBON'!$D$124:$AW$124), 0), IF($B36='Project List References'!$B$7, _xlfn.IFNA(_xlfn.XLOOKUP(S$2-$C36, 'SENS Coal'!$D$7:$AW$7, 'SENS Coal'!$D$141:$AW$141), 0), IF($B36='Project List References'!$B$8, _xlfn.IFNA(_xlfn.XLOOKUP(S$2-$C36,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T36" s="743" t="e">
        <f>IF($B36='Project List References'!$B$3, _xlfn.IFNA(_xlfn.XLOOKUP(T$2-$C36, 'GEN-CCGT'!$D$7:$AW$7, 'GEN-CCGT'!$D$124:$AW$124), 0), IF($B36='Project List References'!$B$4, _xlfn.IFNA(_xlfn.XLOOKUP(T$2-$C36, 'GEN-SOLAR'!$D$7:$AW$7, 'GEN-SOLAR'!$D$122:$AW$122), 0), IF($B36='Project List References'!$B$5, _xlfn.IFNA(_xlfn.XLOOKUP(T$2-$C36, 'GEN-BESS'!$D$7:$AW$7, 'GEN-BESS'!$D$125:$AW$125), 0), IF($B36='Project List References'!$B$6, _xlfn.IFNA(_xlfn.XLOOKUP(T$2-$C36, 'GEN-CARBON'!$D$7:$AW$7, 'GEN-CARBON'!$D$124:$AW$124), 0), IF($B36='Project List References'!$B$7, _xlfn.IFNA(_xlfn.XLOOKUP(T$2-$C36, 'SENS Coal'!$D$7:$AW$7, 'SENS Coal'!$D$141:$AW$141), 0), IF($B36='Project List References'!$B$8, _xlfn.IFNA(_xlfn.XLOOKUP(T$2-$C36, 'SENS Tires'!$D$7:$AW$7, 'SENS Tires'!$D$139:$AW$139),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</row>
    <row r="37" spans="1:20">
      <c r="A37" s="655" t="str">
        <f>IF(ISBLANK('Project Master Sheet'!A37)=FALSE, 'Project Master Sheet'!A37, "")</f>
        <v/>
      </c>
      <c r="B37" s="655" t="str">
        <f>_xlfn.IFNA(_xlfn.XLOOKUP(A37, 'Project Master Sheet'!A:A, 'Project Master Sheet'!D:D), "")</f>
        <v/>
      </c>
      <c r="C37" s="655" t="e">
        <f>_xlfn.XLOOKUP(A37, 'Project Master Sheet'!A:A, 'Project Master Sheet'!I:I)</f>
        <v>#N/A</v>
      </c>
      <c r="E37" s="743" t="e">
        <f>IF($B37='Project List References'!$B$3, _xlfn.IFNA(_xlfn.XLOOKUP(E$2-$C37, 'GEN-CCGT'!$D$7:$AW$7, 'GEN-CCGT'!$D$124:$AW$124), 0), IF($B37='Project List References'!$B$4, _xlfn.IFNA(_xlfn.XLOOKUP(E$2-$C37, 'GEN-SOLAR'!$D$7:$AW$7, 'GEN-SOLAR'!$D$122:$AW$122), 0), IF($B37='Project List References'!$B$5, _xlfn.IFNA(_xlfn.XLOOKUP(E$2-$C37, 'GEN-BESS'!$D$7:$AW$7, 'GEN-BESS'!$D$125:$AW$125), 0), IF($B37='Project List References'!$B$6, _xlfn.IFNA(_xlfn.XLOOKUP(E$2-$C37, 'GEN-CARBON'!$D$7:$AW$7, 'GEN-CARBON'!$D$124:$AW$124), 0), IF($B37='Project List References'!$B$7, _xlfn.IFNA(_xlfn.XLOOKUP(E$2-$C37, 'SENS Coal'!$D$7:$AW$7, 'SENS Coal'!$D$141:$AW$141), 0), IF($B37='Project List References'!$B$8, _xlfn.IFNA(_xlfn.XLOOKUP(E$2-$C37,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F37" s="743" t="e">
        <f>IF($B37='Project List References'!$B$3, _xlfn.IFNA(_xlfn.XLOOKUP(F$2-$C37, 'GEN-CCGT'!$D$7:$AW$7, 'GEN-CCGT'!$D$124:$AW$124), 0), IF($B37='Project List References'!$B$4, _xlfn.IFNA(_xlfn.XLOOKUP(F$2-$C37, 'GEN-SOLAR'!$D$7:$AW$7, 'GEN-SOLAR'!$D$122:$AW$122), 0), IF($B37='Project List References'!$B$5, _xlfn.IFNA(_xlfn.XLOOKUP(F$2-$C37, 'GEN-BESS'!$D$7:$AW$7, 'GEN-BESS'!$D$125:$AW$125), 0), IF($B37='Project List References'!$B$6, _xlfn.IFNA(_xlfn.XLOOKUP(F$2-$C37, 'GEN-CARBON'!$D$7:$AW$7, 'GEN-CARBON'!$D$124:$AW$124), 0), IF($B37='Project List References'!$B$7, _xlfn.IFNA(_xlfn.XLOOKUP(F$2-$C37, 'SENS Coal'!$D$7:$AW$7, 'SENS Coal'!$D$141:$AW$141), 0), IF($B37='Project List References'!$B$8, _xlfn.IFNA(_xlfn.XLOOKUP(F$2-$C37,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G37" s="743" t="e">
        <f>IF($B37='Project List References'!$B$3, _xlfn.IFNA(_xlfn.XLOOKUP(G$2-$C37, 'GEN-CCGT'!$D$7:$AW$7, 'GEN-CCGT'!$D$124:$AW$124), 0), IF($B37='Project List References'!$B$4, _xlfn.IFNA(_xlfn.XLOOKUP(G$2-$C37, 'GEN-SOLAR'!$D$7:$AW$7, 'GEN-SOLAR'!$D$122:$AW$122), 0), IF($B37='Project List References'!$B$5, _xlfn.IFNA(_xlfn.XLOOKUP(G$2-$C37, 'GEN-BESS'!$D$7:$AW$7, 'GEN-BESS'!$D$125:$AW$125), 0), IF($B37='Project List References'!$B$6, _xlfn.IFNA(_xlfn.XLOOKUP(G$2-$C37, 'GEN-CARBON'!$D$7:$AW$7, 'GEN-CARBON'!$D$124:$AW$124), 0), IF($B37='Project List References'!$B$7, _xlfn.IFNA(_xlfn.XLOOKUP(G$2-$C37, 'SENS Coal'!$D$7:$AW$7, 'SENS Coal'!$D$141:$AW$141), 0), IF($B37='Project List References'!$B$8, _xlfn.IFNA(_xlfn.XLOOKUP(G$2-$C37,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H37" s="743" t="e">
        <f>IF($B37='Project List References'!$B$3, _xlfn.IFNA(_xlfn.XLOOKUP(H$2-$C37, 'GEN-CCGT'!$D$7:$AW$7, 'GEN-CCGT'!$D$124:$AW$124), 0), IF($B37='Project List References'!$B$4, _xlfn.IFNA(_xlfn.XLOOKUP(H$2-$C37, 'GEN-SOLAR'!$D$7:$AW$7, 'GEN-SOLAR'!$D$122:$AW$122), 0), IF($B37='Project List References'!$B$5, _xlfn.IFNA(_xlfn.XLOOKUP(H$2-$C37, 'GEN-BESS'!$D$7:$AW$7, 'GEN-BESS'!$D$125:$AW$125), 0), IF($B37='Project List References'!$B$6, _xlfn.IFNA(_xlfn.XLOOKUP(H$2-$C37, 'GEN-CARBON'!$D$7:$AW$7, 'GEN-CARBON'!$D$124:$AW$124), 0), IF($B37='Project List References'!$B$7, _xlfn.IFNA(_xlfn.XLOOKUP(H$2-$C37, 'SENS Coal'!$D$7:$AW$7, 'SENS Coal'!$D$141:$AW$141), 0), IF($B37='Project List References'!$B$8, _xlfn.IFNA(_xlfn.XLOOKUP(H$2-$C37,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I37" s="743" t="e">
        <f>IF($B37='Project List References'!$B$3, _xlfn.IFNA(_xlfn.XLOOKUP(I$2-$C37, 'GEN-CCGT'!$D$7:$AW$7, 'GEN-CCGT'!$D$124:$AW$124), 0), IF($B37='Project List References'!$B$4, _xlfn.IFNA(_xlfn.XLOOKUP(I$2-$C37, 'GEN-SOLAR'!$D$7:$AW$7, 'GEN-SOLAR'!$D$122:$AW$122), 0), IF($B37='Project List References'!$B$5, _xlfn.IFNA(_xlfn.XLOOKUP(I$2-$C37, 'GEN-BESS'!$D$7:$AW$7, 'GEN-BESS'!$D$125:$AW$125), 0), IF($B37='Project List References'!$B$6, _xlfn.IFNA(_xlfn.XLOOKUP(I$2-$C37, 'GEN-CARBON'!$D$7:$AW$7, 'GEN-CARBON'!$D$124:$AW$124), 0), IF($B37='Project List References'!$B$7, _xlfn.IFNA(_xlfn.XLOOKUP(I$2-$C37, 'SENS Coal'!$D$7:$AW$7, 'SENS Coal'!$D$141:$AW$141), 0), IF($B37='Project List References'!$B$8, _xlfn.IFNA(_xlfn.XLOOKUP(I$2-$C37,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J37" s="743" t="e">
        <f>IF($B37='Project List References'!$B$3, _xlfn.IFNA(_xlfn.XLOOKUP(J$2-$C37, 'GEN-CCGT'!$D$7:$AW$7, 'GEN-CCGT'!$D$124:$AW$124), 0), IF($B37='Project List References'!$B$4, _xlfn.IFNA(_xlfn.XLOOKUP(J$2-$C37, 'GEN-SOLAR'!$D$7:$AW$7, 'GEN-SOLAR'!$D$122:$AW$122), 0), IF($B37='Project List References'!$B$5, _xlfn.IFNA(_xlfn.XLOOKUP(J$2-$C37, 'GEN-BESS'!$D$7:$AW$7, 'GEN-BESS'!$D$125:$AW$125), 0), IF($B37='Project List References'!$B$6, _xlfn.IFNA(_xlfn.XLOOKUP(J$2-$C37, 'GEN-CARBON'!$D$7:$AW$7, 'GEN-CARBON'!$D$124:$AW$124), 0), IF($B37='Project List References'!$B$7, _xlfn.IFNA(_xlfn.XLOOKUP(J$2-$C37, 'SENS Coal'!$D$7:$AW$7, 'SENS Coal'!$D$141:$AW$141), 0), IF($B37='Project List References'!$B$8, _xlfn.IFNA(_xlfn.XLOOKUP(J$2-$C37,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K37" s="743" t="e">
        <f>IF($B37='Project List References'!$B$3, _xlfn.IFNA(_xlfn.XLOOKUP(K$2-$C37, 'GEN-CCGT'!$D$7:$AW$7, 'GEN-CCGT'!$D$124:$AW$124), 0), IF($B37='Project List References'!$B$4, _xlfn.IFNA(_xlfn.XLOOKUP(K$2-$C37, 'GEN-SOLAR'!$D$7:$AW$7, 'GEN-SOLAR'!$D$122:$AW$122), 0), IF($B37='Project List References'!$B$5, _xlfn.IFNA(_xlfn.XLOOKUP(K$2-$C37, 'GEN-BESS'!$D$7:$AW$7, 'GEN-BESS'!$D$125:$AW$125), 0), IF($B37='Project List References'!$B$6, _xlfn.IFNA(_xlfn.XLOOKUP(K$2-$C37, 'GEN-CARBON'!$D$7:$AW$7, 'GEN-CARBON'!$D$124:$AW$124), 0), IF($B37='Project List References'!$B$7, _xlfn.IFNA(_xlfn.XLOOKUP(K$2-$C37, 'SENS Coal'!$D$7:$AW$7, 'SENS Coal'!$D$141:$AW$141), 0), IF($B37='Project List References'!$B$8, _xlfn.IFNA(_xlfn.XLOOKUP(K$2-$C37,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L37" s="743" t="e">
        <f>IF($B37='Project List References'!$B$3, _xlfn.IFNA(_xlfn.XLOOKUP(L$2-$C37, 'GEN-CCGT'!$D$7:$AW$7, 'GEN-CCGT'!$D$124:$AW$124), 0), IF($B37='Project List References'!$B$4, _xlfn.IFNA(_xlfn.XLOOKUP(L$2-$C37, 'GEN-SOLAR'!$D$7:$AW$7, 'GEN-SOLAR'!$D$122:$AW$122), 0), IF($B37='Project List References'!$B$5, _xlfn.IFNA(_xlfn.XLOOKUP(L$2-$C37, 'GEN-BESS'!$D$7:$AW$7, 'GEN-BESS'!$D$125:$AW$125), 0), IF($B37='Project List References'!$B$6, _xlfn.IFNA(_xlfn.XLOOKUP(L$2-$C37, 'GEN-CARBON'!$D$7:$AW$7, 'GEN-CARBON'!$D$124:$AW$124), 0), IF($B37='Project List References'!$B$7, _xlfn.IFNA(_xlfn.XLOOKUP(L$2-$C37, 'SENS Coal'!$D$7:$AW$7, 'SENS Coal'!$D$141:$AW$141), 0), IF($B37='Project List References'!$B$8, _xlfn.IFNA(_xlfn.XLOOKUP(L$2-$C37,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M37" s="743" t="e">
        <f>IF($B37='Project List References'!$B$3, _xlfn.IFNA(_xlfn.XLOOKUP(M$2-$C37, 'GEN-CCGT'!$D$7:$AW$7, 'GEN-CCGT'!$D$124:$AW$124), 0), IF($B37='Project List References'!$B$4, _xlfn.IFNA(_xlfn.XLOOKUP(M$2-$C37, 'GEN-SOLAR'!$D$7:$AW$7, 'GEN-SOLAR'!$D$122:$AW$122), 0), IF($B37='Project List References'!$B$5, _xlfn.IFNA(_xlfn.XLOOKUP(M$2-$C37, 'GEN-BESS'!$D$7:$AW$7, 'GEN-BESS'!$D$125:$AW$125), 0), IF($B37='Project List References'!$B$6, _xlfn.IFNA(_xlfn.XLOOKUP(M$2-$C37, 'GEN-CARBON'!$D$7:$AW$7, 'GEN-CARBON'!$D$124:$AW$124), 0), IF($B37='Project List References'!$B$7, _xlfn.IFNA(_xlfn.XLOOKUP(M$2-$C37, 'SENS Coal'!$D$7:$AW$7, 'SENS Coal'!$D$141:$AW$141), 0), IF($B37='Project List References'!$B$8, _xlfn.IFNA(_xlfn.XLOOKUP(M$2-$C37,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N37" s="743" t="e">
        <f>IF($B37='Project List References'!$B$3, _xlfn.IFNA(_xlfn.XLOOKUP(N$2-$C37, 'GEN-CCGT'!$D$7:$AW$7, 'GEN-CCGT'!$D$124:$AW$124), 0), IF($B37='Project List References'!$B$4, _xlfn.IFNA(_xlfn.XLOOKUP(N$2-$C37, 'GEN-SOLAR'!$D$7:$AW$7, 'GEN-SOLAR'!$D$122:$AW$122), 0), IF($B37='Project List References'!$B$5, _xlfn.IFNA(_xlfn.XLOOKUP(N$2-$C37, 'GEN-BESS'!$D$7:$AW$7, 'GEN-BESS'!$D$125:$AW$125), 0), IF($B37='Project List References'!$B$6, _xlfn.IFNA(_xlfn.XLOOKUP(N$2-$C37, 'GEN-CARBON'!$D$7:$AW$7, 'GEN-CARBON'!$D$124:$AW$124), 0), IF($B37='Project List References'!$B$7, _xlfn.IFNA(_xlfn.XLOOKUP(N$2-$C37, 'SENS Coal'!$D$7:$AW$7, 'SENS Coal'!$D$141:$AW$141), 0), IF($B37='Project List References'!$B$8, _xlfn.IFNA(_xlfn.XLOOKUP(N$2-$C37,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O37" s="743" t="e">
        <f>IF($B37='Project List References'!$B$3, _xlfn.IFNA(_xlfn.XLOOKUP(O$2-$C37, 'GEN-CCGT'!$D$7:$AW$7, 'GEN-CCGT'!$D$124:$AW$124), 0), IF($B37='Project List References'!$B$4, _xlfn.IFNA(_xlfn.XLOOKUP(O$2-$C37, 'GEN-SOLAR'!$D$7:$AW$7, 'GEN-SOLAR'!$D$122:$AW$122), 0), IF($B37='Project List References'!$B$5, _xlfn.IFNA(_xlfn.XLOOKUP(O$2-$C37, 'GEN-BESS'!$D$7:$AW$7, 'GEN-BESS'!$D$125:$AW$125), 0), IF($B37='Project List References'!$B$6, _xlfn.IFNA(_xlfn.XLOOKUP(O$2-$C37, 'GEN-CARBON'!$D$7:$AW$7, 'GEN-CARBON'!$D$124:$AW$124), 0), IF($B37='Project List References'!$B$7, _xlfn.IFNA(_xlfn.XLOOKUP(O$2-$C37, 'SENS Coal'!$D$7:$AW$7, 'SENS Coal'!$D$141:$AW$141), 0), IF($B37='Project List References'!$B$8, _xlfn.IFNA(_xlfn.XLOOKUP(O$2-$C37,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P37" s="743" t="e">
        <f>IF($B37='Project List References'!$B$3, _xlfn.IFNA(_xlfn.XLOOKUP(P$2-$C37, 'GEN-CCGT'!$D$7:$AW$7, 'GEN-CCGT'!$D$124:$AW$124), 0), IF($B37='Project List References'!$B$4, _xlfn.IFNA(_xlfn.XLOOKUP(P$2-$C37, 'GEN-SOLAR'!$D$7:$AW$7, 'GEN-SOLAR'!$D$122:$AW$122), 0), IF($B37='Project List References'!$B$5, _xlfn.IFNA(_xlfn.XLOOKUP(P$2-$C37, 'GEN-BESS'!$D$7:$AW$7, 'GEN-BESS'!$D$125:$AW$125), 0), IF($B37='Project List References'!$B$6, _xlfn.IFNA(_xlfn.XLOOKUP(P$2-$C37, 'GEN-CARBON'!$D$7:$AW$7, 'GEN-CARBON'!$D$124:$AW$124), 0), IF($B37='Project List References'!$B$7, _xlfn.IFNA(_xlfn.XLOOKUP(P$2-$C37, 'SENS Coal'!$D$7:$AW$7, 'SENS Coal'!$D$141:$AW$141), 0), IF($B37='Project List References'!$B$8, _xlfn.IFNA(_xlfn.XLOOKUP(P$2-$C37,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Q37" s="743" t="e">
        <f>IF($B37='Project List References'!$B$3, _xlfn.IFNA(_xlfn.XLOOKUP(Q$2-$C37, 'GEN-CCGT'!$D$7:$AW$7, 'GEN-CCGT'!$D$124:$AW$124), 0), IF($B37='Project List References'!$B$4, _xlfn.IFNA(_xlfn.XLOOKUP(Q$2-$C37, 'GEN-SOLAR'!$D$7:$AW$7, 'GEN-SOLAR'!$D$122:$AW$122), 0), IF($B37='Project List References'!$B$5, _xlfn.IFNA(_xlfn.XLOOKUP(Q$2-$C37, 'GEN-BESS'!$D$7:$AW$7, 'GEN-BESS'!$D$125:$AW$125), 0), IF($B37='Project List References'!$B$6, _xlfn.IFNA(_xlfn.XLOOKUP(Q$2-$C37, 'GEN-CARBON'!$D$7:$AW$7, 'GEN-CARBON'!$D$124:$AW$124), 0), IF($B37='Project List References'!$B$7, _xlfn.IFNA(_xlfn.XLOOKUP(Q$2-$C37, 'SENS Coal'!$D$7:$AW$7, 'SENS Coal'!$D$141:$AW$141), 0), IF($B37='Project List References'!$B$8, _xlfn.IFNA(_xlfn.XLOOKUP(Q$2-$C37,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R37" s="743" t="e">
        <f>IF($B37='Project List References'!$B$3, _xlfn.IFNA(_xlfn.XLOOKUP(R$2-$C37, 'GEN-CCGT'!$D$7:$AW$7, 'GEN-CCGT'!$D$124:$AW$124), 0), IF($B37='Project List References'!$B$4, _xlfn.IFNA(_xlfn.XLOOKUP(R$2-$C37, 'GEN-SOLAR'!$D$7:$AW$7, 'GEN-SOLAR'!$D$122:$AW$122), 0), IF($B37='Project List References'!$B$5, _xlfn.IFNA(_xlfn.XLOOKUP(R$2-$C37, 'GEN-BESS'!$D$7:$AW$7, 'GEN-BESS'!$D$125:$AW$125), 0), IF($B37='Project List References'!$B$6, _xlfn.IFNA(_xlfn.XLOOKUP(R$2-$C37, 'GEN-CARBON'!$D$7:$AW$7, 'GEN-CARBON'!$D$124:$AW$124), 0), IF($B37='Project List References'!$B$7, _xlfn.IFNA(_xlfn.XLOOKUP(R$2-$C37, 'SENS Coal'!$D$7:$AW$7, 'SENS Coal'!$D$141:$AW$141), 0), IF($B37='Project List References'!$B$8, _xlfn.IFNA(_xlfn.XLOOKUP(R$2-$C37,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S37" s="743" t="e">
        <f>IF($B37='Project List References'!$B$3, _xlfn.IFNA(_xlfn.XLOOKUP(S$2-$C37, 'GEN-CCGT'!$D$7:$AW$7, 'GEN-CCGT'!$D$124:$AW$124), 0), IF($B37='Project List References'!$B$4, _xlfn.IFNA(_xlfn.XLOOKUP(S$2-$C37, 'GEN-SOLAR'!$D$7:$AW$7, 'GEN-SOLAR'!$D$122:$AW$122), 0), IF($B37='Project List References'!$B$5, _xlfn.IFNA(_xlfn.XLOOKUP(S$2-$C37, 'GEN-BESS'!$D$7:$AW$7, 'GEN-BESS'!$D$125:$AW$125), 0), IF($B37='Project List References'!$B$6, _xlfn.IFNA(_xlfn.XLOOKUP(S$2-$C37, 'GEN-CARBON'!$D$7:$AW$7, 'GEN-CARBON'!$D$124:$AW$124), 0), IF($B37='Project List References'!$B$7, _xlfn.IFNA(_xlfn.XLOOKUP(S$2-$C37, 'SENS Coal'!$D$7:$AW$7, 'SENS Coal'!$D$141:$AW$141), 0), IF($B37='Project List References'!$B$8, _xlfn.IFNA(_xlfn.XLOOKUP(S$2-$C37,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T37" s="743" t="e">
        <f>IF($B37='Project List References'!$B$3, _xlfn.IFNA(_xlfn.XLOOKUP(T$2-$C37, 'GEN-CCGT'!$D$7:$AW$7, 'GEN-CCGT'!$D$124:$AW$124), 0), IF($B37='Project List References'!$B$4, _xlfn.IFNA(_xlfn.XLOOKUP(T$2-$C37, 'GEN-SOLAR'!$D$7:$AW$7, 'GEN-SOLAR'!$D$122:$AW$122), 0), IF($B37='Project List References'!$B$5, _xlfn.IFNA(_xlfn.XLOOKUP(T$2-$C37, 'GEN-BESS'!$D$7:$AW$7, 'GEN-BESS'!$D$125:$AW$125), 0), IF($B37='Project List References'!$B$6, _xlfn.IFNA(_xlfn.XLOOKUP(T$2-$C37, 'GEN-CARBON'!$D$7:$AW$7, 'GEN-CARBON'!$D$124:$AW$124), 0), IF($B37='Project List References'!$B$7, _xlfn.IFNA(_xlfn.XLOOKUP(T$2-$C37, 'SENS Coal'!$D$7:$AW$7, 'SENS Coal'!$D$141:$AW$141), 0), IF($B37='Project List References'!$B$8, _xlfn.IFNA(_xlfn.XLOOKUP(T$2-$C37, 'SENS Tires'!$D$7:$AW$7, 'SENS Tires'!$D$139:$AW$139),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</row>
    <row r="38" spans="1:20">
      <c r="A38" s="655" t="str">
        <f>IF(ISBLANK('Project Master Sheet'!A38)=FALSE, 'Project Master Sheet'!A38, "")</f>
        <v/>
      </c>
      <c r="B38" s="655" t="str">
        <f>_xlfn.IFNA(_xlfn.XLOOKUP(A38, 'Project Master Sheet'!A:A, 'Project Master Sheet'!D:D), "")</f>
        <v/>
      </c>
      <c r="C38" s="655" t="e">
        <f>_xlfn.XLOOKUP(A38, 'Project Master Sheet'!A:A, 'Project Master Sheet'!I:I)</f>
        <v>#N/A</v>
      </c>
      <c r="E38" s="743" t="e">
        <f>IF($B38='Project List References'!$B$3, _xlfn.IFNA(_xlfn.XLOOKUP(E$2-$C38, 'GEN-CCGT'!$D$7:$AW$7, 'GEN-CCGT'!$D$124:$AW$124), 0), IF($B38='Project List References'!$B$4, _xlfn.IFNA(_xlfn.XLOOKUP(E$2-$C38, 'GEN-SOLAR'!$D$7:$AW$7, 'GEN-SOLAR'!$D$122:$AW$122), 0), IF($B38='Project List References'!$B$5, _xlfn.IFNA(_xlfn.XLOOKUP(E$2-$C38, 'GEN-BESS'!$D$7:$AW$7, 'GEN-BESS'!$D$125:$AW$125), 0), IF($B38='Project List References'!$B$6, _xlfn.IFNA(_xlfn.XLOOKUP(E$2-$C38, 'GEN-CARBON'!$D$7:$AW$7, 'GEN-CARBON'!$D$124:$AW$124), 0), IF($B38='Project List References'!$B$7, _xlfn.IFNA(_xlfn.XLOOKUP(E$2-$C38, 'SENS Coal'!$D$7:$AW$7, 'SENS Coal'!$D$141:$AW$141), 0), IF($B38='Project List References'!$B$8, _xlfn.IFNA(_xlfn.XLOOKUP(E$2-$C38,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F38" s="743" t="e">
        <f>IF($B38='Project List References'!$B$3, _xlfn.IFNA(_xlfn.XLOOKUP(F$2-$C38, 'GEN-CCGT'!$D$7:$AW$7, 'GEN-CCGT'!$D$124:$AW$124), 0), IF($B38='Project List References'!$B$4, _xlfn.IFNA(_xlfn.XLOOKUP(F$2-$C38, 'GEN-SOLAR'!$D$7:$AW$7, 'GEN-SOLAR'!$D$122:$AW$122), 0), IF($B38='Project List References'!$B$5, _xlfn.IFNA(_xlfn.XLOOKUP(F$2-$C38, 'GEN-BESS'!$D$7:$AW$7, 'GEN-BESS'!$D$125:$AW$125), 0), IF($B38='Project List References'!$B$6, _xlfn.IFNA(_xlfn.XLOOKUP(F$2-$C38, 'GEN-CARBON'!$D$7:$AW$7, 'GEN-CARBON'!$D$124:$AW$124), 0), IF($B38='Project List References'!$B$7, _xlfn.IFNA(_xlfn.XLOOKUP(F$2-$C38, 'SENS Coal'!$D$7:$AW$7, 'SENS Coal'!$D$141:$AW$141), 0), IF($B38='Project List References'!$B$8, _xlfn.IFNA(_xlfn.XLOOKUP(F$2-$C38,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G38" s="743" t="e">
        <f>IF($B38='Project List References'!$B$3, _xlfn.IFNA(_xlfn.XLOOKUP(G$2-$C38, 'GEN-CCGT'!$D$7:$AW$7, 'GEN-CCGT'!$D$124:$AW$124), 0), IF($B38='Project List References'!$B$4, _xlfn.IFNA(_xlfn.XLOOKUP(G$2-$C38, 'GEN-SOLAR'!$D$7:$AW$7, 'GEN-SOLAR'!$D$122:$AW$122), 0), IF($B38='Project List References'!$B$5, _xlfn.IFNA(_xlfn.XLOOKUP(G$2-$C38, 'GEN-BESS'!$D$7:$AW$7, 'GEN-BESS'!$D$125:$AW$125), 0), IF($B38='Project List References'!$B$6, _xlfn.IFNA(_xlfn.XLOOKUP(G$2-$C38, 'GEN-CARBON'!$D$7:$AW$7, 'GEN-CARBON'!$D$124:$AW$124), 0), IF($B38='Project List References'!$B$7, _xlfn.IFNA(_xlfn.XLOOKUP(G$2-$C38, 'SENS Coal'!$D$7:$AW$7, 'SENS Coal'!$D$141:$AW$141), 0), IF($B38='Project List References'!$B$8, _xlfn.IFNA(_xlfn.XLOOKUP(G$2-$C38,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H38" s="743" t="e">
        <f>IF($B38='Project List References'!$B$3, _xlfn.IFNA(_xlfn.XLOOKUP(H$2-$C38, 'GEN-CCGT'!$D$7:$AW$7, 'GEN-CCGT'!$D$124:$AW$124), 0), IF($B38='Project List References'!$B$4, _xlfn.IFNA(_xlfn.XLOOKUP(H$2-$C38, 'GEN-SOLAR'!$D$7:$AW$7, 'GEN-SOLAR'!$D$122:$AW$122), 0), IF($B38='Project List References'!$B$5, _xlfn.IFNA(_xlfn.XLOOKUP(H$2-$C38, 'GEN-BESS'!$D$7:$AW$7, 'GEN-BESS'!$D$125:$AW$125), 0), IF($B38='Project List References'!$B$6, _xlfn.IFNA(_xlfn.XLOOKUP(H$2-$C38, 'GEN-CARBON'!$D$7:$AW$7, 'GEN-CARBON'!$D$124:$AW$124), 0), IF($B38='Project List References'!$B$7, _xlfn.IFNA(_xlfn.XLOOKUP(H$2-$C38, 'SENS Coal'!$D$7:$AW$7, 'SENS Coal'!$D$141:$AW$141), 0), IF($B38='Project List References'!$B$8, _xlfn.IFNA(_xlfn.XLOOKUP(H$2-$C38,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I38" s="743" t="e">
        <f>IF($B38='Project List References'!$B$3, _xlfn.IFNA(_xlfn.XLOOKUP(I$2-$C38, 'GEN-CCGT'!$D$7:$AW$7, 'GEN-CCGT'!$D$124:$AW$124), 0), IF($B38='Project List References'!$B$4, _xlfn.IFNA(_xlfn.XLOOKUP(I$2-$C38, 'GEN-SOLAR'!$D$7:$AW$7, 'GEN-SOLAR'!$D$122:$AW$122), 0), IF($B38='Project List References'!$B$5, _xlfn.IFNA(_xlfn.XLOOKUP(I$2-$C38, 'GEN-BESS'!$D$7:$AW$7, 'GEN-BESS'!$D$125:$AW$125), 0), IF($B38='Project List References'!$B$6, _xlfn.IFNA(_xlfn.XLOOKUP(I$2-$C38, 'GEN-CARBON'!$D$7:$AW$7, 'GEN-CARBON'!$D$124:$AW$124), 0), IF($B38='Project List References'!$B$7, _xlfn.IFNA(_xlfn.XLOOKUP(I$2-$C38, 'SENS Coal'!$D$7:$AW$7, 'SENS Coal'!$D$141:$AW$141), 0), IF($B38='Project List References'!$B$8, _xlfn.IFNA(_xlfn.XLOOKUP(I$2-$C38,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J38" s="743" t="e">
        <f>IF($B38='Project List References'!$B$3, _xlfn.IFNA(_xlfn.XLOOKUP(J$2-$C38, 'GEN-CCGT'!$D$7:$AW$7, 'GEN-CCGT'!$D$124:$AW$124), 0), IF($B38='Project List References'!$B$4, _xlfn.IFNA(_xlfn.XLOOKUP(J$2-$C38, 'GEN-SOLAR'!$D$7:$AW$7, 'GEN-SOLAR'!$D$122:$AW$122), 0), IF($B38='Project List References'!$B$5, _xlfn.IFNA(_xlfn.XLOOKUP(J$2-$C38, 'GEN-BESS'!$D$7:$AW$7, 'GEN-BESS'!$D$125:$AW$125), 0), IF($B38='Project List References'!$B$6, _xlfn.IFNA(_xlfn.XLOOKUP(J$2-$C38, 'GEN-CARBON'!$D$7:$AW$7, 'GEN-CARBON'!$D$124:$AW$124), 0), IF($B38='Project List References'!$B$7, _xlfn.IFNA(_xlfn.XLOOKUP(J$2-$C38, 'SENS Coal'!$D$7:$AW$7, 'SENS Coal'!$D$141:$AW$141), 0), IF($B38='Project List References'!$B$8, _xlfn.IFNA(_xlfn.XLOOKUP(J$2-$C38,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K38" s="743" t="e">
        <f>IF($B38='Project List References'!$B$3, _xlfn.IFNA(_xlfn.XLOOKUP(K$2-$C38, 'GEN-CCGT'!$D$7:$AW$7, 'GEN-CCGT'!$D$124:$AW$124), 0), IF($B38='Project List References'!$B$4, _xlfn.IFNA(_xlfn.XLOOKUP(K$2-$C38, 'GEN-SOLAR'!$D$7:$AW$7, 'GEN-SOLAR'!$D$122:$AW$122), 0), IF($B38='Project List References'!$B$5, _xlfn.IFNA(_xlfn.XLOOKUP(K$2-$C38, 'GEN-BESS'!$D$7:$AW$7, 'GEN-BESS'!$D$125:$AW$125), 0), IF($B38='Project List References'!$B$6, _xlfn.IFNA(_xlfn.XLOOKUP(K$2-$C38, 'GEN-CARBON'!$D$7:$AW$7, 'GEN-CARBON'!$D$124:$AW$124), 0), IF($B38='Project List References'!$B$7, _xlfn.IFNA(_xlfn.XLOOKUP(K$2-$C38, 'SENS Coal'!$D$7:$AW$7, 'SENS Coal'!$D$141:$AW$141), 0), IF($B38='Project List References'!$B$8, _xlfn.IFNA(_xlfn.XLOOKUP(K$2-$C38,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L38" s="743" t="e">
        <f>IF($B38='Project List References'!$B$3, _xlfn.IFNA(_xlfn.XLOOKUP(L$2-$C38, 'GEN-CCGT'!$D$7:$AW$7, 'GEN-CCGT'!$D$124:$AW$124), 0), IF($B38='Project List References'!$B$4, _xlfn.IFNA(_xlfn.XLOOKUP(L$2-$C38, 'GEN-SOLAR'!$D$7:$AW$7, 'GEN-SOLAR'!$D$122:$AW$122), 0), IF($B38='Project List References'!$B$5, _xlfn.IFNA(_xlfn.XLOOKUP(L$2-$C38, 'GEN-BESS'!$D$7:$AW$7, 'GEN-BESS'!$D$125:$AW$125), 0), IF($B38='Project List References'!$B$6, _xlfn.IFNA(_xlfn.XLOOKUP(L$2-$C38, 'GEN-CARBON'!$D$7:$AW$7, 'GEN-CARBON'!$D$124:$AW$124), 0), IF($B38='Project List References'!$B$7, _xlfn.IFNA(_xlfn.XLOOKUP(L$2-$C38, 'SENS Coal'!$D$7:$AW$7, 'SENS Coal'!$D$141:$AW$141), 0), IF($B38='Project List References'!$B$8, _xlfn.IFNA(_xlfn.XLOOKUP(L$2-$C38,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M38" s="743" t="e">
        <f>IF($B38='Project List References'!$B$3, _xlfn.IFNA(_xlfn.XLOOKUP(M$2-$C38, 'GEN-CCGT'!$D$7:$AW$7, 'GEN-CCGT'!$D$124:$AW$124), 0), IF($B38='Project List References'!$B$4, _xlfn.IFNA(_xlfn.XLOOKUP(M$2-$C38, 'GEN-SOLAR'!$D$7:$AW$7, 'GEN-SOLAR'!$D$122:$AW$122), 0), IF($B38='Project List References'!$B$5, _xlfn.IFNA(_xlfn.XLOOKUP(M$2-$C38, 'GEN-BESS'!$D$7:$AW$7, 'GEN-BESS'!$D$125:$AW$125), 0), IF($B38='Project List References'!$B$6, _xlfn.IFNA(_xlfn.XLOOKUP(M$2-$C38, 'GEN-CARBON'!$D$7:$AW$7, 'GEN-CARBON'!$D$124:$AW$124), 0), IF($B38='Project List References'!$B$7, _xlfn.IFNA(_xlfn.XLOOKUP(M$2-$C38, 'SENS Coal'!$D$7:$AW$7, 'SENS Coal'!$D$141:$AW$141), 0), IF($B38='Project List References'!$B$8, _xlfn.IFNA(_xlfn.XLOOKUP(M$2-$C38,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N38" s="743" t="e">
        <f>IF($B38='Project List References'!$B$3, _xlfn.IFNA(_xlfn.XLOOKUP(N$2-$C38, 'GEN-CCGT'!$D$7:$AW$7, 'GEN-CCGT'!$D$124:$AW$124), 0), IF($B38='Project List References'!$B$4, _xlfn.IFNA(_xlfn.XLOOKUP(N$2-$C38, 'GEN-SOLAR'!$D$7:$AW$7, 'GEN-SOLAR'!$D$122:$AW$122), 0), IF($B38='Project List References'!$B$5, _xlfn.IFNA(_xlfn.XLOOKUP(N$2-$C38, 'GEN-BESS'!$D$7:$AW$7, 'GEN-BESS'!$D$125:$AW$125), 0), IF($B38='Project List References'!$B$6, _xlfn.IFNA(_xlfn.XLOOKUP(N$2-$C38, 'GEN-CARBON'!$D$7:$AW$7, 'GEN-CARBON'!$D$124:$AW$124), 0), IF($B38='Project List References'!$B$7, _xlfn.IFNA(_xlfn.XLOOKUP(N$2-$C38, 'SENS Coal'!$D$7:$AW$7, 'SENS Coal'!$D$141:$AW$141), 0), IF($B38='Project List References'!$B$8, _xlfn.IFNA(_xlfn.XLOOKUP(N$2-$C38,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O38" s="743" t="e">
        <f>IF($B38='Project List References'!$B$3, _xlfn.IFNA(_xlfn.XLOOKUP(O$2-$C38, 'GEN-CCGT'!$D$7:$AW$7, 'GEN-CCGT'!$D$124:$AW$124), 0), IF($B38='Project List References'!$B$4, _xlfn.IFNA(_xlfn.XLOOKUP(O$2-$C38, 'GEN-SOLAR'!$D$7:$AW$7, 'GEN-SOLAR'!$D$122:$AW$122), 0), IF($B38='Project List References'!$B$5, _xlfn.IFNA(_xlfn.XLOOKUP(O$2-$C38, 'GEN-BESS'!$D$7:$AW$7, 'GEN-BESS'!$D$125:$AW$125), 0), IF($B38='Project List References'!$B$6, _xlfn.IFNA(_xlfn.XLOOKUP(O$2-$C38, 'GEN-CARBON'!$D$7:$AW$7, 'GEN-CARBON'!$D$124:$AW$124), 0), IF($B38='Project List References'!$B$7, _xlfn.IFNA(_xlfn.XLOOKUP(O$2-$C38, 'SENS Coal'!$D$7:$AW$7, 'SENS Coal'!$D$141:$AW$141), 0), IF($B38='Project List References'!$B$8, _xlfn.IFNA(_xlfn.XLOOKUP(O$2-$C38,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P38" s="743" t="e">
        <f>IF($B38='Project List References'!$B$3, _xlfn.IFNA(_xlfn.XLOOKUP(P$2-$C38, 'GEN-CCGT'!$D$7:$AW$7, 'GEN-CCGT'!$D$124:$AW$124), 0), IF($B38='Project List References'!$B$4, _xlfn.IFNA(_xlfn.XLOOKUP(P$2-$C38, 'GEN-SOLAR'!$D$7:$AW$7, 'GEN-SOLAR'!$D$122:$AW$122), 0), IF($B38='Project List References'!$B$5, _xlfn.IFNA(_xlfn.XLOOKUP(P$2-$C38, 'GEN-BESS'!$D$7:$AW$7, 'GEN-BESS'!$D$125:$AW$125), 0), IF($B38='Project List References'!$B$6, _xlfn.IFNA(_xlfn.XLOOKUP(P$2-$C38, 'GEN-CARBON'!$D$7:$AW$7, 'GEN-CARBON'!$D$124:$AW$124), 0), IF($B38='Project List References'!$B$7, _xlfn.IFNA(_xlfn.XLOOKUP(P$2-$C38, 'SENS Coal'!$D$7:$AW$7, 'SENS Coal'!$D$141:$AW$141), 0), IF($B38='Project List References'!$B$8, _xlfn.IFNA(_xlfn.XLOOKUP(P$2-$C38,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Q38" s="743" t="e">
        <f>IF($B38='Project List References'!$B$3, _xlfn.IFNA(_xlfn.XLOOKUP(Q$2-$C38, 'GEN-CCGT'!$D$7:$AW$7, 'GEN-CCGT'!$D$124:$AW$124), 0), IF($B38='Project List References'!$B$4, _xlfn.IFNA(_xlfn.XLOOKUP(Q$2-$C38, 'GEN-SOLAR'!$D$7:$AW$7, 'GEN-SOLAR'!$D$122:$AW$122), 0), IF($B38='Project List References'!$B$5, _xlfn.IFNA(_xlfn.XLOOKUP(Q$2-$C38, 'GEN-BESS'!$D$7:$AW$7, 'GEN-BESS'!$D$125:$AW$125), 0), IF($B38='Project List References'!$B$6, _xlfn.IFNA(_xlfn.XLOOKUP(Q$2-$C38, 'GEN-CARBON'!$D$7:$AW$7, 'GEN-CARBON'!$D$124:$AW$124), 0), IF($B38='Project List References'!$B$7, _xlfn.IFNA(_xlfn.XLOOKUP(Q$2-$C38, 'SENS Coal'!$D$7:$AW$7, 'SENS Coal'!$D$141:$AW$141), 0), IF($B38='Project List References'!$B$8, _xlfn.IFNA(_xlfn.XLOOKUP(Q$2-$C38,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R38" s="743" t="e">
        <f>IF($B38='Project List References'!$B$3, _xlfn.IFNA(_xlfn.XLOOKUP(R$2-$C38, 'GEN-CCGT'!$D$7:$AW$7, 'GEN-CCGT'!$D$124:$AW$124), 0), IF($B38='Project List References'!$B$4, _xlfn.IFNA(_xlfn.XLOOKUP(R$2-$C38, 'GEN-SOLAR'!$D$7:$AW$7, 'GEN-SOLAR'!$D$122:$AW$122), 0), IF($B38='Project List References'!$B$5, _xlfn.IFNA(_xlfn.XLOOKUP(R$2-$C38, 'GEN-BESS'!$D$7:$AW$7, 'GEN-BESS'!$D$125:$AW$125), 0), IF($B38='Project List References'!$B$6, _xlfn.IFNA(_xlfn.XLOOKUP(R$2-$C38, 'GEN-CARBON'!$D$7:$AW$7, 'GEN-CARBON'!$D$124:$AW$124), 0), IF($B38='Project List References'!$B$7, _xlfn.IFNA(_xlfn.XLOOKUP(R$2-$C38, 'SENS Coal'!$D$7:$AW$7, 'SENS Coal'!$D$141:$AW$141), 0), IF($B38='Project List References'!$B$8, _xlfn.IFNA(_xlfn.XLOOKUP(R$2-$C38,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S38" s="743" t="e">
        <f>IF($B38='Project List References'!$B$3, _xlfn.IFNA(_xlfn.XLOOKUP(S$2-$C38, 'GEN-CCGT'!$D$7:$AW$7, 'GEN-CCGT'!$D$124:$AW$124), 0), IF($B38='Project List References'!$B$4, _xlfn.IFNA(_xlfn.XLOOKUP(S$2-$C38, 'GEN-SOLAR'!$D$7:$AW$7, 'GEN-SOLAR'!$D$122:$AW$122), 0), IF($B38='Project List References'!$B$5, _xlfn.IFNA(_xlfn.XLOOKUP(S$2-$C38, 'GEN-BESS'!$D$7:$AW$7, 'GEN-BESS'!$D$125:$AW$125), 0), IF($B38='Project List References'!$B$6, _xlfn.IFNA(_xlfn.XLOOKUP(S$2-$C38, 'GEN-CARBON'!$D$7:$AW$7, 'GEN-CARBON'!$D$124:$AW$124), 0), IF($B38='Project List References'!$B$7, _xlfn.IFNA(_xlfn.XLOOKUP(S$2-$C38, 'SENS Coal'!$D$7:$AW$7, 'SENS Coal'!$D$141:$AW$141), 0), IF($B38='Project List References'!$B$8, _xlfn.IFNA(_xlfn.XLOOKUP(S$2-$C38,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T38" s="743" t="e">
        <f>IF($B38='Project List References'!$B$3, _xlfn.IFNA(_xlfn.XLOOKUP(T$2-$C38, 'GEN-CCGT'!$D$7:$AW$7, 'GEN-CCGT'!$D$124:$AW$124), 0), IF($B38='Project List References'!$B$4, _xlfn.IFNA(_xlfn.XLOOKUP(T$2-$C38, 'GEN-SOLAR'!$D$7:$AW$7, 'GEN-SOLAR'!$D$122:$AW$122), 0), IF($B38='Project List References'!$B$5, _xlfn.IFNA(_xlfn.XLOOKUP(T$2-$C38, 'GEN-BESS'!$D$7:$AW$7, 'GEN-BESS'!$D$125:$AW$125), 0), IF($B38='Project List References'!$B$6, _xlfn.IFNA(_xlfn.XLOOKUP(T$2-$C38, 'GEN-CARBON'!$D$7:$AW$7, 'GEN-CARBON'!$D$124:$AW$124), 0), IF($B38='Project List References'!$B$7, _xlfn.IFNA(_xlfn.XLOOKUP(T$2-$C38, 'SENS Coal'!$D$7:$AW$7, 'SENS Coal'!$D$141:$AW$141), 0), IF($B38='Project List References'!$B$8, _xlfn.IFNA(_xlfn.XLOOKUP(T$2-$C38, 'SENS Tires'!$D$7:$AW$7, 'SENS Tires'!$D$139:$AW$139),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</row>
    <row r="39" spans="1:20">
      <c r="A39" s="655" t="str">
        <f>IF(ISBLANK('Project Master Sheet'!A39)=FALSE, 'Project Master Sheet'!A39, "")</f>
        <v/>
      </c>
      <c r="B39" s="655" t="str">
        <f>_xlfn.IFNA(_xlfn.XLOOKUP(A39, 'Project Master Sheet'!A:A, 'Project Master Sheet'!D:D), "")</f>
        <v/>
      </c>
      <c r="C39" s="655" t="e">
        <f>_xlfn.XLOOKUP(A39, 'Project Master Sheet'!A:A, 'Project Master Sheet'!I:I)</f>
        <v>#N/A</v>
      </c>
      <c r="E39" s="743" t="e">
        <f>IF($B39='Project List References'!$B$3, _xlfn.IFNA(_xlfn.XLOOKUP(E$2-$C39, 'GEN-CCGT'!$D$7:$AW$7, 'GEN-CCGT'!$D$124:$AW$124), 0), IF($B39='Project List References'!$B$4, _xlfn.IFNA(_xlfn.XLOOKUP(E$2-$C39, 'GEN-SOLAR'!$D$7:$AW$7, 'GEN-SOLAR'!$D$122:$AW$122), 0), IF($B39='Project List References'!$B$5, _xlfn.IFNA(_xlfn.XLOOKUP(E$2-$C39, 'GEN-BESS'!$D$7:$AW$7, 'GEN-BESS'!$D$125:$AW$125), 0), IF($B39='Project List References'!$B$6, _xlfn.IFNA(_xlfn.XLOOKUP(E$2-$C39, 'GEN-CARBON'!$D$7:$AW$7, 'GEN-CARBON'!$D$124:$AW$124), 0), IF($B39='Project List References'!$B$7, _xlfn.IFNA(_xlfn.XLOOKUP(E$2-$C39, 'SENS Coal'!$D$7:$AW$7, 'SENS Coal'!$D$141:$AW$141), 0), IF($B39='Project List References'!$B$8, _xlfn.IFNA(_xlfn.XLOOKUP(E$2-$C39,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F39" s="743" t="e">
        <f>IF($B39='Project List References'!$B$3, _xlfn.IFNA(_xlfn.XLOOKUP(F$2-$C39, 'GEN-CCGT'!$D$7:$AW$7, 'GEN-CCGT'!$D$124:$AW$124), 0), IF($B39='Project List References'!$B$4, _xlfn.IFNA(_xlfn.XLOOKUP(F$2-$C39, 'GEN-SOLAR'!$D$7:$AW$7, 'GEN-SOLAR'!$D$122:$AW$122), 0), IF($B39='Project List References'!$B$5, _xlfn.IFNA(_xlfn.XLOOKUP(F$2-$C39, 'GEN-BESS'!$D$7:$AW$7, 'GEN-BESS'!$D$125:$AW$125), 0), IF($B39='Project List References'!$B$6, _xlfn.IFNA(_xlfn.XLOOKUP(F$2-$C39, 'GEN-CARBON'!$D$7:$AW$7, 'GEN-CARBON'!$D$124:$AW$124), 0), IF($B39='Project List References'!$B$7, _xlfn.IFNA(_xlfn.XLOOKUP(F$2-$C39, 'SENS Coal'!$D$7:$AW$7, 'SENS Coal'!$D$141:$AW$141), 0), IF($B39='Project List References'!$B$8, _xlfn.IFNA(_xlfn.XLOOKUP(F$2-$C39,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G39" s="743" t="e">
        <f>IF($B39='Project List References'!$B$3, _xlfn.IFNA(_xlfn.XLOOKUP(G$2-$C39, 'GEN-CCGT'!$D$7:$AW$7, 'GEN-CCGT'!$D$124:$AW$124), 0), IF($B39='Project List References'!$B$4, _xlfn.IFNA(_xlfn.XLOOKUP(G$2-$C39, 'GEN-SOLAR'!$D$7:$AW$7, 'GEN-SOLAR'!$D$122:$AW$122), 0), IF($B39='Project List References'!$B$5, _xlfn.IFNA(_xlfn.XLOOKUP(G$2-$C39, 'GEN-BESS'!$D$7:$AW$7, 'GEN-BESS'!$D$125:$AW$125), 0), IF($B39='Project List References'!$B$6, _xlfn.IFNA(_xlfn.XLOOKUP(G$2-$C39, 'GEN-CARBON'!$D$7:$AW$7, 'GEN-CARBON'!$D$124:$AW$124), 0), IF($B39='Project List References'!$B$7, _xlfn.IFNA(_xlfn.XLOOKUP(G$2-$C39, 'SENS Coal'!$D$7:$AW$7, 'SENS Coal'!$D$141:$AW$141), 0), IF($B39='Project List References'!$B$8, _xlfn.IFNA(_xlfn.XLOOKUP(G$2-$C39,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H39" s="743" t="e">
        <f>IF($B39='Project List References'!$B$3, _xlfn.IFNA(_xlfn.XLOOKUP(H$2-$C39, 'GEN-CCGT'!$D$7:$AW$7, 'GEN-CCGT'!$D$124:$AW$124), 0), IF($B39='Project List References'!$B$4, _xlfn.IFNA(_xlfn.XLOOKUP(H$2-$C39, 'GEN-SOLAR'!$D$7:$AW$7, 'GEN-SOLAR'!$D$122:$AW$122), 0), IF($B39='Project List References'!$B$5, _xlfn.IFNA(_xlfn.XLOOKUP(H$2-$C39, 'GEN-BESS'!$D$7:$AW$7, 'GEN-BESS'!$D$125:$AW$125), 0), IF($B39='Project List References'!$B$6, _xlfn.IFNA(_xlfn.XLOOKUP(H$2-$C39, 'GEN-CARBON'!$D$7:$AW$7, 'GEN-CARBON'!$D$124:$AW$124), 0), IF($B39='Project List References'!$B$7, _xlfn.IFNA(_xlfn.XLOOKUP(H$2-$C39, 'SENS Coal'!$D$7:$AW$7, 'SENS Coal'!$D$141:$AW$141), 0), IF($B39='Project List References'!$B$8, _xlfn.IFNA(_xlfn.XLOOKUP(H$2-$C39,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I39" s="743" t="e">
        <f>IF($B39='Project List References'!$B$3, _xlfn.IFNA(_xlfn.XLOOKUP(I$2-$C39, 'GEN-CCGT'!$D$7:$AW$7, 'GEN-CCGT'!$D$124:$AW$124), 0), IF($B39='Project List References'!$B$4, _xlfn.IFNA(_xlfn.XLOOKUP(I$2-$C39, 'GEN-SOLAR'!$D$7:$AW$7, 'GEN-SOLAR'!$D$122:$AW$122), 0), IF($B39='Project List References'!$B$5, _xlfn.IFNA(_xlfn.XLOOKUP(I$2-$C39, 'GEN-BESS'!$D$7:$AW$7, 'GEN-BESS'!$D$125:$AW$125), 0), IF($B39='Project List References'!$B$6, _xlfn.IFNA(_xlfn.XLOOKUP(I$2-$C39, 'GEN-CARBON'!$D$7:$AW$7, 'GEN-CARBON'!$D$124:$AW$124), 0), IF($B39='Project List References'!$B$7, _xlfn.IFNA(_xlfn.XLOOKUP(I$2-$C39, 'SENS Coal'!$D$7:$AW$7, 'SENS Coal'!$D$141:$AW$141), 0), IF($B39='Project List References'!$B$8, _xlfn.IFNA(_xlfn.XLOOKUP(I$2-$C39,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J39" s="743" t="e">
        <f>IF($B39='Project List References'!$B$3, _xlfn.IFNA(_xlfn.XLOOKUP(J$2-$C39, 'GEN-CCGT'!$D$7:$AW$7, 'GEN-CCGT'!$D$124:$AW$124), 0), IF($B39='Project List References'!$B$4, _xlfn.IFNA(_xlfn.XLOOKUP(J$2-$C39, 'GEN-SOLAR'!$D$7:$AW$7, 'GEN-SOLAR'!$D$122:$AW$122), 0), IF($B39='Project List References'!$B$5, _xlfn.IFNA(_xlfn.XLOOKUP(J$2-$C39, 'GEN-BESS'!$D$7:$AW$7, 'GEN-BESS'!$D$125:$AW$125), 0), IF($B39='Project List References'!$B$6, _xlfn.IFNA(_xlfn.XLOOKUP(J$2-$C39, 'GEN-CARBON'!$D$7:$AW$7, 'GEN-CARBON'!$D$124:$AW$124), 0), IF($B39='Project List References'!$B$7, _xlfn.IFNA(_xlfn.XLOOKUP(J$2-$C39, 'SENS Coal'!$D$7:$AW$7, 'SENS Coal'!$D$141:$AW$141), 0), IF($B39='Project List References'!$B$8, _xlfn.IFNA(_xlfn.XLOOKUP(J$2-$C39,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K39" s="743" t="e">
        <f>IF($B39='Project List References'!$B$3, _xlfn.IFNA(_xlfn.XLOOKUP(K$2-$C39, 'GEN-CCGT'!$D$7:$AW$7, 'GEN-CCGT'!$D$124:$AW$124), 0), IF($B39='Project List References'!$B$4, _xlfn.IFNA(_xlfn.XLOOKUP(K$2-$C39, 'GEN-SOLAR'!$D$7:$AW$7, 'GEN-SOLAR'!$D$122:$AW$122), 0), IF($B39='Project List References'!$B$5, _xlfn.IFNA(_xlfn.XLOOKUP(K$2-$C39, 'GEN-BESS'!$D$7:$AW$7, 'GEN-BESS'!$D$125:$AW$125), 0), IF($B39='Project List References'!$B$6, _xlfn.IFNA(_xlfn.XLOOKUP(K$2-$C39, 'GEN-CARBON'!$D$7:$AW$7, 'GEN-CARBON'!$D$124:$AW$124), 0), IF($B39='Project List References'!$B$7, _xlfn.IFNA(_xlfn.XLOOKUP(K$2-$C39, 'SENS Coal'!$D$7:$AW$7, 'SENS Coal'!$D$141:$AW$141), 0), IF($B39='Project List References'!$B$8, _xlfn.IFNA(_xlfn.XLOOKUP(K$2-$C39,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L39" s="743" t="e">
        <f>IF($B39='Project List References'!$B$3, _xlfn.IFNA(_xlfn.XLOOKUP(L$2-$C39, 'GEN-CCGT'!$D$7:$AW$7, 'GEN-CCGT'!$D$124:$AW$124), 0), IF($B39='Project List References'!$B$4, _xlfn.IFNA(_xlfn.XLOOKUP(L$2-$C39, 'GEN-SOLAR'!$D$7:$AW$7, 'GEN-SOLAR'!$D$122:$AW$122), 0), IF($B39='Project List References'!$B$5, _xlfn.IFNA(_xlfn.XLOOKUP(L$2-$C39, 'GEN-BESS'!$D$7:$AW$7, 'GEN-BESS'!$D$125:$AW$125), 0), IF($B39='Project List References'!$B$6, _xlfn.IFNA(_xlfn.XLOOKUP(L$2-$C39, 'GEN-CARBON'!$D$7:$AW$7, 'GEN-CARBON'!$D$124:$AW$124), 0), IF($B39='Project List References'!$B$7, _xlfn.IFNA(_xlfn.XLOOKUP(L$2-$C39, 'SENS Coal'!$D$7:$AW$7, 'SENS Coal'!$D$141:$AW$141), 0), IF($B39='Project List References'!$B$8, _xlfn.IFNA(_xlfn.XLOOKUP(L$2-$C39,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M39" s="743" t="e">
        <f>IF($B39='Project List References'!$B$3, _xlfn.IFNA(_xlfn.XLOOKUP(M$2-$C39, 'GEN-CCGT'!$D$7:$AW$7, 'GEN-CCGT'!$D$124:$AW$124), 0), IF($B39='Project List References'!$B$4, _xlfn.IFNA(_xlfn.XLOOKUP(M$2-$C39, 'GEN-SOLAR'!$D$7:$AW$7, 'GEN-SOLAR'!$D$122:$AW$122), 0), IF($B39='Project List References'!$B$5, _xlfn.IFNA(_xlfn.XLOOKUP(M$2-$C39, 'GEN-BESS'!$D$7:$AW$7, 'GEN-BESS'!$D$125:$AW$125), 0), IF($B39='Project List References'!$B$6, _xlfn.IFNA(_xlfn.XLOOKUP(M$2-$C39, 'GEN-CARBON'!$D$7:$AW$7, 'GEN-CARBON'!$D$124:$AW$124), 0), IF($B39='Project List References'!$B$7, _xlfn.IFNA(_xlfn.XLOOKUP(M$2-$C39, 'SENS Coal'!$D$7:$AW$7, 'SENS Coal'!$D$141:$AW$141), 0), IF($B39='Project List References'!$B$8, _xlfn.IFNA(_xlfn.XLOOKUP(M$2-$C39,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N39" s="743" t="e">
        <f>IF($B39='Project List References'!$B$3, _xlfn.IFNA(_xlfn.XLOOKUP(N$2-$C39, 'GEN-CCGT'!$D$7:$AW$7, 'GEN-CCGT'!$D$124:$AW$124), 0), IF($B39='Project List References'!$B$4, _xlfn.IFNA(_xlfn.XLOOKUP(N$2-$C39, 'GEN-SOLAR'!$D$7:$AW$7, 'GEN-SOLAR'!$D$122:$AW$122), 0), IF($B39='Project List References'!$B$5, _xlfn.IFNA(_xlfn.XLOOKUP(N$2-$C39, 'GEN-BESS'!$D$7:$AW$7, 'GEN-BESS'!$D$125:$AW$125), 0), IF($B39='Project List References'!$B$6, _xlfn.IFNA(_xlfn.XLOOKUP(N$2-$C39, 'GEN-CARBON'!$D$7:$AW$7, 'GEN-CARBON'!$D$124:$AW$124), 0), IF($B39='Project List References'!$B$7, _xlfn.IFNA(_xlfn.XLOOKUP(N$2-$C39, 'SENS Coal'!$D$7:$AW$7, 'SENS Coal'!$D$141:$AW$141), 0), IF($B39='Project List References'!$B$8, _xlfn.IFNA(_xlfn.XLOOKUP(N$2-$C39,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O39" s="743" t="e">
        <f>IF($B39='Project List References'!$B$3, _xlfn.IFNA(_xlfn.XLOOKUP(O$2-$C39, 'GEN-CCGT'!$D$7:$AW$7, 'GEN-CCGT'!$D$124:$AW$124), 0), IF($B39='Project List References'!$B$4, _xlfn.IFNA(_xlfn.XLOOKUP(O$2-$C39, 'GEN-SOLAR'!$D$7:$AW$7, 'GEN-SOLAR'!$D$122:$AW$122), 0), IF($B39='Project List References'!$B$5, _xlfn.IFNA(_xlfn.XLOOKUP(O$2-$C39, 'GEN-BESS'!$D$7:$AW$7, 'GEN-BESS'!$D$125:$AW$125), 0), IF($B39='Project List References'!$B$6, _xlfn.IFNA(_xlfn.XLOOKUP(O$2-$C39, 'GEN-CARBON'!$D$7:$AW$7, 'GEN-CARBON'!$D$124:$AW$124), 0), IF($B39='Project List References'!$B$7, _xlfn.IFNA(_xlfn.XLOOKUP(O$2-$C39, 'SENS Coal'!$D$7:$AW$7, 'SENS Coal'!$D$141:$AW$141), 0), IF($B39='Project List References'!$B$8, _xlfn.IFNA(_xlfn.XLOOKUP(O$2-$C39,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P39" s="743" t="e">
        <f>IF($B39='Project List References'!$B$3, _xlfn.IFNA(_xlfn.XLOOKUP(P$2-$C39, 'GEN-CCGT'!$D$7:$AW$7, 'GEN-CCGT'!$D$124:$AW$124), 0), IF($B39='Project List References'!$B$4, _xlfn.IFNA(_xlfn.XLOOKUP(P$2-$C39, 'GEN-SOLAR'!$D$7:$AW$7, 'GEN-SOLAR'!$D$122:$AW$122), 0), IF($B39='Project List References'!$B$5, _xlfn.IFNA(_xlfn.XLOOKUP(P$2-$C39, 'GEN-BESS'!$D$7:$AW$7, 'GEN-BESS'!$D$125:$AW$125), 0), IF($B39='Project List References'!$B$6, _xlfn.IFNA(_xlfn.XLOOKUP(P$2-$C39, 'GEN-CARBON'!$D$7:$AW$7, 'GEN-CARBON'!$D$124:$AW$124), 0), IF($B39='Project List References'!$B$7, _xlfn.IFNA(_xlfn.XLOOKUP(P$2-$C39, 'SENS Coal'!$D$7:$AW$7, 'SENS Coal'!$D$141:$AW$141), 0), IF($B39='Project List References'!$B$8, _xlfn.IFNA(_xlfn.XLOOKUP(P$2-$C39,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Q39" s="743" t="e">
        <f>IF($B39='Project List References'!$B$3, _xlfn.IFNA(_xlfn.XLOOKUP(Q$2-$C39, 'GEN-CCGT'!$D$7:$AW$7, 'GEN-CCGT'!$D$124:$AW$124), 0), IF($B39='Project List References'!$B$4, _xlfn.IFNA(_xlfn.XLOOKUP(Q$2-$C39, 'GEN-SOLAR'!$D$7:$AW$7, 'GEN-SOLAR'!$D$122:$AW$122), 0), IF($B39='Project List References'!$B$5, _xlfn.IFNA(_xlfn.XLOOKUP(Q$2-$C39, 'GEN-BESS'!$D$7:$AW$7, 'GEN-BESS'!$D$125:$AW$125), 0), IF($B39='Project List References'!$B$6, _xlfn.IFNA(_xlfn.XLOOKUP(Q$2-$C39, 'GEN-CARBON'!$D$7:$AW$7, 'GEN-CARBON'!$D$124:$AW$124), 0), IF($B39='Project List References'!$B$7, _xlfn.IFNA(_xlfn.XLOOKUP(Q$2-$C39, 'SENS Coal'!$D$7:$AW$7, 'SENS Coal'!$D$141:$AW$141), 0), IF($B39='Project List References'!$B$8, _xlfn.IFNA(_xlfn.XLOOKUP(Q$2-$C39,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R39" s="743" t="e">
        <f>IF($B39='Project List References'!$B$3, _xlfn.IFNA(_xlfn.XLOOKUP(R$2-$C39, 'GEN-CCGT'!$D$7:$AW$7, 'GEN-CCGT'!$D$124:$AW$124), 0), IF($B39='Project List References'!$B$4, _xlfn.IFNA(_xlfn.XLOOKUP(R$2-$C39, 'GEN-SOLAR'!$D$7:$AW$7, 'GEN-SOLAR'!$D$122:$AW$122), 0), IF($B39='Project List References'!$B$5, _xlfn.IFNA(_xlfn.XLOOKUP(R$2-$C39, 'GEN-BESS'!$D$7:$AW$7, 'GEN-BESS'!$D$125:$AW$125), 0), IF($B39='Project List References'!$B$6, _xlfn.IFNA(_xlfn.XLOOKUP(R$2-$C39, 'GEN-CARBON'!$D$7:$AW$7, 'GEN-CARBON'!$D$124:$AW$124), 0), IF($B39='Project List References'!$B$7, _xlfn.IFNA(_xlfn.XLOOKUP(R$2-$C39, 'SENS Coal'!$D$7:$AW$7, 'SENS Coal'!$D$141:$AW$141), 0), IF($B39='Project List References'!$B$8, _xlfn.IFNA(_xlfn.XLOOKUP(R$2-$C39,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S39" s="743" t="e">
        <f>IF($B39='Project List References'!$B$3, _xlfn.IFNA(_xlfn.XLOOKUP(S$2-$C39, 'GEN-CCGT'!$D$7:$AW$7, 'GEN-CCGT'!$D$124:$AW$124), 0), IF($B39='Project List References'!$B$4, _xlfn.IFNA(_xlfn.XLOOKUP(S$2-$C39, 'GEN-SOLAR'!$D$7:$AW$7, 'GEN-SOLAR'!$D$122:$AW$122), 0), IF($B39='Project List References'!$B$5, _xlfn.IFNA(_xlfn.XLOOKUP(S$2-$C39, 'GEN-BESS'!$D$7:$AW$7, 'GEN-BESS'!$D$125:$AW$125), 0), IF($B39='Project List References'!$B$6, _xlfn.IFNA(_xlfn.XLOOKUP(S$2-$C39, 'GEN-CARBON'!$D$7:$AW$7, 'GEN-CARBON'!$D$124:$AW$124), 0), IF($B39='Project List References'!$B$7, _xlfn.IFNA(_xlfn.XLOOKUP(S$2-$C39, 'SENS Coal'!$D$7:$AW$7, 'SENS Coal'!$D$141:$AW$141), 0), IF($B39='Project List References'!$B$8, _xlfn.IFNA(_xlfn.XLOOKUP(S$2-$C39,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T39" s="743" t="e">
        <f>IF($B39='Project List References'!$B$3, _xlfn.IFNA(_xlfn.XLOOKUP(T$2-$C39, 'GEN-CCGT'!$D$7:$AW$7, 'GEN-CCGT'!$D$124:$AW$124), 0), IF($B39='Project List References'!$B$4, _xlfn.IFNA(_xlfn.XLOOKUP(T$2-$C39, 'GEN-SOLAR'!$D$7:$AW$7, 'GEN-SOLAR'!$D$122:$AW$122), 0), IF($B39='Project List References'!$B$5, _xlfn.IFNA(_xlfn.XLOOKUP(T$2-$C39, 'GEN-BESS'!$D$7:$AW$7, 'GEN-BESS'!$D$125:$AW$125), 0), IF($B39='Project List References'!$B$6, _xlfn.IFNA(_xlfn.XLOOKUP(T$2-$C39, 'GEN-CARBON'!$D$7:$AW$7, 'GEN-CARBON'!$D$124:$AW$124), 0), IF($B39='Project List References'!$B$7, _xlfn.IFNA(_xlfn.XLOOKUP(T$2-$C39, 'SENS Coal'!$D$7:$AW$7, 'SENS Coal'!$D$141:$AW$141), 0), IF($B39='Project List References'!$B$8, _xlfn.IFNA(_xlfn.XLOOKUP(T$2-$C39, 'SENS Tires'!$D$7:$AW$7, 'SENS Tires'!$D$139:$AW$139),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</row>
    <row r="40" spans="1:20">
      <c r="A40" s="655" t="str">
        <f>IF(ISBLANK('Project Master Sheet'!A40)=FALSE, 'Project Master Sheet'!A40, "")</f>
        <v/>
      </c>
      <c r="B40" s="655" t="str">
        <f>_xlfn.IFNA(_xlfn.XLOOKUP(A40, 'Project Master Sheet'!A:A, 'Project Master Sheet'!D:D), "")</f>
        <v/>
      </c>
      <c r="C40" s="655" t="e">
        <f>_xlfn.XLOOKUP(A40, 'Project Master Sheet'!A:A, 'Project Master Sheet'!I:I)</f>
        <v>#N/A</v>
      </c>
      <c r="E40" s="743" t="e">
        <f>IF($B40='Project List References'!$B$3, _xlfn.IFNA(_xlfn.XLOOKUP(E$2-$C40, 'GEN-CCGT'!$D$7:$AW$7, 'GEN-CCGT'!$D$124:$AW$124), 0), IF($B40='Project List References'!$B$4, _xlfn.IFNA(_xlfn.XLOOKUP(E$2-$C40, 'GEN-SOLAR'!$D$7:$AW$7, 'GEN-SOLAR'!$D$122:$AW$122), 0), IF($B40='Project List References'!$B$5, _xlfn.IFNA(_xlfn.XLOOKUP(E$2-$C40, 'GEN-BESS'!$D$7:$AW$7, 'GEN-BESS'!$D$125:$AW$125), 0), IF($B40='Project List References'!$B$6, _xlfn.IFNA(_xlfn.XLOOKUP(E$2-$C40, 'GEN-CARBON'!$D$7:$AW$7, 'GEN-CARBON'!$D$124:$AW$124), 0), IF($B40='Project List References'!$B$7, _xlfn.IFNA(_xlfn.XLOOKUP(E$2-$C40, 'SENS Coal'!$D$7:$AW$7, 'SENS Coal'!$D$141:$AW$141), 0), IF($B40='Project List References'!$B$8, _xlfn.IFNA(_xlfn.XLOOKUP(E$2-$C40,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F40" s="743" t="e">
        <f>IF($B40='Project List References'!$B$3, _xlfn.IFNA(_xlfn.XLOOKUP(F$2-$C40, 'GEN-CCGT'!$D$7:$AW$7, 'GEN-CCGT'!$D$124:$AW$124), 0), IF($B40='Project List References'!$B$4, _xlfn.IFNA(_xlfn.XLOOKUP(F$2-$C40, 'GEN-SOLAR'!$D$7:$AW$7, 'GEN-SOLAR'!$D$122:$AW$122), 0), IF($B40='Project List References'!$B$5, _xlfn.IFNA(_xlfn.XLOOKUP(F$2-$C40, 'GEN-BESS'!$D$7:$AW$7, 'GEN-BESS'!$D$125:$AW$125), 0), IF($B40='Project List References'!$B$6, _xlfn.IFNA(_xlfn.XLOOKUP(F$2-$C40, 'GEN-CARBON'!$D$7:$AW$7, 'GEN-CARBON'!$D$124:$AW$124), 0), IF($B40='Project List References'!$B$7, _xlfn.IFNA(_xlfn.XLOOKUP(F$2-$C40, 'SENS Coal'!$D$7:$AW$7, 'SENS Coal'!$D$141:$AW$141), 0), IF($B40='Project List References'!$B$8, _xlfn.IFNA(_xlfn.XLOOKUP(F$2-$C40,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G40" s="743" t="e">
        <f>IF($B40='Project List References'!$B$3, _xlfn.IFNA(_xlfn.XLOOKUP(G$2-$C40, 'GEN-CCGT'!$D$7:$AW$7, 'GEN-CCGT'!$D$124:$AW$124), 0), IF($B40='Project List References'!$B$4, _xlfn.IFNA(_xlfn.XLOOKUP(G$2-$C40, 'GEN-SOLAR'!$D$7:$AW$7, 'GEN-SOLAR'!$D$122:$AW$122), 0), IF($B40='Project List References'!$B$5, _xlfn.IFNA(_xlfn.XLOOKUP(G$2-$C40, 'GEN-BESS'!$D$7:$AW$7, 'GEN-BESS'!$D$125:$AW$125), 0), IF($B40='Project List References'!$B$6, _xlfn.IFNA(_xlfn.XLOOKUP(G$2-$C40, 'GEN-CARBON'!$D$7:$AW$7, 'GEN-CARBON'!$D$124:$AW$124), 0), IF($B40='Project List References'!$B$7, _xlfn.IFNA(_xlfn.XLOOKUP(G$2-$C40, 'SENS Coal'!$D$7:$AW$7, 'SENS Coal'!$D$141:$AW$141), 0), IF($B40='Project List References'!$B$8, _xlfn.IFNA(_xlfn.XLOOKUP(G$2-$C40,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H40" s="743" t="e">
        <f>IF($B40='Project List References'!$B$3, _xlfn.IFNA(_xlfn.XLOOKUP(H$2-$C40, 'GEN-CCGT'!$D$7:$AW$7, 'GEN-CCGT'!$D$124:$AW$124), 0), IF($B40='Project List References'!$B$4, _xlfn.IFNA(_xlfn.XLOOKUP(H$2-$C40, 'GEN-SOLAR'!$D$7:$AW$7, 'GEN-SOLAR'!$D$122:$AW$122), 0), IF($B40='Project List References'!$B$5, _xlfn.IFNA(_xlfn.XLOOKUP(H$2-$C40, 'GEN-BESS'!$D$7:$AW$7, 'GEN-BESS'!$D$125:$AW$125), 0), IF($B40='Project List References'!$B$6, _xlfn.IFNA(_xlfn.XLOOKUP(H$2-$C40, 'GEN-CARBON'!$D$7:$AW$7, 'GEN-CARBON'!$D$124:$AW$124), 0), IF($B40='Project List References'!$B$7, _xlfn.IFNA(_xlfn.XLOOKUP(H$2-$C40, 'SENS Coal'!$D$7:$AW$7, 'SENS Coal'!$D$141:$AW$141), 0), IF($B40='Project List References'!$B$8, _xlfn.IFNA(_xlfn.XLOOKUP(H$2-$C40,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I40" s="743" t="e">
        <f>IF($B40='Project List References'!$B$3, _xlfn.IFNA(_xlfn.XLOOKUP(I$2-$C40, 'GEN-CCGT'!$D$7:$AW$7, 'GEN-CCGT'!$D$124:$AW$124), 0), IF($B40='Project List References'!$B$4, _xlfn.IFNA(_xlfn.XLOOKUP(I$2-$C40, 'GEN-SOLAR'!$D$7:$AW$7, 'GEN-SOLAR'!$D$122:$AW$122), 0), IF($B40='Project List References'!$B$5, _xlfn.IFNA(_xlfn.XLOOKUP(I$2-$C40, 'GEN-BESS'!$D$7:$AW$7, 'GEN-BESS'!$D$125:$AW$125), 0), IF($B40='Project List References'!$B$6, _xlfn.IFNA(_xlfn.XLOOKUP(I$2-$C40, 'GEN-CARBON'!$D$7:$AW$7, 'GEN-CARBON'!$D$124:$AW$124), 0), IF($B40='Project List References'!$B$7, _xlfn.IFNA(_xlfn.XLOOKUP(I$2-$C40, 'SENS Coal'!$D$7:$AW$7, 'SENS Coal'!$D$141:$AW$141), 0), IF($B40='Project List References'!$B$8, _xlfn.IFNA(_xlfn.XLOOKUP(I$2-$C40,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J40" s="743" t="e">
        <f>IF($B40='Project List References'!$B$3, _xlfn.IFNA(_xlfn.XLOOKUP(J$2-$C40, 'GEN-CCGT'!$D$7:$AW$7, 'GEN-CCGT'!$D$124:$AW$124), 0), IF($B40='Project List References'!$B$4, _xlfn.IFNA(_xlfn.XLOOKUP(J$2-$C40, 'GEN-SOLAR'!$D$7:$AW$7, 'GEN-SOLAR'!$D$122:$AW$122), 0), IF($B40='Project List References'!$B$5, _xlfn.IFNA(_xlfn.XLOOKUP(J$2-$C40, 'GEN-BESS'!$D$7:$AW$7, 'GEN-BESS'!$D$125:$AW$125), 0), IF($B40='Project List References'!$B$6, _xlfn.IFNA(_xlfn.XLOOKUP(J$2-$C40, 'GEN-CARBON'!$D$7:$AW$7, 'GEN-CARBON'!$D$124:$AW$124), 0), IF($B40='Project List References'!$B$7, _xlfn.IFNA(_xlfn.XLOOKUP(J$2-$C40, 'SENS Coal'!$D$7:$AW$7, 'SENS Coal'!$D$141:$AW$141), 0), IF($B40='Project List References'!$B$8, _xlfn.IFNA(_xlfn.XLOOKUP(J$2-$C40,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K40" s="743" t="e">
        <f>IF($B40='Project List References'!$B$3, _xlfn.IFNA(_xlfn.XLOOKUP(K$2-$C40, 'GEN-CCGT'!$D$7:$AW$7, 'GEN-CCGT'!$D$124:$AW$124), 0), IF($B40='Project List References'!$B$4, _xlfn.IFNA(_xlfn.XLOOKUP(K$2-$C40, 'GEN-SOLAR'!$D$7:$AW$7, 'GEN-SOLAR'!$D$122:$AW$122), 0), IF($B40='Project List References'!$B$5, _xlfn.IFNA(_xlfn.XLOOKUP(K$2-$C40, 'GEN-BESS'!$D$7:$AW$7, 'GEN-BESS'!$D$125:$AW$125), 0), IF($B40='Project List References'!$B$6, _xlfn.IFNA(_xlfn.XLOOKUP(K$2-$C40, 'GEN-CARBON'!$D$7:$AW$7, 'GEN-CARBON'!$D$124:$AW$124), 0), IF($B40='Project List References'!$B$7, _xlfn.IFNA(_xlfn.XLOOKUP(K$2-$C40, 'SENS Coal'!$D$7:$AW$7, 'SENS Coal'!$D$141:$AW$141), 0), IF($B40='Project List References'!$B$8, _xlfn.IFNA(_xlfn.XLOOKUP(K$2-$C40,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L40" s="743" t="e">
        <f>IF($B40='Project List References'!$B$3, _xlfn.IFNA(_xlfn.XLOOKUP(L$2-$C40, 'GEN-CCGT'!$D$7:$AW$7, 'GEN-CCGT'!$D$124:$AW$124), 0), IF($B40='Project List References'!$B$4, _xlfn.IFNA(_xlfn.XLOOKUP(L$2-$C40, 'GEN-SOLAR'!$D$7:$AW$7, 'GEN-SOLAR'!$D$122:$AW$122), 0), IF($B40='Project List References'!$B$5, _xlfn.IFNA(_xlfn.XLOOKUP(L$2-$C40, 'GEN-BESS'!$D$7:$AW$7, 'GEN-BESS'!$D$125:$AW$125), 0), IF($B40='Project List References'!$B$6, _xlfn.IFNA(_xlfn.XLOOKUP(L$2-$C40, 'GEN-CARBON'!$D$7:$AW$7, 'GEN-CARBON'!$D$124:$AW$124), 0), IF($B40='Project List References'!$B$7, _xlfn.IFNA(_xlfn.XLOOKUP(L$2-$C40, 'SENS Coal'!$D$7:$AW$7, 'SENS Coal'!$D$141:$AW$141), 0), IF($B40='Project List References'!$B$8, _xlfn.IFNA(_xlfn.XLOOKUP(L$2-$C40,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M40" s="743" t="e">
        <f>IF($B40='Project List References'!$B$3, _xlfn.IFNA(_xlfn.XLOOKUP(M$2-$C40, 'GEN-CCGT'!$D$7:$AW$7, 'GEN-CCGT'!$D$124:$AW$124), 0), IF($B40='Project List References'!$B$4, _xlfn.IFNA(_xlfn.XLOOKUP(M$2-$C40, 'GEN-SOLAR'!$D$7:$AW$7, 'GEN-SOLAR'!$D$122:$AW$122), 0), IF($B40='Project List References'!$B$5, _xlfn.IFNA(_xlfn.XLOOKUP(M$2-$C40, 'GEN-BESS'!$D$7:$AW$7, 'GEN-BESS'!$D$125:$AW$125), 0), IF($B40='Project List References'!$B$6, _xlfn.IFNA(_xlfn.XLOOKUP(M$2-$C40, 'GEN-CARBON'!$D$7:$AW$7, 'GEN-CARBON'!$D$124:$AW$124), 0), IF($B40='Project List References'!$B$7, _xlfn.IFNA(_xlfn.XLOOKUP(M$2-$C40, 'SENS Coal'!$D$7:$AW$7, 'SENS Coal'!$D$141:$AW$141), 0), IF($B40='Project List References'!$B$8, _xlfn.IFNA(_xlfn.XLOOKUP(M$2-$C40,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N40" s="743" t="e">
        <f>IF($B40='Project List References'!$B$3, _xlfn.IFNA(_xlfn.XLOOKUP(N$2-$C40, 'GEN-CCGT'!$D$7:$AW$7, 'GEN-CCGT'!$D$124:$AW$124), 0), IF($B40='Project List References'!$B$4, _xlfn.IFNA(_xlfn.XLOOKUP(N$2-$C40, 'GEN-SOLAR'!$D$7:$AW$7, 'GEN-SOLAR'!$D$122:$AW$122), 0), IF($B40='Project List References'!$B$5, _xlfn.IFNA(_xlfn.XLOOKUP(N$2-$C40, 'GEN-BESS'!$D$7:$AW$7, 'GEN-BESS'!$D$125:$AW$125), 0), IF($B40='Project List References'!$B$6, _xlfn.IFNA(_xlfn.XLOOKUP(N$2-$C40, 'GEN-CARBON'!$D$7:$AW$7, 'GEN-CARBON'!$D$124:$AW$124), 0), IF($B40='Project List References'!$B$7, _xlfn.IFNA(_xlfn.XLOOKUP(N$2-$C40, 'SENS Coal'!$D$7:$AW$7, 'SENS Coal'!$D$141:$AW$141), 0), IF($B40='Project List References'!$B$8, _xlfn.IFNA(_xlfn.XLOOKUP(N$2-$C40,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O40" s="743" t="e">
        <f>IF($B40='Project List References'!$B$3, _xlfn.IFNA(_xlfn.XLOOKUP(O$2-$C40, 'GEN-CCGT'!$D$7:$AW$7, 'GEN-CCGT'!$D$124:$AW$124), 0), IF($B40='Project List References'!$B$4, _xlfn.IFNA(_xlfn.XLOOKUP(O$2-$C40, 'GEN-SOLAR'!$D$7:$AW$7, 'GEN-SOLAR'!$D$122:$AW$122), 0), IF($B40='Project List References'!$B$5, _xlfn.IFNA(_xlfn.XLOOKUP(O$2-$C40, 'GEN-BESS'!$D$7:$AW$7, 'GEN-BESS'!$D$125:$AW$125), 0), IF($B40='Project List References'!$B$6, _xlfn.IFNA(_xlfn.XLOOKUP(O$2-$C40, 'GEN-CARBON'!$D$7:$AW$7, 'GEN-CARBON'!$D$124:$AW$124), 0), IF($B40='Project List References'!$B$7, _xlfn.IFNA(_xlfn.XLOOKUP(O$2-$C40, 'SENS Coal'!$D$7:$AW$7, 'SENS Coal'!$D$141:$AW$141), 0), IF($B40='Project List References'!$B$8, _xlfn.IFNA(_xlfn.XLOOKUP(O$2-$C40,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P40" s="743" t="e">
        <f>IF($B40='Project List References'!$B$3, _xlfn.IFNA(_xlfn.XLOOKUP(P$2-$C40, 'GEN-CCGT'!$D$7:$AW$7, 'GEN-CCGT'!$D$124:$AW$124), 0), IF($B40='Project List References'!$B$4, _xlfn.IFNA(_xlfn.XLOOKUP(P$2-$C40, 'GEN-SOLAR'!$D$7:$AW$7, 'GEN-SOLAR'!$D$122:$AW$122), 0), IF($B40='Project List References'!$B$5, _xlfn.IFNA(_xlfn.XLOOKUP(P$2-$C40, 'GEN-BESS'!$D$7:$AW$7, 'GEN-BESS'!$D$125:$AW$125), 0), IF($B40='Project List References'!$B$6, _xlfn.IFNA(_xlfn.XLOOKUP(P$2-$C40, 'GEN-CARBON'!$D$7:$AW$7, 'GEN-CARBON'!$D$124:$AW$124), 0), IF($B40='Project List References'!$B$7, _xlfn.IFNA(_xlfn.XLOOKUP(P$2-$C40, 'SENS Coal'!$D$7:$AW$7, 'SENS Coal'!$D$141:$AW$141), 0), IF($B40='Project List References'!$B$8, _xlfn.IFNA(_xlfn.XLOOKUP(P$2-$C40,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Q40" s="743" t="e">
        <f>IF($B40='Project List References'!$B$3, _xlfn.IFNA(_xlfn.XLOOKUP(Q$2-$C40, 'GEN-CCGT'!$D$7:$AW$7, 'GEN-CCGT'!$D$124:$AW$124), 0), IF($B40='Project List References'!$B$4, _xlfn.IFNA(_xlfn.XLOOKUP(Q$2-$C40, 'GEN-SOLAR'!$D$7:$AW$7, 'GEN-SOLAR'!$D$122:$AW$122), 0), IF($B40='Project List References'!$B$5, _xlfn.IFNA(_xlfn.XLOOKUP(Q$2-$C40, 'GEN-BESS'!$D$7:$AW$7, 'GEN-BESS'!$D$125:$AW$125), 0), IF($B40='Project List References'!$B$6, _xlfn.IFNA(_xlfn.XLOOKUP(Q$2-$C40, 'GEN-CARBON'!$D$7:$AW$7, 'GEN-CARBON'!$D$124:$AW$124), 0), IF($B40='Project List References'!$B$7, _xlfn.IFNA(_xlfn.XLOOKUP(Q$2-$C40, 'SENS Coal'!$D$7:$AW$7, 'SENS Coal'!$D$141:$AW$141), 0), IF($B40='Project List References'!$B$8, _xlfn.IFNA(_xlfn.XLOOKUP(Q$2-$C40,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R40" s="743" t="e">
        <f>IF($B40='Project List References'!$B$3, _xlfn.IFNA(_xlfn.XLOOKUP(R$2-$C40, 'GEN-CCGT'!$D$7:$AW$7, 'GEN-CCGT'!$D$124:$AW$124), 0), IF($B40='Project List References'!$B$4, _xlfn.IFNA(_xlfn.XLOOKUP(R$2-$C40, 'GEN-SOLAR'!$D$7:$AW$7, 'GEN-SOLAR'!$D$122:$AW$122), 0), IF($B40='Project List References'!$B$5, _xlfn.IFNA(_xlfn.XLOOKUP(R$2-$C40, 'GEN-BESS'!$D$7:$AW$7, 'GEN-BESS'!$D$125:$AW$125), 0), IF($B40='Project List References'!$B$6, _xlfn.IFNA(_xlfn.XLOOKUP(R$2-$C40, 'GEN-CARBON'!$D$7:$AW$7, 'GEN-CARBON'!$D$124:$AW$124), 0), IF($B40='Project List References'!$B$7, _xlfn.IFNA(_xlfn.XLOOKUP(R$2-$C40, 'SENS Coal'!$D$7:$AW$7, 'SENS Coal'!$D$141:$AW$141), 0), IF($B40='Project List References'!$B$8, _xlfn.IFNA(_xlfn.XLOOKUP(R$2-$C40,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S40" s="743" t="e">
        <f>IF($B40='Project List References'!$B$3, _xlfn.IFNA(_xlfn.XLOOKUP(S$2-$C40, 'GEN-CCGT'!$D$7:$AW$7, 'GEN-CCGT'!$D$124:$AW$124), 0), IF($B40='Project List References'!$B$4, _xlfn.IFNA(_xlfn.XLOOKUP(S$2-$C40, 'GEN-SOLAR'!$D$7:$AW$7, 'GEN-SOLAR'!$D$122:$AW$122), 0), IF($B40='Project List References'!$B$5, _xlfn.IFNA(_xlfn.XLOOKUP(S$2-$C40, 'GEN-BESS'!$D$7:$AW$7, 'GEN-BESS'!$D$125:$AW$125), 0), IF($B40='Project List References'!$B$6, _xlfn.IFNA(_xlfn.XLOOKUP(S$2-$C40, 'GEN-CARBON'!$D$7:$AW$7, 'GEN-CARBON'!$D$124:$AW$124), 0), IF($B40='Project List References'!$B$7, _xlfn.IFNA(_xlfn.XLOOKUP(S$2-$C40, 'SENS Coal'!$D$7:$AW$7, 'SENS Coal'!$D$141:$AW$141), 0), IF($B40='Project List References'!$B$8, _xlfn.IFNA(_xlfn.XLOOKUP(S$2-$C40,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T40" s="743" t="e">
        <f>IF($B40='Project List References'!$B$3, _xlfn.IFNA(_xlfn.XLOOKUP(T$2-$C40, 'GEN-CCGT'!$D$7:$AW$7, 'GEN-CCGT'!$D$124:$AW$124), 0), IF($B40='Project List References'!$B$4, _xlfn.IFNA(_xlfn.XLOOKUP(T$2-$C40, 'GEN-SOLAR'!$D$7:$AW$7, 'GEN-SOLAR'!$D$122:$AW$122), 0), IF($B40='Project List References'!$B$5, _xlfn.IFNA(_xlfn.XLOOKUP(T$2-$C40, 'GEN-BESS'!$D$7:$AW$7, 'GEN-BESS'!$D$125:$AW$125), 0), IF($B40='Project List References'!$B$6, _xlfn.IFNA(_xlfn.XLOOKUP(T$2-$C40, 'GEN-CARBON'!$D$7:$AW$7, 'GEN-CARBON'!$D$124:$AW$124), 0), IF($B40='Project List References'!$B$7, _xlfn.IFNA(_xlfn.XLOOKUP(T$2-$C40, 'SENS Coal'!$D$7:$AW$7, 'SENS Coal'!$D$141:$AW$141), 0), IF($B40='Project List References'!$B$8, _xlfn.IFNA(_xlfn.XLOOKUP(T$2-$C40, 'SENS Tires'!$D$7:$AW$7, 'SENS Tires'!$D$139:$AW$139),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</row>
    <row r="41" spans="1:20">
      <c r="A41" s="655" t="str">
        <f>IF(ISBLANK('Project Master Sheet'!A41)=FALSE, 'Project Master Sheet'!A41, "")</f>
        <v/>
      </c>
      <c r="B41" s="655" t="str">
        <f>_xlfn.IFNA(_xlfn.XLOOKUP(A41, 'Project Master Sheet'!A:A, 'Project Master Sheet'!D:D), "")</f>
        <v/>
      </c>
      <c r="C41" s="655" t="e">
        <f>_xlfn.XLOOKUP(A41, 'Project Master Sheet'!A:A, 'Project Master Sheet'!I:I)</f>
        <v>#N/A</v>
      </c>
      <c r="E41" s="743" t="e">
        <f>IF($B41='Project List References'!$B$3, _xlfn.IFNA(_xlfn.XLOOKUP(E$2-$C41, 'GEN-CCGT'!$D$7:$AW$7, 'GEN-CCGT'!$D$124:$AW$124), 0), IF($B41='Project List References'!$B$4, _xlfn.IFNA(_xlfn.XLOOKUP(E$2-$C41, 'GEN-SOLAR'!$D$7:$AW$7, 'GEN-SOLAR'!$D$122:$AW$122), 0), IF($B41='Project List References'!$B$5, _xlfn.IFNA(_xlfn.XLOOKUP(E$2-$C41, 'GEN-BESS'!$D$7:$AW$7, 'GEN-BESS'!$D$125:$AW$125), 0), IF($B41='Project List References'!$B$6, _xlfn.IFNA(_xlfn.XLOOKUP(E$2-$C41, 'GEN-CARBON'!$D$7:$AW$7, 'GEN-CARBON'!$D$124:$AW$124), 0), IF($B41='Project List References'!$B$7, _xlfn.IFNA(_xlfn.XLOOKUP(E$2-$C41, 'SENS Coal'!$D$7:$AW$7, 'SENS Coal'!$D$141:$AW$141), 0), IF($B41='Project List References'!$B$8, _xlfn.IFNA(_xlfn.XLOOKUP(E$2-$C41,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F41" s="743" t="e">
        <f>IF($B41='Project List References'!$B$3, _xlfn.IFNA(_xlfn.XLOOKUP(F$2-$C41, 'GEN-CCGT'!$D$7:$AW$7, 'GEN-CCGT'!$D$124:$AW$124), 0), IF($B41='Project List References'!$B$4, _xlfn.IFNA(_xlfn.XLOOKUP(F$2-$C41, 'GEN-SOLAR'!$D$7:$AW$7, 'GEN-SOLAR'!$D$122:$AW$122), 0), IF($B41='Project List References'!$B$5, _xlfn.IFNA(_xlfn.XLOOKUP(F$2-$C41, 'GEN-BESS'!$D$7:$AW$7, 'GEN-BESS'!$D$125:$AW$125), 0), IF($B41='Project List References'!$B$6, _xlfn.IFNA(_xlfn.XLOOKUP(F$2-$C41, 'GEN-CARBON'!$D$7:$AW$7, 'GEN-CARBON'!$D$124:$AW$124), 0), IF($B41='Project List References'!$B$7, _xlfn.IFNA(_xlfn.XLOOKUP(F$2-$C41, 'SENS Coal'!$D$7:$AW$7, 'SENS Coal'!$D$141:$AW$141), 0), IF($B41='Project List References'!$B$8, _xlfn.IFNA(_xlfn.XLOOKUP(F$2-$C41,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G41" s="743" t="e">
        <f>IF($B41='Project List References'!$B$3, _xlfn.IFNA(_xlfn.XLOOKUP(G$2-$C41, 'GEN-CCGT'!$D$7:$AW$7, 'GEN-CCGT'!$D$124:$AW$124), 0), IF($B41='Project List References'!$B$4, _xlfn.IFNA(_xlfn.XLOOKUP(G$2-$C41, 'GEN-SOLAR'!$D$7:$AW$7, 'GEN-SOLAR'!$D$122:$AW$122), 0), IF($B41='Project List References'!$B$5, _xlfn.IFNA(_xlfn.XLOOKUP(G$2-$C41, 'GEN-BESS'!$D$7:$AW$7, 'GEN-BESS'!$D$125:$AW$125), 0), IF($B41='Project List References'!$B$6, _xlfn.IFNA(_xlfn.XLOOKUP(G$2-$C41, 'GEN-CARBON'!$D$7:$AW$7, 'GEN-CARBON'!$D$124:$AW$124), 0), IF($B41='Project List References'!$B$7, _xlfn.IFNA(_xlfn.XLOOKUP(G$2-$C41, 'SENS Coal'!$D$7:$AW$7, 'SENS Coal'!$D$141:$AW$141), 0), IF($B41='Project List References'!$B$8, _xlfn.IFNA(_xlfn.XLOOKUP(G$2-$C41,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H41" s="743" t="e">
        <f>IF($B41='Project List References'!$B$3, _xlfn.IFNA(_xlfn.XLOOKUP(H$2-$C41, 'GEN-CCGT'!$D$7:$AW$7, 'GEN-CCGT'!$D$124:$AW$124), 0), IF($B41='Project List References'!$B$4, _xlfn.IFNA(_xlfn.XLOOKUP(H$2-$C41, 'GEN-SOLAR'!$D$7:$AW$7, 'GEN-SOLAR'!$D$122:$AW$122), 0), IF($B41='Project List References'!$B$5, _xlfn.IFNA(_xlfn.XLOOKUP(H$2-$C41, 'GEN-BESS'!$D$7:$AW$7, 'GEN-BESS'!$D$125:$AW$125), 0), IF($B41='Project List References'!$B$6, _xlfn.IFNA(_xlfn.XLOOKUP(H$2-$C41, 'GEN-CARBON'!$D$7:$AW$7, 'GEN-CARBON'!$D$124:$AW$124), 0), IF($B41='Project List References'!$B$7, _xlfn.IFNA(_xlfn.XLOOKUP(H$2-$C41, 'SENS Coal'!$D$7:$AW$7, 'SENS Coal'!$D$141:$AW$141), 0), IF($B41='Project List References'!$B$8, _xlfn.IFNA(_xlfn.XLOOKUP(H$2-$C41,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I41" s="743" t="e">
        <f>IF($B41='Project List References'!$B$3, _xlfn.IFNA(_xlfn.XLOOKUP(I$2-$C41, 'GEN-CCGT'!$D$7:$AW$7, 'GEN-CCGT'!$D$124:$AW$124), 0), IF($B41='Project List References'!$B$4, _xlfn.IFNA(_xlfn.XLOOKUP(I$2-$C41, 'GEN-SOLAR'!$D$7:$AW$7, 'GEN-SOLAR'!$D$122:$AW$122), 0), IF($B41='Project List References'!$B$5, _xlfn.IFNA(_xlfn.XLOOKUP(I$2-$C41, 'GEN-BESS'!$D$7:$AW$7, 'GEN-BESS'!$D$125:$AW$125), 0), IF($B41='Project List References'!$B$6, _xlfn.IFNA(_xlfn.XLOOKUP(I$2-$C41, 'GEN-CARBON'!$D$7:$AW$7, 'GEN-CARBON'!$D$124:$AW$124), 0), IF($B41='Project List References'!$B$7, _xlfn.IFNA(_xlfn.XLOOKUP(I$2-$C41, 'SENS Coal'!$D$7:$AW$7, 'SENS Coal'!$D$141:$AW$141), 0), IF($B41='Project List References'!$B$8, _xlfn.IFNA(_xlfn.XLOOKUP(I$2-$C41,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J41" s="743" t="e">
        <f>IF($B41='Project List References'!$B$3, _xlfn.IFNA(_xlfn.XLOOKUP(J$2-$C41, 'GEN-CCGT'!$D$7:$AW$7, 'GEN-CCGT'!$D$124:$AW$124), 0), IF($B41='Project List References'!$B$4, _xlfn.IFNA(_xlfn.XLOOKUP(J$2-$C41, 'GEN-SOLAR'!$D$7:$AW$7, 'GEN-SOLAR'!$D$122:$AW$122), 0), IF($B41='Project List References'!$B$5, _xlfn.IFNA(_xlfn.XLOOKUP(J$2-$C41, 'GEN-BESS'!$D$7:$AW$7, 'GEN-BESS'!$D$125:$AW$125), 0), IF($B41='Project List References'!$B$6, _xlfn.IFNA(_xlfn.XLOOKUP(J$2-$C41, 'GEN-CARBON'!$D$7:$AW$7, 'GEN-CARBON'!$D$124:$AW$124), 0), IF($B41='Project List References'!$B$7, _xlfn.IFNA(_xlfn.XLOOKUP(J$2-$C41, 'SENS Coal'!$D$7:$AW$7, 'SENS Coal'!$D$141:$AW$141), 0), IF($B41='Project List References'!$B$8, _xlfn.IFNA(_xlfn.XLOOKUP(J$2-$C41,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K41" s="743" t="e">
        <f>IF($B41='Project List References'!$B$3, _xlfn.IFNA(_xlfn.XLOOKUP(K$2-$C41, 'GEN-CCGT'!$D$7:$AW$7, 'GEN-CCGT'!$D$124:$AW$124), 0), IF($B41='Project List References'!$B$4, _xlfn.IFNA(_xlfn.XLOOKUP(K$2-$C41, 'GEN-SOLAR'!$D$7:$AW$7, 'GEN-SOLAR'!$D$122:$AW$122), 0), IF($B41='Project List References'!$B$5, _xlfn.IFNA(_xlfn.XLOOKUP(K$2-$C41, 'GEN-BESS'!$D$7:$AW$7, 'GEN-BESS'!$D$125:$AW$125), 0), IF($B41='Project List References'!$B$6, _xlfn.IFNA(_xlfn.XLOOKUP(K$2-$C41, 'GEN-CARBON'!$D$7:$AW$7, 'GEN-CARBON'!$D$124:$AW$124), 0), IF($B41='Project List References'!$B$7, _xlfn.IFNA(_xlfn.XLOOKUP(K$2-$C41, 'SENS Coal'!$D$7:$AW$7, 'SENS Coal'!$D$141:$AW$141), 0), IF($B41='Project List References'!$B$8, _xlfn.IFNA(_xlfn.XLOOKUP(K$2-$C41,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L41" s="743" t="e">
        <f>IF($B41='Project List References'!$B$3, _xlfn.IFNA(_xlfn.XLOOKUP(L$2-$C41, 'GEN-CCGT'!$D$7:$AW$7, 'GEN-CCGT'!$D$124:$AW$124), 0), IF($B41='Project List References'!$B$4, _xlfn.IFNA(_xlfn.XLOOKUP(L$2-$C41, 'GEN-SOLAR'!$D$7:$AW$7, 'GEN-SOLAR'!$D$122:$AW$122), 0), IF($B41='Project List References'!$B$5, _xlfn.IFNA(_xlfn.XLOOKUP(L$2-$C41, 'GEN-BESS'!$D$7:$AW$7, 'GEN-BESS'!$D$125:$AW$125), 0), IF($B41='Project List References'!$B$6, _xlfn.IFNA(_xlfn.XLOOKUP(L$2-$C41, 'GEN-CARBON'!$D$7:$AW$7, 'GEN-CARBON'!$D$124:$AW$124), 0), IF($B41='Project List References'!$B$7, _xlfn.IFNA(_xlfn.XLOOKUP(L$2-$C41, 'SENS Coal'!$D$7:$AW$7, 'SENS Coal'!$D$141:$AW$141), 0), IF($B41='Project List References'!$B$8, _xlfn.IFNA(_xlfn.XLOOKUP(L$2-$C41,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M41" s="743" t="e">
        <f>IF($B41='Project List References'!$B$3, _xlfn.IFNA(_xlfn.XLOOKUP(M$2-$C41, 'GEN-CCGT'!$D$7:$AW$7, 'GEN-CCGT'!$D$124:$AW$124), 0), IF($B41='Project List References'!$B$4, _xlfn.IFNA(_xlfn.XLOOKUP(M$2-$C41, 'GEN-SOLAR'!$D$7:$AW$7, 'GEN-SOLAR'!$D$122:$AW$122), 0), IF($B41='Project List References'!$B$5, _xlfn.IFNA(_xlfn.XLOOKUP(M$2-$C41, 'GEN-BESS'!$D$7:$AW$7, 'GEN-BESS'!$D$125:$AW$125), 0), IF($B41='Project List References'!$B$6, _xlfn.IFNA(_xlfn.XLOOKUP(M$2-$C41, 'GEN-CARBON'!$D$7:$AW$7, 'GEN-CARBON'!$D$124:$AW$124), 0), IF($B41='Project List References'!$B$7, _xlfn.IFNA(_xlfn.XLOOKUP(M$2-$C41, 'SENS Coal'!$D$7:$AW$7, 'SENS Coal'!$D$141:$AW$141), 0), IF($B41='Project List References'!$B$8, _xlfn.IFNA(_xlfn.XLOOKUP(M$2-$C41,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N41" s="743" t="e">
        <f>IF($B41='Project List References'!$B$3, _xlfn.IFNA(_xlfn.XLOOKUP(N$2-$C41, 'GEN-CCGT'!$D$7:$AW$7, 'GEN-CCGT'!$D$124:$AW$124), 0), IF($B41='Project List References'!$B$4, _xlfn.IFNA(_xlfn.XLOOKUP(N$2-$C41, 'GEN-SOLAR'!$D$7:$AW$7, 'GEN-SOLAR'!$D$122:$AW$122), 0), IF($B41='Project List References'!$B$5, _xlfn.IFNA(_xlfn.XLOOKUP(N$2-$C41, 'GEN-BESS'!$D$7:$AW$7, 'GEN-BESS'!$D$125:$AW$125), 0), IF($B41='Project List References'!$B$6, _xlfn.IFNA(_xlfn.XLOOKUP(N$2-$C41, 'GEN-CARBON'!$D$7:$AW$7, 'GEN-CARBON'!$D$124:$AW$124), 0), IF($B41='Project List References'!$B$7, _xlfn.IFNA(_xlfn.XLOOKUP(N$2-$C41, 'SENS Coal'!$D$7:$AW$7, 'SENS Coal'!$D$141:$AW$141), 0), IF($B41='Project List References'!$B$8, _xlfn.IFNA(_xlfn.XLOOKUP(N$2-$C41,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O41" s="743" t="e">
        <f>IF($B41='Project List References'!$B$3, _xlfn.IFNA(_xlfn.XLOOKUP(O$2-$C41, 'GEN-CCGT'!$D$7:$AW$7, 'GEN-CCGT'!$D$124:$AW$124), 0), IF($B41='Project List References'!$B$4, _xlfn.IFNA(_xlfn.XLOOKUP(O$2-$C41, 'GEN-SOLAR'!$D$7:$AW$7, 'GEN-SOLAR'!$D$122:$AW$122), 0), IF($B41='Project List References'!$B$5, _xlfn.IFNA(_xlfn.XLOOKUP(O$2-$C41, 'GEN-BESS'!$D$7:$AW$7, 'GEN-BESS'!$D$125:$AW$125), 0), IF($B41='Project List References'!$B$6, _xlfn.IFNA(_xlfn.XLOOKUP(O$2-$C41, 'GEN-CARBON'!$D$7:$AW$7, 'GEN-CARBON'!$D$124:$AW$124), 0), IF($B41='Project List References'!$B$7, _xlfn.IFNA(_xlfn.XLOOKUP(O$2-$C41, 'SENS Coal'!$D$7:$AW$7, 'SENS Coal'!$D$141:$AW$141), 0), IF($B41='Project List References'!$B$8, _xlfn.IFNA(_xlfn.XLOOKUP(O$2-$C41,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P41" s="743" t="e">
        <f>IF($B41='Project List References'!$B$3, _xlfn.IFNA(_xlfn.XLOOKUP(P$2-$C41, 'GEN-CCGT'!$D$7:$AW$7, 'GEN-CCGT'!$D$124:$AW$124), 0), IF($B41='Project List References'!$B$4, _xlfn.IFNA(_xlfn.XLOOKUP(P$2-$C41, 'GEN-SOLAR'!$D$7:$AW$7, 'GEN-SOLAR'!$D$122:$AW$122), 0), IF($B41='Project List References'!$B$5, _xlfn.IFNA(_xlfn.XLOOKUP(P$2-$C41, 'GEN-BESS'!$D$7:$AW$7, 'GEN-BESS'!$D$125:$AW$125), 0), IF($B41='Project List References'!$B$6, _xlfn.IFNA(_xlfn.XLOOKUP(P$2-$C41, 'GEN-CARBON'!$D$7:$AW$7, 'GEN-CARBON'!$D$124:$AW$124), 0), IF($B41='Project List References'!$B$7, _xlfn.IFNA(_xlfn.XLOOKUP(P$2-$C41, 'SENS Coal'!$D$7:$AW$7, 'SENS Coal'!$D$141:$AW$141), 0), IF($B41='Project List References'!$B$8, _xlfn.IFNA(_xlfn.XLOOKUP(P$2-$C41,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Q41" s="743" t="e">
        <f>IF($B41='Project List References'!$B$3, _xlfn.IFNA(_xlfn.XLOOKUP(Q$2-$C41, 'GEN-CCGT'!$D$7:$AW$7, 'GEN-CCGT'!$D$124:$AW$124), 0), IF($B41='Project List References'!$B$4, _xlfn.IFNA(_xlfn.XLOOKUP(Q$2-$C41, 'GEN-SOLAR'!$D$7:$AW$7, 'GEN-SOLAR'!$D$122:$AW$122), 0), IF($B41='Project List References'!$B$5, _xlfn.IFNA(_xlfn.XLOOKUP(Q$2-$C41, 'GEN-BESS'!$D$7:$AW$7, 'GEN-BESS'!$D$125:$AW$125), 0), IF($B41='Project List References'!$B$6, _xlfn.IFNA(_xlfn.XLOOKUP(Q$2-$C41, 'GEN-CARBON'!$D$7:$AW$7, 'GEN-CARBON'!$D$124:$AW$124), 0), IF($B41='Project List References'!$B$7, _xlfn.IFNA(_xlfn.XLOOKUP(Q$2-$C41, 'SENS Coal'!$D$7:$AW$7, 'SENS Coal'!$D$141:$AW$141), 0), IF($B41='Project List References'!$B$8, _xlfn.IFNA(_xlfn.XLOOKUP(Q$2-$C41,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R41" s="743" t="e">
        <f>IF($B41='Project List References'!$B$3, _xlfn.IFNA(_xlfn.XLOOKUP(R$2-$C41, 'GEN-CCGT'!$D$7:$AW$7, 'GEN-CCGT'!$D$124:$AW$124), 0), IF($B41='Project List References'!$B$4, _xlfn.IFNA(_xlfn.XLOOKUP(R$2-$C41, 'GEN-SOLAR'!$D$7:$AW$7, 'GEN-SOLAR'!$D$122:$AW$122), 0), IF($B41='Project List References'!$B$5, _xlfn.IFNA(_xlfn.XLOOKUP(R$2-$C41, 'GEN-BESS'!$D$7:$AW$7, 'GEN-BESS'!$D$125:$AW$125), 0), IF($B41='Project List References'!$B$6, _xlfn.IFNA(_xlfn.XLOOKUP(R$2-$C41, 'GEN-CARBON'!$D$7:$AW$7, 'GEN-CARBON'!$D$124:$AW$124), 0), IF($B41='Project List References'!$B$7, _xlfn.IFNA(_xlfn.XLOOKUP(R$2-$C41, 'SENS Coal'!$D$7:$AW$7, 'SENS Coal'!$D$141:$AW$141), 0), IF($B41='Project List References'!$B$8, _xlfn.IFNA(_xlfn.XLOOKUP(R$2-$C41,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S41" s="743" t="e">
        <f>IF($B41='Project List References'!$B$3, _xlfn.IFNA(_xlfn.XLOOKUP(S$2-$C41, 'GEN-CCGT'!$D$7:$AW$7, 'GEN-CCGT'!$D$124:$AW$124), 0), IF($B41='Project List References'!$B$4, _xlfn.IFNA(_xlfn.XLOOKUP(S$2-$C41, 'GEN-SOLAR'!$D$7:$AW$7, 'GEN-SOLAR'!$D$122:$AW$122), 0), IF($B41='Project List References'!$B$5, _xlfn.IFNA(_xlfn.XLOOKUP(S$2-$C41, 'GEN-BESS'!$D$7:$AW$7, 'GEN-BESS'!$D$125:$AW$125), 0), IF($B41='Project List References'!$B$6, _xlfn.IFNA(_xlfn.XLOOKUP(S$2-$C41, 'GEN-CARBON'!$D$7:$AW$7, 'GEN-CARBON'!$D$124:$AW$124), 0), IF($B41='Project List References'!$B$7, _xlfn.IFNA(_xlfn.XLOOKUP(S$2-$C41, 'SENS Coal'!$D$7:$AW$7, 'SENS Coal'!$D$141:$AW$141), 0), IF($B41='Project List References'!$B$8, _xlfn.IFNA(_xlfn.XLOOKUP(S$2-$C41,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T41" s="743" t="e">
        <f>IF($B41='Project List References'!$B$3, _xlfn.IFNA(_xlfn.XLOOKUP(T$2-$C41, 'GEN-CCGT'!$D$7:$AW$7, 'GEN-CCGT'!$D$124:$AW$124), 0), IF($B41='Project List References'!$B$4, _xlfn.IFNA(_xlfn.XLOOKUP(T$2-$C41, 'GEN-SOLAR'!$D$7:$AW$7, 'GEN-SOLAR'!$D$122:$AW$122), 0), IF($B41='Project List References'!$B$5, _xlfn.IFNA(_xlfn.XLOOKUP(T$2-$C41, 'GEN-BESS'!$D$7:$AW$7, 'GEN-BESS'!$D$125:$AW$125), 0), IF($B41='Project List References'!$B$6, _xlfn.IFNA(_xlfn.XLOOKUP(T$2-$C41, 'GEN-CARBON'!$D$7:$AW$7, 'GEN-CARBON'!$D$124:$AW$124), 0), IF($B41='Project List References'!$B$7, _xlfn.IFNA(_xlfn.XLOOKUP(T$2-$C41, 'SENS Coal'!$D$7:$AW$7, 'SENS Coal'!$D$141:$AW$141), 0), IF($B41='Project List References'!$B$8, _xlfn.IFNA(_xlfn.XLOOKUP(T$2-$C41, 'SENS Tires'!$D$7:$AW$7, 'SENS Tires'!$D$139:$AW$139),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</row>
    <row r="42" spans="1:20">
      <c r="A42" s="655" t="str">
        <f>IF(ISBLANK('Project Master Sheet'!A42)=FALSE, 'Project Master Sheet'!A42, "")</f>
        <v/>
      </c>
      <c r="B42" s="655" t="str">
        <f>_xlfn.IFNA(_xlfn.XLOOKUP(A42, 'Project Master Sheet'!A:A, 'Project Master Sheet'!D:D), "")</f>
        <v/>
      </c>
      <c r="C42" s="655" t="e">
        <f>_xlfn.XLOOKUP(A42, 'Project Master Sheet'!A:A, 'Project Master Sheet'!I:I)</f>
        <v>#N/A</v>
      </c>
      <c r="E42" s="743" t="e">
        <f>IF($B42='Project List References'!$B$3, _xlfn.IFNA(_xlfn.XLOOKUP(E$2-$C42, 'GEN-CCGT'!$D$7:$AW$7, 'GEN-CCGT'!$D$124:$AW$124), 0), IF($B42='Project List References'!$B$4, _xlfn.IFNA(_xlfn.XLOOKUP(E$2-$C42, 'GEN-SOLAR'!$D$7:$AW$7, 'GEN-SOLAR'!$D$122:$AW$122), 0), IF($B42='Project List References'!$B$5, _xlfn.IFNA(_xlfn.XLOOKUP(E$2-$C42, 'GEN-BESS'!$D$7:$AW$7, 'GEN-BESS'!$D$125:$AW$125), 0), IF($B42='Project List References'!$B$6, _xlfn.IFNA(_xlfn.XLOOKUP(E$2-$C42, 'GEN-CARBON'!$D$7:$AW$7, 'GEN-CARBON'!$D$124:$AW$124), 0), IF($B42='Project List References'!$B$7, _xlfn.IFNA(_xlfn.XLOOKUP(E$2-$C42, 'SENS Coal'!$D$7:$AW$7, 'SENS Coal'!$D$141:$AW$141), 0), IF($B42='Project List References'!$B$8, _xlfn.IFNA(_xlfn.XLOOKUP(E$2-$C42,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F42" s="743" t="e">
        <f>IF($B42='Project List References'!$B$3, _xlfn.IFNA(_xlfn.XLOOKUP(F$2-$C42, 'GEN-CCGT'!$D$7:$AW$7, 'GEN-CCGT'!$D$124:$AW$124), 0), IF($B42='Project List References'!$B$4, _xlfn.IFNA(_xlfn.XLOOKUP(F$2-$C42, 'GEN-SOLAR'!$D$7:$AW$7, 'GEN-SOLAR'!$D$122:$AW$122), 0), IF($B42='Project List References'!$B$5, _xlfn.IFNA(_xlfn.XLOOKUP(F$2-$C42, 'GEN-BESS'!$D$7:$AW$7, 'GEN-BESS'!$D$125:$AW$125), 0), IF($B42='Project List References'!$B$6, _xlfn.IFNA(_xlfn.XLOOKUP(F$2-$C42, 'GEN-CARBON'!$D$7:$AW$7, 'GEN-CARBON'!$D$124:$AW$124), 0), IF($B42='Project List References'!$B$7, _xlfn.IFNA(_xlfn.XLOOKUP(F$2-$C42, 'SENS Coal'!$D$7:$AW$7, 'SENS Coal'!$D$141:$AW$141), 0), IF($B42='Project List References'!$B$8, _xlfn.IFNA(_xlfn.XLOOKUP(F$2-$C42,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G42" s="743" t="e">
        <f>IF($B42='Project List References'!$B$3, _xlfn.IFNA(_xlfn.XLOOKUP(G$2-$C42, 'GEN-CCGT'!$D$7:$AW$7, 'GEN-CCGT'!$D$124:$AW$124), 0), IF($B42='Project List References'!$B$4, _xlfn.IFNA(_xlfn.XLOOKUP(G$2-$C42, 'GEN-SOLAR'!$D$7:$AW$7, 'GEN-SOLAR'!$D$122:$AW$122), 0), IF($B42='Project List References'!$B$5, _xlfn.IFNA(_xlfn.XLOOKUP(G$2-$C42, 'GEN-BESS'!$D$7:$AW$7, 'GEN-BESS'!$D$125:$AW$125), 0), IF($B42='Project List References'!$B$6, _xlfn.IFNA(_xlfn.XLOOKUP(G$2-$C42, 'GEN-CARBON'!$D$7:$AW$7, 'GEN-CARBON'!$D$124:$AW$124), 0), IF($B42='Project List References'!$B$7, _xlfn.IFNA(_xlfn.XLOOKUP(G$2-$C42, 'SENS Coal'!$D$7:$AW$7, 'SENS Coal'!$D$141:$AW$141), 0), IF($B42='Project List References'!$B$8, _xlfn.IFNA(_xlfn.XLOOKUP(G$2-$C42,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H42" s="743" t="e">
        <f>IF($B42='Project List References'!$B$3, _xlfn.IFNA(_xlfn.XLOOKUP(H$2-$C42, 'GEN-CCGT'!$D$7:$AW$7, 'GEN-CCGT'!$D$124:$AW$124), 0), IF($B42='Project List References'!$B$4, _xlfn.IFNA(_xlfn.XLOOKUP(H$2-$C42, 'GEN-SOLAR'!$D$7:$AW$7, 'GEN-SOLAR'!$D$122:$AW$122), 0), IF($B42='Project List References'!$B$5, _xlfn.IFNA(_xlfn.XLOOKUP(H$2-$C42, 'GEN-BESS'!$D$7:$AW$7, 'GEN-BESS'!$D$125:$AW$125), 0), IF($B42='Project List References'!$B$6, _xlfn.IFNA(_xlfn.XLOOKUP(H$2-$C42, 'GEN-CARBON'!$D$7:$AW$7, 'GEN-CARBON'!$D$124:$AW$124), 0), IF($B42='Project List References'!$B$7, _xlfn.IFNA(_xlfn.XLOOKUP(H$2-$C42, 'SENS Coal'!$D$7:$AW$7, 'SENS Coal'!$D$141:$AW$141), 0), IF($B42='Project List References'!$B$8, _xlfn.IFNA(_xlfn.XLOOKUP(H$2-$C42,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I42" s="743" t="e">
        <f>IF($B42='Project List References'!$B$3, _xlfn.IFNA(_xlfn.XLOOKUP(I$2-$C42, 'GEN-CCGT'!$D$7:$AW$7, 'GEN-CCGT'!$D$124:$AW$124), 0), IF($B42='Project List References'!$B$4, _xlfn.IFNA(_xlfn.XLOOKUP(I$2-$C42, 'GEN-SOLAR'!$D$7:$AW$7, 'GEN-SOLAR'!$D$122:$AW$122), 0), IF($B42='Project List References'!$B$5, _xlfn.IFNA(_xlfn.XLOOKUP(I$2-$C42, 'GEN-BESS'!$D$7:$AW$7, 'GEN-BESS'!$D$125:$AW$125), 0), IF($B42='Project List References'!$B$6, _xlfn.IFNA(_xlfn.XLOOKUP(I$2-$C42, 'GEN-CARBON'!$D$7:$AW$7, 'GEN-CARBON'!$D$124:$AW$124), 0), IF($B42='Project List References'!$B$7, _xlfn.IFNA(_xlfn.XLOOKUP(I$2-$C42, 'SENS Coal'!$D$7:$AW$7, 'SENS Coal'!$D$141:$AW$141), 0), IF($B42='Project List References'!$B$8, _xlfn.IFNA(_xlfn.XLOOKUP(I$2-$C42,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J42" s="743" t="e">
        <f>IF($B42='Project List References'!$B$3, _xlfn.IFNA(_xlfn.XLOOKUP(J$2-$C42, 'GEN-CCGT'!$D$7:$AW$7, 'GEN-CCGT'!$D$124:$AW$124), 0), IF($B42='Project List References'!$B$4, _xlfn.IFNA(_xlfn.XLOOKUP(J$2-$C42, 'GEN-SOLAR'!$D$7:$AW$7, 'GEN-SOLAR'!$D$122:$AW$122), 0), IF($B42='Project List References'!$B$5, _xlfn.IFNA(_xlfn.XLOOKUP(J$2-$C42, 'GEN-BESS'!$D$7:$AW$7, 'GEN-BESS'!$D$125:$AW$125), 0), IF($B42='Project List References'!$B$6, _xlfn.IFNA(_xlfn.XLOOKUP(J$2-$C42, 'GEN-CARBON'!$D$7:$AW$7, 'GEN-CARBON'!$D$124:$AW$124), 0), IF($B42='Project List References'!$B$7, _xlfn.IFNA(_xlfn.XLOOKUP(J$2-$C42, 'SENS Coal'!$D$7:$AW$7, 'SENS Coal'!$D$141:$AW$141), 0), IF($B42='Project List References'!$B$8, _xlfn.IFNA(_xlfn.XLOOKUP(J$2-$C42,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K42" s="743" t="e">
        <f>IF($B42='Project List References'!$B$3, _xlfn.IFNA(_xlfn.XLOOKUP(K$2-$C42, 'GEN-CCGT'!$D$7:$AW$7, 'GEN-CCGT'!$D$124:$AW$124), 0), IF($B42='Project List References'!$B$4, _xlfn.IFNA(_xlfn.XLOOKUP(K$2-$C42, 'GEN-SOLAR'!$D$7:$AW$7, 'GEN-SOLAR'!$D$122:$AW$122), 0), IF($B42='Project List References'!$B$5, _xlfn.IFNA(_xlfn.XLOOKUP(K$2-$C42, 'GEN-BESS'!$D$7:$AW$7, 'GEN-BESS'!$D$125:$AW$125), 0), IF($B42='Project List References'!$B$6, _xlfn.IFNA(_xlfn.XLOOKUP(K$2-$C42, 'GEN-CARBON'!$D$7:$AW$7, 'GEN-CARBON'!$D$124:$AW$124), 0), IF($B42='Project List References'!$B$7, _xlfn.IFNA(_xlfn.XLOOKUP(K$2-$C42, 'SENS Coal'!$D$7:$AW$7, 'SENS Coal'!$D$141:$AW$141), 0), IF($B42='Project List References'!$B$8, _xlfn.IFNA(_xlfn.XLOOKUP(K$2-$C42,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L42" s="743" t="e">
        <f>IF($B42='Project List References'!$B$3, _xlfn.IFNA(_xlfn.XLOOKUP(L$2-$C42, 'GEN-CCGT'!$D$7:$AW$7, 'GEN-CCGT'!$D$124:$AW$124), 0), IF($B42='Project List References'!$B$4, _xlfn.IFNA(_xlfn.XLOOKUP(L$2-$C42, 'GEN-SOLAR'!$D$7:$AW$7, 'GEN-SOLAR'!$D$122:$AW$122), 0), IF($B42='Project List References'!$B$5, _xlfn.IFNA(_xlfn.XLOOKUP(L$2-$C42, 'GEN-BESS'!$D$7:$AW$7, 'GEN-BESS'!$D$125:$AW$125), 0), IF($B42='Project List References'!$B$6, _xlfn.IFNA(_xlfn.XLOOKUP(L$2-$C42, 'GEN-CARBON'!$D$7:$AW$7, 'GEN-CARBON'!$D$124:$AW$124), 0), IF($B42='Project List References'!$B$7, _xlfn.IFNA(_xlfn.XLOOKUP(L$2-$C42, 'SENS Coal'!$D$7:$AW$7, 'SENS Coal'!$D$141:$AW$141), 0), IF($B42='Project List References'!$B$8, _xlfn.IFNA(_xlfn.XLOOKUP(L$2-$C42,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M42" s="743" t="e">
        <f>IF($B42='Project List References'!$B$3, _xlfn.IFNA(_xlfn.XLOOKUP(M$2-$C42, 'GEN-CCGT'!$D$7:$AW$7, 'GEN-CCGT'!$D$124:$AW$124), 0), IF($B42='Project List References'!$B$4, _xlfn.IFNA(_xlfn.XLOOKUP(M$2-$C42, 'GEN-SOLAR'!$D$7:$AW$7, 'GEN-SOLAR'!$D$122:$AW$122), 0), IF($B42='Project List References'!$B$5, _xlfn.IFNA(_xlfn.XLOOKUP(M$2-$C42, 'GEN-BESS'!$D$7:$AW$7, 'GEN-BESS'!$D$125:$AW$125), 0), IF($B42='Project List References'!$B$6, _xlfn.IFNA(_xlfn.XLOOKUP(M$2-$C42, 'GEN-CARBON'!$D$7:$AW$7, 'GEN-CARBON'!$D$124:$AW$124), 0), IF($B42='Project List References'!$B$7, _xlfn.IFNA(_xlfn.XLOOKUP(M$2-$C42, 'SENS Coal'!$D$7:$AW$7, 'SENS Coal'!$D$141:$AW$141), 0), IF($B42='Project List References'!$B$8, _xlfn.IFNA(_xlfn.XLOOKUP(M$2-$C42,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N42" s="743" t="e">
        <f>IF($B42='Project List References'!$B$3, _xlfn.IFNA(_xlfn.XLOOKUP(N$2-$C42, 'GEN-CCGT'!$D$7:$AW$7, 'GEN-CCGT'!$D$124:$AW$124), 0), IF($B42='Project List References'!$B$4, _xlfn.IFNA(_xlfn.XLOOKUP(N$2-$C42, 'GEN-SOLAR'!$D$7:$AW$7, 'GEN-SOLAR'!$D$122:$AW$122), 0), IF($B42='Project List References'!$B$5, _xlfn.IFNA(_xlfn.XLOOKUP(N$2-$C42, 'GEN-BESS'!$D$7:$AW$7, 'GEN-BESS'!$D$125:$AW$125), 0), IF($B42='Project List References'!$B$6, _xlfn.IFNA(_xlfn.XLOOKUP(N$2-$C42, 'GEN-CARBON'!$D$7:$AW$7, 'GEN-CARBON'!$D$124:$AW$124), 0), IF($B42='Project List References'!$B$7, _xlfn.IFNA(_xlfn.XLOOKUP(N$2-$C42, 'SENS Coal'!$D$7:$AW$7, 'SENS Coal'!$D$141:$AW$141), 0), IF($B42='Project List References'!$B$8, _xlfn.IFNA(_xlfn.XLOOKUP(N$2-$C42,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O42" s="743" t="e">
        <f>IF($B42='Project List References'!$B$3, _xlfn.IFNA(_xlfn.XLOOKUP(O$2-$C42, 'GEN-CCGT'!$D$7:$AW$7, 'GEN-CCGT'!$D$124:$AW$124), 0), IF($B42='Project List References'!$B$4, _xlfn.IFNA(_xlfn.XLOOKUP(O$2-$C42, 'GEN-SOLAR'!$D$7:$AW$7, 'GEN-SOLAR'!$D$122:$AW$122), 0), IF($B42='Project List References'!$B$5, _xlfn.IFNA(_xlfn.XLOOKUP(O$2-$C42, 'GEN-BESS'!$D$7:$AW$7, 'GEN-BESS'!$D$125:$AW$125), 0), IF($B42='Project List References'!$B$6, _xlfn.IFNA(_xlfn.XLOOKUP(O$2-$C42, 'GEN-CARBON'!$D$7:$AW$7, 'GEN-CARBON'!$D$124:$AW$124), 0), IF($B42='Project List References'!$B$7, _xlfn.IFNA(_xlfn.XLOOKUP(O$2-$C42, 'SENS Coal'!$D$7:$AW$7, 'SENS Coal'!$D$141:$AW$141), 0), IF($B42='Project List References'!$B$8, _xlfn.IFNA(_xlfn.XLOOKUP(O$2-$C42,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P42" s="743" t="e">
        <f>IF($B42='Project List References'!$B$3, _xlfn.IFNA(_xlfn.XLOOKUP(P$2-$C42, 'GEN-CCGT'!$D$7:$AW$7, 'GEN-CCGT'!$D$124:$AW$124), 0), IF($B42='Project List References'!$B$4, _xlfn.IFNA(_xlfn.XLOOKUP(P$2-$C42, 'GEN-SOLAR'!$D$7:$AW$7, 'GEN-SOLAR'!$D$122:$AW$122), 0), IF($B42='Project List References'!$B$5, _xlfn.IFNA(_xlfn.XLOOKUP(P$2-$C42, 'GEN-BESS'!$D$7:$AW$7, 'GEN-BESS'!$D$125:$AW$125), 0), IF($B42='Project List References'!$B$6, _xlfn.IFNA(_xlfn.XLOOKUP(P$2-$C42, 'GEN-CARBON'!$D$7:$AW$7, 'GEN-CARBON'!$D$124:$AW$124), 0), IF($B42='Project List References'!$B$7, _xlfn.IFNA(_xlfn.XLOOKUP(P$2-$C42, 'SENS Coal'!$D$7:$AW$7, 'SENS Coal'!$D$141:$AW$141), 0), IF($B42='Project List References'!$B$8, _xlfn.IFNA(_xlfn.XLOOKUP(P$2-$C42,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Q42" s="743" t="e">
        <f>IF($B42='Project List References'!$B$3, _xlfn.IFNA(_xlfn.XLOOKUP(Q$2-$C42, 'GEN-CCGT'!$D$7:$AW$7, 'GEN-CCGT'!$D$124:$AW$124), 0), IF($B42='Project List References'!$B$4, _xlfn.IFNA(_xlfn.XLOOKUP(Q$2-$C42, 'GEN-SOLAR'!$D$7:$AW$7, 'GEN-SOLAR'!$D$122:$AW$122), 0), IF($B42='Project List References'!$B$5, _xlfn.IFNA(_xlfn.XLOOKUP(Q$2-$C42, 'GEN-BESS'!$D$7:$AW$7, 'GEN-BESS'!$D$125:$AW$125), 0), IF($B42='Project List References'!$B$6, _xlfn.IFNA(_xlfn.XLOOKUP(Q$2-$C42, 'GEN-CARBON'!$D$7:$AW$7, 'GEN-CARBON'!$D$124:$AW$124), 0), IF($B42='Project List References'!$B$7, _xlfn.IFNA(_xlfn.XLOOKUP(Q$2-$C42, 'SENS Coal'!$D$7:$AW$7, 'SENS Coal'!$D$141:$AW$141), 0), IF($B42='Project List References'!$B$8, _xlfn.IFNA(_xlfn.XLOOKUP(Q$2-$C42,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R42" s="743" t="e">
        <f>IF($B42='Project List References'!$B$3, _xlfn.IFNA(_xlfn.XLOOKUP(R$2-$C42, 'GEN-CCGT'!$D$7:$AW$7, 'GEN-CCGT'!$D$124:$AW$124), 0), IF($B42='Project List References'!$B$4, _xlfn.IFNA(_xlfn.XLOOKUP(R$2-$C42, 'GEN-SOLAR'!$D$7:$AW$7, 'GEN-SOLAR'!$D$122:$AW$122), 0), IF($B42='Project List References'!$B$5, _xlfn.IFNA(_xlfn.XLOOKUP(R$2-$C42, 'GEN-BESS'!$D$7:$AW$7, 'GEN-BESS'!$D$125:$AW$125), 0), IF($B42='Project List References'!$B$6, _xlfn.IFNA(_xlfn.XLOOKUP(R$2-$C42, 'GEN-CARBON'!$D$7:$AW$7, 'GEN-CARBON'!$D$124:$AW$124), 0), IF($B42='Project List References'!$B$7, _xlfn.IFNA(_xlfn.XLOOKUP(R$2-$C42, 'SENS Coal'!$D$7:$AW$7, 'SENS Coal'!$D$141:$AW$141), 0), IF($B42='Project List References'!$B$8, _xlfn.IFNA(_xlfn.XLOOKUP(R$2-$C42,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S42" s="743" t="e">
        <f>IF($B42='Project List References'!$B$3, _xlfn.IFNA(_xlfn.XLOOKUP(S$2-$C42, 'GEN-CCGT'!$D$7:$AW$7, 'GEN-CCGT'!$D$124:$AW$124), 0), IF($B42='Project List References'!$B$4, _xlfn.IFNA(_xlfn.XLOOKUP(S$2-$C42, 'GEN-SOLAR'!$D$7:$AW$7, 'GEN-SOLAR'!$D$122:$AW$122), 0), IF($B42='Project List References'!$B$5, _xlfn.IFNA(_xlfn.XLOOKUP(S$2-$C42, 'GEN-BESS'!$D$7:$AW$7, 'GEN-BESS'!$D$125:$AW$125), 0), IF($B42='Project List References'!$B$6, _xlfn.IFNA(_xlfn.XLOOKUP(S$2-$C42, 'GEN-CARBON'!$D$7:$AW$7, 'GEN-CARBON'!$D$124:$AW$124), 0), IF($B42='Project List References'!$B$7, _xlfn.IFNA(_xlfn.XLOOKUP(S$2-$C42, 'SENS Coal'!$D$7:$AW$7, 'SENS Coal'!$D$141:$AW$141), 0), IF($B42='Project List References'!$B$8, _xlfn.IFNA(_xlfn.XLOOKUP(S$2-$C42,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T42" s="743" t="e">
        <f>IF($B42='Project List References'!$B$3, _xlfn.IFNA(_xlfn.XLOOKUP(T$2-$C42, 'GEN-CCGT'!$D$7:$AW$7, 'GEN-CCGT'!$D$124:$AW$124), 0), IF($B42='Project List References'!$B$4, _xlfn.IFNA(_xlfn.XLOOKUP(T$2-$C42, 'GEN-SOLAR'!$D$7:$AW$7, 'GEN-SOLAR'!$D$122:$AW$122), 0), IF($B42='Project List References'!$B$5, _xlfn.IFNA(_xlfn.XLOOKUP(T$2-$C42, 'GEN-BESS'!$D$7:$AW$7, 'GEN-BESS'!$D$125:$AW$125), 0), IF($B42='Project List References'!$B$6, _xlfn.IFNA(_xlfn.XLOOKUP(T$2-$C42, 'GEN-CARBON'!$D$7:$AW$7, 'GEN-CARBON'!$D$124:$AW$124), 0), IF($B42='Project List References'!$B$7, _xlfn.IFNA(_xlfn.XLOOKUP(T$2-$C42, 'SENS Coal'!$D$7:$AW$7, 'SENS Coal'!$D$141:$AW$141), 0), IF($B42='Project List References'!$B$8, _xlfn.IFNA(_xlfn.XLOOKUP(T$2-$C42, 'SENS Tires'!$D$7:$AW$7, 'SENS Tires'!$D$139:$AW$139),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</row>
    <row r="43" spans="1:20">
      <c r="A43" s="655" t="str">
        <f>IF(ISBLANK('Project Master Sheet'!A43)=FALSE, 'Project Master Sheet'!A43, "")</f>
        <v/>
      </c>
      <c r="B43" s="655" t="str">
        <f>_xlfn.IFNA(_xlfn.XLOOKUP(A43, 'Project Master Sheet'!A:A, 'Project Master Sheet'!D:D), "")</f>
        <v/>
      </c>
      <c r="C43" s="655" t="e">
        <f>_xlfn.XLOOKUP(A43, 'Project Master Sheet'!A:A, 'Project Master Sheet'!I:I)</f>
        <v>#N/A</v>
      </c>
      <c r="E43" s="743" t="e">
        <f>IF($B43='Project List References'!$B$3, _xlfn.IFNA(_xlfn.XLOOKUP(E$2-$C43, 'GEN-CCGT'!$D$7:$AW$7, 'GEN-CCGT'!$D$124:$AW$124), 0), IF($B43='Project List References'!$B$4, _xlfn.IFNA(_xlfn.XLOOKUP(E$2-$C43, 'GEN-SOLAR'!$D$7:$AW$7, 'GEN-SOLAR'!$D$122:$AW$122), 0), IF($B43='Project List References'!$B$5, _xlfn.IFNA(_xlfn.XLOOKUP(E$2-$C43, 'GEN-BESS'!$D$7:$AW$7, 'GEN-BESS'!$D$125:$AW$125), 0), IF($B43='Project List References'!$B$6, _xlfn.IFNA(_xlfn.XLOOKUP(E$2-$C43, 'GEN-CARBON'!$D$7:$AW$7, 'GEN-CARBON'!$D$124:$AW$124), 0), IF($B43='Project List References'!$B$7, _xlfn.IFNA(_xlfn.XLOOKUP(E$2-$C43, 'SENS Coal'!$D$7:$AW$7, 'SENS Coal'!$D$141:$AW$141), 0), IF($B43='Project List References'!$B$8, _xlfn.IFNA(_xlfn.XLOOKUP(E$2-$C43,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F43" s="743" t="e">
        <f>IF($B43='Project List References'!$B$3, _xlfn.IFNA(_xlfn.XLOOKUP(F$2-$C43, 'GEN-CCGT'!$D$7:$AW$7, 'GEN-CCGT'!$D$124:$AW$124), 0), IF($B43='Project List References'!$B$4, _xlfn.IFNA(_xlfn.XLOOKUP(F$2-$C43, 'GEN-SOLAR'!$D$7:$AW$7, 'GEN-SOLAR'!$D$122:$AW$122), 0), IF($B43='Project List References'!$B$5, _xlfn.IFNA(_xlfn.XLOOKUP(F$2-$C43, 'GEN-BESS'!$D$7:$AW$7, 'GEN-BESS'!$D$125:$AW$125), 0), IF($B43='Project List References'!$B$6, _xlfn.IFNA(_xlfn.XLOOKUP(F$2-$C43, 'GEN-CARBON'!$D$7:$AW$7, 'GEN-CARBON'!$D$124:$AW$124), 0), IF($B43='Project List References'!$B$7, _xlfn.IFNA(_xlfn.XLOOKUP(F$2-$C43, 'SENS Coal'!$D$7:$AW$7, 'SENS Coal'!$D$141:$AW$141), 0), IF($B43='Project List References'!$B$8, _xlfn.IFNA(_xlfn.XLOOKUP(F$2-$C43,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G43" s="743" t="e">
        <f>IF($B43='Project List References'!$B$3, _xlfn.IFNA(_xlfn.XLOOKUP(G$2-$C43, 'GEN-CCGT'!$D$7:$AW$7, 'GEN-CCGT'!$D$124:$AW$124), 0), IF($B43='Project List References'!$B$4, _xlfn.IFNA(_xlfn.XLOOKUP(G$2-$C43, 'GEN-SOLAR'!$D$7:$AW$7, 'GEN-SOLAR'!$D$122:$AW$122), 0), IF($B43='Project List References'!$B$5, _xlfn.IFNA(_xlfn.XLOOKUP(G$2-$C43, 'GEN-BESS'!$D$7:$AW$7, 'GEN-BESS'!$D$125:$AW$125), 0), IF($B43='Project List References'!$B$6, _xlfn.IFNA(_xlfn.XLOOKUP(G$2-$C43, 'GEN-CARBON'!$D$7:$AW$7, 'GEN-CARBON'!$D$124:$AW$124), 0), IF($B43='Project List References'!$B$7, _xlfn.IFNA(_xlfn.XLOOKUP(G$2-$C43, 'SENS Coal'!$D$7:$AW$7, 'SENS Coal'!$D$141:$AW$141), 0), IF($B43='Project List References'!$B$8, _xlfn.IFNA(_xlfn.XLOOKUP(G$2-$C43,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H43" s="743" t="e">
        <f>IF($B43='Project List References'!$B$3, _xlfn.IFNA(_xlfn.XLOOKUP(H$2-$C43, 'GEN-CCGT'!$D$7:$AW$7, 'GEN-CCGT'!$D$124:$AW$124), 0), IF($B43='Project List References'!$B$4, _xlfn.IFNA(_xlfn.XLOOKUP(H$2-$C43, 'GEN-SOLAR'!$D$7:$AW$7, 'GEN-SOLAR'!$D$122:$AW$122), 0), IF($B43='Project List References'!$B$5, _xlfn.IFNA(_xlfn.XLOOKUP(H$2-$C43, 'GEN-BESS'!$D$7:$AW$7, 'GEN-BESS'!$D$125:$AW$125), 0), IF($B43='Project List References'!$B$6, _xlfn.IFNA(_xlfn.XLOOKUP(H$2-$C43, 'GEN-CARBON'!$D$7:$AW$7, 'GEN-CARBON'!$D$124:$AW$124), 0), IF($B43='Project List References'!$B$7, _xlfn.IFNA(_xlfn.XLOOKUP(H$2-$C43, 'SENS Coal'!$D$7:$AW$7, 'SENS Coal'!$D$141:$AW$141), 0), IF($B43='Project List References'!$B$8, _xlfn.IFNA(_xlfn.XLOOKUP(H$2-$C43,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I43" s="743" t="e">
        <f>IF($B43='Project List References'!$B$3, _xlfn.IFNA(_xlfn.XLOOKUP(I$2-$C43, 'GEN-CCGT'!$D$7:$AW$7, 'GEN-CCGT'!$D$124:$AW$124), 0), IF($B43='Project List References'!$B$4, _xlfn.IFNA(_xlfn.XLOOKUP(I$2-$C43, 'GEN-SOLAR'!$D$7:$AW$7, 'GEN-SOLAR'!$D$122:$AW$122), 0), IF($B43='Project List References'!$B$5, _xlfn.IFNA(_xlfn.XLOOKUP(I$2-$C43, 'GEN-BESS'!$D$7:$AW$7, 'GEN-BESS'!$D$125:$AW$125), 0), IF($B43='Project List References'!$B$6, _xlfn.IFNA(_xlfn.XLOOKUP(I$2-$C43, 'GEN-CARBON'!$D$7:$AW$7, 'GEN-CARBON'!$D$124:$AW$124), 0), IF($B43='Project List References'!$B$7, _xlfn.IFNA(_xlfn.XLOOKUP(I$2-$C43, 'SENS Coal'!$D$7:$AW$7, 'SENS Coal'!$D$141:$AW$141), 0), IF($B43='Project List References'!$B$8, _xlfn.IFNA(_xlfn.XLOOKUP(I$2-$C43,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J43" s="743" t="e">
        <f>IF($B43='Project List References'!$B$3, _xlfn.IFNA(_xlfn.XLOOKUP(J$2-$C43, 'GEN-CCGT'!$D$7:$AW$7, 'GEN-CCGT'!$D$124:$AW$124), 0), IF($B43='Project List References'!$B$4, _xlfn.IFNA(_xlfn.XLOOKUP(J$2-$C43, 'GEN-SOLAR'!$D$7:$AW$7, 'GEN-SOLAR'!$D$122:$AW$122), 0), IF($B43='Project List References'!$B$5, _xlfn.IFNA(_xlfn.XLOOKUP(J$2-$C43, 'GEN-BESS'!$D$7:$AW$7, 'GEN-BESS'!$D$125:$AW$125), 0), IF($B43='Project List References'!$B$6, _xlfn.IFNA(_xlfn.XLOOKUP(J$2-$C43, 'GEN-CARBON'!$D$7:$AW$7, 'GEN-CARBON'!$D$124:$AW$124), 0), IF($B43='Project List References'!$B$7, _xlfn.IFNA(_xlfn.XLOOKUP(J$2-$C43, 'SENS Coal'!$D$7:$AW$7, 'SENS Coal'!$D$141:$AW$141), 0), IF($B43='Project List References'!$B$8, _xlfn.IFNA(_xlfn.XLOOKUP(J$2-$C43,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K43" s="743" t="e">
        <f>IF($B43='Project List References'!$B$3, _xlfn.IFNA(_xlfn.XLOOKUP(K$2-$C43, 'GEN-CCGT'!$D$7:$AW$7, 'GEN-CCGT'!$D$124:$AW$124), 0), IF($B43='Project List References'!$B$4, _xlfn.IFNA(_xlfn.XLOOKUP(K$2-$C43, 'GEN-SOLAR'!$D$7:$AW$7, 'GEN-SOLAR'!$D$122:$AW$122), 0), IF($B43='Project List References'!$B$5, _xlfn.IFNA(_xlfn.XLOOKUP(K$2-$C43, 'GEN-BESS'!$D$7:$AW$7, 'GEN-BESS'!$D$125:$AW$125), 0), IF($B43='Project List References'!$B$6, _xlfn.IFNA(_xlfn.XLOOKUP(K$2-$C43, 'GEN-CARBON'!$D$7:$AW$7, 'GEN-CARBON'!$D$124:$AW$124), 0), IF($B43='Project List References'!$B$7, _xlfn.IFNA(_xlfn.XLOOKUP(K$2-$C43, 'SENS Coal'!$D$7:$AW$7, 'SENS Coal'!$D$141:$AW$141), 0), IF($B43='Project List References'!$B$8, _xlfn.IFNA(_xlfn.XLOOKUP(K$2-$C43,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L43" s="743" t="e">
        <f>IF($B43='Project List References'!$B$3, _xlfn.IFNA(_xlfn.XLOOKUP(L$2-$C43, 'GEN-CCGT'!$D$7:$AW$7, 'GEN-CCGT'!$D$124:$AW$124), 0), IF($B43='Project List References'!$B$4, _xlfn.IFNA(_xlfn.XLOOKUP(L$2-$C43, 'GEN-SOLAR'!$D$7:$AW$7, 'GEN-SOLAR'!$D$122:$AW$122), 0), IF($B43='Project List References'!$B$5, _xlfn.IFNA(_xlfn.XLOOKUP(L$2-$C43, 'GEN-BESS'!$D$7:$AW$7, 'GEN-BESS'!$D$125:$AW$125), 0), IF($B43='Project List References'!$B$6, _xlfn.IFNA(_xlfn.XLOOKUP(L$2-$C43, 'GEN-CARBON'!$D$7:$AW$7, 'GEN-CARBON'!$D$124:$AW$124), 0), IF($B43='Project List References'!$B$7, _xlfn.IFNA(_xlfn.XLOOKUP(L$2-$C43, 'SENS Coal'!$D$7:$AW$7, 'SENS Coal'!$D$141:$AW$141), 0), IF($B43='Project List References'!$B$8, _xlfn.IFNA(_xlfn.XLOOKUP(L$2-$C43,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M43" s="743" t="e">
        <f>IF($B43='Project List References'!$B$3, _xlfn.IFNA(_xlfn.XLOOKUP(M$2-$C43, 'GEN-CCGT'!$D$7:$AW$7, 'GEN-CCGT'!$D$124:$AW$124), 0), IF($B43='Project List References'!$B$4, _xlfn.IFNA(_xlfn.XLOOKUP(M$2-$C43, 'GEN-SOLAR'!$D$7:$AW$7, 'GEN-SOLAR'!$D$122:$AW$122), 0), IF($B43='Project List References'!$B$5, _xlfn.IFNA(_xlfn.XLOOKUP(M$2-$C43, 'GEN-BESS'!$D$7:$AW$7, 'GEN-BESS'!$D$125:$AW$125), 0), IF($B43='Project List References'!$B$6, _xlfn.IFNA(_xlfn.XLOOKUP(M$2-$C43, 'GEN-CARBON'!$D$7:$AW$7, 'GEN-CARBON'!$D$124:$AW$124), 0), IF($B43='Project List References'!$B$7, _xlfn.IFNA(_xlfn.XLOOKUP(M$2-$C43, 'SENS Coal'!$D$7:$AW$7, 'SENS Coal'!$D$141:$AW$141), 0), IF($B43='Project List References'!$B$8, _xlfn.IFNA(_xlfn.XLOOKUP(M$2-$C43,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N43" s="743" t="e">
        <f>IF($B43='Project List References'!$B$3, _xlfn.IFNA(_xlfn.XLOOKUP(N$2-$C43, 'GEN-CCGT'!$D$7:$AW$7, 'GEN-CCGT'!$D$124:$AW$124), 0), IF($B43='Project List References'!$B$4, _xlfn.IFNA(_xlfn.XLOOKUP(N$2-$C43, 'GEN-SOLAR'!$D$7:$AW$7, 'GEN-SOLAR'!$D$122:$AW$122), 0), IF($B43='Project List References'!$B$5, _xlfn.IFNA(_xlfn.XLOOKUP(N$2-$C43, 'GEN-BESS'!$D$7:$AW$7, 'GEN-BESS'!$D$125:$AW$125), 0), IF($B43='Project List References'!$B$6, _xlfn.IFNA(_xlfn.XLOOKUP(N$2-$C43, 'GEN-CARBON'!$D$7:$AW$7, 'GEN-CARBON'!$D$124:$AW$124), 0), IF($B43='Project List References'!$B$7, _xlfn.IFNA(_xlfn.XLOOKUP(N$2-$C43, 'SENS Coal'!$D$7:$AW$7, 'SENS Coal'!$D$141:$AW$141), 0), IF($B43='Project List References'!$B$8, _xlfn.IFNA(_xlfn.XLOOKUP(N$2-$C43,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O43" s="743" t="e">
        <f>IF($B43='Project List References'!$B$3, _xlfn.IFNA(_xlfn.XLOOKUP(O$2-$C43, 'GEN-CCGT'!$D$7:$AW$7, 'GEN-CCGT'!$D$124:$AW$124), 0), IF($B43='Project List References'!$B$4, _xlfn.IFNA(_xlfn.XLOOKUP(O$2-$C43, 'GEN-SOLAR'!$D$7:$AW$7, 'GEN-SOLAR'!$D$122:$AW$122), 0), IF($B43='Project List References'!$B$5, _xlfn.IFNA(_xlfn.XLOOKUP(O$2-$C43, 'GEN-BESS'!$D$7:$AW$7, 'GEN-BESS'!$D$125:$AW$125), 0), IF($B43='Project List References'!$B$6, _xlfn.IFNA(_xlfn.XLOOKUP(O$2-$C43, 'GEN-CARBON'!$D$7:$AW$7, 'GEN-CARBON'!$D$124:$AW$124), 0), IF($B43='Project List References'!$B$7, _xlfn.IFNA(_xlfn.XLOOKUP(O$2-$C43, 'SENS Coal'!$D$7:$AW$7, 'SENS Coal'!$D$141:$AW$141), 0), IF($B43='Project List References'!$B$8, _xlfn.IFNA(_xlfn.XLOOKUP(O$2-$C43,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P43" s="743" t="e">
        <f>IF($B43='Project List References'!$B$3, _xlfn.IFNA(_xlfn.XLOOKUP(P$2-$C43, 'GEN-CCGT'!$D$7:$AW$7, 'GEN-CCGT'!$D$124:$AW$124), 0), IF($B43='Project List References'!$B$4, _xlfn.IFNA(_xlfn.XLOOKUP(P$2-$C43, 'GEN-SOLAR'!$D$7:$AW$7, 'GEN-SOLAR'!$D$122:$AW$122), 0), IF($B43='Project List References'!$B$5, _xlfn.IFNA(_xlfn.XLOOKUP(P$2-$C43, 'GEN-BESS'!$D$7:$AW$7, 'GEN-BESS'!$D$125:$AW$125), 0), IF($B43='Project List References'!$B$6, _xlfn.IFNA(_xlfn.XLOOKUP(P$2-$C43, 'GEN-CARBON'!$D$7:$AW$7, 'GEN-CARBON'!$D$124:$AW$124), 0), IF($B43='Project List References'!$B$7, _xlfn.IFNA(_xlfn.XLOOKUP(P$2-$C43, 'SENS Coal'!$D$7:$AW$7, 'SENS Coal'!$D$141:$AW$141), 0), IF($B43='Project List References'!$B$8, _xlfn.IFNA(_xlfn.XLOOKUP(P$2-$C43,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Q43" s="743" t="e">
        <f>IF($B43='Project List References'!$B$3, _xlfn.IFNA(_xlfn.XLOOKUP(Q$2-$C43, 'GEN-CCGT'!$D$7:$AW$7, 'GEN-CCGT'!$D$124:$AW$124), 0), IF($B43='Project List References'!$B$4, _xlfn.IFNA(_xlfn.XLOOKUP(Q$2-$C43, 'GEN-SOLAR'!$D$7:$AW$7, 'GEN-SOLAR'!$D$122:$AW$122), 0), IF($B43='Project List References'!$B$5, _xlfn.IFNA(_xlfn.XLOOKUP(Q$2-$C43, 'GEN-BESS'!$D$7:$AW$7, 'GEN-BESS'!$D$125:$AW$125), 0), IF($B43='Project List References'!$B$6, _xlfn.IFNA(_xlfn.XLOOKUP(Q$2-$C43, 'GEN-CARBON'!$D$7:$AW$7, 'GEN-CARBON'!$D$124:$AW$124), 0), IF($B43='Project List References'!$B$7, _xlfn.IFNA(_xlfn.XLOOKUP(Q$2-$C43, 'SENS Coal'!$D$7:$AW$7, 'SENS Coal'!$D$141:$AW$141), 0), IF($B43='Project List References'!$B$8, _xlfn.IFNA(_xlfn.XLOOKUP(Q$2-$C43,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R43" s="743" t="e">
        <f>IF($B43='Project List References'!$B$3, _xlfn.IFNA(_xlfn.XLOOKUP(R$2-$C43, 'GEN-CCGT'!$D$7:$AW$7, 'GEN-CCGT'!$D$124:$AW$124), 0), IF($B43='Project List References'!$B$4, _xlfn.IFNA(_xlfn.XLOOKUP(R$2-$C43, 'GEN-SOLAR'!$D$7:$AW$7, 'GEN-SOLAR'!$D$122:$AW$122), 0), IF($B43='Project List References'!$B$5, _xlfn.IFNA(_xlfn.XLOOKUP(R$2-$C43, 'GEN-BESS'!$D$7:$AW$7, 'GEN-BESS'!$D$125:$AW$125), 0), IF($B43='Project List References'!$B$6, _xlfn.IFNA(_xlfn.XLOOKUP(R$2-$C43, 'GEN-CARBON'!$D$7:$AW$7, 'GEN-CARBON'!$D$124:$AW$124), 0), IF($B43='Project List References'!$B$7, _xlfn.IFNA(_xlfn.XLOOKUP(R$2-$C43, 'SENS Coal'!$D$7:$AW$7, 'SENS Coal'!$D$141:$AW$141), 0), IF($B43='Project List References'!$B$8, _xlfn.IFNA(_xlfn.XLOOKUP(R$2-$C43,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S43" s="743" t="e">
        <f>IF($B43='Project List References'!$B$3, _xlfn.IFNA(_xlfn.XLOOKUP(S$2-$C43, 'GEN-CCGT'!$D$7:$AW$7, 'GEN-CCGT'!$D$124:$AW$124), 0), IF($B43='Project List References'!$B$4, _xlfn.IFNA(_xlfn.XLOOKUP(S$2-$C43, 'GEN-SOLAR'!$D$7:$AW$7, 'GEN-SOLAR'!$D$122:$AW$122), 0), IF($B43='Project List References'!$B$5, _xlfn.IFNA(_xlfn.XLOOKUP(S$2-$C43, 'GEN-BESS'!$D$7:$AW$7, 'GEN-BESS'!$D$125:$AW$125), 0), IF($B43='Project List References'!$B$6, _xlfn.IFNA(_xlfn.XLOOKUP(S$2-$C43, 'GEN-CARBON'!$D$7:$AW$7, 'GEN-CARBON'!$D$124:$AW$124), 0), IF($B43='Project List References'!$B$7, _xlfn.IFNA(_xlfn.XLOOKUP(S$2-$C43, 'SENS Coal'!$D$7:$AW$7, 'SENS Coal'!$D$141:$AW$141), 0), IF($B43='Project List References'!$B$8, _xlfn.IFNA(_xlfn.XLOOKUP(S$2-$C43,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T43" s="743" t="e">
        <f>IF($B43='Project List References'!$B$3, _xlfn.IFNA(_xlfn.XLOOKUP(T$2-$C43, 'GEN-CCGT'!$D$7:$AW$7, 'GEN-CCGT'!$D$124:$AW$124), 0), IF($B43='Project List References'!$B$4, _xlfn.IFNA(_xlfn.XLOOKUP(T$2-$C43, 'GEN-SOLAR'!$D$7:$AW$7, 'GEN-SOLAR'!$D$122:$AW$122), 0), IF($B43='Project List References'!$B$5, _xlfn.IFNA(_xlfn.XLOOKUP(T$2-$C43, 'GEN-BESS'!$D$7:$AW$7, 'GEN-BESS'!$D$125:$AW$125), 0), IF($B43='Project List References'!$B$6, _xlfn.IFNA(_xlfn.XLOOKUP(T$2-$C43, 'GEN-CARBON'!$D$7:$AW$7, 'GEN-CARBON'!$D$124:$AW$124), 0), IF($B43='Project List References'!$B$7, _xlfn.IFNA(_xlfn.XLOOKUP(T$2-$C43, 'SENS Coal'!$D$7:$AW$7, 'SENS Coal'!$D$141:$AW$141), 0), IF($B43='Project List References'!$B$8, _xlfn.IFNA(_xlfn.XLOOKUP(T$2-$C43, 'SENS Tires'!$D$7:$AW$7, 'SENS Tires'!$D$139:$AW$139),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</row>
    <row r="44" spans="1:20">
      <c r="A44" s="655" t="str">
        <f>IF(ISBLANK('Project Master Sheet'!A44)=FALSE, 'Project Master Sheet'!A44, "")</f>
        <v/>
      </c>
      <c r="B44" s="655" t="str">
        <f>_xlfn.IFNA(_xlfn.XLOOKUP(A44, 'Project Master Sheet'!A:A, 'Project Master Sheet'!D:D), "")</f>
        <v/>
      </c>
      <c r="C44" s="655" t="e">
        <f>_xlfn.XLOOKUP(A44, 'Project Master Sheet'!A:A, 'Project Master Sheet'!I:I)</f>
        <v>#N/A</v>
      </c>
      <c r="E44" s="743" t="e">
        <f>IF($B44='Project List References'!$B$3, _xlfn.IFNA(_xlfn.XLOOKUP(E$2-$C44, 'GEN-CCGT'!$D$7:$AW$7, 'GEN-CCGT'!$D$124:$AW$124), 0), IF($B44='Project List References'!$B$4, _xlfn.IFNA(_xlfn.XLOOKUP(E$2-$C44, 'GEN-SOLAR'!$D$7:$AW$7, 'GEN-SOLAR'!$D$122:$AW$122), 0), IF($B44='Project List References'!$B$5, _xlfn.IFNA(_xlfn.XLOOKUP(E$2-$C44, 'GEN-BESS'!$D$7:$AW$7, 'GEN-BESS'!$D$125:$AW$125), 0), IF($B44='Project List References'!$B$6, _xlfn.IFNA(_xlfn.XLOOKUP(E$2-$C44, 'GEN-CARBON'!$D$7:$AW$7, 'GEN-CARBON'!$D$124:$AW$124), 0), IF($B44='Project List References'!$B$7, _xlfn.IFNA(_xlfn.XLOOKUP(E$2-$C44, 'SENS Coal'!$D$7:$AW$7, 'SENS Coal'!$D$141:$AW$141), 0), IF($B44='Project List References'!$B$8, _xlfn.IFNA(_xlfn.XLOOKUP(E$2-$C44,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F44" s="743" t="e">
        <f>IF($B44='Project List References'!$B$3, _xlfn.IFNA(_xlfn.XLOOKUP(F$2-$C44, 'GEN-CCGT'!$D$7:$AW$7, 'GEN-CCGT'!$D$124:$AW$124), 0), IF($B44='Project List References'!$B$4, _xlfn.IFNA(_xlfn.XLOOKUP(F$2-$C44, 'GEN-SOLAR'!$D$7:$AW$7, 'GEN-SOLAR'!$D$122:$AW$122), 0), IF($B44='Project List References'!$B$5, _xlfn.IFNA(_xlfn.XLOOKUP(F$2-$C44, 'GEN-BESS'!$D$7:$AW$7, 'GEN-BESS'!$D$125:$AW$125), 0), IF($B44='Project List References'!$B$6, _xlfn.IFNA(_xlfn.XLOOKUP(F$2-$C44, 'GEN-CARBON'!$D$7:$AW$7, 'GEN-CARBON'!$D$124:$AW$124), 0), IF($B44='Project List References'!$B$7, _xlfn.IFNA(_xlfn.XLOOKUP(F$2-$C44, 'SENS Coal'!$D$7:$AW$7, 'SENS Coal'!$D$141:$AW$141), 0), IF($B44='Project List References'!$B$8, _xlfn.IFNA(_xlfn.XLOOKUP(F$2-$C44,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G44" s="743" t="e">
        <f>IF($B44='Project List References'!$B$3, _xlfn.IFNA(_xlfn.XLOOKUP(G$2-$C44, 'GEN-CCGT'!$D$7:$AW$7, 'GEN-CCGT'!$D$124:$AW$124), 0), IF($B44='Project List References'!$B$4, _xlfn.IFNA(_xlfn.XLOOKUP(G$2-$C44, 'GEN-SOLAR'!$D$7:$AW$7, 'GEN-SOLAR'!$D$122:$AW$122), 0), IF($B44='Project List References'!$B$5, _xlfn.IFNA(_xlfn.XLOOKUP(G$2-$C44, 'GEN-BESS'!$D$7:$AW$7, 'GEN-BESS'!$D$125:$AW$125), 0), IF($B44='Project List References'!$B$6, _xlfn.IFNA(_xlfn.XLOOKUP(G$2-$C44, 'GEN-CARBON'!$D$7:$AW$7, 'GEN-CARBON'!$D$124:$AW$124), 0), IF($B44='Project List References'!$B$7, _xlfn.IFNA(_xlfn.XLOOKUP(G$2-$C44, 'SENS Coal'!$D$7:$AW$7, 'SENS Coal'!$D$141:$AW$141), 0), IF($B44='Project List References'!$B$8, _xlfn.IFNA(_xlfn.XLOOKUP(G$2-$C44,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H44" s="743" t="e">
        <f>IF($B44='Project List References'!$B$3, _xlfn.IFNA(_xlfn.XLOOKUP(H$2-$C44, 'GEN-CCGT'!$D$7:$AW$7, 'GEN-CCGT'!$D$124:$AW$124), 0), IF($B44='Project List References'!$B$4, _xlfn.IFNA(_xlfn.XLOOKUP(H$2-$C44, 'GEN-SOLAR'!$D$7:$AW$7, 'GEN-SOLAR'!$D$122:$AW$122), 0), IF($B44='Project List References'!$B$5, _xlfn.IFNA(_xlfn.XLOOKUP(H$2-$C44, 'GEN-BESS'!$D$7:$AW$7, 'GEN-BESS'!$D$125:$AW$125), 0), IF($B44='Project List References'!$B$6, _xlfn.IFNA(_xlfn.XLOOKUP(H$2-$C44, 'GEN-CARBON'!$D$7:$AW$7, 'GEN-CARBON'!$D$124:$AW$124), 0), IF($B44='Project List References'!$B$7, _xlfn.IFNA(_xlfn.XLOOKUP(H$2-$C44, 'SENS Coal'!$D$7:$AW$7, 'SENS Coal'!$D$141:$AW$141), 0), IF($B44='Project List References'!$B$8, _xlfn.IFNA(_xlfn.XLOOKUP(H$2-$C44,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I44" s="743" t="e">
        <f>IF($B44='Project List References'!$B$3, _xlfn.IFNA(_xlfn.XLOOKUP(I$2-$C44, 'GEN-CCGT'!$D$7:$AW$7, 'GEN-CCGT'!$D$124:$AW$124), 0), IF($B44='Project List References'!$B$4, _xlfn.IFNA(_xlfn.XLOOKUP(I$2-$C44, 'GEN-SOLAR'!$D$7:$AW$7, 'GEN-SOLAR'!$D$122:$AW$122), 0), IF($B44='Project List References'!$B$5, _xlfn.IFNA(_xlfn.XLOOKUP(I$2-$C44, 'GEN-BESS'!$D$7:$AW$7, 'GEN-BESS'!$D$125:$AW$125), 0), IF($B44='Project List References'!$B$6, _xlfn.IFNA(_xlfn.XLOOKUP(I$2-$C44, 'GEN-CARBON'!$D$7:$AW$7, 'GEN-CARBON'!$D$124:$AW$124), 0), IF($B44='Project List References'!$B$7, _xlfn.IFNA(_xlfn.XLOOKUP(I$2-$C44, 'SENS Coal'!$D$7:$AW$7, 'SENS Coal'!$D$141:$AW$141), 0), IF($B44='Project List References'!$B$8, _xlfn.IFNA(_xlfn.XLOOKUP(I$2-$C44,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J44" s="743" t="e">
        <f>IF($B44='Project List References'!$B$3, _xlfn.IFNA(_xlfn.XLOOKUP(J$2-$C44, 'GEN-CCGT'!$D$7:$AW$7, 'GEN-CCGT'!$D$124:$AW$124), 0), IF($B44='Project List References'!$B$4, _xlfn.IFNA(_xlfn.XLOOKUP(J$2-$C44, 'GEN-SOLAR'!$D$7:$AW$7, 'GEN-SOLAR'!$D$122:$AW$122), 0), IF($B44='Project List References'!$B$5, _xlfn.IFNA(_xlfn.XLOOKUP(J$2-$C44, 'GEN-BESS'!$D$7:$AW$7, 'GEN-BESS'!$D$125:$AW$125), 0), IF($B44='Project List References'!$B$6, _xlfn.IFNA(_xlfn.XLOOKUP(J$2-$C44, 'GEN-CARBON'!$D$7:$AW$7, 'GEN-CARBON'!$D$124:$AW$124), 0), IF($B44='Project List References'!$B$7, _xlfn.IFNA(_xlfn.XLOOKUP(J$2-$C44, 'SENS Coal'!$D$7:$AW$7, 'SENS Coal'!$D$141:$AW$141), 0), IF($B44='Project List References'!$B$8, _xlfn.IFNA(_xlfn.XLOOKUP(J$2-$C44,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K44" s="743" t="e">
        <f>IF($B44='Project List References'!$B$3, _xlfn.IFNA(_xlfn.XLOOKUP(K$2-$C44, 'GEN-CCGT'!$D$7:$AW$7, 'GEN-CCGT'!$D$124:$AW$124), 0), IF($B44='Project List References'!$B$4, _xlfn.IFNA(_xlfn.XLOOKUP(K$2-$C44, 'GEN-SOLAR'!$D$7:$AW$7, 'GEN-SOLAR'!$D$122:$AW$122), 0), IF($B44='Project List References'!$B$5, _xlfn.IFNA(_xlfn.XLOOKUP(K$2-$C44, 'GEN-BESS'!$D$7:$AW$7, 'GEN-BESS'!$D$125:$AW$125), 0), IF($B44='Project List References'!$B$6, _xlfn.IFNA(_xlfn.XLOOKUP(K$2-$C44, 'GEN-CARBON'!$D$7:$AW$7, 'GEN-CARBON'!$D$124:$AW$124), 0), IF($B44='Project List References'!$B$7, _xlfn.IFNA(_xlfn.XLOOKUP(K$2-$C44, 'SENS Coal'!$D$7:$AW$7, 'SENS Coal'!$D$141:$AW$141), 0), IF($B44='Project List References'!$B$8, _xlfn.IFNA(_xlfn.XLOOKUP(K$2-$C44,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L44" s="743" t="e">
        <f>IF($B44='Project List References'!$B$3, _xlfn.IFNA(_xlfn.XLOOKUP(L$2-$C44, 'GEN-CCGT'!$D$7:$AW$7, 'GEN-CCGT'!$D$124:$AW$124), 0), IF($B44='Project List References'!$B$4, _xlfn.IFNA(_xlfn.XLOOKUP(L$2-$C44, 'GEN-SOLAR'!$D$7:$AW$7, 'GEN-SOLAR'!$D$122:$AW$122), 0), IF($B44='Project List References'!$B$5, _xlfn.IFNA(_xlfn.XLOOKUP(L$2-$C44, 'GEN-BESS'!$D$7:$AW$7, 'GEN-BESS'!$D$125:$AW$125), 0), IF($B44='Project List References'!$B$6, _xlfn.IFNA(_xlfn.XLOOKUP(L$2-$C44, 'GEN-CARBON'!$D$7:$AW$7, 'GEN-CARBON'!$D$124:$AW$124), 0), IF($B44='Project List References'!$B$7, _xlfn.IFNA(_xlfn.XLOOKUP(L$2-$C44, 'SENS Coal'!$D$7:$AW$7, 'SENS Coal'!$D$141:$AW$141), 0), IF($B44='Project List References'!$B$8, _xlfn.IFNA(_xlfn.XLOOKUP(L$2-$C44,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M44" s="743" t="e">
        <f>IF($B44='Project List References'!$B$3, _xlfn.IFNA(_xlfn.XLOOKUP(M$2-$C44, 'GEN-CCGT'!$D$7:$AW$7, 'GEN-CCGT'!$D$124:$AW$124), 0), IF($B44='Project List References'!$B$4, _xlfn.IFNA(_xlfn.XLOOKUP(M$2-$C44, 'GEN-SOLAR'!$D$7:$AW$7, 'GEN-SOLAR'!$D$122:$AW$122), 0), IF($B44='Project List References'!$B$5, _xlfn.IFNA(_xlfn.XLOOKUP(M$2-$C44, 'GEN-BESS'!$D$7:$AW$7, 'GEN-BESS'!$D$125:$AW$125), 0), IF($B44='Project List References'!$B$6, _xlfn.IFNA(_xlfn.XLOOKUP(M$2-$C44, 'GEN-CARBON'!$D$7:$AW$7, 'GEN-CARBON'!$D$124:$AW$124), 0), IF($B44='Project List References'!$B$7, _xlfn.IFNA(_xlfn.XLOOKUP(M$2-$C44, 'SENS Coal'!$D$7:$AW$7, 'SENS Coal'!$D$141:$AW$141), 0), IF($B44='Project List References'!$B$8, _xlfn.IFNA(_xlfn.XLOOKUP(M$2-$C44,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N44" s="743" t="e">
        <f>IF($B44='Project List References'!$B$3, _xlfn.IFNA(_xlfn.XLOOKUP(N$2-$C44, 'GEN-CCGT'!$D$7:$AW$7, 'GEN-CCGT'!$D$124:$AW$124), 0), IF($B44='Project List References'!$B$4, _xlfn.IFNA(_xlfn.XLOOKUP(N$2-$C44, 'GEN-SOLAR'!$D$7:$AW$7, 'GEN-SOLAR'!$D$122:$AW$122), 0), IF($B44='Project List References'!$B$5, _xlfn.IFNA(_xlfn.XLOOKUP(N$2-$C44, 'GEN-BESS'!$D$7:$AW$7, 'GEN-BESS'!$D$125:$AW$125), 0), IF($B44='Project List References'!$B$6, _xlfn.IFNA(_xlfn.XLOOKUP(N$2-$C44, 'GEN-CARBON'!$D$7:$AW$7, 'GEN-CARBON'!$D$124:$AW$124), 0), IF($B44='Project List References'!$B$7, _xlfn.IFNA(_xlfn.XLOOKUP(N$2-$C44, 'SENS Coal'!$D$7:$AW$7, 'SENS Coal'!$D$141:$AW$141), 0), IF($B44='Project List References'!$B$8, _xlfn.IFNA(_xlfn.XLOOKUP(N$2-$C44,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O44" s="743" t="e">
        <f>IF($B44='Project List References'!$B$3, _xlfn.IFNA(_xlfn.XLOOKUP(O$2-$C44, 'GEN-CCGT'!$D$7:$AW$7, 'GEN-CCGT'!$D$124:$AW$124), 0), IF($B44='Project List References'!$B$4, _xlfn.IFNA(_xlfn.XLOOKUP(O$2-$C44, 'GEN-SOLAR'!$D$7:$AW$7, 'GEN-SOLAR'!$D$122:$AW$122), 0), IF($B44='Project List References'!$B$5, _xlfn.IFNA(_xlfn.XLOOKUP(O$2-$C44, 'GEN-BESS'!$D$7:$AW$7, 'GEN-BESS'!$D$125:$AW$125), 0), IF($B44='Project List References'!$B$6, _xlfn.IFNA(_xlfn.XLOOKUP(O$2-$C44, 'GEN-CARBON'!$D$7:$AW$7, 'GEN-CARBON'!$D$124:$AW$124), 0), IF($B44='Project List References'!$B$7, _xlfn.IFNA(_xlfn.XLOOKUP(O$2-$C44, 'SENS Coal'!$D$7:$AW$7, 'SENS Coal'!$D$141:$AW$141), 0), IF($B44='Project List References'!$B$8, _xlfn.IFNA(_xlfn.XLOOKUP(O$2-$C44,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P44" s="743" t="e">
        <f>IF($B44='Project List References'!$B$3, _xlfn.IFNA(_xlfn.XLOOKUP(P$2-$C44, 'GEN-CCGT'!$D$7:$AW$7, 'GEN-CCGT'!$D$124:$AW$124), 0), IF($B44='Project List References'!$B$4, _xlfn.IFNA(_xlfn.XLOOKUP(P$2-$C44, 'GEN-SOLAR'!$D$7:$AW$7, 'GEN-SOLAR'!$D$122:$AW$122), 0), IF($B44='Project List References'!$B$5, _xlfn.IFNA(_xlfn.XLOOKUP(P$2-$C44, 'GEN-BESS'!$D$7:$AW$7, 'GEN-BESS'!$D$125:$AW$125), 0), IF($B44='Project List References'!$B$6, _xlfn.IFNA(_xlfn.XLOOKUP(P$2-$C44, 'GEN-CARBON'!$D$7:$AW$7, 'GEN-CARBON'!$D$124:$AW$124), 0), IF($B44='Project List References'!$B$7, _xlfn.IFNA(_xlfn.XLOOKUP(P$2-$C44, 'SENS Coal'!$D$7:$AW$7, 'SENS Coal'!$D$141:$AW$141), 0), IF($B44='Project List References'!$B$8, _xlfn.IFNA(_xlfn.XLOOKUP(P$2-$C44,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Q44" s="743" t="e">
        <f>IF($B44='Project List References'!$B$3, _xlfn.IFNA(_xlfn.XLOOKUP(Q$2-$C44, 'GEN-CCGT'!$D$7:$AW$7, 'GEN-CCGT'!$D$124:$AW$124), 0), IF($B44='Project List References'!$B$4, _xlfn.IFNA(_xlfn.XLOOKUP(Q$2-$C44, 'GEN-SOLAR'!$D$7:$AW$7, 'GEN-SOLAR'!$D$122:$AW$122), 0), IF($B44='Project List References'!$B$5, _xlfn.IFNA(_xlfn.XLOOKUP(Q$2-$C44, 'GEN-BESS'!$D$7:$AW$7, 'GEN-BESS'!$D$125:$AW$125), 0), IF($B44='Project List References'!$B$6, _xlfn.IFNA(_xlfn.XLOOKUP(Q$2-$C44, 'GEN-CARBON'!$D$7:$AW$7, 'GEN-CARBON'!$D$124:$AW$124), 0), IF($B44='Project List References'!$B$7, _xlfn.IFNA(_xlfn.XLOOKUP(Q$2-$C44, 'SENS Coal'!$D$7:$AW$7, 'SENS Coal'!$D$141:$AW$141), 0), IF($B44='Project List References'!$B$8, _xlfn.IFNA(_xlfn.XLOOKUP(Q$2-$C44,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R44" s="743" t="e">
        <f>IF($B44='Project List References'!$B$3, _xlfn.IFNA(_xlfn.XLOOKUP(R$2-$C44, 'GEN-CCGT'!$D$7:$AW$7, 'GEN-CCGT'!$D$124:$AW$124), 0), IF($B44='Project List References'!$B$4, _xlfn.IFNA(_xlfn.XLOOKUP(R$2-$C44, 'GEN-SOLAR'!$D$7:$AW$7, 'GEN-SOLAR'!$D$122:$AW$122), 0), IF($B44='Project List References'!$B$5, _xlfn.IFNA(_xlfn.XLOOKUP(R$2-$C44, 'GEN-BESS'!$D$7:$AW$7, 'GEN-BESS'!$D$125:$AW$125), 0), IF($B44='Project List References'!$B$6, _xlfn.IFNA(_xlfn.XLOOKUP(R$2-$C44, 'GEN-CARBON'!$D$7:$AW$7, 'GEN-CARBON'!$D$124:$AW$124), 0), IF($B44='Project List References'!$B$7, _xlfn.IFNA(_xlfn.XLOOKUP(R$2-$C44, 'SENS Coal'!$D$7:$AW$7, 'SENS Coal'!$D$141:$AW$141), 0), IF($B44='Project List References'!$B$8, _xlfn.IFNA(_xlfn.XLOOKUP(R$2-$C44,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S44" s="743" t="e">
        <f>IF($B44='Project List References'!$B$3, _xlfn.IFNA(_xlfn.XLOOKUP(S$2-$C44, 'GEN-CCGT'!$D$7:$AW$7, 'GEN-CCGT'!$D$124:$AW$124), 0), IF($B44='Project List References'!$B$4, _xlfn.IFNA(_xlfn.XLOOKUP(S$2-$C44, 'GEN-SOLAR'!$D$7:$AW$7, 'GEN-SOLAR'!$D$122:$AW$122), 0), IF($B44='Project List References'!$B$5, _xlfn.IFNA(_xlfn.XLOOKUP(S$2-$C44, 'GEN-BESS'!$D$7:$AW$7, 'GEN-BESS'!$D$125:$AW$125), 0), IF($B44='Project List References'!$B$6, _xlfn.IFNA(_xlfn.XLOOKUP(S$2-$C44, 'GEN-CARBON'!$D$7:$AW$7, 'GEN-CARBON'!$D$124:$AW$124), 0), IF($B44='Project List References'!$B$7, _xlfn.IFNA(_xlfn.XLOOKUP(S$2-$C44, 'SENS Coal'!$D$7:$AW$7, 'SENS Coal'!$D$141:$AW$141), 0), IF($B44='Project List References'!$B$8, _xlfn.IFNA(_xlfn.XLOOKUP(S$2-$C44,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T44" s="743" t="e">
        <f>IF($B44='Project List References'!$B$3, _xlfn.IFNA(_xlfn.XLOOKUP(T$2-$C44, 'GEN-CCGT'!$D$7:$AW$7, 'GEN-CCGT'!$D$124:$AW$124), 0), IF($B44='Project List References'!$B$4, _xlfn.IFNA(_xlfn.XLOOKUP(T$2-$C44, 'GEN-SOLAR'!$D$7:$AW$7, 'GEN-SOLAR'!$D$122:$AW$122), 0), IF($B44='Project List References'!$B$5, _xlfn.IFNA(_xlfn.XLOOKUP(T$2-$C44, 'GEN-BESS'!$D$7:$AW$7, 'GEN-BESS'!$D$125:$AW$125), 0), IF($B44='Project List References'!$B$6, _xlfn.IFNA(_xlfn.XLOOKUP(T$2-$C44, 'GEN-CARBON'!$D$7:$AW$7, 'GEN-CARBON'!$D$124:$AW$124), 0), IF($B44='Project List References'!$B$7, _xlfn.IFNA(_xlfn.XLOOKUP(T$2-$C44, 'SENS Coal'!$D$7:$AW$7, 'SENS Coal'!$D$141:$AW$141), 0), IF($B44='Project List References'!$B$8, _xlfn.IFNA(_xlfn.XLOOKUP(T$2-$C44, 'SENS Tires'!$D$7:$AW$7, 'SENS Tires'!$D$139:$AW$139),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</row>
    <row r="45" spans="1:20">
      <c r="A45" s="655" t="str">
        <f>IF(ISBLANK('Project Master Sheet'!A45)=FALSE, 'Project Master Sheet'!A45, "")</f>
        <v/>
      </c>
      <c r="B45" s="655" t="str">
        <f>_xlfn.IFNA(_xlfn.XLOOKUP(A45, 'Project Master Sheet'!A:A, 'Project Master Sheet'!D:D), "")</f>
        <v/>
      </c>
      <c r="C45" s="655" t="e">
        <f>_xlfn.XLOOKUP(A45, 'Project Master Sheet'!A:A, 'Project Master Sheet'!I:I)</f>
        <v>#N/A</v>
      </c>
      <c r="E45" s="743" t="e">
        <f>IF($B45='Project List References'!$B$3, _xlfn.IFNA(_xlfn.XLOOKUP(E$2-$C45, 'GEN-CCGT'!$D$7:$AW$7, 'GEN-CCGT'!$D$124:$AW$124), 0), IF($B45='Project List References'!$B$4, _xlfn.IFNA(_xlfn.XLOOKUP(E$2-$C45, 'GEN-SOLAR'!$D$7:$AW$7, 'GEN-SOLAR'!$D$122:$AW$122), 0), IF($B45='Project List References'!$B$5, _xlfn.IFNA(_xlfn.XLOOKUP(E$2-$C45, 'GEN-BESS'!$D$7:$AW$7, 'GEN-BESS'!$D$125:$AW$125), 0), IF($B45='Project List References'!$B$6, _xlfn.IFNA(_xlfn.XLOOKUP(E$2-$C45, 'GEN-CARBON'!$D$7:$AW$7, 'GEN-CARBON'!$D$124:$AW$124), 0), IF($B45='Project List References'!$B$7, _xlfn.IFNA(_xlfn.XLOOKUP(E$2-$C45, 'SENS Coal'!$D$7:$AW$7, 'SENS Coal'!$D$141:$AW$141), 0), IF($B45='Project List References'!$B$8, _xlfn.IFNA(_xlfn.XLOOKUP(E$2-$C45,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F45" s="743" t="e">
        <f>IF($B45='Project List References'!$B$3, _xlfn.IFNA(_xlfn.XLOOKUP(F$2-$C45, 'GEN-CCGT'!$D$7:$AW$7, 'GEN-CCGT'!$D$124:$AW$124), 0), IF($B45='Project List References'!$B$4, _xlfn.IFNA(_xlfn.XLOOKUP(F$2-$C45, 'GEN-SOLAR'!$D$7:$AW$7, 'GEN-SOLAR'!$D$122:$AW$122), 0), IF($B45='Project List References'!$B$5, _xlfn.IFNA(_xlfn.XLOOKUP(F$2-$C45, 'GEN-BESS'!$D$7:$AW$7, 'GEN-BESS'!$D$125:$AW$125), 0), IF($B45='Project List References'!$B$6, _xlfn.IFNA(_xlfn.XLOOKUP(F$2-$C45, 'GEN-CARBON'!$D$7:$AW$7, 'GEN-CARBON'!$D$124:$AW$124), 0), IF($B45='Project List References'!$B$7, _xlfn.IFNA(_xlfn.XLOOKUP(F$2-$C45, 'SENS Coal'!$D$7:$AW$7, 'SENS Coal'!$D$141:$AW$141), 0), IF($B45='Project List References'!$B$8, _xlfn.IFNA(_xlfn.XLOOKUP(F$2-$C45,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G45" s="743" t="e">
        <f>IF($B45='Project List References'!$B$3, _xlfn.IFNA(_xlfn.XLOOKUP(G$2-$C45, 'GEN-CCGT'!$D$7:$AW$7, 'GEN-CCGT'!$D$124:$AW$124), 0), IF($B45='Project List References'!$B$4, _xlfn.IFNA(_xlfn.XLOOKUP(G$2-$C45, 'GEN-SOLAR'!$D$7:$AW$7, 'GEN-SOLAR'!$D$122:$AW$122), 0), IF($B45='Project List References'!$B$5, _xlfn.IFNA(_xlfn.XLOOKUP(G$2-$C45, 'GEN-BESS'!$D$7:$AW$7, 'GEN-BESS'!$D$125:$AW$125), 0), IF($B45='Project List References'!$B$6, _xlfn.IFNA(_xlfn.XLOOKUP(G$2-$C45, 'GEN-CARBON'!$D$7:$AW$7, 'GEN-CARBON'!$D$124:$AW$124), 0), IF($B45='Project List References'!$B$7, _xlfn.IFNA(_xlfn.XLOOKUP(G$2-$C45, 'SENS Coal'!$D$7:$AW$7, 'SENS Coal'!$D$141:$AW$141), 0), IF($B45='Project List References'!$B$8, _xlfn.IFNA(_xlfn.XLOOKUP(G$2-$C45,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H45" s="743" t="e">
        <f>IF($B45='Project List References'!$B$3, _xlfn.IFNA(_xlfn.XLOOKUP(H$2-$C45, 'GEN-CCGT'!$D$7:$AW$7, 'GEN-CCGT'!$D$124:$AW$124), 0), IF($B45='Project List References'!$B$4, _xlfn.IFNA(_xlfn.XLOOKUP(H$2-$C45, 'GEN-SOLAR'!$D$7:$AW$7, 'GEN-SOLAR'!$D$122:$AW$122), 0), IF($B45='Project List References'!$B$5, _xlfn.IFNA(_xlfn.XLOOKUP(H$2-$C45, 'GEN-BESS'!$D$7:$AW$7, 'GEN-BESS'!$D$125:$AW$125), 0), IF($B45='Project List References'!$B$6, _xlfn.IFNA(_xlfn.XLOOKUP(H$2-$C45, 'GEN-CARBON'!$D$7:$AW$7, 'GEN-CARBON'!$D$124:$AW$124), 0), IF($B45='Project List References'!$B$7, _xlfn.IFNA(_xlfn.XLOOKUP(H$2-$C45, 'SENS Coal'!$D$7:$AW$7, 'SENS Coal'!$D$141:$AW$141), 0), IF($B45='Project List References'!$B$8, _xlfn.IFNA(_xlfn.XLOOKUP(H$2-$C45,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I45" s="743" t="e">
        <f>IF($B45='Project List References'!$B$3, _xlfn.IFNA(_xlfn.XLOOKUP(I$2-$C45, 'GEN-CCGT'!$D$7:$AW$7, 'GEN-CCGT'!$D$124:$AW$124), 0), IF($B45='Project List References'!$B$4, _xlfn.IFNA(_xlfn.XLOOKUP(I$2-$C45, 'GEN-SOLAR'!$D$7:$AW$7, 'GEN-SOLAR'!$D$122:$AW$122), 0), IF($B45='Project List References'!$B$5, _xlfn.IFNA(_xlfn.XLOOKUP(I$2-$C45, 'GEN-BESS'!$D$7:$AW$7, 'GEN-BESS'!$D$125:$AW$125), 0), IF($B45='Project List References'!$B$6, _xlfn.IFNA(_xlfn.XLOOKUP(I$2-$C45, 'GEN-CARBON'!$D$7:$AW$7, 'GEN-CARBON'!$D$124:$AW$124), 0), IF($B45='Project List References'!$B$7, _xlfn.IFNA(_xlfn.XLOOKUP(I$2-$C45, 'SENS Coal'!$D$7:$AW$7, 'SENS Coal'!$D$141:$AW$141), 0), IF($B45='Project List References'!$B$8, _xlfn.IFNA(_xlfn.XLOOKUP(I$2-$C45,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J45" s="743" t="e">
        <f>IF($B45='Project List References'!$B$3, _xlfn.IFNA(_xlfn.XLOOKUP(J$2-$C45, 'GEN-CCGT'!$D$7:$AW$7, 'GEN-CCGT'!$D$124:$AW$124), 0), IF($B45='Project List References'!$B$4, _xlfn.IFNA(_xlfn.XLOOKUP(J$2-$C45, 'GEN-SOLAR'!$D$7:$AW$7, 'GEN-SOLAR'!$D$122:$AW$122), 0), IF($B45='Project List References'!$B$5, _xlfn.IFNA(_xlfn.XLOOKUP(J$2-$C45, 'GEN-BESS'!$D$7:$AW$7, 'GEN-BESS'!$D$125:$AW$125), 0), IF($B45='Project List References'!$B$6, _xlfn.IFNA(_xlfn.XLOOKUP(J$2-$C45, 'GEN-CARBON'!$D$7:$AW$7, 'GEN-CARBON'!$D$124:$AW$124), 0), IF($B45='Project List References'!$B$7, _xlfn.IFNA(_xlfn.XLOOKUP(J$2-$C45, 'SENS Coal'!$D$7:$AW$7, 'SENS Coal'!$D$141:$AW$141), 0), IF($B45='Project List References'!$B$8, _xlfn.IFNA(_xlfn.XLOOKUP(J$2-$C45,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K45" s="743" t="e">
        <f>IF($B45='Project List References'!$B$3, _xlfn.IFNA(_xlfn.XLOOKUP(K$2-$C45, 'GEN-CCGT'!$D$7:$AW$7, 'GEN-CCGT'!$D$124:$AW$124), 0), IF($B45='Project List References'!$B$4, _xlfn.IFNA(_xlfn.XLOOKUP(K$2-$C45, 'GEN-SOLAR'!$D$7:$AW$7, 'GEN-SOLAR'!$D$122:$AW$122), 0), IF($B45='Project List References'!$B$5, _xlfn.IFNA(_xlfn.XLOOKUP(K$2-$C45, 'GEN-BESS'!$D$7:$AW$7, 'GEN-BESS'!$D$125:$AW$125), 0), IF($B45='Project List References'!$B$6, _xlfn.IFNA(_xlfn.XLOOKUP(K$2-$C45, 'GEN-CARBON'!$D$7:$AW$7, 'GEN-CARBON'!$D$124:$AW$124), 0), IF($B45='Project List References'!$B$7, _xlfn.IFNA(_xlfn.XLOOKUP(K$2-$C45, 'SENS Coal'!$D$7:$AW$7, 'SENS Coal'!$D$141:$AW$141), 0), IF($B45='Project List References'!$B$8, _xlfn.IFNA(_xlfn.XLOOKUP(K$2-$C45,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L45" s="743" t="e">
        <f>IF($B45='Project List References'!$B$3, _xlfn.IFNA(_xlfn.XLOOKUP(L$2-$C45, 'GEN-CCGT'!$D$7:$AW$7, 'GEN-CCGT'!$D$124:$AW$124), 0), IF($B45='Project List References'!$B$4, _xlfn.IFNA(_xlfn.XLOOKUP(L$2-$C45, 'GEN-SOLAR'!$D$7:$AW$7, 'GEN-SOLAR'!$D$122:$AW$122), 0), IF($B45='Project List References'!$B$5, _xlfn.IFNA(_xlfn.XLOOKUP(L$2-$C45, 'GEN-BESS'!$D$7:$AW$7, 'GEN-BESS'!$D$125:$AW$125), 0), IF($B45='Project List References'!$B$6, _xlfn.IFNA(_xlfn.XLOOKUP(L$2-$C45, 'GEN-CARBON'!$D$7:$AW$7, 'GEN-CARBON'!$D$124:$AW$124), 0), IF($B45='Project List References'!$B$7, _xlfn.IFNA(_xlfn.XLOOKUP(L$2-$C45, 'SENS Coal'!$D$7:$AW$7, 'SENS Coal'!$D$141:$AW$141), 0), IF($B45='Project List References'!$B$8, _xlfn.IFNA(_xlfn.XLOOKUP(L$2-$C45,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M45" s="743" t="e">
        <f>IF($B45='Project List References'!$B$3, _xlfn.IFNA(_xlfn.XLOOKUP(M$2-$C45, 'GEN-CCGT'!$D$7:$AW$7, 'GEN-CCGT'!$D$124:$AW$124), 0), IF($B45='Project List References'!$B$4, _xlfn.IFNA(_xlfn.XLOOKUP(M$2-$C45, 'GEN-SOLAR'!$D$7:$AW$7, 'GEN-SOLAR'!$D$122:$AW$122), 0), IF($B45='Project List References'!$B$5, _xlfn.IFNA(_xlfn.XLOOKUP(M$2-$C45, 'GEN-BESS'!$D$7:$AW$7, 'GEN-BESS'!$D$125:$AW$125), 0), IF($B45='Project List References'!$B$6, _xlfn.IFNA(_xlfn.XLOOKUP(M$2-$C45, 'GEN-CARBON'!$D$7:$AW$7, 'GEN-CARBON'!$D$124:$AW$124), 0), IF($B45='Project List References'!$B$7, _xlfn.IFNA(_xlfn.XLOOKUP(M$2-$C45, 'SENS Coal'!$D$7:$AW$7, 'SENS Coal'!$D$141:$AW$141), 0), IF($B45='Project List References'!$B$8, _xlfn.IFNA(_xlfn.XLOOKUP(M$2-$C45,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N45" s="743" t="e">
        <f>IF($B45='Project List References'!$B$3, _xlfn.IFNA(_xlfn.XLOOKUP(N$2-$C45, 'GEN-CCGT'!$D$7:$AW$7, 'GEN-CCGT'!$D$124:$AW$124), 0), IF($B45='Project List References'!$B$4, _xlfn.IFNA(_xlfn.XLOOKUP(N$2-$C45, 'GEN-SOLAR'!$D$7:$AW$7, 'GEN-SOLAR'!$D$122:$AW$122), 0), IF($B45='Project List References'!$B$5, _xlfn.IFNA(_xlfn.XLOOKUP(N$2-$C45, 'GEN-BESS'!$D$7:$AW$7, 'GEN-BESS'!$D$125:$AW$125), 0), IF($B45='Project List References'!$B$6, _xlfn.IFNA(_xlfn.XLOOKUP(N$2-$C45, 'GEN-CARBON'!$D$7:$AW$7, 'GEN-CARBON'!$D$124:$AW$124), 0), IF($B45='Project List References'!$B$7, _xlfn.IFNA(_xlfn.XLOOKUP(N$2-$C45, 'SENS Coal'!$D$7:$AW$7, 'SENS Coal'!$D$141:$AW$141), 0), IF($B45='Project List References'!$B$8, _xlfn.IFNA(_xlfn.XLOOKUP(N$2-$C45,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O45" s="743" t="e">
        <f>IF($B45='Project List References'!$B$3, _xlfn.IFNA(_xlfn.XLOOKUP(O$2-$C45, 'GEN-CCGT'!$D$7:$AW$7, 'GEN-CCGT'!$D$124:$AW$124), 0), IF($B45='Project List References'!$B$4, _xlfn.IFNA(_xlfn.XLOOKUP(O$2-$C45, 'GEN-SOLAR'!$D$7:$AW$7, 'GEN-SOLAR'!$D$122:$AW$122), 0), IF($B45='Project List References'!$B$5, _xlfn.IFNA(_xlfn.XLOOKUP(O$2-$C45, 'GEN-BESS'!$D$7:$AW$7, 'GEN-BESS'!$D$125:$AW$125), 0), IF($B45='Project List References'!$B$6, _xlfn.IFNA(_xlfn.XLOOKUP(O$2-$C45, 'GEN-CARBON'!$D$7:$AW$7, 'GEN-CARBON'!$D$124:$AW$124), 0), IF($B45='Project List References'!$B$7, _xlfn.IFNA(_xlfn.XLOOKUP(O$2-$C45, 'SENS Coal'!$D$7:$AW$7, 'SENS Coal'!$D$141:$AW$141), 0), IF($B45='Project List References'!$B$8, _xlfn.IFNA(_xlfn.XLOOKUP(O$2-$C45,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P45" s="743" t="e">
        <f>IF($B45='Project List References'!$B$3, _xlfn.IFNA(_xlfn.XLOOKUP(P$2-$C45, 'GEN-CCGT'!$D$7:$AW$7, 'GEN-CCGT'!$D$124:$AW$124), 0), IF($B45='Project List References'!$B$4, _xlfn.IFNA(_xlfn.XLOOKUP(P$2-$C45, 'GEN-SOLAR'!$D$7:$AW$7, 'GEN-SOLAR'!$D$122:$AW$122), 0), IF($B45='Project List References'!$B$5, _xlfn.IFNA(_xlfn.XLOOKUP(P$2-$C45, 'GEN-BESS'!$D$7:$AW$7, 'GEN-BESS'!$D$125:$AW$125), 0), IF($B45='Project List References'!$B$6, _xlfn.IFNA(_xlfn.XLOOKUP(P$2-$C45, 'GEN-CARBON'!$D$7:$AW$7, 'GEN-CARBON'!$D$124:$AW$124), 0), IF($B45='Project List References'!$B$7, _xlfn.IFNA(_xlfn.XLOOKUP(P$2-$C45, 'SENS Coal'!$D$7:$AW$7, 'SENS Coal'!$D$141:$AW$141), 0), IF($B45='Project List References'!$B$8, _xlfn.IFNA(_xlfn.XLOOKUP(P$2-$C45,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Q45" s="743" t="e">
        <f>IF($B45='Project List References'!$B$3, _xlfn.IFNA(_xlfn.XLOOKUP(Q$2-$C45, 'GEN-CCGT'!$D$7:$AW$7, 'GEN-CCGT'!$D$124:$AW$124), 0), IF($B45='Project List References'!$B$4, _xlfn.IFNA(_xlfn.XLOOKUP(Q$2-$C45, 'GEN-SOLAR'!$D$7:$AW$7, 'GEN-SOLAR'!$D$122:$AW$122), 0), IF($B45='Project List References'!$B$5, _xlfn.IFNA(_xlfn.XLOOKUP(Q$2-$C45, 'GEN-BESS'!$D$7:$AW$7, 'GEN-BESS'!$D$125:$AW$125), 0), IF($B45='Project List References'!$B$6, _xlfn.IFNA(_xlfn.XLOOKUP(Q$2-$C45, 'GEN-CARBON'!$D$7:$AW$7, 'GEN-CARBON'!$D$124:$AW$124), 0), IF($B45='Project List References'!$B$7, _xlfn.IFNA(_xlfn.XLOOKUP(Q$2-$C45, 'SENS Coal'!$D$7:$AW$7, 'SENS Coal'!$D$141:$AW$141), 0), IF($B45='Project List References'!$B$8, _xlfn.IFNA(_xlfn.XLOOKUP(Q$2-$C45,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R45" s="743" t="e">
        <f>IF($B45='Project List References'!$B$3, _xlfn.IFNA(_xlfn.XLOOKUP(R$2-$C45, 'GEN-CCGT'!$D$7:$AW$7, 'GEN-CCGT'!$D$124:$AW$124), 0), IF($B45='Project List References'!$B$4, _xlfn.IFNA(_xlfn.XLOOKUP(R$2-$C45, 'GEN-SOLAR'!$D$7:$AW$7, 'GEN-SOLAR'!$D$122:$AW$122), 0), IF($B45='Project List References'!$B$5, _xlfn.IFNA(_xlfn.XLOOKUP(R$2-$C45, 'GEN-BESS'!$D$7:$AW$7, 'GEN-BESS'!$D$125:$AW$125), 0), IF($B45='Project List References'!$B$6, _xlfn.IFNA(_xlfn.XLOOKUP(R$2-$C45, 'GEN-CARBON'!$D$7:$AW$7, 'GEN-CARBON'!$D$124:$AW$124), 0), IF($B45='Project List References'!$B$7, _xlfn.IFNA(_xlfn.XLOOKUP(R$2-$C45, 'SENS Coal'!$D$7:$AW$7, 'SENS Coal'!$D$141:$AW$141), 0), IF($B45='Project List References'!$B$8, _xlfn.IFNA(_xlfn.XLOOKUP(R$2-$C45,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S45" s="743" t="e">
        <f>IF($B45='Project List References'!$B$3, _xlfn.IFNA(_xlfn.XLOOKUP(S$2-$C45, 'GEN-CCGT'!$D$7:$AW$7, 'GEN-CCGT'!$D$124:$AW$124), 0), IF($B45='Project List References'!$B$4, _xlfn.IFNA(_xlfn.XLOOKUP(S$2-$C45, 'GEN-SOLAR'!$D$7:$AW$7, 'GEN-SOLAR'!$D$122:$AW$122), 0), IF($B45='Project List References'!$B$5, _xlfn.IFNA(_xlfn.XLOOKUP(S$2-$C45, 'GEN-BESS'!$D$7:$AW$7, 'GEN-BESS'!$D$125:$AW$125), 0), IF($B45='Project List References'!$B$6, _xlfn.IFNA(_xlfn.XLOOKUP(S$2-$C45, 'GEN-CARBON'!$D$7:$AW$7, 'GEN-CARBON'!$D$124:$AW$124), 0), IF($B45='Project List References'!$B$7, _xlfn.IFNA(_xlfn.XLOOKUP(S$2-$C45, 'SENS Coal'!$D$7:$AW$7, 'SENS Coal'!$D$141:$AW$141), 0), IF($B45='Project List References'!$B$8, _xlfn.IFNA(_xlfn.XLOOKUP(S$2-$C45,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  <c r="T45" s="743" t="e">
        <f>IF($B45='Project List References'!$B$3, _xlfn.IFNA(_xlfn.XLOOKUP(T$2-$C45, 'GEN-CCGT'!$D$7:$AW$7, 'GEN-CCGT'!$D$124:$AW$124), 0), IF($B45='Project List References'!$B$4, _xlfn.IFNA(_xlfn.XLOOKUP(T$2-$C45, 'GEN-SOLAR'!$D$7:$AW$7, 'GEN-SOLAR'!$D$122:$AW$122), 0), IF($B45='Project List References'!$B$5, _xlfn.IFNA(_xlfn.XLOOKUP(T$2-$C45, 'GEN-BESS'!$D$7:$AW$7, 'GEN-BESS'!$D$125:$AW$125), 0), IF($B45='Project List References'!$B$6, _xlfn.IFNA(_xlfn.XLOOKUP(T$2-$C45, 'GEN-CARBON'!$D$7:$AW$7, 'GEN-CARBON'!$D$124:$AW$124), 0), IF($B45='Project List References'!$B$7, _xlfn.IFNA(_xlfn.XLOOKUP(T$2-$C45, 'SENS Coal'!$D$7:$AW$7, 'SENS Coal'!$D$141:$AW$141), 0), IF($B45='Project List References'!$B$8, _xlfn.IFNA(_xlfn.XLOOKUP(T$2-$C45, 'SENS Tires'!$D$7:$AW$7, 'SENS Tires'!$D$139:$AW$139), 0)))))))/_xlfn.XLOOKUP($B45, 'Assumptions &amp; Inputs'!$F$76:$L$76, 'Assumptions &amp; Inputs'!$F$77:$L$77)*IF(OR($B45='Project List References'!$B$3, $B45='Project List References'!$B$4, $B45='Project List References'!$B$5, $B45='Project List References'!$B$6), 'Project Master Sheet'!$E45, 'Project Master Sheet'!$F45)</f>
        <v>#N/A</v>
      </c>
    </row>
    <row r="46" spans="1:20">
      <c r="A46" s="655" t="str">
        <f>IF(ISBLANK('Project Master Sheet'!A46)=FALSE, 'Project Master Sheet'!A46, "")</f>
        <v/>
      </c>
      <c r="B46" s="655" t="str">
        <f>_xlfn.IFNA(_xlfn.XLOOKUP(A46, 'Project Master Sheet'!A:A, 'Project Master Sheet'!D:D), "")</f>
        <v/>
      </c>
      <c r="C46" s="655" t="e">
        <f>_xlfn.XLOOKUP(A46, 'Project Master Sheet'!A:A, 'Project Master Sheet'!I:I)</f>
        <v>#N/A</v>
      </c>
      <c r="E46" s="743" t="e">
        <f>IF($B46='Project List References'!$B$3, _xlfn.IFNA(_xlfn.XLOOKUP(E$2-$C46, 'GEN-CCGT'!$D$7:$AW$7, 'GEN-CCGT'!$D$124:$AW$124), 0), IF($B46='Project List References'!$B$4, _xlfn.IFNA(_xlfn.XLOOKUP(E$2-$C46, 'GEN-SOLAR'!$D$7:$AW$7, 'GEN-SOLAR'!$D$122:$AW$122), 0), IF($B46='Project List References'!$B$5, _xlfn.IFNA(_xlfn.XLOOKUP(E$2-$C46, 'GEN-BESS'!$D$7:$AW$7, 'GEN-BESS'!$D$125:$AW$125), 0), IF($B46='Project List References'!$B$6, _xlfn.IFNA(_xlfn.XLOOKUP(E$2-$C46, 'GEN-CARBON'!$D$7:$AW$7, 'GEN-CARBON'!$D$124:$AW$124), 0), IF($B46='Project List References'!$B$7, _xlfn.IFNA(_xlfn.XLOOKUP(E$2-$C46, 'SENS Coal'!$D$7:$AW$7, 'SENS Coal'!$D$141:$AW$141), 0), IF($B46='Project List References'!$B$8, _xlfn.IFNA(_xlfn.XLOOKUP(E$2-$C46,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F46" s="743" t="e">
        <f>IF($B46='Project List References'!$B$3, _xlfn.IFNA(_xlfn.XLOOKUP(F$2-$C46, 'GEN-CCGT'!$D$7:$AW$7, 'GEN-CCGT'!$D$124:$AW$124), 0), IF($B46='Project List References'!$B$4, _xlfn.IFNA(_xlfn.XLOOKUP(F$2-$C46, 'GEN-SOLAR'!$D$7:$AW$7, 'GEN-SOLAR'!$D$122:$AW$122), 0), IF($B46='Project List References'!$B$5, _xlfn.IFNA(_xlfn.XLOOKUP(F$2-$C46, 'GEN-BESS'!$D$7:$AW$7, 'GEN-BESS'!$D$125:$AW$125), 0), IF($B46='Project List References'!$B$6, _xlfn.IFNA(_xlfn.XLOOKUP(F$2-$C46, 'GEN-CARBON'!$D$7:$AW$7, 'GEN-CARBON'!$D$124:$AW$124), 0), IF($B46='Project List References'!$B$7, _xlfn.IFNA(_xlfn.XLOOKUP(F$2-$C46, 'SENS Coal'!$D$7:$AW$7, 'SENS Coal'!$D$141:$AW$141), 0), IF($B46='Project List References'!$B$8, _xlfn.IFNA(_xlfn.XLOOKUP(F$2-$C46,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G46" s="743" t="e">
        <f>IF($B46='Project List References'!$B$3, _xlfn.IFNA(_xlfn.XLOOKUP(G$2-$C46, 'GEN-CCGT'!$D$7:$AW$7, 'GEN-CCGT'!$D$124:$AW$124), 0), IF($B46='Project List References'!$B$4, _xlfn.IFNA(_xlfn.XLOOKUP(G$2-$C46, 'GEN-SOLAR'!$D$7:$AW$7, 'GEN-SOLAR'!$D$122:$AW$122), 0), IF($B46='Project List References'!$B$5, _xlfn.IFNA(_xlfn.XLOOKUP(G$2-$C46, 'GEN-BESS'!$D$7:$AW$7, 'GEN-BESS'!$D$125:$AW$125), 0), IF($B46='Project List References'!$B$6, _xlfn.IFNA(_xlfn.XLOOKUP(G$2-$C46, 'GEN-CARBON'!$D$7:$AW$7, 'GEN-CARBON'!$D$124:$AW$124), 0), IF($B46='Project List References'!$B$7, _xlfn.IFNA(_xlfn.XLOOKUP(G$2-$C46, 'SENS Coal'!$D$7:$AW$7, 'SENS Coal'!$D$141:$AW$141), 0), IF($B46='Project List References'!$B$8, _xlfn.IFNA(_xlfn.XLOOKUP(G$2-$C46,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H46" s="743" t="e">
        <f>IF($B46='Project List References'!$B$3, _xlfn.IFNA(_xlfn.XLOOKUP(H$2-$C46, 'GEN-CCGT'!$D$7:$AW$7, 'GEN-CCGT'!$D$124:$AW$124), 0), IF($B46='Project List References'!$B$4, _xlfn.IFNA(_xlfn.XLOOKUP(H$2-$C46, 'GEN-SOLAR'!$D$7:$AW$7, 'GEN-SOLAR'!$D$122:$AW$122), 0), IF($B46='Project List References'!$B$5, _xlfn.IFNA(_xlfn.XLOOKUP(H$2-$C46, 'GEN-BESS'!$D$7:$AW$7, 'GEN-BESS'!$D$125:$AW$125), 0), IF($B46='Project List References'!$B$6, _xlfn.IFNA(_xlfn.XLOOKUP(H$2-$C46, 'GEN-CARBON'!$D$7:$AW$7, 'GEN-CARBON'!$D$124:$AW$124), 0), IF($B46='Project List References'!$B$7, _xlfn.IFNA(_xlfn.XLOOKUP(H$2-$C46, 'SENS Coal'!$D$7:$AW$7, 'SENS Coal'!$D$141:$AW$141), 0), IF($B46='Project List References'!$B$8, _xlfn.IFNA(_xlfn.XLOOKUP(H$2-$C46,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I46" s="743" t="e">
        <f>IF($B46='Project List References'!$B$3, _xlfn.IFNA(_xlfn.XLOOKUP(I$2-$C46, 'GEN-CCGT'!$D$7:$AW$7, 'GEN-CCGT'!$D$124:$AW$124), 0), IF($B46='Project List References'!$B$4, _xlfn.IFNA(_xlfn.XLOOKUP(I$2-$C46, 'GEN-SOLAR'!$D$7:$AW$7, 'GEN-SOLAR'!$D$122:$AW$122), 0), IF($B46='Project List References'!$B$5, _xlfn.IFNA(_xlfn.XLOOKUP(I$2-$C46, 'GEN-BESS'!$D$7:$AW$7, 'GEN-BESS'!$D$125:$AW$125), 0), IF($B46='Project List References'!$B$6, _xlfn.IFNA(_xlfn.XLOOKUP(I$2-$C46, 'GEN-CARBON'!$D$7:$AW$7, 'GEN-CARBON'!$D$124:$AW$124), 0), IF($B46='Project List References'!$B$7, _xlfn.IFNA(_xlfn.XLOOKUP(I$2-$C46, 'SENS Coal'!$D$7:$AW$7, 'SENS Coal'!$D$141:$AW$141), 0), IF($B46='Project List References'!$B$8, _xlfn.IFNA(_xlfn.XLOOKUP(I$2-$C46,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J46" s="743" t="e">
        <f>IF($B46='Project List References'!$B$3, _xlfn.IFNA(_xlfn.XLOOKUP(J$2-$C46, 'GEN-CCGT'!$D$7:$AW$7, 'GEN-CCGT'!$D$124:$AW$124), 0), IF($B46='Project List References'!$B$4, _xlfn.IFNA(_xlfn.XLOOKUP(J$2-$C46, 'GEN-SOLAR'!$D$7:$AW$7, 'GEN-SOLAR'!$D$122:$AW$122), 0), IF($B46='Project List References'!$B$5, _xlfn.IFNA(_xlfn.XLOOKUP(J$2-$C46, 'GEN-BESS'!$D$7:$AW$7, 'GEN-BESS'!$D$125:$AW$125), 0), IF($B46='Project List References'!$B$6, _xlfn.IFNA(_xlfn.XLOOKUP(J$2-$C46, 'GEN-CARBON'!$D$7:$AW$7, 'GEN-CARBON'!$D$124:$AW$124), 0), IF($B46='Project List References'!$B$7, _xlfn.IFNA(_xlfn.XLOOKUP(J$2-$C46, 'SENS Coal'!$D$7:$AW$7, 'SENS Coal'!$D$141:$AW$141), 0), IF($B46='Project List References'!$B$8, _xlfn.IFNA(_xlfn.XLOOKUP(J$2-$C46,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K46" s="743" t="e">
        <f>IF($B46='Project List References'!$B$3, _xlfn.IFNA(_xlfn.XLOOKUP(K$2-$C46, 'GEN-CCGT'!$D$7:$AW$7, 'GEN-CCGT'!$D$124:$AW$124), 0), IF($B46='Project List References'!$B$4, _xlfn.IFNA(_xlfn.XLOOKUP(K$2-$C46, 'GEN-SOLAR'!$D$7:$AW$7, 'GEN-SOLAR'!$D$122:$AW$122), 0), IF($B46='Project List References'!$B$5, _xlfn.IFNA(_xlfn.XLOOKUP(K$2-$C46, 'GEN-BESS'!$D$7:$AW$7, 'GEN-BESS'!$D$125:$AW$125), 0), IF($B46='Project List References'!$B$6, _xlfn.IFNA(_xlfn.XLOOKUP(K$2-$C46, 'GEN-CARBON'!$D$7:$AW$7, 'GEN-CARBON'!$D$124:$AW$124), 0), IF($B46='Project List References'!$B$7, _xlfn.IFNA(_xlfn.XLOOKUP(K$2-$C46, 'SENS Coal'!$D$7:$AW$7, 'SENS Coal'!$D$141:$AW$141), 0), IF($B46='Project List References'!$B$8, _xlfn.IFNA(_xlfn.XLOOKUP(K$2-$C46,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L46" s="743" t="e">
        <f>IF($B46='Project List References'!$B$3, _xlfn.IFNA(_xlfn.XLOOKUP(L$2-$C46, 'GEN-CCGT'!$D$7:$AW$7, 'GEN-CCGT'!$D$124:$AW$124), 0), IF($B46='Project List References'!$B$4, _xlfn.IFNA(_xlfn.XLOOKUP(L$2-$C46, 'GEN-SOLAR'!$D$7:$AW$7, 'GEN-SOLAR'!$D$122:$AW$122), 0), IF($B46='Project List References'!$B$5, _xlfn.IFNA(_xlfn.XLOOKUP(L$2-$C46, 'GEN-BESS'!$D$7:$AW$7, 'GEN-BESS'!$D$125:$AW$125), 0), IF($B46='Project List References'!$B$6, _xlfn.IFNA(_xlfn.XLOOKUP(L$2-$C46, 'GEN-CARBON'!$D$7:$AW$7, 'GEN-CARBON'!$D$124:$AW$124), 0), IF($B46='Project List References'!$B$7, _xlfn.IFNA(_xlfn.XLOOKUP(L$2-$C46, 'SENS Coal'!$D$7:$AW$7, 'SENS Coal'!$D$141:$AW$141), 0), IF($B46='Project List References'!$B$8, _xlfn.IFNA(_xlfn.XLOOKUP(L$2-$C46,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M46" s="743" t="e">
        <f>IF($B46='Project List References'!$B$3, _xlfn.IFNA(_xlfn.XLOOKUP(M$2-$C46, 'GEN-CCGT'!$D$7:$AW$7, 'GEN-CCGT'!$D$124:$AW$124), 0), IF($B46='Project List References'!$B$4, _xlfn.IFNA(_xlfn.XLOOKUP(M$2-$C46, 'GEN-SOLAR'!$D$7:$AW$7, 'GEN-SOLAR'!$D$122:$AW$122), 0), IF($B46='Project List References'!$B$5, _xlfn.IFNA(_xlfn.XLOOKUP(M$2-$C46, 'GEN-BESS'!$D$7:$AW$7, 'GEN-BESS'!$D$125:$AW$125), 0), IF($B46='Project List References'!$B$6, _xlfn.IFNA(_xlfn.XLOOKUP(M$2-$C46, 'GEN-CARBON'!$D$7:$AW$7, 'GEN-CARBON'!$D$124:$AW$124), 0), IF($B46='Project List References'!$B$7, _xlfn.IFNA(_xlfn.XLOOKUP(M$2-$C46, 'SENS Coal'!$D$7:$AW$7, 'SENS Coal'!$D$141:$AW$141), 0), IF($B46='Project List References'!$B$8, _xlfn.IFNA(_xlfn.XLOOKUP(M$2-$C46,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N46" s="743" t="e">
        <f>IF($B46='Project List References'!$B$3, _xlfn.IFNA(_xlfn.XLOOKUP(N$2-$C46, 'GEN-CCGT'!$D$7:$AW$7, 'GEN-CCGT'!$D$124:$AW$124), 0), IF($B46='Project List References'!$B$4, _xlfn.IFNA(_xlfn.XLOOKUP(N$2-$C46, 'GEN-SOLAR'!$D$7:$AW$7, 'GEN-SOLAR'!$D$122:$AW$122), 0), IF($B46='Project List References'!$B$5, _xlfn.IFNA(_xlfn.XLOOKUP(N$2-$C46, 'GEN-BESS'!$D$7:$AW$7, 'GEN-BESS'!$D$125:$AW$125), 0), IF($B46='Project List References'!$B$6, _xlfn.IFNA(_xlfn.XLOOKUP(N$2-$C46, 'GEN-CARBON'!$D$7:$AW$7, 'GEN-CARBON'!$D$124:$AW$124), 0), IF($B46='Project List References'!$B$7, _xlfn.IFNA(_xlfn.XLOOKUP(N$2-$C46, 'SENS Coal'!$D$7:$AW$7, 'SENS Coal'!$D$141:$AW$141), 0), IF($B46='Project List References'!$B$8, _xlfn.IFNA(_xlfn.XLOOKUP(N$2-$C46,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O46" s="743" t="e">
        <f>IF($B46='Project List References'!$B$3, _xlfn.IFNA(_xlfn.XLOOKUP(O$2-$C46, 'GEN-CCGT'!$D$7:$AW$7, 'GEN-CCGT'!$D$124:$AW$124), 0), IF($B46='Project List References'!$B$4, _xlfn.IFNA(_xlfn.XLOOKUP(O$2-$C46, 'GEN-SOLAR'!$D$7:$AW$7, 'GEN-SOLAR'!$D$122:$AW$122), 0), IF($B46='Project List References'!$B$5, _xlfn.IFNA(_xlfn.XLOOKUP(O$2-$C46, 'GEN-BESS'!$D$7:$AW$7, 'GEN-BESS'!$D$125:$AW$125), 0), IF($B46='Project List References'!$B$6, _xlfn.IFNA(_xlfn.XLOOKUP(O$2-$C46, 'GEN-CARBON'!$D$7:$AW$7, 'GEN-CARBON'!$D$124:$AW$124), 0), IF($B46='Project List References'!$B$7, _xlfn.IFNA(_xlfn.XLOOKUP(O$2-$C46, 'SENS Coal'!$D$7:$AW$7, 'SENS Coal'!$D$141:$AW$141), 0), IF($B46='Project List References'!$B$8, _xlfn.IFNA(_xlfn.XLOOKUP(O$2-$C46,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P46" s="743" t="e">
        <f>IF($B46='Project List References'!$B$3, _xlfn.IFNA(_xlfn.XLOOKUP(P$2-$C46, 'GEN-CCGT'!$D$7:$AW$7, 'GEN-CCGT'!$D$124:$AW$124), 0), IF($B46='Project List References'!$B$4, _xlfn.IFNA(_xlfn.XLOOKUP(P$2-$C46, 'GEN-SOLAR'!$D$7:$AW$7, 'GEN-SOLAR'!$D$122:$AW$122), 0), IF($B46='Project List References'!$B$5, _xlfn.IFNA(_xlfn.XLOOKUP(P$2-$C46, 'GEN-BESS'!$D$7:$AW$7, 'GEN-BESS'!$D$125:$AW$125), 0), IF($B46='Project List References'!$B$6, _xlfn.IFNA(_xlfn.XLOOKUP(P$2-$C46, 'GEN-CARBON'!$D$7:$AW$7, 'GEN-CARBON'!$D$124:$AW$124), 0), IF($B46='Project List References'!$B$7, _xlfn.IFNA(_xlfn.XLOOKUP(P$2-$C46, 'SENS Coal'!$D$7:$AW$7, 'SENS Coal'!$D$141:$AW$141), 0), IF($B46='Project List References'!$B$8, _xlfn.IFNA(_xlfn.XLOOKUP(P$2-$C46,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Q46" s="743" t="e">
        <f>IF($B46='Project List References'!$B$3, _xlfn.IFNA(_xlfn.XLOOKUP(Q$2-$C46, 'GEN-CCGT'!$D$7:$AW$7, 'GEN-CCGT'!$D$124:$AW$124), 0), IF($B46='Project List References'!$B$4, _xlfn.IFNA(_xlfn.XLOOKUP(Q$2-$C46, 'GEN-SOLAR'!$D$7:$AW$7, 'GEN-SOLAR'!$D$122:$AW$122), 0), IF($B46='Project List References'!$B$5, _xlfn.IFNA(_xlfn.XLOOKUP(Q$2-$C46, 'GEN-BESS'!$D$7:$AW$7, 'GEN-BESS'!$D$125:$AW$125), 0), IF($B46='Project List References'!$B$6, _xlfn.IFNA(_xlfn.XLOOKUP(Q$2-$C46, 'GEN-CARBON'!$D$7:$AW$7, 'GEN-CARBON'!$D$124:$AW$124), 0), IF($B46='Project List References'!$B$7, _xlfn.IFNA(_xlfn.XLOOKUP(Q$2-$C46, 'SENS Coal'!$D$7:$AW$7, 'SENS Coal'!$D$141:$AW$141), 0), IF($B46='Project List References'!$B$8, _xlfn.IFNA(_xlfn.XLOOKUP(Q$2-$C46,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R46" s="743" t="e">
        <f>IF($B46='Project List References'!$B$3, _xlfn.IFNA(_xlfn.XLOOKUP(R$2-$C46, 'GEN-CCGT'!$D$7:$AW$7, 'GEN-CCGT'!$D$124:$AW$124), 0), IF($B46='Project List References'!$B$4, _xlfn.IFNA(_xlfn.XLOOKUP(R$2-$C46, 'GEN-SOLAR'!$D$7:$AW$7, 'GEN-SOLAR'!$D$122:$AW$122), 0), IF($B46='Project List References'!$B$5, _xlfn.IFNA(_xlfn.XLOOKUP(R$2-$C46, 'GEN-BESS'!$D$7:$AW$7, 'GEN-BESS'!$D$125:$AW$125), 0), IF($B46='Project List References'!$B$6, _xlfn.IFNA(_xlfn.XLOOKUP(R$2-$C46, 'GEN-CARBON'!$D$7:$AW$7, 'GEN-CARBON'!$D$124:$AW$124), 0), IF($B46='Project List References'!$B$7, _xlfn.IFNA(_xlfn.XLOOKUP(R$2-$C46, 'SENS Coal'!$D$7:$AW$7, 'SENS Coal'!$D$141:$AW$141), 0), IF($B46='Project List References'!$B$8, _xlfn.IFNA(_xlfn.XLOOKUP(R$2-$C46,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S46" s="743" t="e">
        <f>IF($B46='Project List References'!$B$3, _xlfn.IFNA(_xlfn.XLOOKUP(S$2-$C46, 'GEN-CCGT'!$D$7:$AW$7, 'GEN-CCGT'!$D$124:$AW$124), 0), IF($B46='Project List References'!$B$4, _xlfn.IFNA(_xlfn.XLOOKUP(S$2-$C46, 'GEN-SOLAR'!$D$7:$AW$7, 'GEN-SOLAR'!$D$122:$AW$122), 0), IF($B46='Project List References'!$B$5, _xlfn.IFNA(_xlfn.XLOOKUP(S$2-$C46, 'GEN-BESS'!$D$7:$AW$7, 'GEN-BESS'!$D$125:$AW$125), 0), IF($B46='Project List References'!$B$6, _xlfn.IFNA(_xlfn.XLOOKUP(S$2-$C46, 'GEN-CARBON'!$D$7:$AW$7, 'GEN-CARBON'!$D$124:$AW$124), 0), IF($B46='Project List References'!$B$7, _xlfn.IFNA(_xlfn.XLOOKUP(S$2-$C46, 'SENS Coal'!$D$7:$AW$7, 'SENS Coal'!$D$141:$AW$141), 0), IF($B46='Project List References'!$B$8, _xlfn.IFNA(_xlfn.XLOOKUP(S$2-$C46,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  <c r="T46" s="743" t="e">
        <f>IF($B46='Project List References'!$B$3, _xlfn.IFNA(_xlfn.XLOOKUP(T$2-$C46, 'GEN-CCGT'!$D$7:$AW$7, 'GEN-CCGT'!$D$124:$AW$124), 0), IF($B46='Project List References'!$B$4, _xlfn.IFNA(_xlfn.XLOOKUP(T$2-$C46, 'GEN-SOLAR'!$D$7:$AW$7, 'GEN-SOLAR'!$D$122:$AW$122), 0), IF($B46='Project List References'!$B$5, _xlfn.IFNA(_xlfn.XLOOKUP(T$2-$C46, 'GEN-BESS'!$D$7:$AW$7, 'GEN-BESS'!$D$125:$AW$125), 0), IF($B46='Project List References'!$B$6, _xlfn.IFNA(_xlfn.XLOOKUP(T$2-$C46, 'GEN-CARBON'!$D$7:$AW$7, 'GEN-CARBON'!$D$124:$AW$124), 0), IF($B46='Project List References'!$B$7, _xlfn.IFNA(_xlfn.XLOOKUP(T$2-$C46, 'SENS Coal'!$D$7:$AW$7, 'SENS Coal'!$D$141:$AW$141), 0), IF($B46='Project List References'!$B$8, _xlfn.IFNA(_xlfn.XLOOKUP(T$2-$C46, 'SENS Tires'!$D$7:$AW$7, 'SENS Tires'!$D$139:$AW$139), 0)))))))/_xlfn.XLOOKUP($B46, 'Assumptions &amp; Inputs'!$F$76:$L$76, 'Assumptions &amp; Inputs'!$F$77:$L$77)*IF(OR($B46='Project List References'!$B$3, $B46='Project List References'!$B$4, $B46='Project List References'!$B$5, $B46='Project List References'!$B$6), 'Project Master Sheet'!$E46, 'Project Master Sheet'!$F46)</f>
        <v>#N/A</v>
      </c>
    </row>
    <row r="47" spans="1:20">
      <c r="A47" s="655" t="str">
        <f>IF(ISBLANK('Project Master Sheet'!A47)=FALSE, 'Project Master Sheet'!A47, "")</f>
        <v/>
      </c>
      <c r="B47" s="655" t="str">
        <f>_xlfn.IFNA(_xlfn.XLOOKUP(A47, 'Project Master Sheet'!A:A, 'Project Master Sheet'!D:D), "")</f>
        <v/>
      </c>
      <c r="C47" s="655" t="e">
        <f>_xlfn.XLOOKUP(A47, 'Project Master Sheet'!A:A, 'Project Master Sheet'!I:I)</f>
        <v>#N/A</v>
      </c>
      <c r="E47" s="743" t="e">
        <f>IF($B47='Project List References'!$B$3, _xlfn.IFNA(_xlfn.XLOOKUP(E$2-$C47, 'GEN-CCGT'!$D$7:$AW$7, 'GEN-CCGT'!$D$124:$AW$124), 0), IF($B47='Project List References'!$B$4, _xlfn.IFNA(_xlfn.XLOOKUP(E$2-$C47, 'GEN-SOLAR'!$D$7:$AW$7, 'GEN-SOLAR'!$D$122:$AW$122), 0), IF($B47='Project List References'!$B$5, _xlfn.IFNA(_xlfn.XLOOKUP(E$2-$C47, 'GEN-BESS'!$D$7:$AW$7, 'GEN-BESS'!$D$125:$AW$125), 0), IF($B47='Project List References'!$B$6, _xlfn.IFNA(_xlfn.XLOOKUP(E$2-$C47, 'GEN-CARBON'!$D$7:$AW$7, 'GEN-CARBON'!$D$124:$AW$124), 0), IF($B47='Project List References'!$B$7, _xlfn.IFNA(_xlfn.XLOOKUP(E$2-$C47, 'SENS Coal'!$D$7:$AW$7, 'SENS Coal'!$D$141:$AW$141), 0), IF($B47='Project List References'!$B$8, _xlfn.IFNA(_xlfn.XLOOKUP(E$2-$C47,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F47" s="743" t="e">
        <f>IF($B47='Project List References'!$B$3, _xlfn.IFNA(_xlfn.XLOOKUP(F$2-$C47, 'GEN-CCGT'!$D$7:$AW$7, 'GEN-CCGT'!$D$124:$AW$124), 0), IF($B47='Project List References'!$B$4, _xlfn.IFNA(_xlfn.XLOOKUP(F$2-$C47, 'GEN-SOLAR'!$D$7:$AW$7, 'GEN-SOLAR'!$D$122:$AW$122), 0), IF($B47='Project List References'!$B$5, _xlfn.IFNA(_xlfn.XLOOKUP(F$2-$C47, 'GEN-BESS'!$D$7:$AW$7, 'GEN-BESS'!$D$125:$AW$125), 0), IF($B47='Project List References'!$B$6, _xlfn.IFNA(_xlfn.XLOOKUP(F$2-$C47, 'GEN-CARBON'!$D$7:$AW$7, 'GEN-CARBON'!$D$124:$AW$124), 0), IF($B47='Project List References'!$B$7, _xlfn.IFNA(_xlfn.XLOOKUP(F$2-$C47, 'SENS Coal'!$D$7:$AW$7, 'SENS Coal'!$D$141:$AW$141), 0), IF($B47='Project List References'!$B$8, _xlfn.IFNA(_xlfn.XLOOKUP(F$2-$C47,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G47" s="743" t="e">
        <f>IF($B47='Project List References'!$B$3, _xlfn.IFNA(_xlfn.XLOOKUP(G$2-$C47, 'GEN-CCGT'!$D$7:$AW$7, 'GEN-CCGT'!$D$124:$AW$124), 0), IF($B47='Project List References'!$B$4, _xlfn.IFNA(_xlfn.XLOOKUP(G$2-$C47, 'GEN-SOLAR'!$D$7:$AW$7, 'GEN-SOLAR'!$D$122:$AW$122), 0), IF($B47='Project List References'!$B$5, _xlfn.IFNA(_xlfn.XLOOKUP(G$2-$C47, 'GEN-BESS'!$D$7:$AW$7, 'GEN-BESS'!$D$125:$AW$125), 0), IF($B47='Project List References'!$B$6, _xlfn.IFNA(_xlfn.XLOOKUP(G$2-$C47, 'GEN-CARBON'!$D$7:$AW$7, 'GEN-CARBON'!$D$124:$AW$124), 0), IF($B47='Project List References'!$B$7, _xlfn.IFNA(_xlfn.XLOOKUP(G$2-$C47, 'SENS Coal'!$D$7:$AW$7, 'SENS Coal'!$D$141:$AW$141), 0), IF($B47='Project List References'!$B$8, _xlfn.IFNA(_xlfn.XLOOKUP(G$2-$C47,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H47" s="743" t="e">
        <f>IF($B47='Project List References'!$B$3, _xlfn.IFNA(_xlfn.XLOOKUP(H$2-$C47, 'GEN-CCGT'!$D$7:$AW$7, 'GEN-CCGT'!$D$124:$AW$124), 0), IF($B47='Project List References'!$B$4, _xlfn.IFNA(_xlfn.XLOOKUP(H$2-$C47, 'GEN-SOLAR'!$D$7:$AW$7, 'GEN-SOLAR'!$D$122:$AW$122), 0), IF($B47='Project List References'!$B$5, _xlfn.IFNA(_xlfn.XLOOKUP(H$2-$C47, 'GEN-BESS'!$D$7:$AW$7, 'GEN-BESS'!$D$125:$AW$125), 0), IF($B47='Project List References'!$B$6, _xlfn.IFNA(_xlfn.XLOOKUP(H$2-$C47, 'GEN-CARBON'!$D$7:$AW$7, 'GEN-CARBON'!$D$124:$AW$124), 0), IF($B47='Project List References'!$B$7, _xlfn.IFNA(_xlfn.XLOOKUP(H$2-$C47, 'SENS Coal'!$D$7:$AW$7, 'SENS Coal'!$D$141:$AW$141), 0), IF($B47='Project List References'!$B$8, _xlfn.IFNA(_xlfn.XLOOKUP(H$2-$C47,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I47" s="743" t="e">
        <f>IF($B47='Project List References'!$B$3, _xlfn.IFNA(_xlfn.XLOOKUP(I$2-$C47, 'GEN-CCGT'!$D$7:$AW$7, 'GEN-CCGT'!$D$124:$AW$124), 0), IF($B47='Project List References'!$B$4, _xlfn.IFNA(_xlfn.XLOOKUP(I$2-$C47, 'GEN-SOLAR'!$D$7:$AW$7, 'GEN-SOLAR'!$D$122:$AW$122), 0), IF($B47='Project List References'!$B$5, _xlfn.IFNA(_xlfn.XLOOKUP(I$2-$C47, 'GEN-BESS'!$D$7:$AW$7, 'GEN-BESS'!$D$125:$AW$125), 0), IF($B47='Project List References'!$B$6, _xlfn.IFNA(_xlfn.XLOOKUP(I$2-$C47, 'GEN-CARBON'!$D$7:$AW$7, 'GEN-CARBON'!$D$124:$AW$124), 0), IF($B47='Project List References'!$B$7, _xlfn.IFNA(_xlfn.XLOOKUP(I$2-$C47, 'SENS Coal'!$D$7:$AW$7, 'SENS Coal'!$D$141:$AW$141), 0), IF($B47='Project List References'!$B$8, _xlfn.IFNA(_xlfn.XLOOKUP(I$2-$C47,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J47" s="743" t="e">
        <f>IF($B47='Project List References'!$B$3, _xlfn.IFNA(_xlfn.XLOOKUP(J$2-$C47, 'GEN-CCGT'!$D$7:$AW$7, 'GEN-CCGT'!$D$124:$AW$124), 0), IF($B47='Project List References'!$B$4, _xlfn.IFNA(_xlfn.XLOOKUP(J$2-$C47, 'GEN-SOLAR'!$D$7:$AW$7, 'GEN-SOLAR'!$D$122:$AW$122), 0), IF($B47='Project List References'!$B$5, _xlfn.IFNA(_xlfn.XLOOKUP(J$2-$C47, 'GEN-BESS'!$D$7:$AW$7, 'GEN-BESS'!$D$125:$AW$125), 0), IF($B47='Project List References'!$B$6, _xlfn.IFNA(_xlfn.XLOOKUP(J$2-$C47, 'GEN-CARBON'!$D$7:$AW$7, 'GEN-CARBON'!$D$124:$AW$124), 0), IF($B47='Project List References'!$B$7, _xlfn.IFNA(_xlfn.XLOOKUP(J$2-$C47, 'SENS Coal'!$D$7:$AW$7, 'SENS Coal'!$D$141:$AW$141), 0), IF($B47='Project List References'!$B$8, _xlfn.IFNA(_xlfn.XLOOKUP(J$2-$C47,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K47" s="743" t="e">
        <f>IF($B47='Project List References'!$B$3, _xlfn.IFNA(_xlfn.XLOOKUP(K$2-$C47, 'GEN-CCGT'!$D$7:$AW$7, 'GEN-CCGT'!$D$124:$AW$124), 0), IF($B47='Project List References'!$B$4, _xlfn.IFNA(_xlfn.XLOOKUP(K$2-$C47, 'GEN-SOLAR'!$D$7:$AW$7, 'GEN-SOLAR'!$D$122:$AW$122), 0), IF($B47='Project List References'!$B$5, _xlfn.IFNA(_xlfn.XLOOKUP(K$2-$C47, 'GEN-BESS'!$D$7:$AW$7, 'GEN-BESS'!$D$125:$AW$125), 0), IF($B47='Project List References'!$B$6, _xlfn.IFNA(_xlfn.XLOOKUP(K$2-$C47, 'GEN-CARBON'!$D$7:$AW$7, 'GEN-CARBON'!$D$124:$AW$124), 0), IF($B47='Project List References'!$B$7, _xlfn.IFNA(_xlfn.XLOOKUP(K$2-$C47, 'SENS Coal'!$D$7:$AW$7, 'SENS Coal'!$D$141:$AW$141), 0), IF($B47='Project List References'!$B$8, _xlfn.IFNA(_xlfn.XLOOKUP(K$2-$C47,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L47" s="743" t="e">
        <f>IF($B47='Project List References'!$B$3, _xlfn.IFNA(_xlfn.XLOOKUP(L$2-$C47, 'GEN-CCGT'!$D$7:$AW$7, 'GEN-CCGT'!$D$124:$AW$124), 0), IF($B47='Project List References'!$B$4, _xlfn.IFNA(_xlfn.XLOOKUP(L$2-$C47, 'GEN-SOLAR'!$D$7:$AW$7, 'GEN-SOLAR'!$D$122:$AW$122), 0), IF($B47='Project List References'!$B$5, _xlfn.IFNA(_xlfn.XLOOKUP(L$2-$C47, 'GEN-BESS'!$D$7:$AW$7, 'GEN-BESS'!$D$125:$AW$125), 0), IF($B47='Project List References'!$B$6, _xlfn.IFNA(_xlfn.XLOOKUP(L$2-$C47, 'GEN-CARBON'!$D$7:$AW$7, 'GEN-CARBON'!$D$124:$AW$124), 0), IF($B47='Project List References'!$B$7, _xlfn.IFNA(_xlfn.XLOOKUP(L$2-$C47, 'SENS Coal'!$D$7:$AW$7, 'SENS Coal'!$D$141:$AW$141), 0), IF($B47='Project List References'!$B$8, _xlfn.IFNA(_xlfn.XLOOKUP(L$2-$C47,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M47" s="743" t="e">
        <f>IF($B47='Project List References'!$B$3, _xlfn.IFNA(_xlfn.XLOOKUP(M$2-$C47, 'GEN-CCGT'!$D$7:$AW$7, 'GEN-CCGT'!$D$124:$AW$124), 0), IF($B47='Project List References'!$B$4, _xlfn.IFNA(_xlfn.XLOOKUP(M$2-$C47, 'GEN-SOLAR'!$D$7:$AW$7, 'GEN-SOLAR'!$D$122:$AW$122), 0), IF($B47='Project List References'!$B$5, _xlfn.IFNA(_xlfn.XLOOKUP(M$2-$C47, 'GEN-BESS'!$D$7:$AW$7, 'GEN-BESS'!$D$125:$AW$125), 0), IF($B47='Project List References'!$B$6, _xlfn.IFNA(_xlfn.XLOOKUP(M$2-$C47, 'GEN-CARBON'!$D$7:$AW$7, 'GEN-CARBON'!$D$124:$AW$124), 0), IF($B47='Project List References'!$B$7, _xlfn.IFNA(_xlfn.XLOOKUP(M$2-$C47, 'SENS Coal'!$D$7:$AW$7, 'SENS Coal'!$D$141:$AW$141), 0), IF($B47='Project List References'!$B$8, _xlfn.IFNA(_xlfn.XLOOKUP(M$2-$C47,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N47" s="743" t="e">
        <f>IF($B47='Project List References'!$B$3, _xlfn.IFNA(_xlfn.XLOOKUP(N$2-$C47, 'GEN-CCGT'!$D$7:$AW$7, 'GEN-CCGT'!$D$124:$AW$124), 0), IF($B47='Project List References'!$B$4, _xlfn.IFNA(_xlfn.XLOOKUP(N$2-$C47, 'GEN-SOLAR'!$D$7:$AW$7, 'GEN-SOLAR'!$D$122:$AW$122), 0), IF($B47='Project List References'!$B$5, _xlfn.IFNA(_xlfn.XLOOKUP(N$2-$C47, 'GEN-BESS'!$D$7:$AW$7, 'GEN-BESS'!$D$125:$AW$125), 0), IF($B47='Project List References'!$B$6, _xlfn.IFNA(_xlfn.XLOOKUP(N$2-$C47, 'GEN-CARBON'!$D$7:$AW$7, 'GEN-CARBON'!$D$124:$AW$124), 0), IF($B47='Project List References'!$B$7, _xlfn.IFNA(_xlfn.XLOOKUP(N$2-$C47, 'SENS Coal'!$D$7:$AW$7, 'SENS Coal'!$D$141:$AW$141), 0), IF($B47='Project List References'!$B$8, _xlfn.IFNA(_xlfn.XLOOKUP(N$2-$C47,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O47" s="743" t="e">
        <f>IF($B47='Project List References'!$B$3, _xlfn.IFNA(_xlfn.XLOOKUP(O$2-$C47, 'GEN-CCGT'!$D$7:$AW$7, 'GEN-CCGT'!$D$124:$AW$124), 0), IF($B47='Project List References'!$B$4, _xlfn.IFNA(_xlfn.XLOOKUP(O$2-$C47, 'GEN-SOLAR'!$D$7:$AW$7, 'GEN-SOLAR'!$D$122:$AW$122), 0), IF($B47='Project List References'!$B$5, _xlfn.IFNA(_xlfn.XLOOKUP(O$2-$C47, 'GEN-BESS'!$D$7:$AW$7, 'GEN-BESS'!$D$125:$AW$125), 0), IF($B47='Project List References'!$B$6, _xlfn.IFNA(_xlfn.XLOOKUP(O$2-$C47, 'GEN-CARBON'!$D$7:$AW$7, 'GEN-CARBON'!$D$124:$AW$124), 0), IF($B47='Project List References'!$B$7, _xlfn.IFNA(_xlfn.XLOOKUP(O$2-$C47, 'SENS Coal'!$D$7:$AW$7, 'SENS Coal'!$D$141:$AW$141), 0), IF($B47='Project List References'!$B$8, _xlfn.IFNA(_xlfn.XLOOKUP(O$2-$C47,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P47" s="743" t="e">
        <f>IF($B47='Project List References'!$B$3, _xlfn.IFNA(_xlfn.XLOOKUP(P$2-$C47, 'GEN-CCGT'!$D$7:$AW$7, 'GEN-CCGT'!$D$124:$AW$124), 0), IF($B47='Project List References'!$B$4, _xlfn.IFNA(_xlfn.XLOOKUP(P$2-$C47, 'GEN-SOLAR'!$D$7:$AW$7, 'GEN-SOLAR'!$D$122:$AW$122), 0), IF($B47='Project List References'!$B$5, _xlfn.IFNA(_xlfn.XLOOKUP(P$2-$C47, 'GEN-BESS'!$D$7:$AW$7, 'GEN-BESS'!$D$125:$AW$125), 0), IF($B47='Project List References'!$B$6, _xlfn.IFNA(_xlfn.XLOOKUP(P$2-$C47, 'GEN-CARBON'!$D$7:$AW$7, 'GEN-CARBON'!$D$124:$AW$124), 0), IF($B47='Project List References'!$B$7, _xlfn.IFNA(_xlfn.XLOOKUP(P$2-$C47, 'SENS Coal'!$D$7:$AW$7, 'SENS Coal'!$D$141:$AW$141), 0), IF($B47='Project List References'!$B$8, _xlfn.IFNA(_xlfn.XLOOKUP(P$2-$C47,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Q47" s="743" t="e">
        <f>IF($B47='Project List References'!$B$3, _xlfn.IFNA(_xlfn.XLOOKUP(Q$2-$C47, 'GEN-CCGT'!$D$7:$AW$7, 'GEN-CCGT'!$D$124:$AW$124), 0), IF($B47='Project List References'!$B$4, _xlfn.IFNA(_xlfn.XLOOKUP(Q$2-$C47, 'GEN-SOLAR'!$D$7:$AW$7, 'GEN-SOLAR'!$D$122:$AW$122), 0), IF($B47='Project List References'!$B$5, _xlfn.IFNA(_xlfn.XLOOKUP(Q$2-$C47, 'GEN-BESS'!$D$7:$AW$7, 'GEN-BESS'!$D$125:$AW$125), 0), IF($B47='Project List References'!$B$6, _xlfn.IFNA(_xlfn.XLOOKUP(Q$2-$C47, 'GEN-CARBON'!$D$7:$AW$7, 'GEN-CARBON'!$D$124:$AW$124), 0), IF($B47='Project List References'!$B$7, _xlfn.IFNA(_xlfn.XLOOKUP(Q$2-$C47, 'SENS Coal'!$D$7:$AW$7, 'SENS Coal'!$D$141:$AW$141), 0), IF($B47='Project List References'!$B$8, _xlfn.IFNA(_xlfn.XLOOKUP(Q$2-$C47,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R47" s="743" t="e">
        <f>IF($B47='Project List References'!$B$3, _xlfn.IFNA(_xlfn.XLOOKUP(R$2-$C47, 'GEN-CCGT'!$D$7:$AW$7, 'GEN-CCGT'!$D$124:$AW$124), 0), IF($B47='Project List References'!$B$4, _xlfn.IFNA(_xlfn.XLOOKUP(R$2-$C47, 'GEN-SOLAR'!$D$7:$AW$7, 'GEN-SOLAR'!$D$122:$AW$122), 0), IF($B47='Project List References'!$B$5, _xlfn.IFNA(_xlfn.XLOOKUP(R$2-$C47, 'GEN-BESS'!$D$7:$AW$7, 'GEN-BESS'!$D$125:$AW$125), 0), IF($B47='Project List References'!$B$6, _xlfn.IFNA(_xlfn.XLOOKUP(R$2-$C47, 'GEN-CARBON'!$D$7:$AW$7, 'GEN-CARBON'!$D$124:$AW$124), 0), IF($B47='Project List References'!$B$7, _xlfn.IFNA(_xlfn.XLOOKUP(R$2-$C47, 'SENS Coal'!$D$7:$AW$7, 'SENS Coal'!$D$141:$AW$141), 0), IF($B47='Project List References'!$B$8, _xlfn.IFNA(_xlfn.XLOOKUP(R$2-$C47,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S47" s="743" t="e">
        <f>IF($B47='Project List References'!$B$3, _xlfn.IFNA(_xlfn.XLOOKUP(S$2-$C47, 'GEN-CCGT'!$D$7:$AW$7, 'GEN-CCGT'!$D$124:$AW$124), 0), IF($B47='Project List References'!$B$4, _xlfn.IFNA(_xlfn.XLOOKUP(S$2-$C47, 'GEN-SOLAR'!$D$7:$AW$7, 'GEN-SOLAR'!$D$122:$AW$122), 0), IF($B47='Project List References'!$B$5, _xlfn.IFNA(_xlfn.XLOOKUP(S$2-$C47, 'GEN-BESS'!$D$7:$AW$7, 'GEN-BESS'!$D$125:$AW$125), 0), IF($B47='Project List References'!$B$6, _xlfn.IFNA(_xlfn.XLOOKUP(S$2-$C47, 'GEN-CARBON'!$D$7:$AW$7, 'GEN-CARBON'!$D$124:$AW$124), 0), IF($B47='Project List References'!$B$7, _xlfn.IFNA(_xlfn.XLOOKUP(S$2-$C47, 'SENS Coal'!$D$7:$AW$7, 'SENS Coal'!$D$141:$AW$141), 0), IF($B47='Project List References'!$B$8, _xlfn.IFNA(_xlfn.XLOOKUP(S$2-$C47,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  <c r="T47" s="743" t="e">
        <f>IF($B47='Project List References'!$B$3, _xlfn.IFNA(_xlfn.XLOOKUP(T$2-$C47, 'GEN-CCGT'!$D$7:$AW$7, 'GEN-CCGT'!$D$124:$AW$124), 0), IF($B47='Project List References'!$B$4, _xlfn.IFNA(_xlfn.XLOOKUP(T$2-$C47, 'GEN-SOLAR'!$D$7:$AW$7, 'GEN-SOLAR'!$D$122:$AW$122), 0), IF($B47='Project List References'!$B$5, _xlfn.IFNA(_xlfn.XLOOKUP(T$2-$C47, 'GEN-BESS'!$D$7:$AW$7, 'GEN-BESS'!$D$125:$AW$125), 0), IF($B47='Project List References'!$B$6, _xlfn.IFNA(_xlfn.XLOOKUP(T$2-$C47, 'GEN-CARBON'!$D$7:$AW$7, 'GEN-CARBON'!$D$124:$AW$124), 0), IF($B47='Project List References'!$B$7, _xlfn.IFNA(_xlfn.XLOOKUP(T$2-$C47, 'SENS Coal'!$D$7:$AW$7, 'SENS Coal'!$D$141:$AW$141), 0), IF($B47='Project List References'!$B$8, _xlfn.IFNA(_xlfn.XLOOKUP(T$2-$C47, 'SENS Tires'!$D$7:$AW$7, 'SENS Tires'!$D$139:$AW$139), 0)))))))/_xlfn.XLOOKUP($B47, 'Assumptions &amp; Inputs'!$F$76:$L$76, 'Assumptions &amp; Inputs'!$F$77:$L$77)*IF(OR($B47='Project List References'!$B$3, $B47='Project List References'!$B$4, $B47='Project List References'!$B$5, $B47='Project List References'!$B$6), 'Project Master Sheet'!$E47, 'Project Master Sheet'!$F47)</f>
        <v>#N/A</v>
      </c>
    </row>
    <row r="48" spans="1:20">
      <c r="A48" s="655" t="str">
        <f>IF(ISBLANK('Project Master Sheet'!A48)=FALSE, 'Project Master Sheet'!A48, "")</f>
        <v/>
      </c>
      <c r="B48" s="655" t="str">
        <f>_xlfn.IFNA(_xlfn.XLOOKUP(A48, 'Project Master Sheet'!A:A, 'Project Master Sheet'!D:D), "")</f>
        <v/>
      </c>
      <c r="C48" s="655" t="e">
        <f>_xlfn.XLOOKUP(A48, 'Project Master Sheet'!A:A, 'Project Master Sheet'!I:I)</f>
        <v>#N/A</v>
      </c>
      <c r="E48" s="743" t="e">
        <f>IF($B48='Project List References'!$B$3, _xlfn.IFNA(_xlfn.XLOOKUP(E$2-$C48, 'GEN-CCGT'!$D$7:$AW$7, 'GEN-CCGT'!$D$124:$AW$124), 0), IF($B48='Project List References'!$B$4, _xlfn.IFNA(_xlfn.XLOOKUP(E$2-$C48, 'GEN-SOLAR'!$D$7:$AW$7, 'GEN-SOLAR'!$D$122:$AW$122), 0), IF($B48='Project List References'!$B$5, _xlfn.IFNA(_xlfn.XLOOKUP(E$2-$C48, 'GEN-BESS'!$D$7:$AW$7, 'GEN-BESS'!$D$125:$AW$125), 0), IF($B48='Project List References'!$B$6, _xlfn.IFNA(_xlfn.XLOOKUP(E$2-$C48, 'GEN-CARBON'!$D$7:$AW$7, 'GEN-CARBON'!$D$124:$AW$124), 0), IF($B48='Project List References'!$B$7, _xlfn.IFNA(_xlfn.XLOOKUP(E$2-$C48, 'SENS Coal'!$D$7:$AW$7, 'SENS Coal'!$D$141:$AW$141), 0), IF($B48='Project List References'!$B$8, _xlfn.IFNA(_xlfn.XLOOKUP(E$2-$C48,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F48" s="743" t="e">
        <f>IF($B48='Project List References'!$B$3, _xlfn.IFNA(_xlfn.XLOOKUP(F$2-$C48, 'GEN-CCGT'!$D$7:$AW$7, 'GEN-CCGT'!$D$124:$AW$124), 0), IF($B48='Project List References'!$B$4, _xlfn.IFNA(_xlfn.XLOOKUP(F$2-$C48, 'GEN-SOLAR'!$D$7:$AW$7, 'GEN-SOLAR'!$D$122:$AW$122), 0), IF($B48='Project List References'!$B$5, _xlfn.IFNA(_xlfn.XLOOKUP(F$2-$C48, 'GEN-BESS'!$D$7:$AW$7, 'GEN-BESS'!$D$125:$AW$125), 0), IF($B48='Project List References'!$B$6, _xlfn.IFNA(_xlfn.XLOOKUP(F$2-$C48, 'GEN-CARBON'!$D$7:$AW$7, 'GEN-CARBON'!$D$124:$AW$124), 0), IF($B48='Project List References'!$B$7, _xlfn.IFNA(_xlfn.XLOOKUP(F$2-$C48, 'SENS Coal'!$D$7:$AW$7, 'SENS Coal'!$D$141:$AW$141), 0), IF($B48='Project List References'!$B$8, _xlfn.IFNA(_xlfn.XLOOKUP(F$2-$C48,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G48" s="743" t="e">
        <f>IF($B48='Project List References'!$B$3, _xlfn.IFNA(_xlfn.XLOOKUP(G$2-$C48, 'GEN-CCGT'!$D$7:$AW$7, 'GEN-CCGT'!$D$124:$AW$124), 0), IF($B48='Project List References'!$B$4, _xlfn.IFNA(_xlfn.XLOOKUP(G$2-$C48, 'GEN-SOLAR'!$D$7:$AW$7, 'GEN-SOLAR'!$D$122:$AW$122), 0), IF($B48='Project List References'!$B$5, _xlfn.IFNA(_xlfn.XLOOKUP(G$2-$C48, 'GEN-BESS'!$D$7:$AW$7, 'GEN-BESS'!$D$125:$AW$125), 0), IF($B48='Project List References'!$B$6, _xlfn.IFNA(_xlfn.XLOOKUP(G$2-$C48, 'GEN-CARBON'!$D$7:$AW$7, 'GEN-CARBON'!$D$124:$AW$124), 0), IF($B48='Project List References'!$B$7, _xlfn.IFNA(_xlfn.XLOOKUP(G$2-$C48, 'SENS Coal'!$D$7:$AW$7, 'SENS Coal'!$D$141:$AW$141), 0), IF($B48='Project List References'!$B$8, _xlfn.IFNA(_xlfn.XLOOKUP(G$2-$C48,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H48" s="743" t="e">
        <f>IF($B48='Project List References'!$B$3, _xlfn.IFNA(_xlfn.XLOOKUP(H$2-$C48, 'GEN-CCGT'!$D$7:$AW$7, 'GEN-CCGT'!$D$124:$AW$124), 0), IF($B48='Project List References'!$B$4, _xlfn.IFNA(_xlfn.XLOOKUP(H$2-$C48, 'GEN-SOLAR'!$D$7:$AW$7, 'GEN-SOLAR'!$D$122:$AW$122), 0), IF($B48='Project List References'!$B$5, _xlfn.IFNA(_xlfn.XLOOKUP(H$2-$C48, 'GEN-BESS'!$D$7:$AW$7, 'GEN-BESS'!$D$125:$AW$125), 0), IF($B48='Project List References'!$B$6, _xlfn.IFNA(_xlfn.XLOOKUP(H$2-$C48, 'GEN-CARBON'!$D$7:$AW$7, 'GEN-CARBON'!$D$124:$AW$124), 0), IF($B48='Project List References'!$B$7, _xlfn.IFNA(_xlfn.XLOOKUP(H$2-$C48, 'SENS Coal'!$D$7:$AW$7, 'SENS Coal'!$D$141:$AW$141), 0), IF($B48='Project List References'!$B$8, _xlfn.IFNA(_xlfn.XLOOKUP(H$2-$C48,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I48" s="743" t="e">
        <f>IF($B48='Project List References'!$B$3, _xlfn.IFNA(_xlfn.XLOOKUP(I$2-$C48, 'GEN-CCGT'!$D$7:$AW$7, 'GEN-CCGT'!$D$124:$AW$124), 0), IF($B48='Project List References'!$B$4, _xlfn.IFNA(_xlfn.XLOOKUP(I$2-$C48, 'GEN-SOLAR'!$D$7:$AW$7, 'GEN-SOLAR'!$D$122:$AW$122), 0), IF($B48='Project List References'!$B$5, _xlfn.IFNA(_xlfn.XLOOKUP(I$2-$C48, 'GEN-BESS'!$D$7:$AW$7, 'GEN-BESS'!$D$125:$AW$125), 0), IF($B48='Project List References'!$B$6, _xlfn.IFNA(_xlfn.XLOOKUP(I$2-$C48, 'GEN-CARBON'!$D$7:$AW$7, 'GEN-CARBON'!$D$124:$AW$124), 0), IF($B48='Project List References'!$B$7, _xlfn.IFNA(_xlfn.XLOOKUP(I$2-$C48, 'SENS Coal'!$D$7:$AW$7, 'SENS Coal'!$D$141:$AW$141), 0), IF($B48='Project List References'!$B$8, _xlfn.IFNA(_xlfn.XLOOKUP(I$2-$C48,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J48" s="743" t="e">
        <f>IF($B48='Project List References'!$B$3, _xlfn.IFNA(_xlfn.XLOOKUP(J$2-$C48, 'GEN-CCGT'!$D$7:$AW$7, 'GEN-CCGT'!$D$124:$AW$124), 0), IF($B48='Project List References'!$B$4, _xlfn.IFNA(_xlfn.XLOOKUP(J$2-$C48, 'GEN-SOLAR'!$D$7:$AW$7, 'GEN-SOLAR'!$D$122:$AW$122), 0), IF($B48='Project List References'!$B$5, _xlfn.IFNA(_xlfn.XLOOKUP(J$2-$C48, 'GEN-BESS'!$D$7:$AW$7, 'GEN-BESS'!$D$125:$AW$125), 0), IF($B48='Project List References'!$B$6, _xlfn.IFNA(_xlfn.XLOOKUP(J$2-$C48, 'GEN-CARBON'!$D$7:$AW$7, 'GEN-CARBON'!$D$124:$AW$124), 0), IF($B48='Project List References'!$B$7, _xlfn.IFNA(_xlfn.XLOOKUP(J$2-$C48, 'SENS Coal'!$D$7:$AW$7, 'SENS Coal'!$D$141:$AW$141), 0), IF($B48='Project List References'!$B$8, _xlfn.IFNA(_xlfn.XLOOKUP(J$2-$C48,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K48" s="743" t="e">
        <f>IF($B48='Project List References'!$B$3, _xlfn.IFNA(_xlfn.XLOOKUP(K$2-$C48, 'GEN-CCGT'!$D$7:$AW$7, 'GEN-CCGT'!$D$124:$AW$124), 0), IF($B48='Project List References'!$B$4, _xlfn.IFNA(_xlfn.XLOOKUP(K$2-$C48, 'GEN-SOLAR'!$D$7:$AW$7, 'GEN-SOLAR'!$D$122:$AW$122), 0), IF($B48='Project List References'!$B$5, _xlfn.IFNA(_xlfn.XLOOKUP(K$2-$C48, 'GEN-BESS'!$D$7:$AW$7, 'GEN-BESS'!$D$125:$AW$125), 0), IF($B48='Project List References'!$B$6, _xlfn.IFNA(_xlfn.XLOOKUP(K$2-$C48, 'GEN-CARBON'!$D$7:$AW$7, 'GEN-CARBON'!$D$124:$AW$124), 0), IF($B48='Project List References'!$B$7, _xlfn.IFNA(_xlfn.XLOOKUP(K$2-$C48, 'SENS Coal'!$D$7:$AW$7, 'SENS Coal'!$D$141:$AW$141), 0), IF($B48='Project List References'!$B$8, _xlfn.IFNA(_xlfn.XLOOKUP(K$2-$C48,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L48" s="743" t="e">
        <f>IF($B48='Project List References'!$B$3, _xlfn.IFNA(_xlfn.XLOOKUP(L$2-$C48, 'GEN-CCGT'!$D$7:$AW$7, 'GEN-CCGT'!$D$124:$AW$124), 0), IF($B48='Project List References'!$B$4, _xlfn.IFNA(_xlfn.XLOOKUP(L$2-$C48, 'GEN-SOLAR'!$D$7:$AW$7, 'GEN-SOLAR'!$D$122:$AW$122), 0), IF($B48='Project List References'!$B$5, _xlfn.IFNA(_xlfn.XLOOKUP(L$2-$C48, 'GEN-BESS'!$D$7:$AW$7, 'GEN-BESS'!$D$125:$AW$125), 0), IF($B48='Project List References'!$B$6, _xlfn.IFNA(_xlfn.XLOOKUP(L$2-$C48, 'GEN-CARBON'!$D$7:$AW$7, 'GEN-CARBON'!$D$124:$AW$124), 0), IF($B48='Project List References'!$B$7, _xlfn.IFNA(_xlfn.XLOOKUP(L$2-$C48, 'SENS Coal'!$D$7:$AW$7, 'SENS Coal'!$D$141:$AW$141), 0), IF($B48='Project List References'!$B$8, _xlfn.IFNA(_xlfn.XLOOKUP(L$2-$C48,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M48" s="743" t="e">
        <f>IF($B48='Project List References'!$B$3, _xlfn.IFNA(_xlfn.XLOOKUP(M$2-$C48, 'GEN-CCGT'!$D$7:$AW$7, 'GEN-CCGT'!$D$124:$AW$124), 0), IF($B48='Project List References'!$B$4, _xlfn.IFNA(_xlfn.XLOOKUP(M$2-$C48, 'GEN-SOLAR'!$D$7:$AW$7, 'GEN-SOLAR'!$D$122:$AW$122), 0), IF($B48='Project List References'!$B$5, _xlfn.IFNA(_xlfn.XLOOKUP(M$2-$C48, 'GEN-BESS'!$D$7:$AW$7, 'GEN-BESS'!$D$125:$AW$125), 0), IF($B48='Project List References'!$B$6, _xlfn.IFNA(_xlfn.XLOOKUP(M$2-$C48, 'GEN-CARBON'!$D$7:$AW$7, 'GEN-CARBON'!$D$124:$AW$124), 0), IF($B48='Project List References'!$B$7, _xlfn.IFNA(_xlfn.XLOOKUP(M$2-$C48, 'SENS Coal'!$D$7:$AW$7, 'SENS Coal'!$D$141:$AW$141), 0), IF($B48='Project List References'!$B$8, _xlfn.IFNA(_xlfn.XLOOKUP(M$2-$C48,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N48" s="743" t="e">
        <f>IF($B48='Project List References'!$B$3, _xlfn.IFNA(_xlfn.XLOOKUP(N$2-$C48, 'GEN-CCGT'!$D$7:$AW$7, 'GEN-CCGT'!$D$124:$AW$124), 0), IF($B48='Project List References'!$B$4, _xlfn.IFNA(_xlfn.XLOOKUP(N$2-$C48, 'GEN-SOLAR'!$D$7:$AW$7, 'GEN-SOLAR'!$D$122:$AW$122), 0), IF($B48='Project List References'!$B$5, _xlfn.IFNA(_xlfn.XLOOKUP(N$2-$C48, 'GEN-BESS'!$D$7:$AW$7, 'GEN-BESS'!$D$125:$AW$125), 0), IF($B48='Project List References'!$B$6, _xlfn.IFNA(_xlfn.XLOOKUP(N$2-$C48, 'GEN-CARBON'!$D$7:$AW$7, 'GEN-CARBON'!$D$124:$AW$124), 0), IF($B48='Project List References'!$B$7, _xlfn.IFNA(_xlfn.XLOOKUP(N$2-$C48, 'SENS Coal'!$D$7:$AW$7, 'SENS Coal'!$D$141:$AW$141), 0), IF($B48='Project List References'!$B$8, _xlfn.IFNA(_xlfn.XLOOKUP(N$2-$C48,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O48" s="743" t="e">
        <f>IF($B48='Project List References'!$B$3, _xlfn.IFNA(_xlfn.XLOOKUP(O$2-$C48, 'GEN-CCGT'!$D$7:$AW$7, 'GEN-CCGT'!$D$124:$AW$124), 0), IF($B48='Project List References'!$B$4, _xlfn.IFNA(_xlfn.XLOOKUP(O$2-$C48, 'GEN-SOLAR'!$D$7:$AW$7, 'GEN-SOLAR'!$D$122:$AW$122), 0), IF($B48='Project List References'!$B$5, _xlfn.IFNA(_xlfn.XLOOKUP(O$2-$C48, 'GEN-BESS'!$D$7:$AW$7, 'GEN-BESS'!$D$125:$AW$125), 0), IF($B48='Project List References'!$B$6, _xlfn.IFNA(_xlfn.XLOOKUP(O$2-$C48, 'GEN-CARBON'!$D$7:$AW$7, 'GEN-CARBON'!$D$124:$AW$124), 0), IF($B48='Project List References'!$B$7, _xlfn.IFNA(_xlfn.XLOOKUP(O$2-$C48, 'SENS Coal'!$D$7:$AW$7, 'SENS Coal'!$D$141:$AW$141), 0), IF($B48='Project List References'!$B$8, _xlfn.IFNA(_xlfn.XLOOKUP(O$2-$C48,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P48" s="743" t="e">
        <f>IF($B48='Project List References'!$B$3, _xlfn.IFNA(_xlfn.XLOOKUP(P$2-$C48, 'GEN-CCGT'!$D$7:$AW$7, 'GEN-CCGT'!$D$124:$AW$124), 0), IF($B48='Project List References'!$B$4, _xlfn.IFNA(_xlfn.XLOOKUP(P$2-$C48, 'GEN-SOLAR'!$D$7:$AW$7, 'GEN-SOLAR'!$D$122:$AW$122), 0), IF($B48='Project List References'!$B$5, _xlfn.IFNA(_xlfn.XLOOKUP(P$2-$C48, 'GEN-BESS'!$D$7:$AW$7, 'GEN-BESS'!$D$125:$AW$125), 0), IF($B48='Project List References'!$B$6, _xlfn.IFNA(_xlfn.XLOOKUP(P$2-$C48, 'GEN-CARBON'!$D$7:$AW$7, 'GEN-CARBON'!$D$124:$AW$124), 0), IF($B48='Project List References'!$B$7, _xlfn.IFNA(_xlfn.XLOOKUP(P$2-$C48, 'SENS Coal'!$D$7:$AW$7, 'SENS Coal'!$D$141:$AW$141), 0), IF($B48='Project List References'!$B$8, _xlfn.IFNA(_xlfn.XLOOKUP(P$2-$C48,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Q48" s="743" t="e">
        <f>IF($B48='Project List References'!$B$3, _xlfn.IFNA(_xlfn.XLOOKUP(Q$2-$C48, 'GEN-CCGT'!$D$7:$AW$7, 'GEN-CCGT'!$D$124:$AW$124), 0), IF($B48='Project List References'!$B$4, _xlfn.IFNA(_xlfn.XLOOKUP(Q$2-$C48, 'GEN-SOLAR'!$D$7:$AW$7, 'GEN-SOLAR'!$D$122:$AW$122), 0), IF($B48='Project List References'!$B$5, _xlfn.IFNA(_xlfn.XLOOKUP(Q$2-$C48, 'GEN-BESS'!$D$7:$AW$7, 'GEN-BESS'!$D$125:$AW$125), 0), IF($B48='Project List References'!$B$6, _xlfn.IFNA(_xlfn.XLOOKUP(Q$2-$C48, 'GEN-CARBON'!$D$7:$AW$7, 'GEN-CARBON'!$D$124:$AW$124), 0), IF($B48='Project List References'!$B$7, _xlfn.IFNA(_xlfn.XLOOKUP(Q$2-$C48, 'SENS Coal'!$D$7:$AW$7, 'SENS Coal'!$D$141:$AW$141), 0), IF($B48='Project List References'!$B$8, _xlfn.IFNA(_xlfn.XLOOKUP(Q$2-$C48,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R48" s="743" t="e">
        <f>IF($B48='Project List References'!$B$3, _xlfn.IFNA(_xlfn.XLOOKUP(R$2-$C48, 'GEN-CCGT'!$D$7:$AW$7, 'GEN-CCGT'!$D$124:$AW$124), 0), IF($B48='Project List References'!$B$4, _xlfn.IFNA(_xlfn.XLOOKUP(R$2-$C48, 'GEN-SOLAR'!$D$7:$AW$7, 'GEN-SOLAR'!$D$122:$AW$122), 0), IF($B48='Project List References'!$B$5, _xlfn.IFNA(_xlfn.XLOOKUP(R$2-$C48, 'GEN-BESS'!$D$7:$AW$7, 'GEN-BESS'!$D$125:$AW$125), 0), IF($B48='Project List References'!$B$6, _xlfn.IFNA(_xlfn.XLOOKUP(R$2-$C48, 'GEN-CARBON'!$D$7:$AW$7, 'GEN-CARBON'!$D$124:$AW$124), 0), IF($B48='Project List References'!$B$7, _xlfn.IFNA(_xlfn.XLOOKUP(R$2-$C48, 'SENS Coal'!$D$7:$AW$7, 'SENS Coal'!$D$141:$AW$141), 0), IF($B48='Project List References'!$B$8, _xlfn.IFNA(_xlfn.XLOOKUP(R$2-$C48,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S48" s="743" t="e">
        <f>IF($B48='Project List References'!$B$3, _xlfn.IFNA(_xlfn.XLOOKUP(S$2-$C48, 'GEN-CCGT'!$D$7:$AW$7, 'GEN-CCGT'!$D$124:$AW$124), 0), IF($B48='Project List References'!$B$4, _xlfn.IFNA(_xlfn.XLOOKUP(S$2-$C48, 'GEN-SOLAR'!$D$7:$AW$7, 'GEN-SOLAR'!$D$122:$AW$122), 0), IF($B48='Project List References'!$B$5, _xlfn.IFNA(_xlfn.XLOOKUP(S$2-$C48, 'GEN-BESS'!$D$7:$AW$7, 'GEN-BESS'!$D$125:$AW$125), 0), IF($B48='Project List References'!$B$6, _xlfn.IFNA(_xlfn.XLOOKUP(S$2-$C48, 'GEN-CARBON'!$D$7:$AW$7, 'GEN-CARBON'!$D$124:$AW$124), 0), IF($B48='Project List References'!$B$7, _xlfn.IFNA(_xlfn.XLOOKUP(S$2-$C48, 'SENS Coal'!$D$7:$AW$7, 'SENS Coal'!$D$141:$AW$141), 0), IF($B48='Project List References'!$B$8, _xlfn.IFNA(_xlfn.XLOOKUP(S$2-$C48,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  <c r="T48" s="743" t="e">
        <f>IF($B48='Project List References'!$B$3, _xlfn.IFNA(_xlfn.XLOOKUP(T$2-$C48, 'GEN-CCGT'!$D$7:$AW$7, 'GEN-CCGT'!$D$124:$AW$124), 0), IF($B48='Project List References'!$B$4, _xlfn.IFNA(_xlfn.XLOOKUP(T$2-$C48, 'GEN-SOLAR'!$D$7:$AW$7, 'GEN-SOLAR'!$D$122:$AW$122), 0), IF($B48='Project List References'!$B$5, _xlfn.IFNA(_xlfn.XLOOKUP(T$2-$C48, 'GEN-BESS'!$D$7:$AW$7, 'GEN-BESS'!$D$125:$AW$125), 0), IF($B48='Project List References'!$B$6, _xlfn.IFNA(_xlfn.XLOOKUP(T$2-$C48, 'GEN-CARBON'!$D$7:$AW$7, 'GEN-CARBON'!$D$124:$AW$124), 0), IF($B48='Project List References'!$B$7, _xlfn.IFNA(_xlfn.XLOOKUP(T$2-$C48, 'SENS Coal'!$D$7:$AW$7, 'SENS Coal'!$D$141:$AW$141), 0), IF($B48='Project List References'!$B$8, _xlfn.IFNA(_xlfn.XLOOKUP(T$2-$C48, 'SENS Tires'!$D$7:$AW$7, 'SENS Tires'!$D$139:$AW$139), 0)))))))/_xlfn.XLOOKUP($B48, 'Assumptions &amp; Inputs'!$F$76:$L$76, 'Assumptions &amp; Inputs'!$F$77:$L$77)*IF(OR($B48='Project List References'!$B$3, $B48='Project List References'!$B$4, $B48='Project List References'!$B$5, $B48='Project List References'!$B$6), 'Project Master Sheet'!$E48, 'Project Master Sheet'!$F48)</f>
        <v>#N/A</v>
      </c>
    </row>
    <row r="49" spans="1:20">
      <c r="A49" s="655" t="str">
        <f>IF(ISBLANK('Project Master Sheet'!A49)=FALSE, 'Project Master Sheet'!A49, "")</f>
        <v/>
      </c>
      <c r="B49" s="655" t="str">
        <f>_xlfn.IFNA(_xlfn.XLOOKUP(A49, 'Project Master Sheet'!A:A, 'Project Master Sheet'!D:D), "")</f>
        <v/>
      </c>
      <c r="C49" s="655" t="e">
        <f>_xlfn.XLOOKUP(A49, 'Project Master Sheet'!A:A, 'Project Master Sheet'!I:I)</f>
        <v>#N/A</v>
      </c>
      <c r="E49" s="743" t="e">
        <f>IF($B49='Project List References'!$B$3, _xlfn.IFNA(_xlfn.XLOOKUP(E$2-$C49, 'GEN-CCGT'!$D$7:$AW$7, 'GEN-CCGT'!$D$124:$AW$124), 0), IF($B49='Project List References'!$B$4, _xlfn.IFNA(_xlfn.XLOOKUP(E$2-$C49, 'GEN-SOLAR'!$D$7:$AW$7, 'GEN-SOLAR'!$D$122:$AW$122), 0), IF($B49='Project List References'!$B$5, _xlfn.IFNA(_xlfn.XLOOKUP(E$2-$C49, 'GEN-BESS'!$D$7:$AW$7, 'GEN-BESS'!$D$125:$AW$125), 0), IF($B49='Project List References'!$B$6, _xlfn.IFNA(_xlfn.XLOOKUP(E$2-$C49, 'GEN-CARBON'!$D$7:$AW$7, 'GEN-CARBON'!$D$124:$AW$124), 0), IF($B49='Project List References'!$B$7, _xlfn.IFNA(_xlfn.XLOOKUP(E$2-$C49, 'SENS Coal'!$D$7:$AW$7, 'SENS Coal'!$D$141:$AW$141), 0), IF($B49='Project List References'!$B$8, _xlfn.IFNA(_xlfn.XLOOKUP(E$2-$C49,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F49" s="743" t="e">
        <f>IF($B49='Project List References'!$B$3, _xlfn.IFNA(_xlfn.XLOOKUP(F$2-$C49, 'GEN-CCGT'!$D$7:$AW$7, 'GEN-CCGT'!$D$124:$AW$124), 0), IF($B49='Project List References'!$B$4, _xlfn.IFNA(_xlfn.XLOOKUP(F$2-$C49, 'GEN-SOLAR'!$D$7:$AW$7, 'GEN-SOLAR'!$D$122:$AW$122), 0), IF($B49='Project List References'!$B$5, _xlfn.IFNA(_xlfn.XLOOKUP(F$2-$C49, 'GEN-BESS'!$D$7:$AW$7, 'GEN-BESS'!$D$125:$AW$125), 0), IF($B49='Project List References'!$B$6, _xlfn.IFNA(_xlfn.XLOOKUP(F$2-$C49, 'GEN-CARBON'!$D$7:$AW$7, 'GEN-CARBON'!$D$124:$AW$124), 0), IF($B49='Project List References'!$B$7, _xlfn.IFNA(_xlfn.XLOOKUP(F$2-$C49, 'SENS Coal'!$D$7:$AW$7, 'SENS Coal'!$D$141:$AW$141), 0), IF($B49='Project List References'!$B$8, _xlfn.IFNA(_xlfn.XLOOKUP(F$2-$C49,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G49" s="743" t="e">
        <f>IF($B49='Project List References'!$B$3, _xlfn.IFNA(_xlfn.XLOOKUP(G$2-$C49, 'GEN-CCGT'!$D$7:$AW$7, 'GEN-CCGT'!$D$124:$AW$124), 0), IF($B49='Project List References'!$B$4, _xlfn.IFNA(_xlfn.XLOOKUP(G$2-$C49, 'GEN-SOLAR'!$D$7:$AW$7, 'GEN-SOLAR'!$D$122:$AW$122), 0), IF($B49='Project List References'!$B$5, _xlfn.IFNA(_xlfn.XLOOKUP(G$2-$C49, 'GEN-BESS'!$D$7:$AW$7, 'GEN-BESS'!$D$125:$AW$125), 0), IF($B49='Project List References'!$B$6, _xlfn.IFNA(_xlfn.XLOOKUP(G$2-$C49, 'GEN-CARBON'!$D$7:$AW$7, 'GEN-CARBON'!$D$124:$AW$124), 0), IF($B49='Project List References'!$B$7, _xlfn.IFNA(_xlfn.XLOOKUP(G$2-$C49, 'SENS Coal'!$D$7:$AW$7, 'SENS Coal'!$D$141:$AW$141), 0), IF($B49='Project List References'!$B$8, _xlfn.IFNA(_xlfn.XLOOKUP(G$2-$C49,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H49" s="743" t="e">
        <f>IF($B49='Project List References'!$B$3, _xlfn.IFNA(_xlfn.XLOOKUP(H$2-$C49, 'GEN-CCGT'!$D$7:$AW$7, 'GEN-CCGT'!$D$124:$AW$124), 0), IF($B49='Project List References'!$B$4, _xlfn.IFNA(_xlfn.XLOOKUP(H$2-$C49, 'GEN-SOLAR'!$D$7:$AW$7, 'GEN-SOLAR'!$D$122:$AW$122), 0), IF($B49='Project List References'!$B$5, _xlfn.IFNA(_xlfn.XLOOKUP(H$2-$C49, 'GEN-BESS'!$D$7:$AW$7, 'GEN-BESS'!$D$125:$AW$125), 0), IF($B49='Project List References'!$B$6, _xlfn.IFNA(_xlfn.XLOOKUP(H$2-$C49, 'GEN-CARBON'!$D$7:$AW$7, 'GEN-CARBON'!$D$124:$AW$124), 0), IF($B49='Project List References'!$B$7, _xlfn.IFNA(_xlfn.XLOOKUP(H$2-$C49, 'SENS Coal'!$D$7:$AW$7, 'SENS Coal'!$D$141:$AW$141), 0), IF($B49='Project List References'!$B$8, _xlfn.IFNA(_xlfn.XLOOKUP(H$2-$C49,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I49" s="743" t="e">
        <f>IF($B49='Project List References'!$B$3, _xlfn.IFNA(_xlfn.XLOOKUP(I$2-$C49, 'GEN-CCGT'!$D$7:$AW$7, 'GEN-CCGT'!$D$124:$AW$124), 0), IF($B49='Project List References'!$B$4, _xlfn.IFNA(_xlfn.XLOOKUP(I$2-$C49, 'GEN-SOLAR'!$D$7:$AW$7, 'GEN-SOLAR'!$D$122:$AW$122), 0), IF($B49='Project List References'!$B$5, _xlfn.IFNA(_xlfn.XLOOKUP(I$2-$C49, 'GEN-BESS'!$D$7:$AW$7, 'GEN-BESS'!$D$125:$AW$125), 0), IF($B49='Project List References'!$B$6, _xlfn.IFNA(_xlfn.XLOOKUP(I$2-$C49, 'GEN-CARBON'!$D$7:$AW$7, 'GEN-CARBON'!$D$124:$AW$124), 0), IF($B49='Project List References'!$B$7, _xlfn.IFNA(_xlfn.XLOOKUP(I$2-$C49, 'SENS Coal'!$D$7:$AW$7, 'SENS Coal'!$D$141:$AW$141), 0), IF($B49='Project List References'!$B$8, _xlfn.IFNA(_xlfn.XLOOKUP(I$2-$C49,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J49" s="743" t="e">
        <f>IF($B49='Project List References'!$B$3, _xlfn.IFNA(_xlfn.XLOOKUP(J$2-$C49, 'GEN-CCGT'!$D$7:$AW$7, 'GEN-CCGT'!$D$124:$AW$124), 0), IF($B49='Project List References'!$B$4, _xlfn.IFNA(_xlfn.XLOOKUP(J$2-$C49, 'GEN-SOLAR'!$D$7:$AW$7, 'GEN-SOLAR'!$D$122:$AW$122), 0), IF($B49='Project List References'!$B$5, _xlfn.IFNA(_xlfn.XLOOKUP(J$2-$C49, 'GEN-BESS'!$D$7:$AW$7, 'GEN-BESS'!$D$125:$AW$125), 0), IF($B49='Project List References'!$B$6, _xlfn.IFNA(_xlfn.XLOOKUP(J$2-$C49, 'GEN-CARBON'!$D$7:$AW$7, 'GEN-CARBON'!$D$124:$AW$124), 0), IF($B49='Project List References'!$B$7, _xlfn.IFNA(_xlfn.XLOOKUP(J$2-$C49, 'SENS Coal'!$D$7:$AW$7, 'SENS Coal'!$D$141:$AW$141), 0), IF($B49='Project List References'!$B$8, _xlfn.IFNA(_xlfn.XLOOKUP(J$2-$C49,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K49" s="743" t="e">
        <f>IF($B49='Project List References'!$B$3, _xlfn.IFNA(_xlfn.XLOOKUP(K$2-$C49, 'GEN-CCGT'!$D$7:$AW$7, 'GEN-CCGT'!$D$124:$AW$124), 0), IF($B49='Project List References'!$B$4, _xlfn.IFNA(_xlfn.XLOOKUP(K$2-$C49, 'GEN-SOLAR'!$D$7:$AW$7, 'GEN-SOLAR'!$D$122:$AW$122), 0), IF($B49='Project List References'!$B$5, _xlfn.IFNA(_xlfn.XLOOKUP(K$2-$C49, 'GEN-BESS'!$D$7:$AW$7, 'GEN-BESS'!$D$125:$AW$125), 0), IF($B49='Project List References'!$B$6, _xlfn.IFNA(_xlfn.XLOOKUP(K$2-$C49, 'GEN-CARBON'!$D$7:$AW$7, 'GEN-CARBON'!$D$124:$AW$124), 0), IF($B49='Project List References'!$B$7, _xlfn.IFNA(_xlfn.XLOOKUP(K$2-$C49, 'SENS Coal'!$D$7:$AW$7, 'SENS Coal'!$D$141:$AW$141), 0), IF($B49='Project List References'!$B$8, _xlfn.IFNA(_xlfn.XLOOKUP(K$2-$C49,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L49" s="743" t="e">
        <f>IF($B49='Project List References'!$B$3, _xlfn.IFNA(_xlfn.XLOOKUP(L$2-$C49, 'GEN-CCGT'!$D$7:$AW$7, 'GEN-CCGT'!$D$124:$AW$124), 0), IF($B49='Project List References'!$B$4, _xlfn.IFNA(_xlfn.XLOOKUP(L$2-$C49, 'GEN-SOLAR'!$D$7:$AW$7, 'GEN-SOLAR'!$D$122:$AW$122), 0), IF($B49='Project List References'!$B$5, _xlfn.IFNA(_xlfn.XLOOKUP(L$2-$C49, 'GEN-BESS'!$D$7:$AW$7, 'GEN-BESS'!$D$125:$AW$125), 0), IF($B49='Project List References'!$B$6, _xlfn.IFNA(_xlfn.XLOOKUP(L$2-$C49, 'GEN-CARBON'!$D$7:$AW$7, 'GEN-CARBON'!$D$124:$AW$124), 0), IF($B49='Project List References'!$B$7, _xlfn.IFNA(_xlfn.XLOOKUP(L$2-$C49, 'SENS Coal'!$D$7:$AW$7, 'SENS Coal'!$D$141:$AW$141), 0), IF($B49='Project List References'!$B$8, _xlfn.IFNA(_xlfn.XLOOKUP(L$2-$C49,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M49" s="743" t="e">
        <f>IF($B49='Project List References'!$B$3, _xlfn.IFNA(_xlfn.XLOOKUP(M$2-$C49, 'GEN-CCGT'!$D$7:$AW$7, 'GEN-CCGT'!$D$124:$AW$124), 0), IF($B49='Project List References'!$B$4, _xlfn.IFNA(_xlfn.XLOOKUP(M$2-$C49, 'GEN-SOLAR'!$D$7:$AW$7, 'GEN-SOLAR'!$D$122:$AW$122), 0), IF($B49='Project List References'!$B$5, _xlfn.IFNA(_xlfn.XLOOKUP(M$2-$C49, 'GEN-BESS'!$D$7:$AW$7, 'GEN-BESS'!$D$125:$AW$125), 0), IF($B49='Project List References'!$B$6, _xlfn.IFNA(_xlfn.XLOOKUP(M$2-$C49, 'GEN-CARBON'!$D$7:$AW$7, 'GEN-CARBON'!$D$124:$AW$124), 0), IF($B49='Project List References'!$B$7, _xlfn.IFNA(_xlfn.XLOOKUP(M$2-$C49, 'SENS Coal'!$D$7:$AW$7, 'SENS Coal'!$D$141:$AW$141), 0), IF($B49='Project List References'!$B$8, _xlfn.IFNA(_xlfn.XLOOKUP(M$2-$C49,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N49" s="743" t="e">
        <f>IF($B49='Project List References'!$B$3, _xlfn.IFNA(_xlfn.XLOOKUP(N$2-$C49, 'GEN-CCGT'!$D$7:$AW$7, 'GEN-CCGT'!$D$124:$AW$124), 0), IF($B49='Project List References'!$B$4, _xlfn.IFNA(_xlfn.XLOOKUP(N$2-$C49, 'GEN-SOLAR'!$D$7:$AW$7, 'GEN-SOLAR'!$D$122:$AW$122), 0), IF($B49='Project List References'!$B$5, _xlfn.IFNA(_xlfn.XLOOKUP(N$2-$C49, 'GEN-BESS'!$D$7:$AW$7, 'GEN-BESS'!$D$125:$AW$125), 0), IF($B49='Project List References'!$B$6, _xlfn.IFNA(_xlfn.XLOOKUP(N$2-$C49, 'GEN-CARBON'!$D$7:$AW$7, 'GEN-CARBON'!$D$124:$AW$124), 0), IF($B49='Project List References'!$B$7, _xlfn.IFNA(_xlfn.XLOOKUP(N$2-$C49, 'SENS Coal'!$D$7:$AW$7, 'SENS Coal'!$D$141:$AW$141), 0), IF($B49='Project List References'!$B$8, _xlfn.IFNA(_xlfn.XLOOKUP(N$2-$C49,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O49" s="743" t="e">
        <f>IF($B49='Project List References'!$B$3, _xlfn.IFNA(_xlfn.XLOOKUP(O$2-$C49, 'GEN-CCGT'!$D$7:$AW$7, 'GEN-CCGT'!$D$124:$AW$124), 0), IF($B49='Project List References'!$B$4, _xlfn.IFNA(_xlfn.XLOOKUP(O$2-$C49, 'GEN-SOLAR'!$D$7:$AW$7, 'GEN-SOLAR'!$D$122:$AW$122), 0), IF($B49='Project List References'!$B$5, _xlfn.IFNA(_xlfn.XLOOKUP(O$2-$C49, 'GEN-BESS'!$D$7:$AW$7, 'GEN-BESS'!$D$125:$AW$125), 0), IF($B49='Project List References'!$B$6, _xlfn.IFNA(_xlfn.XLOOKUP(O$2-$C49, 'GEN-CARBON'!$D$7:$AW$7, 'GEN-CARBON'!$D$124:$AW$124), 0), IF($B49='Project List References'!$B$7, _xlfn.IFNA(_xlfn.XLOOKUP(O$2-$C49, 'SENS Coal'!$D$7:$AW$7, 'SENS Coal'!$D$141:$AW$141), 0), IF($B49='Project List References'!$B$8, _xlfn.IFNA(_xlfn.XLOOKUP(O$2-$C49,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P49" s="743" t="e">
        <f>IF($B49='Project List References'!$B$3, _xlfn.IFNA(_xlfn.XLOOKUP(P$2-$C49, 'GEN-CCGT'!$D$7:$AW$7, 'GEN-CCGT'!$D$124:$AW$124), 0), IF($B49='Project List References'!$B$4, _xlfn.IFNA(_xlfn.XLOOKUP(P$2-$C49, 'GEN-SOLAR'!$D$7:$AW$7, 'GEN-SOLAR'!$D$122:$AW$122), 0), IF($B49='Project List References'!$B$5, _xlfn.IFNA(_xlfn.XLOOKUP(P$2-$C49, 'GEN-BESS'!$D$7:$AW$7, 'GEN-BESS'!$D$125:$AW$125), 0), IF($B49='Project List References'!$B$6, _xlfn.IFNA(_xlfn.XLOOKUP(P$2-$C49, 'GEN-CARBON'!$D$7:$AW$7, 'GEN-CARBON'!$D$124:$AW$124), 0), IF($B49='Project List References'!$B$7, _xlfn.IFNA(_xlfn.XLOOKUP(P$2-$C49, 'SENS Coal'!$D$7:$AW$7, 'SENS Coal'!$D$141:$AW$141), 0), IF($B49='Project List References'!$B$8, _xlfn.IFNA(_xlfn.XLOOKUP(P$2-$C49,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Q49" s="743" t="e">
        <f>IF($B49='Project List References'!$B$3, _xlfn.IFNA(_xlfn.XLOOKUP(Q$2-$C49, 'GEN-CCGT'!$D$7:$AW$7, 'GEN-CCGT'!$D$124:$AW$124), 0), IF($B49='Project List References'!$B$4, _xlfn.IFNA(_xlfn.XLOOKUP(Q$2-$C49, 'GEN-SOLAR'!$D$7:$AW$7, 'GEN-SOLAR'!$D$122:$AW$122), 0), IF($B49='Project List References'!$B$5, _xlfn.IFNA(_xlfn.XLOOKUP(Q$2-$C49, 'GEN-BESS'!$D$7:$AW$7, 'GEN-BESS'!$D$125:$AW$125), 0), IF($B49='Project List References'!$B$6, _xlfn.IFNA(_xlfn.XLOOKUP(Q$2-$C49, 'GEN-CARBON'!$D$7:$AW$7, 'GEN-CARBON'!$D$124:$AW$124), 0), IF($B49='Project List References'!$B$7, _xlfn.IFNA(_xlfn.XLOOKUP(Q$2-$C49, 'SENS Coal'!$D$7:$AW$7, 'SENS Coal'!$D$141:$AW$141), 0), IF($B49='Project List References'!$B$8, _xlfn.IFNA(_xlfn.XLOOKUP(Q$2-$C49,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R49" s="743" t="e">
        <f>IF($B49='Project List References'!$B$3, _xlfn.IFNA(_xlfn.XLOOKUP(R$2-$C49, 'GEN-CCGT'!$D$7:$AW$7, 'GEN-CCGT'!$D$124:$AW$124), 0), IF($B49='Project List References'!$B$4, _xlfn.IFNA(_xlfn.XLOOKUP(R$2-$C49, 'GEN-SOLAR'!$D$7:$AW$7, 'GEN-SOLAR'!$D$122:$AW$122), 0), IF($B49='Project List References'!$B$5, _xlfn.IFNA(_xlfn.XLOOKUP(R$2-$C49, 'GEN-BESS'!$D$7:$AW$7, 'GEN-BESS'!$D$125:$AW$125), 0), IF($B49='Project List References'!$B$6, _xlfn.IFNA(_xlfn.XLOOKUP(R$2-$C49, 'GEN-CARBON'!$D$7:$AW$7, 'GEN-CARBON'!$D$124:$AW$124), 0), IF($B49='Project List References'!$B$7, _xlfn.IFNA(_xlfn.XLOOKUP(R$2-$C49, 'SENS Coal'!$D$7:$AW$7, 'SENS Coal'!$D$141:$AW$141), 0), IF($B49='Project List References'!$B$8, _xlfn.IFNA(_xlfn.XLOOKUP(R$2-$C49,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S49" s="743" t="e">
        <f>IF($B49='Project List References'!$B$3, _xlfn.IFNA(_xlfn.XLOOKUP(S$2-$C49, 'GEN-CCGT'!$D$7:$AW$7, 'GEN-CCGT'!$D$124:$AW$124), 0), IF($B49='Project List References'!$B$4, _xlfn.IFNA(_xlfn.XLOOKUP(S$2-$C49, 'GEN-SOLAR'!$D$7:$AW$7, 'GEN-SOLAR'!$D$122:$AW$122), 0), IF($B49='Project List References'!$B$5, _xlfn.IFNA(_xlfn.XLOOKUP(S$2-$C49, 'GEN-BESS'!$D$7:$AW$7, 'GEN-BESS'!$D$125:$AW$125), 0), IF($B49='Project List References'!$B$6, _xlfn.IFNA(_xlfn.XLOOKUP(S$2-$C49, 'GEN-CARBON'!$D$7:$AW$7, 'GEN-CARBON'!$D$124:$AW$124), 0), IF($B49='Project List References'!$B$7, _xlfn.IFNA(_xlfn.XLOOKUP(S$2-$C49, 'SENS Coal'!$D$7:$AW$7, 'SENS Coal'!$D$141:$AW$141), 0), IF($B49='Project List References'!$B$8, _xlfn.IFNA(_xlfn.XLOOKUP(S$2-$C49,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  <c r="T49" s="743" t="e">
        <f>IF($B49='Project List References'!$B$3, _xlfn.IFNA(_xlfn.XLOOKUP(T$2-$C49, 'GEN-CCGT'!$D$7:$AW$7, 'GEN-CCGT'!$D$124:$AW$124), 0), IF($B49='Project List References'!$B$4, _xlfn.IFNA(_xlfn.XLOOKUP(T$2-$C49, 'GEN-SOLAR'!$D$7:$AW$7, 'GEN-SOLAR'!$D$122:$AW$122), 0), IF($B49='Project List References'!$B$5, _xlfn.IFNA(_xlfn.XLOOKUP(T$2-$C49, 'GEN-BESS'!$D$7:$AW$7, 'GEN-BESS'!$D$125:$AW$125), 0), IF($B49='Project List References'!$B$6, _xlfn.IFNA(_xlfn.XLOOKUP(T$2-$C49, 'GEN-CARBON'!$D$7:$AW$7, 'GEN-CARBON'!$D$124:$AW$124), 0), IF($B49='Project List References'!$B$7, _xlfn.IFNA(_xlfn.XLOOKUP(T$2-$C49, 'SENS Coal'!$D$7:$AW$7, 'SENS Coal'!$D$141:$AW$141), 0), IF($B49='Project List References'!$B$8, _xlfn.IFNA(_xlfn.XLOOKUP(T$2-$C49, 'SENS Tires'!$D$7:$AW$7, 'SENS Tires'!$D$139:$AW$139), 0)))))))/_xlfn.XLOOKUP($B49, 'Assumptions &amp; Inputs'!$F$76:$L$76, 'Assumptions &amp; Inputs'!$F$77:$L$77)*IF(OR($B49='Project List References'!$B$3, $B49='Project List References'!$B$4, $B49='Project List References'!$B$5, $B49='Project List References'!$B$6), 'Project Master Sheet'!$E49, 'Project Master Sheet'!$F49)</f>
        <v>#N/A</v>
      </c>
    </row>
    <row r="50" spans="1:20">
      <c r="A50" s="655" t="str">
        <f>IF(ISBLANK('Project Master Sheet'!A50)=FALSE, 'Project Master Sheet'!A50, "")</f>
        <v/>
      </c>
      <c r="B50" s="655" t="str">
        <f>_xlfn.IFNA(_xlfn.XLOOKUP(A50, 'Project Master Sheet'!A:A, 'Project Master Sheet'!D:D), "")</f>
        <v/>
      </c>
      <c r="C50" s="655" t="e">
        <f>_xlfn.XLOOKUP(A50, 'Project Master Sheet'!A:A, 'Project Master Sheet'!I:I)</f>
        <v>#N/A</v>
      </c>
      <c r="E50" s="743" t="e">
        <f>IF($B50='Project List References'!$B$3, _xlfn.IFNA(_xlfn.XLOOKUP(E$2-$C50, 'GEN-CCGT'!$D$7:$AW$7, 'GEN-CCGT'!$D$124:$AW$124), 0), IF($B50='Project List References'!$B$4, _xlfn.IFNA(_xlfn.XLOOKUP(E$2-$C50, 'GEN-SOLAR'!$D$7:$AW$7, 'GEN-SOLAR'!$D$122:$AW$122), 0), IF($B50='Project List References'!$B$5, _xlfn.IFNA(_xlfn.XLOOKUP(E$2-$C50, 'GEN-BESS'!$D$7:$AW$7, 'GEN-BESS'!$D$125:$AW$125), 0), IF($B50='Project List References'!$B$6, _xlfn.IFNA(_xlfn.XLOOKUP(E$2-$C50, 'GEN-CARBON'!$D$7:$AW$7, 'GEN-CARBON'!$D$124:$AW$124), 0), IF($B50='Project List References'!$B$7, _xlfn.IFNA(_xlfn.XLOOKUP(E$2-$C50, 'SENS Coal'!$D$7:$AW$7, 'SENS Coal'!$D$141:$AW$141), 0), IF($B50='Project List References'!$B$8, _xlfn.IFNA(_xlfn.XLOOKUP(E$2-$C50,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F50" s="743" t="e">
        <f>IF($B50='Project List References'!$B$3, _xlfn.IFNA(_xlfn.XLOOKUP(F$2-$C50, 'GEN-CCGT'!$D$7:$AW$7, 'GEN-CCGT'!$D$124:$AW$124), 0), IF($B50='Project List References'!$B$4, _xlfn.IFNA(_xlfn.XLOOKUP(F$2-$C50, 'GEN-SOLAR'!$D$7:$AW$7, 'GEN-SOLAR'!$D$122:$AW$122), 0), IF($B50='Project List References'!$B$5, _xlfn.IFNA(_xlfn.XLOOKUP(F$2-$C50, 'GEN-BESS'!$D$7:$AW$7, 'GEN-BESS'!$D$125:$AW$125), 0), IF($B50='Project List References'!$B$6, _xlfn.IFNA(_xlfn.XLOOKUP(F$2-$C50, 'GEN-CARBON'!$D$7:$AW$7, 'GEN-CARBON'!$D$124:$AW$124), 0), IF($B50='Project List References'!$B$7, _xlfn.IFNA(_xlfn.XLOOKUP(F$2-$C50, 'SENS Coal'!$D$7:$AW$7, 'SENS Coal'!$D$141:$AW$141), 0), IF($B50='Project List References'!$B$8, _xlfn.IFNA(_xlfn.XLOOKUP(F$2-$C50,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G50" s="743" t="e">
        <f>IF($B50='Project List References'!$B$3, _xlfn.IFNA(_xlfn.XLOOKUP(G$2-$C50, 'GEN-CCGT'!$D$7:$AW$7, 'GEN-CCGT'!$D$124:$AW$124), 0), IF($B50='Project List References'!$B$4, _xlfn.IFNA(_xlfn.XLOOKUP(G$2-$C50, 'GEN-SOLAR'!$D$7:$AW$7, 'GEN-SOLAR'!$D$122:$AW$122), 0), IF($B50='Project List References'!$B$5, _xlfn.IFNA(_xlfn.XLOOKUP(G$2-$C50, 'GEN-BESS'!$D$7:$AW$7, 'GEN-BESS'!$D$125:$AW$125), 0), IF($B50='Project List References'!$B$6, _xlfn.IFNA(_xlfn.XLOOKUP(G$2-$C50, 'GEN-CARBON'!$D$7:$AW$7, 'GEN-CARBON'!$D$124:$AW$124), 0), IF($B50='Project List References'!$B$7, _xlfn.IFNA(_xlfn.XLOOKUP(G$2-$C50, 'SENS Coal'!$D$7:$AW$7, 'SENS Coal'!$D$141:$AW$141), 0), IF($B50='Project List References'!$B$8, _xlfn.IFNA(_xlfn.XLOOKUP(G$2-$C50,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H50" s="743" t="e">
        <f>IF($B50='Project List References'!$B$3, _xlfn.IFNA(_xlfn.XLOOKUP(H$2-$C50, 'GEN-CCGT'!$D$7:$AW$7, 'GEN-CCGT'!$D$124:$AW$124), 0), IF($B50='Project List References'!$B$4, _xlfn.IFNA(_xlfn.XLOOKUP(H$2-$C50, 'GEN-SOLAR'!$D$7:$AW$7, 'GEN-SOLAR'!$D$122:$AW$122), 0), IF($B50='Project List References'!$B$5, _xlfn.IFNA(_xlfn.XLOOKUP(H$2-$C50, 'GEN-BESS'!$D$7:$AW$7, 'GEN-BESS'!$D$125:$AW$125), 0), IF($B50='Project List References'!$B$6, _xlfn.IFNA(_xlfn.XLOOKUP(H$2-$C50, 'GEN-CARBON'!$D$7:$AW$7, 'GEN-CARBON'!$D$124:$AW$124), 0), IF($B50='Project List References'!$B$7, _xlfn.IFNA(_xlfn.XLOOKUP(H$2-$C50, 'SENS Coal'!$D$7:$AW$7, 'SENS Coal'!$D$141:$AW$141), 0), IF($B50='Project List References'!$B$8, _xlfn.IFNA(_xlfn.XLOOKUP(H$2-$C50,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I50" s="743" t="e">
        <f>IF($B50='Project List References'!$B$3, _xlfn.IFNA(_xlfn.XLOOKUP(I$2-$C50, 'GEN-CCGT'!$D$7:$AW$7, 'GEN-CCGT'!$D$124:$AW$124), 0), IF($B50='Project List References'!$B$4, _xlfn.IFNA(_xlfn.XLOOKUP(I$2-$C50, 'GEN-SOLAR'!$D$7:$AW$7, 'GEN-SOLAR'!$D$122:$AW$122), 0), IF($B50='Project List References'!$B$5, _xlfn.IFNA(_xlfn.XLOOKUP(I$2-$C50, 'GEN-BESS'!$D$7:$AW$7, 'GEN-BESS'!$D$125:$AW$125), 0), IF($B50='Project List References'!$B$6, _xlfn.IFNA(_xlfn.XLOOKUP(I$2-$C50, 'GEN-CARBON'!$D$7:$AW$7, 'GEN-CARBON'!$D$124:$AW$124), 0), IF($B50='Project List References'!$B$7, _xlfn.IFNA(_xlfn.XLOOKUP(I$2-$C50, 'SENS Coal'!$D$7:$AW$7, 'SENS Coal'!$D$141:$AW$141), 0), IF($B50='Project List References'!$B$8, _xlfn.IFNA(_xlfn.XLOOKUP(I$2-$C50,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J50" s="743" t="e">
        <f>IF($B50='Project List References'!$B$3, _xlfn.IFNA(_xlfn.XLOOKUP(J$2-$C50, 'GEN-CCGT'!$D$7:$AW$7, 'GEN-CCGT'!$D$124:$AW$124), 0), IF($B50='Project List References'!$B$4, _xlfn.IFNA(_xlfn.XLOOKUP(J$2-$C50, 'GEN-SOLAR'!$D$7:$AW$7, 'GEN-SOLAR'!$D$122:$AW$122), 0), IF($B50='Project List References'!$B$5, _xlfn.IFNA(_xlfn.XLOOKUP(J$2-$C50, 'GEN-BESS'!$D$7:$AW$7, 'GEN-BESS'!$D$125:$AW$125), 0), IF($B50='Project List References'!$B$6, _xlfn.IFNA(_xlfn.XLOOKUP(J$2-$C50, 'GEN-CARBON'!$D$7:$AW$7, 'GEN-CARBON'!$D$124:$AW$124), 0), IF($B50='Project List References'!$B$7, _xlfn.IFNA(_xlfn.XLOOKUP(J$2-$C50, 'SENS Coal'!$D$7:$AW$7, 'SENS Coal'!$D$141:$AW$141), 0), IF($B50='Project List References'!$B$8, _xlfn.IFNA(_xlfn.XLOOKUP(J$2-$C50,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K50" s="743" t="e">
        <f>IF($B50='Project List References'!$B$3, _xlfn.IFNA(_xlfn.XLOOKUP(K$2-$C50, 'GEN-CCGT'!$D$7:$AW$7, 'GEN-CCGT'!$D$124:$AW$124), 0), IF($B50='Project List References'!$B$4, _xlfn.IFNA(_xlfn.XLOOKUP(K$2-$C50, 'GEN-SOLAR'!$D$7:$AW$7, 'GEN-SOLAR'!$D$122:$AW$122), 0), IF($B50='Project List References'!$B$5, _xlfn.IFNA(_xlfn.XLOOKUP(K$2-$C50, 'GEN-BESS'!$D$7:$AW$7, 'GEN-BESS'!$D$125:$AW$125), 0), IF($B50='Project List References'!$B$6, _xlfn.IFNA(_xlfn.XLOOKUP(K$2-$C50, 'GEN-CARBON'!$D$7:$AW$7, 'GEN-CARBON'!$D$124:$AW$124), 0), IF($B50='Project List References'!$B$7, _xlfn.IFNA(_xlfn.XLOOKUP(K$2-$C50, 'SENS Coal'!$D$7:$AW$7, 'SENS Coal'!$D$141:$AW$141), 0), IF($B50='Project List References'!$B$8, _xlfn.IFNA(_xlfn.XLOOKUP(K$2-$C50,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L50" s="743" t="e">
        <f>IF($B50='Project List References'!$B$3, _xlfn.IFNA(_xlfn.XLOOKUP(L$2-$C50, 'GEN-CCGT'!$D$7:$AW$7, 'GEN-CCGT'!$D$124:$AW$124), 0), IF($B50='Project List References'!$B$4, _xlfn.IFNA(_xlfn.XLOOKUP(L$2-$C50, 'GEN-SOLAR'!$D$7:$AW$7, 'GEN-SOLAR'!$D$122:$AW$122), 0), IF($B50='Project List References'!$B$5, _xlfn.IFNA(_xlfn.XLOOKUP(L$2-$C50, 'GEN-BESS'!$D$7:$AW$7, 'GEN-BESS'!$D$125:$AW$125), 0), IF($B50='Project List References'!$B$6, _xlfn.IFNA(_xlfn.XLOOKUP(L$2-$C50, 'GEN-CARBON'!$D$7:$AW$7, 'GEN-CARBON'!$D$124:$AW$124), 0), IF($B50='Project List References'!$B$7, _xlfn.IFNA(_xlfn.XLOOKUP(L$2-$C50, 'SENS Coal'!$D$7:$AW$7, 'SENS Coal'!$D$141:$AW$141), 0), IF($B50='Project List References'!$B$8, _xlfn.IFNA(_xlfn.XLOOKUP(L$2-$C50,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M50" s="743" t="e">
        <f>IF($B50='Project List References'!$B$3, _xlfn.IFNA(_xlfn.XLOOKUP(M$2-$C50, 'GEN-CCGT'!$D$7:$AW$7, 'GEN-CCGT'!$D$124:$AW$124), 0), IF($B50='Project List References'!$B$4, _xlfn.IFNA(_xlfn.XLOOKUP(M$2-$C50, 'GEN-SOLAR'!$D$7:$AW$7, 'GEN-SOLAR'!$D$122:$AW$122), 0), IF($B50='Project List References'!$B$5, _xlfn.IFNA(_xlfn.XLOOKUP(M$2-$C50, 'GEN-BESS'!$D$7:$AW$7, 'GEN-BESS'!$D$125:$AW$125), 0), IF($B50='Project List References'!$B$6, _xlfn.IFNA(_xlfn.XLOOKUP(M$2-$C50, 'GEN-CARBON'!$D$7:$AW$7, 'GEN-CARBON'!$D$124:$AW$124), 0), IF($B50='Project List References'!$B$7, _xlfn.IFNA(_xlfn.XLOOKUP(M$2-$C50, 'SENS Coal'!$D$7:$AW$7, 'SENS Coal'!$D$141:$AW$141), 0), IF($B50='Project List References'!$B$8, _xlfn.IFNA(_xlfn.XLOOKUP(M$2-$C50,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N50" s="743" t="e">
        <f>IF($B50='Project List References'!$B$3, _xlfn.IFNA(_xlfn.XLOOKUP(N$2-$C50, 'GEN-CCGT'!$D$7:$AW$7, 'GEN-CCGT'!$D$124:$AW$124), 0), IF($B50='Project List References'!$B$4, _xlfn.IFNA(_xlfn.XLOOKUP(N$2-$C50, 'GEN-SOLAR'!$D$7:$AW$7, 'GEN-SOLAR'!$D$122:$AW$122), 0), IF($B50='Project List References'!$B$5, _xlfn.IFNA(_xlfn.XLOOKUP(N$2-$C50, 'GEN-BESS'!$D$7:$AW$7, 'GEN-BESS'!$D$125:$AW$125), 0), IF($B50='Project List References'!$B$6, _xlfn.IFNA(_xlfn.XLOOKUP(N$2-$C50, 'GEN-CARBON'!$D$7:$AW$7, 'GEN-CARBON'!$D$124:$AW$124), 0), IF($B50='Project List References'!$B$7, _xlfn.IFNA(_xlfn.XLOOKUP(N$2-$C50, 'SENS Coal'!$D$7:$AW$7, 'SENS Coal'!$D$141:$AW$141), 0), IF($B50='Project List References'!$B$8, _xlfn.IFNA(_xlfn.XLOOKUP(N$2-$C50,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O50" s="743" t="e">
        <f>IF($B50='Project List References'!$B$3, _xlfn.IFNA(_xlfn.XLOOKUP(O$2-$C50, 'GEN-CCGT'!$D$7:$AW$7, 'GEN-CCGT'!$D$124:$AW$124), 0), IF($B50='Project List References'!$B$4, _xlfn.IFNA(_xlfn.XLOOKUP(O$2-$C50, 'GEN-SOLAR'!$D$7:$AW$7, 'GEN-SOLAR'!$D$122:$AW$122), 0), IF($B50='Project List References'!$B$5, _xlfn.IFNA(_xlfn.XLOOKUP(O$2-$C50, 'GEN-BESS'!$D$7:$AW$7, 'GEN-BESS'!$D$125:$AW$125), 0), IF($B50='Project List References'!$B$6, _xlfn.IFNA(_xlfn.XLOOKUP(O$2-$C50, 'GEN-CARBON'!$D$7:$AW$7, 'GEN-CARBON'!$D$124:$AW$124), 0), IF($B50='Project List References'!$B$7, _xlfn.IFNA(_xlfn.XLOOKUP(O$2-$C50, 'SENS Coal'!$D$7:$AW$7, 'SENS Coal'!$D$141:$AW$141), 0), IF($B50='Project List References'!$B$8, _xlfn.IFNA(_xlfn.XLOOKUP(O$2-$C50,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P50" s="743" t="e">
        <f>IF($B50='Project List References'!$B$3, _xlfn.IFNA(_xlfn.XLOOKUP(P$2-$C50, 'GEN-CCGT'!$D$7:$AW$7, 'GEN-CCGT'!$D$124:$AW$124), 0), IF($B50='Project List References'!$B$4, _xlfn.IFNA(_xlfn.XLOOKUP(P$2-$C50, 'GEN-SOLAR'!$D$7:$AW$7, 'GEN-SOLAR'!$D$122:$AW$122), 0), IF($B50='Project List References'!$B$5, _xlfn.IFNA(_xlfn.XLOOKUP(P$2-$C50, 'GEN-BESS'!$D$7:$AW$7, 'GEN-BESS'!$D$125:$AW$125), 0), IF($B50='Project List References'!$B$6, _xlfn.IFNA(_xlfn.XLOOKUP(P$2-$C50, 'GEN-CARBON'!$D$7:$AW$7, 'GEN-CARBON'!$D$124:$AW$124), 0), IF($B50='Project List References'!$B$7, _xlfn.IFNA(_xlfn.XLOOKUP(P$2-$C50, 'SENS Coal'!$D$7:$AW$7, 'SENS Coal'!$D$141:$AW$141), 0), IF($B50='Project List References'!$B$8, _xlfn.IFNA(_xlfn.XLOOKUP(P$2-$C50,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Q50" s="743" t="e">
        <f>IF($B50='Project List References'!$B$3, _xlfn.IFNA(_xlfn.XLOOKUP(Q$2-$C50, 'GEN-CCGT'!$D$7:$AW$7, 'GEN-CCGT'!$D$124:$AW$124), 0), IF($B50='Project List References'!$B$4, _xlfn.IFNA(_xlfn.XLOOKUP(Q$2-$C50, 'GEN-SOLAR'!$D$7:$AW$7, 'GEN-SOLAR'!$D$122:$AW$122), 0), IF($B50='Project List References'!$B$5, _xlfn.IFNA(_xlfn.XLOOKUP(Q$2-$C50, 'GEN-BESS'!$D$7:$AW$7, 'GEN-BESS'!$D$125:$AW$125), 0), IF($B50='Project List References'!$B$6, _xlfn.IFNA(_xlfn.XLOOKUP(Q$2-$C50, 'GEN-CARBON'!$D$7:$AW$7, 'GEN-CARBON'!$D$124:$AW$124), 0), IF($B50='Project List References'!$B$7, _xlfn.IFNA(_xlfn.XLOOKUP(Q$2-$C50, 'SENS Coal'!$D$7:$AW$7, 'SENS Coal'!$D$141:$AW$141), 0), IF($B50='Project List References'!$B$8, _xlfn.IFNA(_xlfn.XLOOKUP(Q$2-$C50,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R50" s="743" t="e">
        <f>IF($B50='Project List References'!$B$3, _xlfn.IFNA(_xlfn.XLOOKUP(R$2-$C50, 'GEN-CCGT'!$D$7:$AW$7, 'GEN-CCGT'!$D$124:$AW$124), 0), IF($B50='Project List References'!$B$4, _xlfn.IFNA(_xlfn.XLOOKUP(R$2-$C50, 'GEN-SOLAR'!$D$7:$AW$7, 'GEN-SOLAR'!$D$122:$AW$122), 0), IF($B50='Project List References'!$B$5, _xlfn.IFNA(_xlfn.XLOOKUP(R$2-$C50, 'GEN-BESS'!$D$7:$AW$7, 'GEN-BESS'!$D$125:$AW$125), 0), IF($B50='Project List References'!$B$6, _xlfn.IFNA(_xlfn.XLOOKUP(R$2-$C50, 'GEN-CARBON'!$D$7:$AW$7, 'GEN-CARBON'!$D$124:$AW$124), 0), IF($B50='Project List References'!$B$7, _xlfn.IFNA(_xlfn.XLOOKUP(R$2-$C50, 'SENS Coal'!$D$7:$AW$7, 'SENS Coal'!$D$141:$AW$141), 0), IF($B50='Project List References'!$B$8, _xlfn.IFNA(_xlfn.XLOOKUP(R$2-$C50,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S50" s="743" t="e">
        <f>IF($B50='Project List References'!$B$3, _xlfn.IFNA(_xlfn.XLOOKUP(S$2-$C50, 'GEN-CCGT'!$D$7:$AW$7, 'GEN-CCGT'!$D$124:$AW$124), 0), IF($B50='Project List References'!$B$4, _xlfn.IFNA(_xlfn.XLOOKUP(S$2-$C50, 'GEN-SOLAR'!$D$7:$AW$7, 'GEN-SOLAR'!$D$122:$AW$122), 0), IF($B50='Project List References'!$B$5, _xlfn.IFNA(_xlfn.XLOOKUP(S$2-$C50, 'GEN-BESS'!$D$7:$AW$7, 'GEN-BESS'!$D$125:$AW$125), 0), IF($B50='Project List References'!$B$6, _xlfn.IFNA(_xlfn.XLOOKUP(S$2-$C50, 'GEN-CARBON'!$D$7:$AW$7, 'GEN-CARBON'!$D$124:$AW$124), 0), IF($B50='Project List References'!$B$7, _xlfn.IFNA(_xlfn.XLOOKUP(S$2-$C50, 'SENS Coal'!$D$7:$AW$7, 'SENS Coal'!$D$141:$AW$141), 0), IF($B50='Project List References'!$B$8, _xlfn.IFNA(_xlfn.XLOOKUP(S$2-$C50,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  <c r="T50" s="743" t="e">
        <f>IF($B50='Project List References'!$B$3, _xlfn.IFNA(_xlfn.XLOOKUP(T$2-$C50, 'GEN-CCGT'!$D$7:$AW$7, 'GEN-CCGT'!$D$124:$AW$124), 0), IF($B50='Project List References'!$B$4, _xlfn.IFNA(_xlfn.XLOOKUP(T$2-$C50, 'GEN-SOLAR'!$D$7:$AW$7, 'GEN-SOLAR'!$D$122:$AW$122), 0), IF($B50='Project List References'!$B$5, _xlfn.IFNA(_xlfn.XLOOKUP(T$2-$C50, 'GEN-BESS'!$D$7:$AW$7, 'GEN-BESS'!$D$125:$AW$125), 0), IF($B50='Project List References'!$B$6, _xlfn.IFNA(_xlfn.XLOOKUP(T$2-$C50, 'GEN-CARBON'!$D$7:$AW$7, 'GEN-CARBON'!$D$124:$AW$124), 0), IF($B50='Project List References'!$B$7, _xlfn.IFNA(_xlfn.XLOOKUP(T$2-$C50, 'SENS Coal'!$D$7:$AW$7, 'SENS Coal'!$D$141:$AW$141), 0), IF($B50='Project List References'!$B$8, _xlfn.IFNA(_xlfn.XLOOKUP(T$2-$C50, 'SENS Tires'!$D$7:$AW$7, 'SENS Tires'!$D$139:$AW$139), 0)))))))/_xlfn.XLOOKUP($B50, 'Assumptions &amp; Inputs'!$F$76:$L$76, 'Assumptions &amp; Inputs'!$F$77:$L$77)*IF(OR($B50='Project List References'!$B$3, $B50='Project List References'!$B$4, $B50='Project List References'!$B$5, $B50='Project List References'!$B$6), 'Project Master Sheet'!$E50, 'Project Master Sheet'!$F50)</f>
        <v>#N/A</v>
      </c>
    </row>
    <row r="51" spans="1:20">
      <c r="A51" s="655" t="str">
        <f>IF(ISBLANK('Project Master Sheet'!A51)=FALSE, 'Project Master Sheet'!A51, "")</f>
        <v/>
      </c>
      <c r="B51" s="655" t="str">
        <f>_xlfn.IFNA(_xlfn.XLOOKUP(A51, 'Project Master Sheet'!A:A, 'Project Master Sheet'!D:D), "")</f>
        <v/>
      </c>
      <c r="C51" s="655" t="e">
        <f>_xlfn.XLOOKUP(A51, 'Project Master Sheet'!A:A, 'Project Master Sheet'!I:I)</f>
        <v>#N/A</v>
      </c>
      <c r="E51" s="743" t="e">
        <f>IF($B51='Project List References'!$B$3, _xlfn.IFNA(_xlfn.XLOOKUP(E$2-$C51, 'GEN-CCGT'!$D$7:$AW$7, 'GEN-CCGT'!$D$124:$AW$124), 0), IF($B51='Project List References'!$B$4, _xlfn.IFNA(_xlfn.XLOOKUP(E$2-$C51, 'GEN-SOLAR'!$D$7:$AW$7, 'GEN-SOLAR'!$D$122:$AW$122), 0), IF($B51='Project List References'!$B$5, _xlfn.IFNA(_xlfn.XLOOKUP(E$2-$C51, 'GEN-BESS'!$D$7:$AW$7, 'GEN-BESS'!$D$125:$AW$125), 0), IF($B51='Project List References'!$B$6, _xlfn.IFNA(_xlfn.XLOOKUP(E$2-$C51, 'GEN-CARBON'!$D$7:$AW$7, 'GEN-CARBON'!$D$124:$AW$124), 0), IF($B51='Project List References'!$B$7, _xlfn.IFNA(_xlfn.XLOOKUP(E$2-$C51, 'SENS Coal'!$D$7:$AW$7, 'SENS Coal'!$D$141:$AW$141), 0), IF($B51='Project List References'!$B$8, _xlfn.IFNA(_xlfn.XLOOKUP(E$2-$C51,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F51" s="743" t="e">
        <f>IF($B51='Project List References'!$B$3, _xlfn.IFNA(_xlfn.XLOOKUP(F$2-$C51, 'GEN-CCGT'!$D$7:$AW$7, 'GEN-CCGT'!$D$124:$AW$124), 0), IF($B51='Project List References'!$B$4, _xlfn.IFNA(_xlfn.XLOOKUP(F$2-$C51, 'GEN-SOLAR'!$D$7:$AW$7, 'GEN-SOLAR'!$D$122:$AW$122), 0), IF($B51='Project List References'!$B$5, _xlfn.IFNA(_xlfn.XLOOKUP(F$2-$C51, 'GEN-BESS'!$D$7:$AW$7, 'GEN-BESS'!$D$125:$AW$125), 0), IF($B51='Project List References'!$B$6, _xlfn.IFNA(_xlfn.XLOOKUP(F$2-$C51, 'GEN-CARBON'!$D$7:$AW$7, 'GEN-CARBON'!$D$124:$AW$124), 0), IF($B51='Project List References'!$B$7, _xlfn.IFNA(_xlfn.XLOOKUP(F$2-$C51, 'SENS Coal'!$D$7:$AW$7, 'SENS Coal'!$D$141:$AW$141), 0), IF($B51='Project List References'!$B$8, _xlfn.IFNA(_xlfn.XLOOKUP(F$2-$C51,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G51" s="743" t="e">
        <f>IF($B51='Project List References'!$B$3, _xlfn.IFNA(_xlfn.XLOOKUP(G$2-$C51, 'GEN-CCGT'!$D$7:$AW$7, 'GEN-CCGT'!$D$124:$AW$124), 0), IF($B51='Project List References'!$B$4, _xlfn.IFNA(_xlfn.XLOOKUP(G$2-$C51, 'GEN-SOLAR'!$D$7:$AW$7, 'GEN-SOLAR'!$D$122:$AW$122), 0), IF($B51='Project List References'!$B$5, _xlfn.IFNA(_xlfn.XLOOKUP(G$2-$C51, 'GEN-BESS'!$D$7:$AW$7, 'GEN-BESS'!$D$125:$AW$125), 0), IF($B51='Project List References'!$B$6, _xlfn.IFNA(_xlfn.XLOOKUP(G$2-$C51, 'GEN-CARBON'!$D$7:$AW$7, 'GEN-CARBON'!$D$124:$AW$124), 0), IF($B51='Project List References'!$B$7, _xlfn.IFNA(_xlfn.XLOOKUP(G$2-$C51, 'SENS Coal'!$D$7:$AW$7, 'SENS Coal'!$D$141:$AW$141), 0), IF($B51='Project List References'!$B$8, _xlfn.IFNA(_xlfn.XLOOKUP(G$2-$C51,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H51" s="743" t="e">
        <f>IF($B51='Project List References'!$B$3, _xlfn.IFNA(_xlfn.XLOOKUP(H$2-$C51, 'GEN-CCGT'!$D$7:$AW$7, 'GEN-CCGT'!$D$124:$AW$124), 0), IF($B51='Project List References'!$B$4, _xlfn.IFNA(_xlfn.XLOOKUP(H$2-$C51, 'GEN-SOLAR'!$D$7:$AW$7, 'GEN-SOLAR'!$D$122:$AW$122), 0), IF($B51='Project List References'!$B$5, _xlfn.IFNA(_xlfn.XLOOKUP(H$2-$C51, 'GEN-BESS'!$D$7:$AW$7, 'GEN-BESS'!$D$125:$AW$125), 0), IF($B51='Project List References'!$B$6, _xlfn.IFNA(_xlfn.XLOOKUP(H$2-$C51, 'GEN-CARBON'!$D$7:$AW$7, 'GEN-CARBON'!$D$124:$AW$124), 0), IF($B51='Project List References'!$B$7, _xlfn.IFNA(_xlfn.XLOOKUP(H$2-$C51, 'SENS Coal'!$D$7:$AW$7, 'SENS Coal'!$D$141:$AW$141), 0), IF($B51='Project List References'!$B$8, _xlfn.IFNA(_xlfn.XLOOKUP(H$2-$C51,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I51" s="743" t="e">
        <f>IF($B51='Project List References'!$B$3, _xlfn.IFNA(_xlfn.XLOOKUP(I$2-$C51, 'GEN-CCGT'!$D$7:$AW$7, 'GEN-CCGT'!$D$124:$AW$124), 0), IF($B51='Project List References'!$B$4, _xlfn.IFNA(_xlfn.XLOOKUP(I$2-$C51, 'GEN-SOLAR'!$D$7:$AW$7, 'GEN-SOLAR'!$D$122:$AW$122), 0), IF($B51='Project List References'!$B$5, _xlfn.IFNA(_xlfn.XLOOKUP(I$2-$C51, 'GEN-BESS'!$D$7:$AW$7, 'GEN-BESS'!$D$125:$AW$125), 0), IF($B51='Project List References'!$B$6, _xlfn.IFNA(_xlfn.XLOOKUP(I$2-$C51, 'GEN-CARBON'!$D$7:$AW$7, 'GEN-CARBON'!$D$124:$AW$124), 0), IF($B51='Project List References'!$B$7, _xlfn.IFNA(_xlfn.XLOOKUP(I$2-$C51, 'SENS Coal'!$D$7:$AW$7, 'SENS Coal'!$D$141:$AW$141), 0), IF($B51='Project List References'!$B$8, _xlfn.IFNA(_xlfn.XLOOKUP(I$2-$C51,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J51" s="743" t="e">
        <f>IF($B51='Project List References'!$B$3, _xlfn.IFNA(_xlfn.XLOOKUP(J$2-$C51, 'GEN-CCGT'!$D$7:$AW$7, 'GEN-CCGT'!$D$124:$AW$124), 0), IF($B51='Project List References'!$B$4, _xlfn.IFNA(_xlfn.XLOOKUP(J$2-$C51, 'GEN-SOLAR'!$D$7:$AW$7, 'GEN-SOLAR'!$D$122:$AW$122), 0), IF($B51='Project List References'!$B$5, _xlfn.IFNA(_xlfn.XLOOKUP(J$2-$C51, 'GEN-BESS'!$D$7:$AW$7, 'GEN-BESS'!$D$125:$AW$125), 0), IF($B51='Project List References'!$B$6, _xlfn.IFNA(_xlfn.XLOOKUP(J$2-$C51, 'GEN-CARBON'!$D$7:$AW$7, 'GEN-CARBON'!$D$124:$AW$124), 0), IF($B51='Project List References'!$B$7, _xlfn.IFNA(_xlfn.XLOOKUP(J$2-$C51, 'SENS Coal'!$D$7:$AW$7, 'SENS Coal'!$D$141:$AW$141), 0), IF($B51='Project List References'!$B$8, _xlfn.IFNA(_xlfn.XLOOKUP(J$2-$C51,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K51" s="743" t="e">
        <f>IF($B51='Project List References'!$B$3, _xlfn.IFNA(_xlfn.XLOOKUP(K$2-$C51, 'GEN-CCGT'!$D$7:$AW$7, 'GEN-CCGT'!$D$124:$AW$124), 0), IF($B51='Project List References'!$B$4, _xlfn.IFNA(_xlfn.XLOOKUP(K$2-$C51, 'GEN-SOLAR'!$D$7:$AW$7, 'GEN-SOLAR'!$D$122:$AW$122), 0), IF($B51='Project List References'!$B$5, _xlfn.IFNA(_xlfn.XLOOKUP(K$2-$C51, 'GEN-BESS'!$D$7:$AW$7, 'GEN-BESS'!$D$125:$AW$125), 0), IF($B51='Project List References'!$B$6, _xlfn.IFNA(_xlfn.XLOOKUP(K$2-$C51, 'GEN-CARBON'!$D$7:$AW$7, 'GEN-CARBON'!$D$124:$AW$124), 0), IF($B51='Project List References'!$B$7, _xlfn.IFNA(_xlfn.XLOOKUP(K$2-$C51, 'SENS Coal'!$D$7:$AW$7, 'SENS Coal'!$D$141:$AW$141), 0), IF($B51='Project List References'!$B$8, _xlfn.IFNA(_xlfn.XLOOKUP(K$2-$C51,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L51" s="743" t="e">
        <f>IF($B51='Project List References'!$B$3, _xlfn.IFNA(_xlfn.XLOOKUP(L$2-$C51, 'GEN-CCGT'!$D$7:$AW$7, 'GEN-CCGT'!$D$124:$AW$124), 0), IF($B51='Project List References'!$B$4, _xlfn.IFNA(_xlfn.XLOOKUP(L$2-$C51, 'GEN-SOLAR'!$D$7:$AW$7, 'GEN-SOLAR'!$D$122:$AW$122), 0), IF($B51='Project List References'!$B$5, _xlfn.IFNA(_xlfn.XLOOKUP(L$2-$C51, 'GEN-BESS'!$D$7:$AW$7, 'GEN-BESS'!$D$125:$AW$125), 0), IF($B51='Project List References'!$B$6, _xlfn.IFNA(_xlfn.XLOOKUP(L$2-$C51, 'GEN-CARBON'!$D$7:$AW$7, 'GEN-CARBON'!$D$124:$AW$124), 0), IF($B51='Project List References'!$B$7, _xlfn.IFNA(_xlfn.XLOOKUP(L$2-$C51, 'SENS Coal'!$D$7:$AW$7, 'SENS Coal'!$D$141:$AW$141), 0), IF($B51='Project List References'!$B$8, _xlfn.IFNA(_xlfn.XLOOKUP(L$2-$C51,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M51" s="743" t="e">
        <f>IF($B51='Project List References'!$B$3, _xlfn.IFNA(_xlfn.XLOOKUP(M$2-$C51, 'GEN-CCGT'!$D$7:$AW$7, 'GEN-CCGT'!$D$124:$AW$124), 0), IF($B51='Project List References'!$B$4, _xlfn.IFNA(_xlfn.XLOOKUP(M$2-$C51, 'GEN-SOLAR'!$D$7:$AW$7, 'GEN-SOLAR'!$D$122:$AW$122), 0), IF($B51='Project List References'!$B$5, _xlfn.IFNA(_xlfn.XLOOKUP(M$2-$C51, 'GEN-BESS'!$D$7:$AW$7, 'GEN-BESS'!$D$125:$AW$125), 0), IF($B51='Project List References'!$B$6, _xlfn.IFNA(_xlfn.XLOOKUP(M$2-$C51, 'GEN-CARBON'!$D$7:$AW$7, 'GEN-CARBON'!$D$124:$AW$124), 0), IF($B51='Project List References'!$B$7, _xlfn.IFNA(_xlfn.XLOOKUP(M$2-$C51, 'SENS Coal'!$D$7:$AW$7, 'SENS Coal'!$D$141:$AW$141), 0), IF($B51='Project List References'!$B$8, _xlfn.IFNA(_xlfn.XLOOKUP(M$2-$C51,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N51" s="743" t="e">
        <f>IF($B51='Project List References'!$B$3, _xlfn.IFNA(_xlfn.XLOOKUP(N$2-$C51, 'GEN-CCGT'!$D$7:$AW$7, 'GEN-CCGT'!$D$124:$AW$124), 0), IF($B51='Project List References'!$B$4, _xlfn.IFNA(_xlfn.XLOOKUP(N$2-$C51, 'GEN-SOLAR'!$D$7:$AW$7, 'GEN-SOLAR'!$D$122:$AW$122), 0), IF($B51='Project List References'!$B$5, _xlfn.IFNA(_xlfn.XLOOKUP(N$2-$C51, 'GEN-BESS'!$D$7:$AW$7, 'GEN-BESS'!$D$125:$AW$125), 0), IF($B51='Project List References'!$B$6, _xlfn.IFNA(_xlfn.XLOOKUP(N$2-$C51, 'GEN-CARBON'!$D$7:$AW$7, 'GEN-CARBON'!$D$124:$AW$124), 0), IF($B51='Project List References'!$B$7, _xlfn.IFNA(_xlfn.XLOOKUP(N$2-$C51, 'SENS Coal'!$D$7:$AW$7, 'SENS Coal'!$D$141:$AW$141), 0), IF($B51='Project List References'!$B$8, _xlfn.IFNA(_xlfn.XLOOKUP(N$2-$C51,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O51" s="743" t="e">
        <f>IF($B51='Project List References'!$B$3, _xlfn.IFNA(_xlfn.XLOOKUP(O$2-$C51, 'GEN-CCGT'!$D$7:$AW$7, 'GEN-CCGT'!$D$124:$AW$124), 0), IF($B51='Project List References'!$B$4, _xlfn.IFNA(_xlfn.XLOOKUP(O$2-$C51, 'GEN-SOLAR'!$D$7:$AW$7, 'GEN-SOLAR'!$D$122:$AW$122), 0), IF($B51='Project List References'!$B$5, _xlfn.IFNA(_xlfn.XLOOKUP(O$2-$C51, 'GEN-BESS'!$D$7:$AW$7, 'GEN-BESS'!$D$125:$AW$125), 0), IF($B51='Project List References'!$B$6, _xlfn.IFNA(_xlfn.XLOOKUP(O$2-$C51, 'GEN-CARBON'!$D$7:$AW$7, 'GEN-CARBON'!$D$124:$AW$124), 0), IF($B51='Project List References'!$B$7, _xlfn.IFNA(_xlfn.XLOOKUP(O$2-$C51, 'SENS Coal'!$D$7:$AW$7, 'SENS Coal'!$D$141:$AW$141), 0), IF($B51='Project List References'!$B$8, _xlfn.IFNA(_xlfn.XLOOKUP(O$2-$C51,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P51" s="743" t="e">
        <f>IF($B51='Project List References'!$B$3, _xlfn.IFNA(_xlfn.XLOOKUP(P$2-$C51, 'GEN-CCGT'!$D$7:$AW$7, 'GEN-CCGT'!$D$124:$AW$124), 0), IF($B51='Project List References'!$B$4, _xlfn.IFNA(_xlfn.XLOOKUP(P$2-$C51, 'GEN-SOLAR'!$D$7:$AW$7, 'GEN-SOLAR'!$D$122:$AW$122), 0), IF($B51='Project List References'!$B$5, _xlfn.IFNA(_xlfn.XLOOKUP(P$2-$C51, 'GEN-BESS'!$D$7:$AW$7, 'GEN-BESS'!$D$125:$AW$125), 0), IF($B51='Project List References'!$B$6, _xlfn.IFNA(_xlfn.XLOOKUP(P$2-$C51, 'GEN-CARBON'!$D$7:$AW$7, 'GEN-CARBON'!$D$124:$AW$124), 0), IF($B51='Project List References'!$B$7, _xlfn.IFNA(_xlfn.XLOOKUP(P$2-$C51, 'SENS Coal'!$D$7:$AW$7, 'SENS Coal'!$D$141:$AW$141), 0), IF($B51='Project List References'!$B$8, _xlfn.IFNA(_xlfn.XLOOKUP(P$2-$C51,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Q51" s="743" t="e">
        <f>IF($B51='Project List References'!$B$3, _xlfn.IFNA(_xlfn.XLOOKUP(Q$2-$C51, 'GEN-CCGT'!$D$7:$AW$7, 'GEN-CCGT'!$D$124:$AW$124), 0), IF($B51='Project List References'!$B$4, _xlfn.IFNA(_xlfn.XLOOKUP(Q$2-$C51, 'GEN-SOLAR'!$D$7:$AW$7, 'GEN-SOLAR'!$D$122:$AW$122), 0), IF($B51='Project List References'!$B$5, _xlfn.IFNA(_xlfn.XLOOKUP(Q$2-$C51, 'GEN-BESS'!$D$7:$AW$7, 'GEN-BESS'!$D$125:$AW$125), 0), IF($B51='Project List References'!$B$6, _xlfn.IFNA(_xlfn.XLOOKUP(Q$2-$C51, 'GEN-CARBON'!$D$7:$AW$7, 'GEN-CARBON'!$D$124:$AW$124), 0), IF($B51='Project List References'!$B$7, _xlfn.IFNA(_xlfn.XLOOKUP(Q$2-$C51, 'SENS Coal'!$D$7:$AW$7, 'SENS Coal'!$D$141:$AW$141), 0), IF($B51='Project List References'!$B$8, _xlfn.IFNA(_xlfn.XLOOKUP(Q$2-$C51,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R51" s="743" t="e">
        <f>IF($B51='Project List References'!$B$3, _xlfn.IFNA(_xlfn.XLOOKUP(R$2-$C51, 'GEN-CCGT'!$D$7:$AW$7, 'GEN-CCGT'!$D$124:$AW$124), 0), IF($B51='Project List References'!$B$4, _xlfn.IFNA(_xlfn.XLOOKUP(R$2-$C51, 'GEN-SOLAR'!$D$7:$AW$7, 'GEN-SOLAR'!$D$122:$AW$122), 0), IF($B51='Project List References'!$B$5, _xlfn.IFNA(_xlfn.XLOOKUP(R$2-$C51, 'GEN-BESS'!$D$7:$AW$7, 'GEN-BESS'!$D$125:$AW$125), 0), IF($B51='Project List References'!$B$6, _xlfn.IFNA(_xlfn.XLOOKUP(R$2-$C51, 'GEN-CARBON'!$D$7:$AW$7, 'GEN-CARBON'!$D$124:$AW$124), 0), IF($B51='Project List References'!$B$7, _xlfn.IFNA(_xlfn.XLOOKUP(R$2-$C51, 'SENS Coal'!$D$7:$AW$7, 'SENS Coal'!$D$141:$AW$141), 0), IF($B51='Project List References'!$B$8, _xlfn.IFNA(_xlfn.XLOOKUP(R$2-$C51,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S51" s="743" t="e">
        <f>IF($B51='Project List References'!$B$3, _xlfn.IFNA(_xlfn.XLOOKUP(S$2-$C51, 'GEN-CCGT'!$D$7:$AW$7, 'GEN-CCGT'!$D$124:$AW$124), 0), IF($B51='Project List References'!$B$4, _xlfn.IFNA(_xlfn.XLOOKUP(S$2-$C51, 'GEN-SOLAR'!$D$7:$AW$7, 'GEN-SOLAR'!$D$122:$AW$122), 0), IF($B51='Project List References'!$B$5, _xlfn.IFNA(_xlfn.XLOOKUP(S$2-$C51, 'GEN-BESS'!$D$7:$AW$7, 'GEN-BESS'!$D$125:$AW$125), 0), IF($B51='Project List References'!$B$6, _xlfn.IFNA(_xlfn.XLOOKUP(S$2-$C51, 'GEN-CARBON'!$D$7:$AW$7, 'GEN-CARBON'!$D$124:$AW$124), 0), IF($B51='Project List References'!$B$7, _xlfn.IFNA(_xlfn.XLOOKUP(S$2-$C51, 'SENS Coal'!$D$7:$AW$7, 'SENS Coal'!$D$141:$AW$141), 0), IF($B51='Project List References'!$B$8, _xlfn.IFNA(_xlfn.XLOOKUP(S$2-$C51,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  <c r="T51" s="743" t="e">
        <f>IF($B51='Project List References'!$B$3, _xlfn.IFNA(_xlfn.XLOOKUP(T$2-$C51, 'GEN-CCGT'!$D$7:$AW$7, 'GEN-CCGT'!$D$124:$AW$124), 0), IF($B51='Project List References'!$B$4, _xlfn.IFNA(_xlfn.XLOOKUP(T$2-$C51, 'GEN-SOLAR'!$D$7:$AW$7, 'GEN-SOLAR'!$D$122:$AW$122), 0), IF($B51='Project List References'!$B$5, _xlfn.IFNA(_xlfn.XLOOKUP(T$2-$C51, 'GEN-BESS'!$D$7:$AW$7, 'GEN-BESS'!$D$125:$AW$125), 0), IF($B51='Project List References'!$B$6, _xlfn.IFNA(_xlfn.XLOOKUP(T$2-$C51, 'GEN-CARBON'!$D$7:$AW$7, 'GEN-CARBON'!$D$124:$AW$124), 0), IF($B51='Project List References'!$B$7, _xlfn.IFNA(_xlfn.XLOOKUP(T$2-$C51, 'SENS Coal'!$D$7:$AW$7, 'SENS Coal'!$D$141:$AW$141), 0), IF($B51='Project List References'!$B$8, _xlfn.IFNA(_xlfn.XLOOKUP(T$2-$C51, 'SENS Tires'!$D$7:$AW$7, 'SENS Tires'!$D$139:$AW$139), 0)))))))/_xlfn.XLOOKUP($B51, 'Assumptions &amp; Inputs'!$F$76:$L$76, 'Assumptions &amp; Inputs'!$F$77:$L$77)*IF(OR($B51='Project List References'!$B$3, $B51='Project List References'!$B$4, $B51='Project List References'!$B$5, $B51='Project List References'!$B$6), 'Project Master Sheet'!$E51, 'Project Master Sheet'!$F51)</f>
        <v>#N/A</v>
      </c>
    </row>
    <row r="52" spans="1:20">
      <c r="A52" s="655" t="str">
        <f>IF(ISBLANK('Project Master Sheet'!A52)=FALSE, 'Project Master Sheet'!A52, "")</f>
        <v/>
      </c>
      <c r="B52" s="655" t="str">
        <f>_xlfn.IFNA(_xlfn.XLOOKUP(A52, 'Project Master Sheet'!A:A, 'Project Master Sheet'!D:D), "")</f>
        <v/>
      </c>
      <c r="C52" s="655" t="e">
        <f>_xlfn.XLOOKUP(A52, 'Project Master Sheet'!A:A, 'Project Master Sheet'!I:I)</f>
        <v>#N/A</v>
      </c>
      <c r="E52" s="743" t="e">
        <f>IF($B52='Project List References'!$B$3, _xlfn.IFNA(_xlfn.XLOOKUP(E$2-$C52, 'GEN-CCGT'!$D$7:$AW$7, 'GEN-CCGT'!$D$124:$AW$124), 0), IF($B52='Project List References'!$B$4, _xlfn.IFNA(_xlfn.XLOOKUP(E$2-$C52, 'GEN-SOLAR'!$D$7:$AW$7, 'GEN-SOLAR'!$D$122:$AW$122), 0), IF($B52='Project List References'!$B$5, _xlfn.IFNA(_xlfn.XLOOKUP(E$2-$C52, 'GEN-BESS'!$D$7:$AW$7, 'GEN-BESS'!$D$125:$AW$125), 0), IF($B52='Project List References'!$B$6, _xlfn.IFNA(_xlfn.XLOOKUP(E$2-$C52, 'GEN-CARBON'!$D$7:$AW$7, 'GEN-CARBON'!$D$124:$AW$124), 0), IF($B52='Project List References'!$B$7, _xlfn.IFNA(_xlfn.XLOOKUP(E$2-$C52, 'SENS Coal'!$D$7:$AW$7, 'SENS Coal'!$D$141:$AW$141), 0), IF($B52='Project List References'!$B$8, _xlfn.IFNA(_xlfn.XLOOKUP(E$2-$C52,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F52" s="743" t="e">
        <f>IF($B52='Project List References'!$B$3, _xlfn.IFNA(_xlfn.XLOOKUP(F$2-$C52, 'GEN-CCGT'!$D$7:$AW$7, 'GEN-CCGT'!$D$124:$AW$124), 0), IF($B52='Project List References'!$B$4, _xlfn.IFNA(_xlfn.XLOOKUP(F$2-$C52, 'GEN-SOLAR'!$D$7:$AW$7, 'GEN-SOLAR'!$D$122:$AW$122), 0), IF($B52='Project List References'!$B$5, _xlfn.IFNA(_xlfn.XLOOKUP(F$2-$C52, 'GEN-BESS'!$D$7:$AW$7, 'GEN-BESS'!$D$125:$AW$125), 0), IF($B52='Project List References'!$B$6, _xlfn.IFNA(_xlfn.XLOOKUP(F$2-$C52, 'GEN-CARBON'!$D$7:$AW$7, 'GEN-CARBON'!$D$124:$AW$124), 0), IF($B52='Project List References'!$B$7, _xlfn.IFNA(_xlfn.XLOOKUP(F$2-$C52, 'SENS Coal'!$D$7:$AW$7, 'SENS Coal'!$D$141:$AW$141), 0), IF($B52='Project List References'!$B$8, _xlfn.IFNA(_xlfn.XLOOKUP(F$2-$C52,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G52" s="743" t="e">
        <f>IF($B52='Project List References'!$B$3, _xlfn.IFNA(_xlfn.XLOOKUP(G$2-$C52, 'GEN-CCGT'!$D$7:$AW$7, 'GEN-CCGT'!$D$124:$AW$124), 0), IF($B52='Project List References'!$B$4, _xlfn.IFNA(_xlfn.XLOOKUP(G$2-$C52, 'GEN-SOLAR'!$D$7:$AW$7, 'GEN-SOLAR'!$D$122:$AW$122), 0), IF($B52='Project List References'!$B$5, _xlfn.IFNA(_xlfn.XLOOKUP(G$2-$C52, 'GEN-BESS'!$D$7:$AW$7, 'GEN-BESS'!$D$125:$AW$125), 0), IF($B52='Project List References'!$B$6, _xlfn.IFNA(_xlfn.XLOOKUP(G$2-$C52, 'GEN-CARBON'!$D$7:$AW$7, 'GEN-CARBON'!$D$124:$AW$124), 0), IF($B52='Project List References'!$B$7, _xlfn.IFNA(_xlfn.XLOOKUP(G$2-$C52, 'SENS Coal'!$D$7:$AW$7, 'SENS Coal'!$D$141:$AW$141), 0), IF($B52='Project List References'!$B$8, _xlfn.IFNA(_xlfn.XLOOKUP(G$2-$C52,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H52" s="743" t="e">
        <f>IF($B52='Project List References'!$B$3, _xlfn.IFNA(_xlfn.XLOOKUP(H$2-$C52, 'GEN-CCGT'!$D$7:$AW$7, 'GEN-CCGT'!$D$124:$AW$124), 0), IF($B52='Project List References'!$B$4, _xlfn.IFNA(_xlfn.XLOOKUP(H$2-$C52, 'GEN-SOLAR'!$D$7:$AW$7, 'GEN-SOLAR'!$D$122:$AW$122), 0), IF($B52='Project List References'!$B$5, _xlfn.IFNA(_xlfn.XLOOKUP(H$2-$C52, 'GEN-BESS'!$D$7:$AW$7, 'GEN-BESS'!$D$125:$AW$125), 0), IF($B52='Project List References'!$B$6, _xlfn.IFNA(_xlfn.XLOOKUP(H$2-$C52, 'GEN-CARBON'!$D$7:$AW$7, 'GEN-CARBON'!$D$124:$AW$124), 0), IF($B52='Project List References'!$B$7, _xlfn.IFNA(_xlfn.XLOOKUP(H$2-$C52, 'SENS Coal'!$D$7:$AW$7, 'SENS Coal'!$D$141:$AW$141), 0), IF($B52='Project List References'!$B$8, _xlfn.IFNA(_xlfn.XLOOKUP(H$2-$C52,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I52" s="743" t="e">
        <f>IF($B52='Project List References'!$B$3, _xlfn.IFNA(_xlfn.XLOOKUP(I$2-$C52, 'GEN-CCGT'!$D$7:$AW$7, 'GEN-CCGT'!$D$124:$AW$124), 0), IF($B52='Project List References'!$B$4, _xlfn.IFNA(_xlfn.XLOOKUP(I$2-$C52, 'GEN-SOLAR'!$D$7:$AW$7, 'GEN-SOLAR'!$D$122:$AW$122), 0), IF($B52='Project List References'!$B$5, _xlfn.IFNA(_xlfn.XLOOKUP(I$2-$C52, 'GEN-BESS'!$D$7:$AW$7, 'GEN-BESS'!$D$125:$AW$125), 0), IF($B52='Project List References'!$B$6, _xlfn.IFNA(_xlfn.XLOOKUP(I$2-$C52, 'GEN-CARBON'!$D$7:$AW$7, 'GEN-CARBON'!$D$124:$AW$124), 0), IF($B52='Project List References'!$B$7, _xlfn.IFNA(_xlfn.XLOOKUP(I$2-$C52, 'SENS Coal'!$D$7:$AW$7, 'SENS Coal'!$D$141:$AW$141), 0), IF($B52='Project List References'!$B$8, _xlfn.IFNA(_xlfn.XLOOKUP(I$2-$C52,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J52" s="743" t="e">
        <f>IF($B52='Project List References'!$B$3, _xlfn.IFNA(_xlfn.XLOOKUP(J$2-$C52, 'GEN-CCGT'!$D$7:$AW$7, 'GEN-CCGT'!$D$124:$AW$124), 0), IF($B52='Project List References'!$B$4, _xlfn.IFNA(_xlfn.XLOOKUP(J$2-$C52, 'GEN-SOLAR'!$D$7:$AW$7, 'GEN-SOLAR'!$D$122:$AW$122), 0), IF($B52='Project List References'!$B$5, _xlfn.IFNA(_xlfn.XLOOKUP(J$2-$C52, 'GEN-BESS'!$D$7:$AW$7, 'GEN-BESS'!$D$125:$AW$125), 0), IF($B52='Project List References'!$B$6, _xlfn.IFNA(_xlfn.XLOOKUP(J$2-$C52, 'GEN-CARBON'!$D$7:$AW$7, 'GEN-CARBON'!$D$124:$AW$124), 0), IF($B52='Project List References'!$B$7, _xlfn.IFNA(_xlfn.XLOOKUP(J$2-$C52, 'SENS Coal'!$D$7:$AW$7, 'SENS Coal'!$D$141:$AW$141), 0), IF($B52='Project List References'!$B$8, _xlfn.IFNA(_xlfn.XLOOKUP(J$2-$C52,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K52" s="743" t="e">
        <f>IF($B52='Project List References'!$B$3, _xlfn.IFNA(_xlfn.XLOOKUP(K$2-$C52, 'GEN-CCGT'!$D$7:$AW$7, 'GEN-CCGT'!$D$124:$AW$124), 0), IF($B52='Project List References'!$B$4, _xlfn.IFNA(_xlfn.XLOOKUP(K$2-$C52, 'GEN-SOLAR'!$D$7:$AW$7, 'GEN-SOLAR'!$D$122:$AW$122), 0), IF($B52='Project List References'!$B$5, _xlfn.IFNA(_xlfn.XLOOKUP(K$2-$C52, 'GEN-BESS'!$D$7:$AW$7, 'GEN-BESS'!$D$125:$AW$125), 0), IF($B52='Project List References'!$B$6, _xlfn.IFNA(_xlfn.XLOOKUP(K$2-$C52, 'GEN-CARBON'!$D$7:$AW$7, 'GEN-CARBON'!$D$124:$AW$124), 0), IF($B52='Project List References'!$B$7, _xlfn.IFNA(_xlfn.XLOOKUP(K$2-$C52, 'SENS Coal'!$D$7:$AW$7, 'SENS Coal'!$D$141:$AW$141), 0), IF($B52='Project List References'!$B$8, _xlfn.IFNA(_xlfn.XLOOKUP(K$2-$C52,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L52" s="743" t="e">
        <f>IF($B52='Project List References'!$B$3, _xlfn.IFNA(_xlfn.XLOOKUP(L$2-$C52, 'GEN-CCGT'!$D$7:$AW$7, 'GEN-CCGT'!$D$124:$AW$124), 0), IF($B52='Project List References'!$B$4, _xlfn.IFNA(_xlfn.XLOOKUP(L$2-$C52, 'GEN-SOLAR'!$D$7:$AW$7, 'GEN-SOLAR'!$D$122:$AW$122), 0), IF($B52='Project List References'!$B$5, _xlfn.IFNA(_xlfn.XLOOKUP(L$2-$C52, 'GEN-BESS'!$D$7:$AW$7, 'GEN-BESS'!$D$125:$AW$125), 0), IF($B52='Project List References'!$B$6, _xlfn.IFNA(_xlfn.XLOOKUP(L$2-$C52, 'GEN-CARBON'!$D$7:$AW$7, 'GEN-CARBON'!$D$124:$AW$124), 0), IF($B52='Project List References'!$B$7, _xlfn.IFNA(_xlfn.XLOOKUP(L$2-$C52, 'SENS Coal'!$D$7:$AW$7, 'SENS Coal'!$D$141:$AW$141), 0), IF($B52='Project List References'!$B$8, _xlfn.IFNA(_xlfn.XLOOKUP(L$2-$C52,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M52" s="743" t="e">
        <f>IF($B52='Project List References'!$B$3, _xlfn.IFNA(_xlfn.XLOOKUP(M$2-$C52, 'GEN-CCGT'!$D$7:$AW$7, 'GEN-CCGT'!$D$124:$AW$124), 0), IF($B52='Project List References'!$B$4, _xlfn.IFNA(_xlfn.XLOOKUP(M$2-$C52, 'GEN-SOLAR'!$D$7:$AW$7, 'GEN-SOLAR'!$D$122:$AW$122), 0), IF($B52='Project List References'!$B$5, _xlfn.IFNA(_xlfn.XLOOKUP(M$2-$C52, 'GEN-BESS'!$D$7:$AW$7, 'GEN-BESS'!$D$125:$AW$125), 0), IF($B52='Project List References'!$B$6, _xlfn.IFNA(_xlfn.XLOOKUP(M$2-$C52, 'GEN-CARBON'!$D$7:$AW$7, 'GEN-CARBON'!$D$124:$AW$124), 0), IF($B52='Project List References'!$B$7, _xlfn.IFNA(_xlfn.XLOOKUP(M$2-$C52, 'SENS Coal'!$D$7:$AW$7, 'SENS Coal'!$D$141:$AW$141), 0), IF($B52='Project List References'!$B$8, _xlfn.IFNA(_xlfn.XLOOKUP(M$2-$C52,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N52" s="743" t="e">
        <f>IF($B52='Project List References'!$B$3, _xlfn.IFNA(_xlfn.XLOOKUP(N$2-$C52, 'GEN-CCGT'!$D$7:$AW$7, 'GEN-CCGT'!$D$124:$AW$124), 0), IF($B52='Project List References'!$B$4, _xlfn.IFNA(_xlfn.XLOOKUP(N$2-$C52, 'GEN-SOLAR'!$D$7:$AW$7, 'GEN-SOLAR'!$D$122:$AW$122), 0), IF($B52='Project List References'!$B$5, _xlfn.IFNA(_xlfn.XLOOKUP(N$2-$C52, 'GEN-BESS'!$D$7:$AW$7, 'GEN-BESS'!$D$125:$AW$125), 0), IF($B52='Project List References'!$B$6, _xlfn.IFNA(_xlfn.XLOOKUP(N$2-$C52, 'GEN-CARBON'!$D$7:$AW$7, 'GEN-CARBON'!$D$124:$AW$124), 0), IF($B52='Project List References'!$B$7, _xlfn.IFNA(_xlfn.XLOOKUP(N$2-$C52, 'SENS Coal'!$D$7:$AW$7, 'SENS Coal'!$D$141:$AW$141), 0), IF($B52='Project List References'!$B$8, _xlfn.IFNA(_xlfn.XLOOKUP(N$2-$C52,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O52" s="743" t="e">
        <f>IF($B52='Project List References'!$B$3, _xlfn.IFNA(_xlfn.XLOOKUP(O$2-$C52, 'GEN-CCGT'!$D$7:$AW$7, 'GEN-CCGT'!$D$124:$AW$124), 0), IF($B52='Project List References'!$B$4, _xlfn.IFNA(_xlfn.XLOOKUP(O$2-$C52, 'GEN-SOLAR'!$D$7:$AW$7, 'GEN-SOLAR'!$D$122:$AW$122), 0), IF($B52='Project List References'!$B$5, _xlfn.IFNA(_xlfn.XLOOKUP(O$2-$C52, 'GEN-BESS'!$D$7:$AW$7, 'GEN-BESS'!$D$125:$AW$125), 0), IF($B52='Project List References'!$B$6, _xlfn.IFNA(_xlfn.XLOOKUP(O$2-$C52, 'GEN-CARBON'!$D$7:$AW$7, 'GEN-CARBON'!$D$124:$AW$124), 0), IF($B52='Project List References'!$B$7, _xlfn.IFNA(_xlfn.XLOOKUP(O$2-$C52, 'SENS Coal'!$D$7:$AW$7, 'SENS Coal'!$D$141:$AW$141), 0), IF($B52='Project List References'!$B$8, _xlfn.IFNA(_xlfn.XLOOKUP(O$2-$C52,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P52" s="743" t="e">
        <f>IF($B52='Project List References'!$B$3, _xlfn.IFNA(_xlfn.XLOOKUP(P$2-$C52, 'GEN-CCGT'!$D$7:$AW$7, 'GEN-CCGT'!$D$124:$AW$124), 0), IF($B52='Project List References'!$B$4, _xlfn.IFNA(_xlfn.XLOOKUP(P$2-$C52, 'GEN-SOLAR'!$D$7:$AW$7, 'GEN-SOLAR'!$D$122:$AW$122), 0), IF($B52='Project List References'!$B$5, _xlfn.IFNA(_xlfn.XLOOKUP(P$2-$C52, 'GEN-BESS'!$D$7:$AW$7, 'GEN-BESS'!$D$125:$AW$125), 0), IF($B52='Project List References'!$B$6, _xlfn.IFNA(_xlfn.XLOOKUP(P$2-$C52, 'GEN-CARBON'!$D$7:$AW$7, 'GEN-CARBON'!$D$124:$AW$124), 0), IF($B52='Project List References'!$B$7, _xlfn.IFNA(_xlfn.XLOOKUP(P$2-$C52, 'SENS Coal'!$D$7:$AW$7, 'SENS Coal'!$D$141:$AW$141), 0), IF($B52='Project List References'!$B$8, _xlfn.IFNA(_xlfn.XLOOKUP(P$2-$C52,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Q52" s="743" t="e">
        <f>IF($B52='Project List References'!$B$3, _xlfn.IFNA(_xlfn.XLOOKUP(Q$2-$C52, 'GEN-CCGT'!$D$7:$AW$7, 'GEN-CCGT'!$D$124:$AW$124), 0), IF($B52='Project List References'!$B$4, _xlfn.IFNA(_xlfn.XLOOKUP(Q$2-$C52, 'GEN-SOLAR'!$D$7:$AW$7, 'GEN-SOLAR'!$D$122:$AW$122), 0), IF($B52='Project List References'!$B$5, _xlfn.IFNA(_xlfn.XLOOKUP(Q$2-$C52, 'GEN-BESS'!$D$7:$AW$7, 'GEN-BESS'!$D$125:$AW$125), 0), IF($B52='Project List References'!$B$6, _xlfn.IFNA(_xlfn.XLOOKUP(Q$2-$C52, 'GEN-CARBON'!$D$7:$AW$7, 'GEN-CARBON'!$D$124:$AW$124), 0), IF($B52='Project List References'!$B$7, _xlfn.IFNA(_xlfn.XLOOKUP(Q$2-$C52, 'SENS Coal'!$D$7:$AW$7, 'SENS Coal'!$D$141:$AW$141), 0), IF($B52='Project List References'!$B$8, _xlfn.IFNA(_xlfn.XLOOKUP(Q$2-$C52,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R52" s="743" t="e">
        <f>IF($B52='Project List References'!$B$3, _xlfn.IFNA(_xlfn.XLOOKUP(R$2-$C52, 'GEN-CCGT'!$D$7:$AW$7, 'GEN-CCGT'!$D$124:$AW$124), 0), IF($B52='Project List References'!$B$4, _xlfn.IFNA(_xlfn.XLOOKUP(R$2-$C52, 'GEN-SOLAR'!$D$7:$AW$7, 'GEN-SOLAR'!$D$122:$AW$122), 0), IF($B52='Project List References'!$B$5, _xlfn.IFNA(_xlfn.XLOOKUP(R$2-$C52, 'GEN-BESS'!$D$7:$AW$7, 'GEN-BESS'!$D$125:$AW$125), 0), IF($B52='Project List References'!$B$6, _xlfn.IFNA(_xlfn.XLOOKUP(R$2-$C52, 'GEN-CARBON'!$D$7:$AW$7, 'GEN-CARBON'!$D$124:$AW$124), 0), IF($B52='Project List References'!$B$7, _xlfn.IFNA(_xlfn.XLOOKUP(R$2-$C52, 'SENS Coal'!$D$7:$AW$7, 'SENS Coal'!$D$141:$AW$141), 0), IF($B52='Project List References'!$B$8, _xlfn.IFNA(_xlfn.XLOOKUP(R$2-$C52,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S52" s="743" t="e">
        <f>IF($B52='Project List References'!$B$3, _xlfn.IFNA(_xlfn.XLOOKUP(S$2-$C52, 'GEN-CCGT'!$D$7:$AW$7, 'GEN-CCGT'!$D$124:$AW$124), 0), IF($B52='Project List References'!$B$4, _xlfn.IFNA(_xlfn.XLOOKUP(S$2-$C52, 'GEN-SOLAR'!$D$7:$AW$7, 'GEN-SOLAR'!$D$122:$AW$122), 0), IF($B52='Project List References'!$B$5, _xlfn.IFNA(_xlfn.XLOOKUP(S$2-$C52, 'GEN-BESS'!$D$7:$AW$7, 'GEN-BESS'!$D$125:$AW$125), 0), IF($B52='Project List References'!$B$6, _xlfn.IFNA(_xlfn.XLOOKUP(S$2-$C52, 'GEN-CARBON'!$D$7:$AW$7, 'GEN-CARBON'!$D$124:$AW$124), 0), IF($B52='Project List References'!$B$7, _xlfn.IFNA(_xlfn.XLOOKUP(S$2-$C52, 'SENS Coal'!$D$7:$AW$7, 'SENS Coal'!$D$141:$AW$141), 0), IF($B52='Project List References'!$B$8, _xlfn.IFNA(_xlfn.XLOOKUP(S$2-$C52,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  <c r="T52" s="743" t="e">
        <f>IF($B52='Project List References'!$B$3, _xlfn.IFNA(_xlfn.XLOOKUP(T$2-$C52, 'GEN-CCGT'!$D$7:$AW$7, 'GEN-CCGT'!$D$124:$AW$124), 0), IF($B52='Project List References'!$B$4, _xlfn.IFNA(_xlfn.XLOOKUP(T$2-$C52, 'GEN-SOLAR'!$D$7:$AW$7, 'GEN-SOLAR'!$D$122:$AW$122), 0), IF($B52='Project List References'!$B$5, _xlfn.IFNA(_xlfn.XLOOKUP(T$2-$C52, 'GEN-BESS'!$D$7:$AW$7, 'GEN-BESS'!$D$125:$AW$125), 0), IF($B52='Project List References'!$B$6, _xlfn.IFNA(_xlfn.XLOOKUP(T$2-$C52, 'GEN-CARBON'!$D$7:$AW$7, 'GEN-CARBON'!$D$124:$AW$124), 0), IF($B52='Project List References'!$B$7, _xlfn.IFNA(_xlfn.XLOOKUP(T$2-$C52, 'SENS Coal'!$D$7:$AW$7, 'SENS Coal'!$D$141:$AW$141), 0), IF($B52='Project List References'!$B$8, _xlfn.IFNA(_xlfn.XLOOKUP(T$2-$C52, 'SENS Tires'!$D$7:$AW$7, 'SENS Tires'!$D$139:$AW$139), 0)))))))/_xlfn.XLOOKUP($B52, 'Assumptions &amp; Inputs'!$F$76:$L$76, 'Assumptions &amp; Inputs'!$F$77:$L$77)*IF(OR($B52='Project List References'!$B$3, $B52='Project List References'!$B$4, $B52='Project List References'!$B$5, $B52='Project List References'!$B$6), 'Project Master Sheet'!$E52, 'Project Master Sheet'!$F52)</f>
        <v>#N/A</v>
      </c>
    </row>
    <row r="53" spans="1:20">
      <c r="A53" s="655" t="str">
        <f>IF(ISBLANK('Project Master Sheet'!A53)=FALSE, 'Project Master Sheet'!A53, "")</f>
        <v/>
      </c>
      <c r="B53" s="655" t="str">
        <f>_xlfn.IFNA(_xlfn.XLOOKUP(A53, 'Project Master Sheet'!A:A, 'Project Master Sheet'!D:D), "")</f>
        <v/>
      </c>
      <c r="C53" s="655" t="e">
        <f>_xlfn.XLOOKUP(A53, 'Project Master Sheet'!A:A, 'Project Master Sheet'!I:I)</f>
        <v>#N/A</v>
      </c>
      <c r="E53" s="743" t="e">
        <f>IF($B53='Project List References'!$B$3, _xlfn.IFNA(_xlfn.XLOOKUP(E$2-$C53, 'GEN-CCGT'!$D$7:$AW$7, 'GEN-CCGT'!$D$124:$AW$124), 0), IF($B53='Project List References'!$B$4, _xlfn.IFNA(_xlfn.XLOOKUP(E$2-$C53, 'GEN-SOLAR'!$D$7:$AW$7, 'GEN-SOLAR'!$D$122:$AW$122), 0), IF($B53='Project List References'!$B$5, _xlfn.IFNA(_xlfn.XLOOKUP(E$2-$C53, 'GEN-BESS'!$D$7:$AW$7, 'GEN-BESS'!$D$125:$AW$125), 0), IF($B53='Project List References'!$B$6, _xlfn.IFNA(_xlfn.XLOOKUP(E$2-$C53, 'GEN-CARBON'!$D$7:$AW$7, 'GEN-CARBON'!$D$124:$AW$124), 0), IF($B53='Project List References'!$B$7, _xlfn.IFNA(_xlfn.XLOOKUP(E$2-$C53, 'SENS Coal'!$D$7:$AW$7, 'SENS Coal'!$D$141:$AW$141), 0), IF($B53='Project List References'!$B$8, _xlfn.IFNA(_xlfn.XLOOKUP(E$2-$C53,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F53" s="743" t="e">
        <f>IF($B53='Project List References'!$B$3, _xlfn.IFNA(_xlfn.XLOOKUP(F$2-$C53, 'GEN-CCGT'!$D$7:$AW$7, 'GEN-CCGT'!$D$124:$AW$124), 0), IF($B53='Project List References'!$B$4, _xlfn.IFNA(_xlfn.XLOOKUP(F$2-$C53, 'GEN-SOLAR'!$D$7:$AW$7, 'GEN-SOLAR'!$D$122:$AW$122), 0), IF($B53='Project List References'!$B$5, _xlfn.IFNA(_xlfn.XLOOKUP(F$2-$C53, 'GEN-BESS'!$D$7:$AW$7, 'GEN-BESS'!$D$125:$AW$125), 0), IF($B53='Project List References'!$B$6, _xlfn.IFNA(_xlfn.XLOOKUP(F$2-$C53, 'GEN-CARBON'!$D$7:$AW$7, 'GEN-CARBON'!$D$124:$AW$124), 0), IF($B53='Project List References'!$B$7, _xlfn.IFNA(_xlfn.XLOOKUP(F$2-$C53, 'SENS Coal'!$D$7:$AW$7, 'SENS Coal'!$D$141:$AW$141), 0), IF($B53='Project List References'!$B$8, _xlfn.IFNA(_xlfn.XLOOKUP(F$2-$C53,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G53" s="743" t="e">
        <f>IF($B53='Project List References'!$B$3, _xlfn.IFNA(_xlfn.XLOOKUP(G$2-$C53, 'GEN-CCGT'!$D$7:$AW$7, 'GEN-CCGT'!$D$124:$AW$124), 0), IF($B53='Project List References'!$B$4, _xlfn.IFNA(_xlfn.XLOOKUP(G$2-$C53, 'GEN-SOLAR'!$D$7:$AW$7, 'GEN-SOLAR'!$D$122:$AW$122), 0), IF($B53='Project List References'!$B$5, _xlfn.IFNA(_xlfn.XLOOKUP(G$2-$C53, 'GEN-BESS'!$D$7:$AW$7, 'GEN-BESS'!$D$125:$AW$125), 0), IF($B53='Project List References'!$B$6, _xlfn.IFNA(_xlfn.XLOOKUP(G$2-$C53, 'GEN-CARBON'!$D$7:$AW$7, 'GEN-CARBON'!$D$124:$AW$124), 0), IF($B53='Project List References'!$B$7, _xlfn.IFNA(_xlfn.XLOOKUP(G$2-$C53, 'SENS Coal'!$D$7:$AW$7, 'SENS Coal'!$D$141:$AW$141), 0), IF($B53='Project List References'!$B$8, _xlfn.IFNA(_xlfn.XLOOKUP(G$2-$C53,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H53" s="743" t="e">
        <f>IF($B53='Project List References'!$B$3, _xlfn.IFNA(_xlfn.XLOOKUP(H$2-$C53, 'GEN-CCGT'!$D$7:$AW$7, 'GEN-CCGT'!$D$124:$AW$124), 0), IF($B53='Project List References'!$B$4, _xlfn.IFNA(_xlfn.XLOOKUP(H$2-$C53, 'GEN-SOLAR'!$D$7:$AW$7, 'GEN-SOLAR'!$D$122:$AW$122), 0), IF($B53='Project List References'!$B$5, _xlfn.IFNA(_xlfn.XLOOKUP(H$2-$C53, 'GEN-BESS'!$D$7:$AW$7, 'GEN-BESS'!$D$125:$AW$125), 0), IF($B53='Project List References'!$B$6, _xlfn.IFNA(_xlfn.XLOOKUP(H$2-$C53, 'GEN-CARBON'!$D$7:$AW$7, 'GEN-CARBON'!$D$124:$AW$124), 0), IF($B53='Project List References'!$B$7, _xlfn.IFNA(_xlfn.XLOOKUP(H$2-$C53, 'SENS Coal'!$D$7:$AW$7, 'SENS Coal'!$D$141:$AW$141), 0), IF($B53='Project List References'!$B$8, _xlfn.IFNA(_xlfn.XLOOKUP(H$2-$C53,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I53" s="743" t="e">
        <f>IF($B53='Project List References'!$B$3, _xlfn.IFNA(_xlfn.XLOOKUP(I$2-$C53, 'GEN-CCGT'!$D$7:$AW$7, 'GEN-CCGT'!$D$124:$AW$124), 0), IF($B53='Project List References'!$B$4, _xlfn.IFNA(_xlfn.XLOOKUP(I$2-$C53, 'GEN-SOLAR'!$D$7:$AW$7, 'GEN-SOLAR'!$D$122:$AW$122), 0), IF($B53='Project List References'!$B$5, _xlfn.IFNA(_xlfn.XLOOKUP(I$2-$C53, 'GEN-BESS'!$D$7:$AW$7, 'GEN-BESS'!$D$125:$AW$125), 0), IF($B53='Project List References'!$B$6, _xlfn.IFNA(_xlfn.XLOOKUP(I$2-$C53, 'GEN-CARBON'!$D$7:$AW$7, 'GEN-CARBON'!$D$124:$AW$124), 0), IF($B53='Project List References'!$B$7, _xlfn.IFNA(_xlfn.XLOOKUP(I$2-$C53, 'SENS Coal'!$D$7:$AW$7, 'SENS Coal'!$D$141:$AW$141), 0), IF($B53='Project List References'!$B$8, _xlfn.IFNA(_xlfn.XLOOKUP(I$2-$C53,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J53" s="743" t="e">
        <f>IF($B53='Project List References'!$B$3, _xlfn.IFNA(_xlfn.XLOOKUP(J$2-$C53, 'GEN-CCGT'!$D$7:$AW$7, 'GEN-CCGT'!$D$124:$AW$124), 0), IF($B53='Project List References'!$B$4, _xlfn.IFNA(_xlfn.XLOOKUP(J$2-$C53, 'GEN-SOLAR'!$D$7:$AW$7, 'GEN-SOLAR'!$D$122:$AW$122), 0), IF($B53='Project List References'!$B$5, _xlfn.IFNA(_xlfn.XLOOKUP(J$2-$C53, 'GEN-BESS'!$D$7:$AW$7, 'GEN-BESS'!$D$125:$AW$125), 0), IF($B53='Project List References'!$B$6, _xlfn.IFNA(_xlfn.XLOOKUP(J$2-$C53, 'GEN-CARBON'!$D$7:$AW$7, 'GEN-CARBON'!$D$124:$AW$124), 0), IF($B53='Project List References'!$B$7, _xlfn.IFNA(_xlfn.XLOOKUP(J$2-$C53, 'SENS Coal'!$D$7:$AW$7, 'SENS Coal'!$D$141:$AW$141), 0), IF($B53='Project List References'!$B$8, _xlfn.IFNA(_xlfn.XLOOKUP(J$2-$C53,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K53" s="743" t="e">
        <f>IF($B53='Project List References'!$B$3, _xlfn.IFNA(_xlfn.XLOOKUP(K$2-$C53, 'GEN-CCGT'!$D$7:$AW$7, 'GEN-CCGT'!$D$124:$AW$124), 0), IF($B53='Project List References'!$B$4, _xlfn.IFNA(_xlfn.XLOOKUP(K$2-$C53, 'GEN-SOLAR'!$D$7:$AW$7, 'GEN-SOLAR'!$D$122:$AW$122), 0), IF($B53='Project List References'!$B$5, _xlfn.IFNA(_xlfn.XLOOKUP(K$2-$C53, 'GEN-BESS'!$D$7:$AW$7, 'GEN-BESS'!$D$125:$AW$125), 0), IF($B53='Project List References'!$B$6, _xlfn.IFNA(_xlfn.XLOOKUP(K$2-$C53, 'GEN-CARBON'!$D$7:$AW$7, 'GEN-CARBON'!$D$124:$AW$124), 0), IF($B53='Project List References'!$B$7, _xlfn.IFNA(_xlfn.XLOOKUP(K$2-$C53, 'SENS Coal'!$D$7:$AW$7, 'SENS Coal'!$D$141:$AW$141), 0), IF($B53='Project List References'!$B$8, _xlfn.IFNA(_xlfn.XLOOKUP(K$2-$C53,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L53" s="743" t="e">
        <f>IF($B53='Project List References'!$B$3, _xlfn.IFNA(_xlfn.XLOOKUP(L$2-$C53, 'GEN-CCGT'!$D$7:$AW$7, 'GEN-CCGT'!$D$124:$AW$124), 0), IF($B53='Project List References'!$B$4, _xlfn.IFNA(_xlfn.XLOOKUP(L$2-$C53, 'GEN-SOLAR'!$D$7:$AW$7, 'GEN-SOLAR'!$D$122:$AW$122), 0), IF($B53='Project List References'!$B$5, _xlfn.IFNA(_xlfn.XLOOKUP(L$2-$C53, 'GEN-BESS'!$D$7:$AW$7, 'GEN-BESS'!$D$125:$AW$125), 0), IF($B53='Project List References'!$B$6, _xlfn.IFNA(_xlfn.XLOOKUP(L$2-$C53, 'GEN-CARBON'!$D$7:$AW$7, 'GEN-CARBON'!$D$124:$AW$124), 0), IF($B53='Project List References'!$B$7, _xlfn.IFNA(_xlfn.XLOOKUP(L$2-$C53, 'SENS Coal'!$D$7:$AW$7, 'SENS Coal'!$D$141:$AW$141), 0), IF($B53='Project List References'!$B$8, _xlfn.IFNA(_xlfn.XLOOKUP(L$2-$C53,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M53" s="743" t="e">
        <f>IF($B53='Project List References'!$B$3, _xlfn.IFNA(_xlfn.XLOOKUP(M$2-$C53, 'GEN-CCGT'!$D$7:$AW$7, 'GEN-CCGT'!$D$124:$AW$124), 0), IF($B53='Project List References'!$B$4, _xlfn.IFNA(_xlfn.XLOOKUP(M$2-$C53, 'GEN-SOLAR'!$D$7:$AW$7, 'GEN-SOLAR'!$D$122:$AW$122), 0), IF($B53='Project List References'!$B$5, _xlfn.IFNA(_xlfn.XLOOKUP(M$2-$C53, 'GEN-BESS'!$D$7:$AW$7, 'GEN-BESS'!$D$125:$AW$125), 0), IF($B53='Project List References'!$B$6, _xlfn.IFNA(_xlfn.XLOOKUP(M$2-$C53, 'GEN-CARBON'!$D$7:$AW$7, 'GEN-CARBON'!$D$124:$AW$124), 0), IF($B53='Project List References'!$B$7, _xlfn.IFNA(_xlfn.XLOOKUP(M$2-$C53, 'SENS Coal'!$D$7:$AW$7, 'SENS Coal'!$D$141:$AW$141), 0), IF($B53='Project List References'!$B$8, _xlfn.IFNA(_xlfn.XLOOKUP(M$2-$C53,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N53" s="743" t="e">
        <f>IF($B53='Project List References'!$B$3, _xlfn.IFNA(_xlfn.XLOOKUP(N$2-$C53, 'GEN-CCGT'!$D$7:$AW$7, 'GEN-CCGT'!$D$124:$AW$124), 0), IF($B53='Project List References'!$B$4, _xlfn.IFNA(_xlfn.XLOOKUP(N$2-$C53, 'GEN-SOLAR'!$D$7:$AW$7, 'GEN-SOLAR'!$D$122:$AW$122), 0), IF($B53='Project List References'!$B$5, _xlfn.IFNA(_xlfn.XLOOKUP(N$2-$C53, 'GEN-BESS'!$D$7:$AW$7, 'GEN-BESS'!$D$125:$AW$125), 0), IF($B53='Project List References'!$B$6, _xlfn.IFNA(_xlfn.XLOOKUP(N$2-$C53, 'GEN-CARBON'!$D$7:$AW$7, 'GEN-CARBON'!$D$124:$AW$124), 0), IF($B53='Project List References'!$B$7, _xlfn.IFNA(_xlfn.XLOOKUP(N$2-$C53, 'SENS Coal'!$D$7:$AW$7, 'SENS Coal'!$D$141:$AW$141), 0), IF($B53='Project List References'!$B$8, _xlfn.IFNA(_xlfn.XLOOKUP(N$2-$C53,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O53" s="743" t="e">
        <f>IF($B53='Project List References'!$B$3, _xlfn.IFNA(_xlfn.XLOOKUP(O$2-$C53, 'GEN-CCGT'!$D$7:$AW$7, 'GEN-CCGT'!$D$124:$AW$124), 0), IF($B53='Project List References'!$B$4, _xlfn.IFNA(_xlfn.XLOOKUP(O$2-$C53, 'GEN-SOLAR'!$D$7:$AW$7, 'GEN-SOLAR'!$D$122:$AW$122), 0), IF($B53='Project List References'!$B$5, _xlfn.IFNA(_xlfn.XLOOKUP(O$2-$C53, 'GEN-BESS'!$D$7:$AW$7, 'GEN-BESS'!$D$125:$AW$125), 0), IF($B53='Project List References'!$B$6, _xlfn.IFNA(_xlfn.XLOOKUP(O$2-$C53, 'GEN-CARBON'!$D$7:$AW$7, 'GEN-CARBON'!$D$124:$AW$124), 0), IF($B53='Project List References'!$B$7, _xlfn.IFNA(_xlfn.XLOOKUP(O$2-$C53, 'SENS Coal'!$D$7:$AW$7, 'SENS Coal'!$D$141:$AW$141), 0), IF($B53='Project List References'!$B$8, _xlfn.IFNA(_xlfn.XLOOKUP(O$2-$C53,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P53" s="743" t="e">
        <f>IF($B53='Project List References'!$B$3, _xlfn.IFNA(_xlfn.XLOOKUP(P$2-$C53, 'GEN-CCGT'!$D$7:$AW$7, 'GEN-CCGT'!$D$124:$AW$124), 0), IF($B53='Project List References'!$B$4, _xlfn.IFNA(_xlfn.XLOOKUP(P$2-$C53, 'GEN-SOLAR'!$D$7:$AW$7, 'GEN-SOLAR'!$D$122:$AW$122), 0), IF($B53='Project List References'!$B$5, _xlfn.IFNA(_xlfn.XLOOKUP(P$2-$C53, 'GEN-BESS'!$D$7:$AW$7, 'GEN-BESS'!$D$125:$AW$125), 0), IF($B53='Project List References'!$B$6, _xlfn.IFNA(_xlfn.XLOOKUP(P$2-$C53, 'GEN-CARBON'!$D$7:$AW$7, 'GEN-CARBON'!$D$124:$AW$124), 0), IF($B53='Project List References'!$B$7, _xlfn.IFNA(_xlfn.XLOOKUP(P$2-$C53, 'SENS Coal'!$D$7:$AW$7, 'SENS Coal'!$D$141:$AW$141), 0), IF($B53='Project List References'!$B$8, _xlfn.IFNA(_xlfn.XLOOKUP(P$2-$C53,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Q53" s="743" t="e">
        <f>IF($B53='Project List References'!$B$3, _xlfn.IFNA(_xlfn.XLOOKUP(Q$2-$C53, 'GEN-CCGT'!$D$7:$AW$7, 'GEN-CCGT'!$D$124:$AW$124), 0), IF($B53='Project List References'!$B$4, _xlfn.IFNA(_xlfn.XLOOKUP(Q$2-$C53, 'GEN-SOLAR'!$D$7:$AW$7, 'GEN-SOLAR'!$D$122:$AW$122), 0), IF($B53='Project List References'!$B$5, _xlfn.IFNA(_xlfn.XLOOKUP(Q$2-$C53, 'GEN-BESS'!$D$7:$AW$7, 'GEN-BESS'!$D$125:$AW$125), 0), IF($B53='Project List References'!$B$6, _xlfn.IFNA(_xlfn.XLOOKUP(Q$2-$C53, 'GEN-CARBON'!$D$7:$AW$7, 'GEN-CARBON'!$D$124:$AW$124), 0), IF($B53='Project List References'!$B$7, _xlfn.IFNA(_xlfn.XLOOKUP(Q$2-$C53, 'SENS Coal'!$D$7:$AW$7, 'SENS Coal'!$D$141:$AW$141), 0), IF($B53='Project List References'!$B$8, _xlfn.IFNA(_xlfn.XLOOKUP(Q$2-$C53,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R53" s="743" t="e">
        <f>IF($B53='Project List References'!$B$3, _xlfn.IFNA(_xlfn.XLOOKUP(R$2-$C53, 'GEN-CCGT'!$D$7:$AW$7, 'GEN-CCGT'!$D$124:$AW$124), 0), IF($B53='Project List References'!$B$4, _xlfn.IFNA(_xlfn.XLOOKUP(R$2-$C53, 'GEN-SOLAR'!$D$7:$AW$7, 'GEN-SOLAR'!$D$122:$AW$122), 0), IF($B53='Project List References'!$B$5, _xlfn.IFNA(_xlfn.XLOOKUP(R$2-$C53, 'GEN-BESS'!$D$7:$AW$7, 'GEN-BESS'!$D$125:$AW$125), 0), IF($B53='Project List References'!$B$6, _xlfn.IFNA(_xlfn.XLOOKUP(R$2-$C53, 'GEN-CARBON'!$D$7:$AW$7, 'GEN-CARBON'!$D$124:$AW$124), 0), IF($B53='Project List References'!$B$7, _xlfn.IFNA(_xlfn.XLOOKUP(R$2-$C53, 'SENS Coal'!$D$7:$AW$7, 'SENS Coal'!$D$141:$AW$141), 0), IF($B53='Project List References'!$B$8, _xlfn.IFNA(_xlfn.XLOOKUP(R$2-$C53,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S53" s="743" t="e">
        <f>IF($B53='Project List References'!$B$3, _xlfn.IFNA(_xlfn.XLOOKUP(S$2-$C53, 'GEN-CCGT'!$D$7:$AW$7, 'GEN-CCGT'!$D$124:$AW$124), 0), IF($B53='Project List References'!$B$4, _xlfn.IFNA(_xlfn.XLOOKUP(S$2-$C53, 'GEN-SOLAR'!$D$7:$AW$7, 'GEN-SOLAR'!$D$122:$AW$122), 0), IF($B53='Project List References'!$B$5, _xlfn.IFNA(_xlfn.XLOOKUP(S$2-$C53, 'GEN-BESS'!$D$7:$AW$7, 'GEN-BESS'!$D$125:$AW$125), 0), IF($B53='Project List References'!$B$6, _xlfn.IFNA(_xlfn.XLOOKUP(S$2-$C53, 'GEN-CARBON'!$D$7:$AW$7, 'GEN-CARBON'!$D$124:$AW$124), 0), IF($B53='Project List References'!$B$7, _xlfn.IFNA(_xlfn.XLOOKUP(S$2-$C53, 'SENS Coal'!$D$7:$AW$7, 'SENS Coal'!$D$141:$AW$141), 0), IF($B53='Project List References'!$B$8, _xlfn.IFNA(_xlfn.XLOOKUP(S$2-$C53,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  <c r="T53" s="743" t="e">
        <f>IF($B53='Project List References'!$B$3, _xlfn.IFNA(_xlfn.XLOOKUP(T$2-$C53, 'GEN-CCGT'!$D$7:$AW$7, 'GEN-CCGT'!$D$124:$AW$124), 0), IF($B53='Project List References'!$B$4, _xlfn.IFNA(_xlfn.XLOOKUP(T$2-$C53, 'GEN-SOLAR'!$D$7:$AW$7, 'GEN-SOLAR'!$D$122:$AW$122), 0), IF($B53='Project List References'!$B$5, _xlfn.IFNA(_xlfn.XLOOKUP(T$2-$C53, 'GEN-BESS'!$D$7:$AW$7, 'GEN-BESS'!$D$125:$AW$125), 0), IF($B53='Project List References'!$B$6, _xlfn.IFNA(_xlfn.XLOOKUP(T$2-$C53, 'GEN-CARBON'!$D$7:$AW$7, 'GEN-CARBON'!$D$124:$AW$124), 0), IF($B53='Project List References'!$B$7, _xlfn.IFNA(_xlfn.XLOOKUP(T$2-$C53, 'SENS Coal'!$D$7:$AW$7, 'SENS Coal'!$D$141:$AW$141), 0), IF($B53='Project List References'!$B$8, _xlfn.IFNA(_xlfn.XLOOKUP(T$2-$C53, 'SENS Tires'!$D$7:$AW$7, 'SENS Tires'!$D$139:$AW$139), 0)))))))/_xlfn.XLOOKUP($B53, 'Assumptions &amp; Inputs'!$F$76:$L$76, 'Assumptions &amp; Inputs'!$F$77:$L$77)*IF(OR($B53='Project List References'!$B$3, $B53='Project List References'!$B$4, $B53='Project List References'!$B$5, $B53='Project List References'!$B$6), 'Project Master Sheet'!$E53, 'Project Master Sheet'!$F53)</f>
        <v>#N/A</v>
      </c>
    </row>
    <row r="54" spans="1:20">
      <c r="A54" s="655" t="str">
        <f>IF(ISBLANK('Project Master Sheet'!A54)=FALSE, 'Project Master Sheet'!A54, "")</f>
        <v/>
      </c>
      <c r="B54" s="655" t="str">
        <f>_xlfn.IFNA(_xlfn.XLOOKUP(A54, 'Project Master Sheet'!A:A, 'Project Master Sheet'!D:D), "")</f>
        <v/>
      </c>
      <c r="C54" s="655" t="e">
        <f>_xlfn.XLOOKUP(A54, 'Project Master Sheet'!A:A, 'Project Master Sheet'!I:I)</f>
        <v>#N/A</v>
      </c>
      <c r="E54" s="743" t="e">
        <f>IF($B54='Project List References'!$B$3, _xlfn.IFNA(_xlfn.XLOOKUP(E$2-$C54, 'GEN-CCGT'!$D$7:$AW$7, 'GEN-CCGT'!$D$124:$AW$124), 0), IF($B54='Project List References'!$B$4, _xlfn.IFNA(_xlfn.XLOOKUP(E$2-$C54, 'GEN-SOLAR'!$D$7:$AW$7, 'GEN-SOLAR'!$D$122:$AW$122), 0), IF($B54='Project List References'!$B$5, _xlfn.IFNA(_xlfn.XLOOKUP(E$2-$C54, 'GEN-BESS'!$D$7:$AW$7, 'GEN-BESS'!$D$125:$AW$125), 0), IF($B54='Project List References'!$B$6, _xlfn.IFNA(_xlfn.XLOOKUP(E$2-$C54, 'GEN-CARBON'!$D$7:$AW$7, 'GEN-CARBON'!$D$124:$AW$124), 0), IF($B54='Project List References'!$B$7, _xlfn.IFNA(_xlfn.XLOOKUP(E$2-$C54, 'SENS Coal'!$D$7:$AW$7, 'SENS Coal'!$D$141:$AW$141), 0), IF($B54='Project List References'!$B$8, _xlfn.IFNA(_xlfn.XLOOKUP(E$2-$C54,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F54" s="743" t="e">
        <f>IF($B54='Project List References'!$B$3, _xlfn.IFNA(_xlfn.XLOOKUP(F$2-$C54, 'GEN-CCGT'!$D$7:$AW$7, 'GEN-CCGT'!$D$124:$AW$124), 0), IF($B54='Project List References'!$B$4, _xlfn.IFNA(_xlfn.XLOOKUP(F$2-$C54, 'GEN-SOLAR'!$D$7:$AW$7, 'GEN-SOLAR'!$D$122:$AW$122), 0), IF($B54='Project List References'!$B$5, _xlfn.IFNA(_xlfn.XLOOKUP(F$2-$C54, 'GEN-BESS'!$D$7:$AW$7, 'GEN-BESS'!$D$125:$AW$125), 0), IF($B54='Project List References'!$B$6, _xlfn.IFNA(_xlfn.XLOOKUP(F$2-$C54, 'GEN-CARBON'!$D$7:$AW$7, 'GEN-CARBON'!$D$124:$AW$124), 0), IF($B54='Project List References'!$B$7, _xlfn.IFNA(_xlfn.XLOOKUP(F$2-$C54, 'SENS Coal'!$D$7:$AW$7, 'SENS Coal'!$D$141:$AW$141), 0), IF($B54='Project List References'!$B$8, _xlfn.IFNA(_xlfn.XLOOKUP(F$2-$C54,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G54" s="743" t="e">
        <f>IF($B54='Project List References'!$B$3, _xlfn.IFNA(_xlfn.XLOOKUP(G$2-$C54, 'GEN-CCGT'!$D$7:$AW$7, 'GEN-CCGT'!$D$124:$AW$124), 0), IF($B54='Project List References'!$B$4, _xlfn.IFNA(_xlfn.XLOOKUP(G$2-$C54, 'GEN-SOLAR'!$D$7:$AW$7, 'GEN-SOLAR'!$D$122:$AW$122), 0), IF($B54='Project List References'!$B$5, _xlfn.IFNA(_xlfn.XLOOKUP(G$2-$C54, 'GEN-BESS'!$D$7:$AW$7, 'GEN-BESS'!$D$125:$AW$125), 0), IF($B54='Project List References'!$B$6, _xlfn.IFNA(_xlfn.XLOOKUP(G$2-$C54, 'GEN-CARBON'!$D$7:$AW$7, 'GEN-CARBON'!$D$124:$AW$124), 0), IF($B54='Project List References'!$B$7, _xlfn.IFNA(_xlfn.XLOOKUP(G$2-$C54, 'SENS Coal'!$D$7:$AW$7, 'SENS Coal'!$D$141:$AW$141), 0), IF($B54='Project List References'!$B$8, _xlfn.IFNA(_xlfn.XLOOKUP(G$2-$C54,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H54" s="743" t="e">
        <f>IF($B54='Project List References'!$B$3, _xlfn.IFNA(_xlfn.XLOOKUP(H$2-$C54, 'GEN-CCGT'!$D$7:$AW$7, 'GEN-CCGT'!$D$124:$AW$124), 0), IF($B54='Project List References'!$B$4, _xlfn.IFNA(_xlfn.XLOOKUP(H$2-$C54, 'GEN-SOLAR'!$D$7:$AW$7, 'GEN-SOLAR'!$D$122:$AW$122), 0), IF($B54='Project List References'!$B$5, _xlfn.IFNA(_xlfn.XLOOKUP(H$2-$C54, 'GEN-BESS'!$D$7:$AW$7, 'GEN-BESS'!$D$125:$AW$125), 0), IF($B54='Project List References'!$B$6, _xlfn.IFNA(_xlfn.XLOOKUP(H$2-$C54, 'GEN-CARBON'!$D$7:$AW$7, 'GEN-CARBON'!$D$124:$AW$124), 0), IF($B54='Project List References'!$B$7, _xlfn.IFNA(_xlfn.XLOOKUP(H$2-$C54, 'SENS Coal'!$D$7:$AW$7, 'SENS Coal'!$D$141:$AW$141), 0), IF($B54='Project List References'!$B$8, _xlfn.IFNA(_xlfn.XLOOKUP(H$2-$C54,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I54" s="743" t="e">
        <f>IF($B54='Project List References'!$B$3, _xlfn.IFNA(_xlfn.XLOOKUP(I$2-$C54, 'GEN-CCGT'!$D$7:$AW$7, 'GEN-CCGT'!$D$124:$AW$124), 0), IF($B54='Project List References'!$B$4, _xlfn.IFNA(_xlfn.XLOOKUP(I$2-$C54, 'GEN-SOLAR'!$D$7:$AW$7, 'GEN-SOLAR'!$D$122:$AW$122), 0), IF($B54='Project List References'!$B$5, _xlfn.IFNA(_xlfn.XLOOKUP(I$2-$C54, 'GEN-BESS'!$D$7:$AW$7, 'GEN-BESS'!$D$125:$AW$125), 0), IF($B54='Project List References'!$B$6, _xlfn.IFNA(_xlfn.XLOOKUP(I$2-$C54, 'GEN-CARBON'!$D$7:$AW$7, 'GEN-CARBON'!$D$124:$AW$124), 0), IF($B54='Project List References'!$B$7, _xlfn.IFNA(_xlfn.XLOOKUP(I$2-$C54, 'SENS Coal'!$D$7:$AW$7, 'SENS Coal'!$D$141:$AW$141), 0), IF($B54='Project List References'!$B$8, _xlfn.IFNA(_xlfn.XLOOKUP(I$2-$C54,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J54" s="743" t="e">
        <f>IF($B54='Project List References'!$B$3, _xlfn.IFNA(_xlfn.XLOOKUP(J$2-$C54, 'GEN-CCGT'!$D$7:$AW$7, 'GEN-CCGT'!$D$124:$AW$124), 0), IF($B54='Project List References'!$B$4, _xlfn.IFNA(_xlfn.XLOOKUP(J$2-$C54, 'GEN-SOLAR'!$D$7:$AW$7, 'GEN-SOLAR'!$D$122:$AW$122), 0), IF($B54='Project List References'!$B$5, _xlfn.IFNA(_xlfn.XLOOKUP(J$2-$C54, 'GEN-BESS'!$D$7:$AW$7, 'GEN-BESS'!$D$125:$AW$125), 0), IF($B54='Project List References'!$B$6, _xlfn.IFNA(_xlfn.XLOOKUP(J$2-$C54, 'GEN-CARBON'!$D$7:$AW$7, 'GEN-CARBON'!$D$124:$AW$124), 0), IF($B54='Project List References'!$B$7, _xlfn.IFNA(_xlfn.XLOOKUP(J$2-$C54, 'SENS Coal'!$D$7:$AW$7, 'SENS Coal'!$D$141:$AW$141), 0), IF($B54='Project List References'!$B$8, _xlfn.IFNA(_xlfn.XLOOKUP(J$2-$C54,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K54" s="743" t="e">
        <f>IF($B54='Project List References'!$B$3, _xlfn.IFNA(_xlfn.XLOOKUP(K$2-$C54, 'GEN-CCGT'!$D$7:$AW$7, 'GEN-CCGT'!$D$124:$AW$124), 0), IF($B54='Project List References'!$B$4, _xlfn.IFNA(_xlfn.XLOOKUP(K$2-$C54, 'GEN-SOLAR'!$D$7:$AW$7, 'GEN-SOLAR'!$D$122:$AW$122), 0), IF($B54='Project List References'!$B$5, _xlfn.IFNA(_xlfn.XLOOKUP(K$2-$C54, 'GEN-BESS'!$D$7:$AW$7, 'GEN-BESS'!$D$125:$AW$125), 0), IF($B54='Project List References'!$B$6, _xlfn.IFNA(_xlfn.XLOOKUP(K$2-$C54, 'GEN-CARBON'!$D$7:$AW$7, 'GEN-CARBON'!$D$124:$AW$124), 0), IF($B54='Project List References'!$B$7, _xlfn.IFNA(_xlfn.XLOOKUP(K$2-$C54, 'SENS Coal'!$D$7:$AW$7, 'SENS Coal'!$D$141:$AW$141), 0), IF($B54='Project List References'!$B$8, _xlfn.IFNA(_xlfn.XLOOKUP(K$2-$C54,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L54" s="743" t="e">
        <f>IF($B54='Project List References'!$B$3, _xlfn.IFNA(_xlfn.XLOOKUP(L$2-$C54, 'GEN-CCGT'!$D$7:$AW$7, 'GEN-CCGT'!$D$124:$AW$124), 0), IF($B54='Project List References'!$B$4, _xlfn.IFNA(_xlfn.XLOOKUP(L$2-$C54, 'GEN-SOLAR'!$D$7:$AW$7, 'GEN-SOLAR'!$D$122:$AW$122), 0), IF($B54='Project List References'!$B$5, _xlfn.IFNA(_xlfn.XLOOKUP(L$2-$C54, 'GEN-BESS'!$D$7:$AW$7, 'GEN-BESS'!$D$125:$AW$125), 0), IF($B54='Project List References'!$B$6, _xlfn.IFNA(_xlfn.XLOOKUP(L$2-$C54, 'GEN-CARBON'!$D$7:$AW$7, 'GEN-CARBON'!$D$124:$AW$124), 0), IF($B54='Project List References'!$B$7, _xlfn.IFNA(_xlfn.XLOOKUP(L$2-$C54, 'SENS Coal'!$D$7:$AW$7, 'SENS Coal'!$D$141:$AW$141), 0), IF($B54='Project List References'!$B$8, _xlfn.IFNA(_xlfn.XLOOKUP(L$2-$C54,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M54" s="743" t="e">
        <f>IF($B54='Project List References'!$B$3, _xlfn.IFNA(_xlfn.XLOOKUP(M$2-$C54, 'GEN-CCGT'!$D$7:$AW$7, 'GEN-CCGT'!$D$124:$AW$124), 0), IF($B54='Project List References'!$B$4, _xlfn.IFNA(_xlfn.XLOOKUP(M$2-$C54, 'GEN-SOLAR'!$D$7:$AW$7, 'GEN-SOLAR'!$D$122:$AW$122), 0), IF($B54='Project List References'!$B$5, _xlfn.IFNA(_xlfn.XLOOKUP(M$2-$C54, 'GEN-BESS'!$D$7:$AW$7, 'GEN-BESS'!$D$125:$AW$125), 0), IF($B54='Project List References'!$B$6, _xlfn.IFNA(_xlfn.XLOOKUP(M$2-$C54, 'GEN-CARBON'!$D$7:$AW$7, 'GEN-CARBON'!$D$124:$AW$124), 0), IF($B54='Project List References'!$B$7, _xlfn.IFNA(_xlfn.XLOOKUP(M$2-$C54, 'SENS Coal'!$D$7:$AW$7, 'SENS Coal'!$D$141:$AW$141), 0), IF($B54='Project List References'!$B$8, _xlfn.IFNA(_xlfn.XLOOKUP(M$2-$C54,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N54" s="743" t="e">
        <f>IF($B54='Project List References'!$B$3, _xlfn.IFNA(_xlfn.XLOOKUP(N$2-$C54, 'GEN-CCGT'!$D$7:$AW$7, 'GEN-CCGT'!$D$124:$AW$124), 0), IF($B54='Project List References'!$B$4, _xlfn.IFNA(_xlfn.XLOOKUP(N$2-$C54, 'GEN-SOLAR'!$D$7:$AW$7, 'GEN-SOLAR'!$D$122:$AW$122), 0), IF($B54='Project List References'!$B$5, _xlfn.IFNA(_xlfn.XLOOKUP(N$2-$C54, 'GEN-BESS'!$D$7:$AW$7, 'GEN-BESS'!$D$125:$AW$125), 0), IF($B54='Project List References'!$B$6, _xlfn.IFNA(_xlfn.XLOOKUP(N$2-$C54, 'GEN-CARBON'!$D$7:$AW$7, 'GEN-CARBON'!$D$124:$AW$124), 0), IF($B54='Project List References'!$B$7, _xlfn.IFNA(_xlfn.XLOOKUP(N$2-$C54, 'SENS Coal'!$D$7:$AW$7, 'SENS Coal'!$D$141:$AW$141), 0), IF($B54='Project List References'!$B$8, _xlfn.IFNA(_xlfn.XLOOKUP(N$2-$C54,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O54" s="743" t="e">
        <f>IF($B54='Project List References'!$B$3, _xlfn.IFNA(_xlfn.XLOOKUP(O$2-$C54, 'GEN-CCGT'!$D$7:$AW$7, 'GEN-CCGT'!$D$124:$AW$124), 0), IF($B54='Project List References'!$B$4, _xlfn.IFNA(_xlfn.XLOOKUP(O$2-$C54, 'GEN-SOLAR'!$D$7:$AW$7, 'GEN-SOLAR'!$D$122:$AW$122), 0), IF($B54='Project List References'!$B$5, _xlfn.IFNA(_xlfn.XLOOKUP(O$2-$C54, 'GEN-BESS'!$D$7:$AW$7, 'GEN-BESS'!$D$125:$AW$125), 0), IF($B54='Project List References'!$B$6, _xlfn.IFNA(_xlfn.XLOOKUP(O$2-$C54, 'GEN-CARBON'!$D$7:$AW$7, 'GEN-CARBON'!$D$124:$AW$124), 0), IF($B54='Project List References'!$B$7, _xlfn.IFNA(_xlfn.XLOOKUP(O$2-$C54, 'SENS Coal'!$D$7:$AW$7, 'SENS Coal'!$D$141:$AW$141), 0), IF($B54='Project List References'!$B$8, _xlfn.IFNA(_xlfn.XLOOKUP(O$2-$C54,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P54" s="743" t="e">
        <f>IF($B54='Project List References'!$B$3, _xlfn.IFNA(_xlfn.XLOOKUP(P$2-$C54, 'GEN-CCGT'!$D$7:$AW$7, 'GEN-CCGT'!$D$124:$AW$124), 0), IF($B54='Project List References'!$B$4, _xlfn.IFNA(_xlfn.XLOOKUP(P$2-$C54, 'GEN-SOLAR'!$D$7:$AW$7, 'GEN-SOLAR'!$D$122:$AW$122), 0), IF($B54='Project List References'!$B$5, _xlfn.IFNA(_xlfn.XLOOKUP(P$2-$C54, 'GEN-BESS'!$D$7:$AW$7, 'GEN-BESS'!$D$125:$AW$125), 0), IF($B54='Project List References'!$B$6, _xlfn.IFNA(_xlfn.XLOOKUP(P$2-$C54, 'GEN-CARBON'!$D$7:$AW$7, 'GEN-CARBON'!$D$124:$AW$124), 0), IF($B54='Project List References'!$B$7, _xlfn.IFNA(_xlfn.XLOOKUP(P$2-$C54, 'SENS Coal'!$D$7:$AW$7, 'SENS Coal'!$D$141:$AW$141), 0), IF($B54='Project List References'!$B$8, _xlfn.IFNA(_xlfn.XLOOKUP(P$2-$C54,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Q54" s="743" t="e">
        <f>IF($B54='Project List References'!$B$3, _xlfn.IFNA(_xlfn.XLOOKUP(Q$2-$C54, 'GEN-CCGT'!$D$7:$AW$7, 'GEN-CCGT'!$D$124:$AW$124), 0), IF($B54='Project List References'!$B$4, _xlfn.IFNA(_xlfn.XLOOKUP(Q$2-$C54, 'GEN-SOLAR'!$D$7:$AW$7, 'GEN-SOLAR'!$D$122:$AW$122), 0), IF($B54='Project List References'!$B$5, _xlfn.IFNA(_xlfn.XLOOKUP(Q$2-$C54, 'GEN-BESS'!$D$7:$AW$7, 'GEN-BESS'!$D$125:$AW$125), 0), IF($B54='Project List References'!$B$6, _xlfn.IFNA(_xlfn.XLOOKUP(Q$2-$C54, 'GEN-CARBON'!$D$7:$AW$7, 'GEN-CARBON'!$D$124:$AW$124), 0), IF($B54='Project List References'!$B$7, _xlfn.IFNA(_xlfn.XLOOKUP(Q$2-$C54, 'SENS Coal'!$D$7:$AW$7, 'SENS Coal'!$D$141:$AW$141), 0), IF($B54='Project List References'!$B$8, _xlfn.IFNA(_xlfn.XLOOKUP(Q$2-$C54,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R54" s="743" t="e">
        <f>IF($B54='Project List References'!$B$3, _xlfn.IFNA(_xlfn.XLOOKUP(R$2-$C54, 'GEN-CCGT'!$D$7:$AW$7, 'GEN-CCGT'!$D$124:$AW$124), 0), IF($B54='Project List References'!$B$4, _xlfn.IFNA(_xlfn.XLOOKUP(R$2-$C54, 'GEN-SOLAR'!$D$7:$AW$7, 'GEN-SOLAR'!$D$122:$AW$122), 0), IF($B54='Project List References'!$B$5, _xlfn.IFNA(_xlfn.XLOOKUP(R$2-$C54, 'GEN-BESS'!$D$7:$AW$7, 'GEN-BESS'!$D$125:$AW$125), 0), IF($B54='Project List References'!$B$6, _xlfn.IFNA(_xlfn.XLOOKUP(R$2-$C54, 'GEN-CARBON'!$D$7:$AW$7, 'GEN-CARBON'!$D$124:$AW$124), 0), IF($B54='Project List References'!$B$7, _xlfn.IFNA(_xlfn.XLOOKUP(R$2-$C54, 'SENS Coal'!$D$7:$AW$7, 'SENS Coal'!$D$141:$AW$141), 0), IF($B54='Project List References'!$B$8, _xlfn.IFNA(_xlfn.XLOOKUP(R$2-$C54,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S54" s="743" t="e">
        <f>IF($B54='Project List References'!$B$3, _xlfn.IFNA(_xlfn.XLOOKUP(S$2-$C54, 'GEN-CCGT'!$D$7:$AW$7, 'GEN-CCGT'!$D$124:$AW$124), 0), IF($B54='Project List References'!$B$4, _xlfn.IFNA(_xlfn.XLOOKUP(S$2-$C54, 'GEN-SOLAR'!$D$7:$AW$7, 'GEN-SOLAR'!$D$122:$AW$122), 0), IF($B54='Project List References'!$B$5, _xlfn.IFNA(_xlfn.XLOOKUP(S$2-$C54, 'GEN-BESS'!$D$7:$AW$7, 'GEN-BESS'!$D$125:$AW$125), 0), IF($B54='Project List References'!$B$6, _xlfn.IFNA(_xlfn.XLOOKUP(S$2-$C54, 'GEN-CARBON'!$D$7:$AW$7, 'GEN-CARBON'!$D$124:$AW$124), 0), IF($B54='Project List References'!$B$7, _xlfn.IFNA(_xlfn.XLOOKUP(S$2-$C54, 'SENS Coal'!$D$7:$AW$7, 'SENS Coal'!$D$141:$AW$141), 0), IF($B54='Project List References'!$B$8, _xlfn.IFNA(_xlfn.XLOOKUP(S$2-$C54,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  <c r="T54" s="743" t="e">
        <f>IF($B54='Project List References'!$B$3, _xlfn.IFNA(_xlfn.XLOOKUP(T$2-$C54, 'GEN-CCGT'!$D$7:$AW$7, 'GEN-CCGT'!$D$124:$AW$124), 0), IF($B54='Project List References'!$B$4, _xlfn.IFNA(_xlfn.XLOOKUP(T$2-$C54, 'GEN-SOLAR'!$D$7:$AW$7, 'GEN-SOLAR'!$D$122:$AW$122), 0), IF($B54='Project List References'!$B$5, _xlfn.IFNA(_xlfn.XLOOKUP(T$2-$C54, 'GEN-BESS'!$D$7:$AW$7, 'GEN-BESS'!$D$125:$AW$125), 0), IF($B54='Project List References'!$B$6, _xlfn.IFNA(_xlfn.XLOOKUP(T$2-$C54, 'GEN-CARBON'!$D$7:$AW$7, 'GEN-CARBON'!$D$124:$AW$124), 0), IF($B54='Project List References'!$B$7, _xlfn.IFNA(_xlfn.XLOOKUP(T$2-$C54, 'SENS Coal'!$D$7:$AW$7, 'SENS Coal'!$D$141:$AW$141), 0), IF($B54='Project List References'!$B$8, _xlfn.IFNA(_xlfn.XLOOKUP(T$2-$C54, 'SENS Tires'!$D$7:$AW$7, 'SENS Tires'!$D$139:$AW$139), 0)))))))/_xlfn.XLOOKUP($B54, 'Assumptions &amp; Inputs'!$F$76:$L$76, 'Assumptions &amp; Inputs'!$F$77:$L$77)*IF(OR($B54='Project List References'!$B$3, $B54='Project List References'!$B$4, $B54='Project List References'!$B$5, $B54='Project List References'!$B$6), 'Project Master Sheet'!$E54, 'Project Master Sheet'!$F54)</f>
        <v>#N/A</v>
      </c>
    </row>
    <row r="55" spans="1:20">
      <c r="A55" s="655" t="str">
        <f>IF(ISBLANK('Project Master Sheet'!A55)=FALSE, 'Project Master Sheet'!A55, "")</f>
        <v/>
      </c>
      <c r="B55" s="655" t="str">
        <f>_xlfn.IFNA(_xlfn.XLOOKUP(A55, 'Project Master Sheet'!A:A, 'Project Master Sheet'!D:D), "")</f>
        <v/>
      </c>
      <c r="C55" s="655" t="e">
        <f>_xlfn.XLOOKUP(A55, 'Project Master Sheet'!A:A, 'Project Master Sheet'!I:I)</f>
        <v>#N/A</v>
      </c>
      <c r="E55" s="743" t="e">
        <f>IF($B55='Project List References'!$B$3, _xlfn.IFNA(_xlfn.XLOOKUP(E$2-$C55, 'GEN-CCGT'!$D$7:$AW$7, 'GEN-CCGT'!$D$124:$AW$124), 0), IF($B55='Project List References'!$B$4, _xlfn.IFNA(_xlfn.XLOOKUP(E$2-$C55, 'GEN-SOLAR'!$D$7:$AW$7, 'GEN-SOLAR'!$D$122:$AW$122), 0), IF($B55='Project List References'!$B$5, _xlfn.IFNA(_xlfn.XLOOKUP(E$2-$C55, 'GEN-BESS'!$D$7:$AW$7, 'GEN-BESS'!$D$125:$AW$125), 0), IF($B55='Project List References'!$B$6, _xlfn.IFNA(_xlfn.XLOOKUP(E$2-$C55, 'GEN-CARBON'!$D$7:$AW$7, 'GEN-CARBON'!$D$124:$AW$124), 0), IF($B55='Project List References'!$B$7, _xlfn.IFNA(_xlfn.XLOOKUP(E$2-$C55, 'SENS Coal'!$D$7:$AW$7, 'SENS Coal'!$D$141:$AW$141), 0), IF($B55='Project List References'!$B$8, _xlfn.IFNA(_xlfn.XLOOKUP(E$2-$C55,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F55" s="743" t="e">
        <f>IF($B55='Project List References'!$B$3, _xlfn.IFNA(_xlfn.XLOOKUP(F$2-$C55, 'GEN-CCGT'!$D$7:$AW$7, 'GEN-CCGT'!$D$124:$AW$124), 0), IF($B55='Project List References'!$B$4, _xlfn.IFNA(_xlfn.XLOOKUP(F$2-$C55, 'GEN-SOLAR'!$D$7:$AW$7, 'GEN-SOLAR'!$D$122:$AW$122), 0), IF($B55='Project List References'!$B$5, _xlfn.IFNA(_xlfn.XLOOKUP(F$2-$C55, 'GEN-BESS'!$D$7:$AW$7, 'GEN-BESS'!$D$125:$AW$125), 0), IF($B55='Project List References'!$B$6, _xlfn.IFNA(_xlfn.XLOOKUP(F$2-$C55, 'GEN-CARBON'!$D$7:$AW$7, 'GEN-CARBON'!$D$124:$AW$124), 0), IF($B55='Project List References'!$B$7, _xlfn.IFNA(_xlfn.XLOOKUP(F$2-$C55, 'SENS Coal'!$D$7:$AW$7, 'SENS Coal'!$D$141:$AW$141), 0), IF($B55='Project List References'!$B$8, _xlfn.IFNA(_xlfn.XLOOKUP(F$2-$C55,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G55" s="743" t="e">
        <f>IF($B55='Project List References'!$B$3, _xlfn.IFNA(_xlfn.XLOOKUP(G$2-$C55, 'GEN-CCGT'!$D$7:$AW$7, 'GEN-CCGT'!$D$124:$AW$124), 0), IF($B55='Project List References'!$B$4, _xlfn.IFNA(_xlfn.XLOOKUP(G$2-$C55, 'GEN-SOLAR'!$D$7:$AW$7, 'GEN-SOLAR'!$D$122:$AW$122), 0), IF($B55='Project List References'!$B$5, _xlfn.IFNA(_xlfn.XLOOKUP(G$2-$C55, 'GEN-BESS'!$D$7:$AW$7, 'GEN-BESS'!$D$125:$AW$125), 0), IF($B55='Project List References'!$B$6, _xlfn.IFNA(_xlfn.XLOOKUP(G$2-$C55, 'GEN-CARBON'!$D$7:$AW$7, 'GEN-CARBON'!$D$124:$AW$124), 0), IF($B55='Project List References'!$B$7, _xlfn.IFNA(_xlfn.XLOOKUP(G$2-$C55, 'SENS Coal'!$D$7:$AW$7, 'SENS Coal'!$D$141:$AW$141), 0), IF($B55='Project List References'!$B$8, _xlfn.IFNA(_xlfn.XLOOKUP(G$2-$C55,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H55" s="743" t="e">
        <f>IF($B55='Project List References'!$B$3, _xlfn.IFNA(_xlfn.XLOOKUP(H$2-$C55, 'GEN-CCGT'!$D$7:$AW$7, 'GEN-CCGT'!$D$124:$AW$124), 0), IF($B55='Project List References'!$B$4, _xlfn.IFNA(_xlfn.XLOOKUP(H$2-$C55, 'GEN-SOLAR'!$D$7:$AW$7, 'GEN-SOLAR'!$D$122:$AW$122), 0), IF($B55='Project List References'!$B$5, _xlfn.IFNA(_xlfn.XLOOKUP(H$2-$C55, 'GEN-BESS'!$D$7:$AW$7, 'GEN-BESS'!$D$125:$AW$125), 0), IF($B55='Project List References'!$B$6, _xlfn.IFNA(_xlfn.XLOOKUP(H$2-$C55, 'GEN-CARBON'!$D$7:$AW$7, 'GEN-CARBON'!$D$124:$AW$124), 0), IF($B55='Project List References'!$B$7, _xlfn.IFNA(_xlfn.XLOOKUP(H$2-$C55, 'SENS Coal'!$D$7:$AW$7, 'SENS Coal'!$D$141:$AW$141), 0), IF($B55='Project List References'!$B$8, _xlfn.IFNA(_xlfn.XLOOKUP(H$2-$C55,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I55" s="743" t="e">
        <f>IF($B55='Project List References'!$B$3, _xlfn.IFNA(_xlfn.XLOOKUP(I$2-$C55, 'GEN-CCGT'!$D$7:$AW$7, 'GEN-CCGT'!$D$124:$AW$124), 0), IF($B55='Project List References'!$B$4, _xlfn.IFNA(_xlfn.XLOOKUP(I$2-$C55, 'GEN-SOLAR'!$D$7:$AW$7, 'GEN-SOLAR'!$D$122:$AW$122), 0), IF($B55='Project List References'!$B$5, _xlfn.IFNA(_xlfn.XLOOKUP(I$2-$C55, 'GEN-BESS'!$D$7:$AW$7, 'GEN-BESS'!$D$125:$AW$125), 0), IF($B55='Project List References'!$B$6, _xlfn.IFNA(_xlfn.XLOOKUP(I$2-$C55, 'GEN-CARBON'!$D$7:$AW$7, 'GEN-CARBON'!$D$124:$AW$124), 0), IF($B55='Project List References'!$B$7, _xlfn.IFNA(_xlfn.XLOOKUP(I$2-$C55, 'SENS Coal'!$D$7:$AW$7, 'SENS Coal'!$D$141:$AW$141), 0), IF($B55='Project List References'!$B$8, _xlfn.IFNA(_xlfn.XLOOKUP(I$2-$C55,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J55" s="743" t="e">
        <f>IF($B55='Project List References'!$B$3, _xlfn.IFNA(_xlfn.XLOOKUP(J$2-$C55, 'GEN-CCGT'!$D$7:$AW$7, 'GEN-CCGT'!$D$124:$AW$124), 0), IF($B55='Project List References'!$B$4, _xlfn.IFNA(_xlfn.XLOOKUP(J$2-$C55, 'GEN-SOLAR'!$D$7:$AW$7, 'GEN-SOLAR'!$D$122:$AW$122), 0), IF($B55='Project List References'!$B$5, _xlfn.IFNA(_xlfn.XLOOKUP(J$2-$C55, 'GEN-BESS'!$D$7:$AW$7, 'GEN-BESS'!$D$125:$AW$125), 0), IF($B55='Project List References'!$B$6, _xlfn.IFNA(_xlfn.XLOOKUP(J$2-$C55, 'GEN-CARBON'!$D$7:$AW$7, 'GEN-CARBON'!$D$124:$AW$124), 0), IF($B55='Project List References'!$B$7, _xlfn.IFNA(_xlfn.XLOOKUP(J$2-$C55, 'SENS Coal'!$D$7:$AW$7, 'SENS Coal'!$D$141:$AW$141), 0), IF($B55='Project List References'!$B$8, _xlfn.IFNA(_xlfn.XLOOKUP(J$2-$C55,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K55" s="743" t="e">
        <f>IF($B55='Project List References'!$B$3, _xlfn.IFNA(_xlfn.XLOOKUP(K$2-$C55, 'GEN-CCGT'!$D$7:$AW$7, 'GEN-CCGT'!$D$124:$AW$124), 0), IF($B55='Project List References'!$B$4, _xlfn.IFNA(_xlfn.XLOOKUP(K$2-$C55, 'GEN-SOLAR'!$D$7:$AW$7, 'GEN-SOLAR'!$D$122:$AW$122), 0), IF($B55='Project List References'!$B$5, _xlfn.IFNA(_xlfn.XLOOKUP(K$2-$C55, 'GEN-BESS'!$D$7:$AW$7, 'GEN-BESS'!$D$125:$AW$125), 0), IF($B55='Project List References'!$B$6, _xlfn.IFNA(_xlfn.XLOOKUP(K$2-$C55, 'GEN-CARBON'!$D$7:$AW$7, 'GEN-CARBON'!$D$124:$AW$124), 0), IF($B55='Project List References'!$B$7, _xlfn.IFNA(_xlfn.XLOOKUP(K$2-$C55, 'SENS Coal'!$D$7:$AW$7, 'SENS Coal'!$D$141:$AW$141), 0), IF($B55='Project List References'!$B$8, _xlfn.IFNA(_xlfn.XLOOKUP(K$2-$C55,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L55" s="743" t="e">
        <f>IF($B55='Project List References'!$B$3, _xlfn.IFNA(_xlfn.XLOOKUP(L$2-$C55, 'GEN-CCGT'!$D$7:$AW$7, 'GEN-CCGT'!$D$124:$AW$124), 0), IF($B55='Project List References'!$B$4, _xlfn.IFNA(_xlfn.XLOOKUP(L$2-$C55, 'GEN-SOLAR'!$D$7:$AW$7, 'GEN-SOLAR'!$D$122:$AW$122), 0), IF($B55='Project List References'!$B$5, _xlfn.IFNA(_xlfn.XLOOKUP(L$2-$C55, 'GEN-BESS'!$D$7:$AW$7, 'GEN-BESS'!$D$125:$AW$125), 0), IF($B55='Project List References'!$B$6, _xlfn.IFNA(_xlfn.XLOOKUP(L$2-$C55, 'GEN-CARBON'!$D$7:$AW$7, 'GEN-CARBON'!$D$124:$AW$124), 0), IF($B55='Project List References'!$B$7, _xlfn.IFNA(_xlfn.XLOOKUP(L$2-$C55, 'SENS Coal'!$D$7:$AW$7, 'SENS Coal'!$D$141:$AW$141), 0), IF($B55='Project List References'!$B$8, _xlfn.IFNA(_xlfn.XLOOKUP(L$2-$C55,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M55" s="743" t="e">
        <f>IF($B55='Project List References'!$B$3, _xlfn.IFNA(_xlfn.XLOOKUP(M$2-$C55, 'GEN-CCGT'!$D$7:$AW$7, 'GEN-CCGT'!$D$124:$AW$124), 0), IF($B55='Project List References'!$B$4, _xlfn.IFNA(_xlfn.XLOOKUP(M$2-$C55, 'GEN-SOLAR'!$D$7:$AW$7, 'GEN-SOLAR'!$D$122:$AW$122), 0), IF($B55='Project List References'!$B$5, _xlfn.IFNA(_xlfn.XLOOKUP(M$2-$C55, 'GEN-BESS'!$D$7:$AW$7, 'GEN-BESS'!$D$125:$AW$125), 0), IF($B55='Project List References'!$B$6, _xlfn.IFNA(_xlfn.XLOOKUP(M$2-$C55, 'GEN-CARBON'!$D$7:$AW$7, 'GEN-CARBON'!$D$124:$AW$124), 0), IF($B55='Project List References'!$B$7, _xlfn.IFNA(_xlfn.XLOOKUP(M$2-$C55, 'SENS Coal'!$D$7:$AW$7, 'SENS Coal'!$D$141:$AW$141), 0), IF($B55='Project List References'!$B$8, _xlfn.IFNA(_xlfn.XLOOKUP(M$2-$C55,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N55" s="743" t="e">
        <f>IF($B55='Project List References'!$B$3, _xlfn.IFNA(_xlfn.XLOOKUP(N$2-$C55, 'GEN-CCGT'!$D$7:$AW$7, 'GEN-CCGT'!$D$124:$AW$124), 0), IF($B55='Project List References'!$B$4, _xlfn.IFNA(_xlfn.XLOOKUP(N$2-$C55, 'GEN-SOLAR'!$D$7:$AW$7, 'GEN-SOLAR'!$D$122:$AW$122), 0), IF($B55='Project List References'!$B$5, _xlfn.IFNA(_xlfn.XLOOKUP(N$2-$C55, 'GEN-BESS'!$D$7:$AW$7, 'GEN-BESS'!$D$125:$AW$125), 0), IF($B55='Project List References'!$B$6, _xlfn.IFNA(_xlfn.XLOOKUP(N$2-$C55, 'GEN-CARBON'!$D$7:$AW$7, 'GEN-CARBON'!$D$124:$AW$124), 0), IF($B55='Project List References'!$B$7, _xlfn.IFNA(_xlfn.XLOOKUP(N$2-$C55, 'SENS Coal'!$D$7:$AW$7, 'SENS Coal'!$D$141:$AW$141), 0), IF($B55='Project List References'!$B$8, _xlfn.IFNA(_xlfn.XLOOKUP(N$2-$C55,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O55" s="743" t="e">
        <f>IF($B55='Project List References'!$B$3, _xlfn.IFNA(_xlfn.XLOOKUP(O$2-$C55, 'GEN-CCGT'!$D$7:$AW$7, 'GEN-CCGT'!$D$124:$AW$124), 0), IF($B55='Project List References'!$B$4, _xlfn.IFNA(_xlfn.XLOOKUP(O$2-$C55, 'GEN-SOLAR'!$D$7:$AW$7, 'GEN-SOLAR'!$D$122:$AW$122), 0), IF($B55='Project List References'!$B$5, _xlfn.IFNA(_xlfn.XLOOKUP(O$2-$C55, 'GEN-BESS'!$D$7:$AW$7, 'GEN-BESS'!$D$125:$AW$125), 0), IF($B55='Project List References'!$B$6, _xlfn.IFNA(_xlfn.XLOOKUP(O$2-$C55, 'GEN-CARBON'!$D$7:$AW$7, 'GEN-CARBON'!$D$124:$AW$124), 0), IF($B55='Project List References'!$B$7, _xlfn.IFNA(_xlfn.XLOOKUP(O$2-$C55, 'SENS Coal'!$D$7:$AW$7, 'SENS Coal'!$D$141:$AW$141), 0), IF($B55='Project List References'!$B$8, _xlfn.IFNA(_xlfn.XLOOKUP(O$2-$C55,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P55" s="743" t="e">
        <f>IF($B55='Project List References'!$B$3, _xlfn.IFNA(_xlfn.XLOOKUP(P$2-$C55, 'GEN-CCGT'!$D$7:$AW$7, 'GEN-CCGT'!$D$124:$AW$124), 0), IF($B55='Project List References'!$B$4, _xlfn.IFNA(_xlfn.XLOOKUP(P$2-$C55, 'GEN-SOLAR'!$D$7:$AW$7, 'GEN-SOLAR'!$D$122:$AW$122), 0), IF($B55='Project List References'!$B$5, _xlfn.IFNA(_xlfn.XLOOKUP(P$2-$C55, 'GEN-BESS'!$D$7:$AW$7, 'GEN-BESS'!$D$125:$AW$125), 0), IF($B55='Project List References'!$B$6, _xlfn.IFNA(_xlfn.XLOOKUP(P$2-$C55, 'GEN-CARBON'!$D$7:$AW$7, 'GEN-CARBON'!$D$124:$AW$124), 0), IF($B55='Project List References'!$B$7, _xlfn.IFNA(_xlfn.XLOOKUP(P$2-$C55, 'SENS Coal'!$D$7:$AW$7, 'SENS Coal'!$D$141:$AW$141), 0), IF($B55='Project List References'!$B$8, _xlfn.IFNA(_xlfn.XLOOKUP(P$2-$C55,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Q55" s="743" t="e">
        <f>IF($B55='Project List References'!$B$3, _xlfn.IFNA(_xlfn.XLOOKUP(Q$2-$C55, 'GEN-CCGT'!$D$7:$AW$7, 'GEN-CCGT'!$D$124:$AW$124), 0), IF($B55='Project List References'!$B$4, _xlfn.IFNA(_xlfn.XLOOKUP(Q$2-$C55, 'GEN-SOLAR'!$D$7:$AW$7, 'GEN-SOLAR'!$D$122:$AW$122), 0), IF($B55='Project List References'!$B$5, _xlfn.IFNA(_xlfn.XLOOKUP(Q$2-$C55, 'GEN-BESS'!$D$7:$AW$7, 'GEN-BESS'!$D$125:$AW$125), 0), IF($B55='Project List References'!$B$6, _xlfn.IFNA(_xlfn.XLOOKUP(Q$2-$C55, 'GEN-CARBON'!$D$7:$AW$7, 'GEN-CARBON'!$D$124:$AW$124), 0), IF($B55='Project List References'!$B$7, _xlfn.IFNA(_xlfn.XLOOKUP(Q$2-$C55, 'SENS Coal'!$D$7:$AW$7, 'SENS Coal'!$D$141:$AW$141), 0), IF($B55='Project List References'!$B$8, _xlfn.IFNA(_xlfn.XLOOKUP(Q$2-$C55,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R55" s="743" t="e">
        <f>IF($B55='Project List References'!$B$3, _xlfn.IFNA(_xlfn.XLOOKUP(R$2-$C55, 'GEN-CCGT'!$D$7:$AW$7, 'GEN-CCGT'!$D$124:$AW$124), 0), IF($B55='Project List References'!$B$4, _xlfn.IFNA(_xlfn.XLOOKUP(R$2-$C55, 'GEN-SOLAR'!$D$7:$AW$7, 'GEN-SOLAR'!$D$122:$AW$122), 0), IF($B55='Project List References'!$B$5, _xlfn.IFNA(_xlfn.XLOOKUP(R$2-$C55, 'GEN-BESS'!$D$7:$AW$7, 'GEN-BESS'!$D$125:$AW$125), 0), IF($B55='Project List References'!$B$6, _xlfn.IFNA(_xlfn.XLOOKUP(R$2-$C55, 'GEN-CARBON'!$D$7:$AW$7, 'GEN-CARBON'!$D$124:$AW$124), 0), IF($B55='Project List References'!$B$7, _xlfn.IFNA(_xlfn.XLOOKUP(R$2-$C55, 'SENS Coal'!$D$7:$AW$7, 'SENS Coal'!$D$141:$AW$141), 0), IF($B55='Project List References'!$B$8, _xlfn.IFNA(_xlfn.XLOOKUP(R$2-$C55,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S55" s="743" t="e">
        <f>IF($B55='Project List References'!$B$3, _xlfn.IFNA(_xlfn.XLOOKUP(S$2-$C55, 'GEN-CCGT'!$D$7:$AW$7, 'GEN-CCGT'!$D$124:$AW$124), 0), IF($B55='Project List References'!$B$4, _xlfn.IFNA(_xlfn.XLOOKUP(S$2-$C55, 'GEN-SOLAR'!$D$7:$AW$7, 'GEN-SOLAR'!$D$122:$AW$122), 0), IF($B55='Project List References'!$B$5, _xlfn.IFNA(_xlfn.XLOOKUP(S$2-$C55, 'GEN-BESS'!$D$7:$AW$7, 'GEN-BESS'!$D$125:$AW$125), 0), IF($B55='Project List References'!$B$6, _xlfn.IFNA(_xlfn.XLOOKUP(S$2-$C55, 'GEN-CARBON'!$D$7:$AW$7, 'GEN-CARBON'!$D$124:$AW$124), 0), IF($B55='Project List References'!$B$7, _xlfn.IFNA(_xlfn.XLOOKUP(S$2-$C55, 'SENS Coal'!$D$7:$AW$7, 'SENS Coal'!$D$141:$AW$141), 0), IF($B55='Project List References'!$B$8, _xlfn.IFNA(_xlfn.XLOOKUP(S$2-$C55,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  <c r="T55" s="743" t="e">
        <f>IF($B55='Project List References'!$B$3, _xlfn.IFNA(_xlfn.XLOOKUP(T$2-$C55, 'GEN-CCGT'!$D$7:$AW$7, 'GEN-CCGT'!$D$124:$AW$124), 0), IF($B55='Project List References'!$B$4, _xlfn.IFNA(_xlfn.XLOOKUP(T$2-$C55, 'GEN-SOLAR'!$D$7:$AW$7, 'GEN-SOLAR'!$D$122:$AW$122), 0), IF($B55='Project List References'!$B$5, _xlfn.IFNA(_xlfn.XLOOKUP(T$2-$C55, 'GEN-BESS'!$D$7:$AW$7, 'GEN-BESS'!$D$125:$AW$125), 0), IF($B55='Project List References'!$B$6, _xlfn.IFNA(_xlfn.XLOOKUP(T$2-$C55, 'GEN-CARBON'!$D$7:$AW$7, 'GEN-CARBON'!$D$124:$AW$124), 0), IF($B55='Project List References'!$B$7, _xlfn.IFNA(_xlfn.XLOOKUP(T$2-$C55, 'SENS Coal'!$D$7:$AW$7, 'SENS Coal'!$D$141:$AW$141), 0), IF($B55='Project List References'!$B$8, _xlfn.IFNA(_xlfn.XLOOKUP(T$2-$C55, 'SENS Tires'!$D$7:$AW$7, 'SENS Tires'!$D$139:$AW$139), 0)))))))/_xlfn.XLOOKUP($B55, 'Assumptions &amp; Inputs'!$F$76:$L$76, 'Assumptions &amp; Inputs'!$F$77:$L$77)*IF(OR($B55='Project List References'!$B$3, $B55='Project List References'!$B$4, $B55='Project List References'!$B$5, $B55='Project List References'!$B$6), 'Project Master Sheet'!$E55, 'Project Master Sheet'!$F55)</f>
        <v>#N/A</v>
      </c>
    </row>
    <row r="56" spans="1:20">
      <c r="A56" s="655" t="str">
        <f>IF(ISBLANK('Project Master Sheet'!A56)=FALSE, 'Project Master Sheet'!A56, "")</f>
        <v/>
      </c>
      <c r="B56" s="655" t="str">
        <f>_xlfn.IFNA(_xlfn.XLOOKUP(A56, 'Project Master Sheet'!A:A, 'Project Master Sheet'!D:D), "")</f>
        <v/>
      </c>
      <c r="C56" s="655" t="e">
        <f>_xlfn.XLOOKUP(A56, 'Project Master Sheet'!A:A, 'Project Master Sheet'!I:I)</f>
        <v>#N/A</v>
      </c>
      <c r="E56" s="743" t="e">
        <f>IF($B56='Project List References'!$B$3, _xlfn.IFNA(_xlfn.XLOOKUP(E$2-$C56, 'GEN-CCGT'!$D$7:$AW$7, 'GEN-CCGT'!$D$124:$AW$124), 0), IF($B56='Project List References'!$B$4, _xlfn.IFNA(_xlfn.XLOOKUP(E$2-$C56, 'GEN-SOLAR'!$D$7:$AW$7, 'GEN-SOLAR'!$D$122:$AW$122), 0), IF($B56='Project List References'!$B$5, _xlfn.IFNA(_xlfn.XLOOKUP(E$2-$C56, 'GEN-BESS'!$D$7:$AW$7, 'GEN-BESS'!$D$125:$AW$125), 0), IF($B56='Project List References'!$B$6, _xlfn.IFNA(_xlfn.XLOOKUP(E$2-$C56, 'GEN-CARBON'!$D$7:$AW$7, 'GEN-CARBON'!$D$124:$AW$124), 0), IF($B56='Project List References'!$B$7, _xlfn.IFNA(_xlfn.XLOOKUP(E$2-$C56, 'SENS Coal'!$D$7:$AW$7, 'SENS Coal'!$D$141:$AW$141), 0), IF($B56='Project List References'!$B$8, _xlfn.IFNA(_xlfn.XLOOKUP(E$2-$C56,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F56" s="743" t="e">
        <f>IF($B56='Project List References'!$B$3, _xlfn.IFNA(_xlfn.XLOOKUP(F$2-$C56, 'GEN-CCGT'!$D$7:$AW$7, 'GEN-CCGT'!$D$124:$AW$124), 0), IF($B56='Project List References'!$B$4, _xlfn.IFNA(_xlfn.XLOOKUP(F$2-$C56, 'GEN-SOLAR'!$D$7:$AW$7, 'GEN-SOLAR'!$D$122:$AW$122), 0), IF($B56='Project List References'!$B$5, _xlfn.IFNA(_xlfn.XLOOKUP(F$2-$C56, 'GEN-BESS'!$D$7:$AW$7, 'GEN-BESS'!$D$125:$AW$125), 0), IF($B56='Project List References'!$B$6, _xlfn.IFNA(_xlfn.XLOOKUP(F$2-$C56, 'GEN-CARBON'!$D$7:$AW$7, 'GEN-CARBON'!$D$124:$AW$124), 0), IF($B56='Project List References'!$B$7, _xlfn.IFNA(_xlfn.XLOOKUP(F$2-$C56, 'SENS Coal'!$D$7:$AW$7, 'SENS Coal'!$D$141:$AW$141), 0), IF($B56='Project List References'!$B$8, _xlfn.IFNA(_xlfn.XLOOKUP(F$2-$C56,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G56" s="743" t="e">
        <f>IF($B56='Project List References'!$B$3, _xlfn.IFNA(_xlfn.XLOOKUP(G$2-$C56, 'GEN-CCGT'!$D$7:$AW$7, 'GEN-CCGT'!$D$124:$AW$124), 0), IF($B56='Project List References'!$B$4, _xlfn.IFNA(_xlfn.XLOOKUP(G$2-$C56, 'GEN-SOLAR'!$D$7:$AW$7, 'GEN-SOLAR'!$D$122:$AW$122), 0), IF($B56='Project List References'!$B$5, _xlfn.IFNA(_xlfn.XLOOKUP(G$2-$C56, 'GEN-BESS'!$D$7:$AW$7, 'GEN-BESS'!$D$125:$AW$125), 0), IF($B56='Project List References'!$B$6, _xlfn.IFNA(_xlfn.XLOOKUP(G$2-$C56, 'GEN-CARBON'!$D$7:$AW$7, 'GEN-CARBON'!$D$124:$AW$124), 0), IF($B56='Project List References'!$B$7, _xlfn.IFNA(_xlfn.XLOOKUP(G$2-$C56, 'SENS Coal'!$D$7:$AW$7, 'SENS Coal'!$D$141:$AW$141), 0), IF($B56='Project List References'!$B$8, _xlfn.IFNA(_xlfn.XLOOKUP(G$2-$C56,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H56" s="743" t="e">
        <f>IF($B56='Project List References'!$B$3, _xlfn.IFNA(_xlfn.XLOOKUP(H$2-$C56, 'GEN-CCGT'!$D$7:$AW$7, 'GEN-CCGT'!$D$124:$AW$124), 0), IF($B56='Project List References'!$B$4, _xlfn.IFNA(_xlfn.XLOOKUP(H$2-$C56, 'GEN-SOLAR'!$D$7:$AW$7, 'GEN-SOLAR'!$D$122:$AW$122), 0), IF($B56='Project List References'!$B$5, _xlfn.IFNA(_xlfn.XLOOKUP(H$2-$C56, 'GEN-BESS'!$D$7:$AW$7, 'GEN-BESS'!$D$125:$AW$125), 0), IF($B56='Project List References'!$B$6, _xlfn.IFNA(_xlfn.XLOOKUP(H$2-$C56, 'GEN-CARBON'!$D$7:$AW$7, 'GEN-CARBON'!$D$124:$AW$124), 0), IF($B56='Project List References'!$B$7, _xlfn.IFNA(_xlfn.XLOOKUP(H$2-$C56, 'SENS Coal'!$D$7:$AW$7, 'SENS Coal'!$D$141:$AW$141), 0), IF($B56='Project List References'!$B$8, _xlfn.IFNA(_xlfn.XLOOKUP(H$2-$C56,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I56" s="743" t="e">
        <f>IF($B56='Project List References'!$B$3, _xlfn.IFNA(_xlfn.XLOOKUP(I$2-$C56, 'GEN-CCGT'!$D$7:$AW$7, 'GEN-CCGT'!$D$124:$AW$124), 0), IF($B56='Project List References'!$B$4, _xlfn.IFNA(_xlfn.XLOOKUP(I$2-$C56, 'GEN-SOLAR'!$D$7:$AW$7, 'GEN-SOLAR'!$D$122:$AW$122), 0), IF($B56='Project List References'!$B$5, _xlfn.IFNA(_xlfn.XLOOKUP(I$2-$C56, 'GEN-BESS'!$D$7:$AW$7, 'GEN-BESS'!$D$125:$AW$125), 0), IF($B56='Project List References'!$B$6, _xlfn.IFNA(_xlfn.XLOOKUP(I$2-$C56, 'GEN-CARBON'!$D$7:$AW$7, 'GEN-CARBON'!$D$124:$AW$124), 0), IF($B56='Project List References'!$B$7, _xlfn.IFNA(_xlfn.XLOOKUP(I$2-$C56, 'SENS Coal'!$D$7:$AW$7, 'SENS Coal'!$D$141:$AW$141), 0), IF($B56='Project List References'!$B$8, _xlfn.IFNA(_xlfn.XLOOKUP(I$2-$C56,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J56" s="743" t="e">
        <f>IF($B56='Project List References'!$B$3, _xlfn.IFNA(_xlfn.XLOOKUP(J$2-$C56, 'GEN-CCGT'!$D$7:$AW$7, 'GEN-CCGT'!$D$124:$AW$124), 0), IF($B56='Project List References'!$B$4, _xlfn.IFNA(_xlfn.XLOOKUP(J$2-$C56, 'GEN-SOLAR'!$D$7:$AW$7, 'GEN-SOLAR'!$D$122:$AW$122), 0), IF($B56='Project List References'!$B$5, _xlfn.IFNA(_xlfn.XLOOKUP(J$2-$C56, 'GEN-BESS'!$D$7:$AW$7, 'GEN-BESS'!$D$125:$AW$125), 0), IF($B56='Project List References'!$B$6, _xlfn.IFNA(_xlfn.XLOOKUP(J$2-$C56, 'GEN-CARBON'!$D$7:$AW$7, 'GEN-CARBON'!$D$124:$AW$124), 0), IF($B56='Project List References'!$B$7, _xlfn.IFNA(_xlfn.XLOOKUP(J$2-$C56, 'SENS Coal'!$D$7:$AW$7, 'SENS Coal'!$D$141:$AW$141), 0), IF($B56='Project List References'!$B$8, _xlfn.IFNA(_xlfn.XLOOKUP(J$2-$C56,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K56" s="743" t="e">
        <f>IF($B56='Project List References'!$B$3, _xlfn.IFNA(_xlfn.XLOOKUP(K$2-$C56, 'GEN-CCGT'!$D$7:$AW$7, 'GEN-CCGT'!$D$124:$AW$124), 0), IF($B56='Project List References'!$B$4, _xlfn.IFNA(_xlfn.XLOOKUP(K$2-$C56, 'GEN-SOLAR'!$D$7:$AW$7, 'GEN-SOLAR'!$D$122:$AW$122), 0), IF($B56='Project List References'!$B$5, _xlfn.IFNA(_xlfn.XLOOKUP(K$2-$C56, 'GEN-BESS'!$D$7:$AW$7, 'GEN-BESS'!$D$125:$AW$125), 0), IF($B56='Project List References'!$B$6, _xlfn.IFNA(_xlfn.XLOOKUP(K$2-$C56, 'GEN-CARBON'!$D$7:$AW$7, 'GEN-CARBON'!$D$124:$AW$124), 0), IF($B56='Project List References'!$B$7, _xlfn.IFNA(_xlfn.XLOOKUP(K$2-$C56, 'SENS Coal'!$D$7:$AW$7, 'SENS Coal'!$D$141:$AW$141), 0), IF($B56='Project List References'!$B$8, _xlfn.IFNA(_xlfn.XLOOKUP(K$2-$C56,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L56" s="743" t="e">
        <f>IF($B56='Project List References'!$B$3, _xlfn.IFNA(_xlfn.XLOOKUP(L$2-$C56, 'GEN-CCGT'!$D$7:$AW$7, 'GEN-CCGT'!$D$124:$AW$124), 0), IF($B56='Project List References'!$B$4, _xlfn.IFNA(_xlfn.XLOOKUP(L$2-$C56, 'GEN-SOLAR'!$D$7:$AW$7, 'GEN-SOLAR'!$D$122:$AW$122), 0), IF($B56='Project List References'!$B$5, _xlfn.IFNA(_xlfn.XLOOKUP(L$2-$C56, 'GEN-BESS'!$D$7:$AW$7, 'GEN-BESS'!$D$125:$AW$125), 0), IF($B56='Project List References'!$B$6, _xlfn.IFNA(_xlfn.XLOOKUP(L$2-$C56, 'GEN-CARBON'!$D$7:$AW$7, 'GEN-CARBON'!$D$124:$AW$124), 0), IF($B56='Project List References'!$B$7, _xlfn.IFNA(_xlfn.XLOOKUP(L$2-$C56, 'SENS Coal'!$D$7:$AW$7, 'SENS Coal'!$D$141:$AW$141), 0), IF($B56='Project List References'!$B$8, _xlfn.IFNA(_xlfn.XLOOKUP(L$2-$C56,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M56" s="743" t="e">
        <f>IF($B56='Project List References'!$B$3, _xlfn.IFNA(_xlfn.XLOOKUP(M$2-$C56, 'GEN-CCGT'!$D$7:$AW$7, 'GEN-CCGT'!$D$124:$AW$124), 0), IF($B56='Project List References'!$B$4, _xlfn.IFNA(_xlfn.XLOOKUP(M$2-$C56, 'GEN-SOLAR'!$D$7:$AW$7, 'GEN-SOLAR'!$D$122:$AW$122), 0), IF($B56='Project List References'!$B$5, _xlfn.IFNA(_xlfn.XLOOKUP(M$2-$C56, 'GEN-BESS'!$D$7:$AW$7, 'GEN-BESS'!$D$125:$AW$125), 0), IF($B56='Project List References'!$B$6, _xlfn.IFNA(_xlfn.XLOOKUP(M$2-$C56, 'GEN-CARBON'!$D$7:$AW$7, 'GEN-CARBON'!$D$124:$AW$124), 0), IF($B56='Project List References'!$B$7, _xlfn.IFNA(_xlfn.XLOOKUP(M$2-$C56, 'SENS Coal'!$D$7:$AW$7, 'SENS Coal'!$D$141:$AW$141), 0), IF($B56='Project List References'!$B$8, _xlfn.IFNA(_xlfn.XLOOKUP(M$2-$C56,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N56" s="743" t="e">
        <f>IF($B56='Project List References'!$B$3, _xlfn.IFNA(_xlfn.XLOOKUP(N$2-$C56, 'GEN-CCGT'!$D$7:$AW$7, 'GEN-CCGT'!$D$124:$AW$124), 0), IF($B56='Project List References'!$B$4, _xlfn.IFNA(_xlfn.XLOOKUP(N$2-$C56, 'GEN-SOLAR'!$D$7:$AW$7, 'GEN-SOLAR'!$D$122:$AW$122), 0), IF($B56='Project List References'!$B$5, _xlfn.IFNA(_xlfn.XLOOKUP(N$2-$C56, 'GEN-BESS'!$D$7:$AW$7, 'GEN-BESS'!$D$125:$AW$125), 0), IF($B56='Project List References'!$B$6, _xlfn.IFNA(_xlfn.XLOOKUP(N$2-$C56, 'GEN-CARBON'!$D$7:$AW$7, 'GEN-CARBON'!$D$124:$AW$124), 0), IF($B56='Project List References'!$B$7, _xlfn.IFNA(_xlfn.XLOOKUP(N$2-$C56, 'SENS Coal'!$D$7:$AW$7, 'SENS Coal'!$D$141:$AW$141), 0), IF($B56='Project List References'!$B$8, _xlfn.IFNA(_xlfn.XLOOKUP(N$2-$C56,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O56" s="743" t="e">
        <f>IF($B56='Project List References'!$B$3, _xlfn.IFNA(_xlfn.XLOOKUP(O$2-$C56, 'GEN-CCGT'!$D$7:$AW$7, 'GEN-CCGT'!$D$124:$AW$124), 0), IF($B56='Project List References'!$B$4, _xlfn.IFNA(_xlfn.XLOOKUP(O$2-$C56, 'GEN-SOLAR'!$D$7:$AW$7, 'GEN-SOLAR'!$D$122:$AW$122), 0), IF($B56='Project List References'!$B$5, _xlfn.IFNA(_xlfn.XLOOKUP(O$2-$C56, 'GEN-BESS'!$D$7:$AW$7, 'GEN-BESS'!$D$125:$AW$125), 0), IF($B56='Project List References'!$B$6, _xlfn.IFNA(_xlfn.XLOOKUP(O$2-$C56, 'GEN-CARBON'!$D$7:$AW$7, 'GEN-CARBON'!$D$124:$AW$124), 0), IF($B56='Project List References'!$B$7, _xlfn.IFNA(_xlfn.XLOOKUP(O$2-$C56, 'SENS Coal'!$D$7:$AW$7, 'SENS Coal'!$D$141:$AW$141), 0), IF($B56='Project List References'!$B$8, _xlfn.IFNA(_xlfn.XLOOKUP(O$2-$C56,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P56" s="743" t="e">
        <f>IF($B56='Project List References'!$B$3, _xlfn.IFNA(_xlfn.XLOOKUP(P$2-$C56, 'GEN-CCGT'!$D$7:$AW$7, 'GEN-CCGT'!$D$124:$AW$124), 0), IF($B56='Project List References'!$B$4, _xlfn.IFNA(_xlfn.XLOOKUP(P$2-$C56, 'GEN-SOLAR'!$D$7:$AW$7, 'GEN-SOLAR'!$D$122:$AW$122), 0), IF($B56='Project List References'!$B$5, _xlfn.IFNA(_xlfn.XLOOKUP(P$2-$C56, 'GEN-BESS'!$D$7:$AW$7, 'GEN-BESS'!$D$125:$AW$125), 0), IF($B56='Project List References'!$B$6, _xlfn.IFNA(_xlfn.XLOOKUP(P$2-$C56, 'GEN-CARBON'!$D$7:$AW$7, 'GEN-CARBON'!$D$124:$AW$124), 0), IF($B56='Project List References'!$B$7, _xlfn.IFNA(_xlfn.XLOOKUP(P$2-$C56, 'SENS Coal'!$D$7:$AW$7, 'SENS Coal'!$D$141:$AW$141), 0), IF($B56='Project List References'!$B$8, _xlfn.IFNA(_xlfn.XLOOKUP(P$2-$C56,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Q56" s="743" t="e">
        <f>IF($B56='Project List References'!$B$3, _xlfn.IFNA(_xlfn.XLOOKUP(Q$2-$C56, 'GEN-CCGT'!$D$7:$AW$7, 'GEN-CCGT'!$D$124:$AW$124), 0), IF($B56='Project List References'!$B$4, _xlfn.IFNA(_xlfn.XLOOKUP(Q$2-$C56, 'GEN-SOLAR'!$D$7:$AW$7, 'GEN-SOLAR'!$D$122:$AW$122), 0), IF($B56='Project List References'!$B$5, _xlfn.IFNA(_xlfn.XLOOKUP(Q$2-$C56, 'GEN-BESS'!$D$7:$AW$7, 'GEN-BESS'!$D$125:$AW$125), 0), IF($B56='Project List References'!$B$6, _xlfn.IFNA(_xlfn.XLOOKUP(Q$2-$C56, 'GEN-CARBON'!$D$7:$AW$7, 'GEN-CARBON'!$D$124:$AW$124), 0), IF($B56='Project List References'!$B$7, _xlfn.IFNA(_xlfn.XLOOKUP(Q$2-$C56, 'SENS Coal'!$D$7:$AW$7, 'SENS Coal'!$D$141:$AW$141), 0), IF($B56='Project List References'!$B$8, _xlfn.IFNA(_xlfn.XLOOKUP(Q$2-$C56,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R56" s="743" t="e">
        <f>IF($B56='Project List References'!$B$3, _xlfn.IFNA(_xlfn.XLOOKUP(R$2-$C56, 'GEN-CCGT'!$D$7:$AW$7, 'GEN-CCGT'!$D$124:$AW$124), 0), IF($B56='Project List References'!$B$4, _xlfn.IFNA(_xlfn.XLOOKUP(R$2-$C56, 'GEN-SOLAR'!$D$7:$AW$7, 'GEN-SOLAR'!$D$122:$AW$122), 0), IF($B56='Project List References'!$B$5, _xlfn.IFNA(_xlfn.XLOOKUP(R$2-$C56, 'GEN-BESS'!$D$7:$AW$7, 'GEN-BESS'!$D$125:$AW$125), 0), IF($B56='Project List References'!$B$6, _xlfn.IFNA(_xlfn.XLOOKUP(R$2-$C56, 'GEN-CARBON'!$D$7:$AW$7, 'GEN-CARBON'!$D$124:$AW$124), 0), IF($B56='Project List References'!$B$7, _xlfn.IFNA(_xlfn.XLOOKUP(R$2-$C56, 'SENS Coal'!$D$7:$AW$7, 'SENS Coal'!$D$141:$AW$141), 0), IF($B56='Project List References'!$B$8, _xlfn.IFNA(_xlfn.XLOOKUP(R$2-$C56,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S56" s="743" t="e">
        <f>IF($B56='Project List References'!$B$3, _xlfn.IFNA(_xlfn.XLOOKUP(S$2-$C56, 'GEN-CCGT'!$D$7:$AW$7, 'GEN-CCGT'!$D$124:$AW$124), 0), IF($B56='Project List References'!$B$4, _xlfn.IFNA(_xlfn.XLOOKUP(S$2-$C56, 'GEN-SOLAR'!$D$7:$AW$7, 'GEN-SOLAR'!$D$122:$AW$122), 0), IF($B56='Project List References'!$B$5, _xlfn.IFNA(_xlfn.XLOOKUP(S$2-$C56, 'GEN-BESS'!$D$7:$AW$7, 'GEN-BESS'!$D$125:$AW$125), 0), IF($B56='Project List References'!$B$6, _xlfn.IFNA(_xlfn.XLOOKUP(S$2-$C56, 'GEN-CARBON'!$D$7:$AW$7, 'GEN-CARBON'!$D$124:$AW$124), 0), IF($B56='Project List References'!$B$7, _xlfn.IFNA(_xlfn.XLOOKUP(S$2-$C56, 'SENS Coal'!$D$7:$AW$7, 'SENS Coal'!$D$141:$AW$141), 0), IF($B56='Project List References'!$B$8, _xlfn.IFNA(_xlfn.XLOOKUP(S$2-$C56,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  <c r="T56" s="743" t="e">
        <f>IF($B56='Project List References'!$B$3, _xlfn.IFNA(_xlfn.XLOOKUP(T$2-$C56, 'GEN-CCGT'!$D$7:$AW$7, 'GEN-CCGT'!$D$124:$AW$124), 0), IF($B56='Project List References'!$B$4, _xlfn.IFNA(_xlfn.XLOOKUP(T$2-$C56, 'GEN-SOLAR'!$D$7:$AW$7, 'GEN-SOLAR'!$D$122:$AW$122), 0), IF($B56='Project List References'!$B$5, _xlfn.IFNA(_xlfn.XLOOKUP(T$2-$C56, 'GEN-BESS'!$D$7:$AW$7, 'GEN-BESS'!$D$125:$AW$125), 0), IF($B56='Project List References'!$B$6, _xlfn.IFNA(_xlfn.XLOOKUP(T$2-$C56, 'GEN-CARBON'!$D$7:$AW$7, 'GEN-CARBON'!$D$124:$AW$124), 0), IF($B56='Project List References'!$B$7, _xlfn.IFNA(_xlfn.XLOOKUP(T$2-$C56, 'SENS Coal'!$D$7:$AW$7, 'SENS Coal'!$D$141:$AW$141), 0), IF($B56='Project List References'!$B$8, _xlfn.IFNA(_xlfn.XLOOKUP(T$2-$C56, 'SENS Tires'!$D$7:$AW$7, 'SENS Tires'!$D$139:$AW$139), 0)))))))/_xlfn.XLOOKUP($B56, 'Assumptions &amp; Inputs'!$F$76:$L$76, 'Assumptions &amp; Inputs'!$F$77:$L$77)*IF(OR($B56='Project List References'!$B$3, $B56='Project List References'!$B$4, $B56='Project List References'!$B$5, $B56='Project List References'!$B$6), 'Project Master Sheet'!$E56, 'Project Master Sheet'!$F56)</f>
        <v>#N/A</v>
      </c>
    </row>
  </sheetData>
  <mergeCells count="1">
    <mergeCell ref="E1: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2D8F-8694-4E62-83FF-EE237C7432E0}">
  <dimension ref="A1:DG37"/>
  <sheetViews>
    <sheetView workbookViewId="0">
      <selection activeCell="A10" sqref="A10"/>
    </sheetView>
  </sheetViews>
  <sheetFormatPr baseColWidth="10" defaultColWidth="9.1640625" defaultRowHeight="15"/>
  <cols>
    <col min="1" max="1" width="30.1640625" style="655" customWidth="1"/>
    <col min="2" max="2" width="23" style="655" customWidth="1"/>
    <col min="3" max="3" width="18.1640625" style="655" customWidth="1"/>
    <col min="4" max="4" width="5.6640625" style="655" customWidth="1"/>
    <col min="5" max="20" width="12.6640625" style="655" customWidth="1"/>
    <col min="21" max="16384" width="9.1640625" style="655"/>
  </cols>
  <sheetData>
    <row r="1" spans="1:111" ht="27">
      <c r="A1" s="656" t="s">
        <v>40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8"/>
      <c r="AI1" s="658"/>
      <c r="AJ1" s="658"/>
      <c r="AK1" s="658"/>
      <c r="AL1" s="658"/>
      <c r="AM1" s="658"/>
      <c r="AN1" s="658"/>
      <c r="AO1" s="658"/>
      <c r="AP1" s="658"/>
      <c r="AQ1" s="658"/>
      <c r="AR1" s="658"/>
      <c r="AS1" s="658"/>
      <c r="AT1" s="658"/>
      <c r="AU1" s="658"/>
      <c r="AV1" s="658"/>
      <c r="AW1" s="658"/>
      <c r="AX1" s="658"/>
      <c r="AY1" s="658"/>
      <c r="AZ1" s="658"/>
      <c r="BA1" s="658"/>
      <c r="BB1" s="658"/>
      <c r="BC1" s="658"/>
      <c r="BD1" s="658"/>
      <c r="BE1" s="658"/>
      <c r="BF1" s="658"/>
      <c r="BG1" s="658"/>
      <c r="BH1" s="658"/>
      <c r="BI1" s="658"/>
      <c r="BJ1" s="658"/>
      <c r="BK1" s="658"/>
      <c r="BL1" s="658"/>
      <c r="BM1" s="658"/>
      <c r="BN1" s="658"/>
      <c r="BO1" s="658"/>
      <c r="BP1" s="658"/>
      <c r="BQ1" s="658"/>
      <c r="BR1" s="658"/>
      <c r="BS1" s="658"/>
      <c r="BT1" s="658"/>
      <c r="BU1" s="658"/>
      <c r="BV1" s="658"/>
      <c r="BW1" s="658"/>
      <c r="BX1" s="658"/>
      <c r="BY1" s="658"/>
      <c r="BZ1" s="658"/>
      <c r="CA1" s="658"/>
      <c r="CB1" s="658"/>
      <c r="CC1" s="658"/>
      <c r="CD1" s="658"/>
      <c r="CE1" s="658"/>
      <c r="CF1" s="658"/>
      <c r="CG1" s="658"/>
      <c r="CH1" s="658"/>
      <c r="CI1" s="658"/>
      <c r="CJ1" s="658"/>
      <c r="CK1" s="658"/>
      <c r="CL1" s="658"/>
      <c r="CM1" s="658"/>
      <c r="CN1" s="658"/>
      <c r="CO1" s="658"/>
      <c r="CP1" s="658"/>
      <c r="CQ1" s="658"/>
      <c r="CR1" s="658"/>
      <c r="CS1" s="658"/>
      <c r="CT1" s="658"/>
      <c r="CU1" s="658"/>
      <c r="CV1" s="658"/>
      <c r="CW1" s="658"/>
      <c r="CX1" s="658"/>
      <c r="CY1" s="658"/>
      <c r="CZ1" s="658"/>
      <c r="DA1" s="658"/>
      <c r="DB1" s="658"/>
      <c r="DC1" s="658"/>
      <c r="DD1" s="658"/>
      <c r="DE1" s="658"/>
      <c r="DF1" s="658"/>
      <c r="DG1" s="658"/>
    </row>
    <row r="2" spans="1:111">
      <c r="A2" s="655" t="s">
        <v>52</v>
      </c>
      <c r="B2" s="655" t="s">
        <v>45</v>
      </c>
      <c r="C2" s="655" t="s">
        <v>53</v>
      </c>
      <c r="E2" s="655">
        <v>0</v>
      </c>
      <c r="F2" s="655">
        <f>E2+1</f>
        <v>1</v>
      </c>
      <c r="G2" s="655">
        <f t="shared" ref="G2:T2" si="0">F2+1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111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_xlfn.XLOOKUP('Project OPEX'!A3, 'Project Master Sheet'!A:A, 'Project Master Sheet'!I:I)</f>
        <v>1</v>
      </c>
      <c r="E3" s="662">
        <f>'Project GREV'!E3-'Project OPEX'!E3</f>
        <v>0</v>
      </c>
      <c r="F3" s="662">
        <f>'Project GREV'!F3-'Project OPEX'!F3</f>
        <v>0</v>
      </c>
      <c r="G3" s="662">
        <f>'Project GREV'!G3-'Project OPEX'!G3</f>
        <v>0</v>
      </c>
      <c r="H3" s="662">
        <f>'Project GREV'!H3-'Project OPEX'!H3</f>
        <v>0</v>
      </c>
      <c r="I3" s="662">
        <f>'Project GREV'!I3-'Project OPEX'!I3</f>
        <v>0</v>
      </c>
      <c r="J3" s="662">
        <f>'Project GREV'!J3-'Project OPEX'!J3</f>
        <v>123.76659579178967</v>
      </c>
      <c r="K3" s="662">
        <f>'Project GREV'!K3-'Project OPEX'!K3</f>
        <v>151.44316454141173</v>
      </c>
      <c r="L3" s="662">
        <f>'Project GREV'!L3-'Project OPEX'!L3</f>
        <v>154.47001277873656</v>
      </c>
      <c r="M3" s="662">
        <f>'Project GREV'!M3-'Project OPEX'!M3</f>
        <v>157.53863643526236</v>
      </c>
      <c r="N3" s="662">
        <f>'Project GREV'!N3-'Project OPEX'!N3</f>
        <v>160.64948961966076</v>
      </c>
      <c r="O3" s="662">
        <f>'Project GREV'!O3-'Project OPEX'!O3</f>
        <v>163.80302597757748</v>
      </c>
      <c r="P3" s="662">
        <f>'Project GREV'!P3-'Project OPEX'!P3</f>
        <v>166.99969843228857</v>
      </c>
      <c r="Q3" s="662">
        <f>'Project GREV'!Q3-'Project OPEX'!Q3</f>
        <v>170.2399589132925</v>
      </c>
      <c r="R3" s="662">
        <f>'Project GREV'!R3-'Project OPEX'!R3</f>
        <v>173.5242580724009</v>
      </c>
      <c r="S3" s="662">
        <f>'Project GREV'!S3-'Project OPEX'!S3</f>
        <v>176.85304498687685</v>
      </c>
      <c r="T3" s="662">
        <f>'Project GREV'!T3-'Project OPEX'!T3</f>
        <v>180.22676684915598</v>
      </c>
    </row>
    <row r="4" spans="1:111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_xlfn.XLOOKUP('Project OPEX'!A4, 'Project Master Sheet'!A:A, 'Project Master Sheet'!I:I)</f>
        <v>1</v>
      </c>
      <c r="E4" s="662">
        <f>'Project GREV'!E4-'Project OPEX'!E4</f>
        <v>0</v>
      </c>
      <c r="F4" s="662">
        <f>'Project GREV'!F4-'Project OPEX'!F4</f>
        <v>0</v>
      </c>
      <c r="G4" s="662">
        <f>'Project GREV'!G4-'Project OPEX'!G4</f>
        <v>2.4622440000000001</v>
      </c>
      <c r="H4" s="662">
        <f>'Project GREV'!H4-'Project OPEX'!H4</f>
        <v>3.0531567999999991</v>
      </c>
      <c r="I4" s="662">
        <f>'Project GREV'!I4-'Project OPEX'!I4</f>
        <v>3.1115419359999996</v>
      </c>
      <c r="J4" s="662">
        <f>'Project GREV'!J4-'Project OPEX'!J4</f>
        <v>3.1710144347200004</v>
      </c>
      <c r="K4" s="662">
        <f>'Project GREV'!K4-'Project OPEX'!K4</f>
        <v>3.2315936332144006</v>
      </c>
      <c r="L4" s="662">
        <f>'Project GREV'!L4-'Project OPEX'!L4</f>
        <v>3.2932991829726888</v>
      </c>
      <c r="M4" s="662">
        <f>'Project GREV'!M4-'Project OPEX'!M4</f>
        <v>3.3561510540389614</v>
      </c>
      <c r="N4" s="662">
        <f>'Project GREV'!N4-'Project OPEX'!N4</f>
        <v>3.4201695391487652</v>
      </c>
      <c r="O4" s="662">
        <f>'Project GREV'!O4-'Project OPEX'!O4</f>
        <v>3.4853752578816364</v>
      </c>
      <c r="P4" s="662">
        <f>'Project GREV'!P4-'Project OPEX'!P4</f>
        <v>3.5517891608276608</v>
      </c>
      <c r="Q4" s="662">
        <f>'Project GREV'!Q4-'Project OPEX'!Q4</f>
        <v>3.6194325337662576</v>
      </c>
      <c r="R4" s="662">
        <f>'Project GREV'!R4-'Project OPEX'!R4</f>
        <v>3.6883270018552885</v>
      </c>
      <c r="S4" s="662">
        <f>'Project GREV'!S4-'Project OPEX'!S4</f>
        <v>3.758494533828511</v>
      </c>
      <c r="T4" s="662">
        <f>'Project GREV'!T4-'Project OPEX'!T4</f>
        <v>3.8299574461992814</v>
      </c>
    </row>
    <row r="5" spans="1:111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_xlfn.XLOOKUP('Project OPEX'!A5, 'Project Master Sheet'!A:A, 'Project Master Sheet'!I:I)</f>
        <v>2</v>
      </c>
      <c r="E5" s="662">
        <f>'Project GREV'!E5-'Project OPEX'!E5</f>
        <v>0</v>
      </c>
      <c r="F5" s="662">
        <f>'Project GREV'!F5-'Project OPEX'!F5</f>
        <v>0</v>
      </c>
      <c r="G5" s="662">
        <f>'Project GREV'!G5-'Project OPEX'!G5</f>
        <v>0</v>
      </c>
      <c r="H5" s="662">
        <f>'Project GREV'!H5-'Project OPEX'!H5</f>
        <v>636.41913996483174</v>
      </c>
      <c r="I5" s="662">
        <f>'Project GREV'!I5-'Project OPEX'!I5</f>
        <v>867.40451309170589</v>
      </c>
      <c r="J5" s="662">
        <f>'Project GREV'!J5-'Project OPEX'!J5</f>
        <v>886.65353306251961</v>
      </c>
      <c r="K5" s="662">
        <f>'Project GREV'!K5-'Project OPEX'!K5</f>
        <v>976.66310151323171</v>
      </c>
      <c r="L5" s="662">
        <f>'Project GREV'!L5-'Project OPEX'!L5</f>
        <v>1012.9359960776599</v>
      </c>
      <c r="M5" s="662">
        <f>'Project GREV'!M5-'Project OPEX'!M5</f>
        <v>1033.0796627917305</v>
      </c>
      <c r="N5" s="662">
        <f>'Project GREV'!N5-'Project OPEX'!N5</f>
        <v>1053.6317808618066</v>
      </c>
      <c r="O5" s="662">
        <f>'Project GREV'!O5-'Project OPEX'!O5</f>
        <v>1074.6005052468349</v>
      </c>
      <c r="P5" s="662">
        <f>'Project GREV'!P5-'Project OPEX'!P5</f>
        <v>1095.9941540381033</v>
      </c>
      <c r="Q5" s="662">
        <f>'Project GREV'!Q5-'Project OPEX'!Q5</f>
        <v>1117.8212117217738</v>
      </c>
      <c r="R5" s="662">
        <f>'Project GREV'!R5-'Project OPEX'!R5</f>
        <v>1140.0903325066654</v>
      </c>
      <c r="S5" s="662">
        <f>'Project GREV'!S5-'Project OPEX'!S5</f>
        <v>1162.8103437185873</v>
      </c>
      <c r="T5" s="662">
        <f>'Project GREV'!T5-'Project OPEX'!T5</f>
        <v>1185.9902492625652</v>
      </c>
    </row>
    <row r="6" spans="1:111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_xlfn.XLOOKUP('Project OPEX'!A6, 'Project Master Sheet'!A:A, 'Project Master Sheet'!I:I)</f>
        <v>0</v>
      </c>
      <c r="E6" s="662">
        <f>'Project GREV'!E6-'Project OPEX'!E6</f>
        <v>0</v>
      </c>
      <c r="F6" s="662">
        <f>'Project GREV'!F6-'Project OPEX'!F6</f>
        <v>93.198656643058285</v>
      </c>
      <c r="G6" s="662">
        <f>'Project GREV'!G6-'Project OPEX'!G6</f>
        <v>126.28437015433791</v>
      </c>
      <c r="H6" s="662">
        <f>'Project GREV'!H6-'Project OPEX'!H6</f>
        <v>128.36587507472456</v>
      </c>
      <c r="I6" s="662">
        <f>'Project GREV'!I6-'Project OPEX'!I6</f>
        <v>130.51419911095479</v>
      </c>
      <c r="J6" s="662">
        <f>'Project GREV'!J6-'Project OPEX'!J6</f>
        <v>132.65929342474641</v>
      </c>
      <c r="K6" s="662">
        <f>'Project GREV'!K6-'Project OPEX'!K6</f>
        <v>134.83931176607331</v>
      </c>
      <c r="L6" s="662">
        <f>'Project GREV'!L6-'Project OPEX'!L6</f>
        <v>137.06292506434374</v>
      </c>
      <c r="M6" s="662">
        <f>'Project GREV'!M6-'Project OPEX'!M6</f>
        <v>139.33100513157035</v>
      </c>
      <c r="N6" s="662">
        <f>'Project GREV'!N6-'Project OPEX'!N6</f>
        <v>141.64444121458368</v>
      </c>
      <c r="O6" s="662">
        <f>'Project GREV'!O6-'Project OPEX'!O6</f>
        <v>144.00414034370536</v>
      </c>
      <c r="P6" s="662">
        <f>'Project GREV'!P6-'Project OPEX'!P6</f>
        <v>146.41102768839383</v>
      </c>
      <c r="Q6" s="662">
        <f>'Project GREV'!Q6-'Project OPEX'!Q6</f>
        <v>148.86604692000304</v>
      </c>
      <c r="R6" s="662">
        <f>'Project GREV'!R6-'Project OPEX'!R6</f>
        <v>151.37016058179532</v>
      </c>
      <c r="S6" s="662">
        <f>'Project GREV'!S6-'Project OPEX'!S6</f>
        <v>153.9243504663547</v>
      </c>
      <c r="T6" s="662">
        <f>'Project GREV'!T6-'Project OPEX'!T6</f>
        <v>156.52961800054757</v>
      </c>
    </row>
    <row r="7" spans="1:111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_xlfn.XLOOKUP('Project OPEX'!A7, 'Project Master Sheet'!A:A, 'Project Master Sheet'!I:I)</f>
        <v>0</v>
      </c>
      <c r="E7" s="662">
        <f>'Project GREV'!E7-'Project OPEX'!E7</f>
        <v>0</v>
      </c>
      <c r="F7" s="662">
        <f>'Project GREV'!F7-'Project OPEX'!F7</f>
        <v>1.6396921918757483</v>
      </c>
      <c r="G7" s="662">
        <f>'Project GREV'!G7-'Project OPEX'!G7</f>
        <v>6.7103048743484415</v>
      </c>
      <c r="H7" s="662">
        <f>'Project GREV'!H7-'Project OPEX'!H7</f>
        <v>6.7581276819252221</v>
      </c>
      <c r="I7" s="662">
        <f>'Project GREV'!I7-'Project OPEX'!I7</f>
        <v>6.8056833749536505</v>
      </c>
      <c r="J7" s="662">
        <f>'Project GREV'!J7-'Project OPEX'!J7</f>
        <v>6.8529473018958056</v>
      </c>
      <c r="K7" s="662">
        <f>'Project GREV'!K7-'Project OPEX'!K7</f>
        <v>6.8998939536685526</v>
      </c>
      <c r="L7" s="662">
        <f>'Project GREV'!L7-'Project OPEX'!L7</f>
        <v>6.946496938094632</v>
      </c>
      <c r="M7" s="662">
        <f>'Project GREV'!M7-'Project OPEX'!M7</f>
        <v>6.9927289536187844</v>
      </c>
      <c r="N7" s="662">
        <f>'Project GREV'!N7-'Project OPEX'!N7</f>
        <v>7.0385617622677286</v>
      </c>
      <c r="O7" s="662">
        <f>'Project GREV'!O7-'Project OPEX'!O7</f>
        <v>7.0839661618322358</v>
      </c>
      <c r="P7" s="662">
        <f>'Project GREV'!P7-'Project OPEX'!P7</f>
        <v>7.1289119572489259</v>
      </c>
      <c r="Q7" s="662">
        <f>'Project GREV'!Q7-'Project OPEX'!Q7</f>
        <v>7.1733679311587117</v>
      </c>
      <c r="R7" s="662">
        <f>'Project GREV'!R7-'Project OPEX'!R7</f>
        <v>7.2173018136181568</v>
      </c>
      <c r="S7" s="662">
        <f>'Project GREV'!S7-'Project OPEX'!S7</f>
        <v>7.2606802509394033</v>
      </c>
      <c r="T7" s="662">
        <f>'Project GREV'!T7-'Project OPEX'!T7</f>
        <v>7.3034687736334511</v>
      </c>
    </row>
    <row r="8" spans="1:111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_xlfn.XLOOKUP('Project OPEX'!A8, 'Project Master Sheet'!A:A, 'Project Master Sheet'!I:I)</f>
        <v>#N/A</v>
      </c>
      <c r="E8" s="662" t="e">
        <f>'Project GREV'!E8-'Project OPEX'!E8</f>
        <v>#N/A</v>
      </c>
      <c r="F8" s="662" t="e">
        <f>'Project GREV'!F8-'Project OPEX'!F8</f>
        <v>#N/A</v>
      </c>
      <c r="G8" s="662" t="e">
        <f>'Project GREV'!G8-'Project OPEX'!G8</f>
        <v>#N/A</v>
      </c>
      <c r="H8" s="662" t="e">
        <f>'Project GREV'!H8-'Project OPEX'!H8</f>
        <v>#N/A</v>
      </c>
      <c r="I8" s="662" t="e">
        <f>'Project GREV'!I8-'Project OPEX'!I8</f>
        <v>#N/A</v>
      </c>
      <c r="J8" s="662" t="e">
        <f>'Project GREV'!J8-'Project OPEX'!J8</f>
        <v>#N/A</v>
      </c>
      <c r="K8" s="662" t="e">
        <f>'Project GREV'!K8-'Project OPEX'!K8</f>
        <v>#N/A</v>
      </c>
      <c r="L8" s="662" t="e">
        <f>'Project GREV'!L8-'Project OPEX'!L8</f>
        <v>#N/A</v>
      </c>
      <c r="M8" s="662" t="e">
        <f>'Project GREV'!M8-'Project OPEX'!M8</f>
        <v>#N/A</v>
      </c>
      <c r="N8" s="662" t="e">
        <f>'Project GREV'!N8-'Project OPEX'!N8</f>
        <v>#N/A</v>
      </c>
      <c r="O8" s="662" t="e">
        <f>'Project GREV'!O8-'Project OPEX'!O8</f>
        <v>#N/A</v>
      </c>
      <c r="P8" s="662" t="e">
        <f>'Project GREV'!P8-'Project OPEX'!P8</f>
        <v>#N/A</v>
      </c>
      <c r="Q8" s="662" t="e">
        <f>'Project GREV'!Q8-'Project OPEX'!Q8</f>
        <v>#N/A</v>
      </c>
      <c r="R8" s="662" t="e">
        <f>'Project GREV'!R8-'Project OPEX'!R8</f>
        <v>#N/A</v>
      </c>
      <c r="S8" s="662" t="e">
        <f>'Project GREV'!S8-'Project OPEX'!S8</f>
        <v>#N/A</v>
      </c>
      <c r="T8" s="662" t="e">
        <f>'Project GREV'!T8-'Project OPEX'!T8</f>
        <v>#N/A</v>
      </c>
    </row>
    <row r="9" spans="1:111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_xlfn.XLOOKUP('Project OPEX'!A9, 'Project Master Sheet'!A:A, 'Project Master Sheet'!I:I)</f>
        <v>1</v>
      </c>
      <c r="E9" s="662">
        <f>'Project GREV'!E9-'Project OPEX'!E9</f>
        <v>0</v>
      </c>
      <c r="F9" s="662">
        <f>'Project GREV'!F9-'Project OPEX'!F9</f>
        <v>0</v>
      </c>
      <c r="G9" s="662">
        <f>'Project GREV'!G9-'Project OPEX'!G9</f>
        <v>0</v>
      </c>
      <c r="H9" s="662">
        <f>'Project GREV'!H9-'Project OPEX'!H9</f>
        <v>0</v>
      </c>
      <c r="I9" s="662">
        <f>'Project GREV'!I9-'Project OPEX'!I9</f>
        <v>16.851286556927995</v>
      </c>
      <c r="J9" s="662">
        <f>'Project GREV'!J9-'Project OPEX'!J9</f>
        <v>26.175010380099842</v>
      </c>
      <c r="K9" s="662">
        <f>'Project GREV'!K9-'Project OPEX'!K9</f>
        <v>27.018288907487598</v>
      </c>
      <c r="L9" s="662">
        <f>'Project GREV'!L9-'Project OPEX'!L9</f>
        <v>27.874599518867306</v>
      </c>
      <c r="M9" s="662">
        <f>'Project GREV'!M9-'Project OPEX'!M9</f>
        <v>28.744152327475788</v>
      </c>
      <c r="N9" s="662">
        <f>'Project GREV'!N9-'Project OPEX'!N9</f>
        <v>29.627160511134132</v>
      </c>
      <c r="O9" s="662">
        <f>'Project GREV'!O9-'Project OPEX'!O9</f>
        <v>30.5238403478753</v>
      </c>
      <c r="P9" s="662">
        <f>'Project GREV'!P9-'Project OPEX'!P9</f>
        <v>31.434411251657647</v>
      </c>
      <c r="Q9" s="662">
        <f>'Project GREV'!Q9-'Project OPEX'!Q9</f>
        <v>32.359095808149434</v>
      </c>
      <c r="R9" s="662">
        <f>'Project GREV'!R9-'Project OPEX'!R9</f>
        <v>33.298119810569268</v>
      </c>
      <c r="S9" s="662">
        <f>'Project GREV'!S9-'Project OPEX'!S9</f>
        <v>34.251712295566072</v>
      </c>
      <c r="T9" s="662">
        <f>'Project GREV'!T9-'Project OPEX'!T9</f>
        <v>35.22010557912202</v>
      </c>
    </row>
    <row r="10" spans="1:111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_xlfn.XLOOKUP('Project OPEX'!A10, 'Project Master Sheet'!A:A, 'Project Master Sheet'!I:I)</f>
        <v>#N/A</v>
      </c>
      <c r="E10" s="662" t="e">
        <f>'Project GREV'!E10-'Project OPEX'!E10</f>
        <v>#N/A</v>
      </c>
      <c r="F10" s="662" t="e">
        <f>'Project GREV'!F10-'Project OPEX'!F10</f>
        <v>#N/A</v>
      </c>
      <c r="G10" s="662" t="e">
        <f>'Project GREV'!G10-'Project OPEX'!G10</f>
        <v>#N/A</v>
      </c>
      <c r="H10" s="662" t="e">
        <f>'Project GREV'!H10-'Project OPEX'!H10</f>
        <v>#N/A</v>
      </c>
      <c r="I10" s="662" t="e">
        <f>'Project GREV'!I10-'Project OPEX'!I10</f>
        <v>#N/A</v>
      </c>
      <c r="J10" s="662" t="e">
        <f>'Project GREV'!J10-'Project OPEX'!J10</f>
        <v>#N/A</v>
      </c>
      <c r="K10" s="662" t="e">
        <f>'Project GREV'!K10-'Project OPEX'!K10</f>
        <v>#N/A</v>
      </c>
      <c r="L10" s="662" t="e">
        <f>'Project GREV'!L10-'Project OPEX'!L10</f>
        <v>#N/A</v>
      </c>
      <c r="M10" s="662" t="e">
        <f>'Project GREV'!M10-'Project OPEX'!M10</f>
        <v>#N/A</v>
      </c>
      <c r="N10" s="662" t="e">
        <f>'Project GREV'!N10-'Project OPEX'!N10</f>
        <v>#N/A</v>
      </c>
      <c r="O10" s="662" t="e">
        <f>'Project GREV'!O10-'Project OPEX'!O10</f>
        <v>#N/A</v>
      </c>
      <c r="P10" s="662" t="e">
        <f>'Project GREV'!P10-'Project OPEX'!P10</f>
        <v>#N/A</v>
      </c>
      <c r="Q10" s="662" t="e">
        <f>'Project GREV'!Q10-'Project OPEX'!Q10</f>
        <v>#N/A</v>
      </c>
      <c r="R10" s="662" t="e">
        <f>'Project GREV'!R10-'Project OPEX'!R10</f>
        <v>#N/A</v>
      </c>
      <c r="S10" s="662" t="e">
        <f>'Project GREV'!S10-'Project OPEX'!S10</f>
        <v>#N/A</v>
      </c>
      <c r="T10" s="662" t="e">
        <f>'Project GREV'!T10-'Project OPEX'!T10</f>
        <v>#N/A</v>
      </c>
    </row>
    <row r="11" spans="1:111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_xlfn.XLOOKUP('Project OPEX'!A11, 'Project Master Sheet'!A:A, 'Project Master Sheet'!I:I)</f>
        <v>#N/A</v>
      </c>
      <c r="E11" s="662" t="e">
        <f>'Project GREV'!E11-'Project OPEX'!E11</f>
        <v>#N/A</v>
      </c>
      <c r="F11" s="662" t="e">
        <f>'Project GREV'!F11-'Project OPEX'!F11</f>
        <v>#N/A</v>
      </c>
      <c r="G11" s="662" t="e">
        <f>'Project GREV'!G11-'Project OPEX'!G11</f>
        <v>#N/A</v>
      </c>
      <c r="H11" s="662" t="e">
        <f>'Project GREV'!H11-'Project OPEX'!H11</f>
        <v>#N/A</v>
      </c>
      <c r="I11" s="662" t="e">
        <f>'Project GREV'!I11-'Project OPEX'!I11</f>
        <v>#N/A</v>
      </c>
      <c r="J11" s="662" t="e">
        <f>'Project GREV'!J11-'Project OPEX'!J11</f>
        <v>#N/A</v>
      </c>
      <c r="K11" s="662" t="e">
        <f>'Project GREV'!K11-'Project OPEX'!K11</f>
        <v>#N/A</v>
      </c>
      <c r="L11" s="662" t="e">
        <f>'Project GREV'!L11-'Project OPEX'!L11</f>
        <v>#N/A</v>
      </c>
      <c r="M11" s="662" t="e">
        <f>'Project GREV'!M11-'Project OPEX'!M11</f>
        <v>#N/A</v>
      </c>
      <c r="N11" s="662" t="e">
        <f>'Project GREV'!N11-'Project OPEX'!N11</f>
        <v>#N/A</v>
      </c>
      <c r="O11" s="662" t="e">
        <f>'Project GREV'!O11-'Project OPEX'!O11</f>
        <v>#N/A</v>
      </c>
      <c r="P11" s="662" t="e">
        <f>'Project GREV'!P11-'Project OPEX'!P11</f>
        <v>#N/A</v>
      </c>
      <c r="Q11" s="662" t="e">
        <f>'Project GREV'!Q11-'Project OPEX'!Q11</f>
        <v>#N/A</v>
      </c>
      <c r="R11" s="662" t="e">
        <f>'Project GREV'!R11-'Project OPEX'!R11</f>
        <v>#N/A</v>
      </c>
      <c r="S11" s="662" t="e">
        <f>'Project GREV'!S11-'Project OPEX'!S11</f>
        <v>#N/A</v>
      </c>
      <c r="T11" s="662" t="e">
        <f>'Project GREV'!T11-'Project OPEX'!T11</f>
        <v>#N/A</v>
      </c>
    </row>
    <row r="12" spans="1:111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_xlfn.XLOOKUP('Project OPEX'!A12, 'Project Master Sheet'!A:A, 'Project Master Sheet'!I:I)</f>
        <v>#N/A</v>
      </c>
      <c r="E12" s="662" t="e">
        <f>'Project GREV'!E12-'Project OPEX'!E12</f>
        <v>#N/A</v>
      </c>
      <c r="F12" s="662" t="e">
        <f>'Project GREV'!F12-'Project OPEX'!F12</f>
        <v>#N/A</v>
      </c>
      <c r="G12" s="662" t="e">
        <f>'Project GREV'!G12-'Project OPEX'!G12</f>
        <v>#N/A</v>
      </c>
      <c r="H12" s="662" t="e">
        <f>'Project GREV'!H12-'Project OPEX'!H12</f>
        <v>#N/A</v>
      </c>
      <c r="I12" s="662" t="e">
        <f>'Project GREV'!I12-'Project OPEX'!I12</f>
        <v>#N/A</v>
      </c>
      <c r="J12" s="662" t="e">
        <f>'Project GREV'!J12-'Project OPEX'!J12</f>
        <v>#N/A</v>
      </c>
      <c r="K12" s="662" t="e">
        <f>'Project GREV'!K12-'Project OPEX'!K12</f>
        <v>#N/A</v>
      </c>
      <c r="L12" s="662" t="e">
        <f>'Project GREV'!L12-'Project OPEX'!L12</f>
        <v>#N/A</v>
      </c>
      <c r="M12" s="662" t="e">
        <f>'Project GREV'!M12-'Project OPEX'!M12</f>
        <v>#N/A</v>
      </c>
      <c r="N12" s="662" t="e">
        <f>'Project GREV'!N12-'Project OPEX'!N12</f>
        <v>#N/A</v>
      </c>
      <c r="O12" s="662" t="e">
        <f>'Project GREV'!O12-'Project OPEX'!O12</f>
        <v>#N/A</v>
      </c>
      <c r="P12" s="662" t="e">
        <f>'Project GREV'!P12-'Project OPEX'!P12</f>
        <v>#N/A</v>
      </c>
      <c r="Q12" s="662" t="e">
        <f>'Project GREV'!Q12-'Project OPEX'!Q12</f>
        <v>#N/A</v>
      </c>
      <c r="R12" s="662" t="e">
        <f>'Project GREV'!R12-'Project OPEX'!R12</f>
        <v>#N/A</v>
      </c>
      <c r="S12" s="662" t="e">
        <f>'Project GREV'!S12-'Project OPEX'!S12</f>
        <v>#N/A</v>
      </c>
      <c r="T12" s="662" t="e">
        <f>'Project GREV'!T12-'Project OPEX'!T12</f>
        <v>#N/A</v>
      </c>
    </row>
    <row r="13" spans="1:111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_xlfn.XLOOKUP('Project OPEX'!A13, 'Project Master Sheet'!A:A, 'Project Master Sheet'!I:I)</f>
        <v>#N/A</v>
      </c>
      <c r="E13" s="662" t="e">
        <f>'Project GREV'!E13-'Project OPEX'!E13</f>
        <v>#N/A</v>
      </c>
      <c r="F13" s="662" t="e">
        <f>'Project GREV'!F13-'Project OPEX'!F13</f>
        <v>#N/A</v>
      </c>
      <c r="G13" s="662" t="e">
        <f>'Project GREV'!G13-'Project OPEX'!G13</f>
        <v>#N/A</v>
      </c>
      <c r="H13" s="662" t="e">
        <f>'Project GREV'!H13-'Project OPEX'!H13</f>
        <v>#N/A</v>
      </c>
      <c r="I13" s="662" t="e">
        <f>'Project GREV'!I13-'Project OPEX'!I13</f>
        <v>#N/A</v>
      </c>
      <c r="J13" s="662" t="e">
        <f>'Project GREV'!J13-'Project OPEX'!J13</f>
        <v>#N/A</v>
      </c>
      <c r="K13" s="662" t="e">
        <f>'Project GREV'!K13-'Project OPEX'!K13</f>
        <v>#N/A</v>
      </c>
      <c r="L13" s="662" t="e">
        <f>'Project GREV'!L13-'Project OPEX'!L13</f>
        <v>#N/A</v>
      </c>
      <c r="M13" s="662" t="e">
        <f>'Project GREV'!M13-'Project OPEX'!M13</f>
        <v>#N/A</v>
      </c>
      <c r="N13" s="662" t="e">
        <f>'Project GREV'!N13-'Project OPEX'!N13</f>
        <v>#N/A</v>
      </c>
      <c r="O13" s="662" t="e">
        <f>'Project GREV'!O13-'Project OPEX'!O13</f>
        <v>#N/A</v>
      </c>
      <c r="P13" s="662" t="e">
        <f>'Project GREV'!P13-'Project OPEX'!P13</f>
        <v>#N/A</v>
      </c>
      <c r="Q13" s="662" t="e">
        <f>'Project GREV'!Q13-'Project OPEX'!Q13</f>
        <v>#N/A</v>
      </c>
      <c r="R13" s="662" t="e">
        <f>'Project GREV'!R13-'Project OPEX'!R13</f>
        <v>#N/A</v>
      </c>
      <c r="S13" s="662" t="e">
        <f>'Project GREV'!S13-'Project OPEX'!S13</f>
        <v>#N/A</v>
      </c>
      <c r="T13" s="662" t="e">
        <f>'Project GREV'!T13-'Project OPEX'!T13</f>
        <v>#N/A</v>
      </c>
    </row>
    <row r="14" spans="1:111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_xlfn.XLOOKUP('Project OPEX'!A14, 'Project Master Sheet'!A:A, 'Project Master Sheet'!I:I)</f>
        <v>#N/A</v>
      </c>
      <c r="E14" s="662" t="e">
        <f>'Project GREV'!E14-'Project OPEX'!E14</f>
        <v>#N/A</v>
      </c>
      <c r="F14" s="662" t="e">
        <f>'Project GREV'!F14-'Project OPEX'!F14</f>
        <v>#N/A</v>
      </c>
      <c r="G14" s="662" t="e">
        <f>'Project GREV'!G14-'Project OPEX'!G14</f>
        <v>#N/A</v>
      </c>
      <c r="H14" s="662" t="e">
        <f>'Project GREV'!H14-'Project OPEX'!H14</f>
        <v>#N/A</v>
      </c>
      <c r="I14" s="662" t="e">
        <f>'Project GREV'!I14-'Project OPEX'!I14</f>
        <v>#N/A</v>
      </c>
      <c r="J14" s="662" t="e">
        <f>'Project GREV'!J14-'Project OPEX'!J14</f>
        <v>#N/A</v>
      </c>
      <c r="K14" s="662" t="e">
        <f>'Project GREV'!K14-'Project OPEX'!K14</f>
        <v>#N/A</v>
      </c>
      <c r="L14" s="662" t="e">
        <f>'Project GREV'!L14-'Project OPEX'!L14</f>
        <v>#N/A</v>
      </c>
      <c r="M14" s="662" t="e">
        <f>'Project GREV'!M14-'Project OPEX'!M14</f>
        <v>#N/A</v>
      </c>
      <c r="N14" s="662" t="e">
        <f>'Project GREV'!N14-'Project OPEX'!N14</f>
        <v>#N/A</v>
      </c>
      <c r="O14" s="662" t="e">
        <f>'Project GREV'!O14-'Project OPEX'!O14</f>
        <v>#N/A</v>
      </c>
      <c r="P14" s="662" t="e">
        <f>'Project GREV'!P14-'Project OPEX'!P14</f>
        <v>#N/A</v>
      </c>
      <c r="Q14" s="662" t="e">
        <f>'Project GREV'!Q14-'Project OPEX'!Q14</f>
        <v>#N/A</v>
      </c>
      <c r="R14" s="662" t="e">
        <f>'Project GREV'!R14-'Project OPEX'!R14</f>
        <v>#N/A</v>
      </c>
      <c r="S14" s="662" t="e">
        <f>'Project GREV'!S14-'Project OPEX'!S14</f>
        <v>#N/A</v>
      </c>
      <c r="T14" s="662" t="e">
        <f>'Project GREV'!T14-'Project OPEX'!T14</f>
        <v>#N/A</v>
      </c>
    </row>
    <row r="15" spans="1:111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_xlfn.XLOOKUP('Project OPEX'!A15, 'Project Master Sheet'!A:A, 'Project Master Sheet'!I:I)</f>
        <v>#N/A</v>
      </c>
      <c r="E15" s="662" t="e">
        <f>'Project GREV'!E15-'Project OPEX'!E15</f>
        <v>#N/A</v>
      </c>
      <c r="F15" s="662" t="e">
        <f>'Project GREV'!F15-'Project OPEX'!F15</f>
        <v>#N/A</v>
      </c>
      <c r="G15" s="662" t="e">
        <f>'Project GREV'!G15-'Project OPEX'!G15</f>
        <v>#N/A</v>
      </c>
      <c r="H15" s="662" t="e">
        <f>'Project GREV'!H15-'Project OPEX'!H15</f>
        <v>#N/A</v>
      </c>
      <c r="I15" s="662" t="e">
        <f>'Project GREV'!I15-'Project OPEX'!I15</f>
        <v>#N/A</v>
      </c>
      <c r="J15" s="662" t="e">
        <f>'Project GREV'!J15-'Project OPEX'!J15</f>
        <v>#N/A</v>
      </c>
      <c r="K15" s="662" t="e">
        <f>'Project GREV'!K15-'Project OPEX'!K15</f>
        <v>#N/A</v>
      </c>
      <c r="L15" s="662" t="e">
        <f>'Project GREV'!L15-'Project OPEX'!L15</f>
        <v>#N/A</v>
      </c>
      <c r="M15" s="662" t="e">
        <f>'Project GREV'!M15-'Project OPEX'!M15</f>
        <v>#N/A</v>
      </c>
      <c r="N15" s="662" t="e">
        <f>'Project GREV'!N15-'Project OPEX'!N15</f>
        <v>#N/A</v>
      </c>
      <c r="O15" s="662" t="e">
        <f>'Project GREV'!O15-'Project OPEX'!O15</f>
        <v>#N/A</v>
      </c>
      <c r="P15" s="662" t="e">
        <f>'Project GREV'!P15-'Project OPEX'!P15</f>
        <v>#N/A</v>
      </c>
      <c r="Q15" s="662" t="e">
        <f>'Project GREV'!Q15-'Project OPEX'!Q15</f>
        <v>#N/A</v>
      </c>
      <c r="R15" s="662" t="e">
        <f>'Project GREV'!R15-'Project OPEX'!R15</f>
        <v>#N/A</v>
      </c>
      <c r="S15" s="662" t="e">
        <f>'Project GREV'!S15-'Project OPEX'!S15</f>
        <v>#N/A</v>
      </c>
      <c r="T15" s="662" t="e">
        <f>'Project GREV'!T15-'Project OPEX'!T15</f>
        <v>#N/A</v>
      </c>
    </row>
    <row r="16" spans="1:111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_xlfn.XLOOKUP('Project OPEX'!A16, 'Project Master Sheet'!A:A, 'Project Master Sheet'!I:I)</f>
        <v>#N/A</v>
      </c>
      <c r="E16" s="662" t="e">
        <f>'Project GREV'!E16-'Project OPEX'!E16</f>
        <v>#N/A</v>
      </c>
      <c r="F16" s="662" t="e">
        <f>'Project GREV'!F16-'Project OPEX'!F16</f>
        <v>#N/A</v>
      </c>
      <c r="G16" s="662" t="e">
        <f>'Project GREV'!G16-'Project OPEX'!G16</f>
        <v>#N/A</v>
      </c>
      <c r="H16" s="662" t="e">
        <f>'Project GREV'!H16-'Project OPEX'!H16</f>
        <v>#N/A</v>
      </c>
      <c r="I16" s="662" t="e">
        <f>'Project GREV'!I16-'Project OPEX'!I16</f>
        <v>#N/A</v>
      </c>
      <c r="J16" s="662" t="e">
        <f>'Project GREV'!J16-'Project OPEX'!J16</f>
        <v>#N/A</v>
      </c>
      <c r="K16" s="662" t="e">
        <f>'Project GREV'!K16-'Project OPEX'!K16</f>
        <v>#N/A</v>
      </c>
      <c r="L16" s="662" t="e">
        <f>'Project GREV'!L16-'Project OPEX'!L16</f>
        <v>#N/A</v>
      </c>
      <c r="M16" s="662" t="e">
        <f>'Project GREV'!M16-'Project OPEX'!M16</f>
        <v>#N/A</v>
      </c>
      <c r="N16" s="662" t="e">
        <f>'Project GREV'!N16-'Project OPEX'!N16</f>
        <v>#N/A</v>
      </c>
      <c r="O16" s="662" t="e">
        <f>'Project GREV'!O16-'Project OPEX'!O16</f>
        <v>#N/A</v>
      </c>
      <c r="P16" s="662" t="e">
        <f>'Project GREV'!P16-'Project OPEX'!P16</f>
        <v>#N/A</v>
      </c>
      <c r="Q16" s="662" t="e">
        <f>'Project GREV'!Q16-'Project OPEX'!Q16</f>
        <v>#N/A</v>
      </c>
      <c r="R16" s="662" t="e">
        <f>'Project GREV'!R16-'Project OPEX'!R16</f>
        <v>#N/A</v>
      </c>
      <c r="S16" s="662" t="e">
        <f>'Project GREV'!S16-'Project OPEX'!S16</f>
        <v>#N/A</v>
      </c>
      <c r="T16" s="662" t="e">
        <f>'Project GREV'!T16-'Project OPEX'!T16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_xlfn.XLOOKUP('Project OPEX'!A17, 'Project Master Sheet'!A:A, 'Project Master Sheet'!I:I)</f>
        <v>#N/A</v>
      </c>
      <c r="E17" s="662" t="e">
        <f>'Project GREV'!E17-'Project OPEX'!E17</f>
        <v>#N/A</v>
      </c>
      <c r="F17" s="662" t="e">
        <f>'Project GREV'!F17-'Project OPEX'!F17</f>
        <v>#N/A</v>
      </c>
      <c r="G17" s="662" t="e">
        <f>'Project GREV'!G17-'Project OPEX'!G17</f>
        <v>#N/A</v>
      </c>
      <c r="H17" s="662" t="e">
        <f>'Project GREV'!H17-'Project OPEX'!H17</f>
        <v>#N/A</v>
      </c>
      <c r="I17" s="662" t="e">
        <f>'Project GREV'!I17-'Project OPEX'!I17</f>
        <v>#N/A</v>
      </c>
      <c r="J17" s="662" t="e">
        <f>'Project GREV'!J17-'Project OPEX'!J17</f>
        <v>#N/A</v>
      </c>
      <c r="K17" s="662" t="e">
        <f>'Project GREV'!K17-'Project OPEX'!K17</f>
        <v>#N/A</v>
      </c>
      <c r="L17" s="662" t="e">
        <f>'Project GREV'!L17-'Project OPEX'!L17</f>
        <v>#N/A</v>
      </c>
      <c r="M17" s="662" t="e">
        <f>'Project GREV'!M17-'Project OPEX'!M17</f>
        <v>#N/A</v>
      </c>
      <c r="N17" s="662" t="e">
        <f>'Project GREV'!N17-'Project OPEX'!N17</f>
        <v>#N/A</v>
      </c>
      <c r="O17" s="662" t="e">
        <f>'Project GREV'!O17-'Project OPEX'!O17</f>
        <v>#N/A</v>
      </c>
      <c r="P17" s="662" t="e">
        <f>'Project GREV'!P17-'Project OPEX'!P17</f>
        <v>#N/A</v>
      </c>
      <c r="Q17" s="662" t="e">
        <f>'Project GREV'!Q17-'Project OPEX'!Q17</f>
        <v>#N/A</v>
      </c>
      <c r="R17" s="662" t="e">
        <f>'Project GREV'!R17-'Project OPEX'!R17</f>
        <v>#N/A</v>
      </c>
      <c r="S17" s="662" t="e">
        <f>'Project GREV'!S17-'Project OPEX'!S17</f>
        <v>#N/A</v>
      </c>
      <c r="T17" s="662" t="e">
        <f>'Project GREV'!T17-'Project OPEX'!T17</f>
        <v>#N/A</v>
      </c>
    </row>
    <row r="18" spans="1:20">
      <c r="A18" s="655" t="str">
        <f>IF(ISBLANK('Project Master Sheet'!A18)=FALSE, 'Project Master Sheet'!A18, "")</f>
        <v/>
      </c>
      <c r="B18" s="655" t="str">
        <f>_xlfn.IFNA(_xlfn.XLOOKUP(A18, 'Project Master Sheet'!A:A, 'Project Master Sheet'!D:D), "")</f>
        <v/>
      </c>
      <c r="C18" s="655" t="e">
        <f>_xlfn.XLOOKUP('Project OPEX'!A18, 'Project Master Sheet'!A:A, 'Project Master Sheet'!I:I)</f>
        <v>#N/A</v>
      </c>
      <c r="E18" s="662" t="e">
        <f>'Project GREV'!E18-'Project OPEX'!E18</f>
        <v>#N/A</v>
      </c>
      <c r="F18" s="662" t="e">
        <f>'Project GREV'!F18-'Project OPEX'!F18</f>
        <v>#N/A</v>
      </c>
      <c r="G18" s="662" t="e">
        <f>'Project GREV'!G18-'Project OPEX'!G18</f>
        <v>#N/A</v>
      </c>
      <c r="H18" s="662" t="e">
        <f>'Project GREV'!H18-'Project OPEX'!H18</f>
        <v>#N/A</v>
      </c>
      <c r="I18" s="662" t="e">
        <f>'Project GREV'!I18-'Project OPEX'!I18</f>
        <v>#N/A</v>
      </c>
      <c r="J18" s="662" t="e">
        <f>'Project GREV'!J18-'Project OPEX'!J18</f>
        <v>#N/A</v>
      </c>
      <c r="K18" s="662" t="e">
        <f>'Project GREV'!K18-'Project OPEX'!K18</f>
        <v>#N/A</v>
      </c>
      <c r="L18" s="662" t="e">
        <f>'Project GREV'!L18-'Project OPEX'!L18</f>
        <v>#N/A</v>
      </c>
      <c r="M18" s="662" t="e">
        <f>'Project GREV'!M18-'Project OPEX'!M18</f>
        <v>#N/A</v>
      </c>
      <c r="N18" s="662" t="e">
        <f>'Project GREV'!N18-'Project OPEX'!N18</f>
        <v>#N/A</v>
      </c>
      <c r="O18" s="662" t="e">
        <f>'Project GREV'!O18-'Project OPEX'!O18</f>
        <v>#N/A</v>
      </c>
      <c r="P18" s="662" t="e">
        <f>'Project GREV'!P18-'Project OPEX'!P18</f>
        <v>#N/A</v>
      </c>
      <c r="Q18" s="662" t="e">
        <f>'Project GREV'!Q18-'Project OPEX'!Q18</f>
        <v>#N/A</v>
      </c>
      <c r="R18" s="662" t="e">
        <f>'Project GREV'!R18-'Project OPEX'!R18</f>
        <v>#N/A</v>
      </c>
      <c r="S18" s="662" t="e">
        <f>'Project GREV'!S18-'Project OPEX'!S18</f>
        <v>#N/A</v>
      </c>
      <c r="T18" s="662" t="e">
        <f>'Project GREV'!T18-'Project OPEX'!T18</f>
        <v>#N/A</v>
      </c>
    </row>
    <row r="19" spans="1:20">
      <c r="A19" s="655" t="str">
        <f>IF(ISBLANK('Project Master Sheet'!A19)=FALSE, 'Project Master Sheet'!A19, "")</f>
        <v/>
      </c>
      <c r="B19" s="655" t="str">
        <f>_xlfn.IFNA(_xlfn.XLOOKUP(A19, 'Project Master Sheet'!A:A, 'Project Master Sheet'!D:D), "")</f>
        <v/>
      </c>
      <c r="C19" s="655" t="e">
        <f>_xlfn.XLOOKUP('Project OPEX'!A19, 'Project Master Sheet'!A:A, 'Project Master Sheet'!I:I)</f>
        <v>#N/A</v>
      </c>
      <c r="E19" s="662" t="e">
        <f>'Project GREV'!E19-'Project OPEX'!E19</f>
        <v>#N/A</v>
      </c>
      <c r="F19" s="662" t="e">
        <f>'Project GREV'!F19-'Project OPEX'!F19</f>
        <v>#N/A</v>
      </c>
      <c r="G19" s="662" t="e">
        <f>'Project GREV'!G19-'Project OPEX'!G19</f>
        <v>#N/A</v>
      </c>
      <c r="H19" s="662" t="e">
        <f>'Project GREV'!H19-'Project OPEX'!H19</f>
        <v>#N/A</v>
      </c>
      <c r="I19" s="662" t="e">
        <f>'Project GREV'!I19-'Project OPEX'!I19</f>
        <v>#N/A</v>
      </c>
      <c r="J19" s="662" t="e">
        <f>'Project GREV'!J19-'Project OPEX'!J19</f>
        <v>#N/A</v>
      </c>
      <c r="K19" s="662" t="e">
        <f>'Project GREV'!K19-'Project OPEX'!K19</f>
        <v>#N/A</v>
      </c>
      <c r="L19" s="662" t="e">
        <f>'Project GREV'!L19-'Project OPEX'!L19</f>
        <v>#N/A</v>
      </c>
      <c r="M19" s="662" t="e">
        <f>'Project GREV'!M19-'Project OPEX'!M19</f>
        <v>#N/A</v>
      </c>
      <c r="N19" s="662" t="e">
        <f>'Project GREV'!N19-'Project OPEX'!N19</f>
        <v>#N/A</v>
      </c>
      <c r="O19" s="662" t="e">
        <f>'Project GREV'!O19-'Project OPEX'!O19</f>
        <v>#N/A</v>
      </c>
      <c r="P19" s="662" t="e">
        <f>'Project GREV'!P19-'Project OPEX'!P19</f>
        <v>#N/A</v>
      </c>
      <c r="Q19" s="662" t="e">
        <f>'Project GREV'!Q19-'Project OPEX'!Q19</f>
        <v>#N/A</v>
      </c>
      <c r="R19" s="662" t="e">
        <f>'Project GREV'!R19-'Project OPEX'!R19</f>
        <v>#N/A</v>
      </c>
      <c r="S19" s="662" t="e">
        <f>'Project GREV'!S19-'Project OPEX'!S19</f>
        <v>#N/A</v>
      </c>
      <c r="T19" s="662" t="e">
        <f>'Project GREV'!T19-'Project OPEX'!T19</f>
        <v>#N/A</v>
      </c>
    </row>
    <row r="20" spans="1:20">
      <c r="A20" s="655" t="str">
        <f>IF(ISBLANK('Project Master Sheet'!A20)=FALSE, 'Project Master Sheet'!A20, "")</f>
        <v/>
      </c>
      <c r="B20" s="655" t="str">
        <f>_xlfn.IFNA(_xlfn.XLOOKUP(A20, 'Project Master Sheet'!A:A, 'Project Master Sheet'!D:D), "")</f>
        <v/>
      </c>
      <c r="C20" s="655" t="e">
        <f>_xlfn.XLOOKUP('Project OPEX'!A20, 'Project Master Sheet'!A:A, 'Project Master Sheet'!I:I)</f>
        <v>#N/A</v>
      </c>
      <c r="E20" s="662" t="e">
        <f>'Project GREV'!E20-'Project OPEX'!E20</f>
        <v>#N/A</v>
      </c>
      <c r="F20" s="662" t="e">
        <f>'Project GREV'!F20-'Project OPEX'!F20</f>
        <v>#N/A</v>
      </c>
      <c r="G20" s="662" t="e">
        <f>'Project GREV'!G20-'Project OPEX'!G20</f>
        <v>#N/A</v>
      </c>
      <c r="H20" s="662" t="e">
        <f>'Project GREV'!H20-'Project OPEX'!H20</f>
        <v>#N/A</v>
      </c>
      <c r="I20" s="662" t="e">
        <f>'Project GREV'!I20-'Project OPEX'!I20</f>
        <v>#N/A</v>
      </c>
      <c r="J20" s="662" t="e">
        <f>'Project GREV'!J20-'Project OPEX'!J20</f>
        <v>#N/A</v>
      </c>
      <c r="K20" s="662" t="e">
        <f>'Project GREV'!K20-'Project OPEX'!K20</f>
        <v>#N/A</v>
      </c>
      <c r="L20" s="662" t="e">
        <f>'Project GREV'!L20-'Project OPEX'!L20</f>
        <v>#N/A</v>
      </c>
      <c r="M20" s="662" t="e">
        <f>'Project GREV'!M20-'Project OPEX'!M20</f>
        <v>#N/A</v>
      </c>
      <c r="N20" s="662" t="e">
        <f>'Project GREV'!N20-'Project OPEX'!N20</f>
        <v>#N/A</v>
      </c>
      <c r="O20" s="662" t="e">
        <f>'Project GREV'!O20-'Project OPEX'!O20</f>
        <v>#N/A</v>
      </c>
      <c r="P20" s="662" t="e">
        <f>'Project GREV'!P20-'Project OPEX'!P20</f>
        <v>#N/A</v>
      </c>
      <c r="Q20" s="662" t="e">
        <f>'Project GREV'!Q20-'Project OPEX'!Q20</f>
        <v>#N/A</v>
      </c>
      <c r="R20" s="662" t="e">
        <f>'Project GREV'!R20-'Project OPEX'!R20</f>
        <v>#N/A</v>
      </c>
      <c r="S20" s="662" t="e">
        <f>'Project GREV'!S20-'Project OPEX'!S20</f>
        <v>#N/A</v>
      </c>
      <c r="T20" s="662" t="e">
        <f>'Project GREV'!T20-'Project OPEX'!T20</f>
        <v>#N/A</v>
      </c>
    </row>
    <row r="21" spans="1:20">
      <c r="A21" s="655" t="str">
        <f>IF(ISBLANK('Project Master Sheet'!A21)=FALSE, 'Project Master Sheet'!A21, "")</f>
        <v/>
      </c>
      <c r="B21" s="655" t="str">
        <f>_xlfn.IFNA(_xlfn.XLOOKUP(A21, 'Project Master Sheet'!A:A, 'Project Master Sheet'!D:D), "")</f>
        <v/>
      </c>
      <c r="C21" s="655" t="e">
        <f>_xlfn.XLOOKUP('Project OPEX'!A21, 'Project Master Sheet'!A:A, 'Project Master Sheet'!I:I)</f>
        <v>#N/A</v>
      </c>
      <c r="E21" s="662" t="e">
        <f>'Project GREV'!E21-'Project OPEX'!E21</f>
        <v>#N/A</v>
      </c>
      <c r="F21" s="662" t="e">
        <f>'Project GREV'!F21-'Project OPEX'!F21</f>
        <v>#N/A</v>
      </c>
      <c r="G21" s="662" t="e">
        <f>'Project GREV'!G21-'Project OPEX'!G21</f>
        <v>#N/A</v>
      </c>
      <c r="H21" s="662" t="e">
        <f>'Project GREV'!H21-'Project OPEX'!H21</f>
        <v>#N/A</v>
      </c>
      <c r="I21" s="662" t="e">
        <f>'Project GREV'!I21-'Project OPEX'!I21</f>
        <v>#N/A</v>
      </c>
      <c r="J21" s="662" t="e">
        <f>'Project GREV'!J21-'Project OPEX'!J21</f>
        <v>#N/A</v>
      </c>
      <c r="K21" s="662" t="e">
        <f>'Project GREV'!K21-'Project OPEX'!K21</f>
        <v>#N/A</v>
      </c>
      <c r="L21" s="662" t="e">
        <f>'Project GREV'!L21-'Project OPEX'!L21</f>
        <v>#N/A</v>
      </c>
      <c r="M21" s="662" t="e">
        <f>'Project GREV'!M21-'Project OPEX'!M21</f>
        <v>#N/A</v>
      </c>
      <c r="N21" s="662" t="e">
        <f>'Project GREV'!N21-'Project OPEX'!N21</f>
        <v>#N/A</v>
      </c>
      <c r="O21" s="662" t="e">
        <f>'Project GREV'!O21-'Project OPEX'!O21</f>
        <v>#N/A</v>
      </c>
      <c r="P21" s="662" t="e">
        <f>'Project GREV'!P21-'Project OPEX'!P21</f>
        <v>#N/A</v>
      </c>
      <c r="Q21" s="662" t="e">
        <f>'Project GREV'!Q21-'Project OPEX'!Q21</f>
        <v>#N/A</v>
      </c>
      <c r="R21" s="662" t="e">
        <f>'Project GREV'!R21-'Project OPEX'!R21</f>
        <v>#N/A</v>
      </c>
      <c r="S21" s="662" t="e">
        <f>'Project GREV'!S21-'Project OPEX'!S21</f>
        <v>#N/A</v>
      </c>
      <c r="T21" s="662" t="e">
        <f>'Project GREV'!T21-'Project OPEX'!T21</f>
        <v>#N/A</v>
      </c>
    </row>
    <row r="22" spans="1:20">
      <c r="A22" s="655" t="str">
        <f>IF(ISBLANK('Project Master Sheet'!A22)=FALSE, 'Project Master Sheet'!A22, "")</f>
        <v/>
      </c>
      <c r="B22" s="655" t="str">
        <f>_xlfn.IFNA(_xlfn.XLOOKUP(A22, 'Project Master Sheet'!A:A, 'Project Master Sheet'!D:D), "")</f>
        <v/>
      </c>
      <c r="C22" s="655" t="e">
        <f>_xlfn.XLOOKUP('Project OPEX'!A22, 'Project Master Sheet'!A:A, 'Project Master Sheet'!I:I)</f>
        <v>#N/A</v>
      </c>
      <c r="E22" s="662" t="e">
        <f>'Project GREV'!E22-'Project OPEX'!E22</f>
        <v>#N/A</v>
      </c>
      <c r="F22" s="662" t="e">
        <f>'Project GREV'!F22-'Project OPEX'!F22</f>
        <v>#N/A</v>
      </c>
      <c r="G22" s="662" t="e">
        <f>'Project GREV'!G22-'Project OPEX'!G22</f>
        <v>#N/A</v>
      </c>
      <c r="H22" s="662" t="e">
        <f>'Project GREV'!H22-'Project OPEX'!H22</f>
        <v>#N/A</v>
      </c>
      <c r="I22" s="662" t="e">
        <f>'Project GREV'!I22-'Project OPEX'!I22</f>
        <v>#N/A</v>
      </c>
      <c r="J22" s="662" t="e">
        <f>'Project GREV'!J22-'Project OPEX'!J22</f>
        <v>#N/A</v>
      </c>
      <c r="K22" s="662" t="e">
        <f>'Project GREV'!K22-'Project OPEX'!K22</f>
        <v>#N/A</v>
      </c>
      <c r="L22" s="662" t="e">
        <f>'Project GREV'!L22-'Project OPEX'!L22</f>
        <v>#N/A</v>
      </c>
      <c r="M22" s="662" t="e">
        <f>'Project GREV'!M22-'Project OPEX'!M22</f>
        <v>#N/A</v>
      </c>
      <c r="N22" s="662" t="e">
        <f>'Project GREV'!N22-'Project OPEX'!N22</f>
        <v>#N/A</v>
      </c>
      <c r="O22" s="662" t="e">
        <f>'Project GREV'!O22-'Project OPEX'!O22</f>
        <v>#N/A</v>
      </c>
      <c r="P22" s="662" t="e">
        <f>'Project GREV'!P22-'Project OPEX'!P22</f>
        <v>#N/A</v>
      </c>
      <c r="Q22" s="662" t="e">
        <f>'Project GREV'!Q22-'Project OPEX'!Q22</f>
        <v>#N/A</v>
      </c>
      <c r="R22" s="662" t="e">
        <f>'Project GREV'!R22-'Project OPEX'!R22</f>
        <v>#N/A</v>
      </c>
      <c r="S22" s="662" t="e">
        <f>'Project GREV'!S22-'Project OPEX'!S22</f>
        <v>#N/A</v>
      </c>
      <c r="T22" s="662" t="e">
        <f>'Project GREV'!T22-'Project OPEX'!T22</f>
        <v>#N/A</v>
      </c>
    </row>
    <row r="23" spans="1:20">
      <c r="A23" s="655" t="str">
        <f>IF(ISBLANK('Project Master Sheet'!A23)=FALSE, 'Project Master Sheet'!A23, "")</f>
        <v/>
      </c>
      <c r="B23" s="655" t="str">
        <f>_xlfn.IFNA(_xlfn.XLOOKUP(A23, 'Project Master Sheet'!A:A, 'Project Master Sheet'!D:D), "")</f>
        <v/>
      </c>
      <c r="C23" s="655" t="e">
        <f>_xlfn.XLOOKUP('Project OPEX'!A23, 'Project Master Sheet'!A:A, 'Project Master Sheet'!I:I)</f>
        <v>#N/A</v>
      </c>
      <c r="E23" s="662" t="e">
        <f>'Project GREV'!E23-'Project OPEX'!E23</f>
        <v>#N/A</v>
      </c>
      <c r="F23" s="662" t="e">
        <f>'Project GREV'!F23-'Project OPEX'!F23</f>
        <v>#N/A</v>
      </c>
      <c r="G23" s="662" t="e">
        <f>'Project GREV'!G23-'Project OPEX'!G23</f>
        <v>#N/A</v>
      </c>
      <c r="H23" s="662" t="e">
        <f>'Project GREV'!H23-'Project OPEX'!H23</f>
        <v>#N/A</v>
      </c>
      <c r="I23" s="662" t="e">
        <f>'Project GREV'!I23-'Project OPEX'!I23</f>
        <v>#N/A</v>
      </c>
      <c r="J23" s="662" t="e">
        <f>'Project GREV'!J23-'Project OPEX'!J23</f>
        <v>#N/A</v>
      </c>
      <c r="K23" s="662" t="e">
        <f>'Project GREV'!K23-'Project OPEX'!K23</f>
        <v>#N/A</v>
      </c>
      <c r="L23" s="662" t="e">
        <f>'Project GREV'!L23-'Project OPEX'!L23</f>
        <v>#N/A</v>
      </c>
      <c r="M23" s="662" t="e">
        <f>'Project GREV'!M23-'Project OPEX'!M23</f>
        <v>#N/A</v>
      </c>
      <c r="N23" s="662" t="e">
        <f>'Project GREV'!N23-'Project OPEX'!N23</f>
        <v>#N/A</v>
      </c>
      <c r="O23" s="662" t="e">
        <f>'Project GREV'!O23-'Project OPEX'!O23</f>
        <v>#N/A</v>
      </c>
      <c r="P23" s="662" t="e">
        <f>'Project GREV'!P23-'Project OPEX'!P23</f>
        <v>#N/A</v>
      </c>
      <c r="Q23" s="662" t="e">
        <f>'Project GREV'!Q23-'Project OPEX'!Q23</f>
        <v>#N/A</v>
      </c>
      <c r="R23" s="662" t="e">
        <f>'Project GREV'!R23-'Project OPEX'!R23</f>
        <v>#N/A</v>
      </c>
      <c r="S23" s="662" t="e">
        <f>'Project GREV'!S23-'Project OPEX'!S23</f>
        <v>#N/A</v>
      </c>
      <c r="T23" s="662" t="e">
        <f>'Project GREV'!T23-'Project OPEX'!T23</f>
        <v>#N/A</v>
      </c>
    </row>
    <row r="24" spans="1:20">
      <c r="A24" s="655" t="str">
        <f>IF(ISBLANK('Project Master Sheet'!A24)=FALSE, 'Project Master Sheet'!A24, "")</f>
        <v/>
      </c>
      <c r="B24" s="655" t="str">
        <f>_xlfn.IFNA(_xlfn.XLOOKUP(A24, 'Project Master Sheet'!A:A, 'Project Master Sheet'!D:D), "")</f>
        <v/>
      </c>
      <c r="C24" s="655" t="e">
        <f>_xlfn.XLOOKUP('Project OPEX'!A24, 'Project Master Sheet'!A:A, 'Project Master Sheet'!I:I)</f>
        <v>#N/A</v>
      </c>
      <c r="E24" s="662" t="e">
        <f>'Project GREV'!E24-'Project OPEX'!E24</f>
        <v>#N/A</v>
      </c>
      <c r="F24" s="662" t="e">
        <f>'Project GREV'!F24-'Project OPEX'!F24</f>
        <v>#N/A</v>
      </c>
      <c r="G24" s="662" t="e">
        <f>'Project GREV'!G24-'Project OPEX'!G24</f>
        <v>#N/A</v>
      </c>
      <c r="H24" s="662" t="e">
        <f>'Project GREV'!H24-'Project OPEX'!H24</f>
        <v>#N/A</v>
      </c>
      <c r="I24" s="662" t="e">
        <f>'Project GREV'!I24-'Project OPEX'!I24</f>
        <v>#N/A</v>
      </c>
      <c r="J24" s="662" t="e">
        <f>'Project GREV'!J24-'Project OPEX'!J24</f>
        <v>#N/A</v>
      </c>
      <c r="K24" s="662" t="e">
        <f>'Project GREV'!K24-'Project OPEX'!K24</f>
        <v>#N/A</v>
      </c>
      <c r="L24" s="662" t="e">
        <f>'Project GREV'!L24-'Project OPEX'!L24</f>
        <v>#N/A</v>
      </c>
      <c r="M24" s="662" t="e">
        <f>'Project GREV'!M24-'Project OPEX'!M24</f>
        <v>#N/A</v>
      </c>
      <c r="N24" s="662" t="e">
        <f>'Project GREV'!N24-'Project OPEX'!N24</f>
        <v>#N/A</v>
      </c>
      <c r="O24" s="662" t="e">
        <f>'Project GREV'!O24-'Project OPEX'!O24</f>
        <v>#N/A</v>
      </c>
      <c r="P24" s="662" t="e">
        <f>'Project GREV'!P24-'Project OPEX'!P24</f>
        <v>#N/A</v>
      </c>
      <c r="Q24" s="662" t="e">
        <f>'Project GREV'!Q24-'Project OPEX'!Q24</f>
        <v>#N/A</v>
      </c>
      <c r="R24" s="662" t="e">
        <f>'Project GREV'!R24-'Project OPEX'!R24</f>
        <v>#N/A</v>
      </c>
      <c r="S24" s="662" t="e">
        <f>'Project GREV'!S24-'Project OPEX'!S24</f>
        <v>#N/A</v>
      </c>
      <c r="T24" s="662" t="e">
        <f>'Project GREV'!T24-'Project OPEX'!T24</f>
        <v>#N/A</v>
      </c>
    </row>
    <row r="25" spans="1:20">
      <c r="A25" s="655" t="str">
        <f>IF(ISBLANK('Project Master Sheet'!A25)=FALSE, 'Project Master Sheet'!A25, "")</f>
        <v/>
      </c>
      <c r="B25" s="655" t="str">
        <f>_xlfn.IFNA(_xlfn.XLOOKUP(A25, 'Project Master Sheet'!A:A, 'Project Master Sheet'!D:D), "")</f>
        <v/>
      </c>
      <c r="C25" s="655" t="e">
        <f>_xlfn.XLOOKUP('Project OPEX'!A25, 'Project Master Sheet'!A:A, 'Project Master Sheet'!I:I)</f>
        <v>#N/A</v>
      </c>
      <c r="E25" s="662" t="e">
        <f>'Project GREV'!E25-'Project OPEX'!E25</f>
        <v>#N/A</v>
      </c>
      <c r="F25" s="662" t="e">
        <f>'Project GREV'!F25-'Project OPEX'!F25</f>
        <v>#N/A</v>
      </c>
      <c r="G25" s="662" t="e">
        <f>'Project GREV'!G25-'Project OPEX'!G25</f>
        <v>#N/A</v>
      </c>
      <c r="H25" s="662" t="e">
        <f>'Project GREV'!H25-'Project OPEX'!H25</f>
        <v>#N/A</v>
      </c>
      <c r="I25" s="662" t="e">
        <f>'Project GREV'!I25-'Project OPEX'!I25</f>
        <v>#N/A</v>
      </c>
      <c r="J25" s="662" t="e">
        <f>'Project GREV'!J25-'Project OPEX'!J25</f>
        <v>#N/A</v>
      </c>
      <c r="K25" s="662" t="e">
        <f>'Project GREV'!K25-'Project OPEX'!K25</f>
        <v>#N/A</v>
      </c>
      <c r="L25" s="662" t="e">
        <f>'Project GREV'!L25-'Project OPEX'!L25</f>
        <v>#N/A</v>
      </c>
      <c r="M25" s="662" t="e">
        <f>'Project GREV'!M25-'Project OPEX'!M25</f>
        <v>#N/A</v>
      </c>
      <c r="N25" s="662" t="e">
        <f>'Project GREV'!N25-'Project OPEX'!N25</f>
        <v>#N/A</v>
      </c>
      <c r="O25" s="662" t="e">
        <f>'Project GREV'!O25-'Project OPEX'!O25</f>
        <v>#N/A</v>
      </c>
      <c r="P25" s="662" t="e">
        <f>'Project GREV'!P25-'Project OPEX'!P25</f>
        <v>#N/A</v>
      </c>
      <c r="Q25" s="662" t="e">
        <f>'Project GREV'!Q25-'Project OPEX'!Q25</f>
        <v>#N/A</v>
      </c>
      <c r="R25" s="662" t="e">
        <f>'Project GREV'!R25-'Project OPEX'!R25</f>
        <v>#N/A</v>
      </c>
      <c r="S25" s="662" t="e">
        <f>'Project GREV'!S25-'Project OPEX'!S25</f>
        <v>#N/A</v>
      </c>
      <c r="T25" s="662" t="e">
        <f>'Project GREV'!T25-'Project OPEX'!T25</f>
        <v>#N/A</v>
      </c>
    </row>
    <row r="26" spans="1:20">
      <c r="A26" s="655" t="str">
        <f>IF(ISBLANK('Project Master Sheet'!A26)=FALSE, 'Project Master Sheet'!A26, "")</f>
        <v/>
      </c>
      <c r="B26" s="655" t="str">
        <f>_xlfn.IFNA(_xlfn.XLOOKUP(A26, 'Project Master Sheet'!A:A, 'Project Master Sheet'!D:D), "")</f>
        <v/>
      </c>
      <c r="C26" s="655" t="e">
        <f>_xlfn.XLOOKUP('Project OPEX'!A26, 'Project Master Sheet'!A:A, 'Project Master Sheet'!I:I)</f>
        <v>#N/A</v>
      </c>
      <c r="E26" s="662" t="e">
        <f>'Project GREV'!E26-'Project OPEX'!E26</f>
        <v>#N/A</v>
      </c>
      <c r="F26" s="662" t="e">
        <f>'Project GREV'!F26-'Project OPEX'!F26</f>
        <v>#N/A</v>
      </c>
      <c r="G26" s="662" t="e">
        <f>'Project GREV'!G26-'Project OPEX'!G26</f>
        <v>#N/A</v>
      </c>
      <c r="H26" s="662" t="e">
        <f>'Project GREV'!H26-'Project OPEX'!H26</f>
        <v>#N/A</v>
      </c>
      <c r="I26" s="662" t="e">
        <f>'Project GREV'!I26-'Project OPEX'!I26</f>
        <v>#N/A</v>
      </c>
      <c r="J26" s="662" t="e">
        <f>'Project GREV'!J26-'Project OPEX'!J26</f>
        <v>#N/A</v>
      </c>
      <c r="K26" s="662" t="e">
        <f>'Project GREV'!K26-'Project OPEX'!K26</f>
        <v>#N/A</v>
      </c>
      <c r="L26" s="662" t="e">
        <f>'Project GREV'!L26-'Project OPEX'!L26</f>
        <v>#N/A</v>
      </c>
      <c r="M26" s="662" t="e">
        <f>'Project GREV'!M26-'Project OPEX'!M26</f>
        <v>#N/A</v>
      </c>
      <c r="N26" s="662" t="e">
        <f>'Project GREV'!N26-'Project OPEX'!N26</f>
        <v>#N/A</v>
      </c>
      <c r="O26" s="662" t="e">
        <f>'Project GREV'!O26-'Project OPEX'!O26</f>
        <v>#N/A</v>
      </c>
      <c r="P26" s="662" t="e">
        <f>'Project GREV'!P26-'Project OPEX'!P26</f>
        <v>#N/A</v>
      </c>
      <c r="Q26" s="662" t="e">
        <f>'Project GREV'!Q26-'Project OPEX'!Q26</f>
        <v>#N/A</v>
      </c>
      <c r="R26" s="662" t="e">
        <f>'Project GREV'!R26-'Project OPEX'!R26</f>
        <v>#N/A</v>
      </c>
      <c r="S26" s="662" t="e">
        <f>'Project GREV'!S26-'Project OPEX'!S26</f>
        <v>#N/A</v>
      </c>
      <c r="T26" s="662" t="e">
        <f>'Project GREV'!T26-'Project OPEX'!T26</f>
        <v>#N/A</v>
      </c>
    </row>
    <row r="27" spans="1:20">
      <c r="A27" s="655" t="str">
        <f>IF(ISBLANK('Project Master Sheet'!A27)=FALSE, 'Project Master Sheet'!A27, "")</f>
        <v/>
      </c>
      <c r="B27" s="655" t="str">
        <f>_xlfn.IFNA(_xlfn.XLOOKUP(A27, 'Project Master Sheet'!A:A, 'Project Master Sheet'!D:D), "")</f>
        <v/>
      </c>
      <c r="C27" s="655" t="e">
        <f>_xlfn.XLOOKUP('Project OPEX'!A27, 'Project Master Sheet'!A:A, 'Project Master Sheet'!I:I)</f>
        <v>#N/A</v>
      </c>
      <c r="E27" s="662" t="e">
        <f>'Project GREV'!E27-'Project OPEX'!E27</f>
        <v>#N/A</v>
      </c>
      <c r="F27" s="662" t="e">
        <f>'Project GREV'!F27-'Project OPEX'!F27</f>
        <v>#N/A</v>
      </c>
      <c r="G27" s="662" t="e">
        <f>'Project GREV'!G27-'Project OPEX'!G27</f>
        <v>#N/A</v>
      </c>
      <c r="H27" s="662" t="e">
        <f>'Project GREV'!H27-'Project OPEX'!H27</f>
        <v>#N/A</v>
      </c>
      <c r="I27" s="662" t="e">
        <f>'Project GREV'!I27-'Project OPEX'!I27</f>
        <v>#N/A</v>
      </c>
      <c r="J27" s="662" t="e">
        <f>'Project GREV'!J27-'Project OPEX'!J27</f>
        <v>#N/A</v>
      </c>
      <c r="K27" s="662" t="e">
        <f>'Project GREV'!K27-'Project OPEX'!K27</f>
        <v>#N/A</v>
      </c>
      <c r="L27" s="662" t="e">
        <f>'Project GREV'!L27-'Project OPEX'!L27</f>
        <v>#N/A</v>
      </c>
      <c r="M27" s="662" t="e">
        <f>'Project GREV'!M27-'Project OPEX'!M27</f>
        <v>#N/A</v>
      </c>
      <c r="N27" s="662" t="e">
        <f>'Project GREV'!N27-'Project OPEX'!N27</f>
        <v>#N/A</v>
      </c>
      <c r="O27" s="662" t="e">
        <f>'Project GREV'!O27-'Project OPEX'!O27</f>
        <v>#N/A</v>
      </c>
      <c r="P27" s="662" t="e">
        <f>'Project GREV'!P27-'Project OPEX'!P27</f>
        <v>#N/A</v>
      </c>
      <c r="Q27" s="662" t="e">
        <f>'Project GREV'!Q27-'Project OPEX'!Q27</f>
        <v>#N/A</v>
      </c>
      <c r="R27" s="662" t="e">
        <f>'Project GREV'!R27-'Project OPEX'!R27</f>
        <v>#N/A</v>
      </c>
      <c r="S27" s="662" t="e">
        <f>'Project GREV'!S27-'Project OPEX'!S27</f>
        <v>#N/A</v>
      </c>
      <c r="T27" s="662" t="e">
        <f>'Project GREV'!T27-'Project OPEX'!T27</f>
        <v>#N/A</v>
      </c>
    </row>
    <row r="28" spans="1:20">
      <c r="A28" s="655" t="str">
        <f>IF(ISBLANK('Project Master Sheet'!A28)=FALSE, 'Project Master Sheet'!A28, "")</f>
        <v/>
      </c>
      <c r="B28" s="655" t="str">
        <f>_xlfn.IFNA(_xlfn.XLOOKUP(A28, 'Project Master Sheet'!A:A, 'Project Master Sheet'!D:D), "")</f>
        <v/>
      </c>
      <c r="C28" s="655" t="e">
        <f>_xlfn.XLOOKUP('Project OPEX'!A28, 'Project Master Sheet'!A:A, 'Project Master Sheet'!I:I)</f>
        <v>#N/A</v>
      </c>
      <c r="E28" s="662" t="e">
        <f>'Project GREV'!E28-'Project OPEX'!E28</f>
        <v>#N/A</v>
      </c>
      <c r="F28" s="662" t="e">
        <f>'Project GREV'!F28-'Project OPEX'!F28</f>
        <v>#N/A</v>
      </c>
      <c r="G28" s="662" t="e">
        <f>'Project GREV'!G28-'Project OPEX'!G28</f>
        <v>#N/A</v>
      </c>
      <c r="H28" s="662" t="e">
        <f>'Project GREV'!H28-'Project OPEX'!H28</f>
        <v>#N/A</v>
      </c>
      <c r="I28" s="662" t="e">
        <f>'Project GREV'!I28-'Project OPEX'!I28</f>
        <v>#N/A</v>
      </c>
      <c r="J28" s="662" t="e">
        <f>'Project GREV'!J28-'Project OPEX'!J28</f>
        <v>#N/A</v>
      </c>
      <c r="K28" s="662" t="e">
        <f>'Project GREV'!K28-'Project OPEX'!K28</f>
        <v>#N/A</v>
      </c>
      <c r="L28" s="662" t="e">
        <f>'Project GREV'!L28-'Project OPEX'!L28</f>
        <v>#N/A</v>
      </c>
      <c r="M28" s="662" t="e">
        <f>'Project GREV'!M28-'Project OPEX'!M28</f>
        <v>#N/A</v>
      </c>
      <c r="N28" s="662" t="e">
        <f>'Project GREV'!N28-'Project OPEX'!N28</f>
        <v>#N/A</v>
      </c>
      <c r="O28" s="662" t="e">
        <f>'Project GREV'!O28-'Project OPEX'!O28</f>
        <v>#N/A</v>
      </c>
      <c r="P28" s="662" t="e">
        <f>'Project GREV'!P28-'Project OPEX'!P28</f>
        <v>#N/A</v>
      </c>
      <c r="Q28" s="662" t="e">
        <f>'Project GREV'!Q28-'Project OPEX'!Q28</f>
        <v>#N/A</v>
      </c>
      <c r="R28" s="662" t="e">
        <f>'Project GREV'!R28-'Project OPEX'!R28</f>
        <v>#N/A</v>
      </c>
      <c r="S28" s="662" t="e">
        <f>'Project GREV'!S28-'Project OPEX'!S28</f>
        <v>#N/A</v>
      </c>
      <c r="T28" s="662" t="e">
        <f>'Project GREV'!T28-'Project OPEX'!T28</f>
        <v>#N/A</v>
      </c>
    </row>
    <row r="29" spans="1:20">
      <c r="A29" s="655" t="str">
        <f>IF(ISBLANK('Project Master Sheet'!A29)=FALSE, 'Project Master Sheet'!A29, "")</f>
        <v/>
      </c>
      <c r="B29" s="655" t="str">
        <f>_xlfn.IFNA(_xlfn.XLOOKUP(A29, 'Project Master Sheet'!A:A, 'Project Master Sheet'!D:D), "")</f>
        <v/>
      </c>
      <c r="C29" s="655" t="e">
        <f>_xlfn.XLOOKUP('Project OPEX'!A29, 'Project Master Sheet'!A:A, 'Project Master Sheet'!I:I)</f>
        <v>#N/A</v>
      </c>
      <c r="E29" s="662" t="e">
        <f>'Project GREV'!E29-'Project OPEX'!E29</f>
        <v>#N/A</v>
      </c>
      <c r="F29" s="662" t="e">
        <f>'Project GREV'!F29-'Project OPEX'!F29</f>
        <v>#N/A</v>
      </c>
      <c r="G29" s="662" t="e">
        <f>'Project GREV'!G29-'Project OPEX'!G29</f>
        <v>#N/A</v>
      </c>
      <c r="H29" s="662" t="e">
        <f>'Project GREV'!H29-'Project OPEX'!H29</f>
        <v>#N/A</v>
      </c>
      <c r="I29" s="662" t="e">
        <f>'Project GREV'!I29-'Project OPEX'!I29</f>
        <v>#N/A</v>
      </c>
      <c r="J29" s="662" t="e">
        <f>'Project GREV'!J29-'Project OPEX'!J29</f>
        <v>#N/A</v>
      </c>
      <c r="K29" s="662" t="e">
        <f>'Project GREV'!K29-'Project OPEX'!K29</f>
        <v>#N/A</v>
      </c>
      <c r="L29" s="662" t="e">
        <f>'Project GREV'!L29-'Project OPEX'!L29</f>
        <v>#N/A</v>
      </c>
      <c r="M29" s="662" t="e">
        <f>'Project GREV'!M29-'Project OPEX'!M29</f>
        <v>#N/A</v>
      </c>
      <c r="N29" s="662" t="e">
        <f>'Project GREV'!N29-'Project OPEX'!N29</f>
        <v>#N/A</v>
      </c>
      <c r="O29" s="662" t="e">
        <f>'Project GREV'!O29-'Project OPEX'!O29</f>
        <v>#N/A</v>
      </c>
      <c r="P29" s="662" t="e">
        <f>'Project GREV'!P29-'Project OPEX'!P29</f>
        <v>#N/A</v>
      </c>
      <c r="Q29" s="662" t="e">
        <f>'Project GREV'!Q29-'Project OPEX'!Q29</f>
        <v>#N/A</v>
      </c>
      <c r="R29" s="662" t="e">
        <f>'Project GREV'!R29-'Project OPEX'!R29</f>
        <v>#N/A</v>
      </c>
      <c r="S29" s="662" t="e">
        <f>'Project GREV'!S29-'Project OPEX'!S29</f>
        <v>#N/A</v>
      </c>
      <c r="T29" s="662" t="e">
        <f>'Project GREV'!T29-'Project OPEX'!T29</f>
        <v>#N/A</v>
      </c>
    </row>
    <row r="30" spans="1:20">
      <c r="A30" s="655" t="str">
        <f>IF(ISBLANK('Project Master Sheet'!A30)=FALSE, 'Project Master Sheet'!A30, "")</f>
        <v/>
      </c>
      <c r="B30" s="655" t="str">
        <f>_xlfn.IFNA(_xlfn.XLOOKUP(A30, 'Project Master Sheet'!A:A, 'Project Master Sheet'!D:D), "")</f>
        <v/>
      </c>
      <c r="C30" s="655" t="e">
        <f>_xlfn.XLOOKUP('Project OPEX'!A30, 'Project Master Sheet'!A:A, 'Project Master Sheet'!I:I)</f>
        <v>#N/A</v>
      </c>
      <c r="E30" s="662" t="e">
        <f>'Project GREV'!E30-'Project OPEX'!E30</f>
        <v>#N/A</v>
      </c>
      <c r="F30" s="662" t="e">
        <f>'Project GREV'!F30-'Project OPEX'!F30</f>
        <v>#N/A</v>
      </c>
      <c r="G30" s="662" t="e">
        <f>'Project GREV'!G30-'Project OPEX'!G30</f>
        <v>#N/A</v>
      </c>
      <c r="H30" s="662" t="e">
        <f>'Project GREV'!H30-'Project OPEX'!H30</f>
        <v>#N/A</v>
      </c>
      <c r="I30" s="662" t="e">
        <f>'Project GREV'!I30-'Project OPEX'!I30</f>
        <v>#N/A</v>
      </c>
      <c r="J30" s="662" t="e">
        <f>'Project GREV'!J30-'Project OPEX'!J30</f>
        <v>#N/A</v>
      </c>
      <c r="K30" s="662" t="e">
        <f>'Project GREV'!K30-'Project OPEX'!K30</f>
        <v>#N/A</v>
      </c>
      <c r="L30" s="662" t="e">
        <f>'Project GREV'!L30-'Project OPEX'!L30</f>
        <v>#N/A</v>
      </c>
      <c r="M30" s="662" t="e">
        <f>'Project GREV'!M30-'Project OPEX'!M30</f>
        <v>#N/A</v>
      </c>
      <c r="N30" s="662" t="e">
        <f>'Project GREV'!N30-'Project OPEX'!N30</f>
        <v>#N/A</v>
      </c>
      <c r="O30" s="662" t="e">
        <f>'Project GREV'!O30-'Project OPEX'!O30</f>
        <v>#N/A</v>
      </c>
      <c r="P30" s="662" t="e">
        <f>'Project GREV'!P30-'Project OPEX'!P30</f>
        <v>#N/A</v>
      </c>
      <c r="Q30" s="662" t="e">
        <f>'Project GREV'!Q30-'Project OPEX'!Q30</f>
        <v>#N/A</v>
      </c>
      <c r="R30" s="662" t="e">
        <f>'Project GREV'!R30-'Project OPEX'!R30</f>
        <v>#N/A</v>
      </c>
      <c r="S30" s="662" t="e">
        <f>'Project GREV'!S30-'Project OPEX'!S30</f>
        <v>#N/A</v>
      </c>
      <c r="T30" s="662" t="e">
        <f>'Project GREV'!T30-'Project OPEX'!T30</f>
        <v>#N/A</v>
      </c>
    </row>
    <row r="31" spans="1:20">
      <c r="A31" s="655" t="str">
        <f>IF(ISBLANK('Project Master Sheet'!A31)=FALSE, 'Project Master Sheet'!A31, "")</f>
        <v/>
      </c>
      <c r="B31" s="655" t="str">
        <f>_xlfn.IFNA(_xlfn.XLOOKUP(A31, 'Project Master Sheet'!A:A, 'Project Master Sheet'!D:D), "")</f>
        <v/>
      </c>
      <c r="C31" s="655" t="e">
        <f>_xlfn.XLOOKUP('Project OPEX'!A31, 'Project Master Sheet'!A:A, 'Project Master Sheet'!I:I)</f>
        <v>#N/A</v>
      </c>
      <c r="E31" s="662" t="e">
        <f>'Project GREV'!E31-'Project OPEX'!E31</f>
        <v>#N/A</v>
      </c>
      <c r="F31" s="662" t="e">
        <f>'Project GREV'!F31-'Project OPEX'!F31</f>
        <v>#N/A</v>
      </c>
      <c r="G31" s="662" t="e">
        <f>'Project GREV'!G31-'Project OPEX'!G31</f>
        <v>#N/A</v>
      </c>
      <c r="H31" s="662" t="e">
        <f>'Project GREV'!H31-'Project OPEX'!H31</f>
        <v>#N/A</v>
      </c>
      <c r="I31" s="662" t="e">
        <f>'Project GREV'!I31-'Project OPEX'!I31</f>
        <v>#N/A</v>
      </c>
      <c r="J31" s="662" t="e">
        <f>'Project GREV'!J31-'Project OPEX'!J31</f>
        <v>#N/A</v>
      </c>
      <c r="K31" s="662" t="e">
        <f>'Project GREV'!K31-'Project OPEX'!K31</f>
        <v>#N/A</v>
      </c>
      <c r="L31" s="662" t="e">
        <f>'Project GREV'!L31-'Project OPEX'!L31</f>
        <v>#N/A</v>
      </c>
      <c r="M31" s="662" t="e">
        <f>'Project GREV'!M31-'Project OPEX'!M31</f>
        <v>#N/A</v>
      </c>
      <c r="N31" s="662" t="e">
        <f>'Project GREV'!N31-'Project OPEX'!N31</f>
        <v>#N/A</v>
      </c>
      <c r="O31" s="662" t="e">
        <f>'Project GREV'!O31-'Project OPEX'!O31</f>
        <v>#N/A</v>
      </c>
      <c r="P31" s="662" t="e">
        <f>'Project GREV'!P31-'Project OPEX'!P31</f>
        <v>#N/A</v>
      </c>
      <c r="Q31" s="662" t="e">
        <f>'Project GREV'!Q31-'Project OPEX'!Q31</f>
        <v>#N/A</v>
      </c>
      <c r="R31" s="662" t="e">
        <f>'Project GREV'!R31-'Project OPEX'!R31</f>
        <v>#N/A</v>
      </c>
      <c r="S31" s="662" t="e">
        <f>'Project GREV'!S31-'Project OPEX'!S31</f>
        <v>#N/A</v>
      </c>
      <c r="T31" s="662" t="e">
        <f>'Project GREV'!T31-'Project OPEX'!T31</f>
        <v>#N/A</v>
      </c>
    </row>
    <row r="32" spans="1:20">
      <c r="A32" s="655" t="str">
        <f>IF(ISBLANK('Project Master Sheet'!A32)=FALSE, 'Project Master Sheet'!A32, "")</f>
        <v/>
      </c>
      <c r="B32" s="655" t="str">
        <f>_xlfn.IFNA(_xlfn.XLOOKUP(A32, 'Project Master Sheet'!A:A, 'Project Master Sheet'!D:D), "")</f>
        <v/>
      </c>
      <c r="C32" s="655" t="e">
        <f>_xlfn.XLOOKUP('Project OPEX'!A32, 'Project Master Sheet'!A:A, 'Project Master Sheet'!I:I)</f>
        <v>#N/A</v>
      </c>
      <c r="E32" s="662" t="e">
        <f>'Project GREV'!E32-'Project OPEX'!E32</f>
        <v>#N/A</v>
      </c>
      <c r="F32" s="662" t="e">
        <f>'Project GREV'!F32-'Project OPEX'!F32</f>
        <v>#N/A</v>
      </c>
      <c r="G32" s="662" t="e">
        <f>'Project GREV'!G32-'Project OPEX'!G32</f>
        <v>#N/A</v>
      </c>
      <c r="H32" s="662" t="e">
        <f>'Project GREV'!H32-'Project OPEX'!H32</f>
        <v>#N/A</v>
      </c>
      <c r="I32" s="662" t="e">
        <f>'Project GREV'!I32-'Project OPEX'!I32</f>
        <v>#N/A</v>
      </c>
      <c r="J32" s="662" t="e">
        <f>'Project GREV'!J32-'Project OPEX'!J32</f>
        <v>#N/A</v>
      </c>
      <c r="K32" s="662" t="e">
        <f>'Project GREV'!K32-'Project OPEX'!K32</f>
        <v>#N/A</v>
      </c>
      <c r="L32" s="662" t="e">
        <f>'Project GREV'!L32-'Project OPEX'!L32</f>
        <v>#N/A</v>
      </c>
      <c r="M32" s="662" t="e">
        <f>'Project GREV'!M32-'Project OPEX'!M32</f>
        <v>#N/A</v>
      </c>
      <c r="N32" s="662" t="e">
        <f>'Project GREV'!N32-'Project OPEX'!N32</f>
        <v>#N/A</v>
      </c>
      <c r="O32" s="662" t="e">
        <f>'Project GREV'!O32-'Project OPEX'!O32</f>
        <v>#N/A</v>
      </c>
      <c r="P32" s="662" t="e">
        <f>'Project GREV'!P32-'Project OPEX'!P32</f>
        <v>#N/A</v>
      </c>
      <c r="Q32" s="662" t="e">
        <f>'Project GREV'!Q32-'Project OPEX'!Q32</f>
        <v>#N/A</v>
      </c>
      <c r="R32" s="662" t="e">
        <f>'Project GREV'!R32-'Project OPEX'!R32</f>
        <v>#N/A</v>
      </c>
      <c r="S32" s="662" t="e">
        <f>'Project GREV'!S32-'Project OPEX'!S32</f>
        <v>#N/A</v>
      </c>
      <c r="T32" s="662" t="e">
        <f>'Project GREV'!T32-'Project OPEX'!T32</f>
        <v>#N/A</v>
      </c>
    </row>
    <row r="33" spans="1:20">
      <c r="A33" s="655" t="str">
        <f>IF(ISBLANK('Project Master Sheet'!A33)=FALSE, 'Project Master Sheet'!A33, "")</f>
        <v/>
      </c>
      <c r="B33" s="655" t="str">
        <f>_xlfn.IFNA(_xlfn.XLOOKUP(A33, 'Project Master Sheet'!A:A, 'Project Master Sheet'!D:D), "")</f>
        <v/>
      </c>
      <c r="C33" s="655" t="e">
        <f>_xlfn.XLOOKUP('Project OPEX'!A33, 'Project Master Sheet'!A:A, 'Project Master Sheet'!I:I)</f>
        <v>#N/A</v>
      </c>
      <c r="E33" s="662" t="e">
        <f>'Project GREV'!E33-'Project OPEX'!E33</f>
        <v>#N/A</v>
      </c>
      <c r="F33" s="662" t="e">
        <f>'Project GREV'!F33-'Project OPEX'!F33</f>
        <v>#N/A</v>
      </c>
      <c r="G33" s="662" t="e">
        <f>'Project GREV'!G33-'Project OPEX'!G33</f>
        <v>#N/A</v>
      </c>
      <c r="H33" s="662" t="e">
        <f>'Project GREV'!H33-'Project OPEX'!H33</f>
        <v>#N/A</v>
      </c>
      <c r="I33" s="662" t="e">
        <f>'Project GREV'!I33-'Project OPEX'!I33</f>
        <v>#N/A</v>
      </c>
      <c r="J33" s="662" t="e">
        <f>'Project GREV'!J33-'Project OPEX'!J33</f>
        <v>#N/A</v>
      </c>
      <c r="K33" s="662" t="e">
        <f>'Project GREV'!K33-'Project OPEX'!K33</f>
        <v>#N/A</v>
      </c>
      <c r="L33" s="662" t="e">
        <f>'Project GREV'!L33-'Project OPEX'!L33</f>
        <v>#N/A</v>
      </c>
      <c r="M33" s="662" t="e">
        <f>'Project GREV'!M33-'Project OPEX'!M33</f>
        <v>#N/A</v>
      </c>
      <c r="N33" s="662" t="e">
        <f>'Project GREV'!N33-'Project OPEX'!N33</f>
        <v>#N/A</v>
      </c>
      <c r="O33" s="662" t="e">
        <f>'Project GREV'!O33-'Project OPEX'!O33</f>
        <v>#N/A</v>
      </c>
      <c r="P33" s="662" t="e">
        <f>'Project GREV'!P33-'Project OPEX'!P33</f>
        <v>#N/A</v>
      </c>
      <c r="Q33" s="662" t="e">
        <f>'Project GREV'!Q33-'Project OPEX'!Q33</f>
        <v>#N/A</v>
      </c>
      <c r="R33" s="662" t="e">
        <f>'Project GREV'!R33-'Project OPEX'!R33</f>
        <v>#N/A</v>
      </c>
      <c r="S33" s="662" t="e">
        <f>'Project GREV'!S33-'Project OPEX'!S33</f>
        <v>#N/A</v>
      </c>
      <c r="T33" s="662" t="e">
        <f>'Project GREV'!T33-'Project OPEX'!T33</f>
        <v>#N/A</v>
      </c>
    </row>
    <row r="34" spans="1:20">
      <c r="A34" s="655" t="str">
        <f>IF(ISBLANK('Project Master Sheet'!A34)=FALSE, 'Project Master Sheet'!A34, "")</f>
        <v/>
      </c>
      <c r="B34" s="655" t="str">
        <f>_xlfn.IFNA(_xlfn.XLOOKUP(A34, 'Project Master Sheet'!A:A, 'Project Master Sheet'!D:D), "")</f>
        <v/>
      </c>
      <c r="C34" s="655" t="e">
        <f>_xlfn.XLOOKUP('Project OPEX'!A34, 'Project Master Sheet'!A:A, 'Project Master Sheet'!I:I)</f>
        <v>#N/A</v>
      </c>
      <c r="E34" s="662" t="e">
        <f>'Project GREV'!E34-'Project OPEX'!E34</f>
        <v>#N/A</v>
      </c>
      <c r="F34" s="662" t="e">
        <f>'Project GREV'!F34-'Project OPEX'!F34</f>
        <v>#N/A</v>
      </c>
      <c r="G34" s="662" t="e">
        <f>'Project GREV'!G34-'Project OPEX'!G34</f>
        <v>#N/A</v>
      </c>
      <c r="H34" s="662" t="e">
        <f>'Project GREV'!H34-'Project OPEX'!H34</f>
        <v>#N/A</v>
      </c>
      <c r="I34" s="662" t="e">
        <f>'Project GREV'!I34-'Project OPEX'!I34</f>
        <v>#N/A</v>
      </c>
      <c r="J34" s="662" t="e">
        <f>'Project GREV'!J34-'Project OPEX'!J34</f>
        <v>#N/A</v>
      </c>
      <c r="K34" s="662" t="e">
        <f>'Project GREV'!K34-'Project OPEX'!K34</f>
        <v>#N/A</v>
      </c>
      <c r="L34" s="662" t="e">
        <f>'Project GREV'!L34-'Project OPEX'!L34</f>
        <v>#N/A</v>
      </c>
      <c r="M34" s="662" t="e">
        <f>'Project GREV'!M34-'Project OPEX'!M34</f>
        <v>#N/A</v>
      </c>
      <c r="N34" s="662" t="e">
        <f>'Project GREV'!N34-'Project OPEX'!N34</f>
        <v>#N/A</v>
      </c>
      <c r="O34" s="662" t="e">
        <f>'Project GREV'!O34-'Project OPEX'!O34</f>
        <v>#N/A</v>
      </c>
      <c r="P34" s="662" t="e">
        <f>'Project GREV'!P34-'Project OPEX'!P34</f>
        <v>#N/A</v>
      </c>
      <c r="Q34" s="662" t="e">
        <f>'Project GREV'!Q34-'Project OPEX'!Q34</f>
        <v>#N/A</v>
      </c>
      <c r="R34" s="662" t="e">
        <f>'Project GREV'!R34-'Project OPEX'!R34</f>
        <v>#N/A</v>
      </c>
      <c r="S34" s="662" t="e">
        <f>'Project GREV'!S34-'Project OPEX'!S34</f>
        <v>#N/A</v>
      </c>
      <c r="T34" s="662" t="e">
        <f>'Project GREV'!T34-'Project OPEX'!T34</f>
        <v>#N/A</v>
      </c>
    </row>
    <row r="35" spans="1:20">
      <c r="A35" s="655" t="str">
        <f>IF(ISBLANK('Project Master Sheet'!A35)=FALSE, 'Project Master Sheet'!A35, "")</f>
        <v/>
      </c>
      <c r="B35" s="655" t="str">
        <f>_xlfn.IFNA(_xlfn.XLOOKUP(A35, 'Project Master Sheet'!A:A, 'Project Master Sheet'!D:D), "")</f>
        <v/>
      </c>
      <c r="C35" s="655" t="e">
        <f>_xlfn.XLOOKUP('Project OPEX'!A35, 'Project Master Sheet'!A:A, 'Project Master Sheet'!I:I)</f>
        <v>#N/A</v>
      </c>
      <c r="E35" s="662" t="e">
        <f>'Project GREV'!E35-'Project OPEX'!E35</f>
        <v>#N/A</v>
      </c>
      <c r="F35" s="662" t="e">
        <f>'Project GREV'!F35-'Project OPEX'!F35</f>
        <v>#N/A</v>
      </c>
      <c r="G35" s="662" t="e">
        <f>'Project GREV'!G35-'Project OPEX'!G35</f>
        <v>#N/A</v>
      </c>
      <c r="H35" s="662" t="e">
        <f>'Project GREV'!H35-'Project OPEX'!H35</f>
        <v>#N/A</v>
      </c>
      <c r="I35" s="662" t="e">
        <f>'Project GREV'!I35-'Project OPEX'!I35</f>
        <v>#N/A</v>
      </c>
      <c r="J35" s="662" t="e">
        <f>'Project GREV'!J35-'Project OPEX'!J35</f>
        <v>#N/A</v>
      </c>
      <c r="K35" s="662" t="e">
        <f>'Project GREV'!K35-'Project OPEX'!K35</f>
        <v>#N/A</v>
      </c>
      <c r="L35" s="662" t="e">
        <f>'Project GREV'!L35-'Project OPEX'!L35</f>
        <v>#N/A</v>
      </c>
      <c r="M35" s="662" t="e">
        <f>'Project GREV'!M35-'Project OPEX'!M35</f>
        <v>#N/A</v>
      </c>
      <c r="N35" s="662" t="e">
        <f>'Project GREV'!N35-'Project OPEX'!N35</f>
        <v>#N/A</v>
      </c>
      <c r="O35" s="662" t="e">
        <f>'Project GREV'!O35-'Project OPEX'!O35</f>
        <v>#N/A</v>
      </c>
      <c r="P35" s="662" t="e">
        <f>'Project GREV'!P35-'Project OPEX'!P35</f>
        <v>#N/A</v>
      </c>
      <c r="Q35" s="662" t="e">
        <f>'Project GREV'!Q35-'Project OPEX'!Q35</f>
        <v>#N/A</v>
      </c>
      <c r="R35" s="662" t="e">
        <f>'Project GREV'!R35-'Project OPEX'!R35</f>
        <v>#N/A</v>
      </c>
      <c r="S35" s="662" t="e">
        <f>'Project GREV'!S35-'Project OPEX'!S35</f>
        <v>#N/A</v>
      </c>
      <c r="T35" s="662" t="e">
        <f>'Project GREV'!T35-'Project OPEX'!T35</f>
        <v>#N/A</v>
      </c>
    </row>
    <row r="36" spans="1:20">
      <c r="A36" s="655" t="str">
        <f>IF(ISBLANK('Project Master Sheet'!A36)=FALSE, 'Project Master Sheet'!A36, "")</f>
        <v/>
      </c>
      <c r="B36" s="655" t="str">
        <f>_xlfn.IFNA(_xlfn.XLOOKUP(A36, 'Project Master Sheet'!A:A, 'Project Master Sheet'!D:D), "")</f>
        <v/>
      </c>
      <c r="C36" s="655" t="e">
        <f>_xlfn.XLOOKUP('Project OPEX'!A36, 'Project Master Sheet'!A:A, 'Project Master Sheet'!I:I)</f>
        <v>#N/A</v>
      </c>
      <c r="E36" s="662" t="e">
        <f>'Project GREV'!E36-'Project OPEX'!E36</f>
        <v>#N/A</v>
      </c>
      <c r="F36" s="662" t="e">
        <f>'Project GREV'!F36-'Project OPEX'!F36</f>
        <v>#N/A</v>
      </c>
      <c r="G36" s="662" t="e">
        <f>'Project GREV'!G36-'Project OPEX'!G36</f>
        <v>#N/A</v>
      </c>
      <c r="H36" s="662" t="e">
        <f>'Project GREV'!H36-'Project OPEX'!H36</f>
        <v>#N/A</v>
      </c>
      <c r="I36" s="662" t="e">
        <f>'Project GREV'!I36-'Project OPEX'!I36</f>
        <v>#N/A</v>
      </c>
      <c r="J36" s="662" t="e">
        <f>'Project GREV'!J36-'Project OPEX'!J36</f>
        <v>#N/A</v>
      </c>
      <c r="K36" s="662" t="e">
        <f>'Project GREV'!K36-'Project OPEX'!K36</f>
        <v>#N/A</v>
      </c>
      <c r="L36" s="662" t="e">
        <f>'Project GREV'!L36-'Project OPEX'!L36</f>
        <v>#N/A</v>
      </c>
      <c r="M36" s="662" t="e">
        <f>'Project GREV'!M36-'Project OPEX'!M36</f>
        <v>#N/A</v>
      </c>
      <c r="N36" s="662" t="e">
        <f>'Project GREV'!N36-'Project OPEX'!N36</f>
        <v>#N/A</v>
      </c>
      <c r="O36" s="662" t="e">
        <f>'Project GREV'!O36-'Project OPEX'!O36</f>
        <v>#N/A</v>
      </c>
      <c r="P36" s="662" t="e">
        <f>'Project GREV'!P36-'Project OPEX'!P36</f>
        <v>#N/A</v>
      </c>
      <c r="Q36" s="662" t="e">
        <f>'Project GREV'!Q36-'Project OPEX'!Q36</f>
        <v>#N/A</v>
      </c>
      <c r="R36" s="662" t="e">
        <f>'Project GREV'!R36-'Project OPEX'!R36</f>
        <v>#N/A</v>
      </c>
      <c r="S36" s="662" t="e">
        <f>'Project GREV'!S36-'Project OPEX'!S36</f>
        <v>#N/A</v>
      </c>
      <c r="T36" s="662" t="e">
        <f>'Project GREV'!T36-'Project OPEX'!T36</f>
        <v>#N/A</v>
      </c>
    </row>
    <row r="37" spans="1:20">
      <c r="A37" s="655" t="str">
        <f>IF(ISBLANK('Project Master Sheet'!A37)=FALSE, 'Project Master Sheet'!A37, "")</f>
        <v/>
      </c>
      <c r="B37" s="655" t="str">
        <f>_xlfn.IFNA(_xlfn.XLOOKUP(A37, 'Project Master Sheet'!A:A, 'Project Master Sheet'!D:D), "")</f>
        <v/>
      </c>
      <c r="C37" s="655" t="e">
        <f>_xlfn.XLOOKUP('Project OPEX'!A37, 'Project Master Sheet'!A:A, 'Project Master Sheet'!I:I)</f>
        <v>#N/A</v>
      </c>
      <c r="E37" s="662" t="e">
        <f>'Project GREV'!E37-'Project OPEX'!E37</f>
        <v>#N/A</v>
      </c>
      <c r="F37" s="662" t="e">
        <f>'Project GREV'!F37-'Project OPEX'!F37</f>
        <v>#N/A</v>
      </c>
      <c r="G37" s="662" t="e">
        <f>'Project GREV'!G37-'Project OPEX'!G37</f>
        <v>#N/A</v>
      </c>
      <c r="H37" s="662" t="e">
        <f>'Project GREV'!H37-'Project OPEX'!H37</f>
        <v>#N/A</v>
      </c>
      <c r="I37" s="662" t="e">
        <f>'Project GREV'!I37-'Project OPEX'!I37</f>
        <v>#N/A</v>
      </c>
      <c r="J37" s="662" t="e">
        <f>'Project GREV'!J37-'Project OPEX'!J37</f>
        <v>#N/A</v>
      </c>
      <c r="K37" s="662" t="e">
        <f>'Project GREV'!K37-'Project OPEX'!K37</f>
        <v>#N/A</v>
      </c>
      <c r="L37" s="662" t="e">
        <f>'Project GREV'!L37-'Project OPEX'!L37</f>
        <v>#N/A</v>
      </c>
      <c r="M37" s="662" t="e">
        <f>'Project GREV'!M37-'Project OPEX'!M37</f>
        <v>#N/A</v>
      </c>
      <c r="N37" s="662" t="e">
        <f>'Project GREV'!N37-'Project OPEX'!N37</f>
        <v>#N/A</v>
      </c>
      <c r="O37" s="662" t="e">
        <f>'Project GREV'!O37-'Project OPEX'!O37</f>
        <v>#N/A</v>
      </c>
      <c r="P37" s="662" t="e">
        <f>'Project GREV'!P37-'Project OPEX'!P37</f>
        <v>#N/A</v>
      </c>
      <c r="Q37" s="662" t="e">
        <f>'Project GREV'!Q37-'Project OPEX'!Q37</f>
        <v>#N/A</v>
      </c>
      <c r="R37" s="662" t="e">
        <f>'Project GREV'!R37-'Project OPEX'!R37</f>
        <v>#N/A</v>
      </c>
      <c r="S37" s="662" t="e">
        <f>'Project GREV'!S37-'Project OPEX'!S37</f>
        <v>#N/A</v>
      </c>
      <c r="T37" s="662" t="e">
        <f>'Project GREV'!T37-'Project OPEX'!T37</f>
        <v>#N/A</v>
      </c>
    </row>
  </sheetData>
  <mergeCells count="1">
    <mergeCell ref="E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ACFD-FC8A-417C-B8BE-D81835DC5188}">
  <dimension ref="A1:T40"/>
  <sheetViews>
    <sheetView workbookViewId="0">
      <selection activeCell="A10" sqref="A10"/>
    </sheetView>
  </sheetViews>
  <sheetFormatPr baseColWidth="10" defaultColWidth="9.1640625" defaultRowHeight="15"/>
  <cols>
    <col min="1" max="1" width="30.1640625" style="655" customWidth="1"/>
    <col min="2" max="2" width="23" style="655" customWidth="1"/>
    <col min="3" max="3" width="18.1640625" style="655" customWidth="1"/>
    <col min="4" max="4" width="5.6640625" style="655" customWidth="1"/>
    <col min="5" max="20" width="12.6640625" style="655" customWidth="1"/>
    <col min="21" max="16384" width="9.1640625" style="655"/>
  </cols>
  <sheetData>
    <row r="1" spans="1:20" ht="27">
      <c r="A1" s="656" t="s">
        <v>40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</row>
    <row r="2" spans="1:20">
      <c r="A2" s="655" t="s">
        <v>52</v>
      </c>
      <c r="B2" s="655" t="s">
        <v>45</v>
      </c>
      <c r="C2" s="655" t="s">
        <v>53</v>
      </c>
      <c r="E2" s="655">
        <v>0</v>
      </c>
      <c r="F2" s="655">
        <f>E2+1</f>
        <v>1</v>
      </c>
      <c r="G2" s="655">
        <f t="shared" ref="G2:T2" si="0">F2+1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20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_xlfn.XLOOKUP('Project OPEX'!A3, 'Project Master Sheet'!A:A, 'Project Master Sheet'!I:I)</f>
        <v>1</v>
      </c>
      <c r="E3" s="743">
        <f>IF($B3='Project List References'!$B$3, _xlfn.IFNA(_xlfn.XLOOKUP(E$2-$C3, 'GEN-CCGT'!$D$7:$AW$7, 'GEN-CCGT'!$D$43:$AW$43), 0), IF($B3='Project List References'!$B$4, _xlfn.IFNA(_xlfn.XLOOKUP(E$2-$C3, 'GEN-SOLAR'!$D$7:$AW$7, 'GEN-SOLAR'!$D$43:$AW$43), 0), IF($B3='Project List References'!$B$5, _xlfn.IFNA(_xlfn.XLOOKUP(E$2-$C3, 'GEN-BESS'!$D$7:$AW$7, 'GEN-BESS'!$D$43:$AW$43), 0), IF($B3='Project List References'!$B$6, _xlfn.IFNA(_xlfn.XLOOKUP(E$2-$C3, 'GEN-CARBON'!$D$7:$AW$7, 'GEN-CARBON'!$D$43:$AW$43), 0), IF($B3='Project List References'!$B$7, _xlfn.IFNA(_xlfn.XLOOKUP(E$2-$C3, 'SENS Coal'!$D$7:$AW$7, 'SENS Coal'!$D$43:$AW$43), 0), IF($B3='Project List References'!$B$8, _xlfn.IFNA(_xlfn.XLOOKUP(E$2-$C3,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F3" s="743">
        <f>IF($B3='Project List References'!$B$3, _xlfn.IFNA(_xlfn.XLOOKUP(F$2-$C3, 'GEN-CCGT'!$D$7:$AW$7, 'GEN-CCGT'!$D$43:$AW$43), 0), IF($B3='Project List References'!$B$4, _xlfn.IFNA(_xlfn.XLOOKUP(F$2-$C3, 'GEN-SOLAR'!$D$7:$AW$7, 'GEN-SOLAR'!$D$43:$AW$43), 0), IF($B3='Project List References'!$B$5, _xlfn.IFNA(_xlfn.XLOOKUP(F$2-$C3, 'GEN-BESS'!$D$7:$AW$7, 'GEN-BESS'!$D$43:$AW$43), 0), IF($B3='Project List References'!$B$6, _xlfn.IFNA(_xlfn.XLOOKUP(F$2-$C3, 'GEN-CARBON'!$D$7:$AW$7, 'GEN-CARBON'!$D$43:$AW$43), 0), IF($B3='Project List References'!$B$7, _xlfn.IFNA(_xlfn.XLOOKUP(F$2-$C3, 'SENS Coal'!$D$7:$AW$7, 'SENS Coal'!$D$43:$AW$43), 0), IF($B3='Project List References'!$B$8, _xlfn.IFNA(_xlfn.XLOOKUP(F$2-$C3,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-330</v>
      </c>
      <c r="G3" s="743">
        <f>IF($B3='Project List References'!$B$3, _xlfn.IFNA(_xlfn.XLOOKUP(G$2-$C3, 'GEN-CCGT'!$D$7:$AW$7, 'GEN-CCGT'!$D$43:$AW$43), 0), IF($B3='Project List References'!$B$4, _xlfn.IFNA(_xlfn.XLOOKUP(G$2-$C3, 'GEN-SOLAR'!$D$7:$AW$7, 'GEN-SOLAR'!$D$43:$AW$43), 0), IF($B3='Project List References'!$B$5, _xlfn.IFNA(_xlfn.XLOOKUP(G$2-$C3, 'GEN-BESS'!$D$7:$AW$7, 'GEN-BESS'!$D$43:$AW$43), 0), IF($B3='Project List References'!$B$6, _xlfn.IFNA(_xlfn.XLOOKUP(G$2-$C3, 'GEN-CARBON'!$D$7:$AW$7, 'GEN-CARBON'!$D$43:$AW$43), 0), IF($B3='Project List References'!$B$7, _xlfn.IFNA(_xlfn.XLOOKUP(G$2-$C3, 'SENS Coal'!$D$7:$AW$7, 'SENS Coal'!$D$43:$AW$43), 0), IF($B3='Project List References'!$B$8, _xlfn.IFNA(_xlfn.XLOOKUP(G$2-$C3,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-360</v>
      </c>
      <c r="H3" s="743">
        <f>IF($B3='Project List References'!$B$3, _xlfn.IFNA(_xlfn.XLOOKUP(H$2-$C3, 'GEN-CCGT'!$D$7:$AW$7, 'GEN-CCGT'!$D$43:$AW$43), 0), IF($B3='Project List References'!$B$4, _xlfn.IFNA(_xlfn.XLOOKUP(H$2-$C3, 'GEN-SOLAR'!$D$7:$AW$7, 'GEN-SOLAR'!$D$43:$AW$43), 0), IF($B3='Project List References'!$B$5, _xlfn.IFNA(_xlfn.XLOOKUP(H$2-$C3, 'GEN-BESS'!$D$7:$AW$7, 'GEN-BESS'!$D$43:$AW$43), 0), IF($B3='Project List References'!$B$6, _xlfn.IFNA(_xlfn.XLOOKUP(H$2-$C3, 'GEN-CARBON'!$D$7:$AW$7, 'GEN-CARBON'!$D$43:$AW$43), 0), IF($B3='Project List References'!$B$7, _xlfn.IFNA(_xlfn.XLOOKUP(H$2-$C3, 'SENS Coal'!$D$7:$AW$7, 'SENS Coal'!$D$43:$AW$43), 0), IF($B3='Project List References'!$B$8, _xlfn.IFNA(_xlfn.XLOOKUP(H$2-$C3,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-360</v>
      </c>
      <c r="I3" s="743">
        <f>IF($B3='Project List References'!$B$3, _xlfn.IFNA(_xlfn.XLOOKUP(I$2-$C3, 'GEN-CCGT'!$D$7:$AW$7, 'GEN-CCGT'!$D$43:$AW$43), 0), IF($B3='Project List References'!$B$4, _xlfn.IFNA(_xlfn.XLOOKUP(I$2-$C3, 'GEN-SOLAR'!$D$7:$AW$7, 'GEN-SOLAR'!$D$43:$AW$43), 0), IF($B3='Project List References'!$B$5, _xlfn.IFNA(_xlfn.XLOOKUP(I$2-$C3, 'GEN-BESS'!$D$7:$AW$7, 'GEN-BESS'!$D$43:$AW$43), 0), IF($B3='Project List References'!$B$6, _xlfn.IFNA(_xlfn.XLOOKUP(I$2-$C3, 'GEN-CARBON'!$D$7:$AW$7, 'GEN-CARBON'!$D$43:$AW$43), 0), IF($B3='Project List References'!$B$7, _xlfn.IFNA(_xlfn.XLOOKUP(I$2-$C3, 'SENS Coal'!$D$7:$AW$7, 'SENS Coal'!$D$43:$AW$43), 0), IF($B3='Project List References'!$B$8, _xlfn.IFNA(_xlfn.XLOOKUP(I$2-$C3,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-360</v>
      </c>
      <c r="J3" s="743">
        <f>IF($B3='Project List References'!$B$3, _xlfn.IFNA(_xlfn.XLOOKUP(J$2-$C3, 'GEN-CCGT'!$D$7:$AW$7, 'GEN-CCGT'!$D$43:$AW$43), 0), IF($B3='Project List References'!$B$4, _xlfn.IFNA(_xlfn.XLOOKUP(J$2-$C3, 'GEN-SOLAR'!$D$7:$AW$7, 'GEN-SOLAR'!$D$43:$AW$43), 0), IF($B3='Project List References'!$B$5, _xlfn.IFNA(_xlfn.XLOOKUP(J$2-$C3, 'GEN-BESS'!$D$7:$AW$7, 'GEN-BESS'!$D$43:$AW$43), 0), IF($B3='Project List References'!$B$6, _xlfn.IFNA(_xlfn.XLOOKUP(J$2-$C3, 'GEN-CARBON'!$D$7:$AW$7, 'GEN-CARBON'!$D$43:$AW$43), 0), IF($B3='Project List References'!$B$7, _xlfn.IFNA(_xlfn.XLOOKUP(J$2-$C3, 'SENS Coal'!$D$7:$AW$7, 'SENS Coal'!$D$43:$AW$43), 0), IF($B3='Project List References'!$B$8, _xlfn.IFNA(_xlfn.XLOOKUP(J$2-$C3,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61.587280885924343</v>
      </c>
      <c r="K3" s="743">
        <f>IF($B3='Project List References'!$B$3, _xlfn.IFNA(_xlfn.XLOOKUP(K$2-$C3, 'GEN-CCGT'!$D$7:$AW$7, 'GEN-CCGT'!$D$43:$AW$43), 0), IF($B3='Project List References'!$B$4, _xlfn.IFNA(_xlfn.XLOOKUP(K$2-$C3, 'GEN-SOLAR'!$D$7:$AW$7, 'GEN-SOLAR'!$D$43:$AW$43), 0), IF($B3='Project List References'!$B$5, _xlfn.IFNA(_xlfn.XLOOKUP(K$2-$C3, 'GEN-BESS'!$D$7:$AW$7, 'GEN-BESS'!$D$43:$AW$43), 0), IF($B3='Project List References'!$B$6, _xlfn.IFNA(_xlfn.XLOOKUP(K$2-$C3, 'GEN-CARBON'!$D$7:$AW$7, 'GEN-CARBON'!$D$43:$AW$43), 0), IF($B3='Project List References'!$B$7, _xlfn.IFNA(_xlfn.XLOOKUP(K$2-$C3, 'SENS Coal'!$D$7:$AW$7, 'SENS Coal'!$D$43:$AW$43), 0), IF($B3='Project List References'!$B$8, _xlfn.IFNA(_xlfn.XLOOKUP(K$2-$C3,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166.78794176064469</v>
      </c>
      <c r="L3" s="743">
        <f>IF($B3='Project List References'!$B$3, _xlfn.IFNA(_xlfn.XLOOKUP(L$2-$C3, 'GEN-CCGT'!$D$7:$AW$7, 'GEN-CCGT'!$D$43:$AW$43), 0), IF($B3='Project List References'!$B$4, _xlfn.IFNA(_xlfn.XLOOKUP(L$2-$C3, 'GEN-SOLAR'!$D$7:$AW$7, 'GEN-SOLAR'!$D$43:$AW$43), 0), IF($B3='Project List References'!$B$5, _xlfn.IFNA(_xlfn.XLOOKUP(L$2-$C3, 'GEN-BESS'!$D$7:$AW$7, 'GEN-BESS'!$D$43:$AW$43), 0), IF($B3='Project List References'!$B$6, _xlfn.IFNA(_xlfn.XLOOKUP(L$2-$C3, 'GEN-CARBON'!$D$7:$AW$7, 'GEN-CARBON'!$D$43:$AW$43), 0), IF($B3='Project List References'!$B$7, _xlfn.IFNA(_xlfn.XLOOKUP(L$2-$C3, 'SENS Coal'!$D$7:$AW$7, 'SENS Coal'!$D$43:$AW$43), 0), IF($B3='Project List References'!$B$8, _xlfn.IFNA(_xlfn.XLOOKUP(L$2-$C3,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169.02780945626503</v>
      </c>
      <c r="M3" s="743">
        <f>IF($B3='Project List References'!$B$3, _xlfn.IFNA(_xlfn.XLOOKUP(M$2-$C3, 'GEN-CCGT'!$D$7:$AW$7, 'GEN-CCGT'!$D$43:$AW$43), 0), IF($B3='Project List References'!$B$4, _xlfn.IFNA(_xlfn.XLOOKUP(M$2-$C3, 'GEN-SOLAR'!$D$7:$AW$7, 'GEN-SOLAR'!$D$43:$AW$43), 0), IF($B3='Project List References'!$B$5, _xlfn.IFNA(_xlfn.XLOOKUP(M$2-$C3, 'GEN-BESS'!$D$7:$AW$7, 'GEN-BESS'!$D$43:$AW$43), 0), IF($B3='Project List References'!$B$6, _xlfn.IFNA(_xlfn.XLOOKUP(M$2-$C3, 'GEN-CARBON'!$D$7:$AW$7, 'GEN-CARBON'!$D$43:$AW$43), 0), IF($B3='Project List References'!$B$7, _xlfn.IFNA(_xlfn.XLOOKUP(M$2-$C3, 'SENS Coal'!$D$7:$AW$7, 'SENS Coal'!$D$43:$AW$43), 0), IF($B3='Project List References'!$B$8, _xlfn.IFNA(_xlfn.XLOOKUP(M$2-$C3,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171.29859096209415</v>
      </c>
      <c r="N3" s="743">
        <f>IF($B3='Project List References'!$B$3, _xlfn.IFNA(_xlfn.XLOOKUP(N$2-$C3, 'GEN-CCGT'!$D$7:$AW$7, 'GEN-CCGT'!$D$43:$AW$43), 0), IF($B3='Project List References'!$B$4, _xlfn.IFNA(_xlfn.XLOOKUP(N$2-$C3, 'GEN-SOLAR'!$D$7:$AW$7, 'GEN-SOLAR'!$D$43:$AW$43), 0), IF($B3='Project List References'!$B$5, _xlfn.IFNA(_xlfn.XLOOKUP(N$2-$C3, 'GEN-BESS'!$D$7:$AW$7, 'GEN-BESS'!$D$43:$AW$43), 0), IF($B3='Project List References'!$B$6, _xlfn.IFNA(_xlfn.XLOOKUP(N$2-$C3, 'GEN-CARBON'!$D$7:$AW$7, 'GEN-CARBON'!$D$43:$AW$43), 0), IF($B3='Project List References'!$B$7, _xlfn.IFNA(_xlfn.XLOOKUP(N$2-$C3, 'SENS Coal'!$D$7:$AW$7, 'SENS Coal'!$D$43:$AW$43), 0), IF($B3='Project List References'!$B$8, _xlfn.IFNA(_xlfn.XLOOKUP(N$2-$C3,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173.600622318549</v>
      </c>
      <c r="O3" s="743">
        <f>IF($B3='Project List References'!$B$3, _xlfn.IFNA(_xlfn.XLOOKUP(O$2-$C3, 'GEN-CCGT'!$D$7:$AW$7, 'GEN-CCGT'!$D$43:$AW$43), 0), IF($B3='Project List References'!$B$4, _xlfn.IFNA(_xlfn.XLOOKUP(O$2-$C3, 'GEN-SOLAR'!$D$7:$AW$7, 'GEN-SOLAR'!$D$43:$AW$43), 0), IF($B3='Project List References'!$B$5, _xlfn.IFNA(_xlfn.XLOOKUP(O$2-$C3, 'GEN-BESS'!$D$7:$AW$7, 'GEN-BESS'!$D$43:$AW$43), 0), IF($B3='Project List References'!$B$6, _xlfn.IFNA(_xlfn.XLOOKUP(O$2-$C3, 'GEN-CARBON'!$D$7:$AW$7, 'GEN-CARBON'!$D$43:$AW$43), 0), IF($B3='Project List References'!$B$7, _xlfn.IFNA(_xlfn.XLOOKUP(O$2-$C3, 'SENS Coal'!$D$7:$AW$7, 'SENS Coal'!$D$43:$AW$43), 0), IF($B3='Project List References'!$B$8, _xlfn.IFNA(_xlfn.XLOOKUP(O$2-$C3,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175.9342392234073</v>
      </c>
      <c r="P3" s="743">
        <f>IF($B3='Project List References'!$B$3, _xlfn.IFNA(_xlfn.XLOOKUP(P$2-$C3, 'GEN-CCGT'!$D$7:$AW$7, 'GEN-CCGT'!$D$43:$AW$43), 0), IF($B3='Project List References'!$B$4, _xlfn.IFNA(_xlfn.XLOOKUP(P$2-$C3, 'GEN-SOLAR'!$D$7:$AW$7, 'GEN-SOLAR'!$D$43:$AW$43), 0), IF($B3='Project List References'!$B$5, _xlfn.IFNA(_xlfn.XLOOKUP(P$2-$C3, 'GEN-BESS'!$D$7:$AW$7, 'GEN-BESS'!$D$43:$AW$43), 0), IF($B3='Project List References'!$B$6, _xlfn.IFNA(_xlfn.XLOOKUP(P$2-$C3, 'GEN-CARBON'!$D$7:$AW$7, 'GEN-CARBON'!$D$43:$AW$43), 0), IF($B3='Project List References'!$B$7, _xlfn.IFNA(_xlfn.XLOOKUP(P$2-$C3, 'SENS Coal'!$D$7:$AW$7, 'SENS Coal'!$D$43:$AW$43), 0), IF($B3='Project List References'!$B$8, _xlfn.IFNA(_xlfn.XLOOKUP(P$2-$C3,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178.29977683989352</v>
      </c>
      <c r="Q3" s="743">
        <f>IF($B3='Project List References'!$B$3, _xlfn.IFNA(_xlfn.XLOOKUP(Q$2-$C3, 'GEN-CCGT'!$D$7:$AW$7, 'GEN-CCGT'!$D$43:$AW$43), 0), IF($B3='Project List References'!$B$4, _xlfn.IFNA(_xlfn.XLOOKUP(Q$2-$C3, 'GEN-SOLAR'!$D$7:$AW$7, 'GEN-SOLAR'!$D$43:$AW$43), 0), IF($B3='Project List References'!$B$5, _xlfn.IFNA(_xlfn.XLOOKUP(Q$2-$C3, 'GEN-BESS'!$D$7:$AW$7, 'GEN-BESS'!$D$43:$AW$43), 0), IF($B3='Project List References'!$B$6, _xlfn.IFNA(_xlfn.XLOOKUP(Q$2-$C3, 'GEN-CARBON'!$D$7:$AW$7, 'GEN-CARBON'!$D$43:$AW$43), 0), IF($B3='Project List References'!$B$7, _xlfn.IFNA(_xlfn.XLOOKUP(Q$2-$C3, 'SENS Coal'!$D$7:$AW$7, 'SENS Coal'!$D$43:$AW$43), 0), IF($B3='Project List References'!$B$8, _xlfn.IFNA(_xlfn.XLOOKUP(Q$2-$C3,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180.69756959583643</v>
      </c>
      <c r="R3" s="743">
        <f>IF($B3='Project List References'!$B$3, _xlfn.IFNA(_xlfn.XLOOKUP(R$2-$C3, 'GEN-CCGT'!$D$7:$AW$7, 'GEN-CCGT'!$D$43:$AW$43), 0), IF($B3='Project List References'!$B$4, _xlfn.IFNA(_xlfn.XLOOKUP(R$2-$C3, 'GEN-SOLAR'!$D$7:$AW$7, 'GEN-SOLAR'!$D$43:$AW$43), 0), IF($B3='Project List References'!$B$5, _xlfn.IFNA(_xlfn.XLOOKUP(R$2-$C3, 'GEN-BESS'!$D$7:$AW$7, 'GEN-BESS'!$D$43:$AW$43), 0), IF($B3='Project List References'!$B$6, _xlfn.IFNA(_xlfn.XLOOKUP(R$2-$C3, 'GEN-CARBON'!$D$7:$AW$7, 'GEN-CARBON'!$D$43:$AW$43), 0), IF($B3='Project List References'!$B$7, _xlfn.IFNA(_xlfn.XLOOKUP(R$2-$C3, 'SENS Coal'!$D$7:$AW$7, 'SENS Coal'!$D$43:$AW$43), 0), IF($B3='Project List References'!$B$8, _xlfn.IFNA(_xlfn.XLOOKUP(R$2-$C3,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183.12795097357665</v>
      </c>
      <c r="S3" s="743">
        <f>IF($B3='Project List References'!$B$3, _xlfn.IFNA(_xlfn.XLOOKUP(S$2-$C3, 'GEN-CCGT'!$D$7:$AW$7, 'GEN-CCGT'!$D$43:$AW$43), 0), IF($B3='Project List References'!$B$4, _xlfn.IFNA(_xlfn.XLOOKUP(S$2-$C3, 'GEN-SOLAR'!$D$7:$AW$7, 'GEN-SOLAR'!$D$43:$AW$43), 0), IF($B3='Project List References'!$B$5, _xlfn.IFNA(_xlfn.XLOOKUP(S$2-$C3, 'GEN-BESS'!$D$7:$AW$7, 'GEN-BESS'!$D$43:$AW$43), 0), IF($B3='Project List References'!$B$6, _xlfn.IFNA(_xlfn.XLOOKUP(S$2-$C3, 'GEN-CARBON'!$D$7:$AW$7, 'GEN-CARBON'!$D$43:$AW$43), 0), IF($B3='Project List References'!$B$7, _xlfn.IFNA(_xlfn.XLOOKUP(S$2-$C3, 'SENS Coal'!$D$7:$AW$7, 'SENS Coal'!$D$43:$AW$43), 0), IF($B3='Project List References'!$B$8, _xlfn.IFNA(_xlfn.XLOOKUP(S$2-$C3,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185.59125329028888</v>
      </c>
      <c r="T3" s="743">
        <f>IF($B3='Project List References'!$B$3, _xlfn.IFNA(_xlfn.XLOOKUP(T$2-$C3, 'GEN-CCGT'!$D$7:$AW$7, 'GEN-CCGT'!$D$43:$AW$43), 0), IF($B3='Project List References'!$B$4, _xlfn.IFNA(_xlfn.XLOOKUP(T$2-$C3, 'GEN-SOLAR'!$D$7:$AW$7, 'GEN-SOLAR'!$D$43:$AW$43), 0), IF($B3='Project List References'!$B$5, _xlfn.IFNA(_xlfn.XLOOKUP(T$2-$C3, 'GEN-BESS'!$D$7:$AW$7, 'GEN-BESS'!$D$43:$AW$43), 0), IF($B3='Project List References'!$B$6, _xlfn.IFNA(_xlfn.XLOOKUP(T$2-$C3, 'GEN-CARBON'!$D$7:$AW$7, 'GEN-CARBON'!$D$43:$AW$43), 0), IF($B3='Project List References'!$B$7, _xlfn.IFNA(_xlfn.XLOOKUP(T$2-$C3, 'SENS Coal'!$D$7:$AW$7, 'SENS Coal'!$D$43:$AW$43), 0), IF($B3='Project List References'!$B$8, _xlfn.IFNA(_xlfn.XLOOKUP(T$2-$C3, 'SENS Tires'!$D$7:$AW$7, 'SENS Tires'!$D$43:$AW$43),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188.08780746837542</v>
      </c>
    </row>
    <row r="4" spans="1:20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_xlfn.XLOOKUP('Project OPEX'!A4, 'Project Master Sheet'!A:A, 'Project Master Sheet'!I:I)</f>
        <v>1</v>
      </c>
      <c r="E4" s="743">
        <f>IF($B4='Project List References'!$B$3, _xlfn.IFNA(_xlfn.XLOOKUP(E$2-$C4, 'GEN-CCGT'!$D$7:$AW$7, 'GEN-CCGT'!$D$43:$AW$43), 0), IF($B4='Project List References'!$B$4, _xlfn.IFNA(_xlfn.XLOOKUP(E$2-$C4, 'GEN-SOLAR'!$D$7:$AW$7, 'GEN-SOLAR'!$D$43:$AW$43), 0), IF($B4='Project List References'!$B$5, _xlfn.IFNA(_xlfn.XLOOKUP(E$2-$C4, 'GEN-BESS'!$D$7:$AW$7, 'GEN-BESS'!$D$43:$AW$43), 0), IF($B4='Project List References'!$B$6, _xlfn.IFNA(_xlfn.XLOOKUP(E$2-$C4, 'GEN-CARBON'!$D$7:$AW$7, 'GEN-CARBON'!$D$43:$AW$43), 0), IF($B4='Project List References'!$B$7, _xlfn.IFNA(_xlfn.XLOOKUP(E$2-$C4, 'SENS Coal'!$D$7:$AW$7, 'SENS Coal'!$D$43:$AW$43), 0), IF($B4='Project List References'!$B$8, _xlfn.IFNA(_xlfn.XLOOKUP(E$2-$C4,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F4" s="743">
        <f>IF($B4='Project List References'!$B$3, _xlfn.IFNA(_xlfn.XLOOKUP(F$2-$C4, 'GEN-CCGT'!$D$7:$AW$7, 'GEN-CCGT'!$D$43:$AW$43), 0), IF($B4='Project List References'!$B$4, _xlfn.IFNA(_xlfn.XLOOKUP(F$2-$C4, 'GEN-SOLAR'!$D$7:$AW$7, 'GEN-SOLAR'!$D$43:$AW$43), 0), IF($B4='Project List References'!$B$5, _xlfn.IFNA(_xlfn.XLOOKUP(F$2-$C4, 'GEN-BESS'!$D$7:$AW$7, 'GEN-BESS'!$D$43:$AW$43), 0), IF($B4='Project List References'!$B$6, _xlfn.IFNA(_xlfn.XLOOKUP(F$2-$C4, 'GEN-CARBON'!$D$7:$AW$7, 'GEN-CARBON'!$D$43:$AW$43), 0), IF($B4='Project List References'!$B$7, _xlfn.IFNA(_xlfn.XLOOKUP(F$2-$C4, 'SENS Coal'!$D$7:$AW$7, 'SENS Coal'!$D$43:$AW$43), 0), IF($B4='Project List References'!$B$8, _xlfn.IFNA(_xlfn.XLOOKUP(F$2-$C4,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-52.708333333333321</v>
      </c>
      <c r="G4" s="743">
        <f>IF($B4='Project List References'!$B$3, _xlfn.IFNA(_xlfn.XLOOKUP(G$2-$C4, 'GEN-CCGT'!$D$7:$AW$7, 'GEN-CCGT'!$D$43:$AW$43), 0), IF($B4='Project List References'!$B$4, _xlfn.IFNA(_xlfn.XLOOKUP(G$2-$C4, 'GEN-SOLAR'!$D$7:$AW$7, 'GEN-SOLAR'!$D$43:$AW$43), 0), IF($B4='Project List References'!$B$5, _xlfn.IFNA(_xlfn.XLOOKUP(G$2-$C4, 'GEN-BESS'!$D$7:$AW$7, 'GEN-BESS'!$D$43:$AW$43), 0), IF($B4='Project List References'!$B$6, _xlfn.IFNA(_xlfn.XLOOKUP(G$2-$C4, 'GEN-CARBON'!$D$7:$AW$7, 'GEN-CARBON'!$D$43:$AW$43), 0), IF($B4='Project List References'!$B$7, _xlfn.IFNA(_xlfn.XLOOKUP(G$2-$C4, 'SENS Coal'!$D$7:$AW$7, 'SENS Coal'!$D$43:$AW$43), 0), IF($B4='Project List References'!$B$8, _xlfn.IFNA(_xlfn.XLOOKUP(G$2-$C4,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-2.9696061066666659</v>
      </c>
      <c r="H4" s="743">
        <f>IF($B4='Project List References'!$B$3, _xlfn.IFNA(_xlfn.XLOOKUP(H$2-$C4, 'GEN-CCGT'!$D$7:$AW$7, 'GEN-CCGT'!$D$43:$AW$43), 0), IF($B4='Project List References'!$B$4, _xlfn.IFNA(_xlfn.XLOOKUP(H$2-$C4, 'GEN-SOLAR'!$D$7:$AW$7, 'GEN-SOLAR'!$D$43:$AW$43), 0), IF($B4='Project List References'!$B$5, _xlfn.IFNA(_xlfn.XLOOKUP(H$2-$C4, 'GEN-BESS'!$D$7:$AW$7, 'GEN-BESS'!$D$43:$AW$43), 0), IF($B4='Project List References'!$B$6, _xlfn.IFNA(_xlfn.XLOOKUP(H$2-$C4, 'GEN-CARBON'!$D$7:$AW$7, 'GEN-CARBON'!$D$43:$AW$43), 0), IF($B4='Project List References'!$B$7, _xlfn.IFNA(_xlfn.XLOOKUP(H$2-$C4, 'SENS Coal'!$D$7:$AW$7, 'SENS Coal'!$D$43:$AW$43), 0), IF($B4='Project List References'!$B$8, _xlfn.IFNA(_xlfn.XLOOKUP(H$2-$C4,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4.4443360319999998</v>
      </c>
      <c r="I4" s="743">
        <f>IF($B4='Project List References'!$B$3, _xlfn.IFNA(_xlfn.XLOOKUP(I$2-$C4, 'GEN-CCGT'!$D$7:$AW$7, 'GEN-CCGT'!$D$43:$AW$43), 0), IF($B4='Project List References'!$B$4, _xlfn.IFNA(_xlfn.XLOOKUP(I$2-$C4, 'GEN-SOLAR'!$D$7:$AW$7, 'GEN-SOLAR'!$D$43:$AW$43), 0), IF($B4='Project List References'!$B$5, _xlfn.IFNA(_xlfn.XLOOKUP(I$2-$C4, 'GEN-BESS'!$D$7:$AW$7, 'GEN-BESS'!$D$43:$AW$43), 0), IF($B4='Project List References'!$B$6, _xlfn.IFNA(_xlfn.XLOOKUP(I$2-$C4, 'GEN-CARBON'!$D$7:$AW$7, 'GEN-CARBON'!$D$43:$AW$43), 0), IF($B4='Project List References'!$B$7, _xlfn.IFNA(_xlfn.XLOOKUP(I$2-$C4, 'SENS Coal'!$D$7:$AW$7, 'SENS Coal'!$D$43:$AW$43), 0), IF($B4='Project List References'!$B$8, _xlfn.IFNA(_xlfn.XLOOKUP(I$2-$C4,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4.4875410326399994</v>
      </c>
      <c r="J4" s="743">
        <f>IF($B4='Project List References'!$B$3, _xlfn.IFNA(_xlfn.XLOOKUP(J$2-$C4, 'GEN-CCGT'!$D$7:$AW$7, 'GEN-CCGT'!$D$43:$AW$43), 0), IF($B4='Project List References'!$B$4, _xlfn.IFNA(_xlfn.XLOOKUP(J$2-$C4, 'GEN-SOLAR'!$D$7:$AW$7, 'GEN-SOLAR'!$D$43:$AW$43), 0), IF($B4='Project List References'!$B$5, _xlfn.IFNA(_xlfn.XLOOKUP(J$2-$C4, 'GEN-BESS'!$D$7:$AW$7, 'GEN-BESS'!$D$43:$AW$43), 0), IF($B4='Project List References'!$B$6, _xlfn.IFNA(_xlfn.XLOOKUP(J$2-$C4, 'GEN-CARBON'!$D$7:$AW$7, 'GEN-CARBON'!$D$43:$AW$43), 0), IF($B4='Project List References'!$B$7, _xlfn.IFNA(_xlfn.XLOOKUP(J$2-$C4, 'SENS Coal'!$D$7:$AW$7, 'SENS Coal'!$D$43:$AW$43), 0), IF($B4='Project List References'!$B$8, _xlfn.IFNA(_xlfn.XLOOKUP(J$2-$C4,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4.5315506816927993</v>
      </c>
      <c r="K4" s="743">
        <f>IF($B4='Project List References'!$B$3, _xlfn.IFNA(_xlfn.XLOOKUP(K$2-$C4, 'GEN-CCGT'!$D$7:$AW$7, 'GEN-CCGT'!$D$43:$AW$43), 0), IF($B4='Project List References'!$B$4, _xlfn.IFNA(_xlfn.XLOOKUP(K$2-$C4, 'GEN-SOLAR'!$D$7:$AW$7, 'GEN-SOLAR'!$D$43:$AW$43), 0), IF($B4='Project List References'!$B$5, _xlfn.IFNA(_xlfn.XLOOKUP(K$2-$C4, 'GEN-BESS'!$D$7:$AW$7, 'GEN-BESS'!$D$43:$AW$43), 0), IF($B4='Project List References'!$B$6, _xlfn.IFNA(_xlfn.XLOOKUP(K$2-$C4, 'GEN-CARBON'!$D$7:$AW$7, 'GEN-CARBON'!$D$43:$AW$43), 0), IF($B4='Project List References'!$B$7, _xlfn.IFNA(_xlfn.XLOOKUP(K$2-$C4, 'SENS Coal'!$D$7:$AW$7, 'SENS Coal'!$D$43:$AW$43), 0), IF($B4='Project List References'!$B$8, _xlfn.IFNA(_xlfn.XLOOKUP(K$2-$C4,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4.5763792885786563</v>
      </c>
      <c r="L4" s="743">
        <f>IF($B4='Project List References'!$B$3, _xlfn.IFNA(_xlfn.XLOOKUP(L$2-$C4, 'GEN-CCGT'!$D$7:$AW$7, 'GEN-CCGT'!$D$43:$AW$43), 0), IF($B4='Project List References'!$B$4, _xlfn.IFNA(_xlfn.XLOOKUP(L$2-$C4, 'GEN-SOLAR'!$D$7:$AW$7, 'GEN-SOLAR'!$D$43:$AW$43), 0), IF($B4='Project List References'!$B$5, _xlfn.IFNA(_xlfn.XLOOKUP(L$2-$C4, 'GEN-BESS'!$D$7:$AW$7, 'GEN-BESS'!$D$43:$AW$43), 0), IF($B4='Project List References'!$B$6, _xlfn.IFNA(_xlfn.XLOOKUP(L$2-$C4, 'GEN-CARBON'!$D$7:$AW$7, 'GEN-CARBON'!$D$43:$AW$43), 0), IF($B4='Project List References'!$B$7, _xlfn.IFNA(_xlfn.XLOOKUP(L$2-$C4, 'SENS Coal'!$D$7:$AW$7, 'SENS Coal'!$D$43:$AW$43), 0), IF($B4='Project List References'!$B$8, _xlfn.IFNA(_xlfn.XLOOKUP(L$2-$C4,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4.6220413953997888</v>
      </c>
      <c r="M4" s="743">
        <f>IF($B4='Project List References'!$B$3, _xlfn.IFNA(_xlfn.XLOOKUP(M$2-$C4, 'GEN-CCGT'!$D$7:$AW$7, 'GEN-CCGT'!$D$43:$AW$43), 0), IF($B4='Project List References'!$B$4, _xlfn.IFNA(_xlfn.XLOOKUP(M$2-$C4, 'GEN-SOLAR'!$D$7:$AW$7, 'GEN-SOLAR'!$D$43:$AW$43), 0), IF($B4='Project List References'!$B$5, _xlfn.IFNA(_xlfn.XLOOKUP(M$2-$C4, 'GEN-BESS'!$D$7:$AW$7, 'GEN-BESS'!$D$43:$AW$43), 0), IF($B4='Project List References'!$B$6, _xlfn.IFNA(_xlfn.XLOOKUP(M$2-$C4, 'GEN-CARBON'!$D$7:$AW$7, 'GEN-CARBON'!$D$43:$AW$43), 0), IF($B4='Project List References'!$B$7, _xlfn.IFNA(_xlfn.XLOOKUP(M$2-$C4, 'SENS Coal'!$D$7:$AW$7, 'SENS Coal'!$D$43:$AW$43), 0), IF($B4='Project List References'!$B$8, _xlfn.IFNA(_xlfn.XLOOKUP(M$2-$C4,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4.6685517799888308</v>
      </c>
      <c r="N4" s="743">
        <f>IF($B4='Project List References'!$B$3, _xlfn.IFNA(_xlfn.XLOOKUP(N$2-$C4, 'GEN-CCGT'!$D$7:$AW$7, 'GEN-CCGT'!$D$43:$AW$43), 0), IF($B4='Project List References'!$B$4, _xlfn.IFNA(_xlfn.XLOOKUP(N$2-$C4, 'GEN-SOLAR'!$D$7:$AW$7, 'GEN-SOLAR'!$D$43:$AW$43), 0), IF($B4='Project List References'!$B$5, _xlfn.IFNA(_xlfn.XLOOKUP(N$2-$C4, 'GEN-BESS'!$D$7:$AW$7, 'GEN-BESS'!$D$43:$AW$43), 0), IF($B4='Project List References'!$B$6, _xlfn.IFNA(_xlfn.XLOOKUP(N$2-$C4, 'GEN-CARBON'!$D$7:$AW$7, 'GEN-CARBON'!$D$43:$AW$43), 0), IF($B4='Project List References'!$B$7, _xlfn.IFNA(_xlfn.XLOOKUP(N$2-$C4, 'SENS Coal'!$D$7:$AW$7, 'SENS Coal'!$D$43:$AW$43), 0), IF($B4='Project List References'!$B$8, _xlfn.IFNA(_xlfn.XLOOKUP(N$2-$C4,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4.7159254589700863</v>
      </c>
      <c r="O4" s="743">
        <f>IF($B4='Project List References'!$B$3, _xlfn.IFNA(_xlfn.XLOOKUP(O$2-$C4, 'GEN-CCGT'!$D$7:$AW$7, 'GEN-CCGT'!$D$43:$AW$43), 0), IF($B4='Project List References'!$B$4, _xlfn.IFNA(_xlfn.XLOOKUP(O$2-$C4, 'GEN-SOLAR'!$D$7:$AW$7, 'GEN-SOLAR'!$D$43:$AW$43), 0), IF($B4='Project List References'!$B$5, _xlfn.IFNA(_xlfn.XLOOKUP(O$2-$C4, 'GEN-BESS'!$D$7:$AW$7, 'GEN-BESS'!$D$43:$AW$43), 0), IF($B4='Project List References'!$B$6, _xlfn.IFNA(_xlfn.XLOOKUP(O$2-$C4, 'GEN-CARBON'!$D$7:$AW$7, 'GEN-CARBON'!$D$43:$AW$43), 0), IF($B4='Project List References'!$B$7, _xlfn.IFNA(_xlfn.XLOOKUP(O$2-$C4, 'SENS Coal'!$D$7:$AW$7, 'SENS Coal'!$D$43:$AW$43), 0), IF($B4='Project List References'!$B$8, _xlfn.IFNA(_xlfn.XLOOKUP(O$2-$C4,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4.7641776908324101</v>
      </c>
      <c r="P4" s="743">
        <f>IF($B4='Project List References'!$B$3, _xlfn.IFNA(_xlfn.XLOOKUP(P$2-$C4, 'GEN-CCGT'!$D$7:$AW$7, 'GEN-CCGT'!$D$43:$AW$43), 0), IF($B4='Project List References'!$B$4, _xlfn.IFNA(_xlfn.XLOOKUP(P$2-$C4, 'GEN-SOLAR'!$D$7:$AW$7, 'GEN-SOLAR'!$D$43:$AW$43), 0), IF($B4='Project List References'!$B$5, _xlfn.IFNA(_xlfn.XLOOKUP(P$2-$C4, 'GEN-BESS'!$D$7:$AW$7, 'GEN-BESS'!$D$43:$AW$43), 0), IF($B4='Project List References'!$B$6, _xlfn.IFNA(_xlfn.XLOOKUP(P$2-$C4, 'GEN-CARBON'!$D$7:$AW$7, 'GEN-CARBON'!$D$43:$AW$43), 0), IF($B4='Project List References'!$B$7, _xlfn.IFNA(_xlfn.XLOOKUP(P$2-$C4, 'SENS Coal'!$D$7:$AW$7, 'SENS Coal'!$D$43:$AW$43), 0), IF($B4='Project List References'!$B$8, _xlfn.IFNA(_xlfn.XLOOKUP(P$2-$C4,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4.813323979012468</v>
      </c>
      <c r="Q4" s="743">
        <f>IF($B4='Project List References'!$B$3, _xlfn.IFNA(_xlfn.XLOOKUP(Q$2-$C4, 'GEN-CCGT'!$D$7:$AW$7, 'GEN-CCGT'!$D$43:$AW$43), 0), IF($B4='Project List References'!$B$4, _xlfn.IFNA(_xlfn.XLOOKUP(Q$2-$C4, 'GEN-SOLAR'!$D$7:$AW$7, 'GEN-SOLAR'!$D$43:$AW$43), 0), IF($B4='Project List References'!$B$5, _xlfn.IFNA(_xlfn.XLOOKUP(Q$2-$C4, 'GEN-BESS'!$D$7:$AW$7, 'GEN-BESS'!$D$43:$AW$43), 0), IF($B4='Project List References'!$B$6, _xlfn.IFNA(_xlfn.XLOOKUP(Q$2-$C4, 'GEN-CARBON'!$D$7:$AW$7, 'GEN-CARBON'!$D$43:$AW$43), 0), IF($B4='Project List References'!$B$7, _xlfn.IFNA(_xlfn.XLOOKUP(Q$2-$C4, 'SENS Coal'!$D$7:$AW$7, 'SENS Coal'!$D$43:$AW$43), 0), IF($B4='Project List References'!$B$8, _xlfn.IFNA(_xlfn.XLOOKUP(Q$2-$C4,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4.8633800749870302</v>
      </c>
      <c r="R4" s="743">
        <f>IF($B4='Project List References'!$B$3, _xlfn.IFNA(_xlfn.XLOOKUP(R$2-$C4, 'GEN-CCGT'!$D$7:$AW$7, 'GEN-CCGT'!$D$43:$AW$43), 0), IF($B4='Project List References'!$B$4, _xlfn.IFNA(_xlfn.XLOOKUP(R$2-$C4, 'GEN-SOLAR'!$D$7:$AW$7, 'GEN-SOLAR'!$D$43:$AW$43), 0), IF($B4='Project List References'!$B$5, _xlfn.IFNA(_xlfn.XLOOKUP(R$2-$C4, 'GEN-BESS'!$D$7:$AW$7, 'GEN-BESS'!$D$43:$AW$43), 0), IF($B4='Project List References'!$B$6, _xlfn.IFNA(_xlfn.XLOOKUP(R$2-$C4, 'GEN-CARBON'!$D$7:$AW$7, 'GEN-CARBON'!$D$43:$AW$43), 0), IF($B4='Project List References'!$B$7, _xlfn.IFNA(_xlfn.XLOOKUP(R$2-$C4, 'SENS Coal'!$D$7:$AW$7, 'SENS Coal'!$D$43:$AW$43), 0), IF($B4='Project List References'!$B$8, _xlfn.IFNA(_xlfn.XLOOKUP(R$2-$C4,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4.9143619813729131</v>
      </c>
      <c r="S4" s="743">
        <f>IF($B4='Project List References'!$B$3, _xlfn.IFNA(_xlfn.XLOOKUP(S$2-$C4, 'GEN-CCGT'!$D$7:$AW$7, 'GEN-CCGT'!$D$43:$AW$43), 0), IF($B4='Project List References'!$B$4, _xlfn.IFNA(_xlfn.XLOOKUP(S$2-$C4, 'GEN-SOLAR'!$D$7:$AW$7, 'GEN-SOLAR'!$D$43:$AW$43), 0), IF($B4='Project List References'!$B$5, _xlfn.IFNA(_xlfn.XLOOKUP(S$2-$C4, 'GEN-BESS'!$D$7:$AW$7, 'GEN-BESS'!$D$43:$AW$43), 0), IF($B4='Project List References'!$B$6, _xlfn.IFNA(_xlfn.XLOOKUP(S$2-$C4, 'GEN-CARBON'!$D$7:$AW$7, 'GEN-CARBON'!$D$43:$AW$43), 0), IF($B4='Project List References'!$B$7, _xlfn.IFNA(_xlfn.XLOOKUP(S$2-$C4, 'SENS Coal'!$D$7:$AW$7, 'SENS Coal'!$D$43:$AW$43), 0), IF($B4='Project List References'!$B$8, _xlfn.IFNA(_xlfn.XLOOKUP(S$2-$C4,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4.9662859550330971</v>
      </c>
      <c r="T4" s="743">
        <f>IF($B4='Project List References'!$B$3, _xlfn.IFNA(_xlfn.XLOOKUP(T$2-$C4, 'GEN-CCGT'!$D$7:$AW$7, 'GEN-CCGT'!$D$43:$AW$43), 0), IF($B4='Project List References'!$B$4, _xlfn.IFNA(_xlfn.XLOOKUP(T$2-$C4, 'GEN-SOLAR'!$D$7:$AW$7, 'GEN-SOLAR'!$D$43:$AW$43), 0), IF($B4='Project List References'!$B$5, _xlfn.IFNA(_xlfn.XLOOKUP(T$2-$C4, 'GEN-BESS'!$D$7:$AW$7, 'GEN-BESS'!$D$43:$AW$43), 0), IF($B4='Project List References'!$B$6, _xlfn.IFNA(_xlfn.XLOOKUP(T$2-$C4, 'GEN-CARBON'!$D$7:$AW$7, 'GEN-CARBON'!$D$43:$AW$43), 0), IF($B4='Project List References'!$B$7, _xlfn.IFNA(_xlfn.XLOOKUP(T$2-$C4, 'SENS Coal'!$D$7:$AW$7, 'SENS Coal'!$D$43:$AW$43), 0), IF($B4='Project List References'!$B$8, _xlfn.IFNA(_xlfn.XLOOKUP(T$2-$C4, 'SENS Tires'!$D$7:$AW$7, 'SENS Tires'!$D$43:$AW$43),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5.0191685101874679</v>
      </c>
    </row>
    <row r="5" spans="1:20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_xlfn.XLOOKUP('Project OPEX'!A5, 'Project Master Sheet'!A:A, 'Project Master Sheet'!I:I)</f>
        <v>2</v>
      </c>
      <c r="E5" s="743">
        <f>IF($B5='Project List References'!$B$3, _xlfn.IFNA(_xlfn.XLOOKUP(E$2-$C5, 'GEN-CCGT'!$D$7:$AW$7, 'GEN-CCGT'!$D$43:$AW$43), 0), IF($B5='Project List References'!$B$4, _xlfn.IFNA(_xlfn.XLOOKUP(E$2-$C5, 'GEN-SOLAR'!$D$7:$AW$7, 'GEN-SOLAR'!$D$43:$AW$43), 0), IF($B5='Project List References'!$B$5, _xlfn.IFNA(_xlfn.XLOOKUP(E$2-$C5, 'GEN-BESS'!$D$7:$AW$7, 'GEN-BESS'!$D$43:$AW$43), 0), IF($B5='Project List References'!$B$6, _xlfn.IFNA(_xlfn.XLOOKUP(E$2-$C5, 'GEN-CARBON'!$D$7:$AW$7, 'GEN-CARBON'!$D$43:$AW$43), 0), IF($B5='Project List References'!$B$7, _xlfn.IFNA(_xlfn.XLOOKUP(E$2-$C5, 'SENS Coal'!$D$7:$AW$7, 'SENS Coal'!$D$43:$AW$43), 0), IF($B5='Project List References'!$B$8, _xlfn.IFNA(_xlfn.XLOOKUP(E$2-$C5,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F5" s="743">
        <f>IF($B5='Project List References'!$B$3, _xlfn.IFNA(_xlfn.XLOOKUP(F$2-$C5, 'GEN-CCGT'!$D$7:$AW$7, 'GEN-CCGT'!$D$43:$AW$43), 0), IF($B5='Project List References'!$B$4, _xlfn.IFNA(_xlfn.XLOOKUP(F$2-$C5, 'GEN-SOLAR'!$D$7:$AW$7, 'GEN-SOLAR'!$D$43:$AW$43), 0), IF($B5='Project List References'!$B$5, _xlfn.IFNA(_xlfn.XLOOKUP(F$2-$C5, 'GEN-BESS'!$D$7:$AW$7, 'GEN-BESS'!$D$43:$AW$43), 0), IF($B5='Project List References'!$B$6, _xlfn.IFNA(_xlfn.XLOOKUP(F$2-$C5, 'GEN-CARBON'!$D$7:$AW$7, 'GEN-CARBON'!$D$43:$AW$43), 0), IF($B5='Project List References'!$B$7, _xlfn.IFNA(_xlfn.XLOOKUP(F$2-$C5, 'SENS Coal'!$D$7:$AW$7, 'SENS Coal'!$D$43:$AW$43), 0), IF($B5='Project List References'!$B$8, _xlfn.IFNA(_xlfn.XLOOKUP(F$2-$C5,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G5" s="743">
        <f>IF($B5='Project List References'!$B$3, _xlfn.IFNA(_xlfn.XLOOKUP(G$2-$C5, 'GEN-CCGT'!$D$7:$AW$7, 'GEN-CCGT'!$D$43:$AW$43), 0), IF($B5='Project List References'!$B$4, _xlfn.IFNA(_xlfn.XLOOKUP(G$2-$C5, 'GEN-SOLAR'!$D$7:$AW$7, 'GEN-SOLAR'!$D$43:$AW$43), 0), IF($B5='Project List References'!$B$5, _xlfn.IFNA(_xlfn.XLOOKUP(G$2-$C5, 'GEN-BESS'!$D$7:$AW$7, 'GEN-BESS'!$D$43:$AW$43), 0), IF($B5='Project List References'!$B$6, _xlfn.IFNA(_xlfn.XLOOKUP(G$2-$C5, 'GEN-CARBON'!$D$7:$AW$7, 'GEN-CARBON'!$D$43:$AW$43), 0), IF($B5='Project List References'!$B$7, _xlfn.IFNA(_xlfn.XLOOKUP(G$2-$C5, 'SENS Coal'!$D$7:$AW$7, 'SENS Coal'!$D$43:$AW$43), 0), IF($B5='Project List References'!$B$8, _xlfn.IFNA(_xlfn.XLOOKUP(G$2-$C5,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-660</v>
      </c>
      <c r="H5" s="743">
        <f>IF($B5='Project List References'!$B$3, _xlfn.IFNA(_xlfn.XLOOKUP(H$2-$C5, 'GEN-CCGT'!$D$7:$AW$7, 'GEN-CCGT'!$D$43:$AW$43), 0), IF($B5='Project List References'!$B$4, _xlfn.IFNA(_xlfn.XLOOKUP(H$2-$C5, 'GEN-SOLAR'!$D$7:$AW$7, 'GEN-SOLAR'!$D$43:$AW$43), 0), IF($B5='Project List References'!$B$5, _xlfn.IFNA(_xlfn.XLOOKUP(H$2-$C5, 'GEN-BESS'!$D$7:$AW$7, 'GEN-BESS'!$D$43:$AW$43), 0), IF($B5='Project List References'!$B$6, _xlfn.IFNA(_xlfn.XLOOKUP(H$2-$C5, 'GEN-CARBON'!$D$7:$AW$7, 'GEN-CARBON'!$D$43:$AW$43), 0), IF($B5='Project List References'!$B$7, _xlfn.IFNA(_xlfn.XLOOKUP(H$2-$C5, 'SENS Coal'!$D$7:$AW$7, 'SENS Coal'!$D$43:$AW$43), 0), IF($B5='Project List References'!$B$8, _xlfn.IFNA(_xlfn.XLOOKUP(H$2-$C5,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417.31435497362384</v>
      </c>
      <c r="I5" s="743">
        <f>IF($B5='Project List References'!$B$3, _xlfn.IFNA(_xlfn.XLOOKUP(I$2-$C5, 'GEN-CCGT'!$D$7:$AW$7, 'GEN-CCGT'!$D$43:$AW$43), 0), IF($B5='Project List References'!$B$4, _xlfn.IFNA(_xlfn.XLOOKUP(I$2-$C5, 'GEN-SOLAR'!$D$7:$AW$7, 'GEN-SOLAR'!$D$43:$AW$43), 0), IF($B5='Project List References'!$B$5, _xlfn.IFNA(_xlfn.XLOOKUP(I$2-$C5, 'GEN-BESS'!$D$7:$AW$7, 'GEN-BESS'!$D$43:$AW$43), 0), IF($B5='Project List References'!$B$6, _xlfn.IFNA(_xlfn.XLOOKUP(I$2-$C5, 'GEN-CARBON'!$D$7:$AW$7, 'GEN-CARBON'!$D$43:$AW$43), 0), IF($B5='Project List References'!$B$7, _xlfn.IFNA(_xlfn.XLOOKUP(I$2-$C5, 'SENS Coal'!$D$7:$AW$7, 'SENS Coal'!$D$43:$AW$43), 0), IF($B5='Project List References'!$B$8, _xlfn.IFNA(_xlfn.XLOOKUP(I$2-$C5,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677.91338481877949</v>
      </c>
      <c r="J5" s="743">
        <f>IF($B5='Project List References'!$B$3, _xlfn.IFNA(_xlfn.XLOOKUP(J$2-$C5, 'GEN-CCGT'!$D$7:$AW$7, 'GEN-CCGT'!$D$43:$AW$43), 0), IF($B5='Project List References'!$B$4, _xlfn.IFNA(_xlfn.XLOOKUP(J$2-$C5, 'GEN-SOLAR'!$D$7:$AW$7, 'GEN-SOLAR'!$D$43:$AW$43), 0), IF($B5='Project List References'!$B$5, _xlfn.IFNA(_xlfn.XLOOKUP(J$2-$C5, 'GEN-BESS'!$D$7:$AW$7, 'GEN-BESS'!$D$43:$AW$43), 0), IF($B5='Project List References'!$B$6, _xlfn.IFNA(_xlfn.XLOOKUP(J$2-$C5, 'GEN-CARBON'!$D$7:$AW$7, 'GEN-CARBON'!$D$43:$AW$43), 0), IF($B5='Project List References'!$B$7, _xlfn.IFNA(_xlfn.XLOOKUP(J$2-$C5, 'SENS Coal'!$D$7:$AW$7, 'SENS Coal'!$D$43:$AW$43), 0), IF($B5='Project List References'!$B$8, _xlfn.IFNA(_xlfn.XLOOKUP(J$2-$C5,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692.35014979688958</v>
      </c>
      <c r="K5" s="743">
        <f>IF($B5='Project List References'!$B$3, _xlfn.IFNA(_xlfn.XLOOKUP(K$2-$C5, 'GEN-CCGT'!$D$7:$AW$7, 'GEN-CCGT'!$D$43:$AW$43), 0), IF($B5='Project List References'!$B$4, _xlfn.IFNA(_xlfn.XLOOKUP(K$2-$C5, 'GEN-SOLAR'!$D$7:$AW$7, 'GEN-SOLAR'!$D$43:$AW$43), 0), IF($B5='Project List References'!$B$5, _xlfn.IFNA(_xlfn.XLOOKUP(K$2-$C5, 'GEN-BESS'!$D$7:$AW$7, 'GEN-BESS'!$D$43:$AW$43), 0), IF($B5='Project List References'!$B$6, _xlfn.IFNA(_xlfn.XLOOKUP(K$2-$C5, 'GEN-CARBON'!$D$7:$AW$7, 'GEN-CARBON'!$D$43:$AW$43), 0), IF($B5='Project List References'!$B$7, _xlfn.IFNA(_xlfn.XLOOKUP(K$2-$C5, 'SENS Coal'!$D$7:$AW$7, 'SENS Coal'!$D$43:$AW$43), 0), IF($B5='Project List References'!$B$8, _xlfn.IFNA(_xlfn.XLOOKUP(K$2-$C5,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759.85732613492382</v>
      </c>
      <c r="L5" s="743">
        <f>IF($B5='Project List References'!$B$3, _xlfn.IFNA(_xlfn.XLOOKUP(L$2-$C5, 'GEN-CCGT'!$D$7:$AW$7, 'GEN-CCGT'!$D$43:$AW$43), 0), IF($B5='Project List References'!$B$4, _xlfn.IFNA(_xlfn.XLOOKUP(L$2-$C5, 'GEN-SOLAR'!$D$7:$AW$7, 'GEN-SOLAR'!$D$43:$AW$43), 0), IF($B5='Project List References'!$B$5, _xlfn.IFNA(_xlfn.XLOOKUP(L$2-$C5, 'GEN-BESS'!$D$7:$AW$7, 'GEN-BESS'!$D$43:$AW$43), 0), IF($B5='Project List References'!$B$6, _xlfn.IFNA(_xlfn.XLOOKUP(L$2-$C5, 'GEN-CARBON'!$D$7:$AW$7, 'GEN-CARBON'!$D$43:$AW$43), 0), IF($B5='Project List References'!$B$7, _xlfn.IFNA(_xlfn.XLOOKUP(L$2-$C5, 'SENS Coal'!$D$7:$AW$7, 'SENS Coal'!$D$43:$AW$43), 0), IF($B5='Project List References'!$B$8, _xlfn.IFNA(_xlfn.XLOOKUP(L$2-$C5,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787.06199705824497</v>
      </c>
      <c r="M5" s="743">
        <f>IF($B5='Project List References'!$B$3, _xlfn.IFNA(_xlfn.XLOOKUP(M$2-$C5, 'GEN-CCGT'!$D$7:$AW$7, 'GEN-CCGT'!$D$43:$AW$43), 0), IF($B5='Project List References'!$B$4, _xlfn.IFNA(_xlfn.XLOOKUP(M$2-$C5, 'GEN-SOLAR'!$D$7:$AW$7, 'GEN-SOLAR'!$D$43:$AW$43), 0), IF($B5='Project List References'!$B$5, _xlfn.IFNA(_xlfn.XLOOKUP(M$2-$C5, 'GEN-BESS'!$D$7:$AW$7, 'GEN-BESS'!$D$43:$AW$43), 0), IF($B5='Project List References'!$B$6, _xlfn.IFNA(_xlfn.XLOOKUP(M$2-$C5, 'GEN-CARBON'!$D$7:$AW$7, 'GEN-CARBON'!$D$43:$AW$43), 0), IF($B5='Project List References'!$B$7, _xlfn.IFNA(_xlfn.XLOOKUP(M$2-$C5, 'SENS Coal'!$D$7:$AW$7, 'SENS Coal'!$D$43:$AW$43), 0), IF($B5='Project List References'!$B$8, _xlfn.IFNA(_xlfn.XLOOKUP(M$2-$C5,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802.16974709379792</v>
      </c>
      <c r="N5" s="743">
        <f>IF($B5='Project List References'!$B$3, _xlfn.IFNA(_xlfn.XLOOKUP(N$2-$C5, 'GEN-CCGT'!$D$7:$AW$7, 'GEN-CCGT'!$D$43:$AW$43), 0), IF($B5='Project List References'!$B$4, _xlfn.IFNA(_xlfn.XLOOKUP(N$2-$C5, 'GEN-SOLAR'!$D$7:$AW$7, 'GEN-SOLAR'!$D$43:$AW$43), 0), IF($B5='Project List References'!$B$5, _xlfn.IFNA(_xlfn.XLOOKUP(N$2-$C5, 'GEN-BESS'!$D$7:$AW$7, 'GEN-BESS'!$D$43:$AW$43), 0), IF($B5='Project List References'!$B$6, _xlfn.IFNA(_xlfn.XLOOKUP(N$2-$C5, 'GEN-CARBON'!$D$7:$AW$7, 'GEN-CARBON'!$D$43:$AW$43), 0), IF($B5='Project List References'!$B$7, _xlfn.IFNA(_xlfn.XLOOKUP(N$2-$C5, 'SENS Coal'!$D$7:$AW$7, 'SENS Coal'!$D$43:$AW$43), 0), IF($B5='Project List References'!$B$8, _xlfn.IFNA(_xlfn.XLOOKUP(N$2-$C5,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817.58383564635506</v>
      </c>
      <c r="O5" s="743">
        <f>IF($B5='Project List References'!$B$3, _xlfn.IFNA(_xlfn.XLOOKUP(O$2-$C5, 'GEN-CCGT'!$D$7:$AW$7, 'GEN-CCGT'!$D$43:$AW$43), 0), IF($B5='Project List References'!$B$4, _xlfn.IFNA(_xlfn.XLOOKUP(O$2-$C5, 'GEN-SOLAR'!$D$7:$AW$7, 'GEN-SOLAR'!$D$43:$AW$43), 0), IF($B5='Project List References'!$B$5, _xlfn.IFNA(_xlfn.XLOOKUP(O$2-$C5, 'GEN-BESS'!$D$7:$AW$7, 'GEN-BESS'!$D$43:$AW$43), 0), IF($B5='Project List References'!$B$6, _xlfn.IFNA(_xlfn.XLOOKUP(O$2-$C5, 'GEN-CARBON'!$D$7:$AW$7, 'GEN-CARBON'!$D$43:$AW$43), 0), IF($B5='Project List References'!$B$7, _xlfn.IFNA(_xlfn.XLOOKUP(O$2-$C5, 'SENS Coal'!$D$7:$AW$7, 'SENS Coal'!$D$43:$AW$43), 0), IF($B5='Project List References'!$B$8, _xlfn.IFNA(_xlfn.XLOOKUP(O$2-$C5,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833.31037893512621</v>
      </c>
      <c r="P5" s="743">
        <f>IF($B5='Project List References'!$B$3, _xlfn.IFNA(_xlfn.XLOOKUP(P$2-$C5, 'GEN-CCGT'!$D$7:$AW$7, 'GEN-CCGT'!$D$43:$AW$43), 0), IF($B5='Project List References'!$B$4, _xlfn.IFNA(_xlfn.XLOOKUP(P$2-$C5, 'GEN-SOLAR'!$D$7:$AW$7, 'GEN-SOLAR'!$D$43:$AW$43), 0), IF($B5='Project List References'!$B$5, _xlfn.IFNA(_xlfn.XLOOKUP(P$2-$C5, 'GEN-BESS'!$D$7:$AW$7, 'GEN-BESS'!$D$43:$AW$43), 0), IF($B5='Project List References'!$B$6, _xlfn.IFNA(_xlfn.XLOOKUP(P$2-$C5, 'GEN-CARBON'!$D$7:$AW$7, 'GEN-CARBON'!$D$43:$AW$43), 0), IF($B5='Project List References'!$B$7, _xlfn.IFNA(_xlfn.XLOOKUP(P$2-$C5, 'SENS Coal'!$D$7:$AW$7, 'SENS Coal'!$D$43:$AW$43), 0), IF($B5='Project List References'!$B$8, _xlfn.IFNA(_xlfn.XLOOKUP(P$2-$C5,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849.35561552857746</v>
      </c>
      <c r="Q5" s="743">
        <f>IF($B5='Project List References'!$B$3, _xlfn.IFNA(_xlfn.XLOOKUP(Q$2-$C5, 'GEN-CCGT'!$D$7:$AW$7, 'GEN-CCGT'!$D$43:$AW$43), 0), IF($B5='Project List References'!$B$4, _xlfn.IFNA(_xlfn.XLOOKUP(Q$2-$C5, 'GEN-SOLAR'!$D$7:$AW$7, 'GEN-SOLAR'!$D$43:$AW$43), 0), IF($B5='Project List References'!$B$5, _xlfn.IFNA(_xlfn.XLOOKUP(Q$2-$C5, 'GEN-BESS'!$D$7:$AW$7, 'GEN-BESS'!$D$43:$AW$43), 0), IF($B5='Project List References'!$B$6, _xlfn.IFNA(_xlfn.XLOOKUP(Q$2-$C5, 'GEN-CARBON'!$D$7:$AW$7, 'GEN-CARBON'!$D$43:$AW$43), 0), IF($B5='Project List References'!$B$7, _xlfn.IFNA(_xlfn.XLOOKUP(Q$2-$C5, 'SENS Coal'!$D$7:$AW$7, 'SENS Coal'!$D$43:$AW$43), 0), IF($B5='Project List References'!$B$8, _xlfn.IFNA(_xlfn.XLOOKUP(Q$2-$C5,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865.72590879133043</v>
      </c>
      <c r="R5" s="743">
        <f>IF($B5='Project List References'!$B$3, _xlfn.IFNA(_xlfn.XLOOKUP(R$2-$C5, 'GEN-CCGT'!$D$7:$AW$7, 'GEN-CCGT'!$D$43:$AW$43), 0), IF($B5='Project List References'!$B$4, _xlfn.IFNA(_xlfn.XLOOKUP(R$2-$C5, 'GEN-SOLAR'!$D$7:$AW$7, 'GEN-SOLAR'!$D$43:$AW$43), 0), IF($B5='Project List References'!$B$5, _xlfn.IFNA(_xlfn.XLOOKUP(R$2-$C5, 'GEN-BESS'!$D$7:$AW$7, 'GEN-BESS'!$D$43:$AW$43), 0), IF($B5='Project List References'!$B$6, _xlfn.IFNA(_xlfn.XLOOKUP(R$2-$C5, 'GEN-CARBON'!$D$7:$AW$7, 'GEN-CARBON'!$D$43:$AW$43), 0), IF($B5='Project List References'!$B$7, _xlfn.IFNA(_xlfn.XLOOKUP(R$2-$C5, 'SENS Coal'!$D$7:$AW$7, 'SENS Coal'!$D$43:$AW$43), 0), IF($B5='Project List References'!$B$8, _xlfn.IFNA(_xlfn.XLOOKUP(R$2-$C5,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882.427749379999</v>
      </c>
      <c r="S5" s="743">
        <f>IF($B5='Project List References'!$B$3, _xlfn.IFNA(_xlfn.XLOOKUP(S$2-$C5, 'GEN-CCGT'!$D$7:$AW$7, 'GEN-CCGT'!$D$43:$AW$43), 0), IF($B5='Project List References'!$B$4, _xlfn.IFNA(_xlfn.XLOOKUP(S$2-$C5, 'GEN-SOLAR'!$D$7:$AW$7, 'GEN-SOLAR'!$D$43:$AW$43), 0), IF($B5='Project List References'!$B$5, _xlfn.IFNA(_xlfn.XLOOKUP(S$2-$C5, 'GEN-BESS'!$D$7:$AW$7, 'GEN-BESS'!$D$43:$AW$43), 0), IF($B5='Project List References'!$B$6, _xlfn.IFNA(_xlfn.XLOOKUP(S$2-$C5, 'GEN-CARBON'!$D$7:$AW$7, 'GEN-CARBON'!$D$43:$AW$43), 0), IF($B5='Project List References'!$B$7, _xlfn.IFNA(_xlfn.XLOOKUP(S$2-$C5, 'SENS Coal'!$D$7:$AW$7, 'SENS Coal'!$D$43:$AW$43), 0), IF($B5='Project List References'!$B$8, _xlfn.IFNA(_xlfn.XLOOKUP(S$2-$C5,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899.4677577889405</v>
      </c>
      <c r="T5" s="743">
        <f>IF($B5='Project List References'!$B$3, _xlfn.IFNA(_xlfn.XLOOKUP(T$2-$C5, 'GEN-CCGT'!$D$7:$AW$7, 'GEN-CCGT'!$D$43:$AW$43), 0), IF($B5='Project List References'!$B$4, _xlfn.IFNA(_xlfn.XLOOKUP(T$2-$C5, 'GEN-SOLAR'!$D$7:$AW$7, 'GEN-SOLAR'!$D$43:$AW$43), 0), IF($B5='Project List References'!$B$5, _xlfn.IFNA(_xlfn.XLOOKUP(T$2-$C5, 'GEN-BESS'!$D$7:$AW$7, 'GEN-BESS'!$D$43:$AW$43), 0), IF($B5='Project List References'!$B$6, _xlfn.IFNA(_xlfn.XLOOKUP(T$2-$C5, 'GEN-CARBON'!$D$7:$AW$7, 'GEN-CARBON'!$D$43:$AW$43), 0), IF($B5='Project List References'!$B$7, _xlfn.IFNA(_xlfn.XLOOKUP(T$2-$C5, 'SENS Coal'!$D$7:$AW$7, 'SENS Coal'!$D$43:$AW$43), 0), IF($B5='Project List References'!$B$8, _xlfn.IFNA(_xlfn.XLOOKUP(T$2-$C5, 'SENS Tires'!$D$7:$AW$7, 'SENS Tires'!$D$43:$AW$43),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916.85268694692388</v>
      </c>
    </row>
    <row r="6" spans="1:20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_xlfn.XLOOKUP('Project OPEX'!A6, 'Project Master Sheet'!A:A, 'Project Master Sheet'!I:I)</f>
        <v>0</v>
      </c>
      <c r="E6" s="743">
        <f>IF($B6='Project List References'!$B$3, _xlfn.IFNA(_xlfn.XLOOKUP(E$2-$C6, 'GEN-CCGT'!$D$7:$AW$7, 'GEN-CCGT'!$D$43:$AW$43), 0), IF($B6='Project List References'!$B$4, _xlfn.IFNA(_xlfn.XLOOKUP(E$2-$C6, 'GEN-SOLAR'!$D$7:$AW$7, 'GEN-SOLAR'!$D$43:$AW$43), 0), IF($B6='Project List References'!$B$5, _xlfn.IFNA(_xlfn.XLOOKUP(E$2-$C6, 'GEN-BESS'!$D$7:$AW$7, 'GEN-BESS'!$D$43:$AW$43), 0), IF($B6='Project List References'!$B$6, _xlfn.IFNA(_xlfn.XLOOKUP(E$2-$C6, 'GEN-CARBON'!$D$7:$AW$7, 'GEN-CARBON'!$D$43:$AW$43), 0), IF($B6='Project List References'!$B$7, _xlfn.IFNA(_xlfn.XLOOKUP(E$2-$C6, 'SENS Coal'!$D$7:$AW$7, 'SENS Coal'!$D$43:$AW$43), 0), IF($B6='Project List References'!$B$8, _xlfn.IFNA(_xlfn.XLOOKUP(E$2-$C6,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-103.125</v>
      </c>
      <c r="F6" s="743">
        <f>IF($B6='Project List References'!$B$3, _xlfn.IFNA(_xlfn.XLOOKUP(F$2-$C6, 'GEN-CCGT'!$D$7:$AW$7, 'GEN-CCGT'!$D$43:$AW$43), 0), IF($B6='Project List References'!$B$4, _xlfn.IFNA(_xlfn.XLOOKUP(F$2-$C6, 'GEN-SOLAR'!$D$7:$AW$7, 'GEN-SOLAR'!$D$43:$AW$43), 0), IF($B6='Project List References'!$B$5, _xlfn.IFNA(_xlfn.XLOOKUP(F$2-$C6, 'GEN-BESS'!$D$7:$AW$7, 'GEN-BESS'!$D$43:$AW$43), 0), IF($B6='Project List References'!$B$6, _xlfn.IFNA(_xlfn.XLOOKUP(F$2-$C6, 'GEN-CARBON'!$D$7:$AW$7, 'GEN-CARBON'!$D$43:$AW$43), 0), IF($B6='Project List References'!$B$7, _xlfn.IFNA(_xlfn.XLOOKUP(F$2-$C6, 'SENS Coal'!$D$7:$AW$7, 'SENS Coal'!$D$43:$AW$43), 0), IF($B6='Project List References'!$B$8, _xlfn.IFNA(_xlfn.XLOOKUP(F$2-$C6,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60.523992482293721</v>
      </c>
      <c r="G6" s="743">
        <f>IF($B6='Project List References'!$B$3, _xlfn.IFNA(_xlfn.XLOOKUP(G$2-$C6, 'GEN-CCGT'!$D$7:$AW$7, 'GEN-CCGT'!$D$43:$AW$43), 0), IF($B6='Project List References'!$B$4, _xlfn.IFNA(_xlfn.XLOOKUP(G$2-$C6, 'GEN-SOLAR'!$D$7:$AW$7, 'GEN-SOLAR'!$D$43:$AW$43), 0), IF($B6='Project List References'!$B$5, _xlfn.IFNA(_xlfn.XLOOKUP(G$2-$C6, 'GEN-BESS'!$D$7:$AW$7, 'GEN-BESS'!$D$43:$AW$43), 0), IF($B6='Project List References'!$B$6, _xlfn.IFNA(_xlfn.XLOOKUP(G$2-$C6, 'GEN-CARBON'!$D$7:$AW$7, 'GEN-CARBON'!$D$43:$AW$43), 0), IF($B6='Project List References'!$B$7, _xlfn.IFNA(_xlfn.XLOOKUP(G$2-$C6, 'SENS Coal'!$D$7:$AW$7, 'SENS Coal'!$D$43:$AW$43), 0), IF($B6='Project List References'!$B$8, _xlfn.IFNA(_xlfn.XLOOKUP(G$2-$C6,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98.988277615753432</v>
      </c>
      <c r="H6" s="743">
        <f>IF($B6='Project List References'!$B$3, _xlfn.IFNA(_xlfn.XLOOKUP(H$2-$C6, 'GEN-CCGT'!$D$7:$AW$7, 'GEN-CCGT'!$D$43:$AW$43), 0), IF($B6='Project List References'!$B$4, _xlfn.IFNA(_xlfn.XLOOKUP(H$2-$C6, 'GEN-SOLAR'!$D$7:$AW$7, 'GEN-SOLAR'!$D$43:$AW$43), 0), IF($B6='Project List References'!$B$5, _xlfn.IFNA(_xlfn.XLOOKUP(H$2-$C6, 'GEN-BESS'!$D$7:$AW$7, 'GEN-BESS'!$D$43:$AW$43), 0), IF($B6='Project List References'!$B$6, _xlfn.IFNA(_xlfn.XLOOKUP(H$2-$C6, 'GEN-CARBON'!$D$7:$AW$7, 'GEN-CARBON'!$D$43:$AW$43), 0), IF($B6='Project List References'!$B$7, _xlfn.IFNA(_xlfn.XLOOKUP(H$2-$C6, 'SENS Coal'!$D$7:$AW$7, 'SENS Coal'!$D$43:$AW$43), 0), IF($B6='Project List References'!$B$8, _xlfn.IFNA(_xlfn.XLOOKUP(H$2-$C6,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100.54940630604344</v>
      </c>
      <c r="I6" s="743">
        <f>IF($B6='Project List References'!$B$3, _xlfn.IFNA(_xlfn.XLOOKUP(I$2-$C6, 'GEN-CCGT'!$D$7:$AW$7, 'GEN-CCGT'!$D$43:$AW$43), 0), IF($B6='Project List References'!$B$4, _xlfn.IFNA(_xlfn.XLOOKUP(I$2-$C6, 'GEN-SOLAR'!$D$7:$AW$7, 'GEN-SOLAR'!$D$43:$AW$43), 0), IF($B6='Project List References'!$B$5, _xlfn.IFNA(_xlfn.XLOOKUP(I$2-$C6, 'GEN-BESS'!$D$7:$AW$7, 'GEN-BESS'!$D$43:$AW$43), 0), IF($B6='Project List References'!$B$6, _xlfn.IFNA(_xlfn.XLOOKUP(I$2-$C6, 'GEN-CARBON'!$D$7:$AW$7, 'GEN-CARBON'!$D$43:$AW$43), 0), IF($B6='Project List References'!$B$7, _xlfn.IFNA(_xlfn.XLOOKUP(I$2-$C6, 'SENS Coal'!$D$7:$AW$7, 'SENS Coal'!$D$43:$AW$43), 0), IF($B6='Project List References'!$B$8, _xlfn.IFNA(_xlfn.XLOOKUP(I$2-$C6,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102.1606493332161</v>
      </c>
      <c r="J6" s="743">
        <f>IF($B6='Project List References'!$B$3, _xlfn.IFNA(_xlfn.XLOOKUP(J$2-$C6, 'GEN-CCGT'!$D$7:$AW$7, 'GEN-CCGT'!$D$43:$AW$43), 0), IF($B6='Project List References'!$B$4, _xlfn.IFNA(_xlfn.XLOOKUP(J$2-$C6, 'GEN-SOLAR'!$D$7:$AW$7, 'GEN-SOLAR'!$D$43:$AW$43), 0), IF($B6='Project List References'!$B$5, _xlfn.IFNA(_xlfn.XLOOKUP(J$2-$C6, 'GEN-BESS'!$D$7:$AW$7, 'GEN-BESS'!$D$43:$AW$43), 0), IF($B6='Project List References'!$B$6, _xlfn.IFNA(_xlfn.XLOOKUP(J$2-$C6, 'GEN-CARBON'!$D$7:$AW$7, 'GEN-CARBON'!$D$43:$AW$43), 0), IF($B6='Project List References'!$B$7, _xlfn.IFNA(_xlfn.XLOOKUP(J$2-$C6, 'SENS Coal'!$D$7:$AW$7, 'SENS Coal'!$D$43:$AW$43), 0), IF($B6='Project List References'!$B$8, _xlfn.IFNA(_xlfn.XLOOKUP(J$2-$C6,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103.76947006855983</v>
      </c>
      <c r="K6" s="743">
        <f>IF($B6='Project List References'!$B$3, _xlfn.IFNA(_xlfn.XLOOKUP(K$2-$C6, 'GEN-CCGT'!$D$7:$AW$7, 'GEN-CCGT'!$D$43:$AW$43), 0), IF($B6='Project List References'!$B$4, _xlfn.IFNA(_xlfn.XLOOKUP(K$2-$C6, 'GEN-SOLAR'!$D$7:$AW$7, 'GEN-SOLAR'!$D$43:$AW$43), 0), IF($B6='Project List References'!$B$5, _xlfn.IFNA(_xlfn.XLOOKUP(K$2-$C6, 'GEN-BESS'!$D$7:$AW$7, 'GEN-BESS'!$D$43:$AW$43), 0), IF($B6='Project List References'!$B$6, _xlfn.IFNA(_xlfn.XLOOKUP(K$2-$C6, 'GEN-CARBON'!$D$7:$AW$7, 'GEN-CARBON'!$D$43:$AW$43), 0), IF($B6='Project List References'!$B$7, _xlfn.IFNA(_xlfn.XLOOKUP(K$2-$C6, 'SENS Coal'!$D$7:$AW$7, 'SENS Coal'!$D$43:$AW$43), 0), IF($B6='Project List References'!$B$8, _xlfn.IFNA(_xlfn.XLOOKUP(K$2-$C6,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105.404483824555</v>
      </c>
      <c r="L6" s="743">
        <f>IF($B6='Project List References'!$B$3, _xlfn.IFNA(_xlfn.XLOOKUP(L$2-$C6, 'GEN-CCGT'!$D$7:$AW$7, 'GEN-CCGT'!$D$43:$AW$43), 0), IF($B6='Project List References'!$B$4, _xlfn.IFNA(_xlfn.XLOOKUP(L$2-$C6, 'GEN-SOLAR'!$D$7:$AW$7, 'GEN-SOLAR'!$D$43:$AW$43), 0), IF($B6='Project List References'!$B$5, _xlfn.IFNA(_xlfn.XLOOKUP(L$2-$C6, 'GEN-BESS'!$D$7:$AW$7, 'GEN-BESS'!$D$43:$AW$43), 0), IF($B6='Project List References'!$B$6, _xlfn.IFNA(_xlfn.XLOOKUP(L$2-$C6, 'GEN-CARBON'!$D$7:$AW$7, 'GEN-CARBON'!$D$43:$AW$43), 0), IF($B6='Project List References'!$B$7, _xlfn.IFNA(_xlfn.XLOOKUP(L$2-$C6, 'SENS Coal'!$D$7:$AW$7, 'SENS Coal'!$D$43:$AW$43), 0), IF($B6='Project List References'!$B$8, _xlfn.IFNA(_xlfn.XLOOKUP(L$2-$C6,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107.07219379825781</v>
      </c>
      <c r="M6" s="743">
        <f>IF($B6='Project List References'!$B$3, _xlfn.IFNA(_xlfn.XLOOKUP(M$2-$C6, 'GEN-CCGT'!$D$7:$AW$7, 'GEN-CCGT'!$D$43:$AW$43), 0), IF($B6='Project List References'!$B$4, _xlfn.IFNA(_xlfn.XLOOKUP(M$2-$C6, 'GEN-SOLAR'!$D$7:$AW$7, 'GEN-SOLAR'!$D$43:$AW$43), 0), IF($B6='Project List References'!$B$5, _xlfn.IFNA(_xlfn.XLOOKUP(M$2-$C6, 'GEN-BESS'!$D$7:$AW$7, 'GEN-BESS'!$D$43:$AW$43), 0), IF($B6='Project List References'!$B$6, _xlfn.IFNA(_xlfn.XLOOKUP(M$2-$C6, 'GEN-CARBON'!$D$7:$AW$7, 'GEN-CARBON'!$D$43:$AW$43), 0), IF($B6='Project List References'!$B$7, _xlfn.IFNA(_xlfn.XLOOKUP(M$2-$C6, 'SENS Coal'!$D$7:$AW$7, 'SENS Coal'!$D$43:$AW$43), 0), IF($B6='Project List References'!$B$8, _xlfn.IFNA(_xlfn.XLOOKUP(M$2-$C6,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108.77325384867777</v>
      </c>
      <c r="N6" s="743">
        <f>IF($B6='Project List References'!$B$3, _xlfn.IFNA(_xlfn.XLOOKUP(N$2-$C6, 'GEN-CCGT'!$D$7:$AW$7, 'GEN-CCGT'!$D$43:$AW$43), 0), IF($B6='Project List References'!$B$4, _xlfn.IFNA(_xlfn.XLOOKUP(N$2-$C6, 'GEN-SOLAR'!$D$7:$AW$7, 'GEN-SOLAR'!$D$43:$AW$43), 0), IF($B6='Project List References'!$B$5, _xlfn.IFNA(_xlfn.XLOOKUP(N$2-$C6, 'GEN-BESS'!$D$7:$AW$7, 'GEN-BESS'!$D$43:$AW$43), 0), IF($B6='Project List References'!$B$6, _xlfn.IFNA(_xlfn.XLOOKUP(N$2-$C6, 'GEN-CARBON'!$D$7:$AW$7, 'GEN-CARBON'!$D$43:$AW$43), 0), IF($B6='Project List References'!$B$7, _xlfn.IFNA(_xlfn.XLOOKUP(N$2-$C6, 'SENS Coal'!$D$7:$AW$7, 'SENS Coal'!$D$43:$AW$43), 0), IF($B6='Project List References'!$B$8, _xlfn.IFNA(_xlfn.XLOOKUP(N$2-$C6,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110.50833091093776</v>
      </c>
      <c r="O6" s="743">
        <f>IF($B6='Project List References'!$B$3, _xlfn.IFNA(_xlfn.XLOOKUP(O$2-$C6, 'GEN-CCGT'!$D$7:$AW$7, 'GEN-CCGT'!$D$43:$AW$43), 0), IF($B6='Project List References'!$B$4, _xlfn.IFNA(_xlfn.XLOOKUP(O$2-$C6, 'GEN-SOLAR'!$D$7:$AW$7, 'GEN-SOLAR'!$D$43:$AW$43), 0), IF($B6='Project List References'!$B$5, _xlfn.IFNA(_xlfn.XLOOKUP(O$2-$C6, 'GEN-BESS'!$D$7:$AW$7, 'GEN-BESS'!$D$43:$AW$43), 0), IF($B6='Project List References'!$B$6, _xlfn.IFNA(_xlfn.XLOOKUP(O$2-$C6, 'GEN-CARBON'!$D$7:$AW$7, 'GEN-CARBON'!$D$43:$AW$43), 0), IF($B6='Project List References'!$B$7, _xlfn.IFNA(_xlfn.XLOOKUP(O$2-$C6, 'SENS Coal'!$D$7:$AW$7, 'SENS Coal'!$D$43:$AW$43), 0), IF($B6='Project List References'!$B$8, _xlfn.IFNA(_xlfn.XLOOKUP(O$2-$C6,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112.27810525777903</v>
      </c>
      <c r="P6" s="743">
        <f>IF($B6='Project List References'!$B$3, _xlfn.IFNA(_xlfn.XLOOKUP(P$2-$C6, 'GEN-CCGT'!$D$7:$AW$7, 'GEN-CCGT'!$D$43:$AW$43), 0), IF($B6='Project List References'!$B$4, _xlfn.IFNA(_xlfn.XLOOKUP(P$2-$C6, 'GEN-SOLAR'!$D$7:$AW$7, 'GEN-SOLAR'!$D$43:$AW$43), 0), IF($B6='Project List References'!$B$5, _xlfn.IFNA(_xlfn.XLOOKUP(P$2-$C6, 'GEN-BESS'!$D$7:$AW$7, 'GEN-BESS'!$D$43:$AW$43), 0), IF($B6='Project List References'!$B$6, _xlfn.IFNA(_xlfn.XLOOKUP(P$2-$C6, 'GEN-CARBON'!$D$7:$AW$7, 'GEN-CARBON'!$D$43:$AW$43), 0), IF($B6='Project List References'!$B$7, _xlfn.IFNA(_xlfn.XLOOKUP(P$2-$C6, 'SENS Coal'!$D$7:$AW$7, 'SENS Coal'!$D$43:$AW$43), 0), IF($B6='Project List References'!$B$8, _xlfn.IFNA(_xlfn.XLOOKUP(P$2-$C6,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114.08327076629539</v>
      </c>
      <c r="Q6" s="743">
        <f>IF($B6='Project List References'!$B$3, _xlfn.IFNA(_xlfn.XLOOKUP(Q$2-$C6, 'GEN-CCGT'!$D$7:$AW$7, 'GEN-CCGT'!$D$43:$AW$43), 0), IF($B6='Project List References'!$B$4, _xlfn.IFNA(_xlfn.XLOOKUP(Q$2-$C6, 'GEN-SOLAR'!$D$7:$AW$7, 'GEN-SOLAR'!$D$43:$AW$43), 0), IF($B6='Project List References'!$B$5, _xlfn.IFNA(_xlfn.XLOOKUP(Q$2-$C6, 'GEN-BESS'!$D$7:$AW$7, 'GEN-BESS'!$D$43:$AW$43), 0), IF($B6='Project List References'!$B$6, _xlfn.IFNA(_xlfn.XLOOKUP(Q$2-$C6, 'GEN-CARBON'!$D$7:$AW$7, 'GEN-CARBON'!$D$43:$AW$43), 0), IF($B6='Project List References'!$B$7, _xlfn.IFNA(_xlfn.XLOOKUP(Q$2-$C6, 'SENS Coal'!$D$7:$AW$7, 'SENS Coal'!$D$43:$AW$43), 0), IF($B6='Project List References'!$B$8, _xlfn.IFNA(_xlfn.XLOOKUP(Q$2-$C6,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115.9245351900023</v>
      </c>
      <c r="R6" s="743">
        <f>IF($B6='Project List References'!$B$3, _xlfn.IFNA(_xlfn.XLOOKUP(R$2-$C6, 'GEN-CCGT'!$D$7:$AW$7, 'GEN-CCGT'!$D$43:$AW$43), 0), IF($B6='Project List References'!$B$4, _xlfn.IFNA(_xlfn.XLOOKUP(R$2-$C6, 'GEN-SOLAR'!$D$7:$AW$7, 'GEN-SOLAR'!$D$43:$AW$43), 0), IF($B6='Project List References'!$B$5, _xlfn.IFNA(_xlfn.XLOOKUP(R$2-$C6, 'GEN-BESS'!$D$7:$AW$7, 'GEN-BESS'!$D$43:$AW$43), 0), IF($B6='Project List References'!$B$6, _xlfn.IFNA(_xlfn.XLOOKUP(R$2-$C6, 'GEN-CARBON'!$D$7:$AW$7, 'GEN-CARBON'!$D$43:$AW$43), 0), IF($B6='Project List References'!$B$7, _xlfn.IFNA(_xlfn.XLOOKUP(R$2-$C6, 'SENS Coal'!$D$7:$AW$7, 'SENS Coal'!$D$43:$AW$43), 0), IF($B6='Project List References'!$B$8, _xlfn.IFNA(_xlfn.XLOOKUP(R$2-$C6,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117.8026204363465</v>
      </c>
      <c r="S6" s="743">
        <f>IF($B6='Project List References'!$B$3, _xlfn.IFNA(_xlfn.XLOOKUP(S$2-$C6, 'GEN-CCGT'!$D$7:$AW$7, 'GEN-CCGT'!$D$43:$AW$43), 0), IF($B6='Project List References'!$B$4, _xlfn.IFNA(_xlfn.XLOOKUP(S$2-$C6, 'GEN-SOLAR'!$D$7:$AW$7, 'GEN-SOLAR'!$D$43:$AW$43), 0), IF($B6='Project List References'!$B$5, _xlfn.IFNA(_xlfn.XLOOKUP(S$2-$C6, 'GEN-BESS'!$D$7:$AW$7, 'GEN-BESS'!$D$43:$AW$43), 0), IF($B6='Project List References'!$B$6, _xlfn.IFNA(_xlfn.XLOOKUP(S$2-$C6, 'GEN-CARBON'!$D$7:$AW$7, 'GEN-CARBON'!$D$43:$AW$43), 0), IF($B6='Project List References'!$B$7, _xlfn.IFNA(_xlfn.XLOOKUP(S$2-$C6, 'SENS Coal'!$D$7:$AW$7, 'SENS Coal'!$D$43:$AW$43), 0), IF($B6='Project List References'!$B$8, _xlfn.IFNA(_xlfn.XLOOKUP(S$2-$C6,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119.71826284976603</v>
      </c>
      <c r="T6" s="743">
        <f>IF($B6='Project List References'!$B$3, _xlfn.IFNA(_xlfn.XLOOKUP(T$2-$C6, 'GEN-CCGT'!$D$7:$AW$7, 'GEN-CCGT'!$D$43:$AW$43), 0), IF($B6='Project List References'!$B$4, _xlfn.IFNA(_xlfn.XLOOKUP(T$2-$C6, 'GEN-SOLAR'!$D$7:$AW$7, 'GEN-SOLAR'!$D$43:$AW$43), 0), IF($B6='Project List References'!$B$5, _xlfn.IFNA(_xlfn.XLOOKUP(T$2-$C6, 'GEN-BESS'!$D$7:$AW$7, 'GEN-BESS'!$D$43:$AW$43), 0), IF($B6='Project List References'!$B$6, _xlfn.IFNA(_xlfn.XLOOKUP(T$2-$C6, 'GEN-CARBON'!$D$7:$AW$7, 'GEN-CARBON'!$D$43:$AW$43), 0), IF($B6='Project List References'!$B$7, _xlfn.IFNA(_xlfn.XLOOKUP(T$2-$C6, 'SENS Coal'!$D$7:$AW$7, 'SENS Coal'!$D$43:$AW$43), 0), IF($B6='Project List References'!$B$8, _xlfn.IFNA(_xlfn.XLOOKUP(T$2-$C6, 'SENS Tires'!$D$7:$AW$7, 'SENS Tires'!$D$43:$AW$43),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121.67221350041069</v>
      </c>
    </row>
    <row r="7" spans="1:20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_xlfn.XLOOKUP('Project OPEX'!A7, 'Project Master Sheet'!A:A, 'Project Master Sheet'!I:I)</f>
        <v>0</v>
      </c>
      <c r="E7" s="743">
        <f>IF($B7='Project List References'!$B$3, _xlfn.IFNA(_xlfn.XLOOKUP(E$2-$C7, 'GEN-CCGT'!$D$7:$AW$7, 'GEN-CCGT'!$D$43:$AW$43), 0), IF($B7='Project List References'!$B$4, _xlfn.IFNA(_xlfn.XLOOKUP(E$2-$C7, 'GEN-SOLAR'!$D$7:$AW$7, 'GEN-SOLAR'!$D$43:$AW$43), 0), IF($B7='Project List References'!$B$5, _xlfn.IFNA(_xlfn.XLOOKUP(E$2-$C7, 'GEN-BESS'!$D$7:$AW$7, 'GEN-BESS'!$D$43:$AW$43), 0), IF($B7='Project List References'!$B$6, _xlfn.IFNA(_xlfn.XLOOKUP(E$2-$C7, 'GEN-CARBON'!$D$7:$AW$7, 'GEN-CARBON'!$D$43:$AW$43), 0), IF($B7='Project List References'!$B$7, _xlfn.IFNA(_xlfn.XLOOKUP(E$2-$C7, 'SENS Coal'!$D$7:$AW$7, 'SENS Coal'!$D$43:$AW$43), 0), IF($B7='Project List References'!$B$8, _xlfn.IFNA(_xlfn.XLOOKUP(E$2-$C7,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-51.333333333333336</v>
      </c>
      <c r="F7" s="743">
        <f>IF($B7='Project List References'!$B$3, _xlfn.IFNA(_xlfn.XLOOKUP(F$2-$C7, 'GEN-CCGT'!$D$7:$AW$7, 'GEN-CCGT'!$D$43:$AW$43), 0), IF($B7='Project List References'!$B$4, _xlfn.IFNA(_xlfn.XLOOKUP(F$2-$C7, 'GEN-SOLAR'!$D$7:$AW$7, 'GEN-SOLAR'!$D$43:$AW$43), 0), IF($B7='Project List References'!$B$5, _xlfn.IFNA(_xlfn.XLOOKUP(F$2-$C7, 'GEN-BESS'!$D$7:$AW$7, 'GEN-BESS'!$D$43:$AW$43), 0), IF($B7='Project List References'!$B$6, _xlfn.IFNA(_xlfn.XLOOKUP(F$2-$C7, 'GEN-CARBON'!$D$7:$AW$7, 'GEN-CARBON'!$D$43:$AW$43), 0), IF($B7='Project List References'!$B$7, _xlfn.IFNA(_xlfn.XLOOKUP(F$2-$C7, 'SENS Coal'!$D$7:$AW$7, 'SENS Coal'!$D$43:$AW$43), 0), IF($B7='Project List References'!$B$8, _xlfn.IFNA(_xlfn.XLOOKUP(F$2-$C7,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-31.453294444678608</v>
      </c>
      <c r="G7" s="743">
        <f>IF($B7='Project List References'!$B$3, _xlfn.IFNA(_xlfn.XLOOKUP(G$2-$C7, 'GEN-CCGT'!$D$7:$AW$7, 'GEN-CCGT'!$D$43:$AW$43), 0), IF($B7='Project List References'!$B$4, _xlfn.IFNA(_xlfn.XLOOKUP(G$2-$C7, 'GEN-SOLAR'!$D$7:$AW$7, 'GEN-SOLAR'!$D$43:$AW$43), 0), IF($B7='Project List References'!$B$5, _xlfn.IFNA(_xlfn.XLOOKUP(G$2-$C7, 'GEN-BESS'!$D$7:$AW$7, 'GEN-BESS'!$D$43:$AW$43), 0), IF($B7='Project List References'!$B$6, _xlfn.IFNA(_xlfn.XLOOKUP(G$2-$C7, 'GEN-CARBON'!$D$7:$AW$7, 'GEN-CARBON'!$D$43:$AW$43), 0), IF($B7='Project List References'!$B$7, _xlfn.IFNA(_xlfn.XLOOKUP(G$2-$C7, 'SENS Coal'!$D$7:$AW$7, 'SENS Coal'!$D$43:$AW$43), 0), IF($B7='Project List References'!$B$8, _xlfn.IFNA(_xlfn.XLOOKUP(G$2-$C7,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8.1576256070178452</v>
      </c>
      <c r="H7" s="743">
        <f>IF($B7='Project List References'!$B$3, _xlfn.IFNA(_xlfn.XLOOKUP(H$2-$C7, 'GEN-CCGT'!$D$7:$AW$7, 'GEN-CCGT'!$D$43:$AW$43), 0), IF($B7='Project List References'!$B$4, _xlfn.IFNA(_xlfn.XLOOKUP(H$2-$C7, 'GEN-SOLAR'!$D$7:$AW$7, 'GEN-SOLAR'!$D$43:$AW$43), 0), IF($B7='Project List References'!$B$5, _xlfn.IFNA(_xlfn.XLOOKUP(H$2-$C7, 'GEN-BESS'!$D$7:$AW$7, 'GEN-BESS'!$D$43:$AW$43), 0), IF($B7='Project List References'!$B$6, _xlfn.IFNA(_xlfn.XLOOKUP(H$2-$C7, 'GEN-CARBON'!$D$7:$AW$7, 'GEN-CARBON'!$D$43:$AW$43), 0), IF($B7='Project List References'!$B$7, _xlfn.IFNA(_xlfn.XLOOKUP(H$2-$C7, 'SENS Coal'!$D$7:$AW$7, 'SENS Coal'!$D$43:$AW$43), 0), IF($B7='Project List References'!$B$8, _xlfn.IFNA(_xlfn.XLOOKUP(H$2-$C7,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8.1930144846246638</v>
      </c>
      <c r="I7" s="743">
        <f>IF($B7='Project List References'!$B$3, _xlfn.IFNA(_xlfn.XLOOKUP(I$2-$C7, 'GEN-CCGT'!$D$7:$AW$7, 'GEN-CCGT'!$D$43:$AW$43), 0), IF($B7='Project List References'!$B$4, _xlfn.IFNA(_xlfn.XLOOKUP(I$2-$C7, 'GEN-SOLAR'!$D$7:$AW$7, 'GEN-SOLAR'!$D$43:$AW$43), 0), IF($B7='Project List References'!$B$5, _xlfn.IFNA(_xlfn.XLOOKUP(I$2-$C7, 'GEN-BESS'!$D$7:$AW$7, 'GEN-BESS'!$D$43:$AW$43), 0), IF($B7='Project List References'!$B$6, _xlfn.IFNA(_xlfn.XLOOKUP(I$2-$C7, 'GEN-CARBON'!$D$7:$AW$7, 'GEN-CARBON'!$D$43:$AW$43), 0), IF($B7='Project List References'!$B$7, _xlfn.IFNA(_xlfn.XLOOKUP(I$2-$C7, 'SENS Coal'!$D$7:$AW$7, 'SENS Coal'!$D$43:$AW$43), 0), IF($B7='Project List References'!$B$8, _xlfn.IFNA(_xlfn.XLOOKUP(I$2-$C7,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8.2282056974657021</v>
      </c>
      <c r="J7" s="743">
        <f>IF($B7='Project List References'!$B$3, _xlfn.IFNA(_xlfn.XLOOKUP(J$2-$C7, 'GEN-CCGT'!$D$7:$AW$7, 'GEN-CCGT'!$D$43:$AW$43), 0), IF($B7='Project List References'!$B$4, _xlfn.IFNA(_xlfn.XLOOKUP(J$2-$C7, 'GEN-SOLAR'!$D$7:$AW$7, 'GEN-SOLAR'!$D$43:$AW$43), 0), IF($B7='Project List References'!$B$5, _xlfn.IFNA(_xlfn.XLOOKUP(J$2-$C7, 'GEN-BESS'!$D$7:$AW$7, 'GEN-BESS'!$D$43:$AW$43), 0), IF($B7='Project List References'!$B$6, _xlfn.IFNA(_xlfn.XLOOKUP(J$2-$C7, 'GEN-CARBON'!$D$7:$AW$7, 'GEN-CARBON'!$D$43:$AW$43), 0), IF($B7='Project List References'!$B$7, _xlfn.IFNA(_xlfn.XLOOKUP(J$2-$C7, 'SENS Coal'!$D$7:$AW$7, 'SENS Coal'!$D$43:$AW$43), 0), IF($B7='Project List References'!$B$8, _xlfn.IFNA(_xlfn.XLOOKUP(J$2-$C7,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8.263181003402897</v>
      </c>
      <c r="K7" s="743">
        <f>IF($B7='Project List References'!$B$3, _xlfn.IFNA(_xlfn.XLOOKUP(K$2-$C7, 'GEN-CCGT'!$D$7:$AW$7, 'GEN-CCGT'!$D$43:$AW$43), 0), IF($B7='Project List References'!$B$4, _xlfn.IFNA(_xlfn.XLOOKUP(K$2-$C7, 'GEN-SOLAR'!$D$7:$AW$7, 'GEN-SOLAR'!$D$43:$AW$43), 0), IF($B7='Project List References'!$B$5, _xlfn.IFNA(_xlfn.XLOOKUP(K$2-$C7, 'GEN-BESS'!$D$7:$AW$7, 'GEN-BESS'!$D$43:$AW$43), 0), IF($B7='Project List References'!$B$6, _xlfn.IFNA(_xlfn.XLOOKUP(K$2-$C7, 'GEN-CARBON'!$D$7:$AW$7, 'GEN-CARBON'!$D$43:$AW$43), 0), IF($B7='Project List References'!$B$7, _xlfn.IFNA(_xlfn.XLOOKUP(K$2-$C7, 'SENS Coal'!$D$7:$AW$7, 'SENS Coal'!$D$43:$AW$43), 0), IF($B7='Project List References'!$B$8, _xlfn.IFNA(_xlfn.XLOOKUP(K$2-$C7,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8.2979215257147274</v>
      </c>
      <c r="L7" s="743">
        <f>IF($B7='Project List References'!$B$3, _xlfn.IFNA(_xlfn.XLOOKUP(L$2-$C7, 'GEN-CCGT'!$D$7:$AW$7, 'GEN-CCGT'!$D$43:$AW$43), 0), IF($B7='Project List References'!$B$4, _xlfn.IFNA(_xlfn.XLOOKUP(L$2-$C7, 'GEN-SOLAR'!$D$7:$AW$7, 'GEN-SOLAR'!$D$43:$AW$43), 0), IF($B7='Project List References'!$B$5, _xlfn.IFNA(_xlfn.XLOOKUP(L$2-$C7, 'GEN-BESS'!$D$7:$AW$7, 'GEN-BESS'!$D$43:$AW$43), 0), IF($B7='Project List References'!$B$6, _xlfn.IFNA(_xlfn.XLOOKUP(L$2-$C7, 'GEN-CARBON'!$D$7:$AW$7, 'GEN-CARBON'!$D$43:$AW$43), 0), IF($B7='Project List References'!$B$7, _xlfn.IFNA(_xlfn.XLOOKUP(L$2-$C7, 'SENS Coal'!$D$7:$AW$7, 'SENS Coal'!$D$43:$AW$43), 0), IF($B7='Project List References'!$B$8, _xlfn.IFNA(_xlfn.XLOOKUP(L$2-$C7,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8.332407734190026</v>
      </c>
      <c r="M7" s="743">
        <f>IF($B7='Project List References'!$B$3, _xlfn.IFNA(_xlfn.XLOOKUP(M$2-$C7, 'GEN-CCGT'!$D$7:$AW$7, 'GEN-CCGT'!$D$43:$AW$43), 0), IF($B7='Project List References'!$B$4, _xlfn.IFNA(_xlfn.XLOOKUP(M$2-$C7, 'GEN-SOLAR'!$D$7:$AW$7, 'GEN-SOLAR'!$D$43:$AW$43), 0), IF($B7='Project List References'!$B$5, _xlfn.IFNA(_xlfn.XLOOKUP(M$2-$C7, 'GEN-BESS'!$D$7:$AW$7, 'GEN-BESS'!$D$43:$AW$43), 0), IF($B7='Project List References'!$B$6, _xlfn.IFNA(_xlfn.XLOOKUP(M$2-$C7, 'GEN-CARBON'!$D$7:$AW$7, 'GEN-CARBON'!$D$43:$AW$43), 0), IF($B7='Project List References'!$B$7, _xlfn.IFNA(_xlfn.XLOOKUP(M$2-$C7, 'SENS Coal'!$D$7:$AW$7, 'SENS Coal'!$D$43:$AW$43), 0), IF($B7='Project List References'!$B$8, _xlfn.IFNA(_xlfn.XLOOKUP(M$2-$C7,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8.3666194256779001</v>
      </c>
      <c r="N7" s="743">
        <f>IF($B7='Project List References'!$B$3, _xlfn.IFNA(_xlfn.XLOOKUP(N$2-$C7, 'GEN-CCGT'!$D$7:$AW$7, 'GEN-CCGT'!$D$43:$AW$43), 0), IF($B7='Project List References'!$B$4, _xlfn.IFNA(_xlfn.XLOOKUP(N$2-$C7, 'GEN-SOLAR'!$D$7:$AW$7, 'GEN-SOLAR'!$D$43:$AW$43), 0), IF($B7='Project List References'!$B$5, _xlfn.IFNA(_xlfn.XLOOKUP(N$2-$C7, 'GEN-BESS'!$D$7:$AW$7, 'GEN-BESS'!$D$43:$AW$43), 0), IF($B7='Project List References'!$B$6, _xlfn.IFNA(_xlfn.XLOOKUP(N$2-$C7, 'GEN-CARBON'!$D$7:$AW$7, 'GEN-CARBON'!$D$43:$AW$43), 0), IF($B7='Project List References'!$B$7, _xlfn.IFNA(_xlfn.XLOOKUP(N$2-$C7, 'SENS Coal'!$D$7:$AW$7, 'SENS Coal'!$D$43:$AW$43), 0), IF($B7='Project List References'!$B$8, _xlfn.IFNA(_xlfn.XLOOKUP(N$2-$C7,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8.4005357040781181</v>
      </c>
      <c r="O7" s="743">
        <f>IF($B7='Project List References'!$B$3, _xlfn.IFNA(_xlfn.XLOOKUP(O$2-$C7, 'GEN-CCGT'!$D$7:$AW$7, 'GEN-CCGT'!$D$43:$AW$43), 0), IF($B7='Project List References'!$B$4, _xlfn.IFNA(_xlfn.XLOOKUP(O$2-$C7, 'GEN-SOLAR'!$D$7:$AW$7, 'GEN-SOLAR'!$D$43:$AW$43), 0), IF($B7='Project List References'!$B$5, _xlfn.IFNA(_xlfn.XLOOKUP(O$2-$C7, 'GEN-BESS'!$D$7:$AW$7, 'GEN-BESS'!$D$43:$AW$43), 0), IF($B7='Project List References'!$B$6, _xlfn.IFNA(_xlfn.XLOOKUP(O$2-$C7, 'GEN-CARBON'!$D$7:$AW$7, 'GEN-CARBON'!$D$43:$AW$43), 0), IF($B7='Project List References'!$B$7, _xlfn.IFNA(_xlfn.XLOOKUP(O$2-$C7, 'SENS Coal'!$D$7:$AW$7, 'SENS Coal'!$D$43:$AW$43), 0), IF($B7='Project List References'!$B$8, _xlfn.IFNA(_xlfn.XLOOKUP(O$2-$C7,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8.4341349597558537</v>
      </c>
      <c r="P7" s="743">
        <f>IF($B7='Project List References'!$B$3, _xlfn.IFNA(_xlfn.XLOOKUP(P$2-$C7, 'GEN-CCGT'!$D$7:$AW$7, 'GEN-CCGT'!$D$43:$AW$43), 0), IF($B7='Project List References'!$B$4, _xlfn.IFNA(_xlfn.XLOOKUP(P$2-$C7, 'GEN-SOLAR'!$D$7:$AW$7, 'GEN-SOLAR'!$D$43:$AW$43), 0), IF($B7='Project List References'!$B$5, _xlfn.IFNA(_xlfn.XLOOKUP(P$2-$C7, 'GEN-BESS'!$D$7:$AW$7, 'GEN-BESS'!$D$43:$AW$43), 0), IF($B7='Project List References'!$B$6, _xlfn.IFNA(_xlfn.XLOOKUP(P$2-$C7, 'GEN-CARBON'!$D$7:$AW$7, 'GEN-CARBON'!$D$43:$AW$43), 0), IF($B7='Project List References'!$B$7, _xlfn.IFNA(_xlfn.XLOOKUP(P$2-$C7, 'SENS Coal'!$D$7:$AW$7, 'SENS Coal'!$D$43:$AW$43), 0), IF($B7='Project List References'!$B$8, _xlfn.IFNA(_xlfn.XLOOKUP(P$2-$C7,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8.4673948483642043</v>
      </c>
      <c r="Q7" s="743">
        <f>IF($B7='Project List References'!$B$3, _xlfn.IFNA(_xlfn.XLOOKUP(Q$2-$C7, 'GEN-CCGT'!$D$7:$AW$7, 'GEN-CCGT'!$D$43:$AW$43), 0), IF($B7='Project List References'!$B$4, _xlfn.IFNA(_xlfn.XLOOKUP(Q$2-$C7, 'GEN-SOLAR'!$D$7:$AW$7, 'GEN-SOLAR'!$D$43:$AW$43), 0), IF($B7='Project List References'!$B$5, _xlfn.IFNA(_xlfn.XLOOKUP(Q$2-$C7, 'GEN-BESS'!$D$7:$AW$7, 'GEN-BESS'!$D$43:$AW$43), 0), IF($B7='Project List References'!$B$6, _xlfn.IFNA(_xlfn.XLOOKUP(Q$2-$C7, 'GEN-CARBON'!$D$7:$AW$7, 'GEN-CARBON'!$D$43:$AW$43), 0), IF($B7='Project List References'!$B$7, _xlfn.IFNA(_xlfn.XLOOKUP(Q$2-$C7, 'SENS Coal'!$D$7:$AW$7, 'SENS Coal'!$D$43:$AW$43), 0), IF($B7='Project List References'!$B$8, _xlfn.IFNA(_xlfn.XLOOKUP(Q$2-$C7,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8.5002922690574447</v>
      </c>
      <c r="R7" s="743">
        <f>IF($B7='Project List References'!$B$3, _xlfn.IFNA(_xlfn.XLOOKUP(R$2-$C7, 'GEN-CCGT'!$D$7:$AW$7, 'GEN-CCGT'!$D$43:$AW$43), 0), IF($B7='Project List References'!$B$4, _xlfn.IFNA(_xlfn.XLOOKUP(R$2-$C7, 'GEN-SOLAR'!$D$7:$AW$7, 'GEN-SOLAR'!$D$43:$AW$43), 0), IF($B7='Project List References'!$B$5, _xlfn.IFNA(_xlfn.XLOOKUP(R$2-$C7, 'GEN-BESS'!$D$7:$AW$7, 'GEN-BESS'!$D$43:$AW$43), 0), IF($B7='Project List References'!$B$6, _xlfn.IFNA(_xlfn.XLOOKUP(R$2-$C7, 'GEN-CARBON'!$D$7:$AW$7, 'GEN-CARBON'!$D$43:$AW$43), 0), IF($B7='Project List References'!$B$7, _xlfn.IFNA(_xlfn.XLOOKUP(R$2-$C7, 'SENS Coal'!$D$7:$AW$7, 'SENS Coal'!$D$43:$AW$43), 0), IF($B7='Project List References'!$B$8, _xlfn.IFNA(_xlfn.XLOOKUP(R$2-$C7,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8.5328033420774361</v>
      </c>
      <c r="S7" s="743">
        <f>IF($B7='Project List References'!$B$3, _xlfn.IFNA(_xlfn.XLOOKUP(S$2-$C7, 'GEN-CCGT'!$D$7:$AW$7, 'GEN-CCGT'!$D$43:$AW$43), 0), IF($B7='Project List References'!$B$4, _xlfn.IFNA(_xlfn.XLOOKUP(S$2-$C7, 'GEN-SOLAR'!$D$7:$AW$7, 'GEN-SOLAR'!$D$43:$AW$43), 0), IF($B7='Project List References'!$B$5, _xlfn.IFNA(_xlfn.XLOOKUP(S$2-$C7, 'GEN-BESS'!$D$7:$AW$7, 'GEN-BESS'!$D$43:$AW$43), 0), IF($B7='Project List References'!$B$6, _xlfn.IFNA(_xlfn.XLOOKUP(S$2-$C7, 'GEN-CARBON'!$D$7:$AW$7, 'GEN-CARBON'!$D$43:$AW$43), 0), IF($B7='Project List References'!$B$7, _xlfn.IFNA(_xlfn.XLOOKUP(S$2-$C7, 'SENS Coal'!$D$7:$AW$7, 'SENS Coal'!$D$43:$AW$43), 0), IF($B7='Project List References'!$B$8, _xlfn.IFNA(_xlfn.XLOOKUP(S$2-$C7,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8.5649033856951586</v>
      </c>
      <c r="T7" s="743">
        <f>IF($B7='Project List References'!$B$3, _xlfn.IFNA(_xlfn.XLOOKUP(T$2-$C7, 'GEN-CCGT'!$D$7:$AW$7, 'GEN-CCGT'!$D$43:$AW$43), 0), IF($B7='Project List References'!$B$4, _xlfn.IFNA(_xlfn.XLOOKUP(T$2-$C7, 'GEN-SOLAR'!$D$7:$AW$7, 'GEN-SOLAR'!$D$43:$AW$43), 0), IF($B7='Project List References'!$B$5, _xlfn.IFNA(_xlfn.XLOOKUP(T$2-$C7, 'GEN-BESS'!$D$7:$AW$7, 'GEN-BESS'!$D$43:$AW$43), 0), IF($B7='Project List References'!$B$6, _xlfn.IFNA(_xlfn.XLOOKUP(T$2-$C7, 'GEN-CARBON'!$D$7:$AW$7, 'GEN-CARBON'!$D$43:$AW$43), 0), IF($B7='Project List References'!$B$7, _xlfn.IFNA(_xlfn.XLOOKUP(T$2-$C7, 'SENS Coal'!$D$7:$AW$7, 'SENS Coal'!$D$43:$AW$43), 0), IF($B7='Project List References'!$B$8, _xlfn.IFNA(_xlfn.XLOOKUP(T$2-$C7, 'SENS Tires'!$D$7:$AW$7, 'SENS Tires'!$D$43:$AW$43),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8.5965668924887506</v>
      </c>
    </row>
    <row r="8" spans="1:20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_xlfn.XLOOKUP('Project OPEX'!A8, 'Project Master Sheet'!A:A, 'Project Master Sheet'!I:I)</f>
        <v>#N/A</v>
      </c>
      <c r="E8" s="743" t="e">
        <f>IF($B8='Project List References'!$B$3, _xlfn.IFNA(_xlfn.XLOOKUP(E$2-$C8, 'GEN-CCGT'!$D$7:$AW$7, 'GEN-CCGT'!$D$43:$AW$43), 0), IF($B8='Project List References'!$B$4, _xlfn.IFNA(_xlfn.XLOOKUP(E$2-$C8, 'GEN-SOLAR'!$D$7:$AW$7, 'GEN-SOLAR'!$D$43:$AW$43), 0), IF($B8='Project List References'!$B$5, _xlfn.IFNA(_xlfn.XLOOKUP(E$2-$C8, 'GEN-BESS'!$D$7:$AW$7, 'GEN-BESS'!$D$43:$AW$43), 0), IF($B8='Project List References'!$B$6, _xlfn.IFNA(_xlfn.XLOOKUP(E$2-$C8, 'GEN-CARBON'!$D$7:$AW$7, 'GEN-CARBON'!$D$43:$AW$43), 0), IF($B8='Project List References'!$B$7, _xlfn.IFNA(_xlfn.XLOOKUP(E$2-$C8, 'SENS Coal'!$D$7:$AW$7, 'SENS Coal'!$D$43:$AW$43), 0), IF($B8='Project List References'!$B$8, _xlfn.IFNA(_xlfn.XLOOKUP(E$2-$C8,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F8" s="743" t="e">
        <f>IF($B8='Project List References'!$B$3, _xlfn.IFNA(_xlfn.XLOOKUP(F$2-$C8, 'GEN-CCGT'!$D$7:$AW$7, 'GEN-CCGT'!$D$43:$AW$43), 0), IF($B8='Project List References'!$B$4, _xlfn.IFNA(_xlfn.XLOOKUP(F$2-$C8, 'GEN-SOLAR'!$D$7:$AW$7, 'GEN-SOLAR'!$D$43:$AW$43), 0), IF($B8='Project List References'!$B$5, _xlfn.IFNA(_xlfn.XLOOKUP(F$2-$C8, 'GEN-BESS'!$D$7:$AW$7, 'GEN-BESS'!$D$43:$AW$43), 0), IF($B8='Project List References'!$B$6, _xlfn.IFNA(_xlfn.XLOOKUP(F$2-$C8, 'GEN-CARBON'!$D$7:$AW$7, 'GEN-CARBON'!$D$43:$AW$43), 0), IF($B8='Project List References'!$B$7, _xlfn.IFNA(_xlfn.XLOOKUP(F$2-$C8, 'SENS Coal'!$D$7:$AW$7, 'SENS Coal'!$D$43:$AW$43), 0), IF($B8='Project List References'!$B$8, _xlfn.IFNA(_xlfn.XLOOKUP(F$2-$C8,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G8" s="743" t="e">
        <f>IF($B8='Project List References'!$B$3, _xlfn.IFNA(_xlfn.XLOOKUP(G$2-$C8, 'GEN-CCGT'!$D$7:$AW$7, 'GEN-CCGT'!$D$43:$AW$43), 0), IF($B8='Project List References'!$B$4, _xlfn.IFNA(_xlfn.XLOOKUP(G$2-$C8, 'GEN-SOLAR'!$D$7:$AW$7, 'GEN-SOLAR'!$D$43:$AW$43), 0), IF($B8='Project List References'!$B$5, _xlfn.IFNA(_xlfn.XLOOKUP(G$2-$C8, 'GEN-BESS'!$D$7:$AW$7, 'GEN-BESS'!$D$43:$AW$43), 0), IF($B8='Project List References'!$B$6, _xlfn.IFNA(_xlfn.XLOOKUP(G$2-$C8, 'GEN-CARBON'!$D$7:$AW$7, 'GEN-CARBON'!$D$43:$AW$43), 0), IF($B8='Project List References'!$B$7, _xlfn.IFNA(_xlfn.XLOOKUP(G$2-$C8, 'SENS Coal'!$D$7:$AW$7, 'SENS Coal'!$D$43:$AW$43), 0), IF($B8='Project List References'!$B$8, _xlfn.IFNA(_xlfn.XLOOKUP(G$2-$C8,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H8" s="743" t="e">
        <f>IF($B8='Project List References'!$B$3, _xlfn.IFNA(_xlfn.XLOOKUP(H$2-$C8, 'GEN-CCGT'!$D$7:$AW$7, 'GEN-CCGT'!$D$43:$AW$43), 0), IF($B8='Project List References'!$B$4, _xlfn.IFNA(_xlfn.XLOOKUP(H$2-$C8, 'GEN-SOLAR'!$D$7:$AW$7, 'GEN-SOLAR'!$D$43:$AW$43), 0), IF($B8='Project List References'!$B$5, _xlfn.IFNA(_xlfn.XLOOKUP(H$2-$C8, 'GEN-BESS'!$D$7:$AW$7, 'GEN-BESS'!$D$43:$AW$43), 0), IF($B8='Project List References'!$B$6, _xlfn.IFNA(_xlfn.XLOOKUP(H$2-$C8, 'GEN-CARBON'!$D$7:$AW$7, 'GEN-CARBON'!$D$43:$AW$43), 0), IF($B8='Project List References'!$B$7, _xlfn.IFNA(_xlfn.XLOOKUP(H$2-$C8, 'SENS Coal'!$D$7:$AW$7, 'SENS Coal'!$D$43:$AW$43), 0), IF($B8='Project List References'!$B$8, _xlfn.IFNA(_xlfn.XLOOKUP(H$2-$C8,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I8" s="743" t="e">
        <f>IF($B8='Project List References'!$B$3, _xlfn.IFNA(_xlfn.XLOOKUP(I$2-$C8, 'GEN-CCGT'!$D$7:$AW$7, 'GEN-CCGT'!$D$43:$AW$43), 0), IF($B8='Project List References'!$B$4, _xlfn.IFNA(_xlfn.XLOOKUP(I$2-$C8, 'GEN-SOLAR'!$D$7:$AW$7, 'GEN-SOLAR'!$D$43:$AW$43), 0), IF($B8='Project List References'!$B$5, _xlfn.IFNA(_xlfn.XLOOKUP(I$2-$C8, 'GEN-BESS'!$D$7:$AW$7, 'GEN-BESS'!$D$43:$AW$43), 0), IF($B8='Project List References'!$B$6, _xlfn.IFNA(_xlfn.XLOOKUP(I$2-$C8, 'GEN-CARBON'!$D$7:$AW$7, 'GEN-CARBON'!$D$43:$AW$43), 0), IF($B8='Project List References'!$B$7, _xlfn.IFNA(_xlfn.XLOOKUP(I$2-$C8, 'SENS Coal'!$D$7:$AW$7, 'SENS Coal'!$D$43:$AW$43), 0), IF($B8='Project List References'!$B$8, _xlfn.IFNA(_xlfn.XLOOKUP(I$2-$C8,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J8" s="743" t="e">
        <f>IF($B8='Project List References'!$B$3, _xlfn.IFNA(_xlfn.XLOOKUP(J$2-$C8, 'GEN-CCGT'!$D$7:$AW$7, 'GEN-CCGT'!$D$43:$AW$43), 0), IF($B8='Project List References'!$B$4, _xlfn.IFNA(_xlfn.XLOOKUP(J$2-$C8, 'GEN-SOLAR'!$D$7:$AW$7, 'GEN-SOLAR'!$D$43:$AW$43), 0), IF($B8='Project List References'!$B$5, _xlfn.IFNA(_xlfn.XLOOKUP(J$2-$C8, 'GEN-BESS'!$D$7:$AW$7, 'GEN-BESS'!$D$43:$AW$43), 0), IF($B8='Project List References'!$B$6, _xlfn.IFNA(_xlfn.XLOOKUP(J$2-$C8, 'GEN-CARBON'!$D$7:$AW$7, 'GEN-CARBON'!$D$43:$AW$43), 0), IF($B8='Project List References'!$B$7, _xlfn.IFNA(_xlfn.XLOOKUP(J$2-$C8, 'SENS Coal'!$D$7:$AW$7, 'SENS Coal'!$D$43:$AW$43), 0), IF($B8='Project List References'!$B$8, _xlfn.IFNA(_xlfn.XLOOKUP(J$2-$C8,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K8" s="743" t="e">
        <f>IF($B8='Project List References'!$B$3, _xlfn.IFNA(_xlfn.XLOOKUP(K$2-$C8, 'GEN-CCGT'!$D$7:$AW$7, 'GEN-CCGT'!$D$43:$AW$43), 0), IF($B8='Project List References'!$B$4, _xlfn.IFNA(_xlfn.XLOOKUP(K$2-$C8, 'GEN-SOLAR'!$D$7:$AW$7, 'GEN-SOLAR'!$D$43:$AW$43), 0), IF($B8='Project List References'!$B$5, _xlfn.IFNA(_xlfn.XLOOKUP(K$2-$C8, 'GEN-BESS'!$D$7:$AW$7, 'GEN-BESS'!$D$43:$AW$43), 0), IF($B8='Project List References'!$B$6, _xlfn.IFNA(_xlfn.XLOOKUP(K$2-$C8, 'GEN-CARBON'!$D$7:$AW$7, 'GEN-CARBON'!$D$43:$AW$43), 0), IF($B8='Project List References'!$B$7, _xlfn.IFNA(_xlfn.XLOOKUP(K$2-$C8, 'SENS Coal'!$D$7:$AW$7, 'SENS Coal'!$D$43:$AW$43), 0), IF($B8='Project List References'!$B$8, _xlfn.IFNA(_xlfn.XLOOKUP(K$2-$C8,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L8" s="743" t="e">
        <f>IF($B8='Project List References'!$B$3, _xlfn.IFNA(_xlfn.XLOOKUP(L$2-$C8, 'GEN-CCGT'!$D$7:$AW$7, 'GEN-CCGT'!$D$43:$AW$43), 0), IF($B8='Project List References'!$B$4, _xlfn.IFNA(_xlfn.XLOOKUP(L$2-$C8, 'GEN-SOLAR'!$D$7:$AW$7, 'GEN-SOLAR'!$D$43:$AW$43), 0), IF($B8='Project List References'!$B$5, _xlfn.IFNA(_xlfn.XLOOKUP(L$2-$C8, 'GEN-BESS'!$D$7:$AW$7, 'GEN-BESS'!$D$43:$AW$43), 0), IF($B8='Project List References'!$B$6, _xlfn.IFNA(_xlfn.XLOOKUP(L$2-$C8, 'GEN-CARBON'!$D$7:$AW$7, 'GEN-CARBON'!$D$43:$AW$43), 0), IF($B8='Project List References'!$B$7, _xlfn.IFNA(_xlfn.XLOOKUP(L$2-$C8, 'SENS Coal'!$D$7:$AW$7, 'SENS Coal'!$D$43:$AW$43), 0), IF($B8='Project List References'!$B$8, _xlfn.IFNA(_xlfn.XLOOKUP(L$2-$C8,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M8" s="743" t="e">
        <f>IF($B8='Project List References'!$B$3, _xlfn.IFNA(_xlfn.XLOOKUP(M$2-$C8, 'GEN-CCGT'!$D$7:$AW$7, 'GEN-CCGT'!$D$43:$AW$43), 0), IF($B8='Project List References'!$B$4, _xlfn.IFNA(_xlfn.XLOOKUP(M$2-$C8, 'GEN-SOLAR'!$D$7:$AW$7, 'GEN-SOLAR'!$D$43:$AW$43), 0), IF($B8='Project List References'!$B$5, _xlfn.IFNA(_xlfn.XLOOKUP(M$2-$C8, 'GEN-BESS'!$D$7:$AW$7, 'GEN-BESS'!$D$43:$AW$43), 0), IF($B8='Project List References'!$B$6, _xlfn.IFNA(_xlfn.XLOOKUP(M$2-$C8, 'GEN-CARBON'!$D$7:$AW$7, 'GEN-CARBON'!$D$43:$AW$43), 0), IF($B8='Project List References'!$B$7, _xlfn.IFNA(_xlfn.XLOOKUP(M$2-$C8, 'SENS Coal'!$D$7:$AW$7, 'SENS Coal'!$D$43:$AW$43), 0), IF($B8='Project List References'!$B$8, _xlfn.IFNA(_xlfn.XLOOKUP(M$2-$C8,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N8" s="743" t="e">
        <f>IF($B8='Project List References'!$B$3, _xlfn.IFNA(_xlfn.XLOOKUP(N$2-$C8, 'GEN-CCGT'!$D$7:$AW$7, 'GEN-CCGT'!$D$43:$AW$43), 0), IF($B8='Project List References'!$B$4, _xlfn.IFNA(_xlfn.XLOOKUP(N$2-$C8, 'GEN-SOLAR'!$D$7:$AW$7, 'GEN-SOLAR'!$D$43:$AW$43), 0), IF($B8='Project List References'!$B$5, _xlfn.IFNA(_xlfn.XLOOKUP(N$2-$C8, 'GEN-BESS'!$D$7:$AW$7, 'GEN-BESS'!$D$43:$AW$43), 0), IF($B8='Project List References'!$B$6, _xlfn.IFNA(_xlfn.XLOOKUP(N$2-$C8, 'GEN-CARBON'!$D$7:$AW$7, 'GEN-CARBON'!$D$43:$AW$43), 0), IF($B8='Project List References'!$B$7, _xlfn.IFNA(_xlfn.XLOOKUP(N$2-$C8, 'SENS Coal'!$D$7:$AW$7, 'SENS Coal'!$D$43:$AW$43), 0), IF($B8='Project List References'!$B$8, _xlfn.IFNA(_xlfn.XLOOKUP(N$2-$C8,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O8" s="743" t="e">
        <f>IF($B8='Project List References'!$B$3, _xlfn.IFNA(_xlfn.XLOOKUP(O$2-$C8, 'GEN-CCGT'!$D$7:$AW$7, 'GEN-CCGT'!$D$43:$AW$43), 0), IF($B8='Project List References'!$B$4, _xlfn.IFNA(_xlfn.XLOOKUP(O$2-$C8, 'GEN-SOLAR'!$D$7:$AW$7, 'GEN-SOLAR'!$D$43:$AW$43), 0), IF($B8='Project List References'!$B$5, _xlfn.IFNA(_xlfn.XLOOKUP(O$2-$C8, 'GEN-BESS'!$D$7:$AW$7, 'GEN-BESS'!$D$43:$AW$43), 0), IF($B8='Project List References'!$B$6, _xlfn.IFNA(_xlfn.XLOOKUP(O$2-$C8, 'GEN-CARBON'!$D$7:$AW$7, 'GEN-CARBON'!$D$43:$AW$43), 0), IF($B8='Project List References'!$B$7, _xlfn.IFNA(_xlfn.XLOOKUP(O$2-$C8, 'SENS Coal'!$D$7:$AW$7, 'SENS Coal'!$D$43:$AW$43), 0), IF($B8='Project List References'!$B$8, _xlfn.IFNA(_xlfn.XLOOKUP(O$2-$C8,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P8" s="743" t="e">
        <f>IF($B8='Project List References'!$B$3, _xlfn.IFNA(_xlfn.XLOOKUP(P$2-$C8, 'GEN-CCGT'!$D$7:$AW$7, 'GEN-CCGT'!$D$43:$AW$43), 0), IF($B8='Project List References'!$B$4, _xlfn.IFNA(_xlfn.XLOOKUP(P$2-$C8, 'GEN-SOLAR'!$D$7:$AW$7, 'GEN-SOLAR'!$D$43:$AW$43), 0), IF($B8='Project List References'!$B$5, _xlfn.IFNA(_xlfn.XLOOKUP(P$2-$C8, 'GEN-BESS'!$D$7:$AW$7, 'GEN-BESS'!$D$43:$AW$43), 0), IF($B8='Project List References'!$B$6, _xlfn.IFNA(_xlfn.XLOOKUP(P$2-$C8, 'GEN-CARBON'!$D$7:$AW$7, 'GEN-CARBON'!$D$43:$AW$43), 0), IF($B8='Project List References'!$B$7, _xlfn.IFNA(_xlfn.XLOOKUP(P$2-$C8, 'SENS Coal'!$D$7:$AW$7, 'SENS Coal'!$D$43:$AW$43), 0), IF($B8='Project List References'!$B$8, _xlfn.IFNA(_xlfn.XLOOKUP(P$2-$C8,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Q8" s="743" t="e">
        <f>IF($B8='Project List References'!$B$3, _xlfn.IFNA(_xlfn.XLOOKUP(Q$2-$C8, 'GEN-CCGT'!$D$7:$AW$7, 'GEN-CCGT'!$D$43:$AW$43), 0), IF($B8='Project List References'!$B$4, _xlfn.IFNA(_xlfn.XLOOKUP(Q$2-$C8, 'GEN-SOLAR'!$D$7:$AW$7, 'GEN-SOLAR'!$D$43:$AW$43), 0), IF($B8='Project List References'!$B$5, _xlfn.IFNA(_xlfn.XLOOKUP(Q$2-$C8, 'GEN-BESS'!$D$7:$AW$7, 'GEN-BESS'!$D$43:$AW$43), 0), IF($B8='Project List References'!$B$6, _xlfn.IFNA(_xlfn.XLOOKUP(Q$2-$C8, 'GEN-CARBON'!$D$7:$AW$7, 'GEN-CARBON'!$D$43:$AW$43), 0), IF($B8='Project List References'!$B$7, _xlfn.IFNA(_xlfn.XLOOKUP(Q$2-$C8, 'SENS Coal'!$D$7:$AW$7, 'SENS Coal'!$D$43:$AW$43), 0), IF($B8='Project List References'!$B$8, _xlfn.IFNA(_xlfn.XLOOKUP(Q$2-$C8,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R8" s="743" t="e">
        <f>IF($B8='Project List References'!$B$3, _xlfn.IFNA(_xlfn.XLOOKUP(R$2-$C8, 'GEN-CCGT'!$D$7:$AW$7, 'GEN-CCGT'!$D$43:$AW$43), 0), IF($B8='Project List References'!$B$4, _xlfn.IFNA(_xlfn.XLOOKUP(R$2-$C8, 'GEN-SOLAR'!$D$7:$AW$7, 'GEN-SOLAR'!$D$43:$AW$43), 0), IF($B8='Project List References'!$B$5, _xlfn.IFNA(_xlfn.XLOOKUP(R$2-$C8, 'GEN-BESS'!$D$7:$AW$7, 'GEN-BESS'!$D$43:$AW$43), 0), IF($B8='Project List References'!$B$6, _xlfn.IFNA(_xlfn.XLOOKUP(R$2-$C8, 'GEN-CARBON'!$D$7:$AW$7, 'GEN-CARBON'!$D$43:$AW$43), 0), IF($B8='Project List References'!$B$7, _xlfn.IFNA(_xlfn.XLOOKUP(R$2-$C8, 'SENS Coal'!$D$7:$AW$7, 'SENS Coal'!$D$43:$AW$43), 0), IF($B8='Project List References'!$B$8, _xlfn.IFNA(_xlfn.XLOOKUP(R$2-$C8,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S8" s="743" t="e">
        <f>IF($B8='Project List References'!$B$3, _xlfn.IFNA(_xlfn.XLOOKUP(S$2-$C8, 'GEN-CCGT'!$D$7:$AW$7, 'GEN-CCGT'!$D$43:$AW$43), 0), IF($B8='Project List References'!$B$4, _xlfn.IFNA(_xlfn.XLOOKUP(S$2-$C8, 'GEN-SOLAR'!$D$7:$AW$7, 'GEN-SOLAR'!$D$43:$AW$43), 0), IF($B8='Project List References'!$B$5, _xlfn.IFNA(_xlfn.XLOOKUP(S$2-$C8, 'GEN-BESS'!$D$7:$AW$7, 'GEN-BESS'!$D$43:$AW$43), 0), IF($B8='Project List References'!$B$6, _xlfn.IFNA(_xlfn.XLOOKUP(S$2-$C8, 'GEN-CARBON'!$D$7:$AW$7, 'GEN-CARBON'!$D$43:$AW$43), 0), IF($B8='Project List References'!$B$7, _xlfn.IFNA(_xlfn.XLOOKUP(S$2-$C8, 'SENS Coal'!$D$7:$AW$7, 'SENS Coal'!$D$43:$AW$43), 0), IF($B8='Project List References'!$B$8, _xlfn.IFNA(_xlfn.XLOOKUP(S$2-$C8,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T8" s="743" t="e">
        <f>IF($B8='Project List References'!$B$3, _xlfn.IFNA(_xlfn.XLOOKUP(T$2-$C8, 'GEN-CCGT'!$D$7:$AW$7, 'GEN-CCGT'!$D$43:$AW$43), 0), IF($B8='Project List References'!$B$4, _xlfn.IFNA(_xlfn.XLOOKUP(T$2-$C8, 'GEN-SOLAR'!$D$7:$AW$7, 'GEN-SOLAR'!$D$43:$AW$43), 0), IF($B8='Project List References'!$B$5, _xlfn.IFNA(_xlfn.XLOOKUP(T$2-$C8, 'GEN-BESS'!$D$7:$AW$7, 'GEN-BESS'!$D$43:$AW$43), 0), IF($B8='Project List References'!$B$6, _xlfn.IFNA(_xlfn.XLOOKUP(T$2-$C8, 'GEN-CARBON'!$D$7:$AW$7, 'GEN-CARBON'!$D$43:$AW$43), 0), IF($B8='Project List References'!$B$7, _xlfn.IFNA(_xlfn.XLOOKUP(T$2-$C8, 'SENS Coal'!$D$7:$AW$7, 'SENS Coal'!$D$43:$AW$43), 0), IF($B8='Project List References'!$B$8, _xlfn.IFNA(_xlfn.XLOOKUP(T$2-$C8, 'SENS Tires'!$D$7:$AW$7, 'SENS Tires'!$D$43:$AW$43),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</row>
    <row r="9" spans="1:20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_xlfn.XLOOKUP('Project OPEX'!A9, 'Project Master Sheet'!A:A, 'Project Master Sheet'!I:I)</f>
        <v>1</v>
      </c>
      <c r="E9" s="743">
        <f>IF($B9='Project List References'!$B$3, _xlfn.IFNA(_xlfn.XLOOKUP(E$2-$C9, 'GEN-CCGT'!$D$7:$AW$7, 'GEN-CCGT'!$D$43:$AW$43), 0), IF($B9='Project List References'!$B$4, _xlfn.IFNA(_xlfn.XLOOKUP(E$2-$C9, 'GEN-SOLAR'!$D$7:$AW$7, 'GEN-SOLAR'!$D$43:$AW$43), 0), IF($B9='Project List References'!$B$5, _xlfn.IFNA(_xlfn.XLOOKUP(E$2-$C9, 'GEN-BESS'!$D$7:$AW$7, 'GEN-BESS'!$D$43:$AW$43), 0), IF($B9='Project List References'!$B$6, _xlfn.IFNA(_xlfn.XLOOKUP(E$2-$C9, 'GEN-CARBON'!$D$7:$AW$7, 'GEN-CARBON'!$D$43:$AW$43), 0), IF($B9='Project List References'!$B$7, _xlfn.IFNA(_xlfn.XLOOKUP(E$2-$C9, 'SENS Coal'!$D$7:$AW$7, 'SENS Coal'!$D$43:$AW$43), 0), IF($B9='Project List References'!$B$8, _xlfn.IFNA(_xlfn.XLOOKUP(E$2-$C9,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F9" s="743">
        <f>IF($B9='Project List References'!$B$3, _xlfn.IFNA(_xlfn.XLOOKUP(F$2-$C9, 'GEN-CCGT'!$D$7:$AW$7, 'GEN-CCGT'!$D$43:$AW$43), 0), IF($B9='Project List References'!$B$4, _xlfn.IFNA(_xlfn.XLOOKUP(F$2-$C9, 'GEN-SOLAR'!$D$7:$AW$7, 'GEN-SOLAR'!$D$43:$AW$43), 0), IF($B9='Project List References'!$B$5, _xlfn.IFNA(_xlfn.XLOOKUP(F$2-$C9, 'GEN-BESS'!$D$7:$AW$7, 'GEN-BESS'!$D$43:$AW$43), 0), IF($B9='Project List References'!$B$6, _xlfn.IFNA(_xlfn.XLOOKUP(F$2-$C9, 'GEN-CARBON'!$D$7:$AW$7, 'GEN-CARBON'!$D$43:$AW$43), 0), IF($B9='Project List References'!$B$7, _xlfn.IFNA(_xlfn.XLOOKUP(F$2-$C9, 'SENS Coal'!$D$7:$AW$7, 'SENS Coal'!$D$43:$AW$43), 0), IF($B9='Project List References'!$B$8, _xlfn.IFNA(_xlfn.XLOOKUP(F$2-$C9,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-33.611111111111114</v>
      </c>
      <c r="G9" s="743">
        <f>IF($B9='Project List References'!$B$3, _xlfn.IFNA(_xlfn.XLOOKUP(G$2-$C9, 'GEN-CCGT'!$D$7:$AW$7, 'GEN-CCGT'!$D$43:$AW$43), 0), IF($B9='Project List References'!$B$4, _xlfn.IFNA(_xlfn.XLOOKUP(G$2-$C9, 'GEN-SOLAR'!$D$7:$AW$7, 'GEN-SOLAR'!$D$43:$AW$43), 0), IF($B9='Project List References'!$B$5, _xlfn.IFNA(_xlfn.XLOOKUP(G$2-$C9, 'GEN-BESS'!$D$7:$AW$7, 'GEN-BESS'!$D$43:$AW$43), 0), IF($B9='Project List References'!$B$6, _xlfn.IFNA(_xlfn.XLOOKUP(G$2-$C9, 'GEN-CARBON'!$D$7:$AW$7, 'GEN-CARBON'!$D$43:$AW$43), 0), IF($B9='Project List References'!$B$7, _xlfn.IFNA(_xlfn.XLOOKUP(G$2-$C9, 'SENS Coal'!$D$7:$AW$7, 'SENS Coal'!$D$43:$AW$43), 0), IF($B9='Project List References'!$B$8, _xlfn.IFNA(_xlfn.XLOOKUP(G$2-$C9,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-36.666666666666664</v>
      </c>
      <c r="H9" s="743">
        <f>IF($B9='Project List References'!$B$3, _xlfn.IFNA(_xlfn.XLOOKUP(H$2-$C9, 'GEN-CCGT'!$D$7:$AW$7, 'GEN-CCGT'!$D$43:$AW$43), 0), IF($B9='Project List References'!$B$4, _xlfn.IFNA(_xlfn.XLOOKUP(H$2-$C9, 'GEN-SOLAR'!$D$7:$AW$7, 'GEN-SOLAR'!$D$43:$AW$43), 0), IF($B9='Project List References'!$B$5, _xlfn.IFNA(_xlfn.XLOOKUP(H$2-$C9, 'GEN-BESS'!$D$7:$AW$7, 'GEN-BESS'!$D$43:$AW$43), 0), IF($B9='Project List References'!$B$6, _xlfn.IFNA(_xlfn.XLOOKUP(H$2-$C9, 'GEN-CARBON'!$D$7:$AW$7, 'GEN-CARBON'!$D$43:$AW$43), 0), IF($B9='Project List References'!$B$7, _xlfn.IFNA(_xlfn.XLOOKUP(H$2-$C9, 'SENS Coal'!$D$7:$AW$7, 'SENS Coal'!$D$43:$AW$43), 0), IF($B9='Project List References'!$B$8, _xlfn.IFNA(_xlfn.XLOOKUP(H$2-$C9,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-36.666666666666664</v>
      </c>
      <c r="I9" s="743">
        <f>IF($B9='Project List References'!$B$3, _xlfn.IFNA(_xlfn.XLOOKUP(I$2-$C9, 'GEN-CCGT'!$D$7:$AW$7, 'GEN-CCGT'!$D$43:$AW$43), 0), IF($B9='Project List References'!$B$4, _xlfn.IFNA(_xlfn.XLOOKUP(I$2-$C9, 'GEN-SOLAR'!$D$7:$AW$7, 'GEN-SOLAR'!$D$43:$AW$43), 0), IF($B9='Project List References'!$B$5, _xlfn.IFNA(_xlfn.XLOOKUP(I$2-$C9, 'GEN-BESS'!$D$7:$AW$7, 'GEN-BESS'!$D$43:$AW$43), 0), IF($B9='Project List References'!$B$6, _xlfn.IFNA(_xlfn.XLOOKUP(I$2-$C9, 'GEN-CARBON'!$D$7:$AW$7, 'GEN-CARBON'!$D$43:$AW$43), 0), IF($B9='Project List References'!$B$7, _xlfn.IFNA(_xlfn.XLOOKUP(I$2-$C9, 'SENS Coal'!$D$7:$AW$7, 'SENS Coal'!$D$43:$AW$43), 0), IF($B9='Project List References'!$B$8, _xlfn.IFNA(_xlfn.XLOOKUP(I$2-$C9,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9.4143964965711611</v>
      </c>
      <c r="J9" s="743">
        <f>IF($B9='Project List References'!$B$3, _xlfn.IFNA(_xlfn.XLOOKUP(J$2-$C9, 'GEN-CCGT'!$D$7:$AW$7, 'GEN-CCGT'!$D$43:$AW$43), 0), IF($B9='Project List References'!$B$4, _xlfn.IFNA(_xlfn.XLOOKUP(J$2-$C9, 'GEN-SOLAR'!$D$7:$AW$7, 'GEN-SOLAR'!$D$43:$AW$43), 0), IF($B9='Project List References'!$B$5, _xlfn.IFNA(_xlfn.XLOOKUP(J$2-$C9, 'GEN-BESS'!$D$7:$AW$7, 'GEN-BESS'!$D$43:$AW$43), 0), IF($B9='Project List References'!$B$6, _xlfn.IFNA(_xlfn.XLOOKUP(J$2-$C9, 'GEN-CARBON'!$D$7:$AW$7, 'GEN-CARBON'!$D$43:$AW$43), 0), IF($B9='Project List References'!$B$7, _xlfn.IFNA(_xlfn.XLOOKUP(J$2-$C9, 'SENS Coal'!$D$7:$AW$7, 'SENS Coal'!$D$43:$AW$43), 0), IF($B9='Project List References'!$B$8, _xlfn.IFNA(_xlfn.XLOOKUP(J$2-$C9,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23.54950768127388</v>
      </c>
      <c r="K9" s="743">
        <f>IF($B9='Project List References'!$B$3, _xlfn.IFNA(_xlfn.XLOOKUP(K$2-$C9, 'GEN-CCGT'!$D$7:$AW$7, 'GEN-CCGT'!$D$43:$AW$43), 0), IF($B9='Project List References'!$B$4, _xlfn.IFNA(_xlfn.XLOOKUP(K$2-$C9, 'GEN-SOLAR'!$D$7:$AW$7, 'GEN-SOLAR'!$D$43:$AW$43), 0), IF($B9='Project List References'!$B$5, _xlfn.IFNA(_xlfn.XLOOKUP(K$2-$C9, 'GEN-BESS'!$D$7:$AW$7, 'GEN-BESS'!$D$43:$AW$43), 0), IF($B9='Project List References'!$B$6, _xlfn.IFNA(_xlfn.XLOOKUP(K$2-$C9, 'GEN-CARBON'!$D$7:$AW$7, 'GEN-CARBON'!$D$43:$AW$43), 0), IF($B9='Project List References'!$B$7, _xlfn.IFNA(_xlfn.XLOOKUP(K$2-$C9, 'SENS Coal'!$D$7:$AW$7, 'SENS Coal'!$D$43:$AW$43), 0), IF($B9='Project List References'!$B$8, _xlfn.IFNA(_xlfn.XLOOKUP(K$2-$C9,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24.173533791540823</v>
      </c>
      <c r="L9" s="743">
        <f>IF($B9='Project List References'!$B$3, _xlfn.IFNA(_xlfn.XLOOKUP(L$2-$C9, 'GEN-CCGT'!$D$7:$AW$7, 'GEN-CCGT'!$D$43:$AW$43), 0), IF($B9='Project List References'!$B$4, _xlfn.IFNA(_xlfn.XLOOKUP(L$2-$C9, 'GEN-SOLAR'!$D$7:$AW$7, 'GEN-SOLAR'!$D$43:$AW$43), 0), IF($B9='Project List References'!$B$5, _xlfn.IFNA(_xlfn.XLOOKUP(L$2-$C9, 'GEN-BESS'!$D$7:$AW$7, 'GEN-BESS'!$D$43:$AW$43), 0), IF($B9='Project List References'!$B$6, _xlfn.IFNA(_xlfn.XLOOKUP(L$2-$C9, 'GEN-CARBON'!$D$7:$AW$7, 'GEN-CARBON'!$D$43:$AW$43), 0), IF($B9='Project List References'!$B$7, _xlfn.IFNA(_xlfn.XLOOKUP(L$2-$C9, 'SENS Coal'!$D$7:$AW$7, 'SENS Coal'!$D$43:$AW$43), 0), IF($B9='Project List References'!$B$8, _xlfn.IFNA(_xlfn.XLOOKUP(L$2-$C9,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24.807203643961806</v>
      </c>
      <c r="M9" s="743">
        <f>IF($B9='Project List References'!$B$3, _xlfn.IFNA(_xlfn.XLOOKUP(M$2-$C9, 'GEN-CCGT'!$D$7:$AW$7, 'GEN-CCGT'!$D$43:$AW$43), 0), IF($B9='Project List References'!$B$4, _xlfn.IFNA(_xlfn.XLOOKUP(M$2-$C9, 'GEN-SOLAR'!$D$7:$AW$7, 'GEN-SOLAR'!$D$43:$AW$43), 0), IF($B9='Project List References'!$B$5, _xlfn.IFNA(_xlfn.XLOOKUP(M$2-$C9, 'GEN-BESS'!$D$7:$AW$7, 'GEN-BESS'!$D$43:$AW$43), 0), IF($B9='Project List References'!$B$6, _xlfn.IFNA(_xlfn.XLOOKUP(M$2-$C9, 'GEN-CARBON'!$D$7:$AW$7, 'GEN-CARBON'!$D$43:$AW$43), 0), IF($B9='Project List References'!$B$7, _xlfn.IFNA(_xlfn.XLOOKUP(M$2-$C9, 'SENS Coal'!$D$7:$AW$7, 'SENS Coal'!$D$43:$AW$43), 0), IF($B9='Project List References'!$B$8, _xlfn.IFNA(_xlfn.XLOOKUP(M$2-$C9,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25.450672722332087</v>
      </c>
      <c r="N9" s="743">
        <f>IF($B9='Project List References'!$B$3, _xlfn.IFNA(_xlfn.XLOOKUP(N$2-$C9, 'GEN-CCGT'!$D$7:$AW$7, 'GEN-CCGT'!$D$43:$AW$43), 0), IF($B9='Project List References'!$B$4, _xlfn.IFNA(_xlfn.XLOOKUP(N$2-$C9, 'GEN-SOLAR'!$D$7:$AW$7, 'GEN-SOLAR'!$D$43:$AW$43), 0), IF($B9='Project List References'!$B$5, _xlfn.IFNA(_xlfn.XLOOKUP(N$2-$C9, 'GEN-BESS'!$D$7:$AW$7, 'GEN-BESS'!$D$43:$AW$43), 0), IF($B9='Project List References'!$B$6, _xlfn.IFNA(_xlfn.XLOOKUP(N$2-$C9, 'GEN-CARBON'!$D$7:$AW$7, 'GEN-CARBON'!$D$43:$AW$43), 0), IF($B9='Project List References'!$B$7, _xlfn.IFNA(_xlfn.XLOOKUP(N$2-$C9, 'SENS Coal'!$D$7:$AW$7, 'SENS Coal'!$D$43:$AW$43), 0), IF($B9='Project List References'!$B$8, _xlfn.IFNA(_xlfn.XLOOKUP(N$2-$C9,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26.104098778239258</v>
      </c>
      <c r="O9" s="743">
        <f>IF($B9='Project List References'!$B$3, _xlfn.IFNA(_xlfn.XLOOKUP(O$2-$C9, 'GEN-CCGT'!$D$7:$AW$7, 'GEN-CCGT'!$D$43:$AW$43), 0), IF($B9='Project List References'!$B$4, _xlfn.IFNA(_xlfn.XLOOKUP(O$2-$C9, 'GEN-SOLAR'!$D$7:$AW$7, 'GEN-SOLAR'!$D$43:$AW$43), 0), IF($B9='Project List References'!$B$5, _xlfn.IFNA(_xlfn.XLOOKUP(O$2-$C9, 'GEN-BESS'!$D$7:$AW$7, 'GEN-BESS'!$D$43:$AW$43), 0), IF($B9='Project List References'!$B$6, _xlfn.IFNA(_xlfn.XLOOKUP(O$2-$C9, 'GEN-CARBON'!$D$7:$AW$7, 'GEN-CARBON'!$D$43:$AW$43), 0), IF($B9='Project List References'!$B$7, _xlfn.IFNA(_xlfn.XLOOKUP(O$2-$C9, 'SENS Coal'!$D$7:$AW$7, 'SENS Coal'!$D$43:$AW$43), 0), IF($B9='Project List References'!$B$8, _xlfn.IFNA(_xlfn.XLOOKUP(O$2-$C9,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26.767641857427719</v>
      </c>
      <c r="P9" s="743">
        <f>IF($B9='Project List References'!$B$3, _xlfn.IFNA(_xlfn.XLOOKUP(P$2-$C9, 'GEN-CCGT'!$D$7:$AW$7, 'GEN-CCGT'!$D$43:$AW$43), 0), IF($B9='Project List References'!$B$4, _xlfn.IFNA(_xlfn.XLOOKUP(P$2-$C9, 'GEN-SOLAR'!$D$7:$AW$7, 'GEN-SOLAR'!$D$43:$AW$43), 0), IF($B9='Project List References'!$B$5, _xlfn.IFNA(_xlfn.XLOOKUP(P$2-$C9, 'GEN-BESS'!$D$7:$AW$7, 'GEN-BESS'!$D$43:$AW$43), 0), IF($B9='Project List References'!$B$6, _xlfn.IFNA(_xlfn.XLOOKUP(P$2-$C9, 'GEN-CARBON'!$D$7:$AW$7, 'GEN-CARBON'!$D$43:$AW$43), 0), IF($B9='Project List References'!$B$7, _xlfn.IFNA(_xlfn.XLOOKUP(P$2-$C9, 'SENS Coal'!$D$7:$AW$7, 'SENS Coal'!$D$43:$AW$43), 0), IF($B9='Project List References'!$B$8, _xlfn.IFNA(_xlfn.XLOOKUP(P$2-$C9,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27.441464326226654</v>
      </c>
      <c r="Q9" s="743">
        <f>IF($B9='Project List References'!$B$3, _xlfn.IFNA(_xlfn.XLOOKUP(Q$2-$C9, 'GEN-CCGT'!$D$7:$AW$7, 'GEN-CCGT'!$D$43:$AW$43), 0), IF($B9='Project List References'!$B$4, _xlfn.IFNA(_xlfn.XLOOKUP(Q$2-$C9, 'GEN-SOLAR'!$D$7:$AW$7, 'GEN-SOLAR'!$D$43:$AW$43), 0), IF($B9='Project List References'!$B$5, _xlfn.IFNA(_xlfn.XLOOKUP(Q$2-$C9, 'GEN-BESS'!$D$7:$AW$7, 'GEN-BESS'!$D$43:$AW$43), 0), IF($B9='Project List References'!$B$6, _xlfn.IFNA(_xlfn.XLOOKUP(Q$2-$C9, 'GEN-CARBON'!$D$7:$AW$7, 'GEN-CARBON'!$D$43:$AW$43), 0), IF($B9='Project List References'!$B$7, _xlfn.IFNA(_xlfn.XLOOKUP(Q$2-$C9, 'SENS Coal'!$D$7:$AW$7, 'SENS Coal'!$D$43:$AW$43), 0), IF($B9='Project List References'!$B$8, _xlfn.IFNA(_xlfn.XLOOKUP(Q$2-$C9,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28.125730898030582</v>
      </c>
      <c r="R9" s="743">
        <f>IF($B9='Project List References'!$B$3, _xlfn.IFNA(_xlfn.XLOOKUP(R$2-$C9, 'GEN-CCGT'!$D$7:$AW$7, 'GEN-CCGT'!$D$43:$AW$43), 0), IF($B9='Project List References'!$B$4, _xlfn.IFNA(_xlfn.XLOOKUP(R$2-$C9, 'GEN-SOLAR'!$D$7:$AW$7, 'GEN-SOLAR'!$D$43:$AW$43), 0), IF($B9='Project List References'!$B$5, _xlfn.IFNA(_xlfn.XLOOKUP(R$2-$C9, 'GEN-BESS'!$D$7:$AW$7, 'GEN-BESS'!$D$43:$AW$43), 0), IF($B9='Project List References'!$B$6, _xlfn.IFNA(_xlfn.XLOOKUP(R$2-$C9, 'GEN-CARBON'!$D$7:$AW$7, 'GEN-CARBON'!$D$43:$AW$43), 0), IF($B9='Project List References'!$B$7, _xlfn.IFNA(_xlfn.XLOOKUP(R$2-$C9, 'SENS Coal'!$D$7:$AW$7, 'SENS Coal'!$D$43:$AW$43), 0), IF($B9='Project List References'!$B$8, _xlfn.IFNA(_xlfn.XLOOKUP(R$2-$C9,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28.820608659821261</v>
      </c>
      <c r="S9" s="743">
        <f>IF($B9='Project List References'!$B$3, _xlfn.IFNA(_xlfn.XLOOKUP(S$2-$C9, 'GEN-CCGT'!$D$7:$AW$7, 'GEN-CCGT'!$D$43:$AW$43), 0), IF($B9='Project List References'!$B$4, _xlfn.IFNA(_xlfn.XLOOKUP(S$2-$C9, 'GEN-SOLAR'!$D$7:$AW$7, 'GEN-SOLAR'!$D$43:$AW$43), 0), IF($B9='Project List References'!$B$5, _xlfn.IFNA(_xlfn.XLOOKUP(S$2-$C9, 'GEN-BESS'!$D$7:$AW$7, 'GEN-BESS'!$D$43:$AW$43), 0), IF($B9='Project List References'!$B$6, _xlfn.IFNA(_xlfn.XLOOKUP(S$2-$C9, 'GEN-CARBON'!$D$7:$AW$7, 'GEN-CARBON'!$D$43:$AW$43), 0), IF($B9='Project List References'!$B$7, _xlfn.IFNA(_xlfn.XLOOKUP(S$2-$C9, 'SENS Coal'!$D$7:$AW$7, 'SENS Coal'!$D$43:$AW$43), 0), IF($B9='Project List References'!$B$8, _xlfn.IFNA(_xlfn.XLOOKUP(S$2-$C9,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29.52626709871889</v>
      </c>
      <c r="T9" s="743">
        <f>IF($B9='Project List References'!$B$3, _xlfn.IFNA(_xlfn.XLOOKUP(T$2-$C9, 'GEN-CCGT'!$D$7:$AW$7, 'GEN-CCGT'!$D$43:$AW$43), 0), IF($B9='Project List References'!$B$4, _xlfn.IFNA(_xlfn.XLOOKUP(T$2-$C9, 'GEN-SOLAR'!$D$7:$AW$7, 'GEN-SOLAR'!$D$43:$AW$43), 0), IF($B9='Project List References'!$B$5, _xlfn.IFNA(_xlfn.XLOOKUP(T$2-$C9, 'GEN-BESS'!$D$7:$AW$7, 'GEN-BESS'!$D$43:$AW$43), 0), IF($B9='Project List References'!$B$6, _xlfn.IFNA(_xlfn.XLOOKUP(T$2-$C9, 'GEN-CARBON'!$D$7:$AW$7, 'GEN-CARBON'!$D$43:$AW$43), 0), IF($B9='Project List References'!$B$7, _xlfn.IFNA(_xlfn.XLOOKUP(T$2-$C9, 'SENS Coal'!$D$7:$AW$7, 'SENS Coal'!$D$43:$AW$43), 0), IF($B9='Project List References'!$B$8, _xlfn.IFNA(_xlfn.XLOOKUP(T$2-$C9, 'SENS Tires'!$D$7:$AW$7, 'SENS Tires'!$D$43:$AW$43),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30.242878128550295</v>
      </c>
    </row>
    <row r="10" spans="1:20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_xlfn.XLOOKUP('Project OPEX'!A10, 'Project Master Sheet'!A:A, 'Project Master Sheet'!I:I)</f>
        <v>#N/A</v>
      </c>
      <c r="E10" s="743" t="e">
        <f>IF($B10='Project List References'!$B$3, _xlfn.IFNA(_xlfn.XLOOKUP(E$2-$C10, 'GEN-CCGT'!$D$7:$AW$7, 'GEN-CCGT'!$D$43:$AW$43), 0), IF($B10='Project List References'!$B$4, _xlfn.IFNA(_xlfn.XLOOKUP(E$2-$C10, 'GEN-SOLAR'!$D$7:$AW$7, 'GEN-SOLAR'!$D$43:$AW$43), 0), IF($B10='Project List References'!$B$5, _xlfn.IFNA(_xlfn.XLOOKUP(E$2-$C10, 'GEN-BESS'!$D$7:$AW$7, 'GEN-BESS'!$D$43:$AW$43), 0), IF($B10='Project List References'!$B$6, _xlfn.IFNA(_xlfn.XLOOKUP(E$2-$C10, 'GEN-CARBON'!$D$7:$AW$7, 'GEN-CARBON'!$D$43:$AW$43), 0), IF($B10='Project List References'!$B$7, _xlfn.IFNA(_xlfn.XLOOKUP(E$2-$C10, 'SENS Coal'!$D$7:$AW$7, 'SENS Coal'!$D$43:$AW$43), 0), IF($B10='Project List References'!$B$8, _xlfn.IFNA(_xlfn.XLOOKUP(E$2-$C10,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F10" s="743" t="e">
        <f>IF($B10='Project List References'!$B$3, _xlfn.IFNA(_xlfn.XLOOKUP(F$2-$C10, 'GEN-CCGT'!$D$7:$AW$7, 'GEN-CCGT'!$D$43:$AW$43), 0), IF($B10='Project List References'!$B$4, _xlfn.IFNA(_xlfn.XLOOKUP(F$2-$C10, 'GEN-SOLAR'!$D$7:$AW$7, 'GEN-SOLAR'!$D$43:$AW$43), 0), IF($B10='Project List References'!$B$5, _xlfn.IFNA(_xlfn.XLOOKUP(F$2-$C10, 'GEN-BESS'!$D$7:$AW$7, 'GEN-BESS'!$D$43:$AW$43), 0), IF($B10='Project List References'!$B$6, _xlfn.IFNA(_xlfn.XLOOKUP(F$2-$C10, 'GEN-CARBON'!$D$7:$AW$7, 'GEN-CARBON'!$D$43:$AW$43), 0), IF($B10='Project List References'!$B$7, _xlfn.IFNA(_xlfn.XLOOKUP(F$2-$C10, 'SENS Coal'!$D$7:$AW$7, 'SENS Coal'!$D$43:$AW$43), 0), IF($B10='Project List References'!$B$8, _xlfn.IFNA(_xlfn.XLOOKUP(F$2-$C10,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G10" s="743" t="e">
        <f>IF($B10='Project List References'!$B$3, _xlfn.IFNA(_xlfn.XLOOKUP(G$2-$C10, 'GEN-CCGT'!$D$7:$AW$7, 'GEN-CCGT'!$D$43:$AW$43), 0), IF($B10='Project List References'!$B$4, _xlfn.IFNA(_xlfn.XLOOKUP(G$2-$C10, 'GEN-SOLAR'!$D$7:$AW$7, 'GEN-SOLAR'!$D$43:$AW$43), 0), IF($B10='Project List References'!$B$5, _xlfn.IFNA(_xlfn.XLOOKUP(G$2-$C10, 'GEN-BESS'!$D$7:$AW$7, 'GEN-BESS'!$D$43:$AW$43), 0), IF($B10='Project List References'!$B$6, _xlfn.IFNA(_xlfn.XLOOKUP(G$2-$C10, 'GEN-CARBON'!$D$7:$AW$7, 'GEN-CARBON'!$D$43:$AW$43), 0), IF($B10='Project List References'!$B$7, _xlfn.IFNA(_xlfn.XLOOKUP(G$2-$C10, 'SENS Coal'!$D$7:$AW$7, 'SENS Coal'!$D$43:$AW$43), 0), IF($B10='Project List References'!$B$8, _xlfn.IFNA(_xlfn.XLOOKUP(G$2-$C10,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H10" s="743" t="e">
        <f>IF($B10='Project List References'!$B$3, _xlfn.IFNA(_xlfn.XLOOKUP(H$2-$C10, 'GEN-CCGT'!$D$7:$AW$7, 'GEN-CCGT'!$D$43:$AW$43), 0), IF($B10='Project List References'!$B$4, _xlfn.IFNA(_xlfn.XLOOKUP(H$2-$C10, 'GEN-SOLAR'!$D$7:$AW$7, 'GEN-SOLAR'!$D$43:$AW$43), 0), IF($B10='Project List References'!$B$5, _xlfn.IFNA(_xlfn.XLOOKUP(H$2-$C10, 'GEN-BESS'!$D$7:$AW$7, 'GEN-BESS'!$D$43:$AW$43), 0), IF($B10='Project List References'!$B$6, _xlfn.IFNA(_xlfn.XLOOKUP(H$2-$C10, 'GEN-CARBON'!$D$7:$AW$7, 'GEN-CARBON'!$D$43:$AW$43), 0), IF($B10='Project List References'!$B$7, _xlfn.IFNA(_xlfn.XLOOKUP(H$2-$C10, 'SENS Coal'!$D$7:$AW$7, 'SENS Coal'!$D$43:$AW$43), 0), IF($B10='Project List References'!$B$8, _xlfn.IFNA(_xlfn.XLOOKUP(H$2-$C10,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I10" s="743" t="e">
        <f>IF($B10='Project List References'!$B$3, _xlfn.IFNA(_xlfn.XLOOKUP(I$2-$C10, 'GEN-CCGT'!$D$7:$AW$7, 'GEN-CCGT'!$D$43:$AW$43), 0), IF($B10='Project List References'!$B$4, _xlfn.IFNA(_xlfn.XLOOKUP(I$2-$C10, 'GEN-SOLAR'!$D$7:$AW$7, 'GEN-SOLAR'!$D$43:$AW$43), 0), IF($B10='Project List References'!$B$5, _xlfn.IFNA(_xlfn.XLOOKUP(I$2-$C10, 'GEN-BESS'!$D$7:$AW$7, 'GEN-BESS'!$D$43:$AW$43), 0), IF($B10='Project List References'!$B$6, _xlfn.IFNA(_xlfn.XLOOKUP(I$2-$C10, 'GEN-CARBON'!$D$7:$AW$7, 'GEN-CARBON'!$D$43:$AW$43), 0), IF($B10='Project List References'!$B$7, _xlfn.IFNA(_xlfn.XLOOKUP(I$2-$C10, 'SENS Coal'!$D$7:$AW$7, 'SENS Coal'!$D$43:$AW$43), 0), IF($B10='Project List References'!$B$8, _xlfn.IFNA(_xlfn.XLOOKUP(I$2-$C10,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J10" s="743" t="e">
        <f>IF($B10='Project List References'!$B$3, _xlfn.IFNA(_xlfn.XLOOKUP(J$2-$C10, 'GEN-CCGT'!$D$7:$AW$7, 'GEN-CCGT'!$D$43:$AW$43), 0), IF($B10='Project List References'!$B$4, _xlfn.IFNA(_xlfn.XLOOKUP(J$2-$C10, 'GEN-SOLAR'!$D$7:$AW$7, 'GEN-SOLAR'!$D$43:$AW$43), 0), IF($B10='Project List References'!$B$5, _xlfn.IFNA(_xlfn.XLOOKUP(J$2-$C10, 'GEN-BESS'!$D$7:$AW$7, 'GEN-BESS'!$D$43:$AW$43), 0), IF($B10='Project List References'!$B$6, _xlfn.IFNA(_xlfn.XLOOKUP(J$2-$C10, 'GEN-CARBON'!$D$7:$AW$7, 'GEN-CARBON'!$D$43:$AW$43), 0), IF($B10='Project List References'!$B$7, _xlfn.IFNA(_xlfn.XLOOKUP(J$2-$C10, 'SENS Coal'!$D$7:$AW$7, 'SENS Coal'!$D$43:$AW$43), 0), IF($B10='Project List References'!$B$8, _xlfn.IFNA(_xlfn.XLOOKUP(J$2-$C10,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K10" s="743" t="e">
        <f>IF($B10='Project List References'!$B$3, _xlfn.IFNA(_xlfn.XLOOKUP(K$2-$C10, 'GEN-CCGT'!$D$7:$AW$7, 'GEN-CCGT'!$D$43:$AW$43), 0), IF($B10='Project List References'!$B$4, _xlfn.IFNA(_xlfn.XLOOKUP(K$2-$C10, 'GEN-SOLAR'!$D$7:$AW$7, 'GEN-SOLAR'!$D$43:$AW$43), 0), IF($B10='Project List References'!$B$5, _xlfn.IFNA(_xlfn.XLOOKUP(K$2-$C10, 'GEN-BESS'!$D$7:$AW$7, 'GEN-BESS'!$D$43:$AW$43), 0), IF($B10='Project List References'!$B$6, _xlfn.IFNA(_xlfn.XLOOKUP(K$2-$C10, 'GEN-CARBON'!$D$7:$AW$7, 'GEN-CARBON'!$D$43:$AW$43), 0), IF($B10='Project List References'!$B$7, _xlfn.IFNA(_xlfn.XLOOKUP(K$2-$C10, 'SENS Coal'!$D$7:$AW$7, 'SENS Coal'!$D$43:$AW$43), 0), IF($B10='Project List References'!$B$8, _xlfn.IFNA(_xlfn.XLOOKUP(K$2-$C10,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L10" s="743" t="e">
        <f>IF($B10='Project List References'!$B$3, _xlfn.IFNA(_xlfn.XLOOKUP(L$2-$C10, 'GEN-CCGT'!$D$7:$AW$7, 'GEN-CCGT'!$D$43:$AW$43), 0), IF($B10='Project List References'!$B$4, _xlfn.IFNA(_xlfn.XLOOKUP(L$2-$C10, 'GEN-SOLAR'!$D$7:$AW$7, 'GEN-SOLAR'!$D$43:$AW$43), 0), IF($B10='Project List References'!$B$5, _xlfn.IFNA(_xlfn.XLOOKUP(L$2-$C10, 'GEN-BESS'!$D$7:$AW$7, 'GEN-BESS'!$D$43:$AW$43), 0), IF($B10='Project List References'!$B$6, _xlfn.IFNA(_xlfn.XLOOKUP(L$2-$C10, 'GEN-CARBON'!$D$7:$AW$7, 'GEN-CARBON'!$D$43:$AW$43), 0), IF($B10='Project List References'!$B$7, _xlfn.IFNA(_xlfn.XLOOKUP(L$2-$C10, 'SENS Coal'!$D$7:$AW$7, 'SENS Coal'!$D$43:$AW$43), 0), IF($B10='Project List References'!$B$8, _xlfn.IFNA(_xlfn.XLOOKUP(L$2-$C10,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M10" s="743" t="e">
        <f>IF($B10='Project List References'!$B$3, _xlfn.IFNA(_xlfn.XLOOKUP(M$2-$C10, 'GEN-CCGT'!$D$7:$AW$7, 'GEN-CCGT'!$D$43:$AW$43), 0), IF($B10='Project List References'!$B$4, _xlfn.IFNA(_xlfn.XLOOKUP(M$2-$C10, 'GEN-SOLAR'!$D$7:$AW$7, 'GEN-SOLAR'!$D$43:$AW$43), 0), IF($B10='Project List References'!$B$5, _xlfn.IFNA(_xlfn.XLOOKUP(M$2-$C10, 'GEN-BESS'!$D$7:$AW$7, 'GEN-BESS'!$D$43:$AW$43), 0), IF($B10='Project List References'!$B$6, _xlfn.IFNA(_xlfn.XLOOKUP(M$2-$C10, 'GEN-CARBON'!$D$7:$AW$7, 'GEN-CARBON'!$D$43:$AW$43), 0), IF($B10='Project List References'!$B$7, _xlfn.IFNA(_xlfn.XLOOKUP(M$2-$C10, 'SENS Coal'!$D$7:$AW$7, 'SENS Coal'!$D$43:$AW$43), 0), IF($B10='Project List References'!$B$8, _xlfn.IFNA(_xlfn.XLOOKUP(M$2-$C10,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N10" s="743" t="e">
        <f>IF($B10='Project List References'!$B$3, _xlfn.IFNA(_xlfn.XLOOKUP(N$2-$C10, 'GEN-CCGT'!$D$7:$AW$7, 'GEN-CCGT'!$D$43:$AW$43), 0), IF($B10='Project List References'!$B$4, _xlfn.IFNA(_xlfn.XLOOKUP(N$2-$C10, 'GEN-SOLAR'!$D$7:$AW$7, 'GEN-SOLAR'!$D$43:$AW$43), 0), IF($B10='Project List References'!$B$5, _xlfn.IFNA(_xlfn.XLOOKUP(N$2-$C10, 'GEN-BESS'!$D$7:$AW$7, 'GEN-BESS'!$D$43:$AW$43), 0), IF($B10='Project List References'!$B$6, _xlfn.IFNA(_xlfn.XLOOKUP(N$2-$C10, 'GEN-CARBON'!$D$7:$AW$7, 'GEN-CARBON'!$D$43:$AW$43), 0), IF($B10='Project List References'!$B$7, _xlfn.IFNA(_xlfn.XLOOKUP(N$2-$C10, 'SENS Coal'!$D$7:$AW$7, 'SENS Coal'!$D$43:$AW$43), 0), IF($B10='Project List References'!$B$8, _xlfn.IFNA(_xlfn.XLOOKUP(N$2-$C10,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O10" s="743" t="e">
        <f>IF($B10='Project List References'!$B$3, _xlfn.IFNA(_xlfn.XLOOKUP(O$2-$C10, 'GEN-CCGT'!$D$7:$AW$7, 'GEN-CCGT'!$D$43:$AW$43), 0), IF($B10='Project List References'!$B$4, _xlfn.IFNA(_xlfn.XLOOKUP(O$2-$C10, 'GEN-SOLAR'!$D$7:$AW$7, 'GEN-SOLAR'!$D$43:$AW$43), 0), IF($B10='Project List References'!$B$5, _xlfn.IFNA(_xlfn.XLOOKUP(O$2-$C10, 'GEN-BESS'!$D$7:$AW$7, 'GEN-BESS'!$D$43:$AW$43), 0), IF($B10='Project List References'!$B$6, _xlfn.IFNA(_xlfn.XLOOKUP(O$2-$C10, 'GEN-CARBON'!$D$7:$AW$7, 'GEN-CARBON'!$D$43:$AW$43), 0), IF($B10='Project List References'!$B$7, _xlfn.IFNA(_xlfn.XLOOKUP(O$2-$C10, 'SENS Coal'!$D$7:$AW$7, 'SENS Coal'!$D$43:$AW$43), 0), IF($B10='Project List References'!$B$8, _xlfn.IFNA(_xlfn.XLOOKUP(O$2-$C10,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P10" s="743" t="e">
        <f>IF($B10='Project List References'!$B$3, _xlfn.IFNA(_xlfn.XLOOKUP(P$2-$C10, 'GEN-CCGT'!$D$7:$AW$7, 'GEN-CCGT'!$D$43:$AW$43), 0), IF($B10='Project List References'!$B$4, _xlfn.IFNA(_xlfn.XLOOKUP(P$2-$C10, 'GEN-SOLAR'!$D$7:$AW$7, 'GEN-SOLAR'!$D$43:$AW$43), 0), IF($B10='Project List References'!$B$5, _xlfn.IFNA(_xlfn.XLOOKUP(P$2-$C10, 'GEN-BESS'!$D$7:$AW$7, 'GEN-BESS'!$D$43:$AW$43), 0), IF($B10='Project List References'!$B$6, _xlfn.IFNA(_xlfn.XLOOKUP(P$2-$C10, 'GEN-CARBON'!$D$7:$AW$7, 'GEN-CARBON'!$D$43:$AW$43), 0), IF($B10='Project List References'!$B$7, _xlfn.IFNA(_xlfn.XLOOKUP(P$2-$C10, 'SENS Coal'!$D$7:$AW$7, 'SENS Coal'!$D$43:$AW$43), 0), IF($B10='Project List References'!$B$8, _xlfn.IFNA(_xlfn.XLOOKUP(P$2-$C10,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Q10" s="743" t="e">
        <f>IF($B10='Project List References'!$B$3, _xlfn.IFNA(_xlfn.XLOOKUP(Q$2-$C10, 'GEN-CCGT'!$D$7:$AW$7, 'GEN-CCGT'!$D$43:$AW$43), 0), IF($B10='Project List References'!$B$4, _xlfn.IFNA(_xlfn.XLOOKUP(Q$2-$C10, 'GEN-SOLAR'!$D$7:$AW$7, 'GEN-SOLAR'!$D$43:$AW$43), 0), IF($B10='Project List References'!$B$5, _xlfn.IFNA(_xlfn.XLOOKUP(Q$2-$C10, 'GEN-BESS'!$D$7:$AW$7, 'GEN-BESS'!$D$43:$AW$43), 0), IF($B10='Project List References'!$B$6, _xlfn.IFNA(_xlfn.XLOOKUP(Q$2-$C10, 'GEN-CARBON'!$D$7:$AW$7, 'GEN-CARBON'!$D$43:$AW$43), 0), IF($B10='Project List References'!$B$7, _xlfn.IFNA(_xlfn.XLOOKUP(Q$2-$C10, 'SENS Coal'!$D$7:$AW$7, 'SENS Coal'!$D$43:$AW$43), 0), IF($B10='Project List References'!$B$8, _xlfn.IFNA(_xlfn.XLOOKUP(Q$2-$C10,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R10" s="743" t="e">
        <f>IF($B10='Project List References'!$B$3, _xlfn.IFNA(_xlfn.XLOOKUP(R$2-$C10, 'GEN-CCGT'!$D$7:$AW$7, 'GEN-CCGT'!$D$43:$AW$43), 0), IF($B10='Project List References'!$B$4, _xlfn.IFNA(_xlfn.XLOOKUP(R$2-$C10, 'GEN-SOLAR'!$D$7:$AW$7, 'GEN-SOLAR'!$D$43:$AW$43), 0), IF($B10='Project List References'!$B$5, _xlfn.IFNA(_xlfn.XLOOKUP(R$2-$C10, 'GEN-BESS'!$D$7:$AW$7, 'GEN-BESS'!$D$43:$AW$43), 0), IF($B10='Project List References'!$B$6, _xlfn.IFNA(_xlfn.XLOOKUP(R$2-$C10, 'GEN-CARBON'!$D$7:$AW$7, 'GEN-CARBON'!$D$43:$AW$43), 0), IF($B10='Project List References'!$B$7, _xlfn.IFNA(_xlfn.XLOOKUP(R$2-$C10, 'SENS Coal'!$D$7:$AW$7, 'SENS Coal'!$D$43:$AW$43), 0), IF($B10='Project List References'!$B$8, _xlfn.IFNA(_xlfn.XLOOKUP(R$2-$C10,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S10" s="743" t="e">
        <f>IF($B10='Project List References'!$B$3, _xlfn.IFNA(_xlfn.XLOOKUP(S$2-$C10, 'GEN-CCGT'!$D$7:$AW$7, 'GEN-CCGT'!$D$43:$AW$43), 0), IF($B10='Project List References'!$B$4, _xlfn.IFNA(_xlfn.XLOOKUP(S$2-$C10, 'GEN-SOLAR'!$D$7:$AW$7, 'GEN-SOLAR'!$D$43:$AW$43), 0), IF($B10='Project List References'!$B$5, _xlfn.IFNA(_xlfn.XLOOKUP(S$2-$C10, 'GEN-BESS'!$D$7:$AW$7, 'GEN-BESS'!$D$43:$AW$43), 0), IF($B10='Project List References'!$B$6, _xlfn.IFNA(_xlfn.XLOOKUP(S$2-$C10, 'GEN-CARBON'!$D$7:$AW$7, 'GEN-CARBON'!$D$43:$AW$43), 0), IF($B10='Project List References'!$B$7, _xlfn.IFNA(_xlfn.XLOOKUP(S$2-$C10, 'SENS Coal'!$D$7:$AW$7, 'SENS Coal'!$D$43:$AW$43), 0), IF($B10='Project List References'!$B$8, _xlfn.IFNA(_xlfn.XLOOKUP(S$2-$C10,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T10" s="743" t="e">
        <f>IF($B10='Project List References'!$B$3, _xlfn.IFNA(_xlfn.XLOOKUP(T$2-$C10, 'GEN-CCGT'!$D$7:$AW$7, 'GEN-CCGT'!$D$43:$AW$43), 0), IF($B10='Project List References'!$B$4, _xlfn.IFNA(_xlfn.XLOOKUP(T$2-$C10, 'GEN-SOLAR'!$D$7:$AW$7, 'GEN-SOLAR'!$D$43:$AW$43), 0), IF($B10='Project List References'!$B$5, _xlfn.IFNA(_xlfn.XLOOKUP(T$2-$C10, 'GEN-BESS'!$D$7:$AW$7, 'GEN-BESS'!$D$43:$AW$43), 0), IF($B10='Project List References'!$B$6, _xlfn.IFNA(_xlfn.XLOOKUP(T$2-$C10, 'GEN-CARBON'!$D$7:$AW$7, 'GEN-CARBON'!$D$43:$AW$43), 0), IF($B10='Project List References'!$B$7, _xlfn.IFNA(_xlfn.XLOOKUP(T$2-$C10, 'SENS Coal'!$D$7:$AW$7, 'SENS Coal'!$D$43:$AW$43), 0), IF($B10='Project List References'!$B$8, _xlfn.IFNA(_xlfn.XLOOKUP(T$2-$C10, 'SENS Tires'!$D$7:$AW$7, 'SENS Tires'!$D$43:$AW$43),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</row>
    <row r="11" spans="1:20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_xlfn.XLOOKUP('Project OPEX'!A11, 'Project Master Sheet'!A:A, 'Project Master Sheet'!I:I)</f>
        <v>#N/A</v>
      </c>
      <c r="E11" s="743" t="e">
        <f>IF($B11='Project List References'!$B$3, _xlfn.IFNA(_xlfn.XLOOKUP(E$2-$C11, 'GEN-CCGT'!$D$7:$AW$7, 'GEN-CCGT'!$D$43:$AW$43), 0), IF($B11='Project List References'!$B$4, _xlfn.IFNA(_xlfn.XLOOKUP(E$2-$C11, 'GEN-SOLAR'!$D$7:$AW$7, 'GEN-SOLAR'!$D$43:$AW$43), 0), IF($B11='Project List References'!$B$5, _xlfn.IFNA(_xlfn.XLOOKUP(E$2-$C11, 'GEN-BESS'!$D$7:$AW$7, 'GEN-BESS'!$D$43:$AW$43), 0), IF($B11='Project List References'!$B$6, _xlfn.IFNA(_xlfn.XLOOKUP(E$2-$C11, 'GEN-CARBON'!$D$7:$AW$7, 'GEN-CARBON'!$D$43:$AW$43), 0), IF($B11='Project List References'!$B$7, _xlfn.IFNA(_xlfn.XLOOKUP(E$2-$C11, 'SENS Coal'!$D$7:$AW$7, 'SENS Coal'!$D$43:$AW$43), 0), IF($B11='Project List References'!$B$8, _xlfn.IFNA(_xlfn.XLOOKUP(E$2-$C11,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F11" s="743" t="e">
        <f>IF($B11='Project List References'!$B$3, _xlfn.IFNA(_xlfn.XLOOKUP(F$2-$C11, 'GEN-CCGT'!$D$7:$AW$7, 'GEN-CCGT'!$D$43:$AW$43), 0), IF($B11='Project List References'!$B$4, _xlfn.IFNA(_xlfn.XLOOKUP(F$2-$C11, 'GEN-SOLAR'!$D$7:$AW$7, 'GEN-SOLAR'!$D$43:$AW$43), 0), IF($B11='Project List References'!$B$5, _xlfn.IFNA(_xlfn.XLOOKUP(F$2-$C11, 'GEN-BESS'!$D$7:$AW$7, 'GEN-BESS'!$D$43:$AW$43), 0), IF($B11='Project List References'!$B$6, _xlfn.IFNA(_xlfn.XLOOKUP(F$2-$C11, 'GEN-CARBON'!$D$7:$AW$7, 'GEN-CARBON'!$D$43:$AW$43), 0), IF($B11='Project List References'!$B$7, _xlfn.IFNA(_xlfn.XLOOKUP(F$2-$C11, 'SENS Coal'!$D$7:$AW$7, 'SENS Coal'!$D$43:$AW$43), 0), IF($B11='Project List References'!$B$8, _xlfn.IFNA(_xlfn.XLOOKUP(F$2-$C11,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G11" s="743" t="e">
        <f>IF($B11='Project List References'!$B$3, _xlfn.IFNA(_xlfn.XLOOKUP(G$2-$C11, 'GEN-CCGT'!$D$7:$AW$7, 'GEN-CCGT'!$D$43:$AW$43), 0), IF($B11='Project List References'!$B$4, _xlfn.IFNA(_xlfn.XLOOKUP(G$2-$C11, 'GEN-SOLAR'!$D$7:$AW$7, 'GEN-SOLAR'!$D$43:$AW$43), 0), IF($B11='Project List References'!$B$5, _xlfn.IFNA(_xlfn.XLOOKUP(G$2-$C11, 'GEN-BESS'!$D$7:$AW$7, 'GEN-BESS'!$D$43:$AW$43), 0), IF($B11='Project List References'!$B$6, _xlfn.IFNA(_xlfn.XLOOKUP(G$2-$C11, 'GEN-CARBON'!$D$7:$AW$7, 'GEN-CARBON'!$D$43:$AW$43), 0), IF($B11='Project List References'!$B$7, _xlfn.IFNA(_xlfn.XLOOKUP(G$2-$C11, 'SENS Coal'!$D$7:$AW$7, 'SENS Coal'!$D$43:$AW$43), 0), IF($B11='Project List References'!$B$8, _xlfn.IFNA(_xlfn.XLOOKUP(G$2-$C11,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H11" s="743" t="e">
        <f>IF($B11='Project List References'!$B$3, _xlfn.IFNA(_xlfn.XLOOKUP(H$2-$C11, 'GEN-CCGT'!$D$7:$AW$7, 'GEN-CCGT'!$D$43:$AW$43), 0), IF($B11='Project List References'!$B$4, _xlfn.IFNA(_xlfn.XLOOKUP(H$2-$C11, 'GEN-SOLAR'!$D$7:$AW$7, 'GEN-SOLAR'!$D$43:$AW$43), 0), IF($B11='Project List References'!$B$5, _xlfn.IFNA(_xlfn.XLOOKUP(H$2-$C11, 'GEN-BESS'!$D$7:$AW$7, 'GEN-BESS'!$D$43:$AW$43), 0), IF($B11='Project List References'!$B$6, _xlfn.IFNA(_xlfn.XLOOKUP(H$2-$C11, 'GEN-CARBON'!$D$7:$AW$7, 'GEN-CARBON'!$D$43:$AW$43), 0), IF($B11='Project List References'!$B$7, _xlfn.IFNA(_xlfn.XLOOKUP(H$2-$C11, 'SENS Coal'!$D$7:$AW$7, 'SENS Coal'!$D$43:$AW$43), 0), IF($B11='Project List References'!$B$8, _xlfn.IFNA(_xlfn.XLOOKUP(H$2-$C11,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I11" s="743" t="e">
        <f>IF($B11='Project List References'!$B$3, _xlfn.IFNA(_xlfn.XLOOKUP(I$2-$C11, 'GEN-CCGT'!$D$7:$AW$7, 'GEN-CCGT'!$D$43:$AW$43), 0), IF($B11='Project List References'!$B$4, _xlfn.IFNA(_xlfn.XLOOKUP(I$2-$C11, 'GEN-SOLAR'!$D$7:$AW$7, 'GEN-SOLAR'!$D$43:$AW$43), 0), IF($B11='Project List References'!$B$5, _xlfn.IFNA(_xlfn.XLOOKUP(I$2-$C11, 'GEN-BESS'!$D$7:$AW$7, 'GEN-BESS'!$D$43:$AW$43), 0), IF($B11='Project List References'!$B$6, _xlfn.IFNA(_xlfn.XLOOKUP(I$2-$C11, 'GEN-CARBON'!$D$7:$AW$7, 'GEN-CARBON'!$D$43:$AW$43), 0), IF($B11='Project List References'!$B$7, _xlfn.IFNA(_xlfn.XLOOKUP(I$2-$C11, 'SENS Coal'!$D$7:$AW$7, 'SENS Coal'!$D$43:$AW$43), 0), IF($B11='Project List References'!$B$8, _xlfn.IFNA(_xlfn.XLOOKUP(I$2-$C11,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J11" s="743" t="e">
        <f>IF($B11='Project List References'!$B$3, _xlfn.IFNA(_xlfn.XLOOKUP(J$2-$C11, 'GEN-CCGT'!$D$7:$AW$7, 'GEN-CCGT'!$D$43:$AW$43), 0), IF($B11='Project List References'!$B$4, _xlfn.IFNA(_xlfn.XLOOKUP(J$2-$C11, 'GEN-SOLAR'!$D$7:$AW$7, 'GEN-SOLAR'!$D$43:$AW$43), 0), IF($B11='Project List References'!$B$5, _xlfn.IFNA(_xlfn.XLOOKUP(J$2-$C11, 'GEN-BESS'!$D$7:$AW$7, 'GEN-BESS'!$D$43:$AW$43), 0), IF($B11='Project List References'!$B$6, _xlfn.IFNA(_xlfn.XLOOKUP(J$2-$C11, 'GEN-CARBON'!$D$7:$AW$7, 'GEN-CARBON'!$D$43:$AW$43), 0), IF($B11='Project List References'!$B$7, _xlfn.IFNA(_xlfn.XLOOKUP(J$2-$C11, 'SENS Coal'!$D$7:$AW$7, 'SENS Coal'!$D$43:$AW$43), 0), IF($B11='Project List References'!$B$8, _xlfn.IFNA(_xlfn.XLOOKUP(J$2-$C11,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K11" s="743" t="e">
        <f>IF($B11='Project List References'!$B$3, _xlfn.IFNA(_xlfn.XLOOKUP(K$2-$C11, 'GEN-CCGT'!$D$7:$AW$7, 'GEN-CCGT'!$D$43:$AW$43), 0), IF($B11='Project List References'!$B$4, _xlfn.IFNA(_xlfn.XLOOKUP(K$2-$C11, 'GEN-SOLAR'!$D$7:$AW$7, 'GEN-SOLAR'!$D$43:$AW$43), 0), IF($B11='Project List References'!$B$5, _xlfn.IFNA(_xlfn.XLOOKUP(K$2-$C11, 'GEN-BESS'!$D$7:$AW$7, 'GEN-BESS'!$D$43:$AW$43), 0), IF($B11='Project List References'!$B$6, _xlfn.IFNA(_xlfn.XLOOKUP(K$2-$C11, 'GEN-CARBON'!$D$7:$AW$7, 'GEN-CARBON'!$D$43:$AW$43), 0), IF($B11='Project List References'!$B$7, _xlfn.IFNA(_xlfn.XLOOKUP(K$2-$C11, 'SENS Coal'!$D$7:$AW$7, 'SENS Coal'!$D$43:$AW$43), 0), IF($B11='Project List References'!$B$8, _xlfn.IFNA(_xlfn.XLOOKUP(K$2-$C11,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L11" s="743" t="e">
        <f>IF($B11='Project List References'!$B$3, _xlfn.IFNA(_xlfn.XLOOKUP(L$2-$C11, 'GEN-CCGT'!$D$7:$AW$7, 'GEN-CCGT'!$D$43:$AW$43), 0), IF($B11='Project List References'!$B$4, _xlfn.IFNA(_xlfn.XLOOKUP(L$2-$C11, 'GEN-SOLAR'!$D$7:$AW$7, 'GEN-SOLAR'!$D$43:$AW$43), 0), IF($B11='Project List References'!$B$5, _xlfn.IFNA(_xlfn.XLOOKUP(L$2-$C11, 'GEN-BESS'!$D$7:$AW$7, 'GEN-BESS'!$D$43:$AW$43), 0), IF($B11='Project List References'!$B$6, _xlfn.IFNA(_xlfn.XLOOKUP(L$2-$C11, 'GEN-CARBON'!$D$7:$AW$7, 'GEN-CARBON'!$D$43:$AW$43), 0), IF($B11='Project List References'!$B$7, _xlfn.IFNA(_xlfn.XLOOKUP(L$2-$C11, 'SENS Coal'!$D$7:$AW$7, 'SENS Coal'!$D$43:$AW$43), 0), IF($B11='Project List References'!$B$8, _xlfn.IFNA(_xlfn.XLOOKUP(L$2-$C11,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M11" s="743" t="e">
        <f>IF($B11='Project List References'!$B$3, _xlfn.IFNA(_xlfn.XLOOKUP(M$2-$C11, 'GEN-CCGT'!$D$7:$AW$7, 'GEN-CCGT'!$D$43:$AW$43), 0), IF($B11='Project List References'!$B$4, _xlfn.IFNA(_xlfn.XLOOKUP(M$2-$C11, 'GEN-SOLAR'!$D$7:$AW$7, 'GEN-SOLAR'!$D$43:$AW$43), 0), IF($B11='Project List References'!$B$5, _xlfn.IFNA(_xlfn.XLOOKUP(M$2-$C11, 'GEN-BESS'!$D$7:$AW$7, 'GEN-BESS'!$D$43:$AW$43), 0), IF($B11='Project List References'!$B$6, _xlfn.IFNA(_xlfn.XLOOKUP(M$2-$C11, 'GEN-CARBON'!$D$7:$AW$7, 'GEN-CARBON'!$D$43:$AW$43), 0), IF($B11='Project List References'!$B$7, _xlfn.IFNA(_xlfn.XLOOKUP(M$2-$C11, 'SENS Coal'!$D$7:$AW$7, 'SENS Coal'!$D$43:$AW$43), 0), IF($B11='Project List References'!$B$8, _xlfn.IFNA(_xlfn.XLOOKUP(M$2-$C11,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N11" s="743" t="e">
        <f>IF($B11='Project List References'!$B$3, _xlfn.IFNA(_xlfn.XLOOKUP(N$2-$C11, 'GEN-CCGT'!$D$7:$AW$7, 'GEN-CCGT'!$D$43:$AW$43), 0), IF($B11='Project List References'!$B$4, _xlfn.IFNA(_xlfn.XLOOKUP(N$2-$C11, 'GEN-SOLAR'!$D$7:$AW$7, 'GEN-SOLAR'!$D$43:$AW$43), 0), IF($B11='Project List References'!$B$5, _xlfn.IFNA(_xlfn.XLOOKUP(N$2-$C11, 'GEN-BESS'!$D$7:$AW$7, 'GEN-BESS'!$D$43:$AW$43), 0), IF($B11='Project List References'!$B$6, _xlfn.IFNA(_xlfn.XLOOKUP(N$2-$C11, 'GEN-CARBON'!$D$7:$AW$7, 'GEN-CARBON'!$D$43:$AW$43), 0), IF($B11='Project List References'!$B$7, _xlfn.IFNA(_xlfn.XLOOKUP(N$2-$C11, 'SENS Coal'!$D$7:$AW$7, 'SENS Coal'!$D$43:$AW$43), 0), IF($B11='Project List References'!$B$8, _xlfn.IFNA(_xlfn.XLOOKUP(N$2-$C11,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O11" s="743" t="e">
        <f>IF($B11='Project List References'!$B$3, _xlfn.IFNA(_xlfn.XLOOKUP(O$2-$C11, 'GEN-CCGT'!$D$7:$AW$7, 'GEN-CCGT'!$D$43:$AW$43), 0), IF($B11='Project List References'!$B$4, _xlfn.IFNA(_xlfn.XLOOKUP(O$2-$C11, 'GEN-SOLAR'!$D$7:$AW$7, 'GEN-SOLAR'!$D$43:$AW$43), 0), IF($B11='Project List References'!$B$5, _xlfn.IFNA(_xlfn.XLOOKUP(O$2-$C11, 'GEN-BESS'!$D$7:$AW$7, 'GEN-BESS'!$D$43:$AW$43), 0), IF($B11='Project List References'!$B$6, _xlfn.IFNA(_xlfn.XLOOKUP(O$2-$C11, 'GEN-CARBON'!$D$7:$AW$7, 'GEN-CARBON'!$D$43:$AW$43), 0), IF($B11='Project List References'!$B$7, _xlfn.IFNA(_xlfn.XLOOKUP(O$2-$C11, 'SENS Coal'!$D$7:$AW$7, 'SENS Coal'!$D$43:$AW$43), 0), IF($B11='Project List References'!$B$8, _xlfn.IFNA(_xlfn.XLOOKUP(O$2-$C11,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P11" s="743" t="e">
        <f>IF($B11='Project List References'!$B$3, _xlfn.IFNA(_xlfn.XLOOKUP(P$2-$C11, 'GEN-CCGT'!$D$7:$AW$7, 'GEN-CCGT'!$D$43:$AW$43), 0), IF($B11='Project List References'!$B$4, _xlfn.IFNA(_xlfn.XLOOKUP(P$2-$C11, 'GEN-SOLAR'!$D$7:$AW$7, 'GEN-SOLAR'!$D$43:$AW$43), 0), IF($B11='Project List References'!$B$5, _xlfn.IFNA(_xlfn.XLOOKUP(P$2-$C11, 'GEN-BESS'!$D$7:$AW$7, 'GEN-BESS'!$D$43:$AW$43), 0), IF($B11='Project List References'!$B$6, _xlfn.IFNA(_xlfn.XLOOKUP(P$2-$C11, 'GEN-CARBON'!$D$7:$AW$7, 'GEN-CARBON'!$D$43:$AW$43), 0), IF($B11='Project List References'!$B$7, _xlfn.IFNA(_xlfn.XLOOKUP(P$2-$C11, 'SENS Coal'!$D$7:$AW$7, 'SENS Coal'!$D$43:$AW$43), 0), IF($B11='Project List References'!$B$8, _xlfn.IFNA(_xlfn.XLOOKUP(P$2-$C11,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Q11" s="743" t="e">
        <f>IF($B11='Project List References'!$B$3, _xlfn.IFNA(_xlfn.XLOOKUP(Q$2-$C11, 'GEN-CCGT'!$D$7:$AW$7, 'GEN-CCGT'!$D$43:$AW$43), 0), IF($B11='Project List References'!$B$4, _xlfn.IFNA(_xlfn.XLOOKUP(Q$2-$C11, 'GEN-SOLAR'!$D$7:$AW$7, 'GEN-SOLAR'!$D$43:$AW$43), 0), IF($B11='Project List References'!$B$5, _xlfn.IFNA(_xlfn.XLOOKUP(Q$2-$C11, 'GEN-BESS'!$D$7:$AW$7, 'GEN-BESS'!$D$43:$AW$43), 0), IF($B11='Project List References'!$B$6, _xlfn.IFNA(_xlfn.XLOOKUP(Q$2-$C11, 'GEN-CARBON'!$D$7:$AW$7, 'GEN-CARBON'!$D$43:$AW$43), 0), IF($B11='Project List References'!$B$7, _xlfn.IFNA(_xlfn.XLOOKUP(Q$2-$C11, 'SENS Coal'!$D$7:$AW$7, 'SENS Coal'!$D$43:$AW$43), 0), IF($B11='Project List References'!$B$8, _xlfn.IFNA(_xlfn.XLOOKUP(Q$2-$C11,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R11" s="743" t="e">
        <f>IF($B11='Project List References'!$B$3, _xlfn.IFNA(_xlfn.XLOOKUP(R$2-$C11, 'GEN-CCGT'!$D$7:$AW$7, 'GEN-CCGT'!$D$43:$AW$43), 0), IF($B11='Project List References'!$B$4, _xlfn.IFNA(_xlfn.XLOOKUP(R$2-$C11, 'GEN-SOLAR'!$D$7:$AW$7, 'GEN-SOLAR'!$D$43:$AW$43), 0), IF($B11='Project List References'!$B$5, _xlfn.IFNA(_xlfn.XLOOKUP(R$2-$C11, 'GEN-BESS'!$D$7:$AW$7, 'GEN-BESS'!$D$43:$AW$43), 0), IF($B11='Project List References'!$B$6, _xlfn.IFNA(_xlfn.XLOOKUP(R$2-$C11, 'GEN-CARBON'!$D$7:$AW$7, 'GEN-CARBON'!$D$43:$AW$43), 0), IF($B11='Project List References'!$B$7, _xlfn.IFNA(_xlfn.XLOOKUP(R$2-$C11, 'SENS Coal'!$D$7:$AW$7, 'SENS Coal'!$D$43:$AW$43), 0), IF($B11='Project List References'!$B$8, _xlfn.IFNA(_xlfn.XLOOKUP(R$2-$C11,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S11" s="743" t="e">
        <f>IF($B11='Project List References'!$B$3, _xlfn.IFNA(_xlfn.XLOOKUP(S$2-$C11, 'GEN-CCGT'!$D$7:$AW$7, 'GEN-CCGT'!$D$43:$AW$43), 0), IF($B11='Project List References'!$B$4, _xlfn.IFNA(_xlfn.XLOOKUP(S$2-$C11, 'GEN-SOLAR'!$D$7:$AW$7, 'GEN-SOLAR'!$D$43:$AW$43), 0), IF($B11='Project List References'!$B$5, _xlfn.IFNA(_xlfn.XLOOKUP(S$2-$C11, 'GEN-BESS'!$D$7:$AW$7, 'GEN-BESS'!$D$43:$AW$43), 0), IF($B11='Project List References'!$B$6, _xlfn.IFNA(_xlfn.XLOOKUP(S$2-$C11, 'GEN-CARBON'!$D$7:$AW$7, 'GEN-CARBON'!$D$43:$AW$43), 0), IF($B11='Project List References'!$B$7, _xlfn.IFNA(_xlfn.XLOOKUP(S$2-$C11, 'SENS Coal'!$D$7:$AW$7, 'SENS Coal'!$D$43:$AW$43), 0), IF($B11='Project List References'!$B$8, _xlfn.IFNA(_xlfn.XLOOKUP(S$2-$C11,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T11" s="743" t="e">
        <f>IF($B11='Project List References'!$B$3, _xlfn.IFNA(_xlfn.XLOOKUP(T$2-$C11, 'GEN-CCGT'!$D$7:$AW$7, 'GEN-CCGT'!$D$43:$AW$43), 0), IF($B11='Project List References'!$B$4, _xlfn.IFNA(_xlfn.XLOOKUP(T$2-$C11, 'GEN-SOLAR'!$D$7:$AW$7, 'GEN-SOLAR'!$D$43:$AW$43), 0), IF($B11='Project List References'!$B$5, _xlfn.IFNA(_xlfn.XLOOKUP(T$2-$C11, 'GEN-BESS'!$D$7:$AW$7, 'GEN-BESS'!$D$43:$AW$43), 0), IF($B11='Project List References'!$B$6, _xlfn.IFNA(_xlfn.XLOOKUP(T$2-$C11, 'GEN-CARBON'!$D$7:$AW$7, 'GEN-CARBON'!$D$43:$AW$43), 0), IF($B11='Project List References'!$B$7, _xlfn.IFNA(_xlfn.XLOOKUP(T$2-$C11, 'SENS Coal'!$D$7:$AW$7, 'SENS Coal'!$D$43:$AW$43), 0), IF($B11='Project List References'!$B$8, _xlfn.IFNA(_xlfn.XLOOKUP(T$2-$C11, 'SENS Tires'!$D$7:$AW$7, 'SENS Tires'!$D$43:$AW$43),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</row>
    <row r="12" spans="1:20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_xlfn.XLOOKUP('Project OPEX'!A12, 'Project Master Sheet'!A:A, 'Project Master Sheet'!I:I)</f>
        <v>#N/A</v>
      </c>
      <c r="E12" s="743" t="e">
        <f>IF($B12='Project List References'!$B$3, _xlfn.IFNA(_xlfn.XLOOKUP(E$2-$C12, 'GEN-CCGT'!$D$7:$AW$7, 'GEN-CCGT'!$D$43:$AW$43), 0), IF($B12='Project List References'!$B$4, _xlfn.IFNA(_xlfn.XLOOKUP(E$2-$C12, 'GEN-SOLAR'!$D$7:$AW$7, 'GEN-SOLAR'!$D$43:$AW$43), 0), IF($B12='Project List References'!$B$5, _xlfn.IFNA(_xlfn.XLOOKUP(E$2-$C12, 'GEN-BESS'!$D$7:$AW$7, 'GEN-BESS'!$D$43:$AW$43), 0), IF($B12='Project List References'!$B$6, _xlfn.IFNA(_xlfn.XLOOKUP(E$2-$C12, 'GEN-CARBON'!$D$7:$AW$7, 'GEN-CARBON'!$D$43:$AW$43), 0), IF($B12='Project List References'!$B$7, _xlfn.IFNA(_xlfn.XLOOKUP(E$2-$C12, 'SENS Coal'!$D$7:$AW$7, 'SENS Coal'!$D$43:$AW$43), 0), IF($B12='Project List References'!$B$8, _xlfn.IFNA(_xlfn.XLOOKUP(E$2-$C12,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F12" s="743" t="e">
        <f>IF($B12='Project List References'!$B$3, _xlfn.IFNA(_xlfn.XLOOKUP(F$2-$C12, 'GEN-CCGT'!$D$7:$AW$7, 'GEN-CCGT'!$D$43:$AW$43), 0), IF($B12='Project List References'!$B$4, _xlfn.IFNA(_xlfn.XLOOKUP(F$2-$C12, 'GEN-SOLAR'!$D$7:$AW$7, 'GEN-SOLAR'!$D$43:$AW$43), 0), IF($B12='Project List References'!$B$5, _xlfn.IFNA(_xlfn.XLOOKUP(F$2-$C12, 'GEN-BESS'!$D$7:$AW$7, 'GEN-BESS'!$D$43:$AW$43), 0), IF($B12='Project List References'!$B$6, _xlfn.IFNA(_xlfn.XLOOKUP(F$2-$C12, 'GEN-CARBON'!$D$7:$AW$7, 'GEN-CARBON'!$D$43:$AW$43), 0), IF($B12='Project List References'!$B$7, _xlfn.IFNA(_xlfn.XLOOKUP(F$2-$C12, 'SENS Coal'!$D$7:$AW$7, 'SENS Coal'!$D$43:$AW$43), 0), IF($B12='Project List References'!$B$8, _xlfn.IFNA(_xlfn.XLOOKUP(F$2-$C12,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G12" s="743" t="e">
        <f>IF($B12='Project List References'!$B$3, _xlfn.IFNA(_xlfn.XLOOKUP(G$2-$C12, 'GEN-CCGT'!$D$7:$AW$7, 'GEN-CCGT'!$D$43:$AW$43), 0), IF($B12='Project List References'!$B$4, _xlfn.IFNA(_xlfn.XLOOKUP(G$2-$C12, 'GEN-SOLAR'!$D$7:$AW$7, 'GEN-SOLAR'!$D$43:$AW$43), 0), IF($B12='Project List References'!$B$5, _xlfn.IFNA(_xlfn.XLOOKUP(G$2-$C12, 'GEN-BESS'!$D$7:$AW$7, 'GEN-BESS'!$D$43:$AW$43), 0), IF($B12='Project List References'!$B$6, _xlfn.IFNA(_xlfn.XLOOKUP(G$2-$C12, 'GEN-CARBON'!$D$7:$AW$7, 'GEN-CARBON'!$D$43:$AW$43), 0), IF($B12='Project List References'!$B$7, _xlfn.IFNA(_xlfn.XLOOKUP(G$2-$C12, 'SENS Coal'!$D$7:$AW$7, 'SENS Coal'!$D$43:$AW$43), 0), IF($B12='Project List References'!$B$8, _xlfn.IFNA(_xlfn.XLOOKUP(G$2-$C12,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H12" s="743" t="e">
        <f>IF($B12='Project List References'!$B$3, _xlfn.IFNA(_xlfn.XLOOKUP(H$2-$C12, 'GEN-CCGT'!$D$7:$AW$7, 'GEN-CCGT'!$D$43:$AW$43), 0), IF($B12='Project List References'!$B$4, _xlfn.IFNA(_xlfn.XLOOKUP(H$2-$C12, 'GEN-SOLAR'!$D$7:$AW$7, 'GEN-SOLAR'!$D$43:$AW$43), 0), IF($B12='Project List References'!$B$5, _xlfn.IFNA(_xlfn.XLOOKUP(H$2-$C12, 'GEN-BESS'!$D$7:$AW$7, 'GEN-BESS'!$D$43:$AW$43), 0), IF($B12='Project List References'!$B$6, _xlfn.IFNA(_xlfn.XLOOKUP(H$2-$C12, 'GEN-CARBON'!$D$7:$AW$7, 'GEN-CARBON'!$D$43:$AW$43), 0), IF($B12='Project List References'!$B$7, _xlfn.IFNA(_xlfn.XLOOKUP(H$2-$C12, 'SENS Coal'!$D$7:$AW$7, 'SENS Coal'!$D$43:$AW$43), 0), IF($B12='Project List References'!$B$8, _xlfn.IFNA(_xlfn.XLOOKUP(H$2-$C12,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I12" s="743" t="e">
        <f>IF($B12='Project List References'!$B$3, _xlfn.IFNA(_xlfn.XLOOKUP(I$2-$C12, 'GEN-CCGT'!$D$7:$AW$7, 'GEN-CCGT'!$D$43:$AW$43), 0), IF($B12='Project List References'!$B$4, _xlfn.IFNA(_xlfn.XLOOKUP(I$2-$C12, 'GEN-SOLAR'!$D$7:$AW$7, 'GEN-SOLAR'!$D$43:$AW$43), 0), IF($B12='Project List References'!$B$5, _xlfn.IFNA(_xlfn.XLOOKUP(I$2-$C12, 'GEN-BESS'!$D$7:$AW$7, 'GEN-BESS'!$D$43:$AW$43), 0), IF($B12='Project List References'!$B$6, _xlfn.IFNA(_xlfn.XLOOKUP(I$2-$C12, 'GEN-CARBON'!$D$7:$AW$7, 'GEN-CARBON'!$D$43:$AW$43), 0), IF($B12='Project List References'!$B$7, _xlfn.IFNA(_xlfn.XLOOKUP(I$2-$C12, 'SENS Coal'!$D$7:$AW$7, 'SENS Coal'!$D$43:$AW$43), 0), IF($B12='Project List References'!$B$8, _xlfn.IFNA(_xlfn.XLOOKUP(I$2-$C12,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J12" s="743" t="e">
        <f>IF($B12='Project List References'!$B$3, _xlfn.IFNA(_xlfn.XLOOKUP(J$2-$C12, 'GEN-CCGT'!$D$7:$AW$7, 'GEN-CCGT'!$D$43:$AW$43), 0), IF($B12='Project List References'!$B$4, _xlfn.IFNA(_xlfn.XLOOKUP(J$2-$C12, 'GEN-SOLAR'!$D$7:$AW$7, 'GEN-SOLAR'!$D$43:$AW$43), 0), IF($B12='Project List References'!$B$5, _xlfn.IFNA(_xlfn.XLOOKUP(J$2-$C12, 'GEN-BESS'!$D$7:$AW$7, 'GEN-BESS'!$D$43:$AW$43), 0), IF($B12='Project List References'!$B$6, _xlfn.IFNA(_xlfn.XLOOKUP(J$2-$C12, 'GEN-CARBON'!$D$7:$AW$7, 'GEN-CARBON'!$D$43:$AW$43), 0), IF($B12='Project List References'!$B$7, _xlfn.IFNA(_xlfn.XLOOKUP(J$2-$C12, 'SENS Coal'!$D$7:$AW$7, 'SENS Coal'!$D$43:$AW$43), 0), IF($B12='Project List References'!$B$8, _xlfn.IFNA(_xlfn.XLOOKUP(J$2-$C12,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K12" s="743" t="e">
        <f>IF($B12='Project List References'!$B$3, _xlfn.IFNA(_xlfn.XLOOKUP(K$2-$C12, 'GEN-CCGT'!$D$7:$AW$7, 'GEN-CCGT'!$D$43:$AW$43), 0), IF($B12='Project List References'!$B$4, _xlfn.IFNA(_xlfn.XLOOKUP(K$2-$C12, 'GEN-SOLAR'!$D$7:$AW$7, 'GEN-SOLAR'!$D$43:$AW$43), 0), IF($B12='Project List References'!$B$5, _xlfn.IFNA(_xlfn.XLOOKUP(K$2-$C12, 'GEN-BESS'!$D$7:$AW$7, 'GEN-BESS'!$D$43:$AW$43), 0), IF($B12='Project List References'!$B$6, _xlfn.IFNA(_xlfn.XLOOKUP(K$2-$C12, 'GEN-CARBON'!$D$7:$AW$7, 'GEN-CARBON'!$D$43:$AW$43), 0), IF($B12='Project List References'!$B$7, _xlfn.IFNA(_xlfn.XLOOKUP(K$2-$C12, 'SENS Coal'!$D$7:$AW$7, 'SENS Coal'!$D$43:$AW$43), 0), IF($B12='Project List References'!$B$8, _xlfn.IFNA(_xlfn.XLOOKUP(K$2-$C12,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L12" s="743" t="e">
        <f>IF($B12='Project List References'!$B$3, _xlfn.IFNA(_xlfn.XLOOKUP(L$2-$C12, 'GEN-CCGT'!$D$7:$AW$7, 'GEN-CCGT'!$D$43:$AW$43), 0), IF($B12='Project List References'!$B$4, _xlfn.IFNA(_xlfn.XLOOKUP(L$2-$C12, 'GEN-SOLAR'!$D$7:$AW$7, 'GEN-SOLAR'!$D$43:$AW$43), 0), IF($B12='Project List References'!$B$5, _xlfn.IFNA(_xlfn.XLOOKUP(L$2-$C12, 'GEN-BESS'!$D$7:$AW$7, 'GEN-BESS'!$D$43:$AW$43), 0), IF($B12='Project List References'!$B$6, _xlfn.IFNA(_xlfn.XLOOKUP(L$2-$C12, 'GEN-CARBON'!$D$7:$AW$7, 'GEN-CARBON'!$D$43:$AW$43), 0), IF($B12='Project List References'!$B$7, _xlfn.IFNA(_xlfn.XLOOKUP(L$2-$C12, 'SENS Coal'!$D$7:$AW$7, 'SENS Coal'!$D$43:$AW$43), 0), IF($B12='Project List References'!$B$8, _xlfn.IFNA(_xlfn.XLOOKUP(L$2-$C12,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M12" s="743" t="e">
        <f>IF($B12='Project List References'!$B$3, _xlfn.IFNA(_xlfn.XLOOKUP(M$2-$C12, 'GEN-CCGT'!$D$7:$AW$7, 'GEN-CCGT'!$D$43:$AW$43), 0), IF($B12='Project List References'!$B$4, _xlfn.IFNA(_xlfn.XLOOKUP(M$2-$C12, 'GEN-SOLAR'!$D$7:$AW$7, 'GEN-SOLAR'!$D$43:$AW$43), 0), IF($B12='Project List References'!$B$5, _xlfn.IFNA(_xlfn.XLOOKUP(M$2-$C12, 'GEN-BESS'!$D$7:$AW$7, 'GEN-BESS'!$D$43:$AW$43), 0), IF($B12='Project List References'!$B$6, _xlfn.IFNA(_xlfn.XLOOKUP(M$2-$C12, 'GEN-CARBON'!$D$7:$AW$7, 'GEN-CARBON'!$D$43:$AW$43), 0), IF($B12='Project List References'!$B$7, _xlfn.IFNA(_xlfn.XLOOKUP(M$2-$C12, 'SENS Coal'!$D$7:$AW$7, 'SENS Coal'!$D$43:$AW$43), 0), IF($B12='Project List References'!$B$8, _xlfn.IFNA(_xlfn.XLOOKUP(M$2-$C12,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N12" s="743" t="e">
        <f>IF($B12='Project List References'!$B$3, _xlfn.IFNA(_xlfn.XLOOKUP(N$2-$C12, 'GEN-CCGT'!$D$7:$AW$7, 'GEN-CCGT'!$D$43:$AW$43), 0), IF($B12='Project List References'!$B$4, _xlfn.IFNA(_xlfn.XLOOKUP(N$2-$C12, 'GEN-SOLAR'!$D$7:$AW$7, 'GEN-SOLAR'!$D$43:$AW$43), 0), IF($B12='Project List References'!$B$5, _xlfn.IFNA(_xlfn.XLOOKUP(N$2-$C12, 'GEN-BESS'!$D$7:$AW$7, 'GEN-BESS'!$D$43:$AW$43), 0), IF($B12='Project List References'!$B$6, _xlfn.IFNA(_xlfn.XLOOKUP(N$2-$C12, 'GEN-CARBON'!$D$7:$AW$7, 'GEN-CARBON'!$D$43:$AW$43), 0), IF($B12='Project List References'!$B$7, _xlfn.IFNA(_xlfn.XLOOKUP(N$2-$C12, 'SENS Coal'!$D$7:$AW$7, 'SENS Coal'!$D$43:$AW$43), 0), IF($B12='Project List References'!$B$8, _xlfn.IFNA(_xlfn.XLOOKUP(N$2-$C12,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O12" s="743" t="e">
        <f>IF($B12='Project List References'!$B$3, _xlfn.IFNA(_xlfn.XLOOKUP(O$2-$C12, 'GEN-CCGT'!$D$7:$AW$7, 'GEN-CCGT'!$D$43:$AW$43), 0), IF($B12='Project List References'!$B$4, _xlfn.IFNA(_xlfn.XLOOKUP(O$2-$C12, 'GEN-SOLAR'!$D$7:$AW$7, 'GEN-SOLAR'!$D$43:$AW$43), 0), IF($B12='Project List References'!$B$5, _xlfn.IFNA(_xlfn.XLOOKUP(O$2-$C12, 'GEN-BESS'!$D$7:$AW$7, 'GEN-BESS'!$D$43:$AW$43), 0), IF($B12='Project List References'!$B$6, _xlfn.IFNA(_xlfn.XLOOKUP(O$2-$C12, 'GEN-CARBON'!$D$7:$AW$7, 'GEN-CARBON'!$D$43:$AW$43), 0), IF($B12='Project List References'!$B$7, _xlfn.IFNA(_xlfn.XLOOKUP(O$2-$C12, 'SENS Coal'!$D$7:$AW$7, 'SENS Coal'!$D$43:$AW$43), 0), IF($B12='Project List References'!$B$8, _xlfn.IFNA(_xlfn.XLOOKUP(O$2-$C12,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P12" s="743" t="e">
        <f>IF($B12='Project List References'!$B$3, _xlfn.IFNA(_xlfn.XLOOKUP(P$2-$C12, 'GEN-CCGT'!$D$7:$AW$7, 'GEN-CCGT'!$D$43:$AW$43), 0), IF($B12='Project List References'!$B$4, _xlfn.IFNA(_xlfn.XLOOKUP(P$2-$C12, 'GEN-SOLAR'!$D$7:$AW$7, 'GEN-SOLAR'!$D$43:$AW$43), 0), IF($B12='Project List References'!$B$5, _xlfn.IFNA(_xlfn.XLOOKUP(P$2-$C12, 'GEN-BESS'!$D$7:$AW$7, 'GEN-BESS'!$D$43:$AW$43), 0), IF($B12='Project List References'!$B$6, _xlfn.IFNA(_xlfn.XLOOKUP(P$2-$C12, 'GEN-CARBON'!$D$7:$AW$7, 'GEN-CARBON'!$D$43:$AW$43), 0), IF($B12='Project List References'!$B$7, _xlfn.IFNA(_xlfn.XLOOKUP(P$2-$C12, 'SENS Coal'!$D$7:$AW$7, 'SENS Coal'!$D$43:$AW$43), 0), IF($B12='Project List References'!$B$8, _xlfn.IFNA(_xlfn.XLOOKUP(P$2-$C12,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Q12" s="743" t="e">
        <f>IF($B12='Project List References'!$B$3, _xlfn.IFNA(_xlfn.XLOOKUP(Q$2-$C12, 'GEN-CCGT'!$D$7:$AW$7, 'GEN-CCGT'!$D$43:$AW$43), 0), IF($B12='Project List References'!$B$4, _xlfn.IFNA(_xlfn.XLOOKUP(Q$2-$C12, 'GEN-SOLAR'!$D$7:$AW$7, 'GEN-SOLAR'!$D$43:$AW$43), 0), IF($B12='Project List References'!$B$5, _xlfn.IFNA(_xlfn.XLOOKUP(Q$2-$C12, 'GEN-BESS'!$D$7:$AW$7, 'GEN-BESS'!$D$43:$AW$43), 0), IF($B12='Project List References'!$B$6, _xlfn.IFNA(_xlfn.XLOOKUP(Q$2-$C12, 'GEN-CARBON'!$D$7:$AW$7, 'GEN-CARBON'!$D$43:$AW$43), 0), IF($B12='Project List References'!$B$7, _xlfn.IFNA(_xlfn.XLOOKUP(Q$2-$C12, 'SENS Coal'!$D$7:$AW$7, 'SENS Coal'!$D$43:$AW$43), 0), IF($B12='Project List References'!$B$8, _xlfn.IFNA(_xlfn.XLOOKUP(Q$2-$C12,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R12" s="743" t="e">
        <f>IF($B12='Project List References'!$B$3, _xlfn.IFNA(_xlfn.XLOOKUP(R$2-$C12, 'GEN-CCGT'!$D$7:$AW$7, 'GEN-CCGT'!$D$43:$AW$43), 0), IF($B12='Project List References'!$B$4, _xlfn.IFNA(_xlfn.XLOOKUP(R$2-$C12, 'GEN-SOLAR'!$D$7:$AW$7, 'GEN-SOLAR'!$D$43:$AW$43), 0), IF($B12='Project List References'!$B$5, _xlfn.IFNA(_xlfn.XLOOKUP(R$2-$C12, 'GEN-BESS'!$D$7:$AW$7, 'GEN-BESS'!$D$43:$AW$43), 0), IF($B12='Project List References'!$B$6, _xlfn.IFNA(_xlfn.XLOOKUP(R$2-$C12, 'GEN-CARBON'!$D$7:$AW$7, 'GEN-CARBON'!$D$43:$AW$43), 0), IF($B12='Project List References'!$B$7, _xlfn.IFNA(_xlfn.XLOOKUP(R$2-$C12, 'SENS Coal'!$D$7:$AW$7, 'SENS Coal'!$D$43:$AW$43), 0), IF($B12='Project List References'!$B$8, _xlfn.IFNA(_xlfn.XLOOKUP(R$2-$C12,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S12" s="743" t="e">
        <f>IF($B12='Project List References'!$B$3, _xlfn.IFNA(_xlfn.XLOOKUP(S$2-$C12, 'GEN-CCGT'!$D$7:$AW$7, 'GEN-CCGT'!$D$43:$AW$43), 0), IF($B12='Project List References'!$B$4, _xlfn.IFNA(_xlfn.XLOOKUP(S$2-$C12, 'GEN-SOLAR'!$D$7:$AW$7, 'GEN-SOLAR'!$D$43:$AW$43), 0), IF($B12='Project List References'!$B$5, _xlfn.IFNA(_xlfn.XLOOKUP(S$2-$C12, 'GEN-BESS'!$D$7:$AW$7, 'GEN-BESS'!$D$43:$AW$43), 0), IF($B12='Project List References'!$B$6, _xlfn.IFNA(_xlfn.XLOOKUP(S$2-$C12, 'GEN-CARBON'!$D$7:$AW$7, 'GEN-CARBON'!$D$43:$AW$43), 0), IF($B12='Project List References'!$B$7, _xlfn.IFNA(_xlfn.XLOOKUP(S$2-$C12, 'SENS Coal'!$D$7:$AW$7, 'SENS Coal'!$D$43:$AW$43), 0), IF($B12='Project List References'!$B$8, _xlfn.IFNA(_xlfn.XLOOKUP(S$2-$C12,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T12" s="743" t="e">
        <f>IF($B12='Project List References'!$B$3, _xlfn.IFNA(_xlfn.XLOOKUP(T$2-$C12, 'GEN-CCGT'!$D$7:$AW$7, 'GEN-CCGT'!$D$43:$AW$43), 0), IF($B12='Project List References'!$B$4, _xlfn.IFNA(_xlfn.XLOOKUP(T$2-$C12, 'GEN-SOLAR'!$D$7:$AW$7, 'GEN-SOLAR'!$D$43:$AW$43), 0), IF($B12='Project List References'!$B$5, _xlfn.IFNA(_xlfn.XLOOKUP(T$2-$C12, 'GEN-BESS'!$D$7:$AW$7, 'GEN-BESS'!$D$43:$AW$43), 0), IF($B12='Project List References'!$B$6, _xlfn.IFNA(_xlfn.XLOOKUP(T$2-$C12, 'GEN-CARBON'!$D$7:$AW$7, 'GEN-CARBON'!$D$43:$AW$43), 0), IF($B12='Project List References'!$B$7, _xlfn.IFNA(_xlfn.XLOOKUP(T$2-$C12, 'SENS Coal'!$D$7:$AW$7, 'SENS Coal'!$D$43:$AW$43), 0), IF($B12='Project List References'!$B$8, _xlfn.IFNA(_xlfn.XLOOKUP(T$2-$C12, 'SENS Tires'!$D$7:$AW$7, 'SENS Tires'!$D$43:$AW$43),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</row>
    <row r="13" spans="1:20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_xlfn.XLOOKUP('Project OPEX'!A13, 'Project Master Sheet'!A:A, 'Project Master Sheet'!I:I)</f>
        <v>#N/A</v>
      </c>
      <c r="E13" s="743" t="e">
        <f>IF($B13='Project List References'!$B$3, _xlfn.IFNA(_xlfn.XLOOKUP(E$2-$C13, 'GEN-CCGT'!$D$7:$AW$7, 'GEN-CCGT'!$D$43:$AW$43), 0), IF($B13='Project List References'!$B$4, _xlfn.IFNA(_xlfn.XLOOKUP(E$2-$C13, 'GEN-SOLAR'!$D$7:$AW$7, 'GEN-SOLAR'!$D$43:$AW$43), 0), IF($B13='Project List References'!$B$5, _xlfn.IFNA(_xlfn.XLOOKUP(E$2-$C13, 'GEN-BESS'!$D$7:$AW$7, 'GEN-BESS'!$D$43:$AW$43), 0), IF($B13='Project List References'!$B$6, _xlfn.IFNA(_xlfn.XLOOKUP(E$2-$C13, 'GEN-CARBON'!$D$7:$AW$7, 'GEN-CARBON'!$D$43:$AW$43), 0), IF($B13='Project List References'!$B$7, _xlfn.IFNA(_xlfn.XLOOKUP(E$2-$C13, 'SENS Coal'!$D$7:$AW$7, 'SENS Coal'!$D$43:$AW$43), 0), IF($B13='Project List References'!$B$8, _xlfn.IFNA(_xlfn.XLOOKUP(E$2-$C13,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F13" s="743" t="e">
        <f>IF($B13='Project List References'!$B$3, _xlfn.IFNA(_xlfn.XLOOKUP(F$2-$C13, 'GEN-CCGT'!$D$7:$AW$7, 'GEN-CCGT'!$D$43:$AW$43), 0), IF($B13='Project List References'!$B$4, _xlfn.IFNA(_xlfn.XLOOKUP(F$2-$C13, 'GEN-SOLAR'!$D$7:$AW$7, 'GEN-SOLAR'!$D$43:$AW$43), 0), IF($B13='Project List References'!$B$5, _xlfn.IFNA(_xlfn.XLOOKUP(F$2-$C13, 'GEN-BESS'!$D$7:$AW$7, 'GEN-BESS'!$D$43:$AW$43), 0), IF($B13='Project List References'!$B$6, _xlfn.IFNA(_xlfn.XLOOKUP(F$2-$C13, 'GEN-CARBON'!$D$7:$AW$7, 'GEN-CARBON'!$D$43:$AW$43), 0), IF($B13='Project List References'!$B$7, _xlfn.IFNA(_xlfn.XLOOKUP(F$2-$C13, 'SENS Coal'!$D$7:$AW$7, 'SENS Coal'!$D$43:$AW$43), 0), IF($B13='Project List References'!$B$8, _xlfn.IFNA(_xlfn.XLOOKUP(F$2-$C13,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G13" s="743" t="e">
        <f>IF($B13='Project List References'!$B$3, _xlfn.IFNA(_xlfn.XLOOKUP(G$2-$C13, 'GEN-CCGT'!$D$7:$AW$7, 'GEN-CCGT'!$D$43:$AW$43), 0), IF($B13='Project List References'!$B$4, _xlfn.IFNA(_xlfn.XLOOKUP(G$2-$C13, 'GEN-SOLAR'!$D$7:$AW$7, 'GEN-SOLAR'!$D$43:$AW$43), 0), IF($B13='Project List References'!$B$5, _xlfn.IFNA(_xlfn.XLOOKUP(G$2-$C13, 'GEN-BESS'!$D$7:$AW$7, 'GEN-BESS'!$D$43:$AW$43), 0), IF($B13='Project List References'!$B$6, _xlfn.IFNA(_xlfn.XLOOKUP(G$2-$C13, 'GEN-CARBON'!$D$7:$AW$7, 'GEN-CARBON'!$D$43:$AW$43), 0), IF($B13='Project List References'!$B$7, _xlfn.IFNA(_xlfn.XLOOKUP(G$2-$C13, 'SENS Coal'!$D$7:$AW$7, 'SENS Coal'!$D$43:$AW$43), 0), IF($B13='Project List References'!$B$8, _xlfn.IFNA(_xlfn.XLOOKUP(G$2-$C13,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H13" s="743" t="e">
        <f>IF($B13='Project List References'!$B$3, _xlfn.IFNA(_xlfn.XLOOKUP(H$2-$C13, 'GEN-CCGT'!$D$7:$AW$7, 'GEN-CCGT'!$D$43:$AW$43), 0), IF($B13='Project List References'!$B$4, _xlfn.IFNA(_xlfn.XLOOKUP(H$2-$C13, 'GEN-SOLAR'!$D$7:$AW$7, 'GEN-SOLAR'!$D$43:$AW$43), 0), IF($B13='Project List References'!$B$5, _xlfn.IFNA(_xlfn.XLOOKUP(H$2-$C13, 'GEN-BESS'!$D$7:$AW$7, 'GEN-BESS'!$D$43:$AW$43), 0), IF($B13='Project List References'!$B$6, _xlfn.IFNA(_xlfn.XLOOKUP(H$2-$C13, 'GEN-CARBON'!$D$7:$AW$7, 'GEN-CARBON'!$D$43:$AW$43), 0), IF($B13='Project List References'!$B$7, _xlfn.IFNA(_xlfn.XLOOKUP(H$2-$C13, 'SENS Coal'!$D$7:$AW$7, 'SENS Coal'!$D$43:$AW$43), 0), IF($B13='Project List References'!$B$8, _xlfn.IFNA(_xlfn.XLOOKUP(H$2-$C13,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I13" s="743" t="e">
        <f>IF($B13='Project List References'!$B$3, _xlfn.IFNA(_xlfn.XLOOKUP(I$2-$C13, 'GEN-CCGT'!$D$7:$AW$7, 'GEN-CCGT'!$D$43:$AW$43), 0), IF($B13='Project List References'!$B$4, _xlfn.IFNA(_xlfn.XLOOKUP(I$2-$C13, 'GEN-SOLAR'!$D$7:$AW$7, 'GEN-SOLAR'!$D$43:$AW$43), 0), IF($B13='Project List References'!$B$5, _xlfn.IFNA(_xlfn.XLOOKUP(I$2-$C13, 'GEN-BESS'!$D$7:$AW$7, 'GEN-BESS'!$D$43:$AW$43), 0), IF($B13='Project List References'!$B$6, _xlfn.IFNA(_xlfn.XLOOKUP(I$2-$C13, 'GEN-CARBON'!$D$7:$AW$7, 'GEN-CARBON'!$D$43:$AW$43), 0), IF($B13='Project List References'!$B$7, _xlfn.IFNA(_xlfn.XLOOKUP(I$2-$C13, 'SENS Coal'!$D$7:$AW$7, 'SENS Coal'!$D$43:$AW$43), 0), IF($B13='Project List References'!$B$8, _xlfn.IFNA(_xlfn.XLOOKUP(I$2-$C13,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J13" s="743" t="e">
        <f>IF($B13='Project List References'!$B$3, _xlfn.IFNA(_xlfn.XLOOKUP(J$2-$C13, 'GEN-CCGT'!$D$7:$AW$7, 'GEN-CCGT'!$D$43:$AW$43), 0), IF($B13='Project List References'!$B$4, _xlfn.IFNA(_xlfn.XLOOKUP(J$2-$C13, 'GEN-SOLAR'!$D$7:$AW$7, 'GEN-SOLAR'!$D$43:$AW$43), 0), IF($B13='Project List References'!$B$5, _xlfn.IFNA(_xlfn.XLOOKUP(J$2-$C13, 'GEN-BESS'!$D$7:$AW$7, 'GEN-BESS'!$D$43:$AW$43), 0), IF($B13='Project List References'!$B$6, _xlfn.IFNA(_xlfn.XLOOKUP(J$2-$C13, 'GEN-CARBON'!$D$7:$AW$7, 'GEN-CARBON'!$D$43:$AW$43), 0), IF($B13='Project List References'!$B$7, _xlfn.IFNA(_xlfn.XLOOKUP(J$2-$C13, 'SENS Coal'!$D$7:$AW$7, 'SENS Coal'!$D$43:$AW$43), 0), IF($B13='Project List References'!$B$8, _xlfn.IFNA(_xlfn.XLOOKUP(J$2-$C13,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K13" s="743" t="e">
        <f>IF($B13='Project List References'!$B$3, _xlfn.IFNA(_xlfn.XLOOKUP(K$2-$C13, 'GEN-CCGT'!$D$7:$AW$7, 'GEN-CCGT'!$D$43:$AW$43), 0), IF($B13='Project List References'!$B$4, _xlfn.IFNA(_xlfn.XLOOKUP(K$2-$C13, 'GEN-SOLAR'!$D$7:$AW$7, 'GEN-SOLAR'!$D$43:$AW$43), 0), IF($B13='Project List References'!$B$5, _xlfn.IFNA(_xlfn.XLOOKUP(K$2-$C13, 'GEN-BESS'!$D$7:$AW$7, 'GEN-BESS'!$D$43:$AW$43), 0), IF($B13='Project List References'!$B$6, _xlfn.IFNA(_xlfn.XLOOKUP(K$2-$C13, 'GEN-CARBON'!$D$7:$AW$7, 'GEN-CARBON'!$D$43:$AW$43), 0), IF($B13='Project List References'!$B$7, _xlfn.IFNA(_xlfn.XLOOKUP(K$2-$C13, 'SENS Coal'!$D$7:$AW$7, 'SENS Coal'!$D$43:$AW$43), 0), IF($B13='Project List References'!$B$8, _xlfn.IFNA(_xlfn.XLOOKUP(K$2-$C13,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L13" s="743" t="e">
        <f>IF($B13='Project List References'!$B$3, _xlfn.IFNA(_xlfn.XLOOKUP(L$2-$C13, 'GEN-CCGT'!$D$7:$AW$7, 'GEN-CCGT'!$D$43:$AW$43), 0), IF($B13='Project List References'!$B$4, _xlfn.IFNA(_xlfn.XLOOKUP(L$2-$C13, 'GEN-SOLAR'!$D$7:$AW$7, 'GEN-SOLAR'!$D$43:$AW$43), 0), IF($B13='Project List References'!$B$5, _xlfn.IFNA(_xlfn.XLOOKUP(L$2-$C13, 'GEN-BESS'!$D$7:$AW$7, 'GEN-BESS'!$D$43:$AW$43), 0), IF($B13='Project List References'!$B$6, _xlfn.IFNA(_xlfn.XLOOKUP(L$2-$C13, 'GEN-CARBON'!$D$7:$AW$7, 'GEN-CARBON'!$D$43:$AW$43), 0), IF($B13='Project List References'!$B$7, _xlfn.IFNA(_xlfn.XLOOKUP(L$2-$C13, 'SENS Coal'!$D$7:$AW$7, 'SENS Coal'!$D$43:$AW$43), 0), IF($B13='Project List References'!$B$8, _xlfn.IFNA(_xlfn.XLOOKUP(L$2-$C13,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M13" s="743" t="e">
        <f>IF($B13='Project List References'!$B$3, _xlfn.IFNA(_xlfn.XLOOKUP(M$2-$C13, 'GEN-CCGT'!$D$7:$AW$7, 'GEN-CCGT'!$D$43:$AW$43), 0), IF($B13='Project List References'!$B$4, _xlfn.IFNA(_xlfn.XLOOKUP(M$2-$C13, 'GEN-SOLAR'!$D$7:$AW$7, 'GEN-SOLAR'!$D$43:$AW$43), 0), IF($B13='Project List References'!$B$5, _xlfn.IFNA(_xlfn.XLOOKUP(M$2-$C13, 'GEN-BESS'!$D$7:$AW$7, 'GEN-BESS'!$D$43:$AW$43), 0), IF($B13='Project List References'!$B$6, _xlfn.IFNA(_xlfn.XLOOKUP(M$2-$C13, 'GEN-CARBON'!$D$7:$AW$7, 'GEN-CARBON'!$D$43:$AW$43), 0), IF($B13='Project List References'!$B$7, _xlfn.IFNA(_xlfn.XLOOKUP(M$2-$C13, 'SENS Coal'!$D$7:$AW$7, 'SENS Coal'!$D$43:$AW$43), 0), IF($B13='Project List References'!$B$8, _xlfn.IFNA(_xlfn.XLOOKUP(M$2-$C13,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N13" s="743" t="e">
        <f>IF($B13='Project List References'!$B$3, _xlfn.IFNA(_xlfn.XLOOKUP(N$2-$C13, 'GEN-CCGT'!$D$7:$AW$7, 'GEN-CCGT'!$D$43:$AW$43), 0), IF($B13='Project List References'!$B$4, _xlfn.IFNA(_xlfn.XLOOKUP(N$2-$C13, 'GEN-SOLAR'!$D$7:$AW$7, 'GEN-SOLAR'!$D$43:$AW$43), 0), IF($B13='Project List References'!$B$5, _xlfn.IFNA(_xlfn.XLOOKUP(N$2-$C13, 'GEN-BESS'!$D$7:$AW$7, 'GEN-BESS'!$D$43:$AW$43), 0), IF($B13='Project List References'!$B$6, _xlfn.IFNA(_xlfn.XLOOKUP(N$2-$C13, 'GEN-CARBON'!$D$7:$AW$7, 'GEN-CARBON'!$D$43:$AW$43), 0), IF($B13='Project List References'!$B$7, _xlfn.IFNA(_xlfn.XLOOKUP(N$2-$C13, 'SENS Coal'!$D$7:$AW$7, 'SENS Coal'!$D$43:$AW$43), 0), IF($B13='Project List References'!$B$8, _xlfn.IFNA(_xlfn.XLOOKUP(N$2-$C13,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O13" s="743" t="e">
        <f>IF($B13='Project List References'!$B$3, _xlfn.IFNA(_xlfn.XLOOKUP(O$2-$C13, 'GEN-CCGT'!$D$7:$AW$7, 'GEN-CCGT'!$D$43:$AW$43), 0), IF($B13='Project List References'!$B$4, _xlfn.IFNA(_xlfn.XLOOKUP(O$2-$C13, 'GEN-SOLAR'!$D$7:$AW$7, 'GEN-SOLAR'!$D$43:$AW$43), 0), IF($B13='Project List References'!$B$5, _xlfn.IFNA(_xlfn.XLOOKUP(O$2-$C13, 'GEN-BESS'!$D$7:$AW$7, 'GEN-BESS'!$D$43:$AW$43), 0), IF($B13='Project List References'!$B$6, _xlfn.IFNA(_xlfn.XLOOKUP(O$2-$C13, 'GEN-CARBON'!$D$7:$AW$7, 'GEN-CARBON'!$D$43:$AW$43), 0), IF($B13='Project List References'!$B$7, _xlfn.IFNA(_xlfn.XLOOKUP(O$2-$C13, 'SENS Coal'!$D$7:$AW$7, 'SENS Coal'!$D$43:$AW$43), 0), IF($B13='Project List References'!$B$8, _xlfn.IFNA(_xlfn.XLOOKUP(O$2-$C13,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P13" s="743" t="e">
        <f>IF($B13='Project List References'!$B$3, _xlfn.IFNA(_xlfn.XLOOKUP(P$2-$C13, 'GEN-CCGT'!$D$7:$AW$7, 'GEN-CCGT'!$D$43:$AW$43), 0), IF($B13='Project List References'!$B$4, _xlfn.IFNA(_xlfn.XLOOKUP(P$2-$C13, 'GEN-SOLAR'!$D$7:$AW$7, 'GEN-SOLAR'!$D$43:$AW$43), 0), IF($B13='Project List References'!$B$5, _xlfn.IFNA(_xlfn.XLOOKUP(P$2-$C13, 'GEN-BESS'!$D$7:$AW$7, 'GEN-BESS'!$D$43:$AW$43), 0), IF($B13='Project List References'!$B$6, _xlfn.IFNA(_xlfn.XLOOKUP(P$2-$C13, 'GEN-CARBON'!$D$7:$AW$7, 'GEN-CARBON'!$D$43:$AW$43), 0), IF($B13='Project List References'!$B$7, _xlfn.IFNA(_xlfn.XLOOKUP(P$2-$C13, 'SENS Coal'!$D$7:$AW$7, 'SENS Coal'!$D$43:$AW$43), 0), IF($B13='Project List References'!$B$8, _xlfn.IFNA(_xlfn.XLOOKUP(P$2-$C13,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Q13" s="743" t="e">
        <f>IF($B13='Project List References'!$B$3, _xlfn.IFNA(_xlfn.XLOOKUP(Q$2-$C13, 'GEN-CCGT'!$D$7:$AW$7, 'GEN-CCGT'!$D$43:$AW$43), 0), IF($B13='Project List References'!$B$4, _xlfn.IFNA(_xlfn.XLOOKUP(Q$2-$C13, 'GEN-SOLAR'!$D$7:$AW$7, 'GEN-SOLAR'!$D$43:$AW$43), 0), IF($B13='Project List References'!$B$5, _xlfn.IFNA(_xlfn.XLOOKUP(Q$2-$C13, 'GEN-BESS'!$D$7:$AW$7, 'GEN-BESS'!$D$43:$AW$43), 0), IF($B13='Project List References'!$B$6, _xlfn.IFNA(_xlfn.XLOOKUP(Q$2-$C13, 'GEN-CARBON'!$D$7:$AW$7, 'GEN-CARBON'!$D$43:$AW$43), 0), IF($B13='Project List References'!$B$7, _xlfn.IFNA(_xlfn.XLOOKUP(Q$2-$C13, 'SENS Coal'!$D$7:$AW$7, 'SENS Coal'!$D$43:$AW$43), 0), IF($B13='Project List References'!$B$8, _xlfn.IFNA(_xlfn.XLOOKUP(Q$2-$C13,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R13" s="743" t="e">
        <f>IF($B13='Project List References'!$B$3, _xlfn.IFNA(_xlfn.XLOOKUP(R$2-$C13, 'GEN-CCGT'!$D$7:$AW$7, 'GEN-CCGT'!$D$43:$AW$43), 0), IF($B13='Project List References'!$B$4, _xlfn.IFNA(_xlfn.XLOOKUP(R$2-$C13, 'GEN-SOLAR'!$D$7:$AW$7, 'GEN-SOLAR'!$D$43:$AW$43), 0), IF($B13='Project List References'!$B$5, _xlfn.IFNA(_xlfn.XLOOKUP(R$2-$C13, 'GEN-BESS'!$D$7:$AW$7, 'GEN-BESS'!$D$43:$AW$43), 0), IF($B13='Project List References'!$B$6, _xlfn.IFNA(_xlfn.XLOOKUP(R$2-$C13, 'GEN-CARBON'!$D$7:$AW$7, 'GEN-CARBON'!$D$43:$AW$43), 0), IF($B13='Project List References'!$B$7, _xlfn.IFNA(_xlfn.XLOOKUP(R$2-$C13, 'SENS Coal'!$D$7:$AW$7, 'SENS Coal'!$D$43:$AW$43), 0), IF($B13='Project List References'!$B$8, _xlfn.IFNA(_xlfn.XLOOKUP(R$2-$C13,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S13" s="743" t="e">
        <f>IF($B13='Project List References'!$B$3, _xlfn.IFNA(_xlfn.XLOOKUP(S$2-$C13, 'GEN-CCGT'!$D$7:$AW$7, 'GEN-CCGT'!$D$43:$AW$43), 0), IF($B13='Project List References'!$B$4, _xlfn.IFNA(_xlfn.XLOOKUP(S$2-$C13, 'GEN-SOLAR'!$D$7:$AW$7, 'GEN-SOLAR'!$D$43:$AW$43), 0), IF($B13='Project List References'!$B$5, _xlfn.IFNA(_xlfn.XLOOKUP(S$2-$C13, 'GEN-BESS'!$D$7:$AW$7, 'GEN-BESS'!$D$43:$AW$43), 0), IF($B13='Project List References'!$B$6, _xlfn.IFNA(_xlfn.XLOOKUP(S$2-$C13, 'GEN-CARBON'!$D$7:$AW$7, 'GEN-CARBON'!$D$43:$AW$43), 0), IF($B13='Project List References'!$B$7, _xlfn.IFNA(_xlfn.XLOOKUP(S$2-$C13, 'SENS Coal'!$D$7:$AW$7, 'SENS Coal'!$D$43:$AW$43), 0), IF($B13='Project List References'!$B$8, _xlfn.IFNA(_xlfn.XLOOKUP(S$2-$C13,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T13" s="743" t="e">
        <f>IF($B13='Project List References'!$B$3, _xlfn.IFNA(_xlfn.XLOOKUP(T$2-$C13, 'GEN-CCGT'!$D$7:$AW$7, 'GEN-CCGT'!$D$43:$AW$43), 0), IF($B13='Project List References'!$B$4, _xlfn.IFNA(_xlfn.XLOOKUP(T$2-$C13, 'GEN-SOLAR'!$D$7:$AW$7, 'GEN-SOLAR'!$D$43:$AW$43), 0), IF($B13='Project List References'!$B$5, _xlfn.IFNA(_xlfn.XLOOKUP(T$2-$C13, 'GEN-BESS'!$D$7:$AW$7, 'GEN-BESS'!$D$43:$AW$43), 0), IF($B13='Project List References'!$B$6, _xlfn.IFNA(_xlfn.XLOOKUP(T$2-$C13, 'GEN-CARBON'!$D$7:$AW$7, 'GEN-CARBON'!$D$43:$AW$43), 0), IF($B13='Project List References'!$B$7, _xlfn.IFNA(_xlfn.XLOOKUP(T$2-$C13, 'SENS Coal'!$D$7:$AW$7, 'SENS Coal'!$D$43:$AW$43), 0), IF($B13='Project List References'!$B$8, _xlfn.IFNA(_xlfn.XLOOKUP(T$2-$C13, 'SENS Tires'!$D$7:$AW$7, 'SENS Tires'!$D$43:$AW$43),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</row>
    <row r="14" spans="1:20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_xlfn.XLOOKUP('Project OPEX'!A14, 'Project Master Sheet'!A:A, 'Project Master Sheet'!I:I)</f>
        <v>#N/A</v>
      </c>
      <c r="E14" s="743" t="e">
        <f>IF($B14='Project List References'!$B$3, _xlfn.IFNA(_xlfn.XLOOKUP(E$2-$C14, 'GEN-CCGT'!$D$7:$AW$7, 'GEN-CCGT'!$D$43:$AW$43), 0), IF($B14='Project List References'!$B$4, _xlfn.IFNA(_xlfn.XLOOKUP(E$2-$C14, 'GEN-SOLAR'!$D$7:$AW$7, 'GEN-SOLAR'!$D$43:$AW$43), 0), IF($B14='Project List References'!$B$5, _xlfn.IFNA(_xlfn.XLOOKUP(E$2-$C14, 'GEN-BESS'!$D$7:$AW$7, 'GEN-BESS'!$D$43:$AW$43), 0), IF($B14='Project List References'!$B$6, _xlfn.IFNA(_xlfn.XLOOKUP(E$2-$C14, 'GEN-CARBON'!$D$7:$AW$7, 'GEN-CARBON'!$D$43:$AW$43), 0), IF($B14='Project List References'!$B$7, _xlfn.IFNA(_xlfn.XLOOKUP(E$2-$C14, 'SENS Coal'!$D$7:$AW$7, 'SENS Coal'!$D$43:$AW$43), 0), IF($B14='Project List References'!$B$8, _xlfn.IFNA(_xlfn.XLOOKUP(E$2-$C14,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F14" s="743" t="e">
        <f>IF($B14='Project List References'!$B$3, _xlfn.IFNA(_xlfn.XLOOKUP(F$2-$C14, 'GEN-CCGT'!$D$7:$AW$7, 'GEN-CCGT'!$D$43:$AW$43), 0), IF($B14='Project List References'!$B$4, _xlfn.IFNA(_xlfn.XLOOKUP(F$2-$C14, 'GEN-SOLAR'!$D$7:$AW$7, 'GEN-SOLAR'!$D$43:$AW$43), 0), IF($B14='Project List References'!$B$5, _xlfn.IFNA(_xlfn.XLOOKUP(F$2-$C14, 'GEN-BESS'!$D$7:$AW$7, 'GEN-BESS'!$D$43:$AW$43), 0), IF($B14='Project List References'!$B$6, _xlfn.IFNA(_xlfn.XLOOKUP(F$2-$C14, 'GEN-CARBON'!$D$7:$AW$7, 'GEN-CARBON'!$D$43:$AW$43), 0), IF($B14='Project List References'!$B$7, _xlfn.IFNA(_xlfn.XLOOKUP(F$2-$C14, 'SENS Coal'!$D$7:$AW$7, 'SENS Coal'!$D$43:$AW$43), 0), IF($B14='Project List References'!$B$8, _xlfn.IFNA(_xlfn.XLOOKUP(F$2-$C14,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G14" s="743" t="e">
        <f>IF($B14='Project List References'!$B$3, _xlfn.IFNA(_xlfn.XLOOKUP(G$2-$C14, 'GEN-CCGT'!$D$7:$AW$7, 'GEN-CCGT'!$D$43:$AW$43), 0), IF($B14='Project List References'!$B$4, _xlfn.IFNA(_xlfn.XLOOKUP(G$2-$C14, 'GEN-SOLAR'!$D$7:$AW$7, 'GEN-SOLAR'!$D$43:$AW$43), 0), IF($B14='Project List References'!$B$5, _xlfn.IFNA(_xlfn.XLOOKUP(G$2-$C14, 'GEN-BESS'!$D$7:$AW$7, 'GEN-BESS'!$D$43:$AW$43), 0), IF($B14='Project List References'!$B$6, _xlfn.IFNA(_xlfn.XLOOKUP(G$2-$C14, 'GEN-CARBON'!$D$7:$AW$7, 'GEN-CARBON'!$D$43:$AW$43), 0), IF($B14='Project List References'!$B$7, _xlfn.IFNA(_xlfn.XLOOKUP(G$2-$C14, 'SENS Coal'!$D$7:$AW$7, 'SENS Coal'!$D$43:$AW$43), 0), IF($B14='Project List References'!$B$8, _xlfn.IFNA(_xlfn.XLOOKUP(G$2-$C14,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H14" s="743" t="e">
        <f>IF($B14='Project List References'!$B$3, _xlfn.IFNA(_xlfn.XLOOKUP(H$2-$C14, 'GEN-CCGT'!$D$7:$AW$7, 'GEN-CCGT'!$D$43:$AW$43), 0), IF($B14='Project List References'!$B$4, _xlfn.IFNA(_xlfn.XLOOKUP(H$2-$C14, 'GEN-SOLAR'!$D$7:$AW$7, 'GEN-SOLAR'!$D$43:$AW$43), 0), IF($B14='Project List References'!$B$5, _xlfn.IFNA(_xlfn.XLOOKUP(H$2-$C14, 'GEN-BESS'!$D$7:$AW$7, 'GEN-BESS'!$D$43:$AW$43), 0), IF($B14='Project List References'!$B$6, _xlfn.IFNA(_xlfn.XLOOKUP(H$2-$C14, 'GEN-CARBON'!$D$7:$AW$7, 'GEN-CARBON'!$D$43:$AW$43), 0), IF($B14='Project List References'!$B$7, _xlfn.IFNA(_xlfn.XLOOKUP(H$2-$C14, 'SENS Coal'!$D$7:$AW$7, 'SENS Coal'!$D$43:$AW$43), 0), IF($B14='Project List References'!$B$8, _xlfn.IFNA(_xlfn.XLOOKUP(H$2-$C14,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I14" s="743" t="e">
        <f>IF($B14='Project List References'!$B$3, _xlfn.IFNA(_xlfn.XLOOKUP(I$2-$C14, 'GEN-CCGT'!$D$7:$AW$7, 'GEN-CCGT'!$D$43:$AW$43), 0), IF($B14='Project List References'!$B$4, _xlfn.IFNA(_xlfn.XLOOKUP(I$2-$C14, 'GEN-SOLAR'!$D$7:$AW$7, 'GEN-SOLAR'!$D$43:$AW$43), 0), IF($B14='Project List References'!$B$5, _xlfn.IFNA(_xlfn.XLOOKUP(I$2-$C14, 'GEN-BESS'!$D$7:$AW$7, 'GEN-BESS'!$D$43:$AW$43), 0), IF($B14='Project List References'!$B$6, _xlfn.IFNA(_xlfn.XLOOKUP(I$2-$C14, 'GEN-CARBON'!$D$7:$AW$7, 'GEN-CARBON'!$D$43:$AW$43), 0), IF($B14='Project List References'!$B$7, _xlfn.IFNA(_xlfn.XLOOKUP(I$2-$C14, 'SENS Coal'!$D$7:$AW$7, 'SENS Coal'!$D$43:$AW$43), 0), IF($B14='Project List References'!$B$8, _xlfn.IFNA(_xlfn.XLOOKUP(I$2-$C14,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J14" s="743" t="e">
        <f>IF($B14='Project List References'!$B$3, _xlfn.IFNA(_xlfn.XLOOKUP(J$2-$C14, 'GEN-CCGT'!$D$7:$AW$7, 'GEN-CCGT'!$D$43:$AW$43), 0), IF($B14='Project List References'!$B$4, _xlfn.IFNA(_xlfn.XLOOKUP(J$2-$C14, 'GEN-SOLAR'!$D$7:$AW$7, 'GEN-SOLAR'!$D$43:$AW$43), 0), IF($B14='Project List References'!$B$5, _xlfn.IFNA(_xlfn.XLOOKUP(J$2-$C14, 'GEN-BESS'!$D$7:$AW$7, 'GEN-BESS'!$D$43:$AW$43), 0), IF($B14='Project List References'!$B$6, _xlfn.IFNA(_xlfn.XLOOKUP(J$2-$C14, 'GEN-CARBON'!$D$7:$AW$7, 'GEN-CARBON'!$D$43:$AW$43), 0), IF($B14='Project List References'!$B$7, _xlfn.IFNA(_xlfn.XLOOKUP(J$2-$C14, 'SENS Coal'!$D$7:$AW$7, 'SENS Coal'!$D$43:$AW$43), 0), IF($B14='Project List References'!$B$8, _xlfn.IFNA(_xlfn.XLOOKUP(J$2-$C14,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K14" s="743" t="e">
        <f>IF($B14='Project List References'!$B$3, _xlfn.IFNA(_xlfn.XLOOKUP(K$2-$C14, 'GEN-CCGT'!$D$7:$AW$7, 'GEN-CCGT'!$D$43:$AW$43), 0), IF($B14='Project List References'!$B$4, _xlfn.IFNA(_xlfn.XLOOKUP(K$2-$C14, 'GEN-SOLAR'!$D$7:$AW$7, 'GEN-SOLAR'!$D$43:$AW$43), 0), IF($B14='Project List References'!$B$5, _xlfn.IFNA(_xlfn.XLOOKUP(K$2-$C14, 'GEN-BESS'!$D$7:$AW$7, 'GEN-BESS'!$D$43:$AW$43), 0), IF($B14='Project List References'!$B$6, _xlfn.IFNA(_xlfn.XLOOKUP(K$2-$C14, 'GEN-CARBON'!$D$7:$AW$7, 'GEN-CARBON'!$D$43:$AW$43), 0), IF($B14='Project List References'!$B$7, _xlfn.IFNA(_xlfn.XLOOKUP(K$2-$C14, 'SENS Coal'!$D$7:$AW$7, 'SENS Coal'!$D$43:$AW$43), 0), IF($B14='Project List References'!$B$8, _xlfn.IFNA(_xlfn.XLOOKUP(K$2-$C14,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L14" s="743" t="e">
        <f>IF($B14='Project List References'!$B$3, _xlfn.IFNA(_xlfn.XLOOKUP(L$2-$C14, 'GEN-CCGT'!$D$7:$AW$7, 'GEN-CCGT'!$D$43:$AW$43), 0), IF($B14='Project List References'!$B$4, _xlfn.IFNA(_xlfn.XLOOKUP(L$2-$C14, 'GEN-SOLAR'!$D$7:$AW$7, 'GEN-SOLAR'!$D$43:$AW$43), 0), IF($B14='Project List References'!$B$5, _xlfn.IFNA(_xlfn.XLOOKUP(L$2-$C14, 'GEN-BESS'!$D$7:$AW$7, 'GEN-BESS'!$D$43:$AW$43), 0), IF($B14='Project List References'!$B$6, _xlfn.IFNA(_xlfn.XLOOKUP(L$2-$C14, 'GEN-CARBON'!$D$7:$AW$7, 'GEN-CARBON'!$D$43:$AW$43), 0), IF($B14='Project List References'!$B$7, _xlfn.IFNA(_xlfn.XLOOKUP(L$2-$C14, 'SENS Coal'!$D$7:$AW$7, 'SENS Coal'!$D$43:$AW$43), 0), IF($B14='Project List References'!$B$8, _xlfn.IFNA(_xlfn.XLOOKUP(L$2-$C14,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M14" s="743" t="e">
        <f>IF($B14='Project List References'!$B$3, _xlfn.IFNA(_xlfn.XLOOKUP(M$2-$C14, 'GEN-CCGT'!$D$7:$AW$7, 'GEN-CCGT'!$D$43:$AW$43), 0), IF($B14='Project List References'!$B$4, _xlfn.IFNA(_xlfn.XLOOKUP(M$2-$C14, 'GEN-SOLAR'!$D$7:$AW$7, 'GEN-SOLAR'!$D$43:$AW$43), 0), IF($B14='Project List References'!$B$5, _xlfn.IFNA(_xlfn.XLOOKUP(M$2-$C14, 'GEN-BESS'!$D$7:$AW$7, 'GEN-BESS'!$D$43:$AW$43), 0), IF($B14='Project List References'!$B$6, _xlfn.IFNA(_xlfn.XLOOKUP(M$2-$C14, 'GEN-CARBON'!$D$7:$AW$7, 'GEN-CARBON'!$D$43:$AW$43), 0), IF($B14='Project List References'!$B$7, _xlfn.IFNA(_xlfn.XLOOKUP(M$2-$C14, 'SENS Coal'!$D$7:$AW$7, 'SENS Coal'!$D$43:$AW$43), 0), IF($B14='Project List References'!$B$8, _xlfn.IFNA(_xlfn.XLOOKUP(M$2-$C14,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N14" s="743" t="e">
        <f>IF($B14='Project List References'!$B$3, _xlfn.IFNA(_xlfn.XLOOKUP(N$2-$C14, 'GEN-CCGT'!$D$7:$AW$7, 'GEN-CCGT'!$D$43:$AW$43), 0), IF($B14='Project List References'!$B$4, _xlfn.IFNA(_xlfn.XLOOKUP(N$2-$C14, 'GEN-SOLAR'!$D$7:$AW$7, 'GEN-SOLAR'!$D$43:$AW$43), 0), IF($B14='Project List References'!$B$5, _xlfn.IFNA(_xlfn.XLOOKUP(N$2-$C14, 'GEN-BESS'!$D$7:$AW$7, 'GEN-BESS'!$D$43:$AW$43), 0), IF($B14='Project List References'!$B$6, _xlfn.IFNA(_xlfn.XLOOKUP(N$2-$C14, 'GEN-CARBON'!$D$7:$AW$7, 'GEN-CARBON'!$D$43:$AW$43), 0), IF($B14='Project List References'!$B$7, _xlfn.IFNA(_xlfn.XLOOKUP(N$2-$C14, 'SENS Coal'!$D$7:$AW$7, 'SENS Coal'!$D$43:$AW$43), 0), IF($B14='Project List References'!$B$8, _xlfn.IFNA(_xlfn.XLOOKUP(N$2-$C14,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O14" s="743" t="e">
        <f>IF($B14='Project List References'!$B$3, _xlfn.IFNA(_xlfn.XLOOKUP(O$2-$C14, 'GEN-CCGT'!$D$7:$AW$7, 'GEN-CCGT'!$D$43:$AW$43), 0), IF($B14='Project List References'!$B$4, _xlfn.IFNA(_xlfn.XLOOKUP(O$2-$C14, 'GEN-SOLAR'!$D$7:$AW$7, 'GEN-SOLAR'!$D$43:$AW$43), 0), IF($B14='Project List References'!$B$5, _xlfn.IFNA(_xlfn.XLOOKUP(O$2-$C14, 'GEN-BESS'!$D$7:$AW$7, 'GEN-BESS'!$D$43:$AW$43), 0), IF($B14='Project List References'!$B$6, _xlfn.IFNA(_xlfn.XLOOKUP(O$2-$C14, 'GEN-CARBON'!$D$7:$AW$7, 'GEN-CARBON'!$D$43:$AW$43), 0), IF($B14='Project List References'!$B$7, _xlfn.IFNA(_xlfn.XLOOKUP(O$2-$C14, 'SENS Coal'!$D$7:$AW$7, 'SENS Coal'!$D$43:$AW$43), 0), IF($B14='Project List References'!$B$8, _xlfn.IFNA(_xlfn.XLOOKUP(O$2-$C14,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P14" s="743" t="e">
        <f>IF($B14='Project List References'!$B$3, _xlfn.IFNA(_xlfn.XLOOKUP(P$2-$C14, 'GEN-CCGT'!$D$7:$AW$7, 'GEN-CCGT'!$D$43:$AW$43), 0), IF($B14='Project List References'!$B$4, _xlfn.IFNA(_xlfn.XLOOKUP(P$2-$C14, 'GEN-SOLAR'!$D$7:$AW$7, 'GEN-SOLAR'!$D$43:$AW$43), 0), IF($B14='Project List References'!$B$5, _xlfn.IFNA(_xlfn.XLOOKUP(P$2-$C14, 'GEN-BESS'!$D$7:$AW$7, 'GEN-BESS'!$D$43:$AW$43), 0), IF($B14='Project List References'!$B$6, _xlfn.IFNA(_xlfn.XLOOKUP(P$2-$C14, 'GEN-CARBON'!$D$7:$AW$7, 'GEN-CARBON'!$D$43:$AW$43), 0), IF($B14='Project List References'!$B$7, _xlfn.IFNA(_xlfn.XLOOKUP(P$2-$C14, 'SENS Coal'!$D$7:$AW$7, 'SENS Coal'!$D$43:$AW$43), 0), IF($B14='Project List References'!$B$8, _xlfn.IFNA(_xlfn.XLOOKUP(P$2-$C14,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Q14" s="743" t="e">
        <f>IF($B14='Project List References'!$B$3, _xlfn.IFNA(_xlfn.XLOOKUP(Q$2-$C14, 'GEN-CCGT'!$D$7:$AW$7, 'GEN-CCGT'!$D$43:$AW$43), 0), IF($B14='Project List References'!$B$4, _xlfn.IFNA(_xlfn.XLOOKUP(Q$2-$C14, 'GEN-SOLAR'!$D$7:$AW$7, 'GEN-SOLAR'!$D$43:$AW$43), 0), IF($B14='Project List References'!$B$5, _xlfn.IFNA(_xlfn.XLOOKUP(Q$2-$C14, 'GEN-BESS'!$D$7:$AW$7, 'GEN-BESS'!$D$43:$AW$43), 0), IF($B14='Project List References'!$B$6, _xlfn.IFNA(_xlfn.XLOOKUP(Q$2-$C14, 'GEN-CARBON'!$D$7:$AW$7, 'GEN-CARBON'!$D$43:$AW$43), 0), IF($B14='Project List References'!$B$7, _xlfn.IFNA(_xlfn.XLOOKUP(Q$2-$C14, 'SENS Coal'!$D$7:$AW$7, 'SENS Coal'!$D$43:$AW$43), 0), IF($B14='Project List References'!$B$8, _xlfn.IFNA(_xlfn.XLOOKUP(Q$2-$C14,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R14" s="743" t="e">
        <f>IF($B14='Project List References'!$B$3, _xlfn.IFNA(_xlfn.XLOOKUP(R$2-$C14, 'GEN-CCGT'!$D$7:$AW$7, 'GEN-CCGT'!$D$43:$AW$43), 0), IF($B14='Project List References'!$B$4, _xlfn.IFNA(_xlfn.XLOOKUP(R$2-$C14, 'GEN-SOLAR'!$D$7:$AW$7, 'GEN-SOLAR'!$D$43:$AW$43), 0), IF($B14='Project List References'!$B$5, _xlfn.IFNA(_xlfn.XLOOKUP(R$2-$C14, 'GEN-BESS'!$D$7:$AW$7, 'GEN-BESS'!$D$43:$AW$43), 0), IF($B14='Project List References'!$B$6, _xlfn.IFNA(_xlfn.XLOOKUP(R$2-$C14, 'GEN-CARBON'!$D$7:$AW$7, 'GEN-CARBON'!$D$43:$AW$43), 0), IF($B14='Project List References'!$B$7, _xlfn.IFNA(_xlfn.XLOOKUP(R$2-$C14, 'SENS Coal'!$D$7:$AW$7, 'SENS Coal'!$D$43:$AW$43), 0), IF($B14='Project List References'!$B$8, _xlfn.IFNA(_xlfn.XLOOKUP(R$2-$C14,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S14" s="743" t="e">
        <f>IF($B14='Project List References'!$B$3, _xlfn.IFNA(_xlfn.XLOOKUP(S$2-$C14, 'GEN-CCGT'!$D$7:$AW$7, 'GEN-CCGT'!$D$43:$AW$43), 0), IF($B14='Project List References'!$B$4, _xlfn.IFNA(_xlfn.XLOOKUP(S$2-$C14, 'GEN-SOLAR'!$D$7:$AW$7, 'GEN-SOLAR'!$D$43:$AW$43), 0), IF($B14='Project List References'!$B$5, _xlfn.IFNA(_xlfn.XLOOKUP(S$2-$C14, 'GEN-BESS'!$D$7:$AW$7, 'GEN-BESS'!$D$43:$AW$43), 0), IF($B14='Project List References'!$B$6, _xlfn.IFNA(_xlfn.XLOOKUP(S$2-$C14, 'GEN-CARBON'!$D$7:$AW$7, 'GEN-CARBON'!$D$43:$AW$43), 0), IF($B14='Project List References'!$B$7, _xlfn.IFNA(_xlfn.XLOOKUP(S$2-$C14, 'SENS Coal'!$D$7:$AW$7, 'SENS Coal'!$D$43:$AW$43), 0), IF($B14='Project List References'!$B$8, _xlfn.IFNA(_xlfn.XLOOKUP(S$2-$C14,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T14" s="743" t="e">
        <f>IF($B14='Project List References'!$B$3, _xlfn.IFNA(_xlfn.XLOOKUP(T$2-$C14, 'GEN-CCGT'!$D$7:$AW$7, 'GEN-CCGT'!$D$43:$AW$43), 0), IF($B14='Project List References'!$B$4, _xlfn.IFNA(_xlfn.XLOOKUP(T$2-$C14, 'GEN-SOLAR'!$D$7:$AW$7, 'GEN-SOLAR'!$D$43:$AW$43), 0), IF($B14='Project List References'!$B$5, _xlfn.IFNA(_xlfn.XLOOKUP(T$2-$C14, 'GEN-BESS'!$D$7:$AW$7, 'GEN-BESS'!$D$43:$AW$43), 0), IF($B14='Project List References'!$B$6, _xlfn.IFNA(_xlfn.XLOOKUP(T$2-$C14, 'GEN-CARBON'!$D$7:$AW$7, 'GEN-CARBON'!$D$43:$AW$43), 0), IF($B14='Project List References'!$B$7, _xlfn.IFNA(_xlfn.XLOOKUP(T$2-$C14, 'SENS Coal'!$D$7:$AW$7, 'SENS Coal'!$D$43:$AW$43), 0), IF($B14='Project List References'!$B$8, _xlfn.IFNA(_xlfn.XLOOKUP(T$2-$C14, 'SENS Tires'!$D$7:$AW$7, 'SENS Tires'!$D$43:$AW$43),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</row>
    <row r="15" spans="1:20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_xlfn.XLOOKUP('Project OPEX'!A15, 'Project Master Sheet'!A:A, 'Project Master Sheet'!I:I)</f>
        <v>#N/A</v>
      </c>
      <c r="E15" s="743" t="e">
        <f>IF($B15='Project List References'!$B$3, _xlfn.IFNA(_xlfn.XLOOKUP(E$2-$C15, 'GEN-CCGT'!$D$7:$AW$7, 'GEN-CCGT'!$D$43:$AW$43), 0), IF($B15='Project List References'!$B$4, _xlfn.IFNA(_xlfn.XLOOKUP(E$2-$C15, 'GEN-SOLAR'!$D$7:$AW$7, 'GEN-SOLAR'!$D$43:$AW$43), 0), IF($B15='Project List References'!$B$5, _xlfn.IFNA(_xlfn.XLOOKUP(E$2-$C15, 'GEN-BESS'!$D$7:$AW$7, 'GEN-BESS'!$D$43:$AW$43), 0), IF($B15='Project List References'!$B$6, _xlfn.IFNA(_xlfn.XLOOKUP(E$2-$C15, 'GEN-CARBON'!$D$7:$AW$7, 'GEN-CARBON'!$D$43:$AW$43), 0), IF($B15='Project List References'!$B$7, _xlfn.IFNA(_xlfn.XLOOKUP(E$2-$C15, 'SENS Coal'!$D$7:$AW$7, 'SENS Coal'!$D$43:$AW$43), 0), IF($B15='Project List References'!$B$8, _xlfn.IFNA(_xlfn.XLOOKUP(E$2-$C15,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F15" s="743" t="e">
        <f>IF($B15='Project List References'!$B$3, _xlfn.IFNA(_xlfn.XLOOKUP(F$2-$C15, 'GEN-CCGT'!$D$7:$AW$7, 'GEN-CCGT'!$D$43:$AW$43), 0), IF($B15='Project List References'!$B$4, _xlfn.IFNA(_xlfn.XLOOKUP(F$2-$C15, 'GEN-SOLAR'!$D$7:$AW$7, 'GEN-SOLAR'!$D$43:$AW$43), 0), IF($B15='Project List References'!$B$5, _xlfn.IFNA(_xlfn.XLOOKUP(F$2-$C15, 'GEN-BESS'!$D$7:$AW$7, 'GEN-BESS'!$D$43:$AW$43), 0), IF($B15='Project List References'!$B$6, _xlfn.IFNA(_xlfn.XLOOKUP(F$2-$C15, 'GEN-CARBON'!$D$7:$AW$7, 'GEN-CARBON'!$D$43:$AW$43), 0), IF($B15='Project List References'!$B$7, _xlfn.IFNA(_xlfn.XLOOKUP(F$2-$C15, 'SENS Coal'!$D$7:$AW$7, 'SENS Coal'!$D$43:$AW$43), 0), IF($B15='Project List References'!$B$8, _xlfn.IFNA(_xlfn.XLOOKUP(F$2-$C15,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G15" s="743" t="e">
        <f>IF($B15='Project List References'!$B$3, _xlfn.IFNA(_xlfn.XLOOKUP(G$2-$C15, 'GEN-CCGT'!$D$7:$AW$7, 'GEN-CCGT'!$D$43:$AW$43), 0), IF($B15='Project List References'!$B$4, _xlfn.IFNA(_xlfn.XLOOKUP(G$2-$C15, 'GEN-SOLAR'!$D$7:$AW$7, 'GEN-SOLAR'!$D$43:$AW$43), 0), IF($B15='Project List References'!$B$5, _xlfn.IFNA(_xlfn.XLOOKUP(G$2-$C15, 'GEN-BESS'!$D$7:$AW$7, 'GEN-BESS'!$D$43:$AW$43), 0), IF($B15='Project List References'!$B$6, _xlfn.IFNA(_xlfn.XLOOKUP(G$2-$C15, 'GEN-CARBON'!$D$7:$AW$7, 'GEN-CARBON'!$D$43:$AW$43), 0), IF($B15='Project List References'!$B$7, _xlfn.IFNA(_xlfn.XLOOKUP(G$2-$C15, 'SENS Coal'!$D$7:$AW$7, 'SENS Coal'!$D$43:$AW$43), 0), IF($B15='Project List References'!$B$8, _xlfn.IFNA(_xlfn.XLOOKUP(G$2-$C15,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H15" s="743" t="e">
        <f>IF($B15='Project List References'!$B$3, _xlfn.IFNA(_xlfn.XLOOKUP(H$2-$C15, 'GEN-CCGT'!$D$7:$AW$7, 'GEN-CCGT'!$D$43:$AW$43), 0), IF($B15='Project List References'!$B$4, _xlfn.IFNA(_xlfn.XLOOKUP(H$2-$C15, 'GEN-SOLAR'!$D$7:$AW$7, 'GEN-SOLAR'!$D$43:$AW$43), 0), IF($B15='Project List References'!$B$5, _xlfn.IFNA(_xlfn.XLOOKUP(H$2-$C15, 'GEN-BESS'!$D$7:$AW$7, 'GEN-BESS'!$D$43:$AW$43), 0), IF($B15='Project List References'!$B$6, _xlfn.IFNA(_xlfn.XLOOKUP(H$2-$C15, 'GEN-CARBON'!$D$7:$AW$7, 'GEN-CARBON'!$D$43:$AW$43), 0), IF($B15='Project List References'!$B$7, _xlfn.IFNA(_xlfn.XLOOKUP(H$2-$C15, 'SENS Coal'!$D$7:$AW$7, 'SENS Coal'!$D$43:$AW$43), 0), IF($B15='Project List References'!$B$8, _xlfn.IFNA(_xlfn.XLOOKUP(H$2-$C15,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I15" s="743" t="e">
        <f>IF($B15='Project List References'!$B$3, _xlfn.IFNA(_xlfn.XLOOKUP(I$2-$C15, 'GEN-CCGT'!$D$7:$AW$7, 'GEN-CCGT'!$D$43:$AW$43), 0), IF($B15='Project List References'!$B$4, _xlfn.IFNA(_xlfn.XLOOKUP(I$2-$C15, 'GEN-SOLAR'!$D$7:$AW$7, 'GEN-SOLAR'!$D$43:$AW$43), 0), IF($B15='Project List References'!$B$5, _xlfn.IFNA(_xlfn.XLOOKUP(I$2-$C15, 'GEN-BESS'!$D$7:$AW$7, 'GEN-BESS'!$D$43:$AW$43), 0), IF($B15='Project List References'!$B$6, _xlfn.IFNA(_xlfn.XLOOKUP(I$2-$C15, 'GEN-CARBON'!$D$7:$AW$7, 'GEN-CARBON'!$D$43:$AW$43), 0), IF($B15='Project List References'!$B$7, _xlfn.IFNA(_xlfn.XLOOKUP(I$2-$C15, 'SENS Coal'!$D$7:$AW$7, 'SENS Coal'!$D$43:$AW$43), 0), IF($B15='Project List References'!$B$8, _xlfn.IFNA(_xlfn.XLOOKUP(I$2-$C15,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J15" s="743" t="e">
        <f>IF($B15='Project List References'!$B$3, _xlfn.IFNA(_xlfn.XLOOKUP(J$2-$C15, 'GEN-CCGT'!$D$7:$AW$7, 'GEN-CCGT'!$D$43:$AW$43), 0), IF($B15='Project List References'!$B$4, _xlfn.IFNA(_xlfn.XLOOKUP(J$2-$C15, 'GEN-SOLAR'!$D$7:$AW$7, 'GEN-SOLAR'!$D$43:$AW$43), 0), IF($B15='Project List References'!$B$5, _xlfn.IFNA(_xlfn.XLOOKUP(J$2-$C15, 'GEN-BESS'!$D$7:$AW$7, 'GEN-BESS'!$D$43:$AW$43), 0), IF($B15='Project List References'!$B$6, _xlfn.IFNA(_xlfn.XLOOKUP(J$2-$C15, 'GEN-CARBON'!$D$7:$AW$7, 'GEN-CARBON'!$D$43:$AW$43), 0), IF($B15='Project List References'!$B$7, _xlfn.IFNA(_xlfn.XLOOKUP(J$2-$C15, 'SENS Coal'!$D$7:$AW$7, 'SENS Coal'!$D$43:$AW$43), 0), IF($B15='Project List References'!$B$8, _xlfn.IFNA(_xlfn.XLOOKUP(J$2-$C15,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K15" s="743" t="e">
        <f>IF($B15='Project List References'!$B$3, _xlfn.IFNA(_xlfn.XLOOKUP(K$2-$C15, 'GEN-CCGT'!$D$7:$AW$7, 'GEN-CCGT'!$D$43:$AW$43), 0), IF($B15='Project List References'!$B$4, _xlfn.IFNA(_xlfn.XLOOKUP(K$2-$C15, 'GEN-SOLAR'!$D$7:$AW$7, 'GEN-SOLAR'!$D$43:$AW$43), 0), IF($B15='Project List References'!$B$5, _xlfn.IFNA(_xlfn.XLOOKUP(K$2-$C15, 'GEN-BESS'!$D$7:$AW$7, 'GEN-BESS'!$D$43:$AW$43), 0), IF($B15='Project List References'!$B$6, _xlfn.IFNA(_xlfn.XLOOKUP(K$2-$C15, 'GEN-CARBON'!$D$7:$AW$7, 'GEN-CARBON'!$D$43:$AW$43), 0), IF($B15='Project List References'!$B$7, _xlfn.IFNA(_xlfn.XLOOKUP(K$2-$C15, 'SENS Coal'!$D$7:$AW$7, 'SENS Coal'!$D$43:$AW$43), 0), IF($B15='Project List References'!$B$8, _xlfn.IFNA(_xlfn.XLOOKUP(K$2-$C15,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L15" s="743" t="e">
        <f>IF($B15='Project List References'!$B$3, _xlfn.IFNA(_xlfn.XLOOKUP(L$2-$C15, 'GEN-CCGT'!$D$7:$AW$7, 'GEN-CCGT'!$D$43:$AW$43), 0), IF($B15='Project List References'!$B$4, _xlfn.IFNA(_xlfn.XLOOKUP(L$2-$C15, 'GEN-SOLAR'!$D$7:$AW$7, 'GEN-SOLAR'!$D$43:$AW$43), 0), IF($B15='Project List References'!$B$5, _xlfn.IFNA(_xlfn.XLOOKUP(L$2-$C15, 'GEN-BESS'!$D$7:$AW$7, 'GEN-BESS'!$D$43:$AW$43), 0), IF($B15='Project List References'!$B$6, _xlfn.IFNA(_xlfn.XLOOKUP(L$2-$C15, 'GEN-CARBON'!$D$7:$AW$7, 'GEN-CARBON'!$D$43:$AW$43), 0), IF($B15='Project List References'!$B$7, _xlfn.IFNA(_xlfn.XLOOKUP(L$2-$C15, 'SENS Coal'!$D$7:$AW$7, 'SENS Coal'!$D$43:$AW$43), 0), IF($B15='Project List References'!$B$8, _xlfn.IFNA(_xlfn.XLOOKUP(L$2-$C15,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M15" s="743" t="e">
        <f>IF($B15='Project List References'!$B$3, _xlfn.IFNA(_xlfn.XLOOKUP(M$2-$C15, 'GEN-CCGT'!$D$7:$AW$7, 'GEN-CCGT'!$D$43:$AW$43), 0), IF($B15='Project List References'!$B$4, _xlfn.IFNA(_xlfn.XLOOKUP(M$2-$C15, 'GEN-SOLAR'!$D$7:$AW$7, 'GEN-SOLAR'!$D$43:$AW$43), 0), IF($B15='Project List References'!$B$5, _xlfn.IFNA(_xlfn.XLOOKUP(M$2-$C15, 'GEN-BESS'!$D$7:$AW$7, 'GEN-BESS'!$D$43:$AW$43), 0), IF($B15='Project List References'!$B$6, _xlfn.IFNA(_xlfn.XLOOKUP(M$2-$C15, 'GEN-CARBON'!$D$7:$AW$7, 'GEN-CARBON'!$D$43:$AW$43), 0), IF($B15='Project List References'!$B$7, _xlfn.IFNA(_xlfn.XLOOKUP(M$2-$C15, 'SENS Coal'!$D$7:$AW$7, 'SENS Coal'!$D$43:$AW$43), 0), IF($B15='Project List References'!$B$8, _xlfn.IFNA(_xlfn.XLOOKUP(M$2-$C15,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N15" s="743" t="e">
        <f>IF($B15='Project List References'!$B$3, _xlfn.IFNA(_xlfn.XLOOKUP(N$2-$C15, 'GEN-CCGT'!$D$7:$AW$7, 'GEN-CCGT'!$D$43:$AW$43), 0), IF($B15='Project List References'!$B$4, _xlfn.IFNA(_xlfn.XLOOKUP(N$2-$C15, 'GEN-SOLAR'!$D$7:$AW$7, 'GEN-SOLAR'!$D$43:$AW$43), 0), IF($B15='Project List References'!$B$5, _xlfn.IFNA(_xlfn.XLOOKUP(N$2-$C15, 'GEN-BESS'!$D$7:$AW$7, 'GEN-BESS'!$D$43:$AW$43), 0), IF($B15='Project List References'!$B$6, _xlfn.IFNA(_xlfn.XLOOKUP(N$2-$C15, 'GEN-CARBON'!$D$7:$AW$7, 'GEN-CARBON'!$D$43:$AW$43), 0), IF($B15='Project List References'!$B$7, _xlfn.IFNA(_xlfn.XLOOKUP(N$2-$C15, 'SENS Coal'!$D$7:$AW$7, 'SENS Coal'!$D$43:$AW$43), 0), IF($B15='Project List References'!$B$8, _xlfn.IFNA(_xlfn.XLOOKUP(N$2-$C15,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O15" s="743" t="e">
        <f>IF($B15='Project List References'!$B$3, _xlfn.IFNA(_xlfn.XLOOKUP(O$2-$C15, 'GEN-CCGT'!$D$7:$AW$7, 'GEN-CCGT'!$D$43:$AW$43), 0), IF($B15='Project List References'!$B$4, _xlfn.IFNA(_xlfn.XLOOKUP(O$2-$C15, 'GEN-SOLAR'!$D$7:$AW$7, 'GEN-SOLAR'!$D$43:$AW$43), 0), IF($B15='Project List References'!$B$5, _xlfn.IFNA(_xlfn.XLOOKUP(O$2-$C15, 'GEN-BESS'!$D$7:$AW$7, 'GEN-BESS'!$D$43:$AW$43), 0), IF($B15='Project List References'!$B$6, _xlfn.IFNA(_xlfn.XLOOKUP(O$2-$C15, 'GEN-CARBON'!$D$7:$AW$7, 'GEN-CARBON'!$D$43:$AW$43), 0), IF($B15='Project List References'!$B$7, _xlfn.IFNA(_xlfn.XLOOKUP(O$2-$C15, 'SENS Coal'!$D$7:$AW$7, 'SENS Coal'!$D$43:$AW$43), 0), IF($B15='Project List References'!$B$8, _xlfn.IFNA(_xlfn.XLOOKUP(O$2-$C15,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P15" s="743" t="e">
        <f>IF($B15='Project List References'!$B$3, _xlfn.IFNA(_xlfn.XLOOKUP(P$2-$C15, 'GEN-CCGT'!$D$7:$AW$7, 'GEN-CCGT'!$D$43:$AW$43), 0), IF($B15='Project List References'!$B$4, _xlfn.IFNA(_xlfn.XLOOKUP(P$2-$C15, 'GEN-SOLAR'!$D$7:$AW$7, 'GEN-SOLAR'!$D$43:$AW$43), 0), IF($B15='Project List References'!$B$5, _xlfn.IFNA(_xlfn.XLOOKUP(P$2-$C15, 'GEN-BESS'!$D$7:$AW$7, 'GEN-BESS'!$D$43:$AW$43), 0), IF($B15='Project List References'!$B$6, _xlfn.IFNA(_xlfn.XLOOKUP(P$2-$C15, 'GEN-CARBON'!$D$7:$AW$7, 'GEN-CARBON'!$D$43:$AW$43), 0), IF($B15='Project List References'!$B$7, _xlfn.IFNA(_xlfn.XLOOKUP(P$2-$C15, 'SENS Coal'!$D$7:$AW$7, 'SENS Coal'!$D$43:$AW$43), 0), IF($B15='Project List References'!$B$8, _xlfn.IFNA(_xlfn.XLOOKUP(P$2-$C15,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Q15" s="743" t="e">
        <f>IF($B15='Project List References'!$B$3, _xlfn.IFNA(_xlfn.XLOOKUP(Q$2-$C15, 'GEN-CCGT'!$D$7:$AW$7, 'GEN-CCGT'!$D$43:$AW$43), 0), IF($B15='Project List References'!$B$4, _xlfn.IFNA(_xlfn.XLOOKUP(Q$2-$C15, 'GEN-SOLAR'!$D$7:$AW$7, 'GEN-SOLAR'!$D$43:$AW$43), 0), IF($B15='Project List References'!$B$5, _xlfn.IFNA(_xlfn.XLOOKUP(Q$2-$C15, 'GEN-BESS'!$D$7:$AW$7, 'GEN-BESS'!$D$43:$AW$43), 0), IF($B15='Project List References'!$B$6, _xlfn.IFNA(_xlfn.XLOOKUP(Q$2-$C15, 'GEN-CARBON'!$D$7:$AW$7, 'GEN-CARBON'!$D$43:$AW$43), 0), IF($B15='Project List References'!$B$7, _xlfn.IFNA(_xlfn.XLOOKUP(Q$2-$C15, 'SENS Coal'!$D$7:$AW$7, 'SENS Coal'!$D$43:$AW$43), 0), IF($B15='Project List References'!$B$8, _xlfn.IFNA(_xlfn.XLOOKUP(Q$2-$C15,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R15" s="743" t="e">
        <f>IF($B15='Project List References'!$B$3, _xlfn.IFNA(_xlfn.XLOOKUP(R$2-$C15, 'GEN-CCGT'!$D$7:$AW$7, 'GEN-CCGT'!$D$43:$AW$43), 0), IF($B15='Project List References'!$B$4, _xlfn.IFNA(_xlfn.XLOOKUP(R$2-$C15, 'GEN-SOLAR'!$D$7:$AW$7, 'GEN-SOLAR'!$D$43:$AW$43), 0), IF($B15='Project List References'!$B$5, _xlfn.IFNA(_xlfn.XLOOKUP(R$2-$C15, 'GEN-BESS'!$D$7:$AW$7, 'GEN-BESS'!$D$43:$AW$43), 0), IF($B15='Project List References'!$B$6, _xlfn.IFNA(_xlfn.XLOOKUP(R$2-$C15, 'GEN-CARBON'!$D$7:$AW$7, 'GEN-CARBON'!$D$43:$AW$43), 0), IF($B15='Project List References'!$B$7, _xlfn.IFNA(_xlfn.XLOOKUP(R$2-$C15, 'SENS Coal'!$D$7:$AW$7, 'SENS Coal'!$D$43:$AW$43), 0), IF($B15='Project List References'!$B$8, _xlfn.IFNA(_xlfn.XLOOKUP(R$2-$C15,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S15" s="743" t="e">
        <f>IF($B15='Project List References'!$B$3, _xlfn.IFNA(_xlfn.XLOOKUP(S$2-$C15, 'GEN-CCGT'!$D$7:$AW$7, 'GEN-CCGT'!$D$43:$AW$43), 0), IF($B15='Project List References'!$B$4, _xlfn.IFNA(_xlfn.XLOOKUP(S$2-$C15, 'GEN-SOLAR'!$D$7:$AW$7, 'GEN-SOLAR'!$D$43:$AW$43), 0), IF($B15='Project List References'!$B$5, _xlfn.IFNA(_xlfn.XLOOKUP(S$2-$C15, 'GEN-BESS'!$D$7:$AW$7, 'GEN-BESS'!$D$43:$AW$43), 0), IF($B15='Project List References'!$B$6, _xlfn.IFNA(_xlfn.XLOOKUP(S$2-$C15, 'GEN-CARBON'!$D$7:$AW$7, 'GEN-CARBON'!$D$43:$AW$43), 0), IF($B15='Project List References'!$B$7, _xlfn.IFNA(_xlfn.XLOOKUP(S$2-$C15, 'SENS Coal'!$D$7:$AW$7, 'SENS Coal'!$D$43:$AW$43), 0), IF($B15='Project List References'!$B$8, _xlfn.IFNA(_xlfn.XLOOKUP(S$2-$C15,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T15" s="743" t="e">
        <f>IF($B15='Project List References'!$B$3, _xlfn.IFNA(_xlfn.XLOOKUP(T$2-$C15, 'GEN-CCGT'!$D$7:$AW$7, 'GEN-CCGT'!$D$43:$AW$43), 0), IF($B15='Project List References'!$B$4, _xlfn.IFNA(_xlfn.XLOOKUP(T$2-$C15, 'GEN-SOLAR'!$D$7:$AW$7, 'GEN-SOLAR'!$D$43:$AW$43), 0), IF($B15='Project List References'!$B$5, _xlfn.IFNA(_xlfn.XLOOKUP(T$2-$C15, 'GEN-BESS'!$D$7:$AW$7, 'GEN-BESS'!$D$43:$AW$43), 0), IF($B15='Project List References'!$B$6, _xlfn.IFNA(_xlfn.XLOOKUP(T$2-$C15, 'GEN-CARBON'!$D$7:$AW$7, 'GEN-CARBON'!$D$43:$AW$43), 0), IF($B15='Project List References'!$B$7, _xlfn.IFNA(_xlfn.XLOOKUP(T$2-$C15, 'SENS Coal'!$D$7:$AW$7, 'SENS Coal'!$D$43:$AW$43), 0), IF($B15='Project List References'!$B$8, _xlfn.IFNA(_xlfn.XLOOKUP(T$2-$C15, 'SENS Tires'!$D$7:$AW$7, 'SENS Tires'!$D$43:$AW$43),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</row>
    <row r="16" spans="1:20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_xlfn.XLOOKUP('Project OPEX'!A16, 'Project Master Sheet'!A:A, 'Project Master Sheet'!I:I)</f>
        <v>#N/A</v>
      </c>
      <c r="E16" s="743" t="e">
        <f>IF($B16='Project List References'!$B$3, _xlfn.IFNA(_xlfn.XLOOKUP(E$2-$C16, 'GEN-CCGT'!$D$7:$AW$7, 'GEN-CCGT'!$D$43:$AW$43), 0), IF($B16='Project List References'!$B$4, _xlfn.IFNA(_xlfn.XLOOKUP(E$2-$C16, 'GEN-SOLAR'!$D$7:$AW$7, 'GEN-SOLAR'!$D$43:$AW$43), 0), IF($B16='Project List References'!$B$5, _xlfn.IFNA(_xlfn.XLOOKUP(E$2-$C16, 'GEN-BESS'!$D$7:$AW$7, 'GEN-BESS'!$D$43:$AW$43), 0), IF($B16='Project List References'!$B$6, _xlfn.IFNA(_xlfn.XLOOKUP(E$2-$C16, 'GEN-CARBON'!$D$7:$AW$7, 'GEN-CARBON'!$D$43:$AW$43), 0), IF($B16='Project List References'!$B$7, _xlfn.IFNA(_xlfn.XLOOKUP(E$2-$C16, 'SENS Coal'!$D$7:$AW$7, 'SENS Coal'!$D$43:$AW$43), 0), IF($B16='Project List References'!$B$8, _xlfn.IFNA(_xlfn.XLOOKUP(E$2-$C16,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F16" s="743" t="e">
        <f>IF($B16='Project List References'!$B$3, _xlfn.IFNA(_xlfn.XLOOKUP(F$2-$C16, 'GEN-CCGT'!$D$7:$AW$7, 'GEN-CCGT'!$D$43:$AW$43), 0), IF($B16='Project List References'!$B$4, _xlfn.IFNA(_xlfn.XLOOKUP(F$2-$C16, 'GEN-SOLAR'!$D$7:$AW$7, 'GEN-SOLAR'!$D$43:$AW$43), 0), IF($B16='Project List References'!$B$5, _xlfn.IFNA(_xlfn.XLOOKUP(F$2-$C16, 'GEN-BESS'!$D$7:$AW$7, 'GEN-BESS'!$D$43:$AW$43), 0), IF($B16='Project List References'!$B$6, _xlfn.IFNA(_xlfn.XLOOKUP(F$2-$C16, 'GEN-CARBON'!$D$7:$AW$7, 'GEN-CARBON'!$D$43:$AW$43), 0), IF($B16='Project List References'!$B$7, _xlfn.IFNA(_xlfn.XLOOKUP(F$2-$C16, 'SENS Coal'!$D$7:$AW$7, 'SENS Coal'!$D$43:$AW$43), 0), IF($B16='Project List References'!$B$8, _xlfn.IFNA(_xlfn.XLOOKUP(F$2-$C16,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G16" s="743" t="e">
        <f>IF($B16='Project List References'!$B$3, _xlfn.IFNA(_xlfn.XLOOKUP(G$2-$C16, 'GEN-CCGT'!$D$7:$AW$7, 'GEN-CCGT'!$D$43:$AW$43), 0), IF($B16='Project List References'!$B$4, _xlfn.IFNA(_xlfn.XLOOKUP(G$2-$C16, 'GEN-SOLAR'!$D$7:$AW$7, 'GEN-SOLAR'!$D$43:$AW$43), 0), IF($B16='Project List References'!$B$5, _xlfn.IFNA(_xlfn.XLOOKUP(G$2-$C16, 'GEN-BESS'!$D$7:$AW$7, 'GEN-BESS'!$D$43:$AW$43), 0), IF($B16='Project List References'!$B$6, _xlfn.IFNA(_xlfn.XLOOKUP(G$2-$C16, 'GEN-CARBON'!$D$7:$AW$7, 'GEN-CARBON'!$D$43:$AW$43), 0), IF($B16='Project List References'!$B$7, _xlfn.IFNA(_xlfn.XLOOKUP(G$2-$C16, 'SENS Coal'!$D$7:$AW$7, 'SENS Coal'!$D$43:$AW$43), 0), IF($B16='Project List References'!$B$8, _xlfn.IFNA(_xlfn.XLOOKUP(G$2-$C16,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H16" s="743" t="e">
        <f>IF($B16='Project List References'!$B$3, _xlfn.IFNA(_xlfn.XLOOKUP(H$2-$C16, 'GEN-CCGT'!$D$7:$AW$7, 'GEN-CCGT'!$D$43:$AW$43), 0), IF($B16='Project List References'!$B$4, _xlfn.IFNA(_xlfn.XLOOKUP(H$2-$C16, 'GEN-SOLAR'!$D$7:$AW$7, 'GEN-SOLAR'!$D$43:$AW$43), 0), IF($B16='Project List References'!$B$5, _xlfn.IFNA(_xlfn.XLOOKUP(H$2-$C16, 'GEN-BESS'!$D$7:$AW$7, 'GEN-BESS'!$D$43:$AW$43), 0), IF($B16='Project List References'!$B$6, _xlfn.IFNA(_xlfn.XLOOKUP(H$2-$C16, 'GEN-CARBON'!$D$7:$AW$7, 'GEN-CARBON'!$D$43:$AW$43), 0), IF($B16='Project List References'!$B$7, _xlfn.IFNA(_xlfn.XLOOKUP(H$2-$C16, 'SENS Coal'!$D$7:$AW$7, 'SENS Coal'!$D$43:$AW$43), 0), IF($B16='Project List References'!$B$8, _xlfn.IFNA(_xlfn.XLOOKUP(H$2-$C16,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I16" s="743" t="e">
        <f>IF($B16='Project List References'!$B$3, _xlfn.IFNA(_xlfn.XLOOKUP(I$2-$C16, 'GEN-CCGT'!$D$7:$AW$7, 'GEN-CCGT'!$D$43:$AW$43), 0), IF($B16='Project List References'!$B$4, _xlfn.IFNA(_xlfn.XLOOKUP(I$2-$C16, 'GEN-SOLAR'!$D$7:$AW$7, 'GEN-SOLAR'!$D$43:$AW$43), 0), IF($B16='Project List References'!$B$5, _xlfn.IFNA(_xlfn.XLOOKUP(I$2-$C16, 'GEN-BESS'!$D$7:$AW$7, 'GEN-BESS'!$D$43:$AW$43), 0), IF($B16='Project List References'!$B$6, _xlfn.IFNA(_xlfn.XLOOKUP(I$2-$C16, 'GEN-CARBON'!$D$7:$AW$7, 'GEN-CARBON'!$D$43:$AW$43), 0), IF($B16='Project List References'!$B$7, _xlfn.IFNA(_xlfn.XLOOKUP(I$2-$C16, 'SENS Coal'!$D$7:$AW$7, 'SENS Coal'!$D$43:$AW$43), 0), IF($B16='Project List References'!$B$8, _xlfn.IFNA(_xlfn.XLOOKUP(I$2-$C16,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J16" s="743" t="e">
        <f>IF($B16='Project List References'!$B$3, _xlfn.IFNA(_xlfn.XLOOKUP(J$2-$C16, 'GEN-CCGT'!$D$7:$AW$7, 'GEN-CCGT'!$D$43:$AW$43), 0), IF($B16='Project List References'!$B$4, _xlfn.IFNA(_xlfn.XLOOKUP(J$2-$C16, 'GEN-SOLAR'!$D$7:$AW$7, 'GEN-SOLAR'!$D$43:$AW$43), 0), IF($B16='Project List References'!$B$5, _xlfn.IFNA(_xlfn.XLOOKUP(J$2-$C16, 'GEN-BESS'!$D$7:$AW$7, 'GEN-BESS'!$D$43:$AW$43), 0), IF($B16='Project List References'!$B$6, _xlfn.IFNA(_xlfn.XLOOKUP(J$2-$C16, 'GEN-CARBON'!$D$7:$AW$7, 'GEN-CARBON'!$D$43:$AW$43), 0), IF($B16='Project List References'!$B$7, _xlfn.IFNA(_xlfn.XLOOKUP(J$2-$C16, 'SENS Coal'!$D$7:$AW$7, 'SENS Coal'!$D$43:$AW$43), 0), IF($B16='Project List References'!$B$8, _xlfn.IFNA(_xlfn.XLOOKUP(J$2-$C16,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K16" s="743" t="e">
        <f>IF($B16='Project List References'!$B$3, _xlfn.IFNA(_xlfn.XLOOKUP(K$2-$C16, 'GEN-CCGT'!$D$7:$AW$7, 'GEN-CCGT'!$D$43:$AW$43), 0), IF($B16='Project List References'!$B$4, _xlfn.IFNA(_xlfn.XLOOKUP(K$2-$C16, 'GEN-SOLAR'!$D$7:$AW$7, 'GEN-SOLAR'!$D$43:$AW$43), 0), IF($B16='Project List References'!$B$5, _xlfn.IFNA(_xlfn.XLOOKUP(K$2-$C16, 'GEN-BESS'!$D$7:$AW$7, 'GEN-BESS'!$D$43:$AW$43), 0), IF($B16='Project List References'!$B$6, _xlfn.IFNA(_xlfn.XLOOKUP(K$2-$C16, 'GEN-CARBON'!$D$7:$AW$7, 'GEN-CARBON'!$D$43:$AW$43), 0), IF($B16='Project List References'!$B$7, _xlfn.IFNA(_xlfn.XLOOKUP(K$2-$C16, 'SENS Coal'!$D$7:$AW$7, 'SENS Coal'!$D$43:$AW$43), 0), IF($B16='Project List References'!$B$8, _xlfn.IFNA(_xlfn.XLOOKUP(K$2-$C16,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L16" s="743" t="e">
        <f>IF($B16='Project List References'!$B$3, _xlfn.IFNA(_xlfn.XLOOKUP(L$2-$C16, 'GEN-CCGT'!$D$7:$AW$7, 'GEN-CCGT'!$D$43:$AW$43), 0), IF($B16='Project List References'!$B$4, _xlfn.IFNA(_xlfn.XLOOKUP(L$2-$C16, 'GEN-SOLAR'!$D$7:$AW$7, 'GEN-SOLAR'!$D$43:$AW$43), 0), IF($B16='Project List References'!$B$5, _xlfn.IFNA(_xlfn.XLOOKUP(L$2-$C16, 'GEN-BESS'!$D$7:$AW$7, 'GEN-BESS'!$D$43:$AW$43), 0), IF($B16='Project List References'!$B$6, _xlfn.IFNA(_xlfn.XLOOKUP(L$2-$C16, 'GEN-CARBON'!$D$7:$AW$7, 'GEN-CARBON'!$D$43:$AW$43), 0), IF($B16='Project List References'!$B$7, _xlfn.IFNA(_xlfn.XLOOKUP(L$2-$C16, 'SENS Coal'!$D$7:$AW$7, 'SENS Coal'!$D$43:$AW$43), 0), IF($B16='Project List References'!$B$8, _xlfn.IFNA(_xlfn.XLOOKUP(L$2-$C16,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M16" s="743" t="e">
        <f>IF($B16='Project List References'!$B$3, _xlfn.IFNA(_xlfn.XLOOKUP(M$2-$C16, 'GEN-CCGT'!$D$7:$AW$7, 'GEN-CCGT'!$D$43:$AW$43), 0), IF($B16='Project List References'!$B$4, _xlfn.IFNA(_xlfn.XLOOKUP(M$2-$C16, 'GEN-SOLAR'!$D$7:$AW$7, 'GEN-SOLAR'!$D$43:$AW$43), 0), IF($B16='Project List References'!$B$5, _xlfn.IFNA(_xlfn.XLOOKUP(M$2-$C16, 'GEN-BESS'!$D$7:$AW$7, 'GEN-BESS'!$D$43:$AW$43), 0), IF($B16='Project List References'!$B$6, _xlfn.IFNA(_xlfn.XLOOKUP(M$2-$C16, 'GEN-CARBON'!$D$7:$AW$7, 'GEN-CARBON'!$D$43:$AW$43), 0), IF($B16='Project List References'!$B$7, _xlfn.IFNA(_xlfn.XLOOKUP(M$2-$C16, 'SENS Coal'!$D$7:$AW$7, 'SENS Coal'!$D$43:$AW$43), 0), IF($B16='Project List References'!$B$8, _xlfn.IFNA(_xlfn.XLOOKUP(M$2-$C16,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N16" s="743" t="e">
        <f>IF($B16='Project List References'!$B$3, _xlfn.IFNA(_xlfn.XLOOKUP(N$2-$C16, 'GEN-CCGT'!$D$7:$AW$7, 'GEN-CCGT'!$D$43:$AW$43), 0), IF($B16='Project List References'!$B$4, _xlfn.IFNA(_xlfn.XLOOKUP(N$2-$C16, 'GEN-SOLAR'!$D$7:$AW$7, 'GEN-SOLAR'!$D$43:$AW$43), 0), IF($B16='Project List References'!$B$5, _xlfn.IFNA(_xlfn.XLOOKUP(N$2-$C16, 'GEN-BESS'!$D$7:$AW$7, 'GEN-BESS'!$D$43:$AW$43), 0), IF($B16='Project List References'!$B$6, _xlfn.IFNA(_xlfn.XLOOKUP(N$2-$C16, 'GEN-CARBON'!$D$7:$AW$7, 'GEN-CARBON'!$D$43:$AW$43), 0), IF($B16='Project List References'!$B$7, _xlfn.IFNA(_xlfn.XLOOKUP(N$2-$C16, 'SENS Coal'!$D$7:$AW$7, 'SENS Coal'!$D$43:$AW$43), 0), IF($B16='Project List References'!$B$8, _xlfn.IFNA(_xlfn.XLOOKUP(N$2-$C16,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O16" s="743" t="e">
        <f>IF($B16='Project List References'!$B$3, _xlfn.IFNA(_xlfn.XLOOKUP(O$2-$C16, 'GEN-CCGT'!$D$7:$AW$7, 'GEN-CCGT'!$D$43:$AW$43), 0), IF($B16='Project List References'!$B$4, _xlfn.IFNA(_xlfn.XLOOKUP(O$2-$C16, 'GEN-SOLAR'!$D$7:$AW$7, 'GEN-SOLAR'!$D$43:$AW$43), 0), IF($B16='Project List References'!$B$5, _xlfn.IFNA(_xlfn.XLOOKUP(O$2-$C16, 'GEN-BESS'!$D$7:$AW$7, 'GEN-BESS'!$D$43:$AW$43), 0), IF($B16='Project List References'!$B$6, _xlfn.IFNA(_xlfn.XLOOKUP(O$2-$C16, 'GEN-CARBON'!$D$7:$AW$7, 'GEN-CARBON'!$D$43:$AW$43), 0), IF($B16='Project List References'!$B$7, _xlfn.IFNA(_xlfn.XLOOKUP(O$2-$C16, 'SENS Coal'!$D$7:$AW$7, 'SENS Coal'!$D$43:$AW$43), 0), IF($B16='Project List References'!$B$8, _xlfn.IFNA(_xlfn.XLOOKUP(O$2-$C16,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P16" s="743" t="e">
        <f>IF($B16='Project List References'!$B$3, _xlfn.IFNA(_xlfn.XLOOKUP(P$2-$C16, 'GEN-CCGT'!$D$7:$AW$7, 'GEN-CCGT'!$D$43:$AW$43), 0), IF($B16='Project List References'!$B$4, _xlfn.IFNA(_xlfn.XLOOKUP(P$2-$C16, 'GEN-SOLAR'!$D$7:$AW$7, 'GEN-SOLAR'!$D$43:$AW$43), 0), IF($B16='Project List References'!$B$5, _xlfn.IFNA(_xlfn.XLOOKUP(P$2-$C16, 'GEN-BESS'!$D$7:$AW$7, 'GEN-BESS'!$D$43:$AW$43), 0), IF($B16='Project List References'!$B$6, _xlfn.IFNA(_xlfn.XLOOKUP(P$2-$C16, 'GEN-CARBON'!$D$7:$AW$7, 'GEN-CARBON'!$D$43:$AW$43), 0), IF($B16='Project List References'!$B$7, _xlfn.IFNA(_xlfn.XLOOKUP(P$2-$C16, 'SENS Coal'!$D$7:$AW$7, 'SENS Coal'!$D$43:$AW$43), 0), IF($B16='Project List References'!$B$8, _xlfn.IFNA(_xlfn.XLOOKUP(P$2-$C16,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Q16" s="743" t="e">
        <f>IF($B16='Project List References'!$B$3, _xlfn.IFNA(_xlfn.XLOOKUP(Q$2-$C16, 'GEN-CCGT'!$D$7:$AW$7, 'GEN-CCGT'!$D$43:$AW$43), 0), IF($B16='Project List References'!$B$4, _xlfn.IFNA(_xlfn.XLOOKUP(Q$2-$C16, 'GEN-SOLAR'!$D$7:$AW$7, 'GEN-SOLAR'!$D$43:$AW$43), 0), IF($B16='Project List References'!$B$5, _xlfn.IFNA(_xlfn.XLOOKUP(Q$2-$C16, 'GEN-BESS'!$D$7:$AW$7, 'GEN-BESS'!$D$43:$AW$43), 0), IF($B16='Project List References'!$B$6, _xlfn.IFNA(_xlfn.XLOOKUP(Q$2-$C16, 'GEN-CARBON'!$D$7:$AW$7, 'GEN-CARBON'!$D$43:$AW$43), 0), IF($B16='Project List References'!$B$7, _xlfn.IFNA(_xlfn.XLOOKUP(Q$2-$C16, 'SENS Coal'!$D$7:$AW$7, 'SENS Coal'!$D$43:$AW$43), 0), IF($B16='Project List References'!$B$8, _xlfn.IFNA(_xlfn.XLOOKUP(Q$2-$C16,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R16" s="743" t="e">
        <f>IF($B16='Project List References'!$B$3, _xlfn.IFNA(_xlfn.XLOOKUP(R$2-$C16, 'GEN-CCGT'!$D$7:$AW$7, 'GEN-CCGT'!$D$43:$AW$43), 0), IF($B16='Project List References'!$B$4, _xlfn.IFNA(_xlfn.XLOOKUP(R$2-$C16, 'GEN-SOLAR'!$D$7:$AW$7, 'GEN-SOLAR'!$D$43:$AW$43), 0), IF($B16='Project List References'!$B$5, _xlfn.IFNA(_xlfn.XLOOKUP(R$2-$C16, 'GEN-BESS'!$D$7:$AW$7, 'GEN-BESS'!$D$43:$AW$43), 0), IF($B16='Project List References'!$B$6, _xlfn.IFNA(_xlfn.XLOOKUP(R$2-$C16, 'GEN-CARBON'!$D$7:$AW$7, 'GEN-CARBON'!$D$43:$AW$43), 0), IF($B16='Project List References'!$B$7, _xlfn.IFNA(_xlfn.XLOOKUP(R$2-$C16, 'SENS Coal'!$D$7:$AW$7, 'SENS Coal'!$D$43:$AW$43), 0), IF($B16='Project List References'!$B$8, _xlfn.IFNA(_xlfn.XLOOKUP(R$2-$C16,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S16" s="743" t="e">
        <f>IF($B16='Project List References'!$B$3, _xlfn.IFNA(_xlfn.XLOOKUP(S$2-$C16, 'GEN-CCGT'!$D$7:$AW$7, 'GEN-CCGT'!$D$43:$AW$43), 0), IF($B16='Project List References'!$B$4, _xlfn.IFNA(_xlfn.XLOOKUP(S$2-$C16, 'GEN-SOLAR'!$D$7:$AW$7, 'GEN-SOLAR'!$D$43:$AW$43), 0), IF($B16='Project List References'!$B$5, _xlfn.IFNA(_xlfn.XLOOKUP(S$2-$C16, 'GEN-BESS'!$D$7:$AW$7, 'GEN-BESS'!$D$43:$AW$43), 0), IF($B16='Project List References'!$B$6, _xlfn.IFNA(_xlfn.XLOOKUP(S$2-$C16, 'GEN-CARBON'!$D$7:$AW$7, 'GEN-CARBON'!$D$43:$AW$43), 0), IF($B16='Project List References'!$B$7, _xlfn.IFNA(_xlfn.XLOOKUP(S$2-$C16, 'SENS Coal'!$D$7:$AW$7, 'SENS Coal'!$D$43:$AW$43), 0), IF($B16='Project List References'!$B$8, _xlfn.IFNA(_xlfn.XLOOKUP(S$2-$C16,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T16" s="743" t="e">
        <f>IF($B16='Project List References'!$B$3, _xlfn.IFNA(_xlfn.XLOOKUP(T$2-$C16, 'GEN-CCGT'!$D$7:$AW$7, 'GEN-CCGT'!$D$43:$AW$43), 0), IF($B16='Project List References'!$B$4, _xlfn.IFNA(_xlfn.XLOOKUP(T$2-$C16, 'GEN-SOLAR'!$D$7:$AW$7, 'GEN-SOLAR'!$D$43:$AW$43), 0), IF($B16='Project List References'!$B$5, _xlfn.IFNA(_xlfn.XLOOKUP(T$2-$C16, 'GEN-BESS'!$D$7:$AW$7, 'GEN-BESS'!$D$43:$AW$43), 0), IF($B16='Project List References'!$B$6, _xlfn.IFNA(_xlfn.XLOOKUP(T$2-$C16, 'GEN-CARBON'!$D$7:$AW$7, 'GEN-CARBON'!$D$43:$AW$43), 0), IF($B16='Project List References'!$B$7, _xlfn.IFNA(_xlfn.XLOOKUP(T$2-$C16, 'SENS Coal'!$D$7:$AW$7, 'SENS Coal'!$D$43:$AW$43), 0), IF($B16='Project List References'!$B$8, _xlfn.IFNA(_xlfn.XLOOKUP(T$2-$C16, 'SENS Tires'!$D$7:$AW$7, 'SENS Tires'!$D$43:$AW$43),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_xlfn.XLOOKUP('Project OPEX'!A17, 'Project Master Sheet'!A:A, 'Project Master Sheet'!I:I)</f>
        <v>#N/A</v>
      </c>
      <c r="E17" s="743" t="e">
        <f>IF($B17='Project List References'!$B$3, _xlfn.IFNA(_xlfn.XLOOKUP(E$2-$C17, 'GEN-CCGT'!$D$7:$AW$7, 'GEN-CCGT'!$D$43:$AW$43), 0), IF($B17='Project List References'!$B$4, _xlfn.IFNA(_xlfn.XLOOKUP(E$2-$C17, 'GEN-SOLAR'!$D$7:$AW$7, 'GEN-SOLAR'!$D$43:$AW$43), 0), IF($B17='Project List References'!$B$5, _xlfn.IFNA(_xlfn.XLOOKUP(E$2-$C17, 'GEN-BESS'!$D$7:$AW$7, 'GEN-BESS'!$D$43:$AW$43), 0), IF($B17='Project List References'!$B$6, _xlfn.IFNA(_xlfn.XLOOKUP(E$2-$C17, 'GEN-CARBON'!$D$7:$AW$7, 'GEN-CARBON'!$D$43:$AW$43), 0), IF($B17='Project List References'!$B$7, _xlfn.IFNA(_xlfn.XLOOKUP(E$2-$C17, 'SENS Coal'!$D$7:$AW$7, 'SENS Coal'!$D$43:$AW$43), 0), IF($B17='Project List References'!$B$8, _xlfn.IFNA(_xlfn.XLOOKUP(E$2-$C17,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F17" s="743" t="e">
        <f>IF($B17='Project List References'!$B$3, _xlfn.IFNA(_xlfn.XLOOKUP(F$2-$C17, 'GEN-CCGT'!$D$7:$AW$7, 'GEN-CCGT'!$D$43:$AW$43), 0), IF($B17='Project List References'!$B$4, _xlfn.IFNA(_xlfn.XLOOKUP(F$2-$C17, 'GEN-SOLAR'!$D$7:$AW$7, 'GEN-SOLAR'!$D$43:$AW$43), 0), IF($B17='Project List References'!$B$5, _xlfn.IFNA(_xlfn.XLOOKUP(F$2-$C17, 'GEN-BESS'!$D$7:$AW$7, 'GEN-BESS'!$D$43:$AW$43), 0), IF($B17='Project List References'!$B$6, _xlfn.IFNA(_xlfn.XLOOKUP(F$2-$C17, 'GEN-CARBON'!$D$7:$AW$7, 'GEN-CARBON'!$D$43:$AW$43), 0), IF($B17='Project List References'!$B$7, _xlfn.IFNA(_xlfn.XLOOKUP(F$2-$C17, 'SENS Coal'!$D$7:$AW$7, 'SENS Coal'!$D$43:$AW$43), 0), IF($B17='Project List References'!$B$8, _xlfn.IFNA(_xlfn.XLOOKUP(F$2-$C17,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G17" s="743" t="e">
        <f>IF($B17='Project List References'!$B$3, _xlfn.IFNA(_xlfn.XLOOKUP(G$2-$C17, 'GEN-CCGT'!$D$7:$AW$7, 'GEN-CCGT'!$D$43:$AW$43), 0), IF($B17='Project List References'!$B$4, _xlfn.IFNA(_xlfn.XLOOKUP(G$2-$C17, 'GEN-SOLAR'!$D$7:$AW$7, 'GEN-SOLAR'!$D$43:$AW$43), 0), IF($B17='Project List References'!$B$5, _xlfn.IFNA(_xlfn.XLOOKUP(G$2-$C17, 'GEN-BESS'!$D$7:$AW$7, 'GEN-BESS'!$D$43:$AW$43), 0), IF($B17='Project List References'!$B$6, _xlfn.IFNA(_xlfn.XLOOKUP(G$2-$C17, 'GEN-CARBON'!$D$7:$AW$7, 'GEN-CARBON'!$D$43:$AW$43), 0), IF($B17='Project List References'!$B$7, _xlfn.IFNA(_xlfn.XLOOKUP(G$2-$C17, 'SENS Coal'!$D$7:$AW$7, 'SENS Coal'!$D$43:$AW$43), 0), IF($B17='Project List References'!$B$8, _xlfn.IFNA(_xlfn.XLOOKUP(G$2-$C17,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H17" s="743" t="e">
        <f>IF($B17='Project List References'!$B$3, _xlfn.IFNA(_xlfn.XLOOKUP(H$2-$C17, 'GEN-CCGT'!$D$7:$AW$7, 'GEN-CCGT'!$D$43:$AW$43), 0), IF($B17='Project List References'!$B$4, _xlfn.IFNA(_xlfn.XLOOKUP(H$2-$C17, 'GEN-SOLAR'!$D$7:$AW$7, 'GEN-SOLAR'!$D$43:$AW$43), 0), IF($B17='Project List References'!$B$5, _xlfn.IFNA(_xlfn.XLOOKUP(H$2-$C17, 'GEN-BESS'!$D$7:$AW$7, 'GEN-BESS'!$D$43:$AW$43), 0), IF($B17='Project List References'!$B$6, _xlfn.IFNA(_xlfn.XLOOKUP(H$2-$C17, 'GEN-CARBON'!$D$7:$AW$7, 'GEN-CARBON'!$D$43:$AW$43), 0), IF($B17='Project List References'!$B$7, _xlfn.IFNA(_xlfn.XLOOKUP(H$2-$C17, 'SENS Coal'!$D$7:$AW$7, 'SENS Coal'!$D$43:$AW$43), 0), IF($B17='Project List References'!$B$8, _xlfn.IFNA(_xlfn.XLOOKUP(H$2-$C17,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I17" s="743" t="e">
        <f>IF($B17='Project List References'!$B$3, _xlfn.IFNA(_xlfn.XLOOKUP(I$2-$C17, 'GEN-CCGT'!$D$7:$AW$7, 'GEN-CCGT'!$D$43:$AW$43), 0), IF($B17='Project List References'!$B$4, _xlfn.IFNA(_xlfn.XLOOKUP(I$2-$C17, 'GEN-SOLAR'!$D$7:$AW$7, 'GEN-SOLAR'!$D$43:$AW$43), 0), IF($B17='Project List References'!$B$5, _xlfn.IFNA(_xlfn.XLOOKUP(I$2-$C17, 'GEN-BESS'!$D$7:$AW$7, 'GEN-BESS'!$D$43:$AW$43), 0), IF($B17='Project List References'!$B$6, _xlfn.IFNA(_xlfn.XLOOKUP(I$2-$C17, 'GEN-CARBON'!$D$7:$AW$7, 'GEN-CARBON'!$D$43:$AW$43), 0), IF($B17='Project List References'!$B$7, _xlfn.IFNA(_xlfn.XLOOKUP(I$2-$C17, 'SENS Coal'!$D$7:$AW$7, 'SENS Coal'!$D$43:$AW$43), 0), IF($B17='Project List References'!$B$8, _xlfn.IFNA(_xlfn.XLOOKUP(I$2-$C17,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J17" s="743" t="e">
        <f>IF($B17='Project List References'!$B$3, _xlfn.IFNA(_xlfn.XLOOKUP(J$2-$C17, 'GEN-CCGT'!$D$7:$AW$7, 'GEN-CCGT'!$D$43:$AW$43), 0), IF($B17='Project List References'!$B$4, _xlfn.IFNA(_xlfn.XLOOKUP(J$2-$C17, 'GEN-SOLAR'!$D$7:$AW$7, 'GEN-SOLAR'!$D$43:$AW$43), 0), IF($B17='Project List References'!$B$5, _xlfn.IFNA(_xlfn.XLOOKUP(J$2-$C17, 'GEN-BESS'!$D$7:$AW$7, 'GEN-BESS'!$D$43:$AW$43), 0), IF($B17='Project List References'!$B$6, _xlfn.IFNA(_xlfn.XLOOKUP(J$2-$C17, 'GEN-CARBON'!$D$7:$AW$7, 'GEN-CARBON'!$D$43:$AW$43), 0), IF($B17='Project List References'!$B$7, _xlfn.IFNA(_xlfn.XLOOKUP(J$2-$C17, 'SENS Coal'!$D$7:$AW$7, 'SENS Coal'!$D$43:$AW$43), 0), IF($B17='Project List References'!$B$8, _xlfn.IFNA(_xlfn.XLOOKUP(J$2-$C17,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K17" s="743" t="e">
        <f>IF($B17='Project List References'!$B$3, _xlfn.IFNA(_xlfn.XLOOKUP(K$2-$C17, 'GEN-CCGT'!$D$7:$AW$7, 'GEN-CCGT'!$D$43:$AW$43), 0), IF($B17='Project List References'!$B$4, _xlfn.IFNA(_xlfn.XLOOKUP(K$2-$C17, 'GEN-SOLAR'!$D$7:$AW$7, 'GEN-SOLAR'!$D$43:$AW$43), 0), IF($B17='Project List References'!$B$5, _xlfn.IFNA(_xlfn.XLOOKUP(K$2-$C17, 'GEN-BESS'!$D$7:$AW$7, 'GEN-BESS'!$D$43:$AW$43), 0), IF($B17='Project List References'!$B$6, _xlfn.IFNA(_xlfn.XLOOKUP(K$2-$C17, 'GEN-CARBON'!$D$7:$AW$7, 'GEN-CARBON'!$D$43:$AW$43), 0), IF($B17='Project List References'!$B$7, _xlfn.IFNA(_xlfn.XLOOKUP(K$2-$C17, 'SENS Coal'!$D$7:$AW$7, 'SENS Coal'!$D$43:$AW$43), 0), IF($B17='Project List References'!$B$8, _xlfn.IFNA(_xlfn.XLOOKUP(K$2-$C17,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L17" s="743" t="e">
        <f>IF($B17='Project List References'!$B$3, _xlfn.IFNA(_xlfn.XLOOKUP(L$2-$C17, 'GEN-CCGT'!$D$7:$AW$7, 'GEN-CCGT'!$D$43:$AW$43), 0), IF($B17='Project List References'!$B$4, _xlfn.IFNA(_xlfn.XLOOKUP(L$2-$C17, 'GEN-SOLAR'!$D$7:$AW$7, 'GEN-SOLAR'!$D$43:$AW$43), 0), IF($B17='Project List References'!$B$5, _xlfn.IFNA(_xlfn.XLOOKUP(L$2-$C17, 'GEN-BESS'!$D$7:$AW$7, 'GEN-BESS'!$D$43:$AW$43), 0), IF($B17='Project List References'!$B$6, _xlfn.IFNA(_xlfn.XLOOKUP(L$2-$C17, 'GEN-CARBON'!$D$7:$AW$7, 'GEN-CARBON'!$D$43:$AW$43), 0), IF($B17='Project List References'!$B$7, _xlfn.IFNA(_xlfn.XLOOKUP(L$2-$C17, 'SENS Coal'!$D$7:$AW$7, 'SENS Coal'!$D$43:$AW$43), 0), IF($B17='Project List References'!$B$8, _xlfn.IFNA(_xlfn.XLOOKUP(L$2-$C17,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M17" s="743" t="e">
        <f>IF($B17='Project List References'!$B$3, _xlfn.IFNA(_xlfn.XLOOKUP(M$2-$C17, 'GEN-CCGT'!$D$7:$AW$7, 'GEN-CCGT'!$D$43:$AW$43), 0), IF($B17='Project List References'!$B$4, _xlfn.IFNA(_xlfn.XLOOKUP(M$2-$C17, 'GEN-SOLAR'!$D$7:$AW$7, 'GEN-SOLAR'!$D$43:$AW$43), 0), IF($B17='Project List References'!$B$5, _xlfn.IFNA(_xlfn.XLOOKUP(M$2-$C17, 'GEN-BESS'!$D$7:$AW$7, 'GEN-BESS'!$D$43:$AW$43), 0), IF($B17='Project List References'!$B$6, _xlfn.IFNA(_xlfn.XLOOKUP(M$2-$C17, 'GEN-CARBON'!$D$7:$AW$7, 'GEN-CARBON'!$D$43:$AW$43), 0), IF($B17='Project List References'!$B$7, _xlfn.IFNA(_xlfn.XLOOKUP(M$2-$C17, 'SENS Coal'!$D$7:$AW$7, 'SENS Coal'!$D$43:$AW$43), 0), IF($B17='Project List References'!$B$8, _xlfn.IFNA(_xlfn.XLOOKUP(M$2-$C17,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N17" s="743" t="e">
        <f>IF($B17='Project List References'!$B$3, _xlfn.IFNA(_xlfn.XLOOKUP(N$2-$C17, 'GEN-CCGT'!$D$7:$AW$7, 'GEN-CCGT'!$D$43:$AW$43), 0), IF($B17='Project List References'!$B$4, _xlfn.IFNA(_xlfn.XLOOKUP(N$2-$C17, 'GEN-SOLAR'!$D$7:$AW$7, 'GEN-SOLAR'!$D$43:$AW$43), 0), IF($B17='Project List References'!$B$5, _xlfn.IFNA(_xlfn.XLOOKUP(N$2-$C17, 'GEN-BESS'!$D$7:$AW$7, 'GEN-BESS'!$D$43:$AW$43), 0), IF($B17='Project List References'!$B$6, _xlfn.IFNA(_xlfn.XLOOKUP(N$2-$C17, 'GEN-CARBON'!$D$7:$AW$7, 'GEN-CARBON'!$D$43:$AW$43), 0), IF($B17='Project List References'!$B$7, _xlfn.IFNA(_xlfn.XLOOKUP(N$2-$C17, 'SENS Coal'!$D$7:$AW$7, 'SENS Coal'!$D$43:$AW$43), 0), IF($B17='Project List References'!$B$8, _xlfn.IFNA(_xlfn.XLOOKUP(N$2-$C17,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O17" s="743" t="e">
        <f>IF($B17='Project List References'!$B$3, _xlfn.IFNA(_xlfn.XLOOKUP(O$2-$C17, 'GEN-CCGT'!$D$7:$AW$7, 'GEN-CCGT'!$D$43:$AW$43), 0), IF($B17='Project List References'!$B$4, _xlfn.IFNA(_xlfn.XLOOKUP(O$2-$C17, 'GEN-SOLAR'!$D$7:$AW$7, 'GEN-SOLAR'!$D$43:$AW$43), 0), IF($B17='Project List References'!$B$5, _xlfn.IFNA(_xlfn.XLOOKUP(O$2-$C17, 'GEN-BESS'!$D$7:$AW$7, 'GEN-BESS'!$D$43:$AW$43), 0), IF($B17='Project List References'!$B$6, _xlfn.IFNA(_xlfn.XLOOKUP(O$2-$C17, 'GEN-CARBON'!$D$7:$AW$7, 'GEN-CARBON'!$D$43:$AW$43), 0), IF($B17='Project List References'!$B$7, _xlfn.IFNA(_xlfn.XLOOKUP(O$2-$C17, 'SENS Coal'!$D$7:$AW$7, 'SENS Coal'!$D$43:$AW$43), 0), IF($B17='Project List References'!$B$8, _xlfn.IFNA(_xlfn.XLOOKUP(O$2-$C17,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P17" s="743" t="e">
        <f>IF($B17='Project List References'!$B$3, _xlfn.IFNA(_xlfn.XLOOKUP(P$2-$C17, 'GEN-CCGT'!$D$7:$AW$7, 'GEN-CCGT'!$D$43:$AW$43), 0), IF($B17='Project List References'!$B$4, _xlfn.IFNA(_xlfn.XLOOKUP(P$2-$C17, 'GEN-SOLAR'!$D$7:$AW$7, 'GEN-SOLAR'!$D$43:$AW$43), 0), IF($B17='Project List References'!$B$5, _xlfn.IFNA(_xlfn.XLOOKUP(P$2-$C17, 'GEN-BESS'!$D$7:$AW$7, 'GEN-BESS'!$D$43:$AW$43), 0), IF($B17='Project List References'!$B$6, _xlfn.IFNA(_xlfn.XLOOKUP(P$2-$C17, 'GEN-CARBON'!$D$7:$AW$7, 'GEN-CARBON'!$D$43:$AW$43), 0), IF($B17='Project List References'!$B$7, _xlfn.IFNA(_xlfn.XLOOKUP(P$2-$C17, 'SENS Coal'!$D$7:$AW$7, 'SENS Coal'!$D$43:$AW$43), 0), IF($B17='Project List References'!$B$8, _xlfn.IFNA(_xlfn.XLOOKUP(P$2-$C17,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Q17" s="743" t="e">
        <f>IF($B17='Project List References'!$B$3, _xlfn.IFNA(_xlfn.XLOOKUP(Q$2-$C17, 'GEN-CCGT'!$D$7:$AW$7, 'GEN-CCGT'!$D$43:$AW$43), 0), IF($B17='Project List References'!$B$4, _xlfn.IFNA(_xlfn.XLOOKUP(Q$2-$C17, 'GEN-SOLAR'!$D$7:$AW$7, 'GEN-SOLAR'!$D$43:$AW$43), 0), IF($B17='Project List References'!$B$5, _xlfn.IFNA(_xlfn.XLOOKUP(Q$2-$C17, 'GEN-BESS'!$D$7:$AW$7, 'GEN-BESS'!$D$43:$AW$43), 0), IF($B17='Project List References'!$B$6, _xlfn.IFNA(_xlfn.XLOOKUP(Q$2-$C17, 'GEN-CARBON'!$D$7:$AW$7, 'GEN-CARBON'!$D$43:$AW$43), 0), IF($B17='Project List References'!$B$7, _xlfn.IFNA(_xlfn.XLOOKUP(Q$2-$C17, 'SENS Coal'!$D$7:$AW$7, 'SENS Coal'!$D$43:$AW$43), 0), IF($B17='Project List References'!$B$8, _xlfn.IFNA(_xlfn.XLOOKUP(Q$2-$C17,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R17" s="743" t="e">
        <f>IF($B17='Project List References'!$B$3, _xlfn.IFNA(_xlfn.XLOOKUP(R$2-$C17, 'GEN-CCGT'!$D$7:$AW$7, 'GEN-CCGT'!$D$43:$AW$43), 0), IF($B17='Project List References'!$B$4, _xlfn.IFNA(_xlfn.XLOOKUP(R$2-$C17, 'GEN-SOLAR'!$D$7:$AW$7, 'GEN-SOLAR'!$D$43:$AW$43), 0), IF($B17='Project List References'!$B$5, _xlfn.IFNA(_xlfn.XLOOKUP(R$2-$C17, 'GEN-BESS'!$D$7:$AW$7, 'GEN-BESS'!$D$43:$AW$43), 0), IF($B17='Project List References'!$B$6, _xlfn.IFNA(_xlfn.XLOOKUP(R$2-$C17, 'GEN-CARBON'!$D$7:$AW$7, 'GEN-CARBON'!$D$43:$AW$43), 0), IF($B17='Project List References'!$B$7, _xlfn.IFNA(_xlfn.XLOOKUP(R$2-$C17, 'SENS Coal'!$D$7:$AW$7, 'SENS Coal'!$D$43:$AW$43), 0), IF($B17='Project List References'!$B$8, _xlfn.IFNA(_xlfn.XLOOKUP(R$2-$C17,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S17" s="743" t="e">
        <f>IF($B17='Project List References'!$B$3, _xlfn.IFNA(_xlfn.XLOOKUP(S$2-$C17, 'GEN-CCGT'!$D$7:$AW$7, 'GEN-CCGT'!$D$43:$AW$43), 0), IF($B17='Project List References'!$B$4, _xlfn.IFNA(_xlfn.XLOOKUP(S$2-$C17, 'GEN-SOLAR'!$D$7:$AW$7, 'GEN-SOLAR'!$D$43:$AW$43), 0), IF($B17='Project List References'!$B$5, _xlfn.IFNA(_xlfn.XLOOKUP(S$2-$C17, 'GEN-BESS'!$D$7:$AW$7, 'GEN-BESS'!$D$43:$AW$43), 0), IF($B17='Project List References'!$B$6, _xlfn.IFNA(_xlfn.XLOOKUP(S$2-$C17, 'GEN-CARBON'!$D$7:$AW$7, 'GEN-CARBON'!$D$43:$AW$43), 0), IF($B17='Project List References'!$B$7, _xlfn.IFNA(_xlfn.XLOOKUP(S$2-$C17, 'SENS Coal'!$D$7:$AW$7, 'SENS Coal'!$D$43:$AW$43), 0), IF($B17='Project List References'!$B$8, _xlfn.IFNA(_xlfn.XLOOKUP(S$2-$C17,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T17" s="743" t="e">
        <f>IF($B17='Project List References'!$B$3, _xlfn.IFNA(_xlfn.XLOOKUP(T$2-$C17, 'GEN-CCGT'!$D$7:$AW$7, 'GEN-CCGT'!$D$43:$AW$43), 0), IF($B17='Project List References'!$B$4, _xlfn.IFNA(_xlfn.XLOOKUP(T$2-$C17, 'GEN-SOLAR'!$D$7:$AW$7, 'GEN-SOLAR'!$D$43:$AW$43), 0), IF($B17='Project List References'!$B$5, _xlfn.IFNA(_xlfn.XLOOKUP(T$2-$C17, 'GEN-BESS'!$D$7:$AW$7, 'GEN-BESS'!$D$43:$AW$43), 0), IF($B17='Project List References'!$B$6, _xlfn.IFNA(_xlfn.XLOOKUP(T$2-$C17, 'GEN-CARBON'!$D$7:$AW$7, 'GEN-CARBON'!$D$43:$AW$43), 0), IF($B17='Project List References'!$B$7, _xlfn.IFNA(_xlfn.XLOOKUP(T$2-$C17, 'SENS Coal'!$D$7:$AW$7, 'SENS Coal'!$D$43:$AW$43), 0), IF($B17='Project List References'!$B$8, _xlfn.IFNA(_xlfn.XLOOKUP(T$2-$C17, 'SENS Tires'!$D$7:$AW$7, 'SENS Tires'!$D$43:$AW$43),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</row>
    <row r="18" spans="1:20">
      <c r="A18" s="655" t="str">
        <f>IF(ISBLANK('Project Master Sheet'!A18)=FALSE, 'Project Master Sheet'!A18, "")</f>
        <v/>
      </c>
      <c r="B18" s="655" t="str">
        <f>_xlfn.IFNA(_xlfn.XLOOKUP(A18, 'Project Master Sheet'!A:A, 'Project Master Sheet'!D:D), "")</f>
        <v/>
      </c>
      <c r="C18" s="655" t="e">
        <f>_xlfn.XLOOKUP('Project OPEX'!A18, 'Project Master Sheet'!A:A, 'Project Master Sheet'!I:I)</f>
        <v>#N/A</v>
      </c>
      <c r="E18" s="743" t="e">
        <f>IF($B18='Project List References'!$B$3, _xlfn.IFNA(_xlfn.XLOOKUP(E$2-$C18, 'GEN-CCGT'!$D$7:$AW$7, 'GEN-CCGT'!$D$43:$AW$43), 0), IF($B18='Project List References'!$B$4, _xlfn.IFNA(_xlfn.XLOOKUP(E$2-$C18, 'GEN-SOLAR'!$D$7:$AW$7, 'GEN-SOLAR'!$D$43:$AW$43), 0), IF($B18='Project List References'!$B$5, _xlfn.IFNA(_xlfn.XLOOKUP(E$2-$C18, 'GEN-BESS'!$D$7:$AW$7, 'GEN-BESS'!$D$43:$AW$43), 0), IF($B18='Project List References'!$B$6, _xlfn.IFNA(_xlfn.XLOOKUP(E$2-$C18, 'GEN-CARBON'!$D$7:$AW$7, 'GEN-CARBON'!$D$43:$AW$43), 0), IF($B18='Project List References'!$B$7, _xlfn.IFNA(_xlfn.XLOOKUP(E$2-$C18, 'SENS Coal'!$D$7:$AW$7, 'SENS Coal'!$D$43:$AW$43), 0), IF($B18='Project List References'!$B$8, _xlfn.IFNA(_xlfn.XLOOKUP(E$2-$C18,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F18" s="743" t="e">
        <f>IF($B18='Project List References'!$B$3, _xlfn.IFNA(_xlfn.XLOOKUP(F$2-$C18, 'GEN-CCGT'!$D$7:$AW$7, 'GEN-CCGT'!$D$43:$AW$43), 0), IF($B18='Project List References'!$B$4, _xlfn.IFNA(_xlfn.XLOOKUP(F$2-$C18, 'GEN-SOLAR'!$D$7:$AW$7, 'GEN-SOLAR'!$D$43:$AW$43), 0), IF($B18='Project List References'!$B$5, _xlfn.IFNA(_xlfn.XLOOKUP(F$2-$C18, 'GEN-BESS'!$D$7:$AW$7, 'GEN-BESS'!$D$43:$AW$43), 0), IF($B18='Project List References'!$B$6, _xlfn.IFNA(_xlfn.XLOOKUP(F$2-$C18, 'GEN-CARBON'!$D$7:$AW$7, 'GEN-CARBON'!$D$43:$AW$43), 0), IF($B18='Project List References'!$B$7, _xlfn.IFNA(_xlfn.XLOOKUP(F$2-$C18, 'SENS Coal'!$D$7:$AW$7, 'SENS Coal'!$D$43:$AW$43), 0), IF($B18='Project List References'!$B$8, _xlfn.IFNA(_xlfn.XLOOKUP(F$2-$C18,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G18" s="743" t="e">
        <f>IF($B18='Project List References'!$B$3, _xlfn.IFNA(_xlfn.XLOOKUP(G$2-$C18, 'GEN-CCGT'!$D$7:$AW$7, 'GEN-CCGT'!$D$43:$AW$43), 0), IF($B18='Project List References'!$B$4, _xlfn.IFNA(_xlfn.XLOOKUP(G$2-$C18, 'GEN-SOLAR'!$D$7:$AW$7, 'GEN-SOLAR'!$D$43:$AW$43), 0), IF($B18='Project List References'!$B$5, _xlfn.IFNA(_xlfn.XLOOKUP(G$2-$C18, 'GEN-BESS'!$D$7:$AW$7, 'GEN-BESS'!$D$43:$AW$43), 0), IF($B18='Project List References'!$B$6, _xlfn.IFNA(_xlfn.XLOOKUP(G$2-$C18, 'GEN-CARBON'!$D$7:$AW$7, 'GEN-CARBON'!$D$43:$AW$43), 0), IF($B18='Project List References'!$B$7, _xlfn.IFNA(_xlfn.XLOOKUP(G$2-$C18, 'SENS Coal'!$D$7:$AW$7, 'SENS Coal'!$D$43:$AW$43), 0), IF($B18='Project List References'!$B$8, _xlfn.IFNA(_xlfn.XLOOKUP(G$2-$C18,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H18" s="743" t="e">
        <f>IF($B18='Project List References'!$B$3, _xlfn.IFNA(_xlfn.XLOOKUP(H$2-$C18, 'GEN-CCGT'!$D$7:$AW$7, 'GEN-CCGT'!$D$43:$AW$43), 0), IF($B18='Project List References'!$B$4, _xlfn.IFNA(_xlfn.XLOOKUP(H$2-$C18, 'GEN-SOLAR'!$D$7:$AW$7, 'GEN-SOLAR'!$D$43:$AW$43), 0), IF($B18='Project List References'!$B$5, _xlfn.IFNA(_xlfn.XLOOKUP(H$2-$C18, 'GEN-BESS'!$D$7:$AW$7, 'GEN-BESS'!$D$43:$AW$43), 0), IF($B18='Project List References'!$B$6, _xlfn.IFNA(_xlfn.XLOOKUP(H$2-$C18, 'GEN-CARBON'!$D$7:$AW$7, 'GEN-CARBON'!$D$43:$AW$43), 0), IF($B18='Project List References'!$B$7, _xlfn.IFNA(_xlfn.XLOOKUP(H$2-$C18, 'SENS Coal'!$D$7:$AW$7, 'SENS Coal'!$D$43:$AW$43), 0), IF($B18='Project List References'!$B$8, _xlfn.IFNA(_xlfn.XLOOKUP(H$2-$C18,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I18" s="743" t="e">
        <f>IF($B18='Project List References'!$B$3, _xlfn.IFNA(_xlfn.XLOOKUP(I$2-$C18, 'GEN-CCGT'!$D$7:$AW$7, 'GEN-CCGT'!$D$43:$AW$43), 0), IF($B18='Project List References'!$B$4, _xlfn.IFNA(_xlfn.XLOOKUP(I$2-$C18, 'GEN-SOLAR'!$D$7:$AW$7, 'GEN-SOLAR'!$D$43:$AW$43), 0), IF($B18='Project List References'!$B$5, _xlfn.IFNA(_xlfn.XLOOKUP(I$2-$C18, 'GEN-BESS'!$D$7:$AW$7, 'GEN-BESS'!$D$43:$AW$43), 0), IF($B18='Project List References'!$B$6, _xlfn.IFNA(_xlfn.XLOOKUP(I$2-$C18, 'GEN-CARBON'!$D$7:$AW$7, 'GEN-CARBON'!$D$43:$AW$43), 0), IF($B18='Project List References'!$B$7, _xlfn.IFNA(_xlfn.XLOOKUP(I$2-$C18, 'SENS Coal'!$D$7:$AW$7, 'SENS Coal'!$D$43:$AW$43), 0), IF($B18='Project List References'!$B$8, _xlfn.IFNA(_xlfn.XLOOKUP(I$2-$C18,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J18" s="743" t="e">
        <f>IF($B18='Project List References'!$B$3, _xlfn.IFNA(_xlfn.XLOOKUP(J$2-$C18, 'GEN-CCGT'!$D$7:$AW$7, 'GEN-CCGT'!$D$43:$AW$43), 0), IF($B18='Project List References'!$B$4, _xlfn.IFNA(_xlfn.XLOOKUP(J$2-$C18, 'GEN-SOLAR'!$D$7:$AW$7, 'GEN-SOLAR'!$D$43:$AW$43), 0), IF($B18='Project List References'!$B$5, _xlfn.IFNA(_xlfn.XLOOKUP(J$2-$C18, 'GEN-BESS'!$D$7:$AW$7, 'GEN-BESS'!$D$43:$AW$43), 0), IF($B18='Project List References'!$B$6, _xlfn.IFNA(_xlfn.XLOOKUP(J$2-$C18, 'GEN-CARBON'!$D$7:$AW$7, 'GEN-CARBON'!$D$43:$AW$43), 0), IF($B18='Project List References'!$B$7, _xlfn.IFNA(_xlfn.XLOOKUP(J$2-$C18, 'SENS Coal'!$D$7:$AW$7, 'SENS Coal'!$D$43:$AW$43), 0), IF($B18='Project List References'!$B$8, _xlfn.IFNA(_xlfn.XLOOKUP(J$2-$C18,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K18" s="743" t="e">
        <f>IF($B18='Project List References'!$B$3, _xlfn.IFNA(_xlfn.XLOOKUP(K$2-$C18, 'GEN-CCGT'!$D$7:$AW$7, 'GEN-CCGT'!$D$43:$AW$43), 0), IF($B18='Project List References'!$B$4, _xlfn.IFNA(_xlfn.XLOOKUP(K$2-$C18, 'GEN-SOLAR'!$D$7:$AW$7, 'GEN-SOLAR'!$D$43:$AW$43), 0), IF($B18='Project List References'!$B$5, _xlfn.IFNA(_xlfn.XLOOKUP(K$2-$C18, 'GEN-BESS'!$D$7:$AW$7, 'GEN-BESS'!$D$43:$AW$43), 0), IF($B18='Project List References'!$B$6, _xlfn.IFNA(_xlfn.XLOOKUP(K$2-$C18, 'GEN-CARBON'!$D$7:$AW$7, 'GEN-CARBON'!$D$43:$AW$43), 0), IF($B18='Project List References'!$B$7, _xlfn.IFNA(_xlfn.XLOOKUP(K$2-$C18, 'SENS Coal'!$D$7:$AW$7, 'SENS Coal'!$D$43:$AW$43), 0), IF($B18='Project List References'!$B$8, _xlfn.IFNA(_xlfn.XLOOKUP(K$2-$C18,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L18" s="743" t="e">
        <f>IF($B18='Project List References'!$B$3, _xlfn.IFNA(_xlfn.XLOOKUP(L$2-$C18, 'GEN-CCGT'!$D$7:$AW$7, 'GEN-CCGT'!$D$43:$AW$43), 0), IF($B18='Project List References'!$B$4, _xlfn.IFNA(_xlfn.XLOOKUP(L$2-$C18, 'GEN-SOLAR'!$D$7:$AW$7, 'GEN-SOLAR'!$D$43:$AW$43), 0), IF($B18='Project List References'!$B$5, _xlfn.IFNA(_xlfn.XLOOKUP(L$2-$C18, 'GEN-BESS'!$D$7:$AW$7, 'GEN-BESS'!$D$43:$AW$43), 0), IF($B18='Project List References'!$B$6, _xlfn.IFNA(_xlfn.XLOOKUP(L$2-$C18, 'GEN-CARBON'!$D$7:$AW$7, 'GEN-CARBON'!$D$43:$AW$43), 0), IF($B18='Project List References'!$B$7, _xlfn.IFNA(_xlfn.XLOOKUP(L$2-$C18, 'SENS Coal'!$D$7:$AW$7, 'SENS Coal'!$D$43:$AW$43), 0), IF($B18='Project List References'!$B$8, _xlfn.IFNA(_xlfn.XLOOKUP(L$2-$C18,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M18" s="743" t="e">
        <f>IF($B18='Project List References'!$B$3, _xlfn.IFNA(_xlfn.XLOOKUP(M$2-$C18, 'GEN-CCGT'!$D$7:$AW$7, 'GEN-CCGT'!$D$43:$AW$43), 0), IF($B18='Project List References'!$B$4, _xlfn.IFNA(_xlfn.XLOOKUP(M$2-$C18, 'GEN-SOLAR'!$D$7:$AW$7, 'GEN-SOLAR'!$D$43:$AW$43), 0), IF($B18='Project List References'!$B$5, _xlfn.IFNA(_xlfn.XLOOKUP(M$2-$C18, 'GEN-BESS'!$D$7:$AW$7, 'GEN-BESS'!$D$43:$AW$43), 0), IF($B18='Project List References'!$B$6, _xlfn.IFNA(_xlfn.XLOOKUP(M$2-$C18, 'GEN-CARBON'!$D$7:$AW$7, 'GEN-CARBON'!$D$43:$AW$43), 0), IF($B18='Project List References'!$B$7, _xlfn.IFNA(_xlfn.XLOOKUP(M$2-$C18, 'SENS Coal'!$D$7:$AW$7, 'SENS Coal'!$D$43:$AW$43), 0), IF($B18='Project List References'!$B$8, _xlfn.IFNA(_xlfn.XLOOKUP(M$2-$C18,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N18" s="743" t="e">
        <f>IF($B18='Project List References'!$B$3, _xlfn.IFNA(_xlfn.XLOOKUP(N$2-$C18, 'GEN-CCGT'!$D$7:$AW$7, 'GEN-CCGT'!$D$43:$AW$43), 0), IF($B18='Project List References'!$B$4, _xlfn.IFNA(_xlfn.XLOOKUP(N$2-$C18, 'GEN-SOLAR'!$D$7:$AW$7, 'GEN-SOLAR'!$D$43:$AW$43), 0), IF($B18='Project List References'!$B$5, _xlfn.IFNA(_xlfn.XLOOKUP(N$2-$C18, 'GEN-BESS'!$D$7:$AW$7, 'GEN-BESS'!$D$43:$AW$43), 0), IF($B18='Project List References'!$B$6, _xlfn.IFNA(_xlfn.XLOOKUP(N$2-$C18, 'GEN-CARBON'!$D$7:$AW$7, 'GEN-CARBON'!$D$43:$AW$43), 0), IF($B18='Project List References'!$B$7, _xlfn.IFNA(_xlfn.XLOOKUP(N$2-$C18, 'SENS Coal'!$D$7:$AW$7, 'SENS Coal'!$D$43:$AW$43), 0), IF($B18='Project List References'!$B$8, _xlfn.IFNA(_xlfn.XLOOKUP(N$2-$C18,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O18" s="743" t="e">
        <f>IF($B18='Project List References'!$B$3, _xlfn.IFNA(_xlfn.XLOOKUP(O$2-$C18, 'GEN-CCGT'!$D$7:$AW$7, 'GEN-CCGT'!$D$43:$AW$43), 0), IF($B18='Project List References'!$B$4, _xlfn.IFNA(_xlfn.XLOOKUP(O$2-$C18, 'GEN-SOLAR'!$D$7:$AW$7, 'GEN-SOLAR'!$D$43:$AW$43), 0), IF($B18='Project List References'!$B$5, _xlfn.IFNA(_xlfn.XLOOKUP(O$2-$C18, 'GEN-BESS'!$D$7:$AW$7, 'GEN-BESS'!$D$43:$AW$43), 0), IF($B18='Project List References'!$B$6, _xlfn.IFNA(_xlfn.XLOOKUP(O$2-$C18, 'GEN-CARBON'!$D$7:$AW$7, 'GEN-CARBON'!$D$43:$AW$43), 0), IF($B18='Project List References'!$B$7, _xlfn.IFNA(_xlfn.XLOOKUP(O$2-$C18, 'SENS Coal'!$D$7:$AW$7, 'SENS Coal'!$D$43:$AW$43), 0), IF($B18='Project List References'!$B$8, _xlfn.IFNA(_xlfn.XLOOKUP(O$2-$C18,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P18" s="743" t="e">
        <f>IF($B18='Project List References'!$B$3, _xlfn.IFNA(_xlfn.XLOOKUP(P$2-$C18, 'GEN-CCGT'!$D$7:$AW$7, 'GEN-CCGT'!$D$43:$AW$43), 0), IF($B18='Project List References'!$B$4, _xlfn.IFNA(_xlfn.XLOOKUP(P$2-$C18, 'GEN-SOLAR'!$D$7:$AW$7, 'GEN-SOLAR'!$D$43:$AW$43), 0), IF($B18='Project List References'!$B$5, _xlfn.IFNA(_xlfn.XLOOKUP(P$2-$C18, 'GEN-BESS'!$D$7:$AW$7, 'GEN-BESS'!$D$43:$AW$43), 0), IF($B18='Project List References'!$B$6, _xlfn.IFNA(_xlfn.XLOOKUP(P$2-$C18, 'GEN-CARBON'!$D$7:$AW$7, 'GEN-CARBON'!$D$43:$AW$43), 0), IF($B18='Project List References'!$B$7, _xlfn.IFNA(_xlfn.XLOOKUP(P$2-$C18, 'SENS Coal'!$D$7:$AW$7, 'SENS Coal'!$D$43:$AW$43), 0), IF($B18='Project List References'!$B$8, _xlfn.IFNA(_xlfn.XLOOKUP(P$2-$C18,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Q18" s="743" t="e">
        <f>IF($B18='Project List References'!$B$3, _xlfn.IFNA(_xlfn.XLOOKUP(Q$2-$C18, 'GEN-CCGT'!$D$7:$AW$7, 'GEN-CCGT'!$D$43:$AW$43), 0), IF($B18='Project List References'!$B$4, _xlfn.IFNA(_xlfn.XLOOKUP(Q$2-$C18, 'GEN-SOLAR'!$D$7:$AW$7, 'GEN-SOLAR'!$D$43:$AW$43), 0), IF($B18='Project List References'!$B$5, _xlfn.IFNA(_xlfn.XLOOKUP(Q$2-$C18, 'GEN-BESS'!$D$7:$AW$7, 'GEN-BESS'!$D$43:$AW$43), 0), IF($B18='Project List References'!$B$6, _xlfn.IFNA(_xlfn.XLOOKUP(Q$2-$C18, 'GEN-CARBON'!$D$7:$AW$7, 'GEN-CARBON'!$D$43:$AW$43), 0), IF($B18='Project List References'!$B$7, _xlfn.IFNA(_xlfn.XLOOKUP(Q$2-$C18, 'SENS Coal'!$D$7:$AW$7, 'SENS Coal'!$D$43:$AW$43), 0), IF($B18='Project List References'!$B$8, _xlfn.IFNA(_xlfn.XLOOKUP(Q$2-$C18,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R18" s="743" t="e">
        <f>IF($B18='Project List References'!$B$3, _xlfn.IFNA(_xlfn.XLOOKUP(R$2-$C18, 'GEN-CCGT'!$D$7:$AW$7, 'GEN-CCGT'!$D$43:$AW$43), 0), IF($B18='Project List References'!$B$4, _xlfn.IFNA(_xlfn.XLOOKUP(R$2-$C18, 'GEN-SOLAR'!$D$7:$AW$7, 'GEN-SOLAR'!$D$43:$AW$43), 0), IF($B18='Project List References'!$B$5, _xlfn.IFNA(_xlfn.XLOOKUP(R$2-$C18, 'GEN-BESS'!$D$7:$AW$7, 'GEN-BESS'!$D$43:$AW$43), 0), IF($B18='Project List References'!$B$6, _xlfn.IFNA(_xlfn.XLOOKUP(R$2-$C18, 'GEN-CARBON'!$D$7:$AW$7, 'GEN-CARBON'!$D$43:$AW$43), 0), IF($B18='Project List References'!$B$7, _xlfn.IFNA(_xlfn.XLOOKUP(R$2-$C18, 'SENS Coal'!$D$7:$AW$7, 'SENS Coal'!$D$43:$AW$43), 0), IF($B18='Project List References'!$B$8, _xlfn.IFNA(_xlfn.XLOOKUP(R$2-$C18,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S18" s="743" t="e">
        <f>IF($B18='Project List References'!$B$3, _xlfn.IFNA(_xlfn.XLOOKUP(S$2-$C18, 'GEN-CCGT'!$D$7:$AW$7, 'GEN-CCGT'!$D$43:$AW$43), 0), IF($B18='Project List References'!$B$4, _xlfn.IFNA(_xlfn.XLOOKUP(S$2-$C18, 'GEN-SOLAR'!$D$7:$AW$7, 'GEN-SOLAR'!$D$43:$AW$43), 0), IF($B18='Project List References'!$B$5, _xlfn.IFNA(_xlfn.XLOOKUP(S$2-$C18, 'GEN-BESS'!$D$7:$AW$7, 'GEN-BESS'!$D$43:$AW$43), 0), IF($B18='Project List References'!$B$6, _xlfn.IFNA(_xlfn.XLOOKUP(S$2-$C18, 'GEN-CARBON'!$D$7:$AW$7, 'GEN-CARBON'!$D$43:$AW$43), 0), IF($B18='Project List References'!$B$7, _xlfn.IFNA(_xlfn.XLOOKUP(S$2-$C18, 'SENS Coal'!$D$7:$AW$7, 'SENS Coal'!$D$43:$AW$43), 0), IF($B18='Project List References'!$B$8, _xlfn.IFNA(_xlfn.XLOOKUP(S$2-$C18,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T18" s="743" t="e">
        <f>IF($B18='Project List References'!$B$3, _xlfn.IFNA(_xlfn.XLOOKUP(T$2-$C18, 'GEN-CCGT'!$D$7:$AW$7, 'GEN-CCGT'!$D$43:$AW$43), 0), IF($B18='Project List References'!$B$4, _xlfn.IFNA(_xlfn.XLOOKUP(T$2-$C18, 'GEN-SOLAR'!$D$7:$AW$7, 'GEN-SOLAR'!$D$43:$AW$43), 0), IF($B18='Project List References'!$B$5, _xlfn.IFNA(_xlfn.XLOOKUP(T$2-$C18, 'GEN-BESS'!$D$7:$AW$7, 'GEN-BESS'!$D$43:$AW$43), 0), IF($B18='Project List References'!$B$6, _xlfn.IFNA(_xlfn.XLOOKUP(T$2-$C18, 'GEN-CARBON'!$D$7:$AW$7, 'GEN-CARBON'!$D$43:$AW$43), 0), IF($B18='Project List References'!$B$7, _xlfn.IFNA(_xlfn.XLOOKUP(T$2-$C18, 'SENS Coal'!$D$7:$AW$7, 'SENS Coal'!$D$43:$AW$43), 0), IF($B18='Project List References'!$B$8, _xlfn.IFNA(_xlfn.XLOOKUP(T$2-$C18, 'SENS Tires'!$D$7:$AW$7, 'SENS Tires'!$D$43:$AW$43),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</row>
    <row r="19" spans="1:20">
      <c r="A19" s="655" t="str">
        <f>IF(ISBLANK('Project Master Sheet'!A19)=FALSE, 'Project Master Sheet'!A19, "")</f>
        <v/>
      </c>
      <c r="B19" s="655" t="str">
        <f>_xlfn.IFNA(_xlfn.XLOOKUP(A19, 'Project Master Sheet'!A:A, 'Project Master Sheet'!D:D), "")</f>
        <v/>
      </c>
      <c r="C19" s="655" t="e">
        <f>_xlfn.XLOOKUP('Project OPEX'!A19, 'Project Master Sheet'!A:A, 'Project Master Sheet'!I:I)</f>
        <v>#N/A</v>
      </c>
      <c r="E19" s="743" t="e">
        <f>IF($B19='Project List References'!$B$3, _xlfn.IFNA(_xlfn.XLOOKUP(E$2-$C19, 'GEN-CCGT'!$D$7:$AW$7, 'GEN-CCGT'!$D$43:$AW$43), 0), IF($B19='Project List References'!$B$4, _xlfn.IFNA(_xlfn.XLOOKUP(E$2-$C19, 'GEN-SOLAR'!$D$7:$AW$7, 'GEN-SOLAR'!$D$43:$AW$43), 0), IF($B19='Project List References'!$B$5, _xlfn.IFNA(_xlfn.XLOOKUP(E$2-$C19, 'GEN-BESS'!$D$7:$AW$7, 'GEN-BESS'!$D$43:$AW$43), 0), IF($B19='Project List References'!$B$6, _xlfn.IFNA(_xlfn.XLOOKUP(E$2-$C19, 'GEN-CARBON'!$D$7:$AW$7, 'GEN-CARBON'!$D$43:$AW$43), 0), IF($B19='Project List References'!$B$7, _xlfn.IFNA(_xlfn.XLOOKUP(E$2-$C19, 'SENS Coal'!$D$7:$AW$7, 'SENS Coal'!$D$43:$AW$43), 0), IF($B19='Project List References'!$B$8, _xlfn.IFNA(_xlfn.XLOOKUP(E$2-$C19,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F19" s="743" t="e">
        <f>IF($B19='Project List References'!$B$3, _xlfn.IFNA(_xlfn.XLOOKUP(F$2-$C19, 'GEN-CCGT'!$D$7:$AW$7, 'GEN-CCGT'!$D$43:$AW$43), 0), IF($B19='Project List References'!$B$4, _xlfn.IFNA(_xlfn.XLOOKUP(F$2-$C19, 'GEN-SOLAR'!$D$7:$AW$7, 'GEN-SOLAR'!$D$43:$AW$43), 0), IF($B19='Project List References'!$B$5, _xlfn.IFNA(_xlfn.XLOOKUP(F$2-$C19, 'GEN-BESS'!$D$7:$AW$7, 'GEN-BESS'!$D$43:$AW$43), 0), IF($B19='Project List References'!$B$6, _xlfn.IFNA(_xlfn.XLOOKUP(F$2-$C19, 'GEN-CARBON'!$D$7:$AW$7, 'GEN-CARBON'!$D$43:$AW$43), 0), IF($B19='Project List References'!$B$7, _xlfn.IFNA(_xlfn.XLOOKUP(F$2-$C19, 'SENS Coal'!$D$7:$AW$7, 'SENS Coal'!$D$43:$AW$43), 0), IF($B19='Project List References'!$B$8, _xlfn.IFNA(_xlfn.XLOOKUP(F$2-$C19,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G19" s="743" t="e">
        <f>IF($B19='Project List References'!$B$3, _xlfn.IFNA(_xlfn.XLOOKUP(G$2-$C19, 'GEN-CCGT'!$D$7:$AW$7, 'GEN-CCGT'!$D$43:$AW$43), 0), IF($B19='Project List References'!$B$4, _xlfn.IFNA(_xlfn.XLOOKUP(G$2-$C19, 'GEN-SOLAR'!$D$7:$AW$7, 'GEN-SOLAR'!$D$43:$AW$43), 0), IF($B19='Project List References'!$B$5, _xlfn.IFNA(_xlfn.XLOOKUP(G$2-$C19, 'GEN-BESS'!$D$7:$AW$7, 'GEN-BESS'!$D$43:$AW$43), 0), IF($B19='Project List References'!$B$6, _xlfn.IFNA(_xlfn.XLOOKUP(G$2-$C19, 'GEN-CARBON'!$D$7:$AW$7, 'GEN-CARBON'!$D$43:$AW$43), 0), IF($B19='Project List References'!$B$7, _xlfn.IFNA(_xlfn.XLOOKUP(G$2-$C19, 'SENS Coal'!$D$7:$AW$7, 'SENS Coal'!$D$43:$AW$43), 0), IF($B19='Project List References'!$B$8, _xlfn.IFNA(_xlfn.XLOOKUP(G$2-$C19,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H19" s="743" t="e">
        <f>IF($B19='Project List References'!$B$3, _xlfn.IFNA(_xlfn.XLOOKUP(H$2-$C19, 'GEN-CCGT'!$D$7:$AW$7, 'GEN-CCGT'!$D$43:$AW$43), 0), IF($B19='Project List References'!$B$4, _xlfn.IFNA(_xlfn.XLOOKUP(H$2-$C19, 'GEN-SOLAR'!$D$7:$AW$7, 'GEN-SOLAR'!$D$43:$AW$43), 0), IF($B19='Project List References'!$B$5, _xlfn.IFNA(_xlfn.XLOOKUP(H$2-$C19, 'GEN-BESS'!$D$7:$AW$7, 'GEN-BESS'!$D$43:$AW$43), 0), IF($B19='Project List References'!$B$6, _xlfn.IFNA(_xlfn.XLOOKUP(H$2-$C19, 'GEN-CARBON'!$D$7:$AW$7, 'GEN-CARBON'!$D$43:$AW$43), 0), IF($B19='Project List References'!$B$7, _xlfn.IFNA(_xlfn.XLOOKUP(H$2-$C19, 'SENS Coal'!$D$7:$AW$7, 'SENS Coal'!$D$43:$AW$43), 0), IF($B19='Project List References'!$B$8, _xlfn.IFNA(_xlfn.XLOOKUP(H$2-$C19,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I19" s="743" t="e">
        <f>IF($B19='Project List References'!$B$3, _xlfn.IFNA(_xlfn.XLOOKUP(I$2-$C19, 'GEN-CCGT'!$D$7:$AW$7, 'GEN-CCGT'!$D$43:$AW$43), 0), IF($B19='Project List References'!$B$4, _xlfn.IFNA(_xlfn.XLOOKUP(I$2-$C19, 'GEN-SOLAR'!$D$7:$AW$7, 'GEN-SOLAR'!$D$43:$AW$43), 0), IF($B19='Project List References'!$B$5, _xlfn.IFNA(_xlfn.XLOOKUP(I$2-$C19, 'GEN-BESS'!$D$7:$AW$7, 'GEN-BESS'!$D$43:$AW$43), 0), IF($B19='Project List References'!$B$6, _xlfn.IFNA(_xlfn.XLOOKUP(I$2-$C19, 'GEN-CARBON'!$D$7:$AW$7, 'GEN-CARBON'!$D$43:$AW$43), 0), IF($B19='Project List References'!$B$7, _xlfn.IFNA(_xlfn.XLOOKUP(I$2-$C19, 'SENS Coal'!$D$7:$AW$7, 'SENS Coal'!$D$43:$AW$43), 0), IF($B19='Project List References'!$B$8, _xlfn.IFNA(_xlfn.XLOOKUP(I$2-$C19,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J19" s="743" t="e">
        <f>IF($B19='Project List References'!$B$3, _xlfn.IFNA(_xlfn.XLOOKUP(J$2-$C19, 'GEN-CCGT'!$D$7:$AW$7, 'GEN-CCGT'!$D$43:$AW$43), 0), IF($B19='Project List References'!$B$4, _xlfn.IFNA(_xlfn.XLOOKUP(J$2-$C19, 'GEN-SOLAR'!$D$7:$AW$7, 'GEN-SOLAR'!$D$43:$AW$43), 0), IF($B19='Project List References'!$B$5, _xlfn.IFNA(_xlfn.XLOOKUP(J$2-$C19, 'GEN-BESS'!$D$7:$AW$7, 'GEN-BESS'!$D$43:$AW$43), 0), IF($B19='Project List References'!$B$6, _xlfn.IFNA(_xlfn.XLOOKUP(J$2-$C19, 'GEN-CARBON'!$D$7:$AW$7, 'GEN-CARBON'!$D$43:$AW$43), 0), IF($B19='Project List References'!$B$7, _xlfn.IFNA(_xlfn.XLOOKUP(J$2-$C19, 'SENS Coal'!$D$7:$AW$7, 'SENS Coal'!$D$43:$AW$43), 0), IF($B19='Project List References'!$B$8, _xlfn.IFNA(_xlfn.XLOOKUP(J$2-$C19,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K19" s="743" t="e">
        <f>IF($B19='Project List References'!$B$3, _xlfn.IFNA(_xlfn.XLOOKUP(K$2-$C19, 'GEN-CCGT'!$D$7:$AW$7, 'GEN-CCGT'!$D$43:$AW$43), 0), IF($B19='Project List References'!$B$4, _xlfn.IFNA(_xlfn.XLOOKUP(K$2-$C19, 'GEN-SOLAR'!$D$7:$AW$7, 'GEN-SOLAR'!$D$43:$AW$43), 0), IF($B19='Project List References'!$B$5, _xlfn.IFNA(_xlfn.XLOOKUP(K$2-$C19, 'GEN-BESS'!$D$7:$AW$7, 'GEN-BESS'!$D$43:$AW$43), 0), IF($B19='Project List References'!$B$6, _xlfn.IFNA(_xlfn.XLOOKUP(K$2-$C19, 'GEN-CARBON'!$D$7:$AW$7, 'GEN-CARBON'!$D$43:$AW$43), 0), IF($B19='Project List References'!$B$7, _xlfn.IFNA(_xlfn.XLOOKUP(K$2-$C19, 'SENS Coal'!$D$7:$AW$7, 'SENS Coal'!$D$43:$AW$43), 0), IF($B19='Project List References'!$B$8, _xlfn.IFNA(_xlfn.XLOOKUP(K$2-$C19,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L19" s="743" t="e">
        <f>IF($B19='Project List References'!$B$3, _xlfn.IFNA(_xlfn.XLOOKUP(L$2-$C19, 'GEN-CCGT'!$D$7:$AW$7, 'GEN-CCGT'!$D$43:$AW$43), 0), IF($B19='Project List References'!$B$4, _xlfn.IFNA(_xlfn.XLOOKUP(L$2-$C19, 'GEN-SOLAR'!$D$7:$AW$7, 'GEN-SOLAR'!$D$43:$AW$43), 0), IF($B19='Project List References'!$B$5, _xlfn.IFNA(_xlfn.XLOOKUP(L$2-$C19, 'GEN-BESS'!$D$7:$AW$7, 'GEN-BESS'!$D$43:$AW$43), 0), IF($B19='Project List References'!$B$6, _xlfn.IFNA(_xlfn.XLOOKUP(L$2-$C19, 'GEN-CARBON'!$D$7:$AW$7, 'GEN-CARBON'!$D$43:$AW$43), 0), IF($B19='Project List References'!$B$7, _xlfn.IFNA(_xlfn.XLOOKUP(L$2-$C19, 'SENS Coal'!$D$7:$AW$7, 'SENS Coal'!$D$43:$AW$43), 0), IF($B19='Project List References'!$B$8, _xlfn.IFNA(_xlfn.XLOOKUP(L$2-$C19,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M19" s="743" t="e">
        <f>IF($B19='Project List References'!$B$3, _xlfn.IFNA(_xlfn.XLOOKUP(M$2-$C19, 'GEN-CCGT'!$D$7:$AW$7, 'GEN-CCGT'!$D$43:$AW$43), 0), IF($B19='Project List References'!$B$4, _xlfn.IFNA(_xlfn.XLOOKUP(M$2-$C19, 'GEN-SOLAR'!$D$7:$AW$7, 'GEN-SOLAR'!$D$43:$AW$43), 0), IF($B19='Project List References'!$B$5, _xlfn.IFNA(_xlfn.XLOOKUP(M$2-$C19, 'GEN-BESS'!$D$7:$AW$7, 'GEN-BESS'!$D$43:$AW$43), 0), IF($B19='Project List References'!$B$6, _xlfn.IFNA(_xlfn.XLOOKUP(M$2-$C19, 'GEN-CARBON'!$D$7:$AW$7, 'GEN-CARBON'!$D$43:$AW$43), 0), IF($B19='Project List References'!$B$7, _xlfn.IFNA(_xlfn.XLOOKUP(M$2-$C19, 'SENS Coal'!$D$7:$AW$7, 'SENS Coal'!$D$43:$AW$43), 0), IF($B19='Project List References'!$B$8, _xlfn.IFNA(_xlfn.XLOOKUP(M$2-$C19,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N19" s="743" t="e">
        <f>IF($B19='Project List References'!$B$3, _xlfn.IFNA(_xlfn.XLOOKUP(N$2-$C19, 'GEN-CCGT'!$D$7:$AW$7, 'GEN-CCGT'!$D$43:$AW$43), 0), IF($B19='Project List References'!$B$4, _xlfn.IFNA(_xlfn.XLOOKUP(N$2-$C19, 'GEN-SOLAR'!$D$7:$AW$7, 'GEN-SOLAR'!$D$43:$AW$43), 0), IF($B19='Project List References'!$B$5, _xlfn.IFNA(_xlfn.XLOOKUP(N$2-$C19, 'GEN-BESS'!$D$7:$AW$7, 'GEN-BESS'!$D$43:$AW$43), 0), IF($B19='Project List References'!$B$6, _xlfn.IFNA(_xlfn.XLOOKUP(N$2-$C19, 'GEN-CARBON'!$D$7:$AW$7, 'GEN-CARBON'!$D$43:$AW$43), 0), IF($B19='Project List References'!$B$7, _xlfn.IFNA(_xlfn.XLOOKUP(N$2-$C19, 'SENS Coal'!$D$7:$AW$7, 'SENS Coal'!$D$43:$AW$43), 0), IF($B19='Project List References'!$B$8, _xlfn.IFNA(_xlfn.XLOOKUP(N$2-$C19,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O19" s="743" t="e">
        <f>IF($B19='Project List References'!$B$3, _xlfn.IFNA(_xlfn.XLOOKUP(O$2-$C19, 'GEN-CCGT'!$D$7:$AW$7, 'GEN-CCGT'!$D$43:$AW$43), 0), IF($B19='Project List References'!$B$4, _xlfn.IFNA(_xlfn.XLOOKUP(O$2-$C19, 'GEN-SOLAR'!$D$7:$AW$7, 'GEN-SOLAR'!$D$43:$AW$43), 0), IF($B19='Project List References'!$B$5, _xlfn.IFNA(_xlfn.XLOOKUP(O$2-$C19, 'GEN-BESS'!$D$7:$AW$7, 'GEN-BESS'!$D$43:$AW$43), 0), IF($B19='Project List References'!$B$6, _xlfn.IFNA(_xlfn.XLOOKUP(O$2-$C19, 'GEN-CARBON'!$D$7:$AW$7, 'GEN-CARBON'!$D$43:$AW$43), 0), IF($B19='Project List References'!$B$7, _xlfn.IFNA(_xlfn.XLOOKUP(O$2-$C19, 'SENS Coal'!$D$7:$AW$7, 'SENS Coal'!$D$43:$AW$43), 0), IF($B19='Project List References'!$B$8, _xlfn.IFNA(_xlfn.XLOOKUP(O$2-$C19,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P19" s="743" t="e">
        <f>IF($B19='Project List References'!$B$3, _xlfn.IFNA(_xlfn.XLOOKUP(P$2-$C19, 'GEN-CCGT'!$D$7:$AW$7, 'GEN-CCGT'!$D$43:$AW$43), 0), IF($B19='Project List References'!$B$4, _xlfn.IFNA(_xlfn.XLOOKUP(P$2-$C19, 'GEN-SOLAR'!$D$7:$AW$7, 'GEN-SOLAR'!$D$43:$AW$43), 0), IF($B19='Project List References'!$B$5, _xlfn.IFNA(_xlfn.XLOOKUP(P$2-$C19, 'GEN-BESS'!$D$7:$AW$7, 'GEN-BESS'!$D$43:$AW$43), 0), IF($B19='Project List References'!$B$6, _xlfn.IFNA(_xlfn.XLOOKUP(P$2-$C19, 'GEN-CARBON'!$D$7:$AW$7, 'GEN-CARBON'!$D$43:$AW$43), 0), IF($B19='Project List References'!$B$7, _xlfn.IFNA(_xlfn.XLOOKUP(P$2-$C19, 'SENS Coal'!$D$7:$AW$7, 'SENS Coal'!$D$43:$AW$43), 0), IF($B19='Project List References'!$B$8, _xlfn.IFNA(_xlfn.XLOOKUP(P$2-$C19,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Q19" s="743" t="e">
        <f>IF($B19='Project List References'!$B$3, _xlfn.IFNA(_xlfn.XLOOKUP(Q$2-$C19, 'GEN-CCGT'!$D$7:$AW$7, 'GEN-CCGT'!$D$43:$AW$43), 0), IF($B19='Project List References'!$B$4, _xlfn.IFNA(_xlfn.XLOOKUP(Q$2-$C19, 'GEN-SOLAR'!$D$7:$AW$7, 'GEN-SOLAR'!$D$43:$AW$43), 0), IF($B19='Project List References'!$B$5, _xlfn.IFNA(_xlfn.XLOOKUP(Q$2-$C19, 'GEN-BESS'!$D$7:$AW$7, 'GEN-BESS'!$D$43:$AW$43), 0), IF($B19='Project List References'!$B$6, _xlfn.IFNA(_xlfn.XLOOKUP(Q$2-$C19, 'GEN-CARBON'!$D$7:$AW$7, 'GEN-CARBON'!$D$43:$AW$43), 0), IF($B19='Project List References'!$B$7, _xlfn.IFNA(_xlfn.XLOOKUP(Q$2-$C19, 'SENS Coal'!$D$7:$AW$7, 'SENS Coal'!$D$43:$AW$43), 0), IF($B19='Project List References'!$B$8, _xlfn.IFNA(_xlfn.XLOOKUP(Q$2-$C19,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R19" s="743" t="e">
        <f>IF($B19='Project List References'!$B$3, _xlfn.IFNA(_xlfn.XLOOKUP(R$2-$C19, 'GEN-CCGT'!$D$7:$AW$7, 'GEN-CCGT'!$D$43:$AW$43), 0), IF($B19='Project List References'!$B$4, _xlfn.IFNA(_xlfn.XLOOKUP(R$2-$C19, 'GEN-SOLAR'!$D$7:$AW$7, 'GEN-SOLAR'!$D$43:$AW$43), 0), IF($B19='Project List References'!$B$5, _xlfn.IFNA(_xlfn.XLOOKUP(R$2-$C19, 'GEN-BESS'!$D$7:$AW$7, 'GEN-BESS'!$D$43:$AW$43), 0), IF($B19='Project List References'!$B$6, _xlfn.IFNA(_xlfn.XLOOKUP(R$2-$C19, 'GEN-CARBON'!$D$7:$AW$7, 'GEN-CARBON'!$D$43:$AW$43), 0), IF($B19='Project List References'!$B$7, _xlfn.IFNA(_xlfn.XLOOKUP(R$2-$C19, 'SENS Coal'!$D$7:$AW$7, 'SENS Coal'!$D$43:$AW$43), 0), IF($B19='Project List References'!$B$8, _xlfn.IFNA(_xlfn.XLOOKUP(R$2-$C19,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S19" s="743" t="e">
        <f>IF($B19='Project List References'!$B$3, _xlfn.IFNA(_xlfn.XLOOKUP(S$2-$C19, 'GEN-CCGT'!$D$7:$AW$7, 'GEN-CCGT'!$D$43:$AW$43), 0), IF($B19='Project List References'!$B$4, _xlfn.IFNA(_xlfn.XLOOKUP(S$2-$C19, 'GEN-SOLAR'!$D$7:$AW$7, 'GEN-SOLAR'!$D$43:$AW$43), 0), IF($B19='Project List References'!$B$5, _xlfn.IFNA(_xlfn.XLOOKUP(S$2-$C19, 'GEN-BESS'!$D$7:$AW$7, 'GEN-BESS'!$D$43:$AW$43), 0), IF($B19='Project List References'!$B$6, _xlfn.IFNA(_xlfn.XLOOKUP(S$2-$C19, 'GEN-CARBON'!$D$7:$AW$7, 'GEN-CARBON'!$D$43:$AW$43), 0), IF($B19='Project List References'!$B$7, _xlfn.IFNA(_xlfn.XLOOKUP(S$2-$C19, 'SENS Coal'!$D$7:$AW$7, 'SENS Coal'!$D$43:$AW$43), 0), IF($B19='Project List References'!$B$8, _xlfn.IFNA(_xlfn.XLOOKUP(S$2-$C19,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T19" s="743" t="e">
        <f>IF($B19='Project List References'!$B$3, _xlfn.IFNA(_xlfn.XLOOKUP(T$2-$C19, 'GEN-CCGT'!$D$7:$AW$7, 'GEN-CCGT'!$D$43:$AW$43), 0), IF($B19='Project List References'!$B$4, _xlfn.IFNA(_xlfn.XLOOKUP(T$2-$C19, 'GEN-SOLAR'!$D$7:$AW$7, 'GEN-SOLAR'!$D$43:$AW$43), 0), IF($B19='Project List References'!$B$5, _xlfn.IFNA(_xlfn.XLOOKUP(T$2-$C19, 'GEN-BESS'!$D$7:$AW$7, 'GEN-BESS'!$D$43:$AW$43), 0), IF($B19='Project List References'!$B$6, _xlfn.IFNA(_xlfn.XLOOKUP(T$2-$C19, 'GEN-CARBON'!$D$7:$AW$7, 'GEN-CARBON'!$D$43:$AW$43), 0), IF($B19='Project List References'!$B$7, _xlfn.IFNA(_xlfn.XLOOKUP(T$2-$C19, 'SENS Coal'!$D$7:$AW$7, 'SENS Coal'!$D$43:$AW$43), 0), IF($B19='Project List References'!$B$8, _xlfn.IFNA(_xlfn.XLOOKUP(T$2-$C19, 'SENS Tires'!$D$7:$AW$7, 'SENS Tires'!$D$43:$AW$43),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</row>
    <row r="20" spans="1:20">
      <c r="A20" s="655" t="str">
        <f>IF(ISBLANK('Project Master Sheet'!A20)=FALSE, 'Project Master Sheet'!A20, "")</f>
        <v/>
      </c>
      <c r="B20" s="655" t="str">
        <f>_xlfn.IFNA(_xlfn.XLOOKUP(A20, 'Project Master Sheet'!A:A, 'Project Master Sheet'!D:D), "")</f>
        <v/>
      </c>
      <c r="C20" s="655" t="e">
        <f>_xlfn.XLOOKUP('Project OPEX'!A20, 'Project Master Sheet'!A:A, 'Project Master Sheet'!I:I)</f>
        <v>#N/A</v>
      </c>
      <c r="E20" s="743" t="e">
        <f>IF($B20='Project List References'!$B$3, _xlfn.IFNA(_xlfn.XLOOKUP(E$2-$C20, 'GEN-CCGT'!$D$7:$AW$7, 'GEN-CCGT'!$D$43:$AW$43), 0), IF($B20='Project List References'!$B$4, _xlfn.IFNA(_xlfn.XLOOKUP(E$2-$C20, 'GEN-SOLAR'!$D$7:$AW$7, 'GEN-SOLAR'!$D$43:$AW$43), 0), IF($B20='Project List References'!$B$5, _xlfn.IFNA(_xlfn.XLOOKUP(E$2-$C20, 'GEN-BESS'!$D$7:$AW$7, 'GEN-BESS'!$D$43:$AW$43), 0), IF($B20='Project List References'!$B$6, _xlfn.IFNA(_xlfn.XLOOKUP(E$2-$C20, 'GEN-CARBON'!$D$7:$AW$7, 'GEN-CARBON'!$D$43:$AW$43), 0), IF($B20='Project List References'!$B$7, _xlfn.IFNA(_xlfn.XLOOKUP(E$2-$C20, 'SENS Coal'!$D$7:$AW$7, 'SENS Coal'!$D$43:$AW$43), 0), IF($B20='Project List References'!$B$8, _xlfn.IFNA(_xlfn.XLOOKUP(E$2-$C20,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F20" s="743" t="e">
        <f>IF($B20='Project List References'!$B$3, _xlfn.IFNA(_xlfn.XLOOKUP(F$2-$C20, 'GEN-CCGT'!$D$7:$AW$7, 'GEN-CCGT'!$D$43:$AW$43), 0), IF($B20='Project List References'!$B$4, _xlfn.IFNA(_xlfn.XLOOKUP(F$2-$C20, 'GEN-SOLAR'!$D$7:$AW$7, 'GEN-SOLAR'!$D$43:$AW$43), 0), IF($B20='Project List References'!$B$5, _xlfn.IFNA(_xlfn.XLOOKUP(F$2-$C20, 'GEN-BESS'!$D$7:$AW$7, 'GEN-BESS'!$D$43:$AW$43), 0), IF($B20='Project List References'!$B$6, _xlfn.IFNA(_xlfn.XLOOKUP(F$2-$C20, 'GEN-CARBON'!$D$7:$AW$7, 'GEN-CARBON'!$D$43:$AW$43), 0), IF($B20='Project List References'!$B$7, _xlfn.IFNA(_xlfn.XLOOKUP(F$2-$C20, 'SENS Coal'!$D$7:$AW$7, 'SENS Coal'!$D$43:$AW$43), 0), IF($B20='Project List References'!$B$8, _xlfn.IFNA(_xlfn.XLOOKUP(F$2-$C20,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G20" s="743" t="e">
        <f>IF($B20='Project List References'!$B$3, _xlfn.IFNA(_xlfn.XLOOKUP(G$2-$C20, 'GEN-CCGT'!$D$7:$AW$7, 'GEN-CCGT'!$D$43:$AW$43), 0), IF($B20='Project List References'!$B$4, _xlfn.IFNA(_xlfn.XLOOKUP(G$2-$C20, 'GEN-SOLAR'!$D$7:$AW$7, 'GEN-SOLAR'!$D$43:$AW$43), 0), IF($B20='Project List References'!$B$5, _xlfn.IFNA(_xlfn.XLOOKUP(G$2-$C20, 'GEN-BESS'!$D$7:$AW$7, 'GEN-BESS'!$D$43:$AW$43), 0), IF($B20='Project List References'!$B$6, _xlfn.IFNA(_xlfn.XLOOKUP(G$2-$C20, 'GEN-CARBON'!$D$7:$AW$7, 'GEN-CARBON'!$D$43:$AW$43), 0), IF($B20='Project List References'!$B$7, _xlfn.IFNA(_xlfn.XLOOKUP(G$2-$C20, 'SENS Coal'!$D$7:$AW$7, 'SENS Coal'!$D$43:$AW$43), 0), IF($B20='Project List References'!$B$8, _xlfn.IFNA(_xlfn.XLOOKUP(G$2-$C20,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H20" s="743" t="e">
        <f>IF($B20='Project List References'!$B$3, _xlfn.IFNA(_xlfn.XLOOKUP(H$2-$C20, 'GEN-CCGT'!$D$7:$AW$7, 'GEN-CCGT'!$D$43:$AW$43), 0), IF($B20='Project List References'!$B$4, _xlfn.IFNA(_xlfn.XLOOKUP(H$2-$C20, 'GEN-SOLAR'!$D$7:$AW$7, 'GEN-SOLAR'!$D$43:$AW$43), 0), IF($B20='Project List References'!$B$5, _xlfn.IFNA(_xlfn.XLOOKUP(H$2-$C20, 'GEN-BESS'!$D$7:$AW$7, 'GEN-BESS'!$D$43:$AW$43), 0), IF($B20='Project List References'!$B$6, _xlfn.IFNA(_xlfn.XLOOKUP(H$2-$C20, 'GEN-CARBON'!$D$7:$AW$7, 'GEN-CARBON'!$D$43:$AW$43), 0), IF($B20='Project List References'!$B$7, _xlfn.IFNA(_xlfn.XLOOKUP(H$2-$C20, 'SENS Coal'!$D$7:$AW$7, 'SENS Coal'!$D$43:$AW$43), 0), IF($B20='Project List References'!$B$8, _xlfn.IFNA(_xlfn.XLOOKUP(H$2-$C20,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I20" s="743" t="e">
        <f>IF($B20='Project List References'!$B$3, _xlfn.IFNA(_xlfn.XLOOKUP(I$2-$C20, 'GEN-CCGT'!$D$7:$AW$7, 'GEN-CCGT'!$D$43:$AW$43), 0), IF($B20='Project List References'!$B$4, _xlfn.IFNA(_xlfn.XLOOKUP(I$2-$C20, 'GEN-SOLAR'!$D$7:$AW$7, 'GEN-SOLAR'!$D$43:$AW$43), 0), IF($B20='Project List References'!$B$5, _xlfn.IFNA(_xlfn.XLOOKUP(I$2-$C20, 'GEN-BESS'!$D$7:$AW$7, 'GEN-BESS'!$D$43:$AW$43), 0), IF($B20='Project List References'!$B$6, _xlfn.IFNA(_xlfn.XLOOKUP(I$2-$C20, 'GEN-CARBON'!$D$7:$AW$7, 'GEN-CARBON'!$D$43:$AW$43), 0), IF($B20='Project List References'!$B$7, _xlfn.IFNA(_xlfn.XLOOKUP(I$2-$C20, 'SENS Coal'!$D$7:$AW$7, 'SENS Coal'!$D$43:$AW$43), 0), IF($B20='Project List References'!$B$8, _xlfn.IFNA(_xlfn.XLOOKUP(I$2-$C20,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J20" s="743" t="e">
        <f>IF($B20='Project List References'!$B$3, _xlfn.IFNA(_xlfn.XLOOKUP(J$2-$C20, 'GEN-CCGT'!$D$7:$AW$7, 'GEN-CCGT'!$D$43:$AW$43), 0), IF($B20='Project List References'!$B$4, _xlfn.IFNA(_xlfn.XLOOKUP(J$2-$C20, 'GEN-SOLAR'!$D$7:$AW$7, 'GEN-SOLAR'!$D$43:$AW$43), 0), IF($B20='Project List References'!$B$5, _xlfn.IFNA(_xlfn.XLOOKUP(J$2-$C20, 'GEN-BESS'!$D$7:$AW$7, 'GEN-BESS'!$D$43:$AW$43), 0), IF($B20='Project List References'!$B$6, _xlfn.IFNA(_xlfn.XLOOKUP(J$2-$C20, 'GEN-CARBON'!$D$7:$AW$7, 'GEN-CARBON'!$D$43:$AW$43), 0), IF($B20='Project List References'!$B$7, _xlfn.IFNA(_xlfn.XLOOKUP(J$2-$C20, 'SENS Coal'!$D$7:$AW$7, 'SENS Coal'!$D$43:$AW$43), 0), IF($B20='Project List References'!$B$8, _xlfn.IFNA(_xlfn.XLOOKUP(J$2-$C20,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K20" s="743" t="e">
        <f>IF($B20='Project List References'!$B$3, _xlfn.IFNA(_xlfn.XLOOKUP(K$2-$C20, 'GEN-CCGT'!$D$7:$AW$7, 'GEN-CCGT'!$D$43:$AW$43), 0), IF($B20='Project List References'!$B$4, _xlfn.IFNA(_xlfn.XLOOKUP(K$2-$C20, 'GEN-SOLAR'!$D$7:$AW$7, 'GEN-SOLAR'!$D$43:$AW$43), 0), IF($B20='Project List References'!$B$5, _xlfn.IFNA(_xlfn.XLOOKUP(K$2-$C20, 'GEN-BESS'!$D$7:$AW$7, 'GEN-BESS'!$D$43:$AW$43), 0), IF($B20='Project List References'!$B$6, _xlfn.IFNA(_xlfn.XLOOKUP(K$2-$C20, 'GEN-CARBON'!$D$7:$AW$7, 'GEN-CARBON'!$D$43:$AW$43), 0), IF($B20='Project List References'!$B$7, _xlfn.IFNA(_xlfn.XLOOKUP(K$2-$C20, 'SENS Coal'!$D$7:$AW$7, 'SENS Coal'!$D$43:$AW$43), 0), IF($B20='Project List References'!$B$8, _xlfn.IFNA(_xlfn.XLOOKUP(K$2-$C20,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L20" s="743" t="e">
        <f>IF($B20='Project List References'!$B$3, _xlfn.IFNA(_xlfn.XLOOKUP(L$2-$C20, 'GEN-CCGT'!$D$7:$AW$7, 'GEN-CCGT'!$D$43:$AW$43), 0), IF($B20='Project List References'!$B$4, _xlfn.IFNA(_xlfn.XLOOKUP(L$2-$C20, 'GEN-SOLAR'!$D$7:$AW$7, 'GEN-SOLAR'!$D$43:$AW$43), 0), IF($B20='Project List References'!$B$5, _xlfn.IFNA(_xlfn.XLOOKUP(L$2-$C20, 'GEN-BESS'!$D$7:$AW$7, 'GEN-BESS'!$D$43:$AW$43), 0), IF($B20='Project List References'!$B$6, _xlfn.IFNA(_xlfn.XLOOKUP(L$2-$C20, 'GEN-CARBON'!$D$7:$AW$7, 'GEN-CARBON'!$D$43:$AW$43), 0), IF($B20='Project List References'!$B$7, _xlfn.IFNA(_xlfn.XLOOKUP(L$2-$C20, 'SENS Coal'!$D$7:$AW$7, 'SENS Coal'!$D$43:$AW$43), 0), IF($B20='Project List References'!$B$8, _xlfn.IFNA(_xlfn.XLOOKUP(L$2-$C20,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M20" s="743" t="e">
        <f>IF($B20='Project List References'!$B$3, _xlfn.IFNA(_xlfn.XLOOKUP(M$2-$C20, 'GEN-CCGT'!$D$7:$AW$7, 'GEN-CCGT'!$D$43:$AW$43), 0), IF($B20='Project List References'!$B$4, _xlfn.IFNA(_xlfn.XLOOKUP(M$2-$C20, 'GEN-SOLAR'!$D$7:$AW$7, 'GEN-SOLAR'!$D$43:$AW$43), 0), IF($B20='Project List References'!$B$5, _xlfn.IFNA(_xlfn.XLOOKUP(M$2-$C20, 'GEN-BESS'!$D$7:$AW$7, 'GEN-BESS'!$D$43:$AW$43), 0), IF($B20='Project List References'!$B$6, _xlfn.IFNA(_xlfn.XLOOKUP(M$2-$C20, 'GEN-CARBON'!$D$7:$AW$7, 'GEN-CARBON'!$D$43:$AW$43), 0), IF($B20='Project List References'!$B$7, _xlfn.IFNA(_xlfn.XLOOKUP(M$2-$C20, 'SENS Coal'!$D$7:$AW$7, 'SENS Coal'!$D$43:$AW$43), 0), IF($B20='Project List References'!$B$8, _xlfn.IFNA(_xlfn.XLOOKUP(M$2-$C20,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N20" s="743" t="e">
        <f>IF($B20='Project List References'!$B$3, _xlfn.IFNA(_xlfn.XLOOKUP(N$2-$C20, 'GEN-CCGT'!$D$7:$AW$7, 'GEN-CCGT'!$D$43:$AW$43), 0), IF($B20='Project List References'!$B$4, _xlfn.IFNA(_xlfn.XLOOKUP(N$2-$C20, 'GEN-SOLAR'!$D$7:$AW$7, 'GEN-SOLAR'!$D$43:$AW$43), 0), IF($B20='Project List References'!$B$5, _xlfn.IFNA(_xlfn.XLOOKUP(N$2-$C20, 'GEN-BESS'!$D$7:$AW$7, 'GEN-BESS'!$D$43:$AW$43), 0), IF($B20='Project List References'!$B$6, _xlfn.IFNA(_xlfn.XLOOKUP(N$2-$C20, 'GEN-CARBON'!$D$7:$AW$7, 'GEN-CARBON'!$D$43:$AW$43), 0), IF($B20='Project List References'!$B$7, _xlfn.IFNA(_xlfn.XLOOKUP(N$2-$C20, 'SENS Coal'!$D$7:$AW$7, 'SENS Coal'!$D$43:$AW$43), 0), IF($B20='Project List References'!$B$8, _xlfn.IFNA(_xlfn.XLOOKUP(N$2-$C20,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O20" s="743" t="e">
        <f>IF($B20='Project List References'!$B$3, _xlfn.IFNA(_xlfn.XLOOKUP(O$2-$C20, 'GEN-CCGT'!$D$7:$AW$7, 'GEN-CCGT'!$D$43:$AW$43), 0), IF($B20='Project List References'!$B$4, _xlfn.IFNA(_xlfn.XLOOKUP(O$2-$C20, 'GEN-SOLAR'!$D$7:$AW$7, 'GEN-SOLAR'!$D$43:$AW$43), 0), IF($B20='Project List References'!$B$5, _xlfn.IFNA(_xlfn.XLOOKUP(O$2-$C20, 'GEN-BESS'!$D$7:$AW$7, 'GEN-BESS'!$D$43:$AW$43), 0), IF($B20='Project List References'!$B$6, _xlfn.IFNA(_xlfn.XLOOKUP(O$2-$C20, 'GEN-CARBON'!$D$7:$AW$7, 'GEN-CARBON'!$D$43:$AW$43), 0), IF($B20='Project List References'!$B$7, _xlfn.IFNA(_xlfn.XLOOKUP(O$2-$C20, 'SENS Coal'!$D$7:$AW$7, 'SENS Coal'!$D$43:$AW$43), 0), IF($B20='Project List References'!$B$8, _xlfn.IFNA(_xlfn.XLOOKUP(O$2-$C20,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P20" s="743" t="e">
        <f>IF($B20='Project List References'!$B$3, _xlfn.IFNA(_xlfn.XLOOKUP(P$2-$C20, 'GEN-CCGT'!$D$7:$AW$7, 'GEN-CCGT'!$D$43:$AW$43), 0), IF($B20='Project List References'!$B$4, _xlfn.IFNA(_xlfn.XLOOKUP(P$2-$C20, 'GEN-SOLAR'!$D$7:$AW$7, 'GEN-SOLAR'!$D$43:$AW$43), 0), IF($B20='Project List References'!$B$5, _xlfn.IFNA(_xlfn.XLOOKUP(P$2-$C20, 'GEN-BESS'!$D$7:$AW$7, 'GEN-BESS'!$D$43:$AW$43), 0), IF($B20='Project List References'!$B$6, _xlfn.IFNA(_xlfn.XLOOKUP(P$2-$C20, 'GEN-CARBON'!$D$7:$AW$7, 'GEN-CARBON'!$D$43:$AW$43), 0), IF($B20='Project List References'!$B$7, _xlfn.IFNA(_xlfn.XLOOKUP(P$2-$C20, 'SENS Coal'!$D$7:$AW$7, 'SENS Coal'!$D$43:$AW$43), 0), IF($B20='Project List References'!$B$8, _xlfn.IFNA(_xlfn.XLOOKUP(P$2-$C20,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Q20" s="743" t="e">
        <f>IF($B20='Project List References'!$B$3, _xlfn.IFNA(_xlfn.XLOOKUP(Q$2-$C20, 'GEN-CCGT'!$D$7:$AW$7, 'GEN-CCGT'!$D$43:$AW$43), 0), IF($B20='Project List References'!$B$4, _xlfn.IFNA(_xlfn.XLOOKUP(Q$2-$C20, 'GEN-SOLAR'!$D$7:$AW$7, 'GEN-SOLAR'!$D$43:$AW$43), 0), IF($B20='Project List References'!$B$5, _xlfn.IFNA(_xlfn.XLOOKUP(Q$2-$C20, 'GEN-BESS'!$D$7:$AW$7, 'GEN-BESS'!$D$43:$AW$43), 0), IF($B20='Project List References'!$B$6, _xlfn.IFNA(_xlfn.XLOOKUP(Q$2-$C20, 'GEN-CARBON'!$D$7:$AW$7, 'GEN-CARBON'!$D$43:$AW$43), 0), IF($B20='Project List References'!$B$7, _xlfn.IFNA(_xlfn.XLOOKUP(Q$2-$C20, 'SENS Coal'!$D$7:$AW$7, 'SENS Coal'!$D$43:$AW$43), 0), IF($B20='Project List References'!$B$8, _xlfn.IFNA(_xlfn.XLOOKUP(Q$2-$C20,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R20" s="743" t="e">
        <f>IF($B20='Project List References'!$B$3, _xlfn.IFNA(_xlfn.XLOOKUP(R$2-$C20, 'GEN-CCGT'!$D$7:$AW$7, 'GEN-CCGT'!$D$43:$AW$43), 0), IF($B20='Project List References'!$B$4, _xlfn.IFNA(_xlfn.XLOOKUP(R$2-$C20, 'GEN-SOLAR'!$D$7:$AW$7, 'GEN-SOLAR'!$D$43:$AW$43), 0), IF($B20='Project List References'!$B$5, _xlfn.IFNA(_xlfn.XLOOKUP(R$2-$C20, 'GEN-BESS'!$D$7:$AW$7, 'GEN-BESS'!$D$43:$AW$43), 0), IF($B20='Project List References'!$B$6, _xlfn.IFNA(_xlfn.XLOOKUP(R$2-$C20, 'GEN-CARBON'!$D$7:$AW$7, 'GEN-CARBON'!$D$43:$AW$43), 0), IF($B20='Project List References'!$B$7, _xlfn.IFNA(_xlfn.XLOOKUP(R$2-$C20, 'SENS Coal'!$D$7:$AW$7, 'SENS Coal'!$D$43:$AW$43), 0), IF($B20='Project List References'!$B$8, _xlfn.IFNA(_xlfn.XLOOKUP(R$2-$C20,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S20" s="743" t="e">
        <f>IF($B20='Project List References'!$B$3, _xlfn.IFNA(_xlfn.XLOOKUP(S$2-$C20, 'GEN-CCGT'!$D$7:$AW$7, 'GEN-CCGT'!$D$43:$AW$43), 0), IF($B20='Project List References'!$B$4, _xlfn.IFNA(_xlfn.XLOOKUP(S$2-$C20, 'GEN-SOLAR'!$D$7:$AW$7, 'GEN-SOLAR'!$D$43:$AW$43), 0), IF($B20='Project List References'!$B$5, _xlfn.IFNA(_xlfn.XLOOKUP(S$2-$C20, 'GEN-BESS'!$D$7:$AW$7, 'GEN-BESS'!$D$43:$AW$43), 0), IF($B20='Project List References'!$B$6, _xlfn.IFNA(_xlfn.XLOOKUP(S$2-$C20, 'GEN-CARBON'!$D$7:$AW$7, 'GEN-CARBON'!$D$43:$AW$43), 0), IF($B20='Project List References'!$B$7, _xlfn.IFNA(_xlfn.XLOOKUP(S$2-$C20, 'SENS Coal'!$D$7:$AW$7, 'SENS Coal'!$D$43:$AW$43), 0), IF($B20='Project List References'!$B$8, _xlfn.IFNA(_xlfn.XLOOKUP(S$2-$C20,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T20" s="743" t="e">
        <f>IF($B20='Project List References'!$B$3, _xlfn.IFNA(_xlfn.XLOOKUP(T$2-$C20, 'GEN-CCGT'!$D$7:$AW$7, 'GEN-CCGT'!$D$43:$AW$43), 0), IF($B20='Project List References'!$B$4, _xlfn.IFNA(_xlfn.XLOOKUP(T$2-$C20, 'GEN-SOLAR'!$D$7:$AW$7, 'GEN-SOLAR'!$D$43:$AW$43), 0), IF($B20='Project List References'!$B$5, _xlfn.IFNA(_xlfn.XLOOKUP(T$2-$C20, 'GEN-BESS'!$D$7:$AW$7, 'GEN-BESS'!$D$43:$AW$43), 0), IF($B20='Project List References'!$B$6, _xlfn.IFNA(_xlfn.XLOOKUP(T$2-$C20, 'GEN-CARBON'!$D$7:$AW$7, 'GEN-CARBON'!$D$43:$AW$43), 0), IF($B20='Project List References'!$B$7, _xlfn.IFNA(_xlfn.XLOOKUP(T$2-$C20, 'SENS Coal'!$D$7:$AW$7, 'SENS Coal'!$D$43:$AW$43), 0), IF($B20='Project List References'!$B$8, _xlfn.IFNA(_xlfn.XLOOKUP(T$2-$C20, 'SENS Tires'!$D$7:$AW$7, 'SENS Tires'!$D$43:$AW$43),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</row>
    <row r="21" spans="1:20">
      <c r="A21" s="655" t="str">
        <f>IF(ISBLANK('Project Master Sheet'!A21)=FALSE, 'Project Master Sheet'!A21, "")</f>
        <v/>
      </c>
      <c r="B21" s="655" t="str">
        <f>_xlfn.IFNA(_xlfn.XLOOKUP(A21, 'Project Master Sheet'!A:A, 'Project Master Sheet'!D:D), "")</f>
        <v/>
      </c>
      <c r="C21" s="655" t="e">
        <f>_xlfn.XLOOKUP('Project OPEX'!A21, 'Project Master Sheet'!A:A, 'Project Master Sheet'!I:I)</f>
        <v>#N/A</v>
      </c>
      <c r="E21" s="743" t="e">
        <f>IF($B21='Project List References'!$B$3, _xlfn.IFNA(_xlfn.XLOOKUP(E$2-$C21, 'GEN-CCGT'!$D$7:$AW$7, 'GEN-CCGT'!$D$43:$AW$43), 0), IF($B21='Project List References'!$B$4, _xlfn.IFNA(_xlfn.XLOOKUP(E$2-$C21, 'GEN-SOLAR'!$D$7:$AW$7, 'GEN-SOLAR'!$D$43:$AW$43), 0), IF($B21='Project List References'!$B$5, _xlfn.IFNA(_xlfn.XLOOKUP(E$2-$C21, 'GEN-BESS'!$D$7:$AW$7, 'GEN-BESS'!$D$43:$AW$43), 0), IF($B21='Project List References'!$B$6, _xlfn.IFNA(_xlfn.XLOOKUP(E$2-$C21, 'GEN-CARBON'!$D$7:$AW$7, 'GEN-CARBON'!$D$43:$AW$43), 0), IF($B21='Project List References'!$B$7, _xlfn.IFNA(_xlfn.XLOOKUP(E$2-$C21, 'SENS Coal'!$D$7:$AW$7, 'SENS Coal'!$D$43:$AW$43), 0), IF($B21='Project List References'!$B$8, _xlfn.IFNA(_xlfn.XLOOKUP(E$2-$C21,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F21" s="743" t="e">
        <f>IF($B21='Project List References'!$B$3, _xlfn.IFNA(_xlfn.XLOOKUP(F$2-$C21, 'GEN-CCGT'!$D$7:$AW$7, 'GEN-CCGT'!$D$43:$AW$43), 0), IF($B21='Project List References'!$B$4, _xlfn.IFNA(_xlfn.XLOOKUP(F$2-$C21, 'GEN-SOLAR'!$D$7:$AW$7, 'GEN-SOLAR'!$D$43:$AW$43), 0), IF($B21='Project List References'!$B$5, _xlfn.IFNA(_xlfn.XLOOKUP(F$2-$C21, 'GEN-BESS'!$D$7:$AW$7, 'GEN-BESS'!$D$43:$AW$43), 0), IF($B21='Project List References'!$B$6, _xlfn.IFNA(_xlfn.XLOOKUP(F$2-$C21, 'GEN-CARBON'!$D$7:$AW$7, 'GEN-CARBON'!$D$43:$AW$43), 0), IF($B21='Project List References'!$B$7, _xlfn.IFNA(_xlfn.XLOOKUP(F$2-$C21, 'SENS Coal'!$D$7:$AW$7, 'SENS Coal'!$D$43:$AW$43), 0), IF($B21='Project List References'!$B$8, _xlfn.IFNA(_xlfn.XLOOKUP(F$2-$C21,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G21" s="743" t="e">
        <f>IF($B21='Project List References'!$B$3, _xlfn.IFNA(_xlfn.XLOOKUP(G$2-$C21, 'GEN-CCGT'!$D$7:$AW$7, 'GEN-CCGT'!$D$43:$AW$43), 0), IF($B21='Project List References'!$B$4, _xlfn.IFNA(_xlfn.XLOOKUP(G$2-$C21, 'GEN-SOLAR'!$D$7:$AW$7, 'GEN-SOLAR'!$D$43:$AW$43), 0), IF($B21='Project List References'!$B$5, _xlfn.IFNA(_xlfn.XLOOKUP(G$2-$C21, 'GEN-BESS'!$D$7:$AW$7, 'GEN-BESS'!$D$43:$AW$43), 0), IF($B21='Project List References'!$B$6, _xlfn.IFNA(_xlfn.XLOOKUP(G$2-$C21, 'GEN-CARBON'!$D$7:$AW$7, 'GEN-CARBON'!$D$43:$AW$43), 0), IF($B21='Project List References'!$B$7, _xlfn.IFNA(_xlfn.XLOOKUP(G$2-$C21, 'SENS Coal'!$D$7:$AW$7, 'SENS Coal'!$D$43:$AW$43), 0), IF($B21='Project List References'!$B$8, _xlfn.IFNA(_xlfn.XLOOKUP(G$2-$C21,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H21" s="743" t="e">
        <f>IF($B21='Project List References'!$B$3, _xlfn.IFNA(_xlfn.XLOOKUP(H$2-$C21, 'GEN-CCGT'!$D$7:$AW$7, 'GEN-CCGT'!$D$43:$AW$43), 0), IF($B21='Project List References'!$B$4, _xlfn.IFNA(_xlfn.XLOOKUP(H$2-$C21, 'GEN-SOLAR'!$D$7:$AW$7, 'GEN-SOLAR'!$D$43:$AW$43), 0), IF($B21='Project List References'!$B$5, _xlfn.IFNA(_xlfn.XLOOKUP(H$2-$C21, 'GEN-BESS'!$D$7:$AW$7, 'GEN-BESS'!$D$43:$AW$43), 0), IF($B21='Project List References'!$B$6, _xlfn.IFNA(_xlfn.XLOOKUP(H$2-$C21, 'GEN-CARBON'!$D$7:$AW$7, 'GEN-CARBON'!$D$43:$AW$43), 0), IF($B21='Project List References'!$B$7, _xlfn.IFNA(_xlfn.XLOOKUP(H$2-$C21, 'SENS Coal'!$D$7:$AW$7, 'SENS Coal'!$D$43:$AW$43), 0), IF($B21='Project List References'!$B$8, _xlfn.IFNA(_xlfn.XLOOKUP(H$2-$C21,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I21" s="743" t="e">
        <f>IF($B21='Project List References'!$B$3, _xlfn.IFNA(_xlfn.XLOOKUP(I$2-$C21, 'GEN-CCGT'!$D$7:$AW$7, 'GEN-CCGT'!$D$43:$AW$43), 0), IF($B21='Project List References'!$B$4, _xlfn.IFNA(_xlfn.XLOOKUP(I$2-$C21, 'GEN-SOLAR'!$D$7:$AW$7, 'GEN-SOLAR'!$D$43:$AW$43), 0), IF($B21='Project List References'!$B$5, _xlfn.IFNA(_xlfn.XLOOKUP(I$2-$C21, 'GEN-BESS'!$D$7:$AW$7, 'GEN-BESS'!$D$43:$AW$43), 0), IF($B21='Project List References'!$B$6, _xlfn.IFNA(_xlfn.XLOOKUP(I$2-$C21, 'GEN-CARBON'!$D$7:$AW$7, 'GEN-CARBON'!$D$43:$AW$43), 0), IF($B21='Project List References'!$B$7, _xlfn.IFNA(_xlfn.XLOOKUP(I$2-$C21, 'SENS Coal'!$D$7:$AW$7, 'SENS Coal'!$D$43:$AW$43), 0), IF($B21='Project List References'!$B$8, _xlfn.IFNA(_xlfn.XLOOKUP(I$2-$C21,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J21" s="743" t="e">
        <f>IF($B21='Project List References'!$B$3, _xlfn.IFNA(_xlfn.XLOOKUP(J$2-$C21, 'GEN-CCGT'!$D$7:$AW$7, 'GEN-CCGT'!$D$43:$AW$43), 0), IF($B21='Project List References'!$B$4, _xlfn.IFNA(_xlfn.XLOOKUP(J$2-$C21, 'GEN-SOLAR'!$D$7:$AW$7, 'GEN-SOLAR'!$D$43:$AW$43), 0), IF($B21='Project List References'!$B$5, _xlfn.IFNA(_xlfn.XLOOKUP(J$2-$C21, 'GEN-BESS'!$D$7:$AW$7, 'GEN-BESS'!$D$43:$AW$43), 0), IF($B21='Project List References'!$B$6, _xlfn.IFNA(_xlfn.XLOOKUP(J$2-$C21, 'GEN-CARBON'!$D$7:$AW$7, 'GEN-CARBON'!$D$43:$AW$43), 0), IF($B21='Project List References'!$B$7, _xlfn.IFNA(_xlfn.XLOOKUP(J$2-$C21, 'SENS Coal'!$D$7:$AW$7, 'SENS Coal'!$D$43:$AW$43), 0), IF($B21='Project List References'!$B$8, _xlfn.IFNA(_xlfn.XLOOKUP(J$2-$C21,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K21" s="743" t="e">
        <f>IF($B21='Project List References'!$B$3, _xlfn.IFNA(_xlfn.XLOOKUP(K$2-$C21, 'GEN-CCGT'!$D$7:$AW$7, 'GEN-CCGT'!$D$43:$AW$43), 0), IF($B21='Project List References'!$B$4, _xlfn.IFNA(_xlfn.XLOOKUP(K$2-$C21, 'GEN-SOLAR'!$D$7:$AW$7, 'GEN-SOLAR'!$D$43:$AW$43), 0), IF($B21='Project List References'!$B$5, _xlfn.IFNA(_xlfn.XLOOKUP(K$2-$C21, 'GEN-BESS'!$D$7:$AW$7, 'GEN-BESS'!$D$43:$AW$43), 0), IF($B21='Project List References'!$B$6, _xlfn.IFNA(_xlfn.XLOOKUP(K$2-$C21, 'GEN-CARBON'!$D$7:$AW$7, 'GEN-CARBON'!$D$43:$AW$43), 0), IF($B21='Project List References'!$B$7, _xlfn.IFNA(_xlfn.XLOOKUP(K$2-$C21, 'SENS Coal'!$D$7:$AW$7, 'SENS Coal'!$D$43:$AW$43), 0), IF($B21='Project List References'!$B$8, _xlfn.IFNA(_xlfn.XLOOKUP(K$2-$C21,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L21" s="743" t="e">
        <f>IF($B21='Project List References'!$B$3, _xlfn.IFNA(_xlfn.XLOOKUP(L$2-$C21, 'GEN-CCGT'!$D$7:$AW$7, 'GEN-CCGT'!$D$43:$AW$43), 0), IF($B21='Project List References'!$B$4, _xlfn.IFNA(_xlfn.XLOOKUP(L$2-$C21, 'GEN-SOLAR'!$D$7:$AW$7, 'GEN-SOLAR'!$D$43:$AW$43), 0), IF($B21='Project List References'!$B$5, _xlfn.IFNA(_xlfn.XLOOKUP(L$2-$C21, 'GEN-BESS'!$D$7:$AW$7, 'GEN-BESS'!$D$43:$AW$43), 0), IF($B21='Project List References'!$B$6, _xlfn.IFNA(_xlfn.XLOOKUP(L$2-$C21, 'GEN-CARBON'!$D$7:$AW$7, 'GEN-CARBON'!$D$43:$AW$43), 0), IF($B21='Project List References'!$B$7, _xlfn.IFNA(_xlfn.XLOOKUP(L$2-$C21, 'SENS Coal'!$D$7:$AW$7, 'SENS Coal'!$D$43:$AW$43), 0), IF($B21='Project List References'!$B$8, _xlfn.IFNA(_xlfn.XLOOKUP(L$2-$C21,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M21" s="743" t="e">
        <f>IF($B21='Project List References'!$B$3, _xlfn.IFNA(_xlfn.XLOOKUP(M$2-$C21, 'GEN-CCGT'!$D$7:$AW$7, 'GEN-CCGT'!$D$43:$AW$43), 0), IF($B21='Project List References'!$B$4, _xlfn.IFNA(_xlfn.XLOOKUP(M$2-$C21, 'GEN-SOLAR'!$D$7:$AW$7, 'GEN-SOLAR'!$D$43:$AW$43), 0), IF($B21='Project List References'!$B$5, _xlfn.IFNA(_xlfn.XLOOKUP(M$2-$C21, 'GEN-BESS'!$D$7:$AW$7, 'GEN-BESS'!$D$43:$AW$43), 0), IF($B21='Project List References'!$B$6, _xlfn.IFNA(_xlfn.XLOOKUP(M$2-$C21, 'GEN-CARBON'!$D$7:$AW$7, 'GEN-CARBON'!$D$43:$AW$43), 0), IF($B21='Project List References'!$B$7, _xlfn.IFNA(_xlfn.XLOOKUP(M$2-$C21, 'SENS Coal'!$D$7:$AW$7, 'SENS Coal'!$D$43:$AW$43), 0), IF($B21='Project List References'!$B$8, _xlfn.IFNA(_xlfn.XLOOKUP(M$2-$C21,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N21" s="743" t="e">
        <f>IF($B21='Project List References'!$B$3, _xlfn.IFNA(_xlfn.XLOOKUP(N$2-$C21, 'GEN-CCGT'!$D$7:$AW$7, 'GEN-CCGT'!$D$43:$AW$43), 0), IF($B21='Project List References'!$B$4, _xlfn.IFNA(_xlfn.XLOOKUP(N$2-$C21, 'GEN-SOLAR'!$D$7:$AW$7, 'GEN-SOLAR'!$D$43:$AW$43), 0), IF($B21='Project List References'!$B$5, _xlfn.IFNA(_xlfn.XLOOKUP(N$2-$C21, 'GEN-BESS'!$D$7:$AW$7, 'GEN-BESS'!$D$43:$AW$43), 0), IF($B21='Project List References'!$B$6, _xlfn.IFNA(_xlfn.XLOOKUP(N$2-$C21, 'GEN-CARBON'!$D$7:$AW$7, 'GEN-CARBON'!$D$43:$AW$43), 0), IF($B21='Project List References'!$B$7, _xlfn.IFNA(_xlfn.XLOOKUP(N$2-$C21, 'SENS Coal'!$D$7:$AW$7, 'SENS Coal'!$D$43:$AW$43), 0), IF($B21='Project List References'!$B$8, _xlfn.IFNA(_xlfn.XLOOKUP(N$2-$C21,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O21" s="743" t="e">
        <f>IF($B21='Project List References'!$B$3, _xlfn.IFNA(_xlfn.XLOOKUP(O$2-$C21, 'GEN-CCGT'!$D$7:$AW$7, 'GEN-CCGT'!$D$43:$AW$43), 0), IF($B21='Project List References'!$B$4, _xlfn.IFNA(_xlfn.XLOOKUP(O$2-$C21, 'GEN-SOLAR'!$D$7:$AW$7, 'GEN-SOLAR'!$D$43:$AW$43), 0), IF($B21='Project List References'!$B$5, _xlfn.IFNA(_xlfn.XLOOKUP(O$2-$C21, 'GEN-BESS'!$D$7:$AW$7, 'GEN-BESS'!$D$43:$AW$43), 0), IF($B21='Project List References'!$B$6, _xlfn.IFNA(_xlfn.XLOOKUP(O$2-$C21, 'GEN-CARBON'!$D$7:$AW$7, 'GEN-CARBON'!$D$43:$AW$43), 0), IF($B21='Project List References'!$B$7, _xlfn.IFNA(_xlfn.XLOOKUP(O$2-$C21, 'SENS Coal'!$D$7:$AW$7, 'SENS Coal'!$D$43:$AW$43), 0), IF($B21='Project List References'!$B$8, _xlfn.IFNA(_xlfn.XLOOKUP(O$2-$C21,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P21" s="743" t="e">
        <f>IF($B21='Project List References'!$B$3, _xlfn.IFNA(_xlfn.XLOOKUP(P$2-$C21, 'GEN-CCGT'!$D$7:$AW$7, 'GEN-CCGT'!$D$43:$AW$43), 0), IF($B21='Project List References'!$B$4, _xlfn.IFNA(_xlfn.XLOOKUP(P$2-$C21, 'GEN-SOLAR'!$D$7:$AW$7, 'GEN-SOLAR'!$D$43:$AW$43), 0), IF($B21='Project List References'!$B$5, _xlfn.IFNA(_xlfn.XLOOKUP(P$2-$C21, 'GEN-BESS'!$D$7:$AW$7, 'GEN-BESS'!$D$43:$AW$43), 0), IF($B21='Project List References'!$B$6, _xlfn.IFNA(_xlfn.XLOOKUP(P$2-$C21, 'GEN-CARBON'!$D$7:$AW$7, 'GEN-CARBON'!$D$43:$AW$43), 0), IF($B21='Project List References'!$B$7, _xlfn.IFNA(_xlfn.XLOOKUP(P$2-$C21, 'SENS Coal'!$D$7:$AW$7, 'SENS Coal'!$D$43:$AW$43), 0), IF($B21='Project List References'!$B$8, _xlfn.IFNA(_xlfn.XLOOKUP(P$2-$C21,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Q21" s="743" t="e">
        <f>IF($B21='Project List References'!$B$3, _xlfn.IFNA(_xlfn.XLOOKUP(Q$2-$C21, 'GEN-CCGT'!$D$7:$AW$7, 'GEN-CCGT'!$D$43:$AW$43), 0), IF($B21='Project List References'!$B$4, _xlfn.IFNA(_xlfn.XLOOKUP(Q$2-$C21, 'GEN-SOLAR'!$D$7:$AW$7, 'GEN-SOLAR'!$D$43:$AW$43), 0), IF($B21='Project List References'!$B$5, _xlfn.IFNA(_xlfn.XLOOKUP(Q$2-$C21, 'GEN-BESS'!$D$7:$AW$7, 'GEN-BESS'!$D$43:$AW$43), 0), IF($B21='Project List References'!$B$6, _xlfn.IFNA(_xlfn.XLOOKUP(Q$2-$C21, 'GEN-CARBON'!$D$7:$AW$7, 'GEN-CARBON'!$D$43:$AW$43), 0), IF($B21='Project List References'!$B$7, _xlfn.IFNA(_xlfn.XLOOKUP(Q$2-$C21, 'SENS Coal'!$D$7:$AW$7, 'SENS Coal'!$D$43:$AW$43), 0), IF($B21='Project List References'!$B$8, _xlfn.IFNA(_xlfn.XLOOKUP(Q$2-$C21,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R21" s="743" t="e">
        <f>IF($B21='Project List References'!$B$3, _xlfn.IFNA(_xlfn.XLOOKUP(R$2-$C21, 'GEN-CCGT'!$D$7:$AW$7, 'GEN-CCGT'!$D$43:$AW$43), 0), IF($B21='Project List References'!$B$4, _xlfn.IFNA(_xlfn.XLOOKUP(R$2-$C21, 'GEN-SOLAR'!$D$7:$AW$7, 'GEN-SOLAR'!$D$43:$AW$43), 0), IF($B21='Project List References'!$B$5, _xlfn.IFNA(_xlfn.XLOOKUP(R$2-$C21, 'GEN-BESS'!$D$7:$AW$7, 'GEN-BESS'!$D$43:$AW$43), 0), IF($B21='Project List References'!$B$6, _xlfn.IFNA(_xlfn.XLOOKUP(R$2-$C21, 'GEN-CARBON'!$D$7:$AW$7, 'GEN-CARBON'!$D$43:$AW$43), 0), IF($B21='Project List References'!$B$7, _xlfn.IFNA(_xlfn.XLOOKUP(R$2-$C21, 'SENS Coal'!$D$7:$AW$7, 'SENS Coal'!$D$43:$AW$43), 0), IF($B21='Project List References'!$B$8, _xlfn.IFNA(_xlfn.XLOOKUP(R$2-$C21,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S21" s="743" t="e">
        <f>IF($B21='Project List References'!$B$3, _xlfn.IFNA(_xlfn.XLOOKUP(S$2-$C21, 'GEN-CCGT'!$D$7:$AW$7, 'GEN-CCGT'!$D$43:$AW$43), 0), IF($B21='Project List References'!$B$4, _xlfn.IFNA(_xlfn.XLOOKUP(S$2-$C21, 'GEN-SOLAR'!$D$7:$AW$7, 'GEN-SOLAR'!$D$43:$AW$43), 0), IF($B21='Project List References'!$B$5, _xlfn.IFNA(_xlfn.XLOOKUP(S$2-$C21, 'GEN-BESS'!$D$7:$AW$7, 'GEN-BESS'!$D$43:$AW$43), 0), IF($B21='Project List References'!$B$6, _xlfn.IFNA(_xlfn.XLOOKUP(S$2-$C21, 'GEN-CARBON'!$D$7:$AW$7, 'GEN-CARBON'!$D$43:$AW$43), 0), IF($B21='Project List References'!$B$7, _xlfn.IFNA(_xlfn.XLOOKUP(S$2-$C21, 'SENS Coal'!$D$7:$AW$7, 'SENS Coal'!$D$43:$AW$43), 0), IF($B21='Project List References'!$B$8, _xlfn.IFNA(_xlfn.XLOOKUP(S$2-$C21,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T21" s="743" t="e">
        <f>IF($B21='Project List References'!$B$3, _xlfn.IFNA(_xlfn.XLOOKUP(T$2-$C21, 'GEN-CCGT'!$D$7:$AW$7, 'GEN-CCGT'!$D$43:$AW$43), 0), IF($B21='Project List References'!$B$4, _xlfn.IFNA(_xlfn.XLOOKUP(T$2-$C21, 'GEN-SOLAR'!$D$7:$AW$7, 'GEN-SOLAR'!$D$43:$AW$43), 0), IF($B21='Project List References'!$B$5, _xlfn.IFNA(_xlfn.XLOOKUP(T$2-$C21, 'GEN-BESS'!$D$7:$AW$7, 'GEN-BESS'!$D$43:$AW$43), 0), IF($B21='Project List References'!$B$6, _xlfn.IFNA(_xlfn.XLOOKUP(T$2-$C21, 'GEN-CARBON'!$D$7:$AW$7, 'GEN-CARBON'!$D$43:$AW$43), 0), IF($B21='Project List References'!$B$7, _xlfn.IFNA(_xlfn.XLOOKUP(T$2-$C21, 'SENS Coal'!$D$7:$AW$7, 'SENS Coal'!$D$43:$AW$43), 0), IF($B21='Project List References'!$B$8, _xlfn.IFNA(_xlfn.XLOOKUP(T$2-$C21, 'SENS Tires'!$D$7:$AW$7, 'SENS Tires'!$D$43:$AW$43),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</row>
    <row r="22" spans="1:20">
      <c r="A22" s="655" t="str">
        <f>IF(ISBLANK('Project Master Sheet'!A22)=FALSE, 'Project Master Sheet'!A22, "")</f>
        <v/>
      </c>
      <c r="B22" s="655" t="str">
        <f>_xlfn.IFNA(_xlfn.XLOOKUP(A22, 'Project Master Sheet'!A:A, 'Project Master Sheet'!D:D), "")</f>
        <v/>
      </c>
      <c r="C22" s="655" t="e">
        <f>_xlfn.XLOOKUP('Project OPEX'!A22, 'Project Master Sheet'!A:A, 'Project Master Sheet'!I:I)</f>
        <v>#N/A</v>
      </c>
      <c r="E22" s="743" t="e">
        <f>IF($B22='Project List References'!$B$3, _xlfn.IFNA(_xlfn.XLOOKUP(E$2-$C22, 'GEN-CCGT'!$D$7:$AW$7, 'GEN-CCGT'!$D$43:$AW$43), 0), IF($B22='Project List References'!$B$4, _xlfn.IFNA(_xlfn.XLOOKUP(E$2-$C22, 'GEN-SOLAR'!$D$7:$AW$7, 'GEN-SOLAR'!$D$43:$AW$43), 0), IF($B22='Project List References'!$B$5, _xlfn.IFNA(_xlfn.XLOOKUP(E$2-$C22, 'GEN-BESS'!$D$7:$AW$7, 'GEN-BESS'!$D$43:$AW$43), 0), IF($B22='Project List References'!$B$6, _xlfn.IFNA(_xlfn.XLOOKUP(E$2-$C22, 'GEN-CARBON'!$D$7:$AW$7, 'GEN-CARBON'!$D$43:$AW$43), 0), IF($B22='Project List References'!$B$7, _xlfn.IFNA(_xlfn.XLOOKUP(E$2-$C22, 'SENS Coal'!$D$7:$AW$7, 'SENS Coal'!$D$43:$AW$43), 0), IF($B22='Project List References'!$B$8, _xlfn.IFNA(_xlfn.XLOOKUP(E$2-$C22,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F22" s="743" t="e">
        <f>IF($B22='Project List References'!$B$3, _xlfn.IFNA(_xlfn.XLOOKUP(F$2-$C22, 'GEN-CCGT'!$D$7:$AW$7, 'GEN-CCGT'!$D$43:$AW$43), 0), IF($B22='Project List References'!$B$4, _xlfn.IFNA(_xlfn.XLOOKUP(F$2-$C22, 'GEN-SOLAR'!$D$7:$AW$7, 'GEN-SOLAR'!$D$43:$AW$43), 0), IF($B22='Project List References'!$B$5, _xlfn.IFNA(_xlfn.XLOOKUP(F$2-$C22, 'GEN-BESS'!$D$7:$AW$7, 'GEN-BESS'!$D$43:$AW$43), 0), IF($B22='Project List References'!$B$6, _xlfn.IFNA(_xlfn.XLOOKUP(F$2-$C22, 'GEN-CARBON'!$D$7:$AW$7, 'GEN-CARBON'!$D$43:$AW$43), 0), IF($B22='Project List References'!$B$7, _xlfn.IFNA(_xlfn.XLOOKUP(F$2-$C22, 'SENS Coal'!$D$7:$AW$7, 'SENS Coal'!$D$43:$AW$43), 0), IF($B22='Project List References'!$B$8, _xlfn.IFNA(_xlfn.XLOOKUP(F$2-$C22,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G22" s="743" t="e">
        <f>IF($B22='Project List References'!$B$3, _xlfn.IFNA(_xlfn.XLOOKUP(G$2-$C22, 'GEN-CCGT'!$D$7:$AW$7, 'GEN-CCGT'!$D$43:$AW$43), 0), IF($B22='Project List References'!$B$4, _xlfn.IFNA(_xlfn.XLOOKUP(G$2-$C22, 'GEN-SOLAR'!$D$7:$AW$7, 'GEN-SOLAR'!$D$43:$AW$43), 0), IF($B22='Project List References'!$B$5, _xlfn.IFNA(_xlfn.XLOOKUP(G$2-$C22, 'GEN-BESS'!$D$7:$AW$7, 'GEN-BESS'!$D$43:$AW$43), 0), IF($B22='Project List References'!$B$6, _xlfn.IFNA(_xlfn.XLOOKUP(G$2-$C22, 'GEN-CARBON'!$D$7:$AW$7, 'GEN-CARBON'!$D$43:$AW$43), 0), IF($B22='Project List References'!$B$7, _xlfn.IFNA(_xlfn.XLOOKUP(G$2-$C22, 'SENS Coal'!$D$7:$AW$7, 'SENS Coal'!$D$43:$AW$43), 0), IF($B22='Project List References'!$B$8, _xlfn.IFNA(_xlfn.XLOOKUP(G$2-$C22,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H22" s="743" t="e">
        <f>IF($B22='Project List References'!$B$3, _xlfn.IFNA(_xlfn.XLOOKUP(H$2-$C22, 'GEN-CCGT'!$D$7:$AW$7, 'GEN-CCGT'!$D$43:$AW$43), 0), IF($B22='Project List References'!$B$4, _xlfn.IFNA(_xlfn.XLOOKUP(H$2-$C22, 'GEN-SOLAR'!$D$7:$AW$7, 'GEN-SOLAR'!$D$43:$AW$43), 0), IF($B22='Project List References'!$B$5, _xlfn.IFNA(_xlfn.XLOOKUP(H$2-$C22, 'GEN-BESS'!$D$7:$AW$7, 'GEN-BESS'!$D$43:$AW$43), 0), IF($B22='Project List References'!$B$6, _xlfn.IFNA(_xlfn.XLOOKUP(H$2-$C22, 'GEN-CARBON'!$D$7:$AW$7, 'GEN-CARBON'!$D$43:$AW$43), 0), IF($B22='Project List References'!$B$7, _xlfn.IFNA(_xlfn.XLOOKUP(H$2-$C22, 'SENS Coal'!$D$7:$AW$7, 'SENS Coal'!$D$43:$AW$43), 0), IF($B22='Project List References'!$B$8, _xlfn.IFNA(_xlfn.XLOOKUP(H$2-$C22,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I22" s="743" t="e">
        <f>IF($B22='Project List References'!$B$3, _xlfn.IFNA(_xlfn.XLOOKUP(I$2-$C22, 'GEN-CCGT'!$D$7:$AW$7, 'GEN-CCGT'!$D$43:$AW$43), 0), IF($B22='Project List References'!$B$4, _xlfn.IFNA(_xlfn.XLOOKUP(I$2-$C22, 'GEN-SOLAR'!$D$7:$AW$7, 'GEN-SOLAR'!$D$43:$AW$43), 0), IF($B22='Project List References'!$B$5, _xlfn.IFNA(_xlfn.XLOOKUP(I$2-$C22, 'GEN-BESS'!$D$7:$AW$7, 'GEN-BESS'!$D$43:$AW$43), 0), IF($B22='Project List References'!$B$6, _xlfn.IFNA(_xlfn.XLOOKUP(I$2-$C22, 'GEN-CARBON'!$D$7:$AW$7, 'GEN-CARBON'!$D$43:$AW$43), 0), IF($B22='Project List References'!$B$7, _xlfn.IFNA(_xlfn.XLOOKUP(I$2-$C22, 'SENS Coal'!$D$7:$AW$7, 'SENS Coal'!$D$43:$AW$43), 0), IF($B22='Project List References'!$B$8, _xlfn.IFNA(_xlfn.XLOOKUP(I$2-$C22,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J22" s="743" t="e">
        <f>IF($B22='Project List References'!$B$3, _xlfn.IFNA(_xlfn.XLOOKUP(J$2-$C22, 'GEN-CCGT'!$D$7:$AW$7, 'GEN-CCGT'!$D$43:$AW$43), 0), IF($B22='Project List References'!$B$4, _xlfn.IFNA(_xlfn.XLOOKUP(J$2-$C22, 'GEN-SOLAR'!$D$7:$AW$7, 'GEN-SOLAR'!$D$43:$AW$43), 0), IF($B22='Project List References'!$B$5, _xlfn.IFNA(_xlfn.XLOOKUP(J$2-$C22, 'GEN-BESS'!$D$7:$AW$7, 'GEN-BESS'!$D$43:$AW$43), 0), IF($B22='Project List References'!$B$6, _xlfn.IFNA(_xlfn.XLOOKUP(J$2-$C22, 'GEN-CARBON'!$D$7:$AW$7, 'GEN-CARBON'!$D$43:$AW$43), 0), IF($B22='Project List References'!$B$7, _xlfn.IFNA(_xlfn.XLOOKUP(J$2-$C22, 'SENS Coal'!$D$7:$AW$7, 'SENS Coal'!$D$43:$AW$43), 0), IF($B22='Project List References'!$B$8, _xlfn.IFNA(_xlfn.XLOOKUP(J$2-$C22,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K22" s="743" t="e">
        <f>IF($B22='Project List References'!$B$3, _xlfn.IFNA(_xlfn.XLOOKUP(K$2-$C22, 'GEN-CCGT'!$D$7:$AW$7, 'GEN-CCGT'!$D$43:$AW$43), 0), IF($B22='Project List References'!$B$4, _xlfn.IFNA(_xlfn.XLOOKUP(K$2-$C22, 'GEN-SOLAR'!$D$7:$AW$7, 'GEN-SOLAR'!$D$43:$AW$43), 0), IF($B22='Project List References'!$B$5, _xlfn.IFNA(_xlfn.XLOOKUP(K$2-$C22, 'GEN-BESS'!$D$7:$AW$7, 'GEN-BESS'!$D$43:$AW$43), 0), IF($B22='Project List References'!$B$6, _xlfn.IFNA(_xlfn.XLOOKUP(K$2-$C22, 'GEN-CARBON'!$D$7:$AW$7, 'GEN-CARBON'!$D$43:$AW$43), 0), IF($B22='Project List References'!$B$7, _xlfn.IFNA(_xlfn.XLOOKUP(K$2-$C22, 'SENS Coal'!$D$7:$AW$7, 'SENS Coal'!$D$43:$AW$43), 0), IF($B22='Project List References'!$B$8, _xlfn.IFNA(_xlfn.XLOOKUP(K$2-$C22,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L22" s="743" t="e">
        <f>IF($B22='Project List References'!$B$3, _xlfn.IFNA(_xlfn.XLOOKUP(L$2-$C22, 'GEN-CCGT'!$D$7:$AW$7, 'GEN-CCGT'!$D$43:$AW$43), 0), IF($B22='Project List References'!$B$4, _xlfn.IFNA(_xlfn.XLOOKUP(L$2-$C22, 'GEN-SOLAR'!$D$7:$AW$7, 'GEN-SOLAR'!$D$43:$AW$43), 0), IF($B22='Project List References'!$B$5, _xlfn.IFNA(_xlfn.XLOOKUP(L$2-$C22, 'GEN-BESS'!$D$7:$AW$7, 'GEN-BESS'!$D$43:$AW$43), 0), IF($B22='Project List References'!$B$6, _xlfn.IFNA(_xlfn.XLOOKUP(L$2-$C22, 'GEN-CARBON'!$D$7:$AW$7, 'GEN-CARBON'!$D$43:$AW$43), 0), IF($B22='Project List References'!$B$7, _xlfn.IFNA(_xlfn.XLOOKUP(L$2-$C22, 'SENS Coal'!$D$7:$AW$7, 'SENS Coal'!$D$43:$AW$43), 0), IF($B22='Project List References'!$B$8, _xlfn.IFNA(_xlfn.XLOOKUP(L$2-$C22,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M22" s="743" t="e">
        <f>IF($B22='Project List References'!$B$3, _xlfn.IFNA(_xlfn.XLOOKUP(M$2-$C22, 'GEN-CCGT'!$D$7:$AW$7, 'GEN-CCGT'!$D$43:$AW$43), 0), IF($B22='Project List References'!$B$4, _xlfn.IFNA(_xlfn.XLOOKUP(M$2-$C22, 'GEN-SOLAR'!$D$7:$AW$7, 'GEN-SOLAR'!$D$43:$AW$43), 0), IF($B22='Project List References'!$B$5, _xlfn.IFNA(_xlfn.XLOOKUP(M$2-$C22, 'GEN-BESS'!$D$7:$AW$7, 'GEN-BESS'!$D$43:$AW$43), 0), IF($B22='Project List References'!$B$6, _xlfn.IFNA(_xlfn.XLOOKUP(M$2-$C22, 'GEN-CARBON'!$D$7:$AW$7, 'GEN-CARBON'!$D$43:$AW$43), 0), IF($B22='Project List References'!$B$7, _xlfn.IFNA(_xlfn.XLOOKUP(M$2-$C22, 'SENS Coal'!$D$7:$AW$7, 'SENS Coal'!$D$43:$AW$43), 0), IF($B22='Project List References'!$B$8, _xlfn.IFNA(_xlfn.XLOOKUP(M$2-$C22,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N22" s="743" t="e">
        <f>IF($B22='Project List References'!$B$3, _xlfn.IFNA(_xlfn.XLOOKUP(N$2-$C22, 'GEN-CCGT'!$D$7:$AW$7, 'GEN-CCGT'!$D$43:$AW$43), 0), IF($B22='Project List References'!$B$4, _xlfn.IFNA(_xlfn.XLOOKUP(N$2-$C22, 'GEN-SOLAR'!$D$7:$AW$7, 'GEN-SOLAR'!$D$43:$AW$43), 0), IF($B22='Project List References'!$B$5, _xlfn.IFNA(_xlfn.XLOOKUP(N$2-$C22, 'GEN-BESS'!$D$7:$AW$7, 'GEN-BESS'!$D$43:$AW$43), 0), IF($B22='Project List References'!$B$6, _xlfn.IFNA(_xlfn.XLOOKUP(N$2-$C22, 'GEN-CARBON'!$D$7:$AW$7, 'GEN-CARBON'!$D$43:$AW$43), 0), IF($B22='Project List References'!$B$7, _xlfn.IFNA(_xlfn.XLOOKUP(N$2-$C22, 'SENS Coal'!$D$7:$AW$7, 'SENS Coal'!$D$43:$AW$43), 0), IF($B22='Project List References'!$B$8, _xlfn.IFNA(_xlfn.XLOOKUP(N$2-$C22,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O22" s="743" t="e">
        <f>IF($B22='Project List References'!$B$3, _xlfn.IFNA(_xlfn.XLOOKUP(O$2-$C22, 'GEN-CCGT'!$D$7:$AW$7, 'GEN-CCGT'!$D$43:$AW$43), 0), IF($B22='Project List References'!$B$4, _xlfn.IFNA(_xlfn.XLOOKUP(O$2-$C22, 'GEN-SOLAR'!$D$7:$AW$7, 'GEN-SOLAR'!$D$43:$AW$43), 0), IF($B22='Project List References'!$B$5, _xlfn.IFNA(_xlfn.XLOOKUP(O$2-$C22, 'GEN-BESS'!$D$7:$AW$7, 'GEN-BESS'!$D$43:$AW$43), 0), IF($B22='Project List References'!$B$6, _xlfn.IFNA(_xlfn.XLOOKUP(O$2-$C22, 'GEN-CARBON'!$D$7:$AW$7, 'GEN-CARBON'!$D$43:$AW$43), 0), IF($B22='Project List References'!$B$7, _xlfn.IFNA(_xlfn.XLOOKUP(O$2-$C22, 'SENS Coal'!$D$7:$AW$7, 'SENS Coal'!$D$43:$AW$43), 0), IF($B22='Project List References'!$B$8, _xlfn.IFNA(_xlfn.XLOOKUP(O$2-$C22,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P22" s="743" t="e">
        <f>IF($B22='Project List References'!$B$3, _xlfn.IFNA(_xlfn.XLOOKUP(P$2-$C22, 'GEN-CCGT'!$D$7:$AW$7, 'GEN-CCGT'!$D$43:$AW$43), 0), IF($B22='Project List References'!$B$4, _xlfn.IFNA(_xlfn.XLOOKUP(P$2-$C22, 'GEN-SOLAR'!$D$7:$AW$7, 'GEN-SOLAR'!$D$43:$AW$43), 0), IF($B22='Project List References'!$B$5, _xlfn.IFNA(_xlfn.XLOOKUP(P$2-$C22, 'GEN-BESS'!$D$7:$AW$7, 'GEN-BESS'!$D$43:$AW$43), 0), IF($B22='Project List References'!$B$6, _xlfn.IFNA(_xlfn.XLOOKUP(P$2-$C22, 'GEN-CARBON'!$D$7:$AW$7, 'GEN-CARBON'!$D$43:$AW$43), 0), IF($B22='Project List References'!$B$7, _xlfn.IFNA(_xlfn.XLOOKUP(P$2-$C22, 'SENS Coal'!$D$7:$AW$7, 'SENS Coal'!$D$43:$AW$43), 0), IF($B22='Project List References'!$B$8, _xlfn.IFNA(_xlfn.XLOOKUP(P$2-$C22,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Q22" s="743" t="e">
        <f>IF($B22='Project List References'!$B$3, _xlfn.IFNA(_xlfn.XLOOKUP(Q$2-$C22, 'GEN-CCGT'!$D$7:$AW$7, 'GEN-CCGT'!$D$43:$AW$43), 0), IF($B22='Project List References'!$B$4, _xlfn.IFNA(_xlfn.XLOOKUP(Q$2-$C22, 'GEN-SOLAR'!$D$7:$AW$7, 'GEN-SOLAR'!$D$43:$AW$43), 0), IF($B22='Project List References'!$B$5, _xlfn.IFNA(_xlfn.XLOOKUP(Q$2-$C22, 'GEN-BESS'!$D$7:$AW$7, 'GEN-BESS'!$D$43:$AW$43), 0), IF($B22='Project List References'!$B$6, _xlfn.IFNA(_xlfn.XLOOKUP(Q$2-$C22, 'GEN-CARBON'!$D$7:$AW$7, 'GEN-CARBON'!$D$43:$AW$43), 0), IF($B22='Project List References'!$B$7, _xlfn.IFNA(_xlfn.XLOOKUP(Q$2-$C22, 'SENS Coal'!$D$7:$AW$7, 'SENS Coal'!$D$43:$AW$43), 0), IF($B22='Project List References'!$B$8, _xlfn.IFNA(_xlfn.XLOOKUP(Q$2-$C22,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R22" s="743" t="e">
        <f>IF($B22='Project List References'!$B$3, _xlfn.IFNA(_xlfn.XLOOKUP(R$2-$C22, 'GEN-CCGT'!$D$7:$AW$7, 'GEN-CCGT'!$D$43:$AW$43), 0), IF($B22='Project List References'!$B$4, _xlfn.IFNA(_xlfn.XLOOKUP(R$2-$C22, 'GEN-SOLAR'!$D$7:$AW$7, 'GEN-SOLAR'!$D$43:$AW$43), 0), IF($B22='Project List References'!$B$5, _xlfn.IFNA(_xlfn.XLOOKUP(R$2-$C22, 'GEN-BESS'!$D$7:$AW$7, 'GEN-BESS'!$D$43:$AW$43), 0), IF($B22='Project List References'!$B$6, _xlfn.IFNA(_xlfn.XLOOKUP(R$2-$C22, 'GEN-CARBON'!$D$7:$AW$7, 'GEN-CARBON'!$D$43:$AW$43), 0), IF($B22='Project List References'!$B$7, _xlfn.IFNA(_xlfn.XLOOKUP(R$2-$C22, 'SENS Coal'!$D$7:$AW$7, 'SENS Coal'!$D$43:$AW$43), 0), IF($B22='Project List References'!$B$8, _xlfn.IFNA(_xlfn.XLOOKUP(R$2-$C22,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S22" s="743" t="e">
        <f>IF($B22='Project List References'!$B$3, _xlfn.IFNA(_xlfn.XLOOKUP(S$2-$C22, 'GEN-CCGT'!$D$7:$AW$7, 'GEN-CCGT'!$D$43:$AW$43), 0), IF($B22='Project List References'!$B$4, _xlfn.IFNA(_xlfn.XLOOKUP(S$2-$C22, 'GEN-SOLAR'!$D$7:$AW$7, 'GEN-SOLAR'!$D$43:$AW$43), 0), IF($B22='Project List References'!$B$5, _xlfn.IFNA(_xlfn.XLOOKUP(S$2-$C22, 'GEN-BESS'!$D$7:$AW$7, 'GEN-BESS'!$D$43:$AW$43), 0), IF($B22='Project List References'!$B$6, _xlfn.IFNA(_xlfn.XLOOKUP(S$2-$C22, 'GEN-CARBON'!$D$7:$AW$7, 'GEN-CARBON'!$D$43:$AW$43), 0), IF($B22='Project List References'!$B$7, _xlfn.IFNA(_xlfn.XLOOKUP(S$2-$C22, 'SENS Coal'!$D$7:$AW$7, 'SENS Coal'!$D$43:$AW$43), 0), IF($B22='Project List References'!$B$8, _xlfn.IFNA(_xlfn.XLOOKUP(S$2-$C22,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T22" s="743" t="e">
        <f>IF($B22='Project List References'!$B$3, _xlfn.IFNA(_xlfn.XLOOKUP(T$2-$C22, 'GEN-CCGT'!$D$7:$AW$7, 'GEN-CCGT'!$D$43:$AW$43), 0), IF($B22='Project List References'!$B$4, _xlfn.IFNA(_xlfn.XLOOKUP(T$2-$C22, 'GEN-SOLAR'!$D$7:$AW$7, 'GEN-SOLAR'!$D$43:$AW$43), 0), IF($B22='Project List References'!$B$5, _xlfn.IFNA(_xlfn.XLOOKUP(T$2-$C22, 'GEN-BESS'!$D$7:$AW$7, 'GEN-BESS'!$D$43:$AW$43), 0), IF($B22='Project List References'!$B$6, _xlfn.IFNA(_xlfn.XLOOKUP(T$2-$C22, 'GEN-CARBON'!$D$7:$AW$7, 'GEN-CARBON'!$D$43:$AW$43), 0), IF($B22='Project List References'!$B$7, _xlfn.IFNA(_xlfn.XLOOKUP(T$2-$C22, 'SENS Coal'!$D$7:$AW$7, 'SENS Coal'!$D$43:$AW$43), 0), IF($B22='Project List References'!$B$8, _xlfn.IFNA(_xlfn.XLOOKUP(T$2-$C22, 'SENS Tires'!$D$7:$AW$7, 'SENS Tires'!$D$43:$AW$43),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</row>
    <row r="23" spans="1:20">
      <c r="A23" s="655" t="str">
        <f>IF(ISBLANK('Project Master Sheet'!A23)=FALSE, 'Project Master Sheet'!A23, "")</f>
        <v/>
      </c>
      <c r="B23" s="655" t="str">
        <f>_xlfn.IFNA(_xlfn.XLOOKUP(A23, 'Project Master Sheet'!A:A, 'Project Master Sheet'!D:D), "")</f>
        <v/>
      </c>
      <c r="C23" s="655" t="e">
        <f>_xlfn.XLOOKUP('Project OPEX'!A23, 'Project Master Sheet'!A:A, 'Project Master Sheet'!I:I)</f>
        <v>#N/A</v>
      </c>
      <c r="E23" s="743" t="e">
        <f>IF($B23='Project List References'!$B$3, _xlfn.IFNA(_xlfn.XLOOKUP(E$2-$C23, 'GEN-CCGT'!$D$7:$AW$7, 'GEN-CCGT'!$D$43:$AW$43), 0), IF($B23='Project List References'!$B$4, _xlfn.IFNA(_xlfn.XLOOKUP(E$2-$C23, 'GEN-SOLAR'!$D$7:$AW$7, 'GEN-SOLAR'!$D$43:$AW$43), 0), IF($B23='Project List References'!$B$5, _xlfn.IFNA(_xlfn.XLOOKUP(E$2-$C23, 'GEN-BESS'!$D$7:$AW$7, 'GEN-BESS'!$D$43:$AW$43), 0), IF($B23='Project List References'!$B$6, _xlfn.IFNA(_xlfn.XLOOKUP(E$2-$C23, 'GEN-CARBON'!$D$7:$AW$7, 'GEN-CARBON'!$D$43:$AW$43), 0), IF($B23='Project List References'!$B$7, _xlfn.IFNA(_xlfn.XLOOKUP(E$2-$C23, 'SENS Coal'!$D$7:$AW$7, 'SENS Coal'!$D$43:$AW$43), 0), IF($B23='Project List References'!$B$8, _xlfn.IFNA(_xlfn.XLOOKUP(E$2-$C23,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F23" s="743" t="e">
        <f>IF($B23='Project List References'!$B$3, _xlfn.IFNA(_xlfn.XLOOKUP(F$2-$C23, 'GEN-CCGT'!$D$7:$AW$7, 'GEN-CCGT'!$D$43:$AW$43), 0), IF($B23='Project List References'!$B$4, _xlfn.IFNA(_xlfn.XLOOKUP(F$2-$C23, 'GEN-SOLAR'!$D$7:$AW$7, 'GEN-SOLAR'!$D$43:$AW$43), 0), IF($B23='Project List References'!$B$5, _xlfn.IFNA(_xlfn.XLOOKUP(F$2-$C23, 'GEN-BESS'!$D$7:$AW$7, 'GEN-BESS'!$D$43:$AW$43), 0), IF($B23='Project List References'!$B$6, _xlfn.IFNA(_xlfn.XLOOKUP(F$2-$C23, 'GEN-CARBON'!$D$7:$AW$7, 'GEN-CARBON'!$D$43:$AW$43), 0), IF($B23='Project List References'!$B$7, _xlfn.IFNA(_xlfn.XLOOKUP(F$2-$C23, 'SENS Coal'!$D$7:$AW$7, 'SENS Coal'!$D$43:$AW$43), 0), IF($B23='Project List References'!$B$8, _xlfn.IFNA(_xlfn.XLOOKUP(F$2-$C23,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G23" s="743" t="e">
        <f>IF($B23='Project List References'!$B$3, _xlfn.IFNA(_xlfn.XLOOKUP(G$2-$C23, 'GEN-CCGT'!$D$7:$AW$7, 'GEN-CCGT'!$D$43:$AW$43), 0), IF($B23='Project List References'!$B$4, _xlfn.IFNA(_xlfn.XLOOKUP(G$2-$C23, 'GEN-SOLAR'!$D$7:$AW$7, 'GEN-SOLAR'!$D$43:$AW$43), 0), IF($B23='Project List References'!$B$5, _xlfn.IFNA(_xlfn.XLOOKUP(G$2-$C23, 'GEN-BESS'!$D$7:$AW$7, 'GEN-BESS'!$D$43:$AW$43), 0), IF($B23='Project List References'!$B$6, _xlfn.IFNA(_xlfn.XLOOKUP(G$2-$C23, 'GEN-CARBON'!$D$7:$AW$7, 'GEN-CARBON'!$D$43:$AW$43), 0), IF($B23='Project List References'!$B$7, _xlfn.IFNA(_xlfn.XLOOKUP(G$2-$C23, 'SENS Coal'!$D$7:$AW$7, 'SENS Coal'!$D$43:$AW$43), 0), IF($B23='Project List References'!$B$8, _xlfn.IFNA(_xlfn.XLOOKUP(G$2-$C23,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H23" s="743" t="e">
        <f>IF($B23='Project List References'!$B$3, _xlfn.IFNA(_xlfn.XLOOKUP(H$2-$C23, 'GEN-CCGT'!$D$7:$AW$7, 'GEN-CCGT'!$D$43:$AW$43), 0), IF($B23='Project List References'!$B$4, _xlfn.IFNA(_xlfn.XLOOKUP(H$2-$C23, 'GEN-SOLAR'!$D$7:$AW$7, 'GEN-SOLAR'!$D$43:$AW$43), 0), IF($B23='Project List References'!$B$5, _xlfn.IFNA(_xlfn.XLOOKUP(H$2-$C23, 'GEN-BESS'!$D$7:$AW$7, 'GEN-BESS'!$D$43:$AW$43), 0), IF($B23='Project List References'!$B$6, _xlfn.IFNA(_xlfn.XLOOKUP(H$2-$C23, 'GEN-CARBON'!$D$7:$AW$7, 'GEN-CARBON'!$D$43:$AW$43), 0), IF($B23='Project List References'!$B$7, _xlfn.IFNA(_xlfn.XLOOKUP(H$2-$C23, 'SENS Coal'!$D$7:$AW$7, 'SENS Coal'!$D$43:$AW$43), 0), IF($B23='Project List References'!$B$8, _xlfn.IFNA(_xlfn.XLOOKUP(H$2-$C23,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I23" s="743" t="e">
        <f>IF($B23='Project List References'!$B$3, _xlfn.IFNA(_xlfn.XLOOKUP(I$2-$C23, 'GEN-CCGT'!$D$7:$AW$7, 'GEN-CCGT'!$D$43:$AW$43), 0), IF($B23='Project List References'!$B$4, _xlfn.IFNA(_xlfn.XLOOKUP(I$2-$C23, 'GEN-SOLAR'!$D$7:$AW$7, 'GEN-SOLAR'!$D$43:$AW$43), 0), IF($B23='Project List References'!$B$5, _xlfn.IFNA(_xlfn.XLOOKUP(I$2-$C23, 'GEN-BESS'!$D$7:$AW$7, 'GEN-BESS'!$D$43:$AW$43), 0), IF($B23='Project List References'!$B$6, _xlfn.IFNA(_xlfn.XLOOKUP(I$2-$C23, 'GEN-CARBON'!$D$7:$AW$7, 'GEN-CARBON'!$D$43:$AW$43), 0), IF($B23='Project List References'!$B$7, _xlfn.IFNA(_xlfn.XLOOKUP(I$2-$C23, 'SENS Coal'!$D$7:$AW$7, 'SENS Coal'!$D$43:$AW$43), 0), IF($B23='Project List References'!$B$8, _xlfn.IFNA(_xlfn.XLOOKUP(I$2-$C23,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J23" s="743" t="e">
        <f>IF($B23='Project List References'!$B$3, _xlfn.IFNA(_xlfn.XLOOKUP(J$2-$C23, 'GEN-CCGT'!$D$7:$AW$7, 'GEN-CCGT'!$D$43:$AW$43), 0), IF($B23='Project List References'!$B$4, _xlfn.IFNA(_xlfn.XLOOKUP(J$2-$C23, 'GEN-SOLAR'!$D$7:$AW$7, 'GEN-SOLAR'!$D$43:$AW$43), 0), IF($B23='Project List References'!$B$5, _xlfn.IFNA(_xlfn.XLOOKUP(J$2-$C23, 'GEN-BESS'!$D$7:$AW$7, 'GEN-BESS'!$D$43:$AW$43), 0), IF($B23='Project List References'!$B$6, _xlfn.IFNA(_xlfn.XLOOKUP(J$2-$C23, 'GEN-CARBON'!$D$7:$AW$7, 'GEN-CARBON'!$D$43:$AW$43), 0), IF($B23='Project List References'!$B$7, _xlfn.IFNA(_xlfn.XLOOKUP(J$2-$C23, 'SENS Coal'!$D$7:$AW$7, 'SENS Coal'!$D$43:$AW$43), 0), IF($B23='Project List References'!$B$8, _xlfn.IFNA(_xlfn.XLOOKUP(J$2-$C23,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K23" s="743" t="e">
        <f>IF($B23='Project List References'!$B$3, _xlfn.IFNA(_xlfn.XLOOKUP(K$2-$C23, 'GEN-CCGT'!$D$7:$AW$7, 'GEN-CCGT'!$D$43:$AW$43), 0), IF($B23='Project List References'!$B$4, _xlfn.IFNA(_xlfn.XLOOKUP(K$2-$C23, 'GEN-SOLAR'!$D$7:$AW$7, 'GEN-SOLAR'!$D$43:$AW$43), 0), IF($B23='Project List References'!$B$5, _xlfn.IFNA(_xlfn.XLOOKUP(K$2-$C23, 'GEN-BESS'!$D$7:$AW$7, 'GEN-BESS'!$D$43:$AW$43), 0), IF($B23='Project List References'!$B$6, _xlfn.IFNA(_xlfn.XLOOKUP(K$2-$C23, 'GEN-CARBON'!$D$7:$AW$7, 'GEN-CARBON'!$D$43:$AW$43), 0), IF($B23='Project List References'!$B$7, _xlfn.IFNA(_xlfn.XLOOKUP(K$2-$C23, 'SENS Coal'!$D$7:$AW$7, 'SENS Coal'!$D$43:$AW$43), 0), IF($B23='Project List References'!$B$8, _xlfn.IFNA(_xlfn.XLOOKUP(K$2-$C23,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L23" s="743" t="e">
        <f>IF($B23='Project List References'!$B$3, _xlfn.IFNA(_xlfn.XLOOKUP(L$2-$C23, 'GEN-CCGT'!$D$7:$AW$7, 'GEN-CCGT'!$D$43:$AW$43), 0), IF($B23='Project List References'!$B$4, _xlfn.IFNA(_xlfn.XLOOKUP(L$2-$C23, 'GEN-SOLAR'!$D$7:$AW$7, 'GEN-SOLAR'!$D$43:$AW$43), 0), IF($B23='Project List References'!$B$5, _xlfn.IFNA(_xlfn.XLOOKUP(L$2-$C23, 'GEN-BESS'!$D$7:$AW$7, 'GEN-BESS'!$D$43:$AW$43), 0), IF($B23='Project List References'!$B$6, _xlfn.IFNA(_xlfn.XLOOKUP(L$2-$C23, 'GEN-CARBON'!$D$7:$AW$7, 'GEN-CARBON'!$D$43:$AW$43), 0), IF($B23='Project List References'!$B$7, _xlfn.IFNA(_xlfn.XLOOKUP(L$2-$C23, 'SENS Coal'!$D$7:$AW$7, 'SENS Coal'!$D$43:$AW$43), 0), IF($B23='Project List References'!$B$8, _xlfn.IFNA(_xlfn.XLOOKUP(L$2-$C23,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M23" s="743" t="e">
        <f>IF($B23='Project List References'!$B$3, _xlfn.IFNA(_xlfn.XLOOKUP(M$2-$C23, 'GEN-CCGT'!$D$7:$AW$7, 'GEN-CCGT'!$D$43:$AW$43), 0), IF($B23='Project List References'!$B$4, _xlfn.IFNA(_xlfn.XLOOKUP(M$2-$C23, 'GEN-SOLAR'!$D$7:$AW$7, 'GEN-SOLAR'!$D$43:$AW$43), 0), IF($B23='Project List References'!$B$5, _xlfn.IFNA(_xlfn.XLOOKUP(M$2-$C23, 'GEN-BESS'!$D$7:$AW$7, 'GEN-BESS'!$D$43:$AW$43), 0), IF($B23='Project List References'!$B$6, _xlfn.IFNA(_xlfn.XLOOKUP(M$2-$C23, 'GEN-CARBON'!$D$7:$AW$7, 'GEN-CARBON'!$D$43:$AW$43), 0), IF($B23='Project List References'!$B$7, _xlfn.IFNA(_xlfn.XLOOKUP(M$2-$C23, 'SENS Coal'!$D$7:$AW$7, 'SENS Coal'!$D$43:$AW$43), 0), IF($B23='Project List References'!$B$8, _xlfn.IFNA(_xlfn.XLOOKUP(M$2-$C23,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N23" s="743" t="e">
        <f>IF($B23='Project List References'!$B$3, _xlfn.IFNA(_xlfn.XLOOKUP(N$2-$C23, 'GEN-CCGT'!$D$7:$AW$7, 'GEN-CCGT'!$D$43:$AW$43), 0), IF($B23='Project List References'!$B$4, _xlfn.IFNA(_xlfn.XLOOKUP(N$2-$C23, 'GEN-SOLAR'!$D$7:$AW$7, 'GEN-SOLAR'!$D$43:$AW$43), 0), IF($B23='Project List References'!$B$5, _xlfn.IFNA(_xlfn.XLOOKUP(N$2-$C23, 'GEN-BESS'!$D$7:$AW$7, 'GEN-BESS'!$D$43:$AW$43), 0), IF($B23='Project List References'!$B$6, _xlfn.IFNA(_xlfn.XLOOKUP(N$2-$C23, 'GEN-CARBON'!$D$7:$AW$7, 'GEN-CARBON'!$D$43:$AW$43), 0), IF($B23='Project List References'!$B$7, _xlfn.IFNA(_xlfn.XLOOKUP(N$2-$C23, 'SENS Coal'!$D$7:$AW$7, 'SENS Coal'!$D$43:$AW$43), 0), IF($B23='Project List References'!$B$8, _xlfn.IFNA(_xlfn.XLOOKUP(N$2-$C23,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O23" s="743" t="e">
        <f>IF($B23='Project List References'!$B$3, _xlfn.IFNA(_xlfn.XLOOKUP(O$2-$C23, 'GEN-CCGT'!$D$7:$AW$7, 'GEN-CCGT'!$D$43:$AW$43), 0), IF($B23='Project List References'!$B$4, _xlfn.IFNA(_xlfn.XLOOKUP(O$2-$C23, 'GEN-SOLAR'!$D$7:$AW$7, 'GEN-SOLAR'!$D$43:$AW$43), 0), IF($B23='Project List References'!$B$5, _xlfn.IFNA(_xlfn.XLOOKUP(O$2-$C23, 'GEN-BESS'!$D$7:$AW$7, 'GEN-BESS'!$D$43:$AW$43), 0), IF($B23='Project List References'!$B$6, _xlfn.IFNA(_xlfn.XLOOKUP(O$2-$C23, 'GEN-CARBON'!$D$7:$AW$7, 'GEN-CARBON'!$D$43:$AW$43), 0), IF($B23='Project List References'!$B$7, _xlfn.IFNA(_xlfn.XLOOKUP(O$2-$C23, 'SENS Coal'!$D$7:$AW$7, 'SENS Coal'!$D$43:$AW$43), 0), IF($B23='Project List References'!$B$8, _xlfn.IFNA(_xlfn.XLOOKUP(O$2-$C23,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P23" s="743" t="e">
        <f>IF($B23='Project List References'!$B$3, _xlfn.IFNA(_xlfn.XLOOKUP(P$2-$C23, 'GEN-CCGT'!$D$7:$AW$7, 'GEN-CCGT'!$D$43:$AW$43), 0), IF($B23='Project List References'!$B$4, _xlfn.IFNA(_xlfn.XLOOKUP(P$2-$C23, 'GEN-SOLAR'!$D$7:$AW$7, 'GEN-SOLAR'!$D$43:$AW$43), 0), IF($B23='Project List References'!$B$5, _xlfn.IFNA(_xlfn.XLOOKUP(P$2-$C23, 'GEN-BESS'!$D$7:$AW$7, 'GEN-BESS'!$D$43:$AW$43), 0), IF($B23='Project List References'!$B$6, _xlfn.IFNA(_xlfn.XLOOKUP(P$2-$C23, 'GEN-CARBON'!$D$7:$AW$7, 'GEN-CARBON'!$D$43:$AW$43), 0), IF($B23='Project List References'!$B$7, _xlfn.IFNA(_xlfn.XLOOKUP(P$2-$C23, 'SENS Coal'!$D$7:$AW$7, 'SENS Coal'!$D$43:$AW$43), 0), IF($B23='Project List References'!$B$8, _xlfn.IFNA(_xlfn.XLOOKUP(P$2-$C23,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Q23" s="743" t="e">
        <f>IF($B23='Project List References'!$B$3, _xlfn.IFNA(_xlfn.XLOOKUP(Q$2-$C23, 'GEN-CCGT'!$D$7:$AW$7, 'GEN-CCGT'!$D$43:$AW$43), 0), IF($B23='Project List References'!$B$4, _xlfn.IFNA(_xlfn.XLOOKUP(Q$2-$C23, 'GEN-SOLAR'!$D$7:$AW$7, 'GEN-SOLAR'!$D$43:$AW$43), 0), IF($B23='Project List References'!$B$5, _xlfn.IFNA(_xlfn.XLOOKUP(Q$2-$C23, 'GEN-BESS'!$D$7:$AW$7, 'GEN-BESS'!$D$43:$AW$43), 0), IF($B23='Project List References'!$B$6, _xlfn.IFNA(_xlfn.XLOOKUP(Q$2-$C23, 'GEN-CARBON'!$D$7:$AW$7, 'GEN-CARBON'!$D$43:$AW$43), 0), IF($B23='Project List References'!$B$7, _xlfn.IFNA(_xlfn.XLOOKUP(Q$2-$C23, 'SENS Coal'!$D$7:$AW$7, 'SENS Coal'!$D$43:$AW$43), 0), IF($B23='Project List References'!$B$8, _xlfn.IFNA(_xlfn.XLOOKUP(Q$2-$C23,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R23" s="743" t="e">
        <f>IF($B23='Project List References'!$B$3, _xlfn.IFNA(_xlfn.XLOOKUP(R$2-$C23, 'GEN-CCGT'!$D$7:$AW$7, 'GEN-CCGT'!$D$43:$AW$43), 0), IF($B23='Project List References'!$B$4, _xlfn.IFNA(_xlfn.XLOOKUP(R$2-$C23, 'GEN-SOLAR'!$D$7:$AW$7, 'GEN-SOLAR'!$D$43:$AW$43), 0), IF($B23='Project List References'!$B$5, _xlfn.IFNA(_xlfn.XLOOKUP(R$2-$C23, 'GEN-BESS'!$D$7:$AW$7, 'GEN-BESS'!$D$43:$AW$43), 0), IF($B23='Project List References'!$B$6, _xlfn.IFNA(_xlfn.XLOOKUP(R$2-$C23, 'GEN-CARBON'!$D$7:$AW$7, 'GEN-CARBON'!$D$43:$AW$43), 0), IF($B23='Project List References'!$B$7, _xlfn.IFNA(_xlfn.XLOOKUP(R$2-$C23, 'SENS Coal'!$D$7:$AW$7, 'SENS Coal'!$D$43:$AW$43), 0), IF($B23='Project List References'!$B$8, _xlfn.IFNA(_xlfn.XLOOKUP(R$2-$C23,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S23" s="743" t="e">
        <f>IF($B23='Project List References'!$B$3, _xlfn.IFNA(_xlfn.XLOOKUP(S$2-$C23, 'GEN-CCGT'!$D$7:$AW$7, 'GEN-CCGT'!$D$43:$AW$43), 0), IF($B23='Project List References'!$B$4, _xlfn.IFNA(_xlfn.XLOOKUP(S$2-$C23, 'GEN-SOLAR'!$D$7:$AW$7, 'GEN-SOLAR'!$D$43:$AW$43), 0), IF($B23='Project List References'!$B$5, _xlfn.IFNA(_xlfn.XLOOKUP(S$2-$C23, 'GEN-BESS'!$D$7:$AW$7, 'GEN-BESS'!$D$43:$AW$43), 0), IF($B23='Project List References'!$B$6, _xlfn.IFNA(_xlfn.XLOOKUP(S$2-$C23, 'GEN-CARBON'!$D$7:$AW$7, 'GEN-CARBON'!$D$43:$AW$43), 0), IF($B23='Project List References'!$B$7, _xlfn.IFNA(_xlfn.XLOOKUP(S$2-$C23, 'SENS Coal'!$D$7:$AW$7, 'SENS Coal'!$D$43:$AW$43), 0), IF($B23='Project List References'!$B$8, _xlfn.IFNA(_xlfn.XLOOKUP(S$2-$C23,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T23" s="743" t="e">
        <f>IF($B23='Project List References'!$B$3, _xlfn.IFNA(_xlfn.XLOOKUP(T$2-$C23, 'GEN-CCGT'!$D$7:$AW$7, 'GEN-CCGT'!$D$43:$AW$43), 0), IF($B23='Project List References'!$B$4, _xlfn.IFNA(_xlfn.XLOOKUP(T$2-$C23, 'GEN-SOLAR'!$D$7:$AW$7, 'GEN-SOLAR'!$D$43:$AW$43), 0), IF($B23='Project List References'!$B$5, _xlfn.IFNA(_xlfn.XLOOKUP(T$2-$C23, 'GEN-BESS'!$D$7:$AW$7, 'GEN-BESS'!$D$43:$AW$43), 0), IF($B23='Project List References'!$B$6, _xlfn.IFNA(_xlfn.XLOOKUP(T$2-$C23, 'GEN-CARBON'!$D$7:$AW$7, 'GEN-CARBON'!$D$43:$AW$43), 0), IF($B23='Project List References'!$B$7, _xlfn.IFNA(_xlfn.XLOOKUP(T$2-$C23, 'SENS Coal'!$D$7:$AW$7, 'SENS Coal'!$D$43:$AW$43), 0), IF($B23='Project List References'!$B$8, _xlfn.IFNA(_xlfn.XLOOKUP(T$2-$C23, 'SENS Tires'!$D$7:$AW$7, 'SENS Tires'!$D$43:$AW$43),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</row>
    <row r="24" spans="1:20">
      <c r="A24" s="655" t="str">
        <f>IF(ISBLANK('Project Master Sheet'!A24)=FALSE, 'Project Master Sheet'!A24, "")</f>
        <v/>
      </c>
      <c r="B24" s="655" t="str">
        <f>_xlfn.IFNA(_xlfn.XLOOKUP(A24, 'Project Master Sheet'!A:A, 'Project Master Sheet'!D:D), "")</f>
        <v/>
      </c>
      <c r="C24" s="655" t="e">
        <f>_xlfn.XLOOKUP('Project OPEX'!A24, 'Project Master Sheet'!A:A, 'Project Master Sheet'!I:I)</f>
        <v>#N/A</v>
      </c>
      <c r="E24" s="743" t="e">
        <f>IF($B24='Project List References'!$B$3, _xlfn.IFNA(_xlfn.XLOOKUP(E$2-$C24, 'GEN-CCGT'!$D$7:$AW$7, 'GEN-CCGT'!$D$43:$AW$43), 0), IF($B24='Project List References'!$B$4, _xlfn.IFNA(_xlfn.XLOOKUP(E$2-$C24, 'GEN-SOLAR'!$D$7:$AW$7, 'GEN-SOLAR'!$D$43:$AW$43), 0), IF($B24='Project List References'!$B$5, _xlfn.IFNA(_xlfn.XLOOKUP(E$2-$C24, 'GEN-BESS'!$D$7:$AW$7, 'GEN-BESS'!$D$43:$AW$43), 0), IF($B24='Project List References'!$B$6, _xlfn.IFNA(_xlfn.XLOOKUP(E$2-$C24, 'GEN-CARBON'!$D$7:$AW$7, 'GEN-CARBON'!$D$43:$AW$43), 0), IF($B24='Project List References'!$B$7, _xlfn.IFNA(_xlfn.XLOOKUP(E$2-$C24, 'SENS Coal'!$D$7:$AW$7, 'SENS Coal'!$D$43:$AW$43), 0), IF($B24='Project List References'!$B$8, _xlfn.IFNA(_xlfn.XLOOKUP(E$2-$C24,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F24" s="743" t="e">
        <f>IF($B24='Project List References'!$B$3, _xlfn.IFNA(_xlfn.XLOOKUP(F$2-$C24, 'GEN-CCGT'!$D$7:$AW$7, 'GEN-CCGT'!$D$43:$AW$43), 0), IF($B24='Project List References'!$B$4, _xlfn.IFNA(_xlfn.XLOOKUP(F$2-$C24, 'GEN-SOLAR'!$D$7:$AW$7, 'GEN-SOLAR'!$D$43:$AW$43), 0), IF($B24='Project List References'!$B$5, _xlfn.IFNA(_xlfn.XLOOKUP(F$2-$C24, 'GEN-BESS'!$D$7:$AW$7, 'GEN-BESS'!$D$43:$AW$43), 0), IF($B24='Project List References'!$B$6, _xlfn.IFNA(_xlfn.XLOOKUP(F$2-$C24, 'GEN-CARBON'!$D$7:$AW$7, 'GEN-CARBON'!$D$43:$AW$43), 0), IF($B24='Project List References'!$B$7, _xlfn.IFNA(_xlfn.XLOOKUP(F$2-$C24, 'SENS Coal'!$D$7:$AW$7, 'SENS Coal'!$D$43:$AW$43), 0), IF($B24='Project List References'!$B$8, _xlfn.IFNA(_xlfn.XLOOKUP(F$2-$C24,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G24" s="743" t="e">
        <f>IF($B24='Project List References'!$B$3, _xlfn.IFNA(_xlfn.XLOOKUP(G$2-$C24, 'GEN-CCGT'!$D$7:$AW$7, 'GEN-CCGT'!$D$43:$AW$43), 0), IF($B24='Project List References'!$B$4, _xlfn.IFNA(_xlfn.XLOOKUP(G$2-$C24, 'GEN-SOLAR'!$D$7:$AW$7, 'GEN-SOLAR'!$D$43:$AW$43), 0), IF($B24='Project List References'!$B$5, _xlfn.IFNA(_xlfn.XLOOKUP(G$2-$C24, 'GEN-BESS'!$D$7:$AW$7, 'GEN-BESS'!$D$43:$AW$43), 0), IF($B24='Project List References'!$B$6, _xlfn.IFNA(_xlfn.XLOOKUP(G$2-$C24, 'GEN-CARBON'!$D$7:$AW$7, 'GEN-CARBON'!$D$43:$AW$43), 0), IF($B24='Project List References'!$B$7, _xlfn.IFNA(_xlfn.XLOOKUP(G$2-$C24, 'SENS Coal'!$D$7:$AW$7, 'SENS Coal'!$D$43:$AW$43), 0), IF($B24='Project List References'!$B$8, _xlfn.IFNA(_xlfn.XLOOKUP(G$2-$C24,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H24" s="743" t="e">
        <f>IF($B24='Project List References'!$B$3, _xlfn.IFNA(_xlfn.XLOOKUP(H$2-$C24, 'GEN-CCGT'!$D$7:$AW$7, 'GEN-CCGT'!$D$43:$AW$43), 0), IF($B24='Project List References'!$B$4, _xlfn.IFNA(_xlfn.XLOOKUP(H$2-$C24, 'GEN-SOLAR'!$D$7:$AW$7, 'GEN-SOLAR'!$D$43:$AW$43), 0), IF($B24='Project List References'!$B$5, _xlfn.IFNA(_xlfn.XLOOKUP(H$2-$C24, 'GEN-BESS'!$D$7:$AW$7, 'GEN-BESS'!$D$43:$AW$43), 0), IF($B24='Project List References'!$B$6, _xlfn.IFNA(_xlfn.XLOOKUP(H$2-$C24, 'GEN-CARBON'!$D$7:$AW$7, 'GEN-CARBON'!$D$43:$AW$43), 0), IF($B24='Project List References'!$B$7, _xlfn.IFNA(_xlfn.XLOOKUP(H$2-$C24, 'SENS Coal'!$D$7:$AW$7, 'SENS Coal'!$D$43:$AW$43), 0), IF($B24='Project List References'!$B$8, _xlfn.IFNA(_xlfn.XLOOKUP(H$2-$C24,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I24" s="743" t="e">
        <f>IF($B24='Project List References'!$B$3, _xlfn.IFNA(_xlfn.XLOOKUP(I$2-$C24, 'GEN-CCGT'!$D$7:$AW$7, 'GEN-CCGT'!$D$43:$AW$43), 0), IF($B24='Project List References'!$B$4, _xlfn.IFNA(_xlfn.XLOOKUP(I$2-$C24, 'GEN-SOLAR'!$D$7:$AW$7, 'GEN-SOLAR'!$D$43:$AW$43), 0), IF($B24='Project List References'!$B$5, _xlfn.IFNA(_xlfn.XLOOKUP(I$2-$C24, 'GEN-BESS'!$D$7:$AW$7, 'GEN-BESS'!$D$43:$AW$43), 0), IF($B24='Project List References'!$B$6, _xlfn.IFNA(_xlfn.XLOOKUP(I$2-$C24, 'GEN-CARBON'!$D$7:$AW$7, 'GEN-CARBON'!$D$43:$AW$43), 0), IF($B24='Project List References'!$B$7, _xlfn.IFNA(_xlfn.XLOOKUP(I$2-$C24, 'SENS Coal'!$D$7:$AW$7, 'SENS Coal'!$D$43:$AW$43), 0), IF($B24='Project List References'!$B$8, _xlfn.IFNA(_xlfn.XLOOKUP(I$2-$C24,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J24" s="743" t="e">
        <f>IF($B24='Project List References'!$B$3, _xlfn.IFNA(_xlfn.XLOOKUP(J$2-$C24, 'GEN-CCGT'!$D$7:$AW$7, 'GEN-CCGT'!$D$43:$AW$43), 0), IF($B24='Project List References'!$B$4, _xlfn.IFNA(_xlfn.XLOOKUP(J$2-$C24, 'GEN-SOLAR'!$D$7:$AW$7, 'GEN-SOLAR'!$D$43:$AW$43), 0), IF($B24='Project List References'!$B$5, _xlfn.IFNA(_xlfn.XLOOKUP(J$2-$C24, 'GEN-BESS'!$D$7:$AW$7, 'GEN-BESS'!$D$43:$AW$43), 0), IF($B24='Project List References'!$B$6, _xlfn.IFNA(_xlfn.XLOOKUP(J$2-$C24, 'GEN-CARBON'!$D$7:$AW$7, 'GEN-CARBON'!$D$43:$AW$43), 0), IF($B24='Project List References'!$B$7, _xlfn.IFNA(_xlfn.XLOOKUP(J$2-$C24, 'SENS Coal'!$D$7:$AW$7, 'SENS Coal'!$D$43:$AW$43), 0), IF($B24='Project List References'!$B$8, _xlfn.IFNA(_xlfn.XLOOKUP(J$2-$C24,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K24" s="743" t="e">
        <f>IF($B24='Project List References'!$B$3, _xlfn.IFNA(_xlfn.XLOOKUP(K$2-$C24, 'GEN-CCGT'!$D$7:$AW$7, 'GEN-CCGT'!$D$43:$AW$43), 0), IF($B24='Project List References'!$B$4, _xlfn.IFNA(_xlfn.XLOOKUP(K$2-$C24, 'GEN-SOLAR'!$D$7:$AW$7, 'GEN-SOLAR'!$D$43:$AW$43), 0), IF($B24='Project List References'!$B$5, _xlfn.IFNA(_xlfn.XLOOKUP(K$2-$C24, 'GEN-BESS'!$D$7:$AW$7, 'GEN-BESS'!$D$43:$AW$43), 0), IF($B24='Project List References'!$B$6, _xlfn.IFNA(_xlfn.XLOOKUP(K$2-$C24, 'GEN-CARBON'!$D$7:$AW$7, 'GEN-CARBON'!$D$43:$AW$43), 0), IF($B24='Project List References'!$B$7, _xlfn.IFNA(_xlfn.XLOOKUP(K$2-$C24, 'SENS Coal'!$D$7:$AW$7, 'SENS Coal'!$D$43:$AW$43), 0), IF($B24='Project List References'!$B$8, _xlfn.IFNA(_xlfn.XLOOKUP(K$2-$C24,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L24" s="743" t="e">
        <f>IF($B24='Project List References'!$B$3, _xlfn.IFNA(_xlfn.XLOOKUP(L$2-$C24, 'GEN-CCGT'!$D$7:$AW$7, 'GEN-CCGT'!$D$43:$AW$43), 0), IF($B24='Project List References'!$B$4, _xlfn.IFNA(_xlfn.XLOOKUP(L$2-$C24, 'GEN-SOLAR'!$D$7:$AW$7, 'GEN-SOLAR'!$D$43:$AW$43), 0), IF($B24='Project List References'!$B$5, _xlfn.IFNA(_xlfn.XLOOKUP(L$2-$C24, 'GEN-BESS'!$D$7:$AW$7, 'GEN-BESS'!$D$43:$AW$43), 0), IF($B24='Project List References'!$B$6, _xlfn.IFNA(_xlfn.XLOOKUP(L$2-$C24, 'GEN-CARBON'!$D$7:$AW$7, 'GEN-CARBON'!$D$43:$AW$43), 0), IF($B24='Project List References'!$B$7, _xlfn.IFNA(_xlfn.XLOOKUP(L$2-$C24, 'SENS Coal'!$D$7:$AW$7, 'SENS Coal'!$D$43:$AW$43), 0), IF($B24='Project List References'!$B$8, _xlfn.IFNA(_xlfn.XLOOKUP(L$2-$C24,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M24" s="743" t="e">
        <f>IF($B24='Project List References'!$B$3, _xlfn.IFNA(_xlfn.XLOOKUP(M$2-$C24, 'GEN-CCGT'!$D$7:$AW$7, 'GEN-CCGT'!$D$43:$AW$43), 0), IF($B24='Project List References'!$B$4, _xlfn.IFNA(_xlfn.XLOOKUP(M$2-$C24, 'GEN-SOLAR'!$D$7:$AW$7, 'GEN-SOLAR'!$D$43:$AW$43), 0), IF($B24='Project List References'!$B$5, _xlfn.IFNA(_xlfn.XLOOKUP(M$2-$C24, 'GEN-BESS'!$D$7:$AW$7, 'GEN-BESS'!$D$43:$AW$43), 0), IF($B24='Project List References'!$B$6, _xlfn.IFNA(_xlfn.XLOOKUP(M$2-$C24, 'GEN-CARBON'!$D$7:$AW$7, 'GEN-CARBON'!$D$43:$AW$43), 0), IF($B24='Project List References'!$B$7, _xlfn.IFNA(_xlfn.XLOOKUP(M$2-$C24, 'SENS Coal'!$D$7:$AW$7, 'SENS Coal'!$D$43:$AW$43), 0), IF($B24='Project List References'!$B$8, _xlfn.IFNA(_xlfn.XLOOKUP(M$2-$C24,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N24" s="743" t="e">
        <f>IF($B24='Project List References'!$B$3, _xlfn.IFNA(_xlfn.XLOOKUP(N$2-$C24, 'GEN-CCGT'!$D$7:$AW$7, 'GEN-CCGT'!$D$43:$AW$43), 0), IF($B24='Project List References'!$B$4, _xlfn.IFNA(_xlfn.XLOOKUP(N$2-$C24, 'GEN-SOLAR'!$D$7:$AW$7, 'GEN-SOLAR'!$D$43:$AW$43), 0), IF($B24='Project List References'!$B$5, _xlfn.IFNA(_xlfn.XLOOKUP(N$2-$C24, 'GEN-BESS'!$D$7:$AW$7, 'GEN-BESS'!$D$43:$AW$43), 0), IF($B24='Project List References'!$B$6, _xlfn.IFNA(_xlfn.XLOOKUP(N$2-$C24, 'GEN-CARBON'!$D$7:$AW$7, 'GEN-CARBON'!$D$43:$AW$43), 0), IF($B24='Project List References'!$B$7, _xlfn.IFNA(_xlfn.XLOOKUP(N$2-$C24, 'SENS Coal'!$D$7:$AW$7, 'SENS Coal'!$D$43:$AW$43), 0), IF($B24='Project List References'!$B$8, _xlfn.IFNA(_xlfn.XLOOKUP(N$2-$C24,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O24" s="743" t="e">
        <f>IF($B24='Project List References'!$B$3, _xlfn.IFNA(_xlfn.XLOOKUP(O$2-$C24, 'GEN-CCGT'!$D$7:$AW$7, 'GEN-CCGT'!$D$43:$AW$43), 0), IF($B24='Project List References'!$B$4, _xlfn.IFNA(_xlfn.XLOOKUP(O$2-$C24, 'GEN-SOLAR'!$D$7:$AW$7, 'GEN-SOLAR'!$D$43:$AW$43), 0), IF($B24='Project List References'!$B$5, _xlfn.IFNA(_xlfn.XLOOKUP(O$2-$C24, 'GEN-BESS'!$D$7:$AW$7, 'GEN-BESS'!$D$43:$AW$43), 0), IF($B24='Project List References'!$B$6, _xlfn.IFNA(_xlfn.XLOOKUP(O$2-$C24, 'GEN-CARBON'!$D$7:$AW$7, 'GEN-CARBON'!$D$43:$AW$43), 0), IF($B24='Project List References'!$B$7, _xlfn.IFNA(_xlfn.XLOOKUP(O$2-$C24, 'SENS Coal'!$D$7:$AW$7, 'SENS Coal'!$D$43:$AW$43), 0), IF($B24='Project List References'!$B$8, _xlfn.IFNA(_xlfn.XLOOKUP(O$2-$C24,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P24" s="743" t="e">
        <f>IF($B24='Project List References'!$B$3, _xlfn.IFNA(_xlfn.XLOOKUP(P$2-$C24, 'GEN-CCGT'!$D$7:$AW$7, 'GEN-CCGT'!$D$43:$AW$43), 0), IF($B24='Project List References'!$B$4, _xlfn.IFNA(_xlfn.XLOOKUP(P$2-$C24, 'GEN-SOLAR'!$D$7:$AW$7, 'GEN-SOLAR'!$D$43:$AW$43), 0), IF($B24='Project List References'!$B$5, _xlfn.IFNA(_xlfn.XLOOKUP(P$2-$C24, 'GEN-BESS'!$D$7:$AW$7, 'GEN-BESS'!$D$43:$AW$43), 0), IF($B24='Project List References'!$B$6, _xlfn.IFNA(_xlfn.XLOOKUP(P$2-$C24, 'GEN-CARBON'!$D$7:$AW$7, 'GEN-CARBON'!$D$43:$AW$43), 0), IF($B24='Project List References'!$B$7, _xlfn.IFNA(_xlfn.XLOOKUP(P$2-$C24, 'SENS Coal'!$D$7:$AW$7, 'SENS Coal'!$D$43:$AW$43), 0), IF($B24='Project List References'!$B$8, _xlfn.IFNA(_xlfn.XLOOKUP(P$2-$C24,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Q24" s="743" t="e">
        <f>IF($B24='Project List References'!$B$3, _xlfn.IFNA(_xlfn.XLOOKUP(Q$2-$C24, 'GEN-CCGT'!$D$7:$AW$7, 'GEN-CCGT'!$D$43:$AW$43), 0), IF($B24='Project List References'!$B$4, _xlfn.IFNA(_xlfn.XLOOKUP(Q$2-$C24, 'GEN-SOLAR'!$D$7:$AW$7, 'GEN-SOLAR'!$D$43:$AW$43), 0), IF($B24='Project List References'!$B$5, _xlfn.IFNA(_xlfn.XLOOKUP(Q$2-$C24, 'GEN-BESS'!$D$7:$AW$7, 'GEN-BESS'!$D$43:$AW$43), 0), IF($B24='Project List References'!$B$6, _xlfn.IFNA(_xlfn.XLOOKUP(Q$2-$C24, 'GEN-CARBON'!$D$7:$AW$7, 'GEN-CARBON'!$D$43:$AW$43), 0), IF($B24='Project List References'!$B$7, _xlfn.IFNA(_xlfn.XLOOKUP(Q$2-$C24, 'SENS Coal'!$D$7:$AW$7, 'SENS Coal'!$D$43:$AW$43), 0), IF($B24='Project List References'!$B$8, _xlfn.IFNA(_xlfn.XLOOKUP(Q$2-$C24,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R24" s="743" t="e">
        <f>IF($B24='Project List References'!$B$3, _xlfn.IFNA(_xlfn.XLOOKUP(R$2-$C24, 'GEN-CCGT'!$D$7:$AW$7, 'GEN-CCGT'!$D$43:$AW$43), 0), IF($B24='Project List References'!$B$4, _xlfn.IFNA(_xlfn.XLOOKUP(R$2-$C24, 'GEN-SOLAR'!$D$7:$AW$7, 'GEN-SOLAR'!$D$43:$AW$43), 0), IF($B24='Project List References'!$B$5, _xlfn.IFNA(_xlfn.XLOOKUP(R$2-$C24, 'GEN-BESS'!$D$7:$AW$7, 'GEN-BESS'!$D$43:$AW$43), 0), IF($B24='Project List References'!$B$6, _xlfn.IFNA(_xlfn.XLOOKUP(R$2-$C24, 'GEN-CARBON'!$D$7:$AW$7, 'GEN-CARBON'!$D$43:$AW$43), 0), IF($B24='Project List References'!$B$7, _xlfn.IFNA(_xlfn.XLOOKUP(R$2-$C24, 'SENS Coal'!$D$7:$AW$7, 'SENS Coal'!$D$43:$AW$43), 0), IF($B24='Project List References'!$B$8, _xlfn.IFNA(_xlfn.XLOOKUP(R$2-$C24,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S24" s="743" t="e">
        <f>IF($B24='Project List References'!$B$3, _xlfn.IFNA(_xlfn.XLOOKUP(S$2-$C24, 'GEN-CCGT'!$D$7:$AW$7, 'GEN-CCGT'!$D$43:$AW$43), 0), IF($B24='Project List References'!$B$4, _xlfn.IFNA(_xlfn.XLOOKUP(S$2-$C24, 'GEN-SOLAR'!$D$7:$AW$7, 'GEN-SOLAR'!$D$43:$AW$43), 0), IF($B24='Project List References'!$B$5, _xlfn.IFNA(_xlfn.XLOOKUP(S$2-$C24, 'GEN-BESS'!$D$7:$AW$7, 'GEN-BESS'!$D$43:$AW$43), 0), IF($B24='Project List References'!$B$6, _xlfn.IFNA(_xlfn.XLOOKUP(S$2-$C24, 'GEN-CARBON'!$D$7:$AW$7, 'GEN-CARBON'!$D$43:$AW$43), 0), IF($B24='Project List References'!$B$7, _xlfn.IFNA(_xlfn.XLOOKUP(S$2-$C24, 'SENS Coal'!$D$7:$AW$7, 'SENS Coal'!$D$43:$AW$43), 0), IF($B24='Project List References'!$B$8, _xlfn.IFNA(_xlfn.XLOOKUP(S$2-$C24,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T24" s="743" t="e">
        <f>IF($B24='Project List References'!$B$3, _xlfn.IFNA(_xlfn.XLOOKUP(T$2-$C24, 'GEN-CCGT'!$D$7:$AW$7, 'GEN-CCGT'!$D$43:$AW$43), 0), IF($B24='Project List References'!$B$4, _xlfn.IFNA(_xlfn.XLOOKUP(T$2-$C24, 'GEN-SOLAR'!$D$7:$AW$7, 'GEN-SOLAR'!$D$43:$AW$43), 0), IF($B24='Project List References'!$B$5, _xlfn.IFNA(_xlfn.XLOOKUP(T$2-$C24, 'GEN-BESS'!$D$7:$AW$7, 'GEN-BESS'!$D$43:$AW$43), 0), IF($B24='Project List References'!$B$6, _xlfn.IFNA(_xlfn.XLOOKUP(T$2-$C24, 'GEN-CARBON'!$D$7:$AW$7, 'GEN-CARBON'!$D$43:$AW$43), 0), IF($B24='Project List References'!$B$7, _xlfn.IFNA(_xlfn.XLOOKUP(T$2-$C24, 'SENS Coal'!$D$7:$AW$7, 'SENS Coal'!$D$43:$AW$43), 0), IF($B24='Project List References'!$B$8, _xlfn.IFNA(_xlfn.XLOOKUP(T$2-$C24, 'SENS Tires'!$D$7:$AW$7, 'SENS Tires'!$D$43:$AW$43),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</row>
    <row r="25" spans="1:20">
      <c r="A25" s="655" t="str">
        <f>IF(ISBLANK('Project Master Sheet'!A25)=FALSE, 'Project Master Sheet'!A25, "")</f>
        <v/>
      </c>
      <c r="B25" s="655" t="str">
        <f>_xlfn.IFNA(_xlfn.XLOOKUP(A25, 'Project Master Sheet'!A:A, 'Project Master Sheet'!D:D), "")</f>
        <v/>
      </c>
      <c r="C25" s="655" t="e">
        <f>_xlfn.XLOOKUP('Project OPEX'!A25, 'Project Master Sheet'!A:A, 'Project Master Sheet'!I:I)</f>
        <v>#N/A</v>
      </c>
      <c r="E25" s="743" t="e">
        <f>IF($B25='Project List References'!$B$3, _xlfn.IFNA(_xlfn.XLOOKUP(E$2-$C25, 'GEN-CCGT'!$D$7:$AW$7, 'GEN-CCGT'!$D$43:$AW$43), 0), IF($B25='Project List References'!$B$4, _xlfn.IFNA(_xlfn.XLOOKUP(E$2-$C25, 'GEN-SOLAR'!$D$7:$AW$7, 'GEN-SOLAR'!$D$43:$AW$43), 0), IF($B25='Project List References'!$B$5, _xlfn.IFNA(_xlfn.XLOOKUP(E$2-$C25, 'GEN-BESS'!$D$7:$AW$7, 'GEN-BESS'!$D$43:$AW$43), 0), IF($B25='Project List References'!$B$6, _xlfn.IFNA(_xlfn.XLOOKUP(E$2-$C25, 'GEN-CARBON'!$D$7:$AW$7, 'GEN-CARBON'!$D$43:$AW$43), 0), IF($B25='Project List References'!$B$7, _xlfn.IFNA(_xlfn.XLOOKUP(E$2-$C25, 'SENS Coal'!$D$7:$AW$7, 'SENS Coal'!$D$43:$AW$43), 0), IF($B25='Project List References'!$B$8, _xlfn.IFNA(_xlfn.XLOOKUP(E$2-$C25,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F25" s="743" t="e">
        <f>IF($B25='Project List References'!$B$3, _xlfn.IFNA(_xlfn.XLOOKUP(F$2-$C25, 'GEN-CCGT'!$D$7:$AW$7, 'GEN-CCGT'!$D$43:$AW$43), 0), IF($B25='Project List References'!$B$4, _xlfn.IFNA(_xlfn.XLOOKUP(F$2-$C25, 'GEN-SOLAR'!$D$7:$AW$7, 'GEN-SOLAR'!$D$43:$AW$43), 0), IF($B25='Project List References'!$B$5, _xlfn.IFNA(_xlfn.XLOOKUP(F$2-$C25, 'GEN-BESS'!$D$7:$AW$7, 'GEN-BESS'!$D$43:$AW$43), 0), IF($B25='Project List References'!$B$6, _xlfn.IFNA(_xlfn.XLOOKUP(F$2-$C25, 'GEN-CARBON'!$D$7:$AW$7, 'GEN-CARBON'!$D$43:$AW$43), 0), IF($B25='Project List References'!$B$7, _xlfn.IFNA(_xlfn.XLOOKUP(F$2-$C25, 'SENS Coal'!$D$7:$AW$7, 'SENS Coal'!$D$43:$AW$43), 0), IF($B25='Project List References'!$B$8, _xlfn.IFNA(_xlfn.XLOOKUP(F$2-$C25,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G25" s="743" t="e">
        <f>IF($B25='Project List References'!$B$3, _xlfn.IFNA(_xlfn.XLOOKUP(G$2-$C25, 'GEN-CCGT'!$D$7:$AW$7, 'GEN-CCGT'!$D$43:$AW$43), 0), IF($B25='Project List References'!$B$4, _xlfn.IFNA(_xlfn.XLOOKUP(G$2-$C25, 'GEN-SOLAR'!$D$7:$AW$7, 'GEN-SOLAR'!$D$43:$AW$43), 0), IF($B25='Project List References'!$B$5, _xlfn.IFNA(_xlfn.XLOOKUP(G$2-$C25, 'GEN-BESS'!$D$7:$AW$7, 'GEN-BESS'!$D$43:$AW$43), 0), IF($B25='Project List References'!$B$6, _xlfn.IFNA(_xlfn.XLOOKUP(G$2-$C25, 'GEN-CARBON'!$D$7:$AW$7, 'GEN-CARBON'!$D$43:$AW$43), 0), IF($B25='Project List References'!$B$7, _xlfn.IFNA(_xlfn.XLOOKUP(G$2-$C25, 'SENS Coal'!$D$7:$AW$7, 'SENS Coal'!$D$43:$AW$43), 0), IF($B25='Project List References'!$B$8, _xlfn.IFNA(_xlfn.XLOOKUP(G$2-$C25,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H25" s="743" t="e">
        <f>IF($B25='Project List References'!$B$3, _xlfn.IFNA(_xlfn.XLOOKUP(H$2-$C25, 'GEN-CCGT'!$D$7:$AW$7, 'GEN-CCGT'!$D$43:$AW$43), 0), IF($B25='Project List References'!$B$4, _xlfn.IFNA(_xlfn.XLOOKUP(H$2-$C25, 'GEN-SOLAR'!$D$7:$AW$7, 'GEN-SOLAR'!$D$43:$AW$43), 0), IF($B25='Project List References'!$B$5, _xlfn.IFNA(_xlfn.XLOOKUP(H$2-$C25, 'GEN-BESS'!$D$7:$AW$7, 'GEN-BESS'!$D$43:$AW$43), 0), IF($B25='Project List References'!$B$6, _xlfn.IFNA(_xlfn.XLOOKUP(H$2-$C25, 'GEN-CARBON'!$D$7:$AW$7, 'GEN-CARBON'!$D$43:$AW$43), 0), IF($B25='Project List References'!$B$7, _xlfn.IFNA(_xlfn.XLOOKUP(H$2-$C25, 'SENS Coal'!$D$7:$AW$7, 'SENS Coal'!$D$43:$AW$43), 0), IF($B25='Project List References'!$B$8, _xlfn.IFNA(_xlfn.XLOOKUP(H$2-$C25,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I25" s="743" t="e">
        <f>IF($B25='Project List References'!$B$3, _xlfn.IFNA(_xlfn.XLOOKUP(I$2-$C25, 'GEN-CCGT'!$D$7:$AW$7, 'GEN-CCGT'!$D$43:$AW$43), 0), IF($B25='Project List References'!$B$4, _xlfn.IFNA(_xlfn.XLOOKUP(I$2-$C25, 'GEN-SOLAR'!$D$7:$AW$7, 'GEN-SOLAR'!$D$43:$AW$43), 0), IF($B25='Project List References'!$B$5, _xlfn.IFNA(_xlfn.XLOOKUP(I$2-$C25, 'GEN-BESS'!$D$7:$AW$7, 'GEN-BESS'!$D$43:$AW$43), 0), IF($B25='Project List References'!$B$6, _xlfn.IFNA(_xlfn.XLOOKUP(I$2-$C25, 'GEN-CARBON'!$D$7:$AW$7, 'GEN-CARBON'!$D$43:$AW$43), 0), IF($B25='Project List References'!$B$7, _xlfn.IFNA(_xlfn.XLOOKUP(I$2-$C25, 'SENS Coal'!$D$7:$AW$7, 'SENS Coal'!$D$43:$AW$43), 0), IF($B25='Project List References'!$B$8, _xlfn.IFNA(_xlfn.XLOOKUP(I$2-$C25,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J25" s="743" t="e">
        <f>IF($B25='Project List References'!$B$3, _xlfn.IFNA(_xlfn.XLOOKUP(J$2-$C25, 'GEN-CCGT'!$D$7:$AW$7, 'GEN-CCGT'!$D$43:$AW$43), 0), IF($B25='Project List References'!$B$4, _xlfn.IFNA(_xlfn.XLOOKUP(J$2-$C25, 'GEN-SOLAR'!$D$7:$AW$7, 'GEN-SOLAR'!$D$43:$AW$43), 0), IF($B25='Project List References'!$B$5, _xlfn.IFNA(_xlfn.XLOOKUP(J$2-$C25, 'GEN-BESS'!$D$7:$AW$7, 'GEN-BESS'!$D$43:$AW$43), 0), IF($B25='Project List References'!$B$6, _xlfn.IFNA(_xlfn.XLOOKUP(J$2-$C25, 'GEN-CARBON'!$D$7:$AW$7, 'GEN-CARBON'!$D$43:$AW$43), 0), IF($B25='Project List References'!$B$7, _xlfn.IFNA(_xlfn.XLOOKUP(J$2-$C25, 'SENS Coal'!$D$7:$AW$7, 'SENS Coal'!$D$43:$AW$43), 0), IF($B25='Project List References'!$B$8, _xlfn.IFNA(_xlfn.XLOOKUP(J$2-$C25,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K25" s="743" t="e">
        <f>IF($B25='Project List References'!$B$3, _xlfn.IFNA(_xlfn.XLOOKUP(K$2-$C25, 'GEN-CCGT'!$D$7:$AW$7, 'GEN-CCGT'!$D$43:$AW$43), 0), IF($B25='Project List References'!$B$4, _xlfn.IFNA(_xlfn.XLOOKUP(K$2-$C25, 'GEN-SOLAR'!$D$7:$AW$7, 'GEN-SOLAR'!$D$43:$AW$43), 0), IF($B25='Project List References'!$B$5, _xlfn.IFNA(_xlfn.XLOOKUP(K$2-$C25, 'GEN-BESS'!$D$7:$AW$7, 'GEN-BESS'!$D$43:$AW$43), 0), IF($B25='Project List References'!$B$6, _xlfn.IFNA(_xlfn.XLOOKUP(K$2-$C25, 'GEN-CARBON'!$D$7:$AW$7, 'GEN-CARBON'!$D$43:$AW$43), 0), IF($B25='Project List References'!$B$7, _xlfn.IFNA(_xlfn.XLOOKUP(K$2-$C25, 'SENS Coal'!$D$7:$AW$7, 'SENS Coal'!$D$43:$AW$43), 0), IF($B25='Project List References'!$B$8, _xlfn.IFNA(_xlfn.XLOOKUP(K$2-$C25,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L25" s="743" t="e">
        <f>IF($B25='Project List References'!$B$3, _xlfn.IFNA(_xlfn.XLOOKUP(L$2-$C25, 'GEN-CCGT'!$D$7:$AW$7, 'GEN-CCGT'!$D$43:$AW$43), 0), IF($B25='Project List References'!$B$4, _xlfn.IFNA(_xlfn.XLOOKUP(L$2-$C25, 'GEN-SOLAR'!$D$7:$AW$7, 'GEN-SOLAR'!$D$43:$AW$43), 0), IF($B25='Project List References'!$B$5, _xlfn.IFNA(_xlfn.XLOOKUP(L$2-$C25, 'GEN-BESS'!$D$7:$AW$7, 'GEN-BESS'!$D$43:$AW$43), 0), IF($B25='Project List References'!$B$6, _xlfn.IFNA(_xlfn.XLOOKUP(L$2-$C25, 'GEN-CARBON'!$D$7:$AW$7, 'GEN-CARBON'!$D$43:$AW$43), 0), IF($B25='Project List References'!$B$7, _xlfn.IFNA(_xlfn.XLOOKUP(L$2-$C25, 'SENS Coal'!$D$7:$AW$7, 'SENS Coal'!$D$43:$AW$43), 0), IF($B25='Project List References'!$B$8, _xlfn.IFNA(_xlfn.XLOOKUP(L$2-$C25,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M25" s="743" t="e">
        <f>IF($B25='Project List References'!$B$3, _xlfn.IFNA(_xlfn.XLOOKUP(M$2-$C25, 'GEN-CCGT'!$D$7:$AW$7, 'GEN-CCGT'!$D$43:$AW$43), 0), IF($B25='Project List References'!$B$4, _xlfn.IFNA(_xlfn.XLOOKUP(M$2-$C25, 'GEN-SOLAR'!$D$7:$AW$7, 'GEN-SOLAR'!$D$43:$AW$43), 0), IF($B25='Project List References'!$B$5, _xlfn.IFNA(_xlfn.XLOOKUP(M$2-$C25, 'GEN-BESS'!$D$7:$AW$7, 'GEN-BESS'!$D$43:$AW$43), 0), IF($B25='Project List References'!$B$6, _xlfn.IFNA(_xlfn.XLOOKUP(M$2-$C25, 'GEN-CARBON'!$D$7:$AW$7, 'GEN-CARBON'!$D$43:$AW$43), 0), IF($B25='Project List References'!$B$7, _xlfn.IFNA(_xlfn.XLOOKUP(M$2-$C25, 'SENS Coal'!$D$7:$AW$7, 'SENS Coal'!$D$43:$AW$43), 0), IF($B25='Project List References'!$B$8, _xlfn.IFNA(_xlfn.XLOOKUP(M$2-$C25,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N25" s="743" t="e">
        <f>IF($B25='Project List References'!$B$3, _xlfn.IFNA(_xlfn.XLOOKUP(N$2-$C25, 'GEN-CCGT'!$D$7:$AW$7, 'GEN-CCGT'!$D$43:$AW$43), 0), IF($B25='Project List References'!$B$4, _xlfn.IFNA(_xlfn.XLOOKUP(N$2-$C25, 'GEN-SOLAR'!$D$7:$AW$7, 'GEN-SOLAR'!$D$43:$AW$43), 0), IF($B25='Project List References'!$B$5, _xlfn.IFNA(_xlfn.XLOOKUP(N$2-$C25, 'GEN-BESS'!$D$7:$AW$7, 'GEN-BESS'!$D$43:$AW$43), 0), IF($B25='Project List References'!$B$6, _xlfn.IFNA(_xlfn.XLOOKUP(N$2-$C25, 'GEN-CARBON'!$D$7:$AW$7, 'GEN-CARBON'!$D$43:$AW$43), 0), IF($B25='Project List References'!$B$7, _xlfn.IFNA(_xlfn.XLOOKUP(N$2-$C25, 'SENS Coal'!$D$7:$AW$7, 'SENS Coal'!$D$43:$AW$43), 0), IF($B25='Project List References'!$B$8, _xlfn.IFNA(_xlfn.XLOOKUP(N$2-$C25,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O25" s="743" t="e">
        <f>IF($B25='Project List References'!$B$3, _xlfn.IFNA(_xlfn.XLOOKUP(O$2-$C25, 'GEN-CCGT'!$D$7:$AW$7, 'GEN-CCGT'!$D$43:$AW$43), 0), IF($B25='Project List References'!$B$4, _xlfn.IFNA(_xlfn.XLOOKUP(O$2-$C25, 'GEN-SOLAR'!$D$7:$AW$7, 'GEN-SOLAR'!$D$43:$AW$43), 0), IF($B25='Project List References'!$B$5, _xlfn.IFNA(_xlfn.XLOOKUP(O$2-$C25, 'GEN-BESS'!$D$7:$AW$7, 'GEN-BESS'!$D$43:$AW$43), 0), IF($B25='Project List References'!$B$6, _xlfn.IFNA(_xlfn.XLOOKUP(O$2-$C25, 'GEN-CARBON'!$D$7:$AW$7, 'GEN-CARBON'!$D$43:$AW$43), 0), IF($B25='Project List References'!$B$7, _xlfn.IFNA(_xlfn.XLOOKUP(O$2-$C25, 'SENS Coal'!$D$7:$AW$7, 'SENS Coal'!$D$43:$AW$43), 0), IF($B25='Project List References'!$B$8, _xlfn.IFNA(_xlfn.XLOOKUP(O$2-$C25,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P25" s="743" t="e">
        <f>IF($B25='Project List References'!$B$3, _xlfn.IFNA(_xlfn.XLOOKUP(P$2-$C25, 'GEN-CCGT'!$D$7:$AW$7, 'GEN-CCGT'!$D$43:$AW$43), 0), IF($B25='Project List References'!$B$4, _xlfn.IFNA(_xlfn.XLOOKUP(P$2-$C25, 'GEN-SOLAR'!$D$7:$AW$7, 'GEN-SOLAR'!$D$43:$AW$43), 0), IF($B25='Project List References'!$B$5, _xlfn.IFNA(_xlfn.XLOOKUP(P$2-$C25, 'GEN-BESS'!$D$7:$AW$7, 'GEN-BESS'!$D$43:$AW$43), 0), IF($B25='Project List References'!$B$6, _xlfn.IFNA(_xlfn.XLOOKUP(P$2-$C25, 'GEN-CARBON'!$D$7:$AW$7, 'GEN-CARBON'!$D$43:$AW$43), 0), IF($B25='Project List References'!$B$7, _xlfn.IFNA(_xlfn.XLOOKUP(P$2-$C25, 'SENS Coal'!$D$7:$AW$7, 'SENS Coal'!$D$43:$AW$43), 0), IF($B25='Project List References'!$B$8, _xlfn.IFNA(_xlfn.XLOOKUP(P$2-$C25,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Q25" s="743" t="e">
        <f>IF($B25='Project List References'!$B$3, _xlfn.IFNA(_xlfn.XLOOKUP(Q$2-$C25, 'GEN-CCGT'!$D$7:$AW$7, 'GEN-CCGT'!$D$43:$AW$43), 0), IF($B25='Project List References'!$B$4, _xlfn.IFNA(_xlfn.XLOOKUP(Q$2-$C25, 'GEN-SOLAR'!$D$7:$AW$7, 'GEN-SOLAR'!$D$43:$AW$43), 0), IF($B25='Project List References'!$B$5, _xlfn.IFNA(_xlfn.XLOOKUP(Q$2-$C25, 'GEN-BESS'!$D$7:$AW$7, 'GEN-BESS'!$D$43:$AW$43), 0), IF($B25='Project List References'!$B$6, _xlfn.IFNA(_xlfn.XLOOKUP(Q$2-$C25, 'GEN-CARBON'!$D$7:$AW$7, 'GEN-CARBON'!$D$43:$AW$43), 0), IF($B25='Project List References'!$B$7, _xlfn.IFNA(_xlfn.XLOOKUP(Q$2-$C25, 'SENS Coal'!$D$7:$AW$7, 'SENS Coal'!$D$43:$AW$43), 0), IF($B25='Project List References'!$B$8, _xlfn.IFNA(_xlfn.XLOOKUP(Q$2-$C25,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R25" s="743" t="e">
        <f>IF($B25='Project List References'!$B$3, _xlfn.IFNA(_xlfn.XLOOKUP(R$2-$C25, 'GEN-CCGT'!$D$7:$AW$7, 'GEN-CCGT'!$D$43:$AW$43), 0), IF($B25='Project List References'!$B$4, _xlfn.IFNA(_xlfn.XLOOKUP(R$2-$C25, 'GEN-SOLAR'!$D$7:$AW$7, 'GEN-SOLAR'!$D$43:$AW$43), 0), IF($B25='Project List References'!$B$5, _xlfn.IFNA(_xlfn.XLOOKUP(R$2-$C25, 'GEN-BESS'!$D$7:$AW$7, 'GEN-BESS'!$D$43:$AW$43), 0), IF($B25='Project List References'!$B$6, _xlfn.IFNA(_xlfn.XLOOKUP(R$2-$C25, 'GEN-CARBON'!$D$7:$AW$7, 'GEN-CARBON'!$D$43:$AW$43), 0), IF($B25='Project List References'!$B$7, _xlfn.IFNA(_xlfn.XLOOKUP(R$2-$C25, 'SENS Coal'!$D$7:$AW$7, 'SENS Coal'!$D$43:$AW$43), 0), IF($B25='Project List References'!$B$8, _xlfn.IFNA(_xlfn.XLOOKUP(R$2-$C25,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S25" s="743" t="e">
        <f>IF($B25='Project List References'!$B$3, _xlfn.IFNA(_xlfn.XLOOKUP(S$2-$C25, 'GEN-CCGT'!$D$7:$AW$7, 'GEN-CCGT'!$D$43:$AW$43), 0), IF($B25='Project List References'!$B$4, _xlfn.IFNA(_xlfn.XLOOKUP(S$2-$C25, 'GEN-SOLAR'!$D$7:$AW$7, 'GEN-SOLAR'!$D$43:$AW$43), 0), IF($B25='Project List References'!$B$5, _xlfn.IFNA(_xlfn.XLOOKUP(S$2-$C25, 'GEN-BESS'!$D$7:$AW$7, 'GEN-BESS'!$D$43:$AW$43), 0), IF($B25='Project List References'!$B$6, _xlfn.IFNA(_xlfn.XLOOKUP(S$2-$C25, 'GEN-CARBON'!$D$7:$AW$7, 'GEN-CARBON'!$D$43:$AW$43), 0), IF($B25='Project List References'!$B$7, _xlfn.IFNA(_xlfn.XLOOKUP(S$2-$C25, 'SENS Coal'!$D$7:$AW$7, 'SENS Coal'!$D$43:$AW$43), 0), IF($B25='Project List References'!$B$8, _xlfn.IFNA(_xlfn.XLOOKUP(S$2-$C25,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T25" s="743" t="e">
        <f>IF($B25='Project List References'!$B$3, _xlfn.IFNA(_xlfn.XLOOKUP(T$2-$C25, 'GEN-CCGT'!$D$7:$AW$7, 'GEN-CCGT'!$D$43:$AW$43), 0), IF($B25='Project List References'!$B$4, _xlfn.IFNA(_xlfn.XLOOKUP(T$2-$C25, 'GEN-SOLAR'!$D$7:$AW$7, 'GEN-SOLAR'!$D$43:$AW$43), 0), IF($B25='Project List References'!$B$5, _xlfn.IFNA(_xlfn.XLOOKUP(T$2-$C25, 'GEN-BESS'!$D$7:$AW$7, 'GEN-BESS'!$D$43:$AW$43), 0), IF($B25='Project List References'!$B$6, _xlfn.IFNA(_xlfn.XLOOKUP(T$2-$C25, 'GEN-CARBON'!$D$7:$AW$7, 'GEN-CARBON'!$D$43:$AW$43), 0), IF($B25='Project List References'!$B$7, _xlfn.IFNA(_xlfn.XLOOKUP(T$2-$C25, 'SENS Coal'!$D$7:$AW$7, 'SENS Coal'!$D$43:$AW$43), 0), IF($B25='Project List References'!$B$8, _xlfn.IFNA(_xlfn.XLOOKUP(T$2-$C25, 'SENS Tires'!$D$7:$AW$7, 'SENS Tires'!$D$43:$AW$43),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</row>
    <row r="26" spans="1:20">
      <c r="A26" s="655" t="str">
        <f>IF(ISBLANK('Project Master Sheet'!A26)=FALSE, 'Project Master Sheet'!A26, "")</f>
        <v/>
      </c>
      <c r="B26" s="655" t="str">
        <f>_xlfn.IFNA(_xlfn.XLOOKUP(A26, 'Project Master Sheet'!A:A, 'Project Master Sheet'!D:D), "")</f>
        <v/>
      </c>
      <c r="C26" s="655" t="e">
        <f>_xlfn.XLOOKUP('Project OPEX'!A26, 'Project Master Sheet'!A:A, 'Project Master Sheet'!I:I)</f>
        <v>#N/A</v>
      </c>
      <c r="E26" s="743" t="e">
        <f>IF($B26='Project List References'!$B$3, _xlfn.IFNA(_xlfn.XLOOKUP(E$2-$C26, 'GEN-CCGT'!$D$7:$AW$7, 'GEN-CCGT'!$D$43:$AW$43), 0), IF($B26='Project List References'!$B$4, _xlfn.IFNA(_xlfn.XLOOKUP(E$2-$C26, 'GEN-SOLAR'!$D$7:$AW$7, 'GEN-SOLAR'!$D$43:$AW$43), 0), IF($B26='Project List References'!$B$5, _xlfn.IFNA(_xlfn.XLOOKUP(E$2-$C26, 'GEN-BESS'!$D$7:$AW$7, 'GEN-BESS'!$D$43:$AW$43), 0), IF($B26='Project List References'!$B$6, _xlfn.IFNA(_xlfn.XLOOKUP(E$2-$C26, 'GEN-CARBON'!$D$7:$AW$7, 'GEN-CARBON'!$D$43:$AW$43), 0), IF($B26='Project List References'!$B$7, _xlfn.IFNA(_xlfn.XLOOKUP(E$2-$C26, 'SENS Coal'!$D$7:$AW$7, 'SENS Coal'!$D$43:$AW$43), 0), IF($B26='Project List References'!$B$8, _xlfn.IFNA(_xlfn.XLOOKUP(E$2-$C26,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F26" s="743" t="e">
        <f>IF($B26='Project List References'!$B$3, _xlfn.IFNA(_xlfn.XLOOKUP(F$2-$C26, 'GEN-CCGT'!$D$7:$AW$7, 'GEN-CCGT'!$D$43:$AW$43), 0), IF($B26='Project List References'!$B$4, _xlfn.IFNA(_xlfn.XLOOKUP(F$2-$C26, 'GEN-SOLAR'!$D$7:$AW$7, 'GEN-SOLAR'!$D$43:$AW$43), 0), IF($B26='Project List References'!$B$5, _xlfn.IFNA(_xlfn.XLOOKUP(F$2-$C26, 'GEN-BESS'!$D$7:$AW$7, 'GEN-BESS'!$D$43:$AW$43), 0), IF($B26='Project List References'!$B$6, _xlfn.IFNA(_xlfn.XLOOKUP(F$2-$C26, 'GEN-CARBON'!$D$7:$AW$7, 'GEN-CARBON'!$D$43:$AW$43), 0), IF($B26='Project List References'!$B$7, _xlfn.IFNA(_xlfn.XLOOKUP(F$2-$C26, 'SENS Coal'!$D$7:$AW$7, 'SENS Coal'!$D$43:$AW$43), 0), IF($B26='Project List References'!$B$8, _xlfn.IFNA(_xlfn.XLOOKUP(F$2-$C26,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G26" s="743" t="e">
        <f>IF($B26='Project List References'!$B$3, _xlfn.IFNA(_xlfn.XLOOKUP(G$2-$C26, 'GEN-CCGT'!$D$7:$AW$7, 'GEN-CCGT'!$D$43:$AW$43), 0), IF($B26='Project List References'!$B$4, _xlfn.IFNA(_xlfn.XLOOKUP(G$2-$C26, 'GEN-SOLAR'!$D$7:$AW$7, 'GEN-SOLAR'!$D$43:$AW$43), 0), IF($B26='Project List References'!$B$5, _xlfn.IFNA(_xlfn.XLOOKUP(G$2-$C26, 'GEN-BESS'!$D$7:$AW$7, 'GEN-BESS'!$D$43:$AW$43), 0), IF($B26='Project List References'!$B$6, _xlfn.IFNA(_xlfn.XLOOKUP(G$2-$C26, 'GEN-CARBON'!$D$7:$AW$7, 'GEN-CARBON'!$D$43:$AW$43), 0), IF($B26='Project List References'!$B$7, _xlfn.IFNA(_xlfn.XLOOKUP(G$2-$C26, 'SENS Coal'!$D$7:$AW$7, 'SENS Coal'!$D$43:$AW$43), 0), IF($B26='Project List References'!$B$8, _xlfn.IFNA(_xlfn.XLOOKUP(G$2-$C26,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H26" s="743" t="e">
        <f>IF($B26='Project List References'!$B$3, _xlfn.IFNA(_xlfn.XLOOKUP(H$2-$C26, 'GEN-CCGT'!$D$7:$AW$7, 'GEN-CCGT'!$D$43:$AW$43), 0), IF($B26='Project List References'!$B$4, _xlfn.IFNA(_xlfn.XLOOKUP(H$2-$C26, 'GEN-SOLAR'!$D$7:$AW$7, 'GEN-SOLAR'!$D$43:$AW$43), 0), IF($B26='Project List References'!$B$5, _xlfn.IFNA(_xlfn.XLOOKUP(H$2-$C26, 'GEN-BESS'!$D$7:$AW$7, 'GEN-BESS'!$D$43:$AW$43), 0), IF($B26='Project List References'!$B$6, _xlfn.IFNA(_xlfn.XLOOKUP(H$2-$C26, 'GEN-CARBON'!$D$7:$AW$7, 'GEN-CARBON'!$D$43:$AW$43), 0), IF($B26='Project List References'!$B$7, _xlfn.IFNA(_xlfn.XLOOKUP(H$2-$C26, 'SENS Coal'!$D$7:$AW$7, 'SENS Coal'!$D$43:$AW$43), 0), IF($B26='Project List References'!$B$8, _xlfn.IFNA(_xlfn.XLOOKUP(H$2-$C26,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I26" s="743" t="e">
        <f>IF($B26='Project List References'!$B$3, _xlfn.IFNA(_xlfn.XLOOKUP(I$2-$C26, 'GEN-CCGT'!$D$7:$AW$7, 'GEN-CCGT'!$D$43:$AW$43), 0), IF($B26='Project List References'!$B$4, _xlfn.IFNA(_xlfn.XLOOKUP(I$2-$C26, 'GEN-SOLAR'!$D$7:$AW$7, 'GEN-SOLAR'!$D$43:$AW$43), 0), IF($B26='Project List References'!$B$5, _xlfn.IFNA(_xlfn.XLOOKUP(I$2-$C26, 'GEN-BESS'!$D$7:$AW$7, 'GEN-BESS'!$D$43:$AW$43), 0), IF($B26='Project List References'!$B$6, _xlfn.IFNA(_xlfn.XLOOKUP(I$2-$C26, 'GEN-CARBON'!$D$7:$AW$7, 'GEN-CARBON'!$D$43:$AW$43), 0), IF($B26='Project List References'!$B$7, _xlfn.IFNA(_xlfn.XLOOKUP(I$2-$C26, 'SENS Coal'!$D$7:$AW$7, 'SENS Coal'!$D$43:$AW$43), 0), IF($B26='Project List References'!$B$8, _xlfn.IFNA(_xlfn.XLOOKUP(I$2-$C26,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J26" s="743" t="e">
        <f>IF($B26='Project List References'!$B$3, _xlfn.IFNA(_xlfn.XLOOKUP(J$2-$C26, 'GEN-CCGT'!$D$7:$AW$7, 'GEN-CCGT'!$D$43:$AW$43), 0), IF($B26='Project List References'!$B$4, _xlfn.IFNA(_xlfn.XLOOKUP(J$2-$C26, 'GEN-SOLAR'!$D$7:$AW$7, 'GEN-SOLAR'!$D$43:$AW$43), 0), IF($B26='Project List References'!$B$5, _xlfn.IFNA(_xlfn.XLOOKUP(J$2-$C26, 'GEN-BESS'!$D$7:$AW$7, 'GEN-BESS'!$D$43:$AW$43), 0), IF($B26='Project List References'!$B$6, _xlfn.IFNA(_xlfn.XLOOKUP(J$2-$C26, 'GEN-CARBON'!$D$7:$AW$7, 'GEN-CARBON'!$D$43:$AW$43), 0), IF($B26='Project List References'!$B$7, _xlfn.IFNA(_xlfn.XLOOKUP(J$2-$C26, 'SENS Coal'!$D$7:$AW$7, 'SENS Coal'!$D$43:$AW$43), 0), IF($B26='Project List References'!$B$8, _xlfn.IFNA(_xlfn.XLOOKUP(J$2-$C26,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K26" s="743" t="e">
        <f>IF($B26='Project List References'!$B$3, _xlfn.IFNA(_xlfn.XLOOKUP(K$2-$C26, 'GEN-CCGT'!$D$7:$AW$7, 'GEN-CCGT'!$D$43:$AW$43), 0), IF($B26='Project List References'!$B$4, _xlfn.IFNA(_xlfn.XLOOKUP(K$2-$C26, 'GEN-SOLAR'!$D$7:$AW$7, 'GEN-SOLAR'!$D$43:$AW$43), 0), IF($B26='Project List References'!$B$5, _xlfn.IFNA(_xlfn.XLOOKUP(K$2-$C26, 'GEN-BESS'!$D$7:$AW$7, 'GEN-BESS'!$D$43:$AW$43), 0), IF($B26='Project List References'!$B$6, _xlfn.IFNA(_xlfn.XLOOKUP(K$2-$C26, 'GEN-CARBON'!$D$7:$AW$7, 'GEN-CARBON'!$D$43:$AW$43), 0), IF($B26='Project List References'!$B$7, _xlfn.IFNA(_xlfn.XLOOKUP(K$2-$C26, 'SENS Coal'!$D$7:$AW$7, 'SENS Coal'!$D$43:$AW$43), 0), IF($B26='Project List References'!$B$8, _xlfn.IFNA(_xlfn.XLOOKUP(K$2-$C26,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L26" s="743" t="e">
        <f>IF($B26='Project List References'!$B$3, _xlfn.IFNA(_xlfn.XLOOKUP(L$2-$C26, 'GEN-CCGT'!$D$7:$AW$7, 'GEN-CCGT'!$D$43:$AW$43), 0), IF($B26='Project List References'!$B$4, _xlfn.IFNA(_xlfn.XLOOKUP(L$2-$C26, 'GEN-SOLAR'!$D$7:$AW$7, 'GEN-SOLAR'!$D$43:$AW$43), 0), IF($B26='Project List References'!$B$5, _xlfn.IFNA(_xlfn.XLOOKUP(L$2-$C26, 'GEN-BESS'!$D$7:$AW$7, 'GEN-BESS'!$D$43:$AW$43), 0), IF($B26='Project List References'!$B$6, _xlfn.IFNA(_xlfn.XLOOKUP(L$2-$C26, 'GEN-CARBON'!$D$7:$AW$7, 'GEN-CARBON'!$D$43:$AW$43), 0), IF($B26='Project List References'!$B$7, _xlfn.IFNA(_xlfn.XLOOKUP(L$2-$C26, 'SENS Coal'!$D$7:$AW$7, 'SENS Coal'!$D$43:$AW$43), 0), IF($B26='Project List References'!$B$8, _xlfn.IFNA(_xlfn.XLOOKUP(L$2-$C26,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M26" s="743" t="e">
        <f>IF($B26='Project List References'!$B$3, _xlfn.IFNA(_xlfn.XLOOKUP(M$2-$C26, 'GEN-CCGT'!$D$7:$AW$7, 'GEN-CCGT'!$D$43:$AW$43), 0), IF($B26='Project List References'!$B$4, _xlfn.IFNA(_xlfn.XLOOKUP(M$2-$C26, 'GEN-SOLAR'!$D$7:$AW$7, 'GEN-SOLAR'!$D$43:$AW$43), 0), IF($B26='Project List References'!$B$5, _xlfn.IFNA(_xlfn.XLOOKUP(M$2-$C26, 'GEN-BESS'!$D$7:$AW$7, 'GEN-BESS'!$D$43:$AW$43), 0), IF($B26='Project List References'!$B$6, _xlfn.IFNA(_xlfn.XLOOKUP(M$2-$C26, 'GEN-CARBON'!$D$7:$AW$7, 'GEN-CARBON'!$D$43:$AW$43), 0), IF($B26='Project List References'!$B$7, _xlfn.IFNA(_xlfn.XLOOKUP(M$2-$C26, 'SENS Coal'!$D$7:$AW$7, 'SENS Coal'!$D$43:$AW$43), 0), IF($B26='Project List References'!$B$8, _xlfn.IFNA(_xlfn.XLOOKUP(M$2-$C26,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N26" s="743" t="e">
        <f>IF($B26='Project List References'!$B$3, _xlfn.IFNA(_xlfn.XLOOKUP(N$2-$C26, 'GEN-CCGT'!$D$7:$AW$7, 'GEN-CCGT'!$D$43:$AW$43), 0), IF($B26='Project List References'!$B$4, _xlfn.IFNA(_xlfn.XLOOKUP(N$2-$C26, 'GEN-SOLAR'!$D$7:$AW$7, 'GEN-SOLAR'!$D$43:$AW$43), 0), IF($B26='Project List References'!$B$5, _xlfn.IFNA(_xlfn.XLOOKUP(N$2-$C26, 'GEN-BESS'!$D$7:$AW$7, 'GEN-BESS'!$D$43:$AW$43), 0), IF($B26='Project List References'!$B$6, _xlfn.IFNA(_xlfn.XLOOKUP(N$2-$C26, 'GEN-CARBON'!$D$7:$AW$7, 'GEN-CARBON'!$D$43:$AW$43), 0), IF($B26='Project List References'!$B$7, _xlfn.IFNA(_xlfn.XLOOKUP(N$2-$C26, 'SENS Coal'!$D$7:$AW$7, 'SENS Coal'!$D$43:$AW$43), 0), IF($B26='Project List References'!$B$8, _xlfn.IFNA(_xlfn.XLOOKUP(N$2-$C26,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O26" s="743" t="e">
        <f>IF($B26='Project List References'!$B$3, _xlfn.IFNA(_xlfn.XLOOKUP(O$2-$C26, 'GEN-CCGT'!$D$7:$AW$7, 'GEN-CCGT'!$D$43:$AW$43), 0), IF($B26='Project List References'!$B$4, _xlfn.IFNA(_xlfn.XLOOKUP(O$2-$C26, 'GEN-SOLAR'!$D$7:$AW$7, 'GEN-SOLAR'!$D$43:$AW$43), 0), IF($B26='Project List References'!$B$5, _xlfn.IFNA(_xlfn.XLOOKUP(O$2-$C26, 'GEN-BESS'!$D$7:$AW$7, 'GEN-BESS'!$D$43:$AW$43), 0), IF($B26='Project List References'!$B$6, _xlfn.IFNA(_xlfn.XLOOKUP(O$2-$C26, 'GEN-CARBON'!$D$7:$AW$7, 'GEN-CARBON'!$D$43:$AW$43), 0), IF($B26='Project List References'!$B$7, _xlfn.IFNA(_xlfn.XLOOKUP(O$2-$C26, 'SENS Coal'!$D$7:$AW$7, 'SENS Coal'!$D$43:$AW$43), 0), IF($B26='Project List References'!$B$8, _xlfn.IFNA(_xlfn.XLOOKUP(O$2-$C26,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P26" s="743" t="e">
        <f>IF($B26='Project List References'!$B$3, _xlfn.IFNA(_xlfn.XLOOKUP(P$2-$C26, 'GEN-CCGT'!$D$7:$AW$7, 'GEN-CCGT'!$D$43:$AW$43), 0), IF($B26='Project List References'!$B$4, _xlfn.IFNA(_xlfn.XLOOKUP(P$2-$C26, 'GEN-SOLAR'!$D$7:$AW$7, 'GEN-SOLAR'!$D$43:$AW$43), 0), IF($B26='Project List References'!$B$5, _xlfn.IFNA(_xlfn.XLOOKUP(P$2-$C26, 'GEN-BESS'!$D$7:$AW$7, 'GEN-BESS'!$D$43:$AW$43), 0), IF($B26='Project List References'!$B$6, _xlfn.IFNA(_xlfn.XLOOKUP(P$2-$C26, 'GEN-CARBON'!$D$7:$AW$7, 'GEN-CARBON'!$D$43:$AW$43), 0), IF($B26='Project List References'!$B$7, _xlfn.IFNA(_xlfn.XLOOKUP(P$2-$C26, 'SENS Coal'!$D$7:$AW$7, 'SENS Coal'!$D$43:$AW$43), 0), IF($B26='Project List References'!$B$8, _xlfn.IFNA(_xlfn.XLOOKUP(P$2-$C26,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Q26" s="743" t="e">
        <f>IF($B26='Project List References'!$B$3, _xlfn.IFNA(_xlfn.XLOOKUP(Q$2-$C26, 'GEN-CCGT'!$D$7:$AW$7, 'GEN-CCGT'!$D$43:$AW$43), 0), IF($B26='Project List References'!$B$4, _xlfn.IFNA(_xlfn.XLOOKUP(Q$2-$C26, 'GEN-SOLAR'!$D$7:$AW$7, 'GEN-SOLAR'!$D$43:$AW$43), 0), IF($B26='Project List References'!$B$5, _xlfn.IFNA(_xlfn.XLOOKUP(Q$2-$C26, 'GEN-BESS'!$D$7:$AW$7, 'GEN-BESS'!$D$43:$AW$43), 0), IF($B26='Project List References'!$B$6, _xlfn.IFNA(_xlfn.XLOOKUP(Q$2-$C26, 'GEN-CARBON'!$D$7:$AW$7, 'GEN-CARBON'!$D$43:$AW$43), 0), IF($B26='Project List References'!$B$7, _xlfn.IFNA(_xlfn.XLOOKUP(Q$2-$C26, 'SENS Coal'!$D$7:$AW$7, 'SENS Coal'!$D$43:$AW$43), 0), IF($B26='Project List References'!$B$8, _xlfn.IFNA(_xlfn.XLOOKUP(Q$2-$C26,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R26" s="743" t="e">
        <f>IF($B26='Project List References'!$B$3, _xlfn.IFNA(_xlfn.XLOOKUP(R$2-$C26, 'GEN-CCGT'!$D$7:$AW$7, 'GEN-CCGT'!$D$43:$AW$43), 0), IF($B26='Project List References'!$B$4, _xlfn.IFNA(_xlfn.XLOOKUP(R$2-$C26, 'GEN-SOLAR'!$D$7:$AW$7, 'GEN-SOLAR'!$D$43:$AW$43), 0), IF($B26='Project List References'!$B$5, _xlfn.IFNA(_xlfn.XLOOKUP(R$2-$C26, 'GEN-BESS'!$D$7:$AW$7, 'GEN-BESS'!$D$43:$AW$43), 0), IF($B26='Project List References'!$B$6, _xlfn.IFNA(_xlfn.XLOOKUP(R$2-$C26, 'GEN-CARBON'!$D$7:$AW$7, 'GEN-CARBON'!$D$43:$AW$43), 0), IF($B26='Project List References'!$B$7, _xlfn.IFNA(_xlfn.XLOOKUP(R$2-$C26, 'SENS Coal'!$D$7:$AW$7, 'SENS Coal'!$D$43:$AW$43), 0), IF($B26='Project List References'!$B$8, _xlfn.IFNA(_xlfn.XLOOKUP(R$2-$C26,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S26" s="743" t="e">
        <f>IF($B26='Project List References'!$B$3, _xlfn.IFNA(_xlfn.XLOOKUP(S$2-$C26, 'GEN-CCGT'!$D$7:$AW$7, 'GEN-CCGT'!$D$43:$AW$43), 0), IF($B26='Project List References'!$B$4, _xlfn.IFNA(_xlfn.XLOOKUP(S$2-$C26, 'GEN-SOLAR'!$D$7:$AW$7, 'GEN-SOLAR'!$D$43:$AW$43), 0), IF($B26='Project List References'!$B$5, _xlfn.IFNA(_xlfn.XLOOKUP(S$2-$C26, 'GEN-BESS'!$D$7:$AW$7, 'GEN-BESS'!$D$43:$AW$43), 0), IF($B26='Project List References'!$B$6, _xlfn.IFNA(_xlfn.XLOOKUP(S$2-$C26, 'GEN-CARBON'!$D$7:$AW$7, 'GEN-CARBON'!$D$43:$AW$43), 0), IF($B26='Project List References'!$B$7, _xlfn.IFNA(_xlfn.XLOOKUP(S$2-$C26, 'SENS Coal'!$D$7:$AW$7, 'SENS Coal'!$D$43:$AW$43), 0), IF($B26='Project List References'!$B$8, _xlfn.IFNA(_xlfn.XLOOKUP(S$2-$C26,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T26" s="743" t="e">
        <f>IF($B26='Project List References'!$B$3, _xlfn.IFNA(_xlfn.XLOOKUP(T$2-$C26, 'GEN-CCGT'!$D$7:$AW$7, 'GEN-CCGT'!$D$43:$AW$43), 0), IF($B26='Project List References'!$B$4, _xlfn.IFNA(_xlfn.XLOOKUP(T$2-$C26, 'GEN-SOLAR'!$D$7:$AW$7, 'GEN-SOLAR'!$D$43:$AW$43), 0), IF($B26='Project List References'!$B$5, _xlfn.IFNA(_xlfn.XLOOKUP(T$2-$C26, 'GEN-BESS'!$D$7:$AW$7, 'GEN-BESS'!$D$43:$AW$43), 0), IF($B26='Project List References'!$B$6, _xlfn.IFNA(_xlfn.XLOOKUP(T$2-$C26, 'GEN-CARBON'!$D$7:$AW$7, 'GEN-CARBON'!$D$43:$AW$43), 0), IF($B26='Project List References'!$B$7, _xlfn.IFNA(_xlfn.XLOOKUP(T$2-$C26, 'SENS Coal'!$D$7:$AW$7, 'SENS Coal'!$D$43:$AW$43), 0), IF($B26='Project List References'!$B$8, _xlfn.IFNA(_xlfn.XLOOKUP(T$2-$C26, 'SENS Tires'!$D$7:$AW$7, 'SENS Tires'!$D$43:$AW$43),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</row>
    <row r="27" spans="1:20">
      <c r="A27" s="655" t="str">
        <f>IF(ISBLANK('Project Master Sheet'!A27)=FALSE, 'Project Master Sheet'!A27, "")</f>
        <v/>
      </c>
      <c r="B27" s="655" t="str">
        <f>_xlfn.IFNA(_xlfn.XLOOKUP(A27, 'Project Master Sheet'!A:A, 'Project Master Sheet'!D:D), "")</f>
        <v/>
      </c>
      <c r="C27" s="655" t="e">
        <f>_xlfn.XLOOKUP('Project OPEX'!A27, 'Project Master Sheet'!A:A, 'Project Master Sheet'!I:I)</f>
        <v>#N/A</v>
      </c>
      <c r="E27" s="743" t="e">
        <f>IF($B27='Project List References'!$B$3, _xlfn.IFNA(_xlfn.XLOOKUP(E$2-$C27, 'GEN-CCGT'!$D$7:$AW$7, 'GEN-CCGT'!$D$43:$AW$43), 0), IF($B27='Project List References'!$B$4, _xlfn.IFNA(_xlfn.XLOOKUP(E$2-$C27, 'GEN-SOLAR'!$D$7:$AW$7, 'GEN-SOLAR'!$D$43:$AW$43), 0), IF($B27='Project List References'!$B$5, _xlfn.IFNA(_xlfn.XLOOKUP(E$2-$C27, 'GEN-BESS'!$D$7:$AW$7, 'GEN-BESS'!$D$43:$AW$43), 0), IF($B27='Project List References'!$B$6, _xlfn.IFNA(_xlfn.XLOOKUP(E$2-$C27, 'GEN-CARBON'!$D$7:$AW$7, 'GEN-CARBON'!$D$43:$AW$43), 0), IF($B27='Project List References'!$B$7, _xlfn.IFNA(_xlfn.XLOOKUP(E$2-$C27, 'SENS Coal'!$D$7:$AW$7, 'SENS Coal'!$D$43:$AW$43), 0), IF($B27='Project List References'!$B$8, _xlfn.IFNA(_xlfn.XLOOKUP(E$2-$C27,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F27" s="743" t="e">
        <f>IF($B27='Project List References'!$B$3, _xlfn.IFNA(_xlfn.XLOOKUP(F$2-$C27, 'GEN-CCGT'!$D$7:$AW$7, 'GEN-CCGT'!$D$43:$AW$43), 0), IF($B27='Project List References'!$B$4, _xlfn.IFNA(_xlfn.XLOOKUP(F$2-$C27, 'GEN-SOLAR'!$D$7:$AW$7, 'GEN-SOLAR'!$D$43:$AW$43), 0), IF($B27='Project List References'!$B$5, _xlfn.IFNA(_xlfn.XLOOKUP(F$2-$C27, 'GEN-BESS'!$D$7:$AW$7, 'GEN-BESS'!$D$43:$AW$43), 0), IF($B27='Project List References'!$B$6, _xlfn.IFNA(_xlfn.XLOOKUP(F$2-$C27, 'GEN-CARBON'!$D$7:$AW$7, 'GEN-CARBON'!$D$43:$AW$43), 0), IF($B27='Project List References'!$B$7, _xlfn.IFNA(_xlfn.XLOOKUP(F$2-$C27, 'SENS Coal'!$D$7:$AW$7, 'SENS Coal'!$D$43:$AW$43), 0), IF($B27='Project List References'!$B$8, _xlfn.IFNA(_xlfn.XLOOKUP(F$2-$C27,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G27" s="743" t="e">
        <f>IF($B27='Project List References'!$B$3, _xlfn.IFNA(_xlfn.XLOOKUP(G$2-$C27, 'GEN-CCGT'!$D$7:$AW$7, 'GEN-CCGT'!$D$43:$AW$43), 0), IF($B27='Project List References'!$B$4, _xlfn.IFNA(_xlfn.XLOOKUP(G$2-$C27, 'GEN-SOLAR'!$D$7:$AW$7, 'GEN-SOLAR'!$D$43:$AW$43), 0), IF($B27='Project List References'!$B$5, _xlfn.IFNA(_xlfn.XLOOKUP(G$2-$C27, 'GEN-BESS'!$D$7:$AW$7, 'GEN-BESS'!$D$43:$AW$43), 0), IF($B27='Project List References'!$B$6, _xlfn.IFNA(_xlfn.XLOOKUP(G$2-$C27, 'GEN-CARBON'!$D$7:$AW$7, 'GEN-CARBON'!$D$43:$AW$43), 0), IF($B27='Project List References'!$B$7, _xlfn.IFNA(_xlfn.XLOOKUP(G$2-$C27, 'SENS Coal'!$D$7:$AW$7, 'SENS Coal'!$D$43:$AW$43), 0), IF($B27='Project List References'!$B$8, _xlfn.IFNA(_xlfn.XLOOKUP(G$2-$C27,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H27" s="743" t="e">
        <f>IF($B27='Project List References'!$B$3, _xlfn.IFNA(_xlfn.XLOOKUP(H$2-$C27, 'GEN-CCGT'!$D$7:$AW$7, 'GEN-CCGT'!$D$43:$AW$43), 0), IF($B27='Project List References'!$B$4, _xlfn.IFNA(_xlfn.XLOOKUP(H$2-$C27, 'GEN-SOLAR'!$D$7:$AW$7, 'GEN-SOLAR'!$D$43:$AW$43), 0), IF($B27='Project List References'!$B$5, _xlfn.IFNA(_xlfn.XLOOKUP(H$2-$C27, 'GEN-BESS'!$D$7:$AW$7, 'GEN-BESS'!$D$43:$AW$43), 0), IF($B27='Project List References'!$B$6, _xlfn.IFNA(_xlfn.XLOOKUP(H$2-$C27, 'GEN-CARBON'!$D$7:$AW$7, 'GEN-CARBON'!$D$43:$AW$43), 0), IF($B27='Project List References'!$B$7, _xlfn.IFNA(_xlfn.XLOOKUP(H$2-$C27, 'SENS Coal'!$D$7:$AW$7, 'SENS Coal'!$D$43:$AW$43), 0), IF($B27='Project List References'!$B$8, _xlfn.IFNA(_xlfn.XLOOKUP(H$2-$C27,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I27" s="743" t="e">
        <f>IF($B27='Project List References'!$B$3, _xlfn.IFNA(_xlfn.XLOOKUP(I$2-$C27, 'GEN-CCGT'!$D$7:$AW$7, 'GEN-CCGT'!$D$43:$AW$43), 0), IF($B27='Project List References'!$B$4, _xlfn.IFNA(_xlfn.XLOOKUP(I$2-$C27, 'GEN-SOLAR'!$D$7:$AW$7, 'GEN-SOLAR'!$D$43:$AW$43), 0), IF($B27='Project List References'!$B$5, _xlfn.IFNA(_xlfn.XLOOKUP(I$2-$C27, 'GEN-BESS'!$D$7:$AW$7, 'GEN-BESS'!$D$43:$AW$43), 0), IF($B27='Project List References'!$B$6, _xlfn.IFNA(_xlfn.XLOOKUP(I$2-$C27, 'GEN-CARBON'!$D$7:$AW$7, 'GEN-CARBON'!$D$43:$AW$43), 0), IF($B27='Project List References'!$B$7, _xlfn.IFNA(_xlfn.XLOOKUP(I$2-$C27, 'SENS Coal'!$D$7:$AW$7, 'SENS Coal'!$D$43:$AW$43), 0), IF($B27='Project List References'!$B$8, _xlfn.IFNA(_xlfn.XLOOKUP(I$2-$C27,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J27" s="743" t="e">
        <f>IF($B27='Project List References'!$B$3, _xlfn.IFNA(_xlfn.XLOOKUP(J$2-$C27, 'GEN-CCGT'!$D$7:$AW$7, 'GEN-CCGT'!$D$43:$AW$43), 0), IF($B27='Project List References'!$B$4, _xlfn.IFNA(_xlfn.XLOOKUP(J$2-$C27, 'GEN-SOLAR'!$D$7:$AW$7, 'GEN-SOLAR'!$D$43:$AW$43), 0), IF($B27='Project List References'!$B$5, _xlfn.IFNA(_xlfn.XLOOKUP(J$2-$C27, 'GEN-BESS'!$D$7:$AW$7, 'GEN-BESS'!$D$43:$AW$43), 0), IF($B27='Project List References'!$B$6, _xlfn.IFNA(_xlfn.XLOOKUP(J$2-$C27, 'GEN-CARBON'!$D$7:$AW$7, 'GEN-CARBON'!$D$43:$AW$43), 0), IF($B27='Project List References'!$B$7, _xlfn.IFNA(_xlfn.XLOOKUP(J$2-$C27, 'SENS Coal'!$D$7:$AW$7, 'SENS Coal'!$D$43:$AW$43), 0), IF($B27='Project List References'!$B$8, _xlfn.IFNA(_xlfn.XLOOKUP(J$2-$C27,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K27" s="743" t="e">
        <f>IF($B27='Project List References'!$B$3, _xlfn.IFNA(_xlfn.XLOOKUP(K$2-$C27, 'GEN-CCGT'!$D$7:$AW$7, 'GEN-CCGT'!$D$43:$AW$43), 0), IF($B27='Project List References'!$B$4, _xlfn.IFNA(_xlfn.XLOOKUP(K$2-$C27, 'GEN-SOLAR'!$D$7:$AW$7, 'GEN-SOLAR'!$D$43:$AW$43), 0), IF($B27='Project List References'!$B$5, _xlfn.IFNA(_xlfn.XLOOKUP(K$2-$C27, 'GEN-BESS'!$D$7:$AW$7, 'GEN-BESS'!$D$43:$AW$43), 0), IF($B27='Project List References'!$B$6, _xlfn.IFNA(_xlfn.XLOOKUP(K$2-$C27, 'GEN-CARBON'!$D$7:$AW$7, 'GEN-CARBON'!$D$43:$AW$43), 0), IF($B27='Project List References'!$B$7, _xlfn.IFNA(_xlfn.XLOOKUP(K$2-$C27, 'SENS Coal'!$D$7:$AW$7, 'SENS Coal'!$D$43:$AW$43), 0), IF($B27='Project List References'!$B$8, _xlfn.IFNA(_xlfn.XLOOKUP(K$2-$C27,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L27" s="743" t="e">
        <f>IF($B27='Project List References'!$B$3, _xlfn.IFNA(_xlfn.XLOOKUP(L$2-$C27, 'GEN-CCGT'!$D$7:$AW$7, 'GEN-CCGT'!$D$43:$AW$43), 0), IF($B27='Project List References'!$B$4, _xlfn.IFNA(_xlfn.XLOOKUP(L$2-$C27, 'GEN-SOLAR'!$D$7:$AW$7, 'GEN-SOLAR'!$D$43:$AW$43), 0), IF($B27='Project List References'!$B$5, _xlfn.IFNA(_xlfn.XLOOKUP(L$2-$C27, 'GEN-BESS'!$D$7:$AW$7, 'GEN-BESS'!$D$43:$AW$43), 0), IF($B27='Project List References'!$B$6, _xlfn.IFNA(_xlfn.XLOOKUP(L$2-$C27, 'GEN-CARBON'!$D$7:$AW$7, 'GEN-CARBON'!$D$43:$AW$43), 0), IF($B27='Project List References'!$B$7, _xlfn.IFNA(_xlfn.XLOOKUP(L$2-$C27, 'SENS Coal'!$D$7:$AW$7, 'SENS Coal'!$D$43:$AW$43), 0), IF($B27='Project List References'!$B$8, _xlfn.IFNA(_xlfn.XLOOKUP(L$2-$C27,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M27" s="743" t="e">
        <f>IF($B27='Project List References'!$B$3, _xlfn.IFNA(_xlfn.XLOOKUP(M$2-$C27, 'GEN-CCGT'!$D$7:$AW$7, 'GEN-CCGT'!$D$43:$AW$43), 0), IF($B27='Project List References'!$B$4, _xlfn.IFNA(_xlfn.XLOOKUP(M$2-$C27, 'GEN-SOLAR'!$D$7:$AW$7, 'GEN-SOLAR'!$D$43:$AW$43), 0), IF($B27='Project List References'!$B$5, _xlfn.IFNA(_xlfn.XLOOKUP(M$2-$C27, 'GEN-BESS'!$D$7:$AW$7, 'GEN-BESS'!$D$43:$AW$43), 0), IF($B27='Project List References'!$B$6, _xlfn.IFNA(_xlfn.XLOOKUP(M$2-$C27, 'GEN-CARBON'!$D$7:$AW$7, 'GEN-CARBON'!$D$43:$AW$43), 0), IF($B27='Project List References'!$B$7, _xlfn.IFNA(_xlfn.XLOOKUP(M$2-$C27, 'SENS Coal'!$D$7:$AW$7, 'SENS Coal'!$D$43:$AW$43), 0), IF($B27='Project List References'!$B$8, _xlfn.IFNA(_xlfn.XLOOKUP(M$2-$C27,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N27" s="743" t="e">
        <f>IF($B27='Project List References'!$B$3, _xlfn.IFNA(_xlfn.XLOOKUP(N$2-$C27, 'GEN-CCGT'!$D$7:$AW$7, 'GEN-CCGT'!$D$43:$AW$43), 0), IF($B27='Project List References'!$B$4, _xlfn.IFNA(_xlfn.XLOOKUP(N$2-$C27, 'GEN-SOLAR'!$D$7:$AW$7, 'GEN-SOLAR'!$D$43:$AW$43), 0), IF($B27='Project List References'!$B$5, _xlfn.IFNA(_xlfn.XLOOKUP(N$2-$C27, 'GEN-BESS'!$D$7:$AW$7, 'GEN-BESS'!$D$43:$AW$43), 0), IF($B27='Project List References'!$B$6, _xlfn.IFNA(_xlfn.XLOOKUP(N$2-$C27, 'GEN-CARBON'!$D$7:$AW$7, 'GEN-CARBON'!$D$43:$AW$43), 0), IF($B27='Project List References'!$B$7, _xlfn.IFNA(_xlfn.XLOOKUP(N$2-$C27, 'SENS Coal'!$D$7:$AW$7, 'SENS Coal'!$D$43:$AW$43), 0), IF($B27='Project List References'!$B$8, _xlfn.IFNA(_xlfn.XLOOKUP(N$2-$C27,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O27" s="743" t="e">
        <f>IF($B27='Project List References'!$B$3, _xlfn.IFNA(_xlfn.XLOOKUP(O$2-$C27, 'GEN-CCGT'!$D$7:$AW$7, 'GEN-CCGT'!$D$43:$AW$43), 0), IF($B27='Project List References'!$B$4, _xlfn.IFNA(_xlfn.XLOOKUP(O$2-$C27, 'GEN-SOLAR'!$D$7:$AW$7, 'GEN-SOLAR'!$D$43:$AW$43), 0), IF($B27='Project List References'!$B$5, _xlfn.IFNA(_xlfn.XLOOKUP(O$2-$C27, 'GEN-BESS'!$D$7:$AW$7, 'GEN-BESS'!$D$43:$AW$43), 0), IF($B27='Project List References'!$B$6, _xlfn.IFNA(_xlfn.XLOOKUP(O$2-$C27, 'GEN-CARBON'!$D$7:$AW$7, 'GEN-CARBON'!$D$43:$AW$43), 0), IF($B27='Project List References'!$B$7, _xlfn.IFNA(_xlfn.XLOOKUP(O$2-$C27, 'SENS Coal'!$D$7:$AW$7, 'SENS Coal'!$D$43:$AW$43), 0), IF($B27='Project List References'!$B$8, _xlfn.IFNA(_xlfn.XLOOKUP(O$2-$C27,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P27" s="743" t="e">
        <f>IF($B27='Project List References'!$B$3, _xlfn.IFNA(_xlfn.XLOOKUP(P$2-$C27, 'GEN-CCGT'!$D$7:$AW$7, 'GEN-CCGT'!$D$43:$AW$43), 0), IF($B27='Project List References'!$B$4, _xlfn.IFNA(_xlfn.XLOOKUP(P$2-$C27, 'GEN-SOLAR'!$D$7:$AW$7, 'GEN-SOLAR'!$D$43:$AW$43), 0), IF($B27='Project List References'!$B$5, _xlfn.IFNA(_xlfn.XLOOKUP(P$2-$C27, 'GEN-BESS'!$D$7:$AW$7, 'GEN-BESS'!$D$43:$AW$43), 0), IF($B27='Project List References'!$B$6, _xlfn.IFNA(_xlfn.XLOOKUP(P$2-$C27, 'GEN-CARBON'!$D$7:$AW$7, 'GEN-CARBON'!$D$43:$AW$43), 0), IF($B27='Project List References'!$B$7, _xlfn.IFNA(_xlfn.XLOOKUP(P$2-$C27, 'SENS Coal'!$D$7:$AW$7, 'SENS Coal'!$D$43:$AW$43), 0), IF($B27='Project List References'!$B$8, _xlfn.IFNA(_xlfn.XLOOKUP(P$2-$C27,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Q27" s="743" t="e">
        <f>IF($B27='Project List References'!$B$3, _xlfn.IFNA(_xlfn.XLOOKUP(Q$2-$C27, 'GEN-CCGT'!$D$7:$AW$7, 'GEN-CCGT'!$D$43:$AW$43), 0), IF($B27='Project List References'!$B$4, _xlfn.IFNA(_xlfn.XLOOKUP(Q$2-$C27, 'GEN-SOLAR'!$D$7:$AW$7, 'GEN-SOLAR'!$D$43:$AW$43), 0), IF($B27='Project List References'!$B$5, _xlfn.IFNA(_xlfn.XLOOKUP(Q$2-$C27, 'GEN-BESS'!$D$7:$AW$7, 'GEN-BESS'!$D$43:$AW$43), 0), IF($B27='Project List References'!$B$6, _xlfn.IFNA(_xlfn.XLOOKUP(Q$2-$C27, 'GEN-CARBON'!$D$7:$AW$7, 'GEN-CARBON'!$D$43:$AW$43), 0), IF($B27='Project List References'!$B$7, _xlfn.IFNA(_xlfn.XLOOKUP(Q$2-$C27, 'SENS Coal'!$D$7:$AW$7, 'SENS Coal'!$D$43:$AW$43), 0), IF($B27='Project List References'!$B$8, _xlfn.IFNA(_xlfn.XLOOKUP(Q$2-$C27,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R27" s="743" t="e">
        <f>IF($B27='Project List References'!$B$3, _xlfn.IFNA(_xlfn.XLOOKUP(R$2-$C27, 'GEN-CCGT'!$D$7:$AW$7, 'GEN-CCGT'!$D$43:$AW$43), 0), IF($B27='Project List References'!$B$4, _xlfn.IFNA(_xlfn.XLOOKUP(R$2-$C27, 'GEN-SOLAR'!$D$7:$AW$7, 'GEN-SOLAR'!$D$43:$AW$43), 0), IF($B27='Project List References'!$B$5, _xlfn.IFNA(_xlfn.XLOOKUP(R$2-$C27, 'GEN-BESS'!$D$7:$AW$7, 'GEN-BESS'!$D$43:$AW$43), 0), IF($B27='Project List References'!$B$6, _xlfn.IFNA(_xlfn.XLOOKUP(R$2-$C27, 'GEN-CARBON'!$D$7:$AW$7, 'GEN-CARBON'!$D$43:$AW$43), 0), IF($B27='Project List References'!$B$7, _xlfn.IFNA(_xlfn.XLOOKUP(R$2-$C27, 'SENS Coal'!$D$7:$AW$7, 'SENS Coal'!$D$43:$AW$43), 0), IF($B27='Project List References'!$B$8, _xlfn.IFNA(_xlfn.XLOOKUP(R$2-$C27,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S27" s="743" t="e">
        <f>IF($B27='Project List References'!$B$3, _xlfn.IFNA(_xlfn.XLOOKUP(S$2-$C27, 'GEN-CCGT'!$D$7:$AW$7, 'GEN-CCGT'!$D$43:$AW$43), 0), IF($B27='Project List References'!$B$4, _xlfn.IFNA(_xlfn.XLOOKUP(S$2-$C27, 'GEN-SOLAR'!$D$7:$AW$7, 'GEN-SOLAR'!$D$43:$AW$43), 0), IF($B27='Project List References'!$B$5, _xlfn.IFNA(_xlfn.XLOOKUP(S$2-$C27, 'GEN-BESS'!$D$7:$AW$7, 'GEN-BESS'!$D$43:$AW$43), 0), IF($B27='Project List References'!$B$6, _xlfn.IFNA(_xlfn.XLOOKUP(S$2-$C27, 'GEN-CARBON'!$D$7:$AW$7, 'GEN-CARBON'!$D$43:$AW$43), 0), IF($B27='Project List References'!$B$7, _xlfn.IFNA(_xlfn.XLOOKUP(S$2-$C27, 'SENS Coal'!$D$7:$AW$7, 'SENS Coal'!$D$43:$AW$43), 0), IF($B27='Project List References'!$B$8, _xlfn.IFNA(_xlfn.XLOOKUP(S$2-$C27,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T27" s="743" t="e">
        <f>IF($B27='Project List References'!$B$3, _xlfn.IFNA(_xlfn.XLOOKUP(T$2-$C27, 'GEN-CCGT'!$D$7:$AW$7, 'GEN-CCGT'!$D$43:$AW$43), 0), IF($B27='Project List References'!$B$4, _xlfn.IFNA(_xlfn.XLOOKUP(T$2-$C27, 'GEN-SOLAR'!$D$7:$AW$7, 'GEN-SOLAR'!$D$43:$AW$43), 0), IF($B27='Project List References'!$B$5, _xlfn.IFNA(_xlfn.XLOOKUP(T$2-$C27, 'GEN-BESS'!$D$7:$AW$7, 'GEN-BESS'!$D$43:$AW$43), 0), IF($B27='Project List References'!$B$6, _xlfn.IFNA(_xlfn.XLOOKUP(T$2-$C27, 'GEN-CARBON'!$D$7:$AW$7, 'GEN-CARBON'!$D$43:$AW$43), 0), IF($B27='Project List References'!$B$7, _xlfn.IFNA(_xlfn.XLOOKUP(T$2-$C27, 'SENS Coal'!$D$7:$AW$7, 'SENS Coal'!$D$43:$AW$43), 0), IF($B27='Project List References'!$B$8, _xlfn.IFNA(_xlfn.XLOOKUP(T$2-$C27, 'SENS Tires'!$D$7:$AW$7, 'SENS Tires'!$D$43:$AW$43),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</row>
    <row r="28" spans="1:20">
      <c r="A28" s="655" t="str">
        <f>IF(ISBLANK('Project Master Sheet'!A28)=FALSE, 'Project Master Sheet'!A28, "")</f>
        <v/>
      </c>
      <c r="B28" s="655" t="str">
        <f>_xlfn.IFNA(_xlfn.XLOOKUP(A28, 'Project Master Sheet'!A:A, 'Project Master Sheet'!D:D), "")</f>
        <v/>
      </c>
      <c r="C28" s="655" t="e">
        <f>_xlfn.XLOOKUP('Project OPEX'!A28, 'Project Master Sheet'!A:A, 'Project Master Sheet'!I:I)</f>
        <v>#N/A</v>
      </c>
      <c r="E28" s="743" t="e">
        <f>IF($B28='Project List References'!$B$3, _xlfn.IFNA(_xlfn.XLOOKUP(E$2-$C28, 'GEN-CCGT'!$D$7:$AW$7, 'GEN-CCGT'!$D$43:$AW$43), 0), IF($B28='Project List References'!$B$4, _xlfn.IFNA(_xlfn.XLOOKUP(E$2-$C28, 'GEN-SOLAR'!$D$7:$AW$7, 'GEN-SOLAR'!$D$43:$AW$43), 0), IF($B28='Project List References'!$B$5, _xlfn.IFNA(_xlfn.XLOOKUP(E$2-$C28, 'GEN-BESS'!$D$7:$AW$7, 'GEN-BESS'!$D$43:$AW$43), 0), IF($B28='Project List References'!$B$6, _xlfn.IFNA(_xlfn.XLOOKUP(E$2-$C28, 'GEN-CARBON'!$D$7:$AW$7, 'GEN-CARBON'!$D$43:$AW$43), 0), IF($B28='Project List References'!$B$7, _xlfn.IFNA(_xlfn.XLOOKUP(E$2-$C28, 'SENS Coal'!$D$7:$AW$7, 'SENS Coal'!$D$43:$AW$43), 0), IF($B28='Project List References'!$B$8, _xlfn.IFNA(_xlfn.XLOOKUP(E$2-$C28,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F28" s="743" t="e">
        <f>IF($B28='Project List References'!$B$3, _xlfn.IFNA(_xlfn.XLOOKUP(F$2-$C28, 'GEN-CCGT'!$D$7:$AW$7, 'GEN-CCGT'!$D$43:$AW$43), 0), IF($B28='Project List References'!$B$4, _xlfn.IFNA(_xlfn.XLOOKUP(F$2-$C28, 'GEN-SOLAR'!$D$7:$AW$7, 'GEN-SOLAR'!$D$43:$AW$43), 0), IF($B28='Project List References'!$B$5, _xlfn.IFNA(_xlfn.XLOOKUP(F$2-$C28, 'GEN-BESS'!$D$7:$AW$7, 'GEN-BESS'!$D$43:$AW$43), 0), IF($B28='Project List References'!$B$6, _xlfn.IFNA(_xlfn.XLOOKUP(F$2-$C28, 'GEN-CARBON'!$D$7:$AW$7, 'GEN-CARBON'!$D$43:$AW$43), 0), IF($B28='Project List References'!$B$7, _xlfn.IFNA(_xlfn.XLOOKUP(F$2-$C28, 'SENS Coal'!$D$7:$AW$7, 'SENS Coal'!$D$43:$AW$43), 0), IF($B28='Project List References'!$B$8, _xlfn.IFNA(_xlfn.XLOOKUP(F$2-$C28,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G28" s="743" t="e">
        <f>IF($B28='Project List References'!$B$3, _xlfn.IFNA(_xlfn.XLOOKUP(G$2-$C28, 'GEN-CCGT'!$D$7:$AW$7, 'GEN-CCGT'!$D$43:$AW$43), 0), IF($B28='Project List References'!$B$4, _xlfn.IFNA(_xlfn.XLOOKUP(G$2-$C28, 'GEN-SOLAR'!$D$7:$AW$7, 'GEN-SOLAR'!$D$43:$AW$43), 0), IF($B28='Project List References'!$B$5, _xlfn.IFNA(_xlfn.XLOOKUP(G$2-$C28, 'GEN-BESS'!$D$7:$AW$7, 'GEN-BESS'!$D$43:$AW$43), 0), IF($B28='Project List References'!$B$6, _xlfn.IFNA(_xlfn.XLOOKUP(G$2-$C28, 'GEN-CARBON'!$D$7:$AW$7, 'GEN-CARBON'!$D$43:$AW$43), 0), IF($B28='Project List References'!$B$7, _xlfn.IFNA(_xlfn.XLOOKUP(G$2-$C28, 'SENS Coal'!$D$7:$AW$7, 'SENS Coal'!$D$43:$AW$43), 0), IF($B28='Project List References'!$B$8, _xlfn.IFNA(_xlfn.XLOOKUP(G$2-$C28,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H28" s="743" t="e">
        <f>IF($B28='Project List References'!$B$3, _xlfn.IFNA(_xlfn.XLOOKUP(H$2-$C28, 'GEN-CCGT'!$D$7:$AW$7, 'GEN-CCGT'!$D$43:$AW$43), 0), IF($B28='Project List References'!$B$4, _xlfn.IFNA(_xlfn.XLOOKUP(H$2-$C28, 'GEN-SOLAR'!$D$7:$AW$7, 'GEN-SOLAR'!$D$43:$AW$43), 0), IF($B28='Project List References'!$B$5, _xlfn.IFNA(_xlfn.XLOOKUP(H$2-$C28, 'GEN-BESS'!$D$7:$AW$7, 'GEN-BESS'!$D$43:$AW$43), 0), IF($B28='Project List References'!$B$6, _xlfn.IFNA(_xlfn.XLOOKUP(H$2-$C28, 'GEN-CARBON'!$D$7:$AW$7, 'GEN-CARBON'!$D$43:$AW$43), 0), IF($B28='Project List References'!$B$7, _xlfn.IFNA(_xlfn.XLOOKUP(H$2-$C28, 'SENS Coal'!$D$7:$AW$7, 'SENS Coal'!$D$43:$AW$43), 0), IF($B28='Project List References'!$B$8, _xlfn.IFNA(_xlfn.XLOOKUP(H$2-$C28,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I28" s="743" t="e">
        <f>IF($B28='Project List References'!$B$3, _xlfn.IFNA(_xlfn.XLOOKUP(I$2-$C28, 'GEN-CCGT'!$D$7:$AW$7, 'GEN-CCGT'!$D$43:$AW$43), 0), IF($B28='Project List References'!$B$4, _xlfn.IFNA(_xlfn.XLOOKUP(I$2-$C28, 'GEN-SOLAR'!$D$7:$AW$7, 'GEN-SOLAR'!$D$43:$AW$43), 0), IF($B28='Project List References'!$B$5, _xlfn.IFNA(_xlfn.XLOOKUP(I$2-$C28, 'GEN-BESS'!$D$7:$AW$7, 'GEN-BESS'!$D$43:$AW$43), 0), IF($B28='Project List References'!$B$6, _xlfn.IFNA(_xlfn.XLOOKUP(I$2-$C28, 'GEN-CARBON'!$D$7:$AW$7, 'GEN-CARBON'!$D$43:$AW$43), 0), IF($B28='Project List References'!$B$7, _xlfn.IFNA(_xlfn.XLOOKUP(I$2-$C28, 'SENS Coal'!$D$7:$AW$7, 'SENS Coal'!$D$43:$AW$43), 0), IF($B28='Project List References'!$B$8, _xlfn.IFNA(_xlfn.XLOOKUP(I$2-$C28,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J28" s="743" t="e">
        <f>IF($B28='Project List References'!$B$3, _xlfn.IFNA(_xlfn.XLOOKUP(J$2-$C28, 'GEN-CCGT'!$D$7:$AW$7, 'GEN-CCGT'!$D$43:$AW$43), 0), IF($B28='Project List References'!$B$4, _xlfn.IFNA(_xlfn.XLOOKUP(J$2-$C28, 'GEN-SOLAR'!$D$7:$AW$7, 'GEN-SOLAR'!$D$43:$AW$43), 0), IF($B28='Project List References'!$B$5, _xlfn.IFNA(_xlfn.XLOOKUP(J$2-$C28, 'GEN-BESS'!$D$7:$AW$7, 'GEN-BESS'!$D$43:$AW$43), 0), IF($B28='Project List References'!$B$6, _xlfn.IFNA(_xlfn.XLOOKUP(J$2-$C28, 'GEN-CARBON'!$D$7:$AW$7, 'GEN-CARBON'!$D$43:$AW$43), 0), IF($B28='Project List References'!$B$7, _xlfn.IFNA(_xlfn.XLOOKUP(J$2-$C28, 'SENS Coal'!$D$7:$AW$7, 'SENS Coal'!$D$43:$AW$43), 0), IF($B28='Project List References'!$B$8, _xlfn.IFNA(_xlfn.XLOOKUP(J$2-$C28,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K28" s="743" t="e">
        <f>IF($B28='Project List References'!$B$3, _xlfn.IFNA(_xlfn.XLOOKUP(K$2-$C28, 'GEN-CCGT'!$D$7:$AW$7, 'GEN-CCGT'!$D$43:$AW$43), 0), IF($B28='Project List References'!$B$4, _xlfn.IFNA(_xlfn.XLOOKUP(K$2-$C28, 'GEN-SOLAR'!$D$7:$AW$7, 'GEN-SOLAR'!$D$43:$AW$43), 0), IF($B28='Project List References'!$B$5, _xlfn.IFNA(_xlfn.XLOOKUP(K$2-$C28, 'GEN-BESS'!$D$7:$AW$7, 'GEN-BESS'!$D$43:$AW$43), 0), IF($B28='Project List References'!$B$6, _xlfn.IFNA(_xlfn.XLOOKUP(K$2-$C28, 'GEN-CARBON'!$D$7:$AW$7, 'GEN-CARBON'!$D$43:$AW$43), 0), IF($B28='Project List References'!$B$7, _xlfn.IFNA(_xlfn.XLOOKUP(K$2-$C28, 'SENS Coal'!$D$7:$AW$7, 'SENS Coal'!$D$43:$AW$43), 0), IF($B28='Project List References'!$B$8, _xlfn.IFNA(_xlfn.XLOOKUP(K$2-$C28,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L28" s="743" t="e">
        <f>IF($B28='Project List References'!$B$3, _xlfn.IFNA(_xlfn.XLOOKUP(L$2-$C28, 'GEN-CCGT'!$D$7:$AW$7, 'GEN-CCGT'!$D$43:$AW$43), 0), IF($B28='Project List References'!$B$4, _xlfn.IFNA(_xlfn.XLOOKUP(L$2-$C28, 'GEN-SOLAR'!$D$7:$AW$7, 'GEN-SOLAR'!$D$43:$AW$43), 0), IF($B28='Project List References'!$B$5, _xlfn.IFNA(_xlfn.XLOOKUP(L$2-$C28, 'GEN-BESS'!$D$7:$AW$7, 'GEN-BESS'!$D$43:$AW$43), 0), IF($B28='Project List References'!$B$6, _xlfn.IFNA(_xlfn.XLOOKUP(L$2-$C28, 'GEN-CARBON'!$D$7:$AW$7, 'GEN-CARBON'!$D$43:$AW$43), 0), IF($B28='Project List References'!$B$7, _xlfn.IFNA(_xlfn.XLOOKUP(L$2-$C28, 'SENS Coal'!$D$7:$AW$7, 'SENS Coal'!$D$43:$AW$43), 0), IF($B28='Project List References'!$B$8, _xlfn.IFNA(_xlfn.XLOOKUP(L$2-$C28,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M28" s="743" t="e">
        <f>IF($B28='Project List References'!$B$3, _xlfn.IFNA(_xlfn.XLOOKUP(M$2-$C28, 'GEN-CCGT'!$D$7:$AW$7, 'GEN-CCGT'!$D$43:$AW$43), 0), IF($B28='Project List References'!$B$4, _xlfn.IFNA(_xlfn.XLOOKUP(M$2-$C28, 'GEN-SOLAR'!$D$7:$AW$7, 'GEN-SOLAR'!$D$43:$AW$43), 0), IF($B28='Project List References'!$B$5, _xlfn.IFNA(_xlfn.XLOOKUP(M$2-$C28, 'GEN-BESS'!$D$7:$AW$7, 'GEN-BESS'!$D$43:$AW$43), 0), IF($B28='Project List References'!$B$6, _xlfn.IFNA(_xlfn.XLOOKUP(M$2-$C28, 'GEN-CARBON'!$D$7:$AW$7, 'GEN-CARBON'!$D$43:$AW$43), 0), IF($B28='Project List References'!$B$7, _xlfn.IFNA(_xlfn.XLOOKUP(M$2-$C28, 'SENS Coal'!$D$7:$AW$7, 'SENS Coal'!$D$43:$AW$43), 0), IF($B28='Project List References'!$B$8, _xlfn.IFNA(_xlfn.XLOOKUP(M$2-$C28,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N28" s="743" t="e">
        <f>IF($B28='Project List References'!$B$3, _xlfn.IFNA(_xlfn.XLOOKUP(N$2-$C28, 'GEN-CCGT'!$D$7:$AW$7, 'GEN-CCGT'!$D$43:$AW$43), 0), IF($B28='Project List References'!$B$4, _xlfn.IFNA(_xlfn.XLOOKUP(N$2-$C28, 'GEN-SOLAR'!$D$7:$AW$7, 'GEN-SOLAR'!$D$43:$AW$43), 0), IF($B28='Project List References'!$B$5, _xlfn.IFNA(_xlfn.XLOOKUP(N$2-$C28, 'GEN-BESS'!$D$7:$AW$7, 'GEN-BESS'!$D$43:$AW$43), 0), IF($B28='Project List References'!$B$6, _xlfn.IFNA(_xlfn.XLOOKUP(N$2-$C28, 'GEN-CARBON'!$D$7:$AW$7, 'GEN-CARBON'!$D$43:$AW$43), 0), IF($B28='Project List References'!$B$7, _xlfn.IFNA(_xlfn.XLOOKUP(N$2-$C28, 'SENS Coal'!$D$7:$AW$7, 'SENS Coal'!$D$43:$AW$43), 0), IF($B28='Project List References'!$B$8, _xlfn.IFNA(_xlfn.XLOOKUP(N$2-$C28,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O28" s="743" t="e">
        <f>IF($B28='Project List References'!$B$3, _xlfn.IFNA(_xlfn.XLOOKUP(O$2-$C28, 'GEN-CCGT'!$D$7:$AW$7, 'GEN-CCGT'!$D$43:$AW$43), 0), IF($B28='Project List References'!$B$4, _xlfn.IFNA(_xlfn.XLOOKUP(O$2-$C28, 'GEN-SOLAR'!$D$7:$AW$7, 'GEN-SOLAR'!$D$43:$AW$43), 0), IF($B28='Project List References'!$B$5, _xlfn.IFNA(_xlfn.XLOOKUP(O$2-$C28, 'GEN-BESS'!$D$7:$AW$7, 'GEN-BESS'!$D$43:$AW$43), 0), IF($B28='Project List References'!$B$6, _xlfn.IFNA(_xlfn.XLOOKUP(O$2-$C28, 'GEN-CARBON'!$D$7:$AW$7, 'GEN-CARBON'!$D$43:$AW$43), 0), IF($B28='Project List References'!$B$7, _xlfn.IFNA(_xlfn.XLOOKUP(O$2-$C28, 'SENS Coal'!$D$7:$AW$7, 'SENS Coal'!$D$43:$AW$43), 0), IF($B28='Project List References'!$B$8, _xlfn.IFNA(_xlfn.XLOOKUP(O$2-$C28,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P28" s="743" t="e">
        <f>IF($B28='Project List References'!$B$3, _xlfn.IFNA(_xlfn.XLOOKUP(P$2-$C28, 'GEN-CCGT'!$D$7:$AW$7, 'GEN-CCGT'!$D$43:$AW$43), 0), IF($B28='Project List References'!$B$4, _xlfn.IFNA(_xlfn.XLOOKUP(P$2-$C28, 'GEN-SOLAR'!$D$7:$AW$7, 'GEN-SOLAR'!$D$43:$AW$43), 0), IF($B28='Project List References'!$B$5, _xlfn.IFNA(_xlfn.XLOOKUP(P$2-$C28, 'GEN-BESS'!$D$7:$AW$7, 'GEN-BESS'!$D$43:$AW$43), 0), IF($B28='Project List References'!$B$6, _xlfn.IFNA(_xlfn.XLOOKUP(P$2-$C28, 'GEN-CARBON'!$D$7:$AW$7, 'GEN-CARBON'!$D$43:$AW$43), 0), IF($B28='Project List References'!$B$7, _xlfn.IFNA(_xlfn.XLOOKUP(P$2-$C28, 'SENS Coal'!$D$7:$AW$7, 'SENS Coal'!$D$43:$AW$43), 0), IF($B28='Project List References'!$B$8, _xlfn.IFNA(_xlfn.XLOOKUP(P$2-$C28,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Q28" s="743" t="e">
        <f>IF($B28='Project List References'!$B$3, _xlfn.IFNA(_xlfn.XLOOKUP(Q$2-$C28, 'GEN-CCGT'!$D$7:$AW$7, 'GEN-CCGT'!$D$43:$AW$43), 0), IF($B28='Project List References'!$B$4, _xlfn.IFNA(_xlfn.XLOOKUP(Q$2-$C28, 'GEN-SOLAR'!$D$7:$AW$7, 'GEN-SOLAR'!$D$43:$AW$43), 0), IF($B28='Project List References'!$B$5, _xlfn.IFNA(_xlfn.XLOOKUP(Q$2-$C28, 'GEN-BESS'!$D$7:$AW$7, 'GEN-BESS'!$D$43:$AW$43), 0), IF($B28='Project List References'!$B$6, _xlfn.IFNA(_xlfn.XLOOKUP(Q$2-$C28, 'GEN-CARBON'!$D$7:$AW$7, 'GEN-CARBON'!$D$43:$AW$43), 0), IF($B28='Project List References'!$B$7, _xlfn.IFNA(_xlfn.XLOOKUP(Q$2-$C28, 'SENS Coal'!$D$7:$AW$7, 'SENS Coal'!$D$43:$AW$43), 0), IF($B28='Project List References'!$B$8, _xlfn.IFNA(_xlfn.XLOOKUP(Q$2-$C28,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R28" s="743" t="e">
        <f>IF($B28='Project List References'!$B$3, _xlfn.IFNA(_xlfn.XLOOKUP(R$2-$C28, 'GEN-CCGT'!$D$7:$AW$7, 'GEN-CCGT'!$D$43:$AW$43), 0), IF($B28='Project List References'!$B$4, _xlfn.IFNA(_xlfn.XLOOKUP(R$2-$C28, 'GEN-SOLAR'!$D$7:$AW$7, 'GEN-SOLAR'!$D$43:$AW$43), 0), IF($B28='Project List References'!$B$5, _xlfn.IFNA(_xlfn.XLOOKUP(R$2-$C28, 'GEN-BESS'!$D$7:$AW$7, 'GEN-BESS'!$D$43:$AW$43), 0), IF($B28='Project List References'!$B$6, _xlfn.IFNA(_xlfn.XLOOKUP(R$2-$C28, 'GEN-CARBON'!$D$7:$AW$7, 'GEN-CARBON'!$D$43:$AW$43), 0), IF($B28='Project List References'!$B$7, _xlfn.IFNA(_xlfn.XLOOKUP(R$2-$C28, 'SENS Coal'!$D$7:$AW$7, 'SENS Coal'!$D$43:$AW$43), 0), IF($B28='Project List References'!$B$8, _xlfn.IFNA(_xlfn.XLOOKUP(R$2-$C28,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S28" s="743" t="e">
        <f>IF($B28='Project List References'!$B$3, _xlfn.IFNA(_xlfn.XLOOKUP(S$2-$C28, 'GEN-CCGT'!$D$7:$AW$7, 'GEN-CCGT'!$D$43:$AW$43), 0), IF($B28='Project List References'!$B$4, _xlfn.IFNA(_xlfn.XLOOKUP(S$2-$C28, 'GEN-SOLAR'!$D$7:$AW$7, 'GEN-SOLAR'!$D$43:$AW$43), 0), IF($B28='Project List References'!$B$5, _xlfn.IFNA(_xlfn.XLOOKUP(S$2-$C28, 'GEN-BESS'!$D$7:$AW$7, 'GEN-BESS'!$D$43:$AW$43), 0), IF($B28='Project List References'!$B$6, _xlfn.IFNA(_xlfn.XLOOKUP(S$2-$C28, 'GEN-CARBON'!$D$7:$AW$7, 'GEN-CARBON'!$D$43:$AW$43), 0), IF($B28='Project List References'!$B$7, _xlfn.IFNA(_xlfn.XLOOKUP(S$2-$C28, 'SENS Coal'!$D$7:$AW$7, 'SENS Coal'!$D$43:$AW$43), 0), IF($B28='Project List References'!$B$8, _xlfn.IFNA(_xlfn.XLOOKUP(S$2-$C28,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T28" s="743" t="e">
        <f>IF($B28='Project List References'!$B$3, _xlfn.IFNA(_xlfn.XLOOKUP(T$2-$C28, 'GEN-CCGT'!$D$7:$AW$7, 'GEN-CCGT'!$D$43:$AW$43), 0), IF($B28='Project List References'!$B$4, _xlfn.IFNA(_xlfn.XLOOKUP(T$2-$C28, 'GEN-SOLAR'!$D$7:$AW$7, 'GEN-SOLAR'!$D$43:$AW$43), 0), IF($B28='Project List References'!$B$5, _xlfn.IFNA(_xlfn.XLOOKUP(T$2-$C28, 'GEN-BESS'!$D$7:$AW$7, 'GEN-BESS'!$D$43:$AW$43), 0), IF($B28='Project List References'!$B$6, _xlfn.IFNA(_xlfn.XLOOKUP(T$2-$C28, 'GEN-CARBON'!$D$7:$AW$7, 'GEN-CARBON'!$D$43:$AW$43), 0), IF($B28='Project List References'!$B$7, _xlfn.IFNA(_xlfn.XLOOKUP(T$2-$C28, 'SENS Coal'!$D$7:$AW$7, 'SENS Coal'!$D$43:$AW$43), 0), IF($B28='Project List References'!$B$8, _xlfn.IFNA(_xlfn.XLOOKUP(T$2-$C28, 'SENS Tires'!$D$7:$AW$7, 'SENS Tires'!$D$43:$AW$43),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</row>
    <row r="29" spans="1:20">
      <c r="A29" s="655" t="str">
        <f>IF(ISBLANK('Project Master Sheet'!A29)=FALSE, 'Project Master Sheet'!A29, "")</f>
        <v/>
      </c>
      <c r="B29" s="655" t="str">
        <f>_xlfn.IFNA(_xlfn.XLOOKUP(A29, 'Project Master Sheet'!A:A, 'Project Master Sheet'!D:D), "")</f>
        <v/>
      </c>
      <c r="C29" s="655" t="e">
        <f>_xlfn.XLOOKUP('Project OPEX'!A29, 'Project Master Sheet'!A:A, 'Project Master Sheet'!I:I)</f>
        <v>#N/A</v>
      </c>
      <c r="E29" s="743" t="e">
        <f>IF($B29='Project List References'!$B$3, _xlfn.IFNA(_xlfn.XLOOKUP(E$2-$C29, 'GEN-CCGT'!$D$7:$AW$7, 'GEN-CCGT'!$D$43:$AW$43), 0), IF($B29='Project List References'!$B$4, _xlfn.IFNA(_xlfn.XLOOKUP(E$2-$C29, 'GEN-SOLAR'!$D$7:$AW$7, 'GEN-SOLAR'!$D$43:$AW$43), 0), IF($B29='Project List References'!$B$5, _xlfn.IFNA(_xlfn.XLOOKUP(E$2-$C29, 'GEN-BESS'!$D$7:$AW$7, 'GEN-BESS'!$D$43:$AW$43), 0), IF($B29='Project List References'!$B$6, _xlfn.IFNA(_xlfn.XLOOKUP(E$2-$C29, 'GEN-CARBON'!$D$7:$AW$7, 'GEN-CARBON'!$D$43:$AW$43), 0), IF($B29='Project List References'!$B$7, _xlfn.IFNA(_xlfn.XLOOKUP(E$2-$C29, 'SENS Coal'!$D$7:$AW$7, 'SENS Coal'!$D$43:$AW$43), 0), IF($B29='Project List References'!$B$8, _xlfn.IFNA(_xlfn.XLOOKUP(E$2-$C29,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F29" s="743" t="e">
        <f>IF($B29='Project List References'!$B$3, _xlfn.IFNA(_xlfn.XLOOKUP(F$2-$C29, 'GEN-CCGT'!$D$7:$AW$7, 'GEN-CCGT'!$D$43:$AW$43), 0), IF($B29='Project List References'!$B$4, _xlfn.IFNA(_xlfn.XLOOKUP(F$2-$C29, 'GEN-SOLAR'!$D$7:$AW$7, 'GEN-SOLAR'!$D$43:$AW$43), 0), IF($B29='Project List References'!$B$5, _xlfn.IFNA(_xlfn.XLOOKUP(F$2-$C29, 'GEN-BESS'!$D$7:$AW$7, 'GEN-BESS'!$D$43:$AW$43), 0), IF($B29='Project List References'!$B$6, _xlfn.IFNA(_xlfn.XLOOKUP(F$2-$C29, 'GEN-CARBON'!$D$7:$AW$7, 'GEN-CARBON'!$D$43:$AW$43), 0), IF($B29='Project List References'!$B$7, _xlfn.IFNA(_xlfn.XLOOKUP(F$2-$C29, 'SENS Coal'!$D$7:$AW$7, 'SENS Coal'!$D$43:$AW$43), 0), IF($B29='Project List References'!$B$8, _xlfn.IFNA(_xlfn.XLOOKUP(F$2-$C29,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G29" s="743" t="e">
        <f>IF($B29='Project List References'!$B$3, _xlfn.IFNA(_xlfn.XLOOKUP(G$2-$C29, 'GEN-CCGT'!$D$7:$AW$7, 'GEN-CCGT'!$D$43:$AW$43), 0), IF($B29='Project List References'!$B$4, _xlfn.IFNA(_xlfn.XLOOKUP(G$2-$C29, 'GEN-SOLAR'!$D$7:$AW$7, 'GEN-SOLAR'!$D$43:$AW$43), 0), IF($B29='Project List References'!$B$5, _xlfn.IFNA(_xlfn.XLOOKUP(G$2-$C29, 'GEN-BESS'!$D$7:$AW$7, 'GEN-BESS'!$D$43:$AW$43), 0), IF($B29='Project List References'!$B$6, _xlfn.IFNA(_xlfn.XLOOKUP(G$2-$C29, 'GEN-CARBON'!$D$7:$AW$7, 'GEN-CARBON'!$D$43:$AW$43), 0), IF($B29='Project List References'!$B$7, _xlfn.IFNA(_xlfn.XLOOKUP(G$2-$C29, 'SENS Coal'!$D$7:$AW$7, 'SENS Coal'!$D$43:$AW$43), 0), IF($B29='Project List References'!$B$8, _xlfn.IFNA(_xlfn.XLOOKUP(G$2-$C29,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H29" s="743" t="e">
        <f>IF($B29='Project List References'!$B$3, _xlfn.IFNA(_xlfn.XLOOKUP(H$2-$C29, 'GEN-CCGT'!$D$7:$AW$7, 'GEN-CCGT'!$D$43:$AW$43), 0), IF($B29='Project List References'!$B$4, _xlfn.IFNA(_xlfn.XLOOKUP(H$2-$C29, 'GEN-SOLAR'!$D$7:$AW$7, 'GEN-SOLAR'!$D$43:$AW$43), 0), IF($B29='Project List References'!$B$5, _xlfn.IFNA(_xlfn.XLOOKUP(H$2-$C29, 'GEN-BESS'!$D$7:$AW$7, 'GEN-BESS'!$D$43:$AW$43), 0), IF($B29='Project List References'!$B$6, _xlfn.IFNA(_xlfn.XLOOKUP(H$2-$C29, 'GEN-CARBON'!$D$7:$AW$7, 'GEN-CARBON'!$D$43:$AW$43), 0), IF($B29='Project List References'!$B$7, _xlfn.IFNA(_xlfn.XLOOKUP(H$2-$C29, 'SENS Coal'!$D$7:$AW$7, 'SENS Coal'!$D$43:$AW$43), 0), IF($B29='Project List References'!$B$8, _xlfn.IFNA(_xlfn.XLOOKUP(H$2-$C29,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I29" s="743" t="e">
        <f>IF($B29='Project List References'!$B$3, _xlfn.IFNA(_xlfn.XLOOKUP(I$2-$C29, 'GEN-CCGT'!$D$7:$AW$7, 'GEN-CCGT'!$D$43:$AW$43), 0), IF($B29='Project List References'!$B$4, _xlfn.IFNA(_xlfn.XLOOKUP(I$2-$C29, 'GEN-SOLAR'!$D$7:$AW$7, 'GEN-SOLAR'!$D$43:$AW$43), 0), IF($B29='Project List References'!$B$5, _xlfn.IFNA(_xlfn.XLOOKUP(I$2-$C29, 'GEN-BESS'!$D$7:$AW$7, 'GEN-BESS'!$D$43:$AW$43), 0), IF($B29='Project List References'!$B$6, _xlfn.IFNA(_xlfn.XLOOKUP(I$2-$C29, 'GEN-CARBON'!$D$7:$AW$7, 'GEN-CARBON'!$D$43:$AW$43), 0), IF($B29='Project List References'!$B$7, _xlfn.IFNA(_xlfn.XLOOKUP(I$2-$C29, 'SENS Coal'!$D$7:$AW$7, 'SENS Coal'!$D$43:$AW$43), 0), IF($B29='Project List References'!$B$8, _xlfn.IFNA(_xlfn.XLOOKUP(I$2-$C29,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J29" s="743" t="e">
        <f>IF($B29='Project List References'!$B$3, _xlfn.IFNA(_xlfn.XLOOKUP(J$2-$C29, 'GEN-CCGT'!$D$7:$AW$7, 'GEN-CCGT'!$D$43:$AW$43), 0), IF($B29='Project List References'!$B$4, _xlfn.IFNA(_xlfn.XLOOKUP(J$2-$C29, 'GEN-SOLAR'!$D$7:$AW$7, 'GEN-SOLAR'!$D$43:$AW$43), 0), IF($B29='Project List References'!$B$5, _xlfn.IFNA(_xlfn.XLOOKUP(J$2-$C29, 'GEN-BESS'!$D$7:$AW$7, 'GEN-BESS'!$D$43:$AW$43), 0), IF($B29='Project List References'!$B$6, _xlfn.IFNA(_xlfn.XLOOKUP(J$2-$C29, 'GEN-CARBON'!$D$7:$AW$7, 'GEN-CARBON'!$D$43:$AW$43), 0), IF($B29='Project List References'!$B$7, _xlfn.IFNA(_xlfn.XLOOKUP(J$2-$C29, 'SENS Coal'!$D$7:$AW$7, 'SENS Coal'!$D$43:$AW$43), 0), IF($B29='Project List References'!$B$8, _xlfn.IFNA(_xlfn.XLOOKUP(J$2-$C29,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K29" s="743" t="e">
        <f>IF($B29='Project List References'!$B$3, _xlfn.IFNA(_xlfn.XLOOKUP(K$2-$C29, 'GEN-CCGT'!$D$7:$AW$7, 'GEN-CCGT'!$D$43:$AW$43), 0), IF($B29='Project List References'!$B$4, _xlfn.IFNA(_xlfn.XLOOKUP(K$2-$C29, 'GEN-SOLAR'!$D$7:$AW$7, 'GEN-SOLAR'!$D$43:$AW$43), 0), IF($B29='Project List References'!$B$5, _xlfn.IFNA(_xlfn.XLOOKUP(K$2-$C29, 'GEN-BESS'!$D$7:$AW$7, 'GEN-BESS'!$D$43:$AW$43), 0), IF($B29='Project List References'!$B$6, _xlfn.IFNA(_xlfn.XLOOKUP(K$2-$C29, 'GEN-CARBON'!$D$7:$AW$7, 'GEN-CARBON'!$D$43:$AW$43), 0), IF($B29='Project List References'!$B$7, _xlfn.IFNA(_xlfn.XLOOKUP(K$2-$C29, 'SENS Coal'!$D$7:$AW$7, 'SENS Coal'!$D$43:$AW$43), 0), IF($B29='Project List References'!$B$8, _xlfn.IFNA(_xlfn.XLOOKUP(K$2-$C29,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L29" s="743" t="e">
        <f>IF($B29='Project List References'!$B$3, _xlfn.IFNA(_xlfn.XLOOKUP(L$2-$C29, 'GEN-CCGT'!$D$7:$AW$7, 'GEN-CCGT'!$D$43:$AW$43), 0), IF($B29='Project List References'!$B$4, _xlfn.IFNA(_xlfn.XLOOKUP(L$2-$C29, 'GEN-SOLAR'!$D$7:$AW$7, 'GEN-SOLAR'!$D$43:$AW$43), 0), IF($B29='Project List References'!$B$5, _xlfn.IFNA(_xlfn.XLOOKUP(L$2-$C29, 'GEN-BESS'!$D$7:$AW$7, 'GEN-BESS'!$D$43:$AW$43), 0), IF($B29='Project List References'!$B$6, _xlfn.IFNA(_xlfn.XLOOKUP(L$2-$C29, 'GEN-CARBON'!$D$7:$AW$7, 'GEN-CARBON'!$D$43:$AW$43), 0), IF($B29='Project List References'!$B$7, _xlfn.IFNA(_xlfn.XLOOKUP(L$2-$C29, 'SENS Coal'!$D$7:$AW$7, 'SENS Coal'!$D$43:$AW$43), 0), IF($B29='Project List References'!$B$8, _xlfn.IFNA(_xlfn.XLOOKUP(L$2-$C29,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M29" s="743" t="e">
        <f>IF($B29='Project List References'!$B$3, _xlfn.IFNA(_xlfn.XLOOKUP(M$2-$C29, 'GEN-CCGT'!$D$7:$AW$7, 'GEN-CCGT'!$D$43:$AW$43), 0), IF($B29='Project List References'!$B$4, _xlfn.IFNA(_xlfn.XLOOKUP(M$2-$C29, 'GEN-SOLAR'!$D$7:$AW$7, 'GEN-SOLAR'!$D$43:$AW$43), 0), IF($B29='Project List References'!$B$5, _xlfn.IFNA(_xlfn.XLOOKUP(M$2-$C29, 'GEN-BESS'!$D$7:$AW$7, 'GEN-BESS'!$D$43:$AW$43), 0), IF($B29='Project List References'!$B$6, _xlfn.IFNA(_xlfn.XLOOKUP(M$2-$C29, 'GEN-CARBON'!$D$7:$AW$7, 'GEN-CARBON'!$D$43:$AW$43), 0), IF($B29='Project List References'!$B$7, _xlfn.IFNA(_xlfn.XLOOKUP(M$2-$C29, 'SENS Coal'!$D$7:$AW$7, 'SENS Coal'!$D$43:$AW$43), 0), IF($B29='Project List References'!$B$8, _xlfn.IFNA(_xlfn.XLOOKUP(M$2-$C29,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N29" s="743" t="e">
        <f>IF($B29='Project List References'!$B$3, _xlfn.IFNA(_xlfn.XLOOKUP(N$2-$C29, 'GEN-CCGT'!$D$7:$AW$7, 'GEN-CCGT'!$D$43:$AW$43), 0), IF($B29='Project List References'!$B$4, _xlfn.IFNA(_xlfn.XLOOKUP(N$2-$C29, 'GEN-SOLAR'!$D$7:$AW$7, 'GEN-SOLAR'!$D$43:$AW$43), 0), IF($B29='Project List References'!$B$5, _xlfn.IFNA(_xlfn.XLOOKUP(N$2-$C29, 'GEN-BESS'!$D$7:$AW$7, 'GEN-BESS'!$D$43:$AW$43), 0), IF($B29='Project List References'!$B$6, _xlfn.IFNA(_xlfn.XLOOKUP(N$2-$C29, 'GEN-CARBON'!$D$7:$AW$7, 'GEN-CARBON'!$D$43:$AW$43), 0), IF($B29='Project List References'!$B$7, _xlfn.IFNA(_xlfn.XLOOKUP(N$2-$C29, 'SENS Coal'!$D$7:$AW$7, 'SENS Coal'!$D$43:$AW$43), 0), IF($B29='Project List References'!$B$8, _xlfn.IFNA(_xlfn.XLOOKUP(N$2-$C29,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O29" s="743" t="e">
        <f>IF($B29='Project List References'!$B$3, _xlfn.IFNA(_xlfn.XLOOKUP(O$2-$C29, 'GEN-CCGT'!$D$7:$AW$7, 'GEN-CCGT'!$D$43:$AW$43), 0), IF($B29='Project List References'!$B$4, _xlfn.IFNA(_xlfn.XLOOKUP(O$2-$C29, 'GEN-SOLAR'!$D$7:$AW$7, 'GEN-SOLAR'!$D$43:$AW$43), 0), IF($B29='Project List References'!$B$5, _xlfn.IFNA(_xlfn.XLOOKUP(O$2-$C29, 'GEN-BESS'!$D$7:$AW$7, 'GEN-BESS'!$D$43:$AW$43), 0), IF($B29='Project List References'!$B$6, _xlfn.IFNA(_xlfn.XLOOKUP(O$2-$C29, 'GEN-CARBON'!$D$7:$AW$7, 'GEN-CARBON'!$D$43:$AW$43), 0), IF($B29='Project List References'!$B$7, _xlfn.IFNA(_xlfn.XLOOKUP(O$2-$C29, 'SENS Coal'!$D$7:$AW$7, 'SENS Coal'!$D$43:$AW$43), 0), IF($B29='Project List References'!$B$8, _xlfn.IFNA(_xlfn.XLOOKUP(O$2-$C29,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P29" s="743" t="e">
        <f>IF($B29='Project List References'!$B$3, _xlfn.IFNA(_xlfn.XLOOKUP(P$2-$C29, 'GEN-CCGT'!$D$7:$AW$7, 'GEN-CCGT'!$D$43:$AW$43), 0), IF($B29='Project List References'!$B$4, _xlfn.IFNA(_xlfn.XLOOKUP(P$2-$C29, 'GEN-SOLAR'!$D$7:$AW$7, 'GEN-SOLAR'!$D$43:$AW$43), 0), IF($B29='Project List References'!$B$5, _xlfn.IFNA(_xlfn.XLOOKUP(P$2-$C29, 'GEN-BESS'!$D$7:$AW$7, 'GEN-BESS'!$D$43:$AW$43), 0), IF($B29='Project List References'!$B$6, _xlfn.IFNA(_xlfn.XLOOKUP(P$2-$C29, 'GEN-CARBON'!$D$7:$AW$7, 'GEN-CARBON'!$D$43:$AW$43), 0), IF($B29='Project List References'!$B$7, _xlfn.IFNA(_xlfn.XLOOKUP(P$2-$C29, 'SENS Coal'!$D$7:$AW$7, 'SENS Coal'!$D$43:$AW$43), 0), IF($B29='Project List References'!$B$8, _xlfn.IFNA(_xlfn.XLOOKUP(P$2-$C29,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Q29" s="743" t="e">
        <f>IF($B29='Project List References'!$B$3, _xlfn.IFNA(_xlfn.XLOOKUP(Q$2-$C29, 'GEN-CCGT'!$D$7:$AW$7, 'GEN-CCGT'!$D$43:$AW$43), 0), IF($B29='Project List References'!$B$4, _xlfn.IFNA(_xlfn.XLOOKUP(Q$2-$C29, 'GEN-SOLAR'!$D$7:$AW$7, 'GEN-SOLAR'!$D$43:$AW$43), 0), IF($B29='Project List References'!$B$5, _xlfn.IFNA(_xlfn.XLOOKUP(Q$2-$C29, 'GEN-BESS'!$D$7:$AW$7, 'GEN-BESS'!$D$43:$AW$43), 0), IF($B29='Project List References'!$B$6, _xlfn.IFNA(_xlfn.XLOOKUP(Q$2-$C29, 'GEN-CARBON'!$D$7:$AW$7, 'GEN-CARBON'!$D$43:$AW$43), 0), IF($B29='Project List References'!$B$7, _xlfn.IFNA(_xlfn.XLOOKUP(Q$2-$C29, 'SENS Coal'!$D$7:$AW$7, 'SENS Coal'!$D$43:$AW$43), 0), IF($B29='Project List References'!$B$8, _xlfn.IFNA(_xlfn.XLOOKUP(Q$2-$C29,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R29" s="743" t="e">
        <f>IF($B29='Project List References'!$B$3, _xlfn.IFNA(_xlfn.XLOOKUP(R$2-$C29, 'GEN-CCGT'!$D$7:$AW$7, 'GEN-CCGT'!$D$43:$AW$43), 0), IF($B29='Project List References'!$B$4, _xlfn.IFNA(_xlfn.XLOOKUP(R$2-$C29, 'GEN-SOLAR'!$D$7:$AW$7, 'GEN-SOLAR'!$D$43:$AW$43), 0), IF($B29='Project List References'!$B$5, _xlfn.IFNA(_xlfn.XLOOKUP(R$2-$C29, 'GEN-BESS'!$D$7:$AW$7, 'GEN-BESS'!$D$43:$AW$43), 0), IF($B29='Project List References'!$B$6, _xlfn.IFNA(_xlfn.XLOOKUP(R$2-$C29, 'GEN-CARBON'!$D$7:$AW$7, 'GEN-CARBON'!$D$43:$AW$43), 0), IF($B29='Project List References'!$B$7, _xlfn.IFNA(_xlfn.XLOOKUP(R$2-$C29, 'SENS Coal'!$D$7:$AW$7, 'SENS Coal'!$D$43:$AW$43), 0), IF($B29='Project List References'!$B$8, _xlfn.IFNA(_xlfn.XLOOKUP(R$2-$C29,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S29" s="743" t="e">
        <f>IF($B29='Project List References'!$B$3, _xlfn.IFNA(_xlfn.XLOOKUP(S$2-$C29, 'GEN-CCGT'!$D$7:$AW$7, 'GEN-CCGT'!$D$43:$AW$43), 0), IF($B29='Project List References'!$B$4, _xlfn.IFNA(_xlfn.XLOOKUP(S$2-$C29, 'GEN-SOLAR'!$D$7:$AW$7, 'GEN-SOLAR'!$D$43:$AW$43), 0), IF($B29='Project List References'!$B$5, _xlfn.IFNA(_xlfn.XLOOKUP(S$2-$C29, 'GEN-BESS'!$D$7:$AW$7, 'GEN-BESS'!$D$43:$AW$43), 0), IF($B29='Project List References'!$B$6, _xlfn.IFNA(_xlfn.XLOOKUP(S$2-$C29, 'GEN-CARBON'!$D$7:$AW$7, 'GEN-CARBON'!$D$43:$AW$43), 0), IF($B29='Project List References'!$B$7, _xlfn.IFNA(_xlfn.XLOOKUP(S$2-$C29, 'SENS Coal'!$D$7:$AW$7, 'SENS Coal'!$D$43:$AW$43), 0), IF($B29='Project List References'!$B$8, _xlfn.IFNA(_xlfn.XLOOKUP(S$2-$C29,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T29" s="743" t="e">
        <f>IF($B29='Project List References'!$B$3, _xlfn.IFNA(_xlfn.XLOOKUP(T$2-$C29, 'GEN-CCGT'!$D$7:$AW$7, 'GEN-CCGT'!$D$43:$AW$43), 0), IF($B29='Project List References'!$B$4, _xlfn.IFNA(_xlfn.XLOOKUP(T$2-$C29, 'GEN-SOLAR'!$D$7:$AW$7, 'GEN-SOLAR'!$D$43:$AW$43), 0), IF($B29='Project List References'!$B$5, _xlfn.IFNA(_xlfn.XLOOKUP(T$2-$C29, 'GEN-BESS'!$D$7:$AW$7, 'GEN-BESS'!$D$43:$AW$43), 0), IF($B29='Project List References'!$B$6, _xlfn.IFNA(_xlfn.XLOOKUP(T$2-$C29, 'GEN-CARBON'!$D$7:$AW$7, 'GEN-CARBON'!$D$43:$AW$43), 0), IF($B29='Project List References'!$B$7, _xlfn.IFNA(_xlfn.XLOOKUP(T$2-$C29, 'SENS Coal'!$D$7:$AW$7, 'SENS Coal'!$D$43:$AW$43), 0), IF($B29='Project List References'!$B$8, _xlfn.IFNA(_xlfn.XLOOKUP(T$2-$C29, 'SENS Tires'!$D$7:$AW$7, 'SENS Tires'!$D$43:$AW$43),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</row>
    <row r="30" spans="1:20">
      <c r="A30" s="655" t="str">
        <f>IF(ISBLANK('Project Master Sheet'!A30)=FALSE, 'Project Master Sheet'!A30, "")</f>
        <v/>
      </c>
      <c r="B30" s="655" t="str">
        <f>_xlfn.IFNA(_xlfn.XLOOKUP(A30, 'Project Master Sheet'!A:A, 'Project Master Sheet'!D:D), "")</f>
        <v/>
      </c>
      <c r="C30" s="655" t="e">
        <f>_xlfn.XLOOKUP('Project OPEX'!A30, 'Project Master Sheet'!A:A, 'Project Master Sheet'!I:I)</f>
        <v>#N/A</v>
      </c>
      <c r="E30" s="743" t="e">
        <f>IF($B30='Project List References'!$B$3, _xlfn.IFNA(_xlfn.XLOOKUP(E$2-$C30, 'GEN-CCGT'!$D$7:$AW$7, 'GEN-CCGT'!$D$43:$AW$43), 0), IF($B30='Project List References'!$B$4, _xlfn.IFNA(_xlfn.XLOOKUP(E$2-$C30, 'GEN-SOLAR'!$D$7:$AW$7, 'GEN-SOLAR'!$D$43:$AW$43), 0), IF($B30='Project List References'!$B$5, _xlfn.IFNA(_xlfn.XLOOKUP(E$2-$C30, 'GEN-BESS'!$D$7:$AW$7, 'GEN-BESS'!$D$43:$AW$43), 0), IF($B30='Project List References'!$B$6, _xlfn.IFNA(_xlfn.XLOOKUP(E$2-$C30, 'GEN-CARBON'!$D$7:$AW$7, 'GEN-CARBON'!$D$43:$AW$43), 0), IF($B30='Project List References'!$B$7, _xlfn.IFNA(_xlfn.XLOOKUP(E$2-$C30, 'SENS Coal'!$D$7:$AW$7, 'SENS Coal'!$D$43:$AW$43), 0), IF($B30='Project List References'!$B$8, _xlfn.IFNA(_xlfn.XLOOKUP(E$2-$C30,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F30" s="743" t="e">
        <f>IF($B30='Project List References'!$B$3, _xlfn.IFNA(_xlfn.XLOOKUP(F$2-$C30, 'GEN-CCGT'!$D$7:$AW$7, 'GEN-CCGT'!$D$43:$AW$43), 0), IF($B30='Project List References'!$B$4, _xlfn.IFNA(_xlfn.XLOOKUP(F$2-$C30, 'GEN-SOLAR'!$D$7:$AW$7, 'GEN-SOLAR'!$D$43:$AW$43), 0), IF($B30='Project List References'!$B$5, _xlfn.IFNA(_xlfn.XLOOKUP(F$2-$C30, 'GEN-BESS'!$D$7:$AW$7, 'GEN-BESS'!$D$43:$AW$43), 0), IF($B30='Project List References'!$B$6, _xlfn.IFNA(_xlfn.XLOOKUP(F$2-$C30, 'GEN-CARBON'!$D$7:$AW$7, 'GEN-CARBON'!$D$43:$AW$43), 0), IF($B30='Project List References'!$B$7, _xlfn.IFNA(_xlfn.XLOOKUP(F$2-$C30, 'SENS Coal'!$D$7:$AW$7, 'SENS Coal'!$D$43:$AW$43), 0), IF($B30='Project List References'!$B$8, _xlfn.IFNA(_xlfn.XLOOKUP(F$2-$C30,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G30" s="743" t="e">
        <f>IF($B30='Project List References'!$B$3, _xlfn.IFNA(_xlfn.XLOOKUP(G$2-$C30, 'GEN-CCGT'!$D$7:$AW$7, 'GEN-CCGT'!$D$43:$AW$43), 0), IF($B30='Project List References'!$B$4, _xlfn.IFNA(_xlfn.XLOOKUP(G$2-$C30, 'GEN-SOLAR'!$D$7:$AW$7, 'GEN-SOLAR'!$D$43:$AW$43), 0), IF($B30='Project List References'!$B$5, _xlfn.IFNA(_xlfn.XLOOKUP(G$2-$C30, 'GEN-BESS'!$D$7:$AW$7, 'GEN-BESS'!$D$43:$AW$43), 0), IF($B30='Project List References'!$B$6, _xlfn.IFNA(_xlfn.XLOOKUP(G$2-$C30, 'GEN-CARBON'!$D$7:$AW$7, 'GEN-CARBON'!$D$43:$AW$43), 0), IF($B30='Project List References'!$B$7, _xlfn.IFNA(_xlfn.XLOOKUP(G$2-$C30, 'SENS Coal'!$D$7:$AW$7, 'SENS Coal'!$D$43:$AW$43), 0), IF($B30='Project List References'!$B$8, _xlfn.IFNA(_xlfn.XLOOKUP(G$2-$C30,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H30" s="743" t="e">
        <f>IF($B30='Project List References'!$B$3, _xlfn.IFNA(_xlfn.XLOOKUP(H$2-$C30, 'GEN-CCGT'!$D$7:$AW$7, 'GEN-CCGT'!$D$43:$AW$43), 0), IF($B30='Project List References'!$B$4, _xlfn.IFNA(_xlfn.XLOOKUP(H$2-$C30, 'GEN-SOLAR'!$D$7:$AW$7, 'GEN-SOLAR'!$D$43:$AW$43), 0), IF($B30='Project List References'!$B$5, _xlfn.IFNA(_xlfn.XLOOKUP(H$2-$C30, 'GEN-BESS'!$D$7:$AW$7, 'GEN-BESS'!$D$43:$AW$43), 0), IF($B30='Project List References'!$B$6, _xlfn.IFNA(_xlfn.XLOOKUP(H$2-$C30, 'GEN-CARBON'!$D$7:$AW$7, 'GEN-CARBON'!$D$43:$AW$43), 0), IF($B30='Project List References'!$B$7, _xlfn.IFNA(_xlfn.XLOOKUP(H$2-$C30, 'SENS Coal'!$D$7:$AW$7, 'SENS Coal'!$D$43:$AW$43), 0), IF($B30='Project List References'!$B$8, _xlfn.IFNA(_xlfn.XLOOKUP(H$2-$C30,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I30" s="743" t="e">
        <f>IF($B30='Project List References'!$B$3, _xlfn.IFNA(_xlfn.XLOOKUP(I$2-$C30, 'GEN-CCGT'!$D$7:$AW$7, 'GEN-CCGT'!$D$43:$AW$43), 0), IF($B30='Project List References'!$B$4, _xlfn.IFNA(_xlfn.XLOOKUP(I$2-$C30, 'GEN-SOLAR'!$D$7:$AW$7, 'GEN-SOLAR'!$D$43:$AW$43), 0), IF($B30='Project List References'!$B$5, _xlfn.IFNA(_xlfn.XLOOKUP(I$2-$C30, 'GEN-BESS'!$D$7:$AW$7, 'GEN-BESS'!$D$43:$AW$43), 0), IF($B30='Project List References'!$B$6, _xlfn.IFNA(_xlfn.XLOOKUP(I$2-$C30, 'GEN-CARBON'!$D$7:$AW$7, 'GEN-CARBON'!$D$43:$AW$43), 0), IF($B30='Project List References'!$B$7, _xlfn.IFNA(_xlfn.XLOOKUP(I$2-$C30, 'SENS Coal'!$D$7:$AW$7, 'SENS Coal'!$D$43:$AW$43), 0), IF($B30='Project List References'!$B$8, _xlfn.IFNA(_xlfn.XLOOKUP(I$2-$C30,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J30" s="743" t="e">
        <f>IF($B30='Project List References'!$B$3, _xlfn.IFNA(_xlfn.XLOOKUP(J$2-$C30, 'GEN-CCGT'!$D$7:$AW$7, 'GEN-CCGT'!$D$43:$AW$43), 0), IF($B30='Project List References'!$B$4, _xlfn.IFNA(_xlfn.XLOOKUP(J$2-$C30, 'GEN-SOLAR'!$D$7:$AW$7, 'GEN-SOLAR'!$D$43:$AW$43), 0), IF($B30='Project List References'!$B$5, _xlfn.IFNA(_xlfn.XLOOKUP(J$2-$C30, 'GEN-BESS'!$D$7:$AW$7, 'GEN-BESS'!$D$43:$AW$43), 0), IF($B30='Project List References'!$B$6, _xlfn.IFNA(_xlfn.XLOOKUP(J$2-$C30, 'GEN-CARBON'!$D$7:$AW$7, 'GEN-CARBON'!$D$43:$AW$43), 0), IF($B30='Project List References'!$B$7, _xlfn.IFNA(_xlfn.XLOOKUP(J$2-$C30, 'SENS Coal'!$D$7:$AW$7, 'SENS Coal'!$D$43:$AW$43), 0), IF($B30='Project List References'!$B$8, _xlfn.IFNA(_xlfn.XLOOKUP(J$2-$C30,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K30" s="743" t="e">
        <f>IF($B30='Project List References'!$B$3, _xlfn.IFNA(_xlfn.XLOOKUP(K$2-$C30, 'GEN-CCGT'!$D$7:$AW$7, 'GEN-CCGT'!$D$43:$AW$43), 0), IF($B30='Project List References'!$B$4, _xlfn.IFNA(_xlfn.XLOOKUP(K$2-$C30, 'GEN-SOLAR'!$D$7:$AW$7, 'GEN-SOLAR'!$D$43:$AW$43), 0), IF($B30='Project List References'!$B$5, _xlfn.IFNA(_xlfn.XLOOKUP(K$2-$C30, 'GEN-BESS'!$D$7:$AW$7, 'GEN-BESS'!$D$43:$AW$43), 0), IF($B30='Project List References'!$B$6, _xlfn.IFNA(_xlfn.XLOOKUP(K$2-$C30, 'GEN-CARBON'!$D$7:$AW$7, 'GEN-CARBON'!$D$43:$AW$43), 0), IF($B30='Project List References'!$B$7, _xlfn.IFNA(_xlfn.XLOOKUP(K$2-$C30, 'SENS Coal'!$D$7:$AW$7, 'SENS Coal'!$D$43:$AW$43), 0), IF($B30='Project List References'!$B$8, _xlfn.IFNA(_xlfn.XLOOKUP(K$2-$C30,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L30" s="743" t="e">
        <f>IF($B30='Project List References'!$B$3, _xlfn.IFNA(_xlfn.XLOOKUP(L$2-$C30, 'GEN-CCGT'!$D$7:$AW$7, 'GEN-CCGT'!$D$43:$AW$43), 0), IF($B30='Project List References'!$B$4, _xlfn.IFNA(_xlfn.XLOOKUP(L$2-$C30, 'GEN-SOLAR'!$D$7:$AW$7, 'GEN-SOLAR'!$D$43:$AW$43), 0), IF($B30='Project List References'!$B$5, _xlfn.IFNA(_xlfn.XLOOKUP(L$2-$C30, 'GEN-BESS'!$D$7:$AW$7, 'GEN-BESS'!$D$43:$AW$43), 0), IF($B30='Project List References'!$B$6, _xlfn.IFNA(_xlfn.XLOOKUP(L$2-$C30, 'GEN-CARBON'!$D$7:$AW$7, 'GEN-CARBON'!$D$43:$AW$43), 0), IF($B30='Project List References'!$B$7, _xlfn.IFNA(_xlfn.XLOOKUP(L$2-$C30, 'SENS Coal'!$D$7:$AW$7, 'SENS Coal'!$D$43:$AW$43), 0), IF($B30='Project List References'!$B$8, _xlfn.IFNA(_xlfn.XLOOKUP(L$2-$C30,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M30" s="743" t="e">
        <f>IF($B30='Project List References'!$B$3, _xlfn.IFNA(_xlfn.XLOOKUP(M$2-$C30, 'GEN-CCGT'!$D$7:$AW$7, 'GEN-CCGT'!$D$43:$AW$43), 0), IF($B30='Project List References'!$B$4, _xlfn.IFNA(_xlfn.XLOOKUP(M$2-$C30, 'GEN-SOLAR'!$D$7:$AW$7, 'GEN-SOLAR'!$D$43:$AW$43), 0), IF($B30='Project List References'!$B$5, _xlfn.IFNA(_xlfn.XLOOKUP(M$2-$C30, 'GEN-BESS'!$D$7:$AW$7, 'GEN-BESS'!$D$43:$AW$43), 0), IF($B30='Project List References'!$B$6, _xlfn.IFNA(_xlfn.XLOOKUP(M$2-$C30, 'GEN-CARBON'!$D$7:$AW$7, 'GEN-CARBON'!$D$43:$AW$43), 0), IF($B30='Project List References'!$B$7, _xlfn.IFNA(_xlfn.XLOOKUP(M$2-$C30, 'SENS Coal'!$D$7:$AW$7, 'SENS Coal'!$D$43:$AW$43), 0), IF($B30='Project List References'!$B$8, _xlfn.IFNA(_xlfn.XLOOKUP(M$2-$C30,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N30" s="743" t="e">
        <f>IF($B30='Project List References'!$B$3, _xlfn.IFNA(_xlfn.XLOOKUP(N$2-$C30, 'GEN-CCGT'!$D$7:$AW$7, 'GEN-CCGT'!$D$43:$AW$43), 0), IF($B30='Project List References'!$B$4, _xlfn.IFNA(_xlfn.XLOOKUP(N$2-$C30, 'GEN-SOLAR'!$D$7:$AW$7, 'GEN-SOLAR'!$D$43:$AW$43), 0), IF($B30='Project List References'!$B$5, _xlfn.IFNA(_xlfn.XLOOKUP(N$2-$C30, 'GEN-BESS'!$D$7:$AW$7, 'GEN-BESS'!$D$43:$AW$43), 0), IF($B30='Project List References'!$B$6, _xlfn.IFNA(_xlfn.XLOOKUP(N$2-$C30, 'GEN-CARBON'!$D$7:$AW$7, 'GEN-CARBON'!$D$43:$AW$43), 0), IF($B30='Project List References'!$B$7, _xlfn.IFNA(_xlfn.XLOOKUP(N$2-$C30, 'SENS Coal'!$D$7:$AW$7, 'SENS Coal'!$D$43:$AW$43), 0), IF($B30='Project List References'!$B$8, _xlfn.IFNA(_xlfn.XLOOKUP(N$2-$C30,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O30" s="743" t="e">
        <f>IF($B30='Project List References'!$B$3, _xlfn.IFNA(_xlfn.XLOOKUP(O$2-$C30, 'GEN-CCGT'!$D$7:$AW$7, 'GEN-CCGT'!$D$43:$AW$43), 0), IF($B30='Project List References'!$B$4, _xlfn.IFNA(_xlfn.XLOOKUP(O$2-$C30, 'GEN-SOLAR'!$D$7:$AW$7, 'GEN-SOLAR'!$D$43:$AW$43), 0), IF($B30='Project List References'!$B$5, _xlfn.IFNA(_xlfn.XLOOKUP(O$2-$C30, 'GEN-BESS'!$D$7:$AW$7, 'GEN-BESS'!$D$43:$AW$43), 0), IF($B30='Project List References'!$B$6, _xlfn.IFNA(_xlfn.XLOOKUP(O$2-$C30, 'GEN-CARBON'!$D$7:$AW$7, 'GEN-CARBON'!$D$43:$AW$43), 0), IF($B30='Project List References'!$B$7, _xlfn.IFNA(_xlfn.XLOOKUP(O$2-$C30, 'SENS Coal'!$D$7:$AW$7, 'SENS Coal'!$D$43:$AW$43), 0), IF($B30='Project List References'!$B$8, _xlfn.IFNA(_xlfn.XLOOKUP(O$2-$C30,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P30" s="743" t="e">
        <f>IF($B30='Project List References'!$B$3, _xlfn.IFNA(_xlfn.XLOOKUP(P$2-$C30, 'GEN-CCGT'!$D$7:$AW$7, 'GEN-CCGT'!$D$43:$AW$43), 0), IF($B30='Project List References'!$B$4, _xlfn.IFNA(_xlfn.XLOOKUP(P$2-$C30, 'GEN-SOLAR'!$D$7:$AW$7, 'GEN-SOLAR'!$D$43:$AW$43), 0), IF($B30='Project List References'!$B$5, _xlfn.IFNA(_xlfn.XLOOKUP(P$2-$C30, 'GEN-BESS'!$D$7:$AW$7, 'GEN-BESS'!$D$43:$AW$43), 0), IF($B30='Project List References'!$B$6, _xlfn.IFNA(_xlfn.XLOOKUP(P$2-$C30, 'GEN-CARBON'!$D$7:$AW$7, 'GEN-CARBON'!$D$43:$AW$43), 0), IF($B30='Project List References'!$B$7, _xlfn.IFNA(_xlfn.XLOOKUP(P$2-$C30, 'SENS Coal'!$D$7:$AW$7, 'SENS Coal'!$D$43:$AW$43), 0), IF($B30='Project List References'!$B$8, _xlfn.IFNA(_xlfn.XLOOKUP(P$2-$C30,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Q30" s="743" t="e">
        <f>IF($B30='Project List References'!$B$3, _xlfn.IFNA(_xlfn.XLOOKUP(Q$2-$C30, 'GEN-CCGT'!$D$7:$AW$7, 'GEN-CCGT'!$D$43:$AW$43), 0), IF($B30='Project List References'!$B$4, _xlfn.IFNA(_xlfn.XLOOKUP(Q$2-$C30, 'GEN-SOLAR'!$D$7:$AW$7, 'GEN-SOLAR'!$D$43:$AW$43), 0), IF($B30='Project List References'!$B$5, _xlfn.IFNA(_xlfn.XLOOKUP(Q$2-$C30, 'GEN-BESS'!$D$7:$AW$7, 'GEN-BESS'!$D$43:$AW$43), 0), IF($B30='Project List References'!$B$6, _xlfn.IFNA(_xlfn.XLOOKUP(Q$2-$C30, 'GEN-CARBON'!$D$7:$AW$7, 'GEN-CARBON'!$D$43:$AW$43), 0), IF($B30='Project List References'!$B$7, _xlfn.IFNA(_xlfn.XLOOKUP(Q$2-$C30, 'SENS Coal'!$D$7:$AW$7, 'SENS Coal'!$D$43:$AW$43), 0), IF($B30='Project List References'!$B$8, _xlfn.IFNA(_xlfn.XLOOKUP(Q$2-$C30,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R30" s="743" t="e">
        <f>IF($B30='Project List References'!$B$3, _xlfn.IFNA(_xlfn.XLOOKUP(R$2-$C30, 'GEN-CCGT'!$D$7:$AW$7, 'GEN-CCGT'!$D$43:$AW$43), 0), IF($B30='Project List References'!$B$4, _xlfn.IFNA(_xlfn.XLOOKUP(R$2-$C30, 'GEN-SOLAR'!$D$7:$AW$7, 'GEN-SOLAR'!$D$43:$AW$43), 0), IF($B30='Project List References'!$B$5, _xlfn.IFNA(_xlfn.XLOOKUP(R$2-$C30, 'GEN-BESS'!$D$7:$AW$7, 'GEN-BESS'!$D$43:$AW$43), 0), IF($B30='Project List References'!$B$6, _xlfn.IFNA(_xlfn.XLOOKUP(R$2-$C30, 'GEN-CARBON'!$D$7:$AW$7, 'GEN-CARBON'!$D$43:$AW$43), 0), IF($B30='Project List References'!$B$7, _xlfn.IFNA(_xlfn.XLOOKUP(R$2-$C30, 'SENS Coal'!$D$7:$AW$7, 'SENS Coal'!$D$43:$AW$43), 0), IF($B30='Project List References'!$B$8, _xlfn.IFNA(_xlfn.XLOOKUP(R$2-$C30,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S30" s="743" t="e">
        <f>IF($B30='Project List References'!$B$3, _xlfn.IFNA(_xlfn.XLOOKUP(S$2-$C30, 'GEN-CCGT'!$D$7:$AW$7, 'GEN-CCGT'!$D$43:$AW$43), 0), IF($B30='Project List References'!$B$4, _xlfn.IFNA(_xlfn.XLOOKUP(S$2-$C30, 'GEN-SOLAR'!$D$7:$AW$7, 'GEN-SOLAR'!$D$43:$AW$43), 0), IF($B30='Project List References'!$B$5, _xlfn.IFNA(_xlfn.XLOOKUP(S$2-$C30, 'GEN-BESS'!$D$7:$AW$7, 'GEN-BESS'!$D$43:$AW$43), 0), IF($B30='Project List References'!$B$6, _xlfn.IFNA(_xlfn.XLOOKUP(S$2-$C30, 'GEN-CARBON'!$D$7:$AW$7, 'GEN-CARBON'!$D$43:$AW$43), 0), IF($B30='Project List References'!$B$7, _xlfn.IFNA(_xlfn.XLOOKUP(S$2-$C30, 'SENS Coal'!$D$7:$AW$7, 'SENS Coal'!$D$43:$AW$43), 0), IF($B30='Project List References'!$B$8, _xlfn.IFNA(_xlfn.XLOOKUP(S$2-$C30,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T30" s="743" t="e">
        <f>IF($B30='Project List References'!$B$3, _xlfn.IFNA(_xlfn.XLOOKUP(T$2-$C30, 'GEN-CCGT'!$D$7:$AW$7, 'GEN-CCGT'!$D$43:$AW$43), 0), IF($B30='Project List References'!$B$4, _xlfn.IFNA(_xlfn.XLOOKUP(T$2-$C30, 'GEN-SOLAR'!$D$7:$AW$7, 'GEN-SOLAR'!$D$43:$AW$43), 0), IF($B30='Project List References'!$B$5, _xlfn.IFNA(_xlfn.XLOOKUP(T$2-$C30, 'GEN-BESS'!$D$7:$AW$7, 'GEN-BESS'!$D$43:$AW$43), 0), IF($B30='Project List References'!$B$6, _xlfn.IFNA(_xlfn.XLOOKUP(T$2-$C30, 'GEN-CARBON'!$D$7:$AW$7, 'GEN-CARBON'!$D$43:$AW$43), 0), IF($B30='Project List References'!$B$7, _xlfn.IFNA(_xlfn.XLOOKUP(T$2-$C30, 'SENS Coal'!$D$7:$AW$7, 'SENS Coal'!$D$43:$AW$43), 0), IF($B30='Project List References'!$B$8, _xlfn.IFNA(_xlfn.XLOOKUP(T$2-$C30, 'SENS Tires'!$D$7:$AW$7, 'SENS Tires'!$D$43:$AW$43),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</row>
    <row r="31" spans="1:20">
      <c r="A31" s="655" t="str">
        <f>IF(ISBLANK('Project Master Sheet'!A31)=FALSE, 'Project Master Sheet'!A31, "")</f>
        <v/>
      </c>
      <c r="B31" s="655" t="str">
        <f>_xlfn.IFNA(_xlfn.XLOOKUP(A31, 'Project Master Sheet'!A:A, 'Project Master Sheet'!D:D), "")</f>
        <v/>
      </c>
      <c r="C31" s="655" t="e">
        <f>_xlfn.XLOOKUP('Project OPEX'!A31, 'Project Master Sheet'!A:A, 'Project Master Sheet'!I:I)</f>
        <v>#N/A</v>
      </c>
      <c r="E31" s="743" t="e">
        <f>IF($B31='Project List References'!$B$3, _xlfn.IFNA(_xlfn.XLOOKUP(E$2-$C31, 'GEN-CCGT'!$D$7:$AW$7, 'GEN-CCGT'!$D$43:$AW$43), 0), IF($B31='Project List References'!$B$4, _xlfn.IFNA(_xlfn.XLOOKUP(E$2-$C31, 'GEN-SOLAR'!$D$7:$AW$7, 'GEN-SOLAR'!$D$43:$AW$43), 0), IF($B31='Project List References'!$B$5, _xlfn.IFNA(_xlfn.XLOOKUP(E$2-$C31, 'GEN-BESS'!$D$7:$AW$7, 'GEN-BESS'!$D$43:$AW$43), 0), IF($B31='Project List References'!$B$6, _xlfn.IFNA(_xlfn.XLOOKUP(E$2-$C31, 'GEN-CARBON'!$D$7:$AW$7, 'GEN-CARBON'!$D$43:$AW$43), 0), IF($B31='Project List References'!$B$7, _xlfn.IFNA(_xlfn.XLOOKUP(E$2-$C31, 'SENS Coal'!$D$7:$AW$7, 'SENS Coal'!$D$43:$AW$43), 0), IF($B31='Project List References'!$B$8, _xlfn.IFNA(_xlfn.XLOOKUP(E$2-$C31,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F31" s="743" t="e">
        <f>IF($B31='Project List References'!$B$3, _xlfn.IFNA(_xlfn.XLOOKUP(F$2-$C31, 'GEN-CCGT'!$D$7:$AW$7, 'GEN-CCGT'!$D$43:$AW$43), 0), IF($B31='Project List References'!$B$4, _xlfn.IFNA(_xlfn.XLOOKUP(F$2-$C31, 'GEN-SOLAR'!$D$7:$AW$7, 'GEN-SOLAR'!$D$43:$AW$43), 0), IF($B31='Project List References'!$B$5, _xlfn.IFNA(_xlfn.XLOOKUP(F$2-$C31, 'GEN-BESS'!$D$7:$AW$7, 'GEN-BESS'!$D$43:$AW$43), 0), IF($B31='Project List References'!$B$6, _xlfn.IFNA(_xlfn.XLOOKUP(F$2-$C31, 'GEN-CARBON'!$D$7:$AW$7, 'GEN-CARBON'!$D$43:$AW$43), 0), IF($B31='Project List References'!$B$7, _xlfn.IFNA(_xlfn.XLOOKUP(F$2-$C31, 'SENS Coal'!$D$7:$AW$7, 'SENS Coal'!$D$43:$AW$43), 0), IF($B31='Project List References'!$B$8, _xlfn.IFNA(_xlfn.XLOOKUP(F$2-$C31,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G31" s="743" t="e">
        <f>IF($B31='Project List References'!$B$3, _xlfn.IFNA(_xlfn.XLOOKUP(G$2-$C31, 'GEN-CCGT'!$D$7:$AW$7, 'GEN-CCGT'!$D$43:$AW$43), 0), IF($B31='Project List References'!$B$4, _xlfn.IFNA(_xlfn.XLOOKUP(G$2-$C31, 'GEN-SOLAR'!$D$7:$AW$7, 'GEN-SOLAR'!$D$43:$AW$43), 0), IF($B31='Project List References'!$B$5, _xlfn.IFNA(_xlfn.XLOOKUP(G$2-$C31, 'GEN-BESS'!$D$7:$AW$7, 'GEN-BESS'!$D$43:$AW$43), 0), IF($B31='Project List References'!$B$6, _xlfn.IFNA(_xlfn.XLOOKUP(G$2-$C31, 'GEN-CARBON'!$D$7:$AW$7, 'GEN-CARBON'!$D$43:$AW$43), 0), IF($B31='Project List References'!$B$7, _xlfn.IFNA(_xlfn.XLOOKUP(G$2-$C31, 'SENS Coal'!$D$7:$AW$7, 'SENS Coal'!$D$43:$AW$43), 0), IF($B31='Project List References'!$B$8, _xlfn.IFNA(_xlfn.XLOOKUP(G$2-$C31,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H31" s="743" t="e">
        <f>IF($B31='Project List References'!$B$3, _xlfn.IFNA(_xlfn.XLOOKUP(H$2-$C31, 'GEN-CCGT'!$D$7:$AW$7, 'GEN-CCGT'!$D$43:$AW$43), 0), IF($B31='Project List References'!$B$4, _xlfn.IFNA(_xlfn.XLOOKUP(H$2-$C31, 'GEN-SOLAR'!$D$7:$AW$7, 'GEN-SOLAR'!$D$43:$AW$43), 0), IF($B31='Project List References'!$B$5, _xlfn.IFNA(_xlfn.XLOOKUP(H$2-$C31, 'GEN-BESS'!$D$7:$AW$7, 'GEN-BESS'!$D$43:$AW$43), 0), IF($B31='Project List References'!$B$6, _xlfn.IFNA(_xlfn.XLOOKUP(H$2-$C31, 'GEN-CARBON'!$D$7:$AW$7, 'GEN-CARBON'!$D$43:$AW$43), 0), IF($B31='Project List References'!$B$7, _xlfn.IFNA(_xlfn.XLOOKUP(H$2-$C31, 'SENS Coal'!$D$7:$AW$7, 'SENS Coal'!$D$43:$AW$43), 0), IF($B31='Project List References'!$B$8, _xlfn.IFNA(_xlfn.XLOOKUP(H$2-$C31,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I31" s="743" t="e">
        <f>IF($B31='Project List References'!$B$3, _xlfn.IFNA(_xlfn.XLOOKUP(I$2-$C31, 'GEN-CCGT'!$D$7:$AW$7, 'GEN-CCGT'!$D$43:$AW$43), 0), IF($B31='Project List References'!$B$4, _xlfn.IFNA(_xlfn.XLOOKUP(I$2-$C31, 'GEN-SOLAR'!$D$7:$AW$7, 'GEN-SOLAR'!$D$43:$AW$43), 0), IF($B31='Project List References'!$B$5, _xlfn.IFNA(_xlfn.XLOOKUP(I$2-$C31, 'GEN-BESS'!$D$7:$AW$7, 'GEN-BESS'!$D$43:$AW$43), 0), IF($B31='Project List References'!$B$6, _xlfn.IFNA(_xlfn.XLOOKUP(I$2-$C31, 'GEN-CARBON'!$D$7:$AW$7, 'GEN-CARBON'!$D$43:$AW$43), 0), IF($B31='Project List References'!$B$7, _xlfn.IFNA(_xlfn.XLOOKUP(I$2-$C31, 'SENS Coal'!$D$7:$AW$7, 'SENS Coal'!$D$43:$AW$43), 0), IF($B31='Project List References'!$B$8, _xlfn.IFNA(_xlfn.XLOOKUP(I$2-$C31,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J31" s="743" t="e">
        <f>IF($B31='Project List References'!$B$3, _xlfn.IFNA(_xlfn.XLOOKUP(J$2-$C31, 'GEN-CCGT'!$D$7:$AW$7, 'GEN-CCGT'!$D$43:$AW$43), 0), IF($B31='Project List References'!$B$4, _xlfn.IFNA(_xlfn.XLOOKUP(J$2-$C31, 'GEN-SOLAR'!$D$7:$AW$7, 'GEN-SOLAR'!$D$43:$AW$43), 0), IF($B31='Project List References'!$B$5, _xlfn.IFNA(_xlfn.XLOOKUP(J$2-$C31, 'GEN-BESS'!$D$7:$AW$7, 'GEN-BESS'!$D$43:$AW$43), 0), IF($B31='Project List References'!$B$6, _xlfn.IFNA(_xlfn.XLOOKUP(J$2-$C31, 'GEN-CARBON'!$D$7:$AW$7, 'GEN-CARBON'!$D$43:$AW$43), 0), IF($B31='Project List References'!$B$7, _xlfn.IFNA(_xlfn.XLOOKUP(J$2-$C31, 'SENS Coal'!$D$7:$AW$7, 'SENS Coal'!$D$43:$AW$43), 0), IF($B31='Project List References'!$B$8, _xlfn.IFNA(_xlfn.XLOOKUP(J$2-$C31,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K31" s="743" t="e">
        <f>IF($B31='Project List References'!$B$3, _xlfn.IFNA(_xlfn.XLOOKUP(K$2-$C31, 'GEN-CCGT'!$D$7:$AW$7, 'GEN-CCGT'!$D$43:$AW$43), 0), IF($B31='Project List References'!$B$4, _xlfn.IFNA(_xlfn.XLOOKUP(K$2-$C31, 'GEN-SOLAR'!$D$7:$AW$7, 'GEN-SOLAR'!$D$43:$AW$43), 0), IF($B31='Project List References'!$B$5, _xlfn.IFNA(_xlfn.XLOOKUP(K$2-$C31, 'GEN-BESS'!$D$7:$AW$7, 'GEN-BESS'!$D$43:$AW$43), 0), IF($B31='Project List References'!$B$6, _xlfn.IFNA(_xlfn.XLOOKUP(K$2-$C31, 'GEN-CARBON'!$D$7:$AW$7, 'GEN-CARBON'!$D$43:$AW$43), 0), IF($B31='Project List References'!$B$7, _xlfn.IFNA(_xlfn.XLOOKUP(K$2-$C31, 'SENS Coal'!$D$7:$AW$7, 'SENS Coal'!$D$43:$AW$43), 0), IF($B31='Project List References'!$B$8, _xlfn.IFNA(_xlfn.XLOOKUP(K$2-$C31,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L31" s="743" t="e">
        <f>IF($B31='Project List References'!$B$3, _xlfn.IFNA(_xlfn.XLOOKUP(L$2-$C31, 'GEN-CCGT'!$D$7:$AW$7, 'GEN-CCGT'!$D$43:$AW$43), 0), IF($B31='Project List References'!$B$4, _xlfn.IFNA(_xlfn.XLOOKUP(L$2-$C31, 'GEN-SOLAR'!$D$7:$AW$7, 'GEN-SOLAR'!$D$43:$AW$43), 0), IF($B31='Project List References'!$B$5, _xlfn.IFNA(_xlfn.XLOOKUP(L$2-$C31, 'GEN-BESS'!$D$7:$AW$7, 'GEN-BESS'!$D$43:$AW$43), 0), IF($B31='Project List References'!$B$6, _xlfn.IFNA(_xlfn.XLOOKUP(L$2-$C31, 'GEN-CARBON'!$D$7:$AW$7, 'GEN-CARBON'!$D$43:$AW$43), 0), IF($B31='Project List References'!$B$7, _xlfn.IFNA(_xlfn.XLOOKUP(L$2-$C31, 'SENS Coal'!$D$7:$AW$7, 'SENS Coal'!$D$43:$AW$43), 0), IF($B31='Project List References'!$B$8, _xlfn.IFNA(_xlfn.XLOOKUP(L$2-$C31,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M31" s="743" t="e">
        <f>IF($B31='Project List References'!$B$3, _xlfn.IFNA(_xlfn.XLOOKUP(M$2-$C31, 'GEN-CCGT'!$D$7:$AW$7, 'GEN-CCGT'!$D$43:$AW$43), 0), IF($B31='Project List References'!$B$4, _xlfn.IFNA(_xlfn.XLOOKUP(M$2-$C31, 'GEN-SOLAR'!$D$7:$AW$7, 'GEN-SOLAR'!$D$43:$AW$43), 0), IF($B31='Project List References'!$B$5, _xlfn.IFNA(_xlfn.XLOOKUP(M$2-$C31, 'GEN-BESS'!$D$7:$AW$7, 'GEN-BESS'!$D$43:$AW$43), 0), IF($B31='Project List References'!$B$6, _xlfn.IFNA(_xlfn.XLOOKUP(M$2-$C31, 'GEN-CARBON'!$D$7:$AW$7, 'GEN-CARBON'!$D$43:$AW$43), 0), IF($B31='Project List References'!$B$7, _xlfn.IFNA(_xlfn.XLOOKUP(M$2-$C31, 'SENS Coal'!$D$7:$AW$7, 'SENS Coal'!$D$43:$AW$43), 0), IF($B31='Project List References'!$B$8, _xlfn.IFNA(_xlfn.XLOOKUP(M$2-$C31,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N31" s="743" t="e">
        <f>IF($B31='Project List References'!$B$3, _xlfn.IFNA(_xlfn.XLOOKUP(N$2-$C31, 'GEN-CCGT'!$D$7:$AW$7, 'GEN-CCGT'!$D$43:$AW$43), 0), IF($B31='Project List References'!$B$4, _xlfn.IFNA(_xlfn.XLOOKUP(N$2-$C31, 'GEN-SOLAR'!$D$7:$AW$7, 'GEN-SOLAR'!$D$43:$AW$43), 0), IF($B31='Project List References'!$B$5, _xlfn.IFNA(_xlfn.XLOOKUP(N$2-$C31, 'GEN-BESS'!$D$7:$AW$7, 'GEN-BESS'!$D$43:$AW$43), 0), IF($B31='Project List References'!$B$6, _xlfn.IFNA(_xlfn.XLOOKUP(N$2-$C31, 'GEN-CARBON'!$D$7:$AW$7, 'GEN-CARBON'!$D$43:$AW$43), 0), IF($B31='Project List References'!$B$7, _xlfn.IFNA(_xlfn.XLOOKUP(N$2-$C31, 'SENS Coal'!$D$7:$AW$7, 'SENS Coal'!$D$43:$AW$43), 0), IF($B31='Project List References'!$B$8, _xlfn.IFNA(_xlfn.XLOOKUP(N$2-$C31,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O31" s="743" t="e">
        <f>IF($B31='Project List References'!$B$3, _xlfn.IFNA(_xlfn.XLOOKUP(O$2-$C31, 'GEN-CCGT'!$D$7:$AW$7, 'GEN-CCGT'!$D$43:$AW$43), 0), IF($B31='Project List References'!$B$4, _xlfn.IFNA(_xlfn.XLOOKUP(O$2-$C31, 'GEN-SOLAR'!$D$7:$AW$7, 'GEN-SOLAR'!$D$43:$AW$43), 0), IF($B31='Project List References'!$B$5, _xlfn.IFNA(_xlfn.XLOOKUP(O$2-$C31, 'GEN-BESS'!$D$7:$AW$7, 'GEN-BESS'!$D$43:$AW$43), 0), IF($B31='Project List References'!$B$6, _xlfn.IFNA(_xlfn.XLOOKUP(O$2-$C31, 'GEN-CARBON'!$D$7:$AW$7, 'GEN-CARBON'!$D$43:$AW$43), 0), IF($B31='Project List References'!$B$7, _xlfn.IFNA(_xlfn.XLOOKUP(O$2-$C31, 'SENS Coal'!$D$7:$AW$7, 'SENS Coal'!$D$43:$AW$43), 0), IF($B31='Project List References'!$B$8, _xlfn.IFNA(_xlfn.XLOOKUP(O$2-$C31,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P31" s="743" t="e">
        <f>IF($B31='Project List References'!$B$3, _xlfn.IFNA(_xlfn.XLOOKUP(P$2-$C31, 'GEN-CCGT'!$D$7:$AW$7, 'GEN-CCGT'!$D$43:$AW$43), 0), IF($B31='Project List References'!$B$4, _xlfn.IFNA(_xlfn.XLOOKUP(P$2-$C31, 'GEN-SOLAR'!$D$7:$AW$7, 'GEN-SOLAR'!$D$43:$AW$43), 0), IF($B31='Project List References'!$B$5, _xlfn.IFNA(_xlfn.XLOOKUP(P$2-$C31, 'GEN-BESS'!$D$7:$AW$7, 'GEN-BESS'!$D$43:$AW$43), 0), IF($B31='Project List References'!$B$6, _xlfn.IFNA(_xlfn.XLOOKUP(P$2-$C31, 'GEN-CARBON'!$D$7:$AW$7, 'GEN-CARBON'!$D$43:$AW$43), 0), IF($B31='Project List References'!$B$7, _xlfn.IFNA(_xlfn.XLOOKUP(P$2-$C31, 'SENS Coal'!$D$7:$AW$7, 'SENS Coal'!$D$43:$AW$43), 0), IF($B31='Project List References'!$B$8, _xlfn.IFNA(_xlfn.XLOOKUP(P$2-$C31,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Q31" s="743" t="e">
        <f>IF($B31='Project List References'!$B$3, _xlfn.IFNA(_xlfn.XLOOKUP(Q$2-$C31, 'GEN-CCGT'!$D$7:$AW$7, 'GEN-CCGT'!$D$43:$AW$43), 0), IF($B31='Project List References'!$B$4, _xlfn.IFNA(_xlfn.XLOOKUP(Q$2-$C31, 'GEN-SOLAR'!$D$7:$AW$7, 'GEN-SOLAR'!$D$43:$AW$43), 0), IF($B31='Project List References'!$B$5, _xlfn.IFNA(_xlfn.XLOOKUP(Q$2-$C31, 'GEN-BESS'!$D$7:$AW$7, 'GEN-BESS'!$D$43:$AW$43), 0), IF($B31='Project List References'!$B$6, _xlfn.IFNA(_xlfn.XLOOKUP(Q$2-$C31, 'GEN-CARBON'!$D$7:$AW$7, 'GEN-CARBON'!$D$43:$AW$43), 0), IF($B31='Project List References'!$B$7, _xlfn.IFNA(_xlfn.XLOOKUP(Q$2-$C31, 'SENS Coal'!$D$7:$AW$7, 'SENS Coal'!$D$43:$AW$43), 0), IF($B31='Project List References'!$B$8, _xlfn.IFNA(_xlfn.XLOOKUP(Q$2-$C31,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R31" s="743" t="e">
        <f>IF($B31='Project List References'!$B$3, _xlfn.IFNA(_xlfn.XLOOKUP(R$2-$C31, 'GEN-CCGT'!$D$7:$AW$7, 'GEN-CCGT'!$D$43:$AW$43), 0), IF($B31='Project List References'!$B$4, _xlfn.IFNA(_xlfn.XLOOKUP(R$2-$C31, 'GEN-SOLAR'!$D$7:$AW$7, 'GEN-SOLAR'!$D$43:$AW$43), 0), IF($B31='Project List References'!$B$5, _xlfn.IFNA(_xlfn.XLOOKUP(R$2-$C31, 'GEN-BESS'!$D$7:$AW$7, 'GEN-BESS'!$D$43:$AW$43), 0), IF($B31='Project List References'!$B$6, _xlfn.IFNA(_xlfn.XLOOKUP(R$2-$C31, 'GEN-CARBON'!$D$7:$AW$7, 'GEN-CARBON'!$D$43:$AW$43), 0), IF($B31='Project List References'!$B$7, _xlfn.IFNA(_xlfn.XLOOKUP(R$2-$C31, 'SENS Coal'!$D$7:$AW$7, 'SENS Coal'!$D$43:$AW$43), 0), IF($B31='Project List References'!$B$8, _xlfn.IFNA(_xlfn.XLOOKUP(R$2-$C31,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S31" s="743" t="e">
        <f>IF($B31='Project List References'!$B$3, _xlfn.IFNA(_xlfn.XLOOKUP(S$2-$C31, 'GEN-CCGT'!$D$7:$AW$7, 'GEN-CCGT'!$D$43:$AW$43), 0), IF($B31='Project List References'!$B$4, _xlfn.IFNA(_xlfn.XLOOKUP(S$2-$C31, 'GEN-SOLAR'!$D$7:$AW$7, 'GEN-SOLAR'!$D$43:$AW$43), 0), IF($B31='Project List References'!$B$5, _xlfn.IFNA(_xlfn.XLOOKUP(S$2-$C31, 'GEN-BESS'!$D$7:$AW$7, 'GEN-BESS'!$D$43:$AW$43), 0), IF($B31='Project List References'!$B$6, _xlfn.IFNA(_xlfn.XLOOKUP(S$2-$C31, 'GEN-CARBON'!$D$7:$AW$7, 'GEN-CARBON'!$D$43:$AW$43), 0), IF($B31='Project List References'!$B$7, _xlfn.IFNA(_xlfn.XLOOKUP(S$2-$C31, 'SENS Coal'!$D$7:$AW$7, 'SENS Coal'!$D$43:$AW$43), 0), IF($B31='Project List References'!$B$8, _xlfn.IFNA(_xlfn.XLOOKUP(S$2-$C31,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T31" s="743" t="e">
        <f>IF($B31='Project List References'!$B$3, _xlfn.IFNA(_xlfn.XLOOKUP(T$2-$C31, 'GEN-CCGT'!$D$7:$AW$7, 'GEN-CCGT'!$D$43:$AW$43), 0), IF($B31='Project List References'!$B$4, _xlfn.IFNA(_xlfn.XLOOKUP(T$2-$C31, 'GEN-SOLAR'!$D$7:$AW$7, 'GEN-SOLAR'!$D$43:$AW$43), 0), IF($B31='Project List References'!$B$5, _xlfn.IFNA(_xlfn.XLOOKUP(T$2-$C31, 'GEN-BESS'!$D$7:$AW$7, 'GEN-BESS'!$D$43:$AW$43), 0), IF($B31='Project List References'!$B$6, _xlfn.IFNA(_xlfn.XLOOKUP(T$2-$C31, 'GEN-CARBON'!$D$7:$AW$7, 'GEN-CARBON'!$D$43:$AW$43), 0), IF($B31='Project List References'!$B$7, _xlfn.IFNA(_xlfn.XLOOKUP(T$2-$C31, 'SENS Coal'!$D$7:$AW$7, 'SENS Coal'!$D$43:$AW$43), 0), IF($B31='Project List References'!$B$8, _xlfn.IFNA(_xlfn.XLOOKUP(T$2-$C31, 'SENS Tires'!$D$7:$AW$7, 'SENS Tires'!$D$43:$AW$43),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</row>
    <row r="32" spans="1:20">
      <c r="A32" s="655" t="str">
        <f>IF(ISBLANK('Project Master Sheet'!A32)=FALSE, 'Project Master Sheet'!A32, "")</f>
        <v/>
      </c>
      <c r="B32" s="655" t="str">
        <f>_xlfn.IFNA(_xlfn.XLOOKUP(A32, 'Project Master Sheet'!A:A, 'Project Master Sheet'!D:D), "")</f>
        <v/>
      </c>
      <c r="C32" s="655" t="e">
        <f>_xlfn.XLOOKUP('Project OPEX'!A32, 'Project Master Sheet'!A:A, 'Project Master Sheet'!I:I)</f>
        <v>#N/A</v>
      </c>
      <c r="E32" s="743" t="e">
        <f>IF($B32='Project List References'!$B$3, _xlfn.IFNA(_xlfn.XLOOKUP(E$2-$C32, 'GEN-CCGT'!$D$7:$AW$7, 'GEN-CCGT'!$D$43:$AW$43), 0), IF($B32='Project List References'!$B$4, _xlfn.IFNA(_xlfn.XLOOKUP(E$2-$C32, 'GEN-SOLAR'!$D$7:$AW$7, 'GEN-SOLAR'!$D$43:$AW$43), 0), IF($B32='Project List References'!$B$5, _xlfn.IFNA(_xlfn.XLOOKUP(E$2-$C32, 'GEN-BESS'!$D$7:$AW$7, 'GEN-BESS'!$D$43:$AW$43), 0), IF($B32='Project List References'!$B$6, _xlfn.IFNA(_xlfn.XLOOKUP(E$2-$C32, 'GEN-CARBON'!$D$7:$AW$7, 'GEN-CARBON'!$D$43:$AW$43), 0), IF($B32='Project List References'!$B$7, _xlfn.IFNA(_xlfn.XLOOKUP(E$2-$C32, 'SENS Coal'!$D$7:$AW$7, 'SENS Coal'!$D$43:$AW$43), 0), IF($B32='Project List References'!$B$8, _xlfn.IFNA(_xlfn.XLOOKUP(E$2-$C32,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F32" s="743" t="e">
        <f>IF($B32='Project List References'!$B$3, _xlfn.IFNA(_xlfn.XLOOKUP(F$2-$C32, 'GEN-CCGT'!$D$7:$AW$7, 'GEN-CCGT'!$D$43:$AW$43), 0), IF($B32='Project List References'!$B$4, _xlfn.IFNA(_xlfn.XLOOKUP(F$2-$C32, 'GEN-SOLAR'!$D$7:$AW$7, 'GEN-SOLAR'!$D$43:$AW$43), 0), IF($B32='Project List References'!$B$5, _xlfn.IFNA(_xlfn.XLOOKUP(F$2-$C32, 'GEN-BESS'!$D$7:$AW$7, 'GEN-BESS'!$D$43:$AW$43), 0), IF($B32='Project List References'!$B$6, _xlfn.IFNA(_xlfn.XLOOKUP(F$2-$C32, 'GEN-CARBON'!$D$7:$AW$7, 'GEN-CARBON'!$D$43:$AW$43), 0), IF($B32='Project List References'!$B$7, _xlfn.IFNA(_xlfn.XLOOKUP(F$2-$C32, 'SENS Coal'!$D$7:$AW$7, 'SENS Coal'!$D$43:$AW$43), 0), IF($B32='Project List References'!$B$8, _xlfn.IFNA(_xlfn.XLOOKUP(F$2-$C32,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G32" s="743" t="e">
        <f>IF($B32='Project List References'!$B$3, _xlfn.IFNA(_xlfn.XLOOKUP(G$2-$C32, 'GEN-CCGT'!$D$7:$AW$7, 'GEN-CCGT'!$D$43:$AW$43), 0), IF($B32='Project List References'!$B$4, _xlfn.IFNA(_xlfn.XLOOKUP(G$2-$C32, 'GEN-SOLAR'!$D$7:$AW$7, 'GEN-SOLAR'!$D$43:$AW$43), 0), IF($B32='Project List References'!$B$5, _xlfn.IFNA(_xlfn.XLOOKUP(G$2-$C32, 'GEN-BESS'!$D$7:$AW$7, 'GEN-BESS'!$D$43:$AW$43), 0), IF($B32='Project List References'!$B$6, _xlfn.IFNA(_xlfn.XLOOKUP(G$2-$C32, 'GEN-CARBON'!$D$7:$AW$7, 'GEN-CARBON'!$D$43:$AW$43), 0), IF($B32='Project List References'!$B$7, _xlfn.IFNA(_xlfn.XLOOKUP(G$2-$C32, 'SENS Coal'!$D$7:$AW$7, 'SENS Coal'!$D$43:$AW$43), 0), IF($B32='Project List References'!$B$8, _xlfn.IFNA(_xlfn.XLOOKUP(G$2-$C32,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H32" s="743" t="e">
        <f>IF($B32='Project List References'!$B$3, _xlfn.IFNA(_xlfn.XLOOKUP(H$2-$C32, 'GEN-CCGT'!$D$7:$AW$7, 'GEN-CCGT'!$D$43:$AW$43), 0), IF($B32='Project List References'!$B$4, _xlfn.IFNA(_xlfn.XLOOKUP(H$2-$C32, 'GEN-SOLAR'!$D$7:$AW$7, 'GEN-SOLAR'!$D$43:$AW$43), 0), IF($B32='Project List References'!$B$5, _xlfn.IFNA(_xlfn.XLOOKUP(H$2-$C32, 'GEN-BESS'!$D$7:$AW$7, 'GEN-BESS'!$D$43:$AW$43), 0), IF($B32='Project List References'!$B$6, _xlfn.IFNA(_xlfn.XLOOKUP(H$2-$C32, 'GEN-CARBON'!$D$7:$AW$7, 'GEN-CARBON'!$D$43:$AW$43), 0), IF($B32='Project List References'!$B$7, _xlfn.IFNA(_xlfn.XLOOKUP(H$2-$C32, 'SENS Coal'!$D$7:$AW$7, 'SENS Coal'!$D$43:$AW$43), 0), IF($B32='Project List References'!$B$8, _xlfn.IFNA(_xlfn.XLOOKUP(H$2-$C32,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I32" s="743" t="e">
        <f>IF($B32='Project List References'!$B$3, _xlfn.IFNA(_xlfn.XLOOKUP(I$2-$C32, 'GEN-CCGT'!$D$7:$AW$7, 'GEN-CCGT'!$D$43:$AW$43), 0), IF($B32='Project List References'!$B$4, _xlfn.IFNA(_xlfn.XLOOKUP(I$2-$C32, 'GEN-SOLAR'!$D$7:$AW$7, 'GEN-SOLAR'!$D$43:$AW$43), 0), IF($B32='Project List References'!$B$5, _xlfn.IFNA(_xlfn.XLOOKUP(I$2-$C32, 'GEN-BESS'!$D$7:$AW$7, 'GEN-BESS'!$D$43:$AW$43), 0), IF($B32='Project List References'!$B$6, _xlfn.IFNA(_xlfn.XLOOKUP(I$2-$C32, 'GEN-CARBON'!$D$7:$AW$7, 'GEN-CARBON'!$D$43:$AW$43), 0), IF($B32='Project List References'!$B$7, _xlfn.IFNA(_xlfn.XLOOKUP(I$2-$C32, 'SENS Coal'!$D$7:$AW$7, 'SENS Coal'!$D$43:$AW$43), 0), IF($B32='Project List References'!$B$8, _xlfn.IFNA(_xlfn.XLOOKUP(I$2-$C32,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J32" s="743" t="e">
        <f>IF($B32='Project List References'!$B$3, _xlfn.IFNA(_xlfn.XLOOKUP(J$2-$C32, 'GEN-CCGT'!$D$7:$AW$7, 'GEN-CCGT'!$D$43:$AW$43), 0), IF($B32='Project List References'!$B$4, _xlfn.IFNA(_xlfn.XLOOKUP(J$2-$C32, 'GEN-SOLAR'!$D$7:$AW$7, 'GEN-SOLAR'!$D$43:$AW$43), 0), IF($B32='Project List References'!$B$5, _xlfn.IFNA(_xlfn.XLOOKUP(J$2-$C32, 'GEN-BESS'!$D$7:$AW$7, 'GEN-BESS'!$D$43:$AW$43), 0), IF($B32='Project List References'!$B$6, _xlfn.IFNA(_xlfn.XLOOKUP(J$2-$C32, 'GEN-CARBON'!$D$7:$AW$7, 'GEN-CARBON'!$D$43:$AW$43), 0), IF($B32='Project List References'!$B$7, _xlfn.IFNA(_xlfn.XLOOKUP(J$2-$C32, 'SENS Coal'!$D$7:$AW$7, 'SENS Coal'!$D$43:$AW$43), 0), IF($B32='Project List References'!$B$8, _xlfn.IFNA(_xlfn.XLOOKUP(J$2-$C32,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K32" s="743" t="e">
        <f>IF($B32='Project List References'!$B$3, _xlfn.IFNA(_xlfn.XLOOKUP(K$2-$C32, 'GEN-CCGT'!$D$7:$AW$7, 'GEN-CCGT'!$D$43:$AW$43), 0), IF($B32='Project List References'!$B$4, _xlfn.IFNA(_xlfn.XLOOKUP(K$2-$C32, 'GEN-SOLAR'!$D$7:$AW$7, 'GEN-SOLAR'!$D$43:$AW$43), 0), IF($B32='Project List References'!$B$5, _xlfn.IFNA(_xlfn.XLOOKUP(K$2-$C32, 'GEN-BESS'!$D$7:$AW$7, 'GEN-BESS'!$D$43:$AW$43), 0), IF($B32='Project List References'!$B$6, _xlfn.IFNA(_xlfn.XLOOKUP(K$2-$C32, 'GEN-CARBON'!$D$7:$AW$7, 'GEN-CARBON'!$D$43:$AW$43), 0), IF($B32='Project List References'!$B$7, _xlfn.IFNA(_xlfn.XLOOKUP(K$2-$C32, 'SENS Coal'!$D$7:$AW$7, 'SENS Coal'!$D$43:$AW$43), 0), IF($B32='Project List References'!$B$8, _xlfn.IFNA(_xlfn.XLOOKUP(K$2-$C32,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L32" s="743" t="e">
        <f>IF($B32='Project List References'!$B$3, _xlfn.IFNA(_xlfn.XLOOKUP(L$2-$C32, 'GEN-CCGT'!$D$7:$AW$7, 'GEN-CCGT'!$D$43:$AW$43), 0), IF($B32='Project List References'!$B$4, _xlfn.IFNA(_xlfn.XLOOKUP(L$2-$C32, 'GEN-SOLAR'!$D$7:$AW$7, 'GEN-SOLAR'!$D$43:$AW$43), 0), IF($B32='Project List References'!$B$5, _xlfn.IFNA(_xlfn.XLOOKUP(L$2-$C32, 'GEN-BESS'!$D$7:$AW$7, 'GEN-BESS'!$D$43:$AW$43), 0), IF($B32='Project List References'!$B$6, _xlfn.IFNA(_xlfn.XLOOKUP(L$2-$C32, 'GEN-CARBON'!$D$7:$AW$7, 'GEN-CARBON'!$D$43:$AW$43), 0), IF($B32='Project List References'!$B$7, _xlfn.IFNA(_xlfn.XLOOKUP(L$2-$C32, 'SENS Coal'!$D$7:$AW$7, 'SENS Coal'!$D$43:$AW$43), 0), IF($B32='Project List References'!$B$8, _xlfn.IFNA(_xlfn.XLOOKUP(L$2-$C32,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M32" s="743" t="e">
        <f>IF($B32='Project List References'!$B$3, _xlfn.IFNA(_xlfn.XLOOKUP(M$2-$C32, 'GEN-CCGT'!$D$7:$AW$7, 'GEN-CCGT'!$D$43:$AW$43), 0), IF($B32='Project List References'!$B$4, _xlfn.IFNA(_xlfn.XLOOKUP(M$2-$C32, 'GEN-SOLAR'!$D$7:$AW$7, 'GEN-SOLAR'!$D$43:$AW$43), 0), IF($B32='Project List References'!$B$5, _xlfn.IFNA(_xlfn.XLOOKUP(M$2-$C32, 'GEN-BESS'!$D$7:$AW$7, 'GEN-BESS'!$D$43:$AW$43), 0), IF($B32='Project List References'!$B$6, _xlfn.IFNA(_xlfn.XLOOKUP(M$2-$C32, 'GEN-CARBON'!$D$7:$AW$7, 'GEN-CARBON'!$D$43:$AW$43), 0), IF($B32='Project List References'!$B$7, _xlfn.IFNA(_xlfn.XLOOKUP(M$2-$C32, 'SENS Coal'!$D$7:$AW$7, 'SENS Coal'!$D$43:$AW$43), 0), IF($B32='Project List References'!$B$8, _xlfn.IFNA(_xlfn.XLOOKUP(M$2-$C32,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N32" s="743" t="e">
        <f>IF($B32='Project List References'!$B$3, _xlfn.IFNA(_xlfn.XLOOKUP(N$2-$C32, 'GEN-CCGT'!$D$7:$AW$7, 'GEN-CCGT'!$D$43:$AW$43), 0), IF($B32='Project List References'!$B$4, _xlfn.IFNA(_xlfn.XLOOKUP(N$2-$C32, 'GEN-SOLAR'!$D$7:$AW$7, 'GEN-SOLAR'!$D$43:$AW$43), 0), IF($B32='Project List References'!$B$5, _xlfn.IFNA(_xlfn.XLOOKUP(N$2-$C32, 'GEN-BESS'!$D$7:$AW$7, 'GEN-BESS'!$D$43:$AW$43), 0), IF($B32='Project List References'!$B$6, _xlfn.IFNA(_xlfn.XLOOKUP(N$2-$C32, 'GEN-CARBON'!$D$7:$AW$7, 'GEN-CARBON'!$D$43:$AW$43), 0), IF($B32='Project List References'!$B$7, _xlfn.IFNA(_xlfn.XLOOKUP(N$2-$C32, 'SENS Coal'!$D$7:$AW$7, 'SENS Coal'!$D$43:$AW$43), 0), IF($B32='Project List References'!$B$8, _xlfn.IFNA(_xlfn.XLOOKUP(N$2-$C32,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O32" s="743" t="e">
        <f>IF($B32='Project List References'!$B$3, _xlfn.IFNA(_xlfn.XLOOKUP(O$2-$C32, 'GEN-CCGT'!$D$7:$AW$7, 'GEN-CCGT'!$D$43:$AW$43), 0), IF($B32='Project List References'!$B$4, _xlfn.IFNA(_xlfn.XLOOKUP(O$2-$C32, 'GEN-SOLAR'!$D$7:$AW$7, 'GEN-SOLAR'!$D$43:$AW$43), 0), IF($B32='Project List References'!$B$5, _xlfn.IFNA(_xlfn.XLOOKUP(O$2-$C32, 'GEN-BESS'!$D$7:$AW$7, 'GEN-BESS'!$D$43:$AW$43), 0), IF($B32='Project List References'!$B$6, _xlfn.IFNA(_xlfn.XLOOKUP(O$2-$C32, 'GEN-CARBON'!$D$7:$AW$7, 'GEN-CARBON'!$D$43:$AW$43), 0), IF($B32='Project List References'!$B$7, _xlfn.IFNA(_xlfn.XLOOKUP(O$2-$C32, 'SENS Coal'!$D$7:$AW$7, 'SENS Coal'!$D$43:$AW$43), 0), IF($B32='Project List References'!$B$8, _xlfn.IFNA(_xlfn.XLOOKUP(O$2-$C32,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P32" s="743" t="e">
        <f>IF($B32='Project List References'!$B$3, _xlfn.IFNA(_xlfn.XLOOKUP(P$2-$C32, 'GEN-CCGT'!$D$7:$AW$7, 'GEN-CCGT'!$D$43:$AW$43), 0), IF($B32='Project List References'!$B$4, _xlfn.IFNA(_xlfn.XLOOKUP(P$2-$C32, 'GEN-SOLAR'!$D$7:$AW$7, 'GEN-SOLAR'!$D$43:$AW$43), 0), IF($B32='Project List References'!$B$5, _xlfn.IFNA(_xlfn.XLOOKUP(P$2-$C32, 'GEN-BESS'!$D$7:$AW$7, 'GEN-BESS'!$D$43:$AW$43), 0), IF($B32='Project List References'!$B$6, _xlfn.IFNA(_xlfn.XLOOKUP(P$2-$C32, 'GEN-CARBON'!$D$7:$AW$7, 'GEN-CARBON'!$D$43:$AW$43), 0), IF($B32='Project List References'!$B$7, _xlfn.IFNA(_xlfn.XLOOKUP(P$2-$C32, 'SENS Coal'!$D$7:$AW$7, 'SENS Coal'!$D$43:$AW$43), 0), IF($B32='Project List References'!$B$8, _xlfn.IFNA(_xlfn.XLOOKUP(P$2-$C32,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Q32" s="743" t="e">
        <f>IF($B32='Project List References'!$B$3, _xlfn.IFNA(_xlfn.XLOOKUP(Q$2-$C32, 'GEN-CCGT'!$D$7:$AW$7, 'GEN-CCGT'!$D$43:$AW$43), 0), IF($B32='Project List References'!$B$4, _xlfn.IFNA(_xlfn.XLOOKUP(Q$2-$C32, 'GEN-SOLAR'!$D$7:$AW$7, 'GEN-SOLAR'!$D$43:$AW$43), 0), IF($B32='Project List References'!$B$5, _xlfn.IFNA(_xlfn.XLOOKUP(Q$2-$C32, 'GEN-BESS'!$D$7:$AW$7, 'GEN-BESS'!$D$43:$AW$43), 0), IF($B32='Project List References'!$B$6, _xlfn.IFNA(_xlfn.XLOOKUP(Q$2-$C32, 'GEN-CARBON'!$D$7:$AW$7, 'GEN-CARBON'!$D$43:$AW$43), 0), IF($B32='Project List References'!$B$7, _xlfn.IFNA(_xlfn.XLOOKUP(Q$2-$C32, 'SENS Coal'!$D$7:$AW$7, 'SENS Coal'!$D$43:$AW$43), 0), IF($B32='Project List References'!$B$8, _xlfn.IFNA(_xlfn.XLOOKUP(Q$2-$C32,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R32" s="743" t="e">
        <f>IF($B32='Project List References'!$B$3, _xlfn.IFNA(_xlfn.XLOOKUP(R$2-$C32, 'GEN-CCGT'!$D$7:$AW$7, 'GEN-CCGT'!$D$43:$AW$43), 0), IF($B32='Project List References'!$B$4, _xlfn.IFNA(_xlfn.XLOOKUP(R$2-$C32, 'GEN-SOLAR'!$D$7:$AW$7, 'GEN-SOLAR'!$D$43:$AW$43), 0), IF($B32='Project List References'!$B$5, _xlfn.IFNA(_xlfn.XLOOKUP(R$2-$C32, 'GEN-BESS'!$D$7:$AW$7, 'GEN-BESS'!$D$43:$AW$43), 0), IF($B32='Project List References'!$B$6, _xlfn.IFNA(_xlfn.XLOOKUP(R$2-$C32, 'GEN-CARBON'!$D$7:$AW$7, 'GEN-CARBON'!$D$43:$AW$43), 0), IF($B32='Project List References'!$B$7, _xlfn.IFNA(_xlfn.XLOOKUP(R$2-$C32, 'SENS Coal'!$D$7:$AW$7, 'SENS Coal'!$D$43:$AW$43), 0), IF($B32='Project List References'!$B$8, _xlfn.IFNA(_xlfn.XLOOKUP(R$2-$C32,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S32" s="743" t="e">
        <f>IF($B32='Project List References'!$B$3, _xlfn.IFNA(_xlfn.XLOOKUP(S$2-$C32, 'GEN-CCGT'!$D$7:$AW$7, 'GEN-CCGT'!$D$43:$AW$43), 0), IF($B32='Project List References'!$B$4, _xlfn.IFNA(_xlfn.XLOOKUP(S$2-$C32, 'GEN-SOLAR'!$D$7:$AW$7, 'GEN-SOLAR'!$D$43:$AW$43), 0), IF($B32='Project List References'!$B$5, _xlfn.IFNA(_xlfn.XLOOKUP(S$2-$C32, 'GEN-BESS'!$D$7:$AW$7, 'GEN-BESS'!$D$43:$AW$43), 0), IF($B32='Project List References'!$B$6, _xlfn.IFNA(_xlfn.XLOOKUP(S$2-$C32, 'GEN-CARBON'!$D$7:$AW$7, 'GEN-CARBON'!$D$43:$AW$43), 0), IF($B32='Project List References'!$B$7, _xlfn.IFNA(_xlfn.XLOOKUP(S$2-$C32, 'SENS Coal'!$D$7:$AW$7, 'SENS Coal'!$D$43:$AW$43), 0), IF($B32='Project List References'!$B$8, _xlfn.IFNA(_xlfn.XLOOKUP(S$2-$C32,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T32" s="743" t="e">
        <f>IF($B32='Project List References'!$B$3, _xlfn.IFNA(_xlfn.XLOOKUP(T$2-$C32, 'GEN-CCGT'!$D$7:$AW$7, 'GEN-CCGT'!$D$43:$AW$43), 0), IF($B32='Project List References'!$B$4, _xlfn.IFNA(_xlfn.XLOOKUP(T$2-$C32, 'GEN-SOLAR'!$D$7:$AW$7, 'GEN-SOLAR'!$D$43:$AW$43), 0), IF($B32='Project List References'!$B$5, _xlfn.IFNA(_xlfn.XLOOKUP(T$2-$C32, 'GEN-BESS'!$D$7:$AW$7, 'GEN-BESS'!$D$43:$AW$43), 0), IF($B32='Project List References'!$B$6, _xlfn.IFNA(_xlfn.XLOOKUP(T$2-$C32, 'GEN-CARBON'!$D$7:$AW$7, 'GEN-CARBON'!$D$43:$AW$43), 0), IF($B32='Project List References'!$B$7, _xlfn.IFNA(_xlfn.XLOOKUP(T$2-$C32, 'SENS Coal'!$D$7:$AW$7, 'SENS Coal'!$D$43:$AW$43), 0), IF($B32='Project List References'!$B$8, _xlfn.IFNA(_xlfn.XLOOKUP(T$2-$C32, 'SENS Tires'!$D$7:$AW$7, 'SENS Tires'!$D$43:$AW$43),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</row>
    <row r="33" spans="1:20">
      <c r="A33" s="655" t="str">
        <f>IF(ISBLANK('Project Master Sheet'!A33)=FALSE, 'Project Master Sheet'!A33, "")</f>
        <v/>
      </c>
      <c r="B33" s="655" t="str">
        <f>_xlfn.IFNA(_xlfn.XLOOKUP(A33, 'Project Master Sheet'!A:A, 'Project Master Sheet'!D:D), "")</f>
        <v/>
      </c>
      <c r="C33" s="655" t="e">
        <f>_xlfn.XLOOKUP('Project OPEX'!A33, 'Project Master Sheet'!A:A, 'Project Master Sheet'!I:I)</f>
        <v>#N/A</v>
      </c>
      <c r="E33" s="743" t="e">
        <f>IF($B33='Project List References'!$B$3, _xlfn.IFNA(_xlfn.XLOOKUP(E$2-$C33, 'GEN-CCGT'!$D$7:$AW$7, 'GEN-CCGT'!$D$43:$AW$43), 0), IF($B33='Project List References'!$B$4, _xlfn.IFNA(_xlfn.XLOOKUP(E$2-$C33, 'GEN-SOLAR'!$D$7:$AW$7, 'GEN-SOLAR'!$D$43:$AW$43), 0), IF($B33='Project List References'!$B$5, _xlfn.IFNA(_xlfn.XLOOKUP(E$2-$C33, 'GEN-BESS'!$D$7:$AW$7, 'GEN-BESS'!$D$43:$AW$43), 0), IF($B33='Project List References'!$B$6, _xlfn.IFNA(_xlfn.XLOOKUP(E$2-$C33, 'GEN-CARBON'!$D$7:$AW$7, 'GEN-CARBON'!$D$43:$AW$43), 0), IF($B33='Project List References'!$B$7, _xlfn.IFNA(_xlfn.XLOOKUP(E$2-$C33, 'SENS Coal'!$D$7:$AW$7, 'SENS Coal'!$D$43:$AW$43), 0), IF($B33='Project List References'!$B$8, _xlfn.IFNA(_xlfn.XLOOKUP(E$2-$C33,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F33" s="743" t="e">
        <f>IF($B33='Project List References'!$B$3, _xlfn.IFNA(_xlfn.XLOOKUP(F$2-$C33, 'GEN-CCGT'!$D$7:$AW$7, 'GEN-CCGT'!$D$43:$AW$43), 0), IF($B33='Project List References'!$B$4, _xlfn.IFNA(_xlfn.XLOOKUP(F$2-$C33, 'GEN-SOLAR'!$D$7:$AW$7, 'GEN-SOLAR'!$D$43:$AW$43), 0), IF($B33='Project List References'!$B$5, _xlfn.IFNA(_xlfn.XLOOKUP(F$2-$C33, 'GEN-BESS'!$D$7:$AW$7, 'GEN-BESS'!$D$43:$AW$43), 0), IF($B33='Project List References'!$B$6, _xlfn.IFNA(_xlfn.XLOOKUP(F$2-$C33, 'GEN-CARBON'!$D$7:$AW$7, 'GEN-CARBON'!$D$43:$AW$43), 0), IF($B33='Project List References'!$B$7, _xlfn.IFNA(_xlfn.XLOOKUP(F$2-$C33, 'SENS Coal'!$D$7:$AW$7, 'SENS Coal'!$D$43:$AW$43), 0), IF($B33='Project List References'!$B$8, _xlfn.IFNA(_xlfn.XLOOKUP(F$2-$C33,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G33" s="743" t="e">
        <f>IF($B33='Project List References'!$B$3, _xlfn.IFNA(_xlfn.XLOOKUP(G$2-$C33, 'GEN-CCGT'!$D$7:$AW$7, 'GEN-CCGT'!$D$43:$AW$43), 0), IF($B33='Project List References'!$B$4, _xlfn.IFNA(_xlfn.XLOOKUP(G$2-$C33, 'GEN-SOLAR'!$D$7:$AW$7, 'GEN-SOLAR'!$D$43:$AW$43), 0), IF($B33='Project List References'!$B$5, _xlfn.IFNA(_xlfn.XLOOKUP(G$2-$C33, 'GEN-BESS'!$D$7:$AW$7, 'GEN-BESS'!$D$43:$AW$43), 0), IF($B33='Project List References'!$B$6, _xlfn.IFNA(_xlfn.XLOOKUP(G$2-$C33, 'GEN-CARBON'!$D$7:$AW$7, 'GEN-CARBON'!$D$43:$AW$43), 0), IF($B33='Project List References'!$B$7, _xlfn.IFNA(_xlfn.XLOOKUP(G$2-$C33, 'SENS Coal'!$D$7:$AW$7, 'SENS Coal'!$D$43:$AW$43), 0), IF($B33='Project List References'!$B$8, _xlfn.IFNA(_xlfn.XLOOKUP(G$2-$C33,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H33" s="743" t="e">
        <f>IF($B33='Project List References'!$B$3, _xlfn.IFNA(_xlfn.XLOOKUP(H$2-$C33, 'GEN-CCGT'!$D$7:$AW$7, 'GEN-CCGT'!$D$43:$AW$43), 0), IF($B33='Project List References'!$B$4, _xlfn.IFNA(_xlfn.XLOOKUP(H$2-$C33, 'GEN-SOLAR'!$D$7:$AW$7, 'GEN-SOLAR'!$D$43:$AW$43), 0), IF($B33='Project List References'!$B$5, _xlfn.IFNA(_xlfn.XLOOKUP(H$2-$C33, 'GEN-BESS'!$D$7:$AW$7, 'GEN-BESS'!$D$43:$AW$43), 0), IF($B33='Project List References'!$B$6, _xlfn.IFNA(_xlfn.XLOOKUP(H$2-$C33, 'GEN-CARBON'!$D$7:$AW$7, 'GEN-CARBON'!$D$43:$AW$43), 0), IF($B33='Project List References'!$B$7, _xlfn.IFNA(_xlfn.XLOOKUP(H$2-$C33, 'SENS Coal'!$D$7:$AW$7, 'SENS Coal'!$D$43:$AW$43), 0), IF($B33='Project List References'!$B$8, _xlfn.IFNA(_xlfn.XLOOKUP(H$2-$C33,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I33" s="743" t="e">
        <f>IF($B33='Project List References'!$B$3, _xlfn.IFNA(_xlfn.XLOOKUP(I$2-$C33, 'GEN-CCGT'!$D$7:$AW$7, 'GEN-CCGT'!$D$43:$AW$43), 0), IF($B33='Project List References'!$B$4, _xlfn.IFNA(_xlfn.XLOOKUP(I$2-$C33, 'GEN-SOLAR'!$D$7:$AW$7, 'GEN-SOLAR'!$D$43:$AW$43), 0), IF($B33='Project List References'!$B$5, _xlfn.IFNA(_xlfn.XLOOKUP(I$2-$C33, 'GEN-BESS'!$D$7:$AW$7, 'GEN-BESS'!$D$43:$AW$43), 0), IF($B33='Project List References'!$B$6, _xlfn.IFNA(_xlfn.XLOOKUP(I$2-$C33, 'GEN-CARBON'!$D$7:$AW$7, 'GEN-CARBON'!$D$43:$AW$43), 0), IF($B33='Project List References'!$B$7, _xlfn.IFNA(_xlfn.XLOOKUP(I$2-$C33, 'SENS Coal'!$D$7:$AW$7, 'SENS Coal'!$D$43:$AW$43), 0), IF($B33='Project List References'!$B$8, _xlfn.IFNA(_xlfn.XLOOKUP(I$2-$C33,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J33" s="743" t="e">
        <f>IF($B33='Project List References'!$B$3, _xlfn.IFNA(_xlfn.XLOOKUP(J$2-$C33, 'GEN-CCGT'!$D$7:$AW$7, 'GEN-CCGT'!$D$43:$AW$43), 0), IF($B33='Project List References'!$B$4, _xlfn.IFNA(_xlfn.XLOOKUP(J$2-$C33, 'GEN-SOLAR'!$D$7:$AW$7, 'GEN-SOLAR'!$D$43:$AW$43), 0), IF($B33='Project List References'!$B$5, _xlfn.IFNA(_xlfn.XLOOKUP(J$2-$C33, 'GEN-BESS'!$D$7:$AW$7, 'GEN-BESS'!$D$43:$AW$43), 0), IF($B33='Project List References'!$B$6, _xlfn.IFNA(_xlfn.XLOOKUP(J$2-$C33, 'GEN-CARBON'!$D$7:$AW$7, 'GEN-CARBON'!$D$43:$AW$43), 0), IF($B33='Project List References'!$B$7, _xlfn.IFNA(_xlfn.XLOOKUP(J$2-$C33, 'SENS Coal'!$D$7:$AW$7, 'SENS Coal'!$D$43:$AW$43), 0), IF($B33='Project List References'!$B$8, _xlfn.IFNA(_xlfn.XLOOKUP(J$2-$C33,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K33" s="743" t="e">
        <f>IF($B33='Project List References'!$B$3, _xlfn.IFNA(_xlfn.XLOOKUP(K$2-$C33, 'GEN-CCGT'!$D$7:$AW$7, 'GEN-CCGT'!$D$43:$AW$43), 0), IF($B33='Project List References'!$B$4, _xlfn.IFNA(_xlfn.XLOOKUP(K$2-$C33, 'GEN-SOLAR'!$D$7:$AW$7, 'GEN-SOLAR'!$D$43:$AW$43), 0), IF($B33='Project List References'!$B$5, _xlfn.IFNA(_xlfn.XLOOKUP(K$2-$C33, 'GEN-BESS'!$D$7:$AW$7, 'GEN-BESS'!$D$43:$AW$43), 0), IF($B33='Project List References'!$B$6, _xlfn.IFNA(_xlfn.XLOOKUP(K$2-$C33, 'GEN-CARBON'!$D$7:$AW$7, 'GEN-CARBON'!$D$43:$AW$43), 0), IF($B33='Project List References'!$B$7, _xlfn.IFNA(_xlfn.XLOOKUP(K$2-$C33, 'SENS Coal'!$D$7:$AW$7, 'SENS Coal'!$D$43:$AW$43), 0), IF($B33='Project List References'!$B$8, _xlfn.IFNA(_xlfn.XLOOKUP(K$2-$C33,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L33" s="743" t="e">
        <f>IF($B33='Project List References'!$B$3, _xlfn.IFNA(_xlfn.XLOOKUP(L$2-$C33, 'GEN-CCGT'!$D$7:$AW$7, 'GEN-CCGT'!$D$43:$AW$43), 0), IF($B33='Project List References'!$B$4, _xlfn.IFNA(_xlfn.XLOOKUP(L$2-$C33, 'GEN-SOLAR'!$D$7:$AW$7, 'GEN-SOLAR'!$D$43:$AW$43), 0), IF($B33='Project List References'!$B$5, _xlfn.IFNA(_xlfn.XLOOKUP(L$2-$C33, 'GEN-BESS'!$D$7:$AW$7, 'GEN-BESS'!$D$43:$AW$43), 0), IF($B33='Project List References'!$B$6, _xlfn.IFNA(_xlfn.XLOOKUP(L$2-$C33, 'GEN-CARBON'!$D$7:$AW$7, 'GEN-CARBON'!$D$43:$AW$43), 0), IF($B33='Project List References'!$B$7, _xlfn.IFNA(_xlfn.XLOOKUP(L$2-$C33, 'SENS Coal'!$D$7:$AW$7, 'SENS Coal'!$D$43:$AW$43), 0), IF($B33='Project List References'!$B$8, _xlfn.IFNA(_xlfn.XLOOKUP(L$2-$C33,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M33" s="743" t="e">
        <f>IF($B33='Project List References'!$B$3, _xlfn.IFNA(_xlfn.XLOOKUP(M$2-$C33, 'GEN-CCGT'!$D$7:$AW$7, 'GEN-CCGT'!$D$43:$AW$43), 0), IF($B33='Project List References'!$B$4, _xlfn.IFNA(_xlfn.XLOOKUP(M$2-$C33, 'GEN-SOLAR'!$D$7:$AW$7, 'GEN-SOLAR'!$D$43:$AW$43), 0), IF($B33='Project List References'!$B$5, _xlfn.IFNA(_xlfn.XLOOKUP(M$2-$C33, 'GEN-BESS'!$D$7:$AW$7, 'GEN-BESS'!$D$43:$AW$43), 0), IF($B33='Project List References'!$B$6, _xlfn.IFNA(_xlfn.XLOOKUP(M$2-$C33, 'GEN-CARBON'!$D$7:$AW$7, 'GEN-CARBON'!$D$43:$AW$43), 0), IF($B33='Project List References'!$B$7, _xlfn.IFNA(_xlfn.XLOOKUP(M$2-$C33, 'SENS Coal'!$D$7:$AW$7, 'SENS Coal'!$D$43:$AW$43), 0), IF($B33='Project List References'!$B$8, _xlfn.IFNA(_xlfn.XLOOKUP(M$2-$C33,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N33" s="743" t="e">
        <f>IF($B33='Project List References'!$B$3, _xlfn.IFNA(_xlfn.XLOOKUP(N$2-$C33, 'GEN-CCGT'!$D$7:$AW$7, 'GEN-CCGT'!$D$43:$AW$43), 0), IF($B33='Project List References'!$B$4, _xlfn.IFNA(_xlfn.XLOOKUP(N$2-$C33, 'GEN-SOLAR'!$D$7:$AW$7, 'GEN-SOLAR'!$D$43:$AW$43), 0), IF($B33='Project List References'!$B$5, _xlfn.IFNA(_xlfn.XLOOKUP(N$2-$C33, 'GEN-BESS'!$D$7:$AW$7, 'GEN-BESS'!$D$43:$AW$43), 0), IF($B33='Project List References'!$B$6, _xlfn.IFNA(_xlfn.XLOOKUP(N$2-$C33, 'GEN-CARBON'!$D$7:$AW$7, 'GEN-CARBON'!$D$43:$AW$43), 0), IF($B33='Project List References'!$B$7, _xlfn.IFNA(_xlfn.XLOOKUP(N$2-$C33, 'SENS Coal'!$D$7:$AW$7, 'SENS Coal'!$D$43:$AW$43), 0), IF($B33='Project List References'!$B$8, _xlfn.IFNA(_xlfn.XLOOKUP(N$2-$C33,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O33" s="743" t="e">
        <f>IF($B33='Project List References'!$B$3, _xlfn.IFNA(_xlfn.XLOOKUP(O$2-$C33, 'GEN-CCGT'!$D$7:$AW$7, 'GEN-CCGT'!$D$43:$AW$43), 0), IF($B33='Project List References'!$B$4, _xlfn.IFNA(_xlfn.XLOOKUP(O$2-$C33, 'GEN-SOLAR'!$D$7:$AW$7, 'GEN-SOLAR'!$D$43:$AW$43), 0), IF($B33='Project List References'!$B$5, _xlfn.IFNA(_xlfn.XLOOKUP(O$2-$C33, 'GEN-BESS'!$D$7:$AW$7, 'GEN-BESS'!$D$43:$AW$43), 0), IF($B33='Project List References'!$B$6, _xlfn.IFNA(_xlfn.XLOOKUP(O$2-$C33, 'GEN-CARBON'!$D$7:$AW$7, 'GEN-CARBON'!$D$43:$AW$43), 0), IF($B33='Project List References'!$B$7, _xlfn.IFNA(_xlfn.XLOOKUP(O$2-$C33, 'SENS Coal'!$D$7:$AW$7, 'SENS Coal'!$D$43:$AW$43), 0), IF($B33='Project List References'!$B$8, _xlfn.IFNA(_xlfn.XLOOKUP(O$2-$C33,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P33" s="743" t="e">
        <f>IF($B33='Project List References'!$B$3, _xlfn.IFNA(_xlfn.XLOOKUP(P$2-$C33, 'GEN-CCGT'!$D$7:$AW$7, 'GEN-CCGT'!$D$43:$AW$43), 0), IF($B33='Project List References'!$B$4, _xlfn.IFNA(_xlfn.XLOOKUP(P$2-$C33, 'GEN-SOLAR'!$D$7:$AW$7, 'GEN-SOLAR'!$D$43:$AW$43), 0), IF($B33='Project List References'!$B$5, _xlfn.IFNA(_xlfn.XLOOKUP(P$2-$C33, 'GEN-BESS'!$D$7:$AW$7, 'GEN-BESS'!$D$43:$AW$43), 0), IF($B33='Project List References'!$B$6, _xlfn.IFNA(_xlfn.XLOOKUP(P$2-$C33, 'GEN-CARBON'!$D$7:$AW$7, 'GEN-CARBON'!$D$43:$AW$43), 0), IF($B33='Project List References'!$B$7, _xlfn.IFNA(_xlfn.XLOOKUP(P$2-$C33, 'SENS Coal'!$D$7:$AW$7, 'SENS Coal'!$D$43:$AW$43), 0), IF($B33='Project List References'!$B$8, _xlfn.IFNA(_xlfn.XLOOKUP(P$2-$C33,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Q33" s="743" t="e">
        <f>IF($B33='Project List References'!$B$3, _xlfn.IFNA(_xlfn.XLOOKUP(Q$2-$C33, 'GEN-CCGT'!$D$7:$AW$7, 'GEN-CCGT'!$D$43:$AW$43), 0), IF($B33='Project List References'!$B$4, _xlfn.IFNA(_xlfn.XLOOKUP(Q$2-$C33, 'GEN-SOLAR'!$D$7:$AW$7, 'GEN-SOLAR'!$D$43:$AW$43), 0), IF($B33='Project List References'!$B$5, _xlfn.IFNA(_xlfn.XLOOKUP(Q$2-$C33, 'GEN-BESS'!$D$7:$AW$7, 'GEN-BESS'!$D$43:$AW$43), 0), IF($B33='Project List References'!$B$6, _xlfn.IFNA(_xlfn.XLOOKUP(Q$2-$C33, 'GEN-CARBON'!$D$7:$AW$7, 'GEN-CARBON'!$D$43:$AW$43), 0), IF($B33='Project List References'!$B$7, _xlfn.IFNA(_xlfn.XLOOKUP(Q$2-$C33, 'SENS Coal'!$D$7:$AW$7, 'SENS Coal'!$D$43:$AW$43), 0), IF($B33='Project List References'!$B$8, _xlfn.IFNA(_xlfn.XLOOKUP(Q$2-$C33,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R33" s="743" t="e">
        <f>IF($B33='Project List References'!$B$3, _xlfn.IFNA(_xlfn.XLOOKUP(R$2-$C33, 'GEN-CCGT'!$D$7:$AW$7, 'GEN-CCGT'!$D$43:$AW$43), 0), IF($B33='Project List References'!$B$4, _xlfn.IFNA(_xlfn.XLOOKUP(R$2-$C33, 'GEN-SOLAR'!$D$7:$AW$7, 'GEN-SOLAR'!$D$43:$AW$43), 0), IF($B33='Project List References'!$B$5, _xlfn.IFNA(_xlfn.XLOOKUP(R$2-$C33, 'GEN-BESS'!$D$7:$AW$7, 'GEN-BESS'!$D$43:$AW$43), 0), IF($B33='Project List References'!$B$6, _xlfn.IFNA(_xlfn.XLOOKUP(R$2-$C33, 'GEN-CARBON'!$D$7:$AW$7, 'GEN-CARBON'!$D$43:$AW$43), 0), IF($B33='Project List References'!$B$7, _xlfn.IFNA(_xlfn.XLOOKUP(R$2-$C33, 'SENS Coal'!$D$7:$AW$7, 'SENS Coal'!$D$43:$AW$43), 0), IF($B33='Project List References'!$B$8, _xlfn.IFNA(_xlfn.XLOOKUP(R$2-$C33,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S33" s="743" t="e">
        <f>IF($B33='Project List References'!$B$3, _xlfn.IFNA(_xlfn.XLOOKUP(S$2-$C33, 'GEN-CCGT'!$D$7:$AW$7, 'GEN-CCGT'!$D$43:$AW$43), 0), IF($B33='Project List References'!$B$4, _xlfn.IFNA(_xlfn.XLOOKUP(S$2-$C33, 'GEN-SOLAR'!$D$7:$AW$7, 'GEN-SOLAR'!$D$43:$AW$43), 0), IF($B33='Project List References'!$B$5, _xlfn.IFNA(_xlfn.XLOOKUP(S$2-$C33, 'GEN-BESS'!$D$7:$AW$7, 'GEN-BESS'!$D$43:$AW$43), 0), IF($B33='Project List References'!$B$6, _xlfn.IFNA(_xlfn.XLOOKUP(S$2-$C33, 'GEN-CARBON'!$D$7:$AW$7, 'GEN-CARBON'!$D$43:$AW$43), 0), IF($B33='Project List References'!$B$7, _xlfn.IFNA(_xlfn.XLOOKUP(S$2-$C33, 'SENS Coal'!$D$7:$AW$7, 'SENS Coal'!$D$43:$AW$43), 0), IF($B33='Project List References'!$B$8, _xlfn.IFNA(_xlfn.XLOOKUP(S$2-$C33,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T33" s="743" t="e">
        <f>IF($B33='Project List References'!$B$3, _xlfn.IFNA(_xlfn.XLOOKUP(T$2-$C33, 'GEN-CCGT'!$D$7:$AW$7, 'GEN-CCGT'!$D$43:$AW$43), 0), IF($B33='Project List References'!$B$4, _xlfn.IFNA(_xlfn.XLOOKUP(T$2-$C33, 'GEN-SOLAR'!$D$7:$AW$7, 'GEN-SOLAR'!$D$43:$AW$43), 0), IF($B33='Project List References'!$B$5, _xlfn.IFNA(_xlfn.XLOOKUP(T$2-$C33, 'GEN-BESS'!$D$7:$AW$7, 'GEN-BESS'!$D$43:$AW$43), 0), IF($B33='Project List References'!$B$6, _xlfn.IFNA(_xlfn.XLOOKUP(T$2-$C33, 'GEN-CARBON'!$D$7:$AW$7, 'GEN-CARBON'!$D$43:$AW$43), 0), IF($B33='Project List References'!$B$7, _xlfn.IFNA(_xlfn.XLOOKUP(T$2-$C33, 'SENS Coal'!$D$7:$AW$7, 'SENS Coal'!$D$43:$AW$43), 0), IF($B33='Project List References'!$B$8, _xlfn.IFNA(_xlfn.XLOOKUP(T$2-$C33, 'SENS Tires'!$D$7:$AW$7, 'SENS Tires'!$D$43:$AW$43),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</row>
    <row r="34" spans="1:20">
      <c r="A34" s="655" t="str">
        <f>IF(ISBLANK('Project Master Sheet'!A34)=FALSE, 'Project Master Sheet'!A34, "")</f>
        <v/>
      </c>
      <c r="B34" s="655" t="str">
        <f>_xlfn.IFNA(_xlfn.XLOOKUP(A34, 'Project Master Sheet'!A:A, 'Project Master Sheet'!D:D), "")</f>
        <v/>
      </c>
      <c r="C34" s="655" t="e">
        <f>_xlfn.XLOOKUP('Project OPEX'!A34, 'Project Master Sheet'!A:A, 'Project Master Sheet'!I:I)</f>
        <v>#N/A</v>
      </c>
      <c r="E34" s="743" t="e">
        <f>IF($B34='Project List References'!$B$3, _xlfn.IFNA(_xlfn.XLOOKUP(E$2-$C34, 'GEN-CCGT'!$D$7:$AW$7, 'GEN-CCGT'!$D$43:$AW$43), 0), IF($B34='Project List References'!$B$4, _xlfn.IFNA(_xlfn.XLOOKUP(E$2-$C34, 'GEN-SOLAR'!$D$7:$AW$7, 'GEN-SOLAR'!$D$43:$AW$43), 0), IF($B34='Project List References'!$B$5, _xlfn.IFNA(_xlfn.XLOOKUP(E$2-$C34, 'GEN-BESS'!$D$7:$AW$7, 'GEN-BESS'!$D$43:$AW$43), 0), IF($B34='Project List References'!$B$6, _xlfn.IFNA(_xlfn.XLOOKUP(E$2-$C34, 'GEN-CARBON'!$D$7:$AW$7, 'GEN-CARBON'!$D$43:$AW$43), 0), IF($B34='Project List References'!$B$7, _xlfn.IFNA(_xlfn.XLOOKUP(E$2-$C34, 'SENS Coal'!$D$7:$AW$7, 'SENS Coal'!$D$43:$AW$43), 0), IF($B34='Project List References'!$B$8, _xlfn.IFNA(_xlfn.XLOOKUP(E$2-$C34,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F34" s="743" t="e">
        <f>IF($B34='Project List References'!$B$3, _xlfn.IFNA(_xlfn.XLOOKUP(F$2-$C34, 'GEN-CCGT'!$D$7:$AW$7, 'GEN-CCGT'!$D$43:$AW$43), 0), IF($B34='Project List References'!$B$4, _xlfn.IFNA(_xlfn.XLOOKUP(F$2-$C34, 'GEN-SOLAR'!$D$7:$AW$7, 'GEN-SOLAR'!$D$43:$AW$43), 0), IF($B34='Project List References'!$B$5, _xlfn.IFNA(_xlfn.XLOOKUP(F$2-$C34, 'GEN-BESS'!$D$7:$AW$7, 'GEN-BESS'!$D$43:$AW$43), 0), IF($B34='Project List References'!$B$6, _xlfn.IFNA(_xlfn.XLOOKUP(F$2-$C34, 'GEN-CARBON'!$D$7:$AW$7, 'GEN-CARBON'!$D$43:$AW$43), 0), IF($B34='Project List References'!$B$7, _xlfn.IFNA(_xlfn.XLOOKUP(F$2-$C34, 'SENS Coal'!$D$7:$AW$7, 'SENS Coal'!$D$43:$AW$43), 0), IF($B34='Project List References'!$B$8, _xlfn.IFNA(_xlfn.XLOOKUP(F$2-$C34,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G34" s="743" t="e">
        <f>IF($B34='Project List References'!$B$3, _xlfn.IFNA(_xlfn.XLOOKUP(G$2-$C34, 'GEN-CCGT'!$D$7:$AW$7, 'GEN-CCGT'!$D$43:$AW$43), 0), IF($B34='Project List References'!$B$4, _xlfn.IFNA(_xlfn.XLOOKUP(G$2-$C34, 'GEN-SOLAR'!$D$7:$AW$7, 'GEN-SOLAR'!$D$43:$AW$43), 0), IF($B34='Project List References'!$B$5, _xlfn.IFNA(_xlfn.XLOOKUP(G$2-$C34, 'GEN-BESS'!$D$7:$AW$7, 'GEN-BESS'!$D$43:$AW$43), 0), IF($B34='Project List References'!$B$6, _xlfn.IFNA(_xlfn.XLOOKUP(G$2-$C34, 'GEN-CARBON'!$D$7:$AW$7, 'GEN-CARBON'!$D$43:$AW$43), 0), IF($B34='Project List References'!$B$7, _xlfn.IFNA(_xlfn.XLOOKUP(G$2-$C34, 'SENS Coal'!$D$7:$AW$7, 'SENS Coal'!$D$43:$AW$43), 0), IF($B34='Project List References'!$B$8, _xlfn.IFNA(_xlfn.XLOOKUP(G$2-$C34,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H34" s="743" t="e">
        <f>IF($B34='Project List References'!$B$3, _xlfn.IFNA(_xlfn.XLOOKUP(H$2-$C34, 'GEN-CCGT'!$D$7:$AW$7, 'GEN-CCGT'!$D$43:$AW$43), 0), IF($B34='Project List References'!$B$4, _xlfn.IFNA(_xlfn.XLOOKUP(H$2-$C34, 'GEN-SOLAR'!$D$7:$AW$7, 'GEN-SOLAR'!$D$43:$AW$43), 0), IF($B34='Project List References'!$B$5, _xlfn.IFNA(_xlfn.XLOOKUP(H$2-$C34, 'GEN-BESS'!$D$7:$AW$7, 'GEN-BESS'!$D$43:$AW$43), 0), IF($B34='Project List References'!$B$6, _xlfn.IFNA(_xlfn.XLOOKUP(H$2-$C34, 'GEN-CARBON'!$D$7:$AW$7, 'GEN-CARBON'!$D$43:$AW$43), 0), IF($B34='Project List References'!$B$7, _xlfn.IFNA(_xlfn.XLOOKUP(H$2-$C34, 'SENS Coal'!$D$7:$AW$7, 'SENS Coal'!$D$43:$AW$43), 0), IF($B34='Project List References'!$B$8, _xlfn.IFNA(_xlfn.XLOOKUP(H$2-$C34,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I34" s="743" t="e">
        <f>IF($B34='Project List References'!$B$3, _xlfn.IFNA(_xlfn.XLOOKUP(I$2-$C34, 'GEN-CCGT'!$D$7:$AW$7, 'GEN-CCGT'!$D$43:$AW$43), 0), IF($B34='Project List References'!$B$4, _xlfn.IFNA(_xlfn.XLOOKUP(I$2-$C34, 'GEN-SOLAR'!$D$7:$AW$7, 'GEN-SOLAR'!$D$43:$AW$43), 0), IF($B34='Project List References'!$B$5, _xlfn.IFNA(_xlfn.XLOOKUP(I$2-$C34, 'GEN-BESS'!$D$7:$AW$7, 'GEN-BESS'!$D$43:$AW$43), 0), IF($B34='Project List References'!$B$6, _xlfn.IFNA(_xlfn.XLOOKUP(I$2-$C34, 'GEN-CARBON'!$D$7:$AW$7, 'GEN-CARBON'!$D$43:$AW$43), 0), IF($B34='Project List References'!$B$7, _xlfn.IFNA(_xlfn.XLOOKUP(I$2-$C34, 'SENS Coal'!$D$7:$AW$7, 'SENS Coal'!$D$43:$AW$43), 0), IF($B34='Project List References'!$B$8, _xlfn.IFNA(_xlfn.XLOOKUP(I$2-$C34,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J34" s="743" t="e">
        <f>IF($B34='Project List References'!$B$3, _xlfn.IFNA(_xlfn.XLOOKUP(J$2-$C34, 'GEN-CCGT'!$D$7:$AW$7, 'GEN-CCGT'!$D$43:$AW$43), 0), IF($B34='Project List References'!$B$4, _xlfn.IFNA(_xlfn.XLOOKUP(J$2-$C34, 'GEN-SOLAR'!$D$7:$AW$7, 'GEN-SOLAR'!$D$43:$AW$43), 0), IF($B34='Project List References'!$B$5, _xlfn.IFNA(_xlfn.XLOOKUP(J$2-$C34, 'GEN-BESS'!$D$7:$AW$7, 'GEN-BESS'!$D$43:$AW$43), 0), IF($B34='Project List References'!$B$6, _xlfn.IFNA(_xlfn.XLOOKUP(J$2-$C34, 'GEN-CARBON'!$D$7:$AW$7, 'GEN-CARBON'!$D$43:$AW$43), 0), IF($B34='Project List References'!$B$7, _xlfn.IFNA(_xlfn.XLOOKUP(J$2-$C34, 'SENS Coal'!$D$7:$AW$7, 'SENS Coal'!$D$43:$AW$43), 0), IF($B34='Project List References'!$B$8, _xlfn.IFNA(_xlfn.XLOOKUP(J$2-$C34,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K34" s="743" t="e">
        <f>IF($B34='Project List References'!$B$3, _xlfn.IFNA(_xlfn.XLOOKUP(K$2-$C34, 'GEN-CCGT'!$D$7:$AW$7, 'GEN-CCGT'!$D$43:$AW$43), 0), IF($B34='Project List References'!$B$4, _xlfn.IFNA(_xlfn.XLOOKUP(K$2-$C34, 'GEN-SOLAR'!$D$7:$AW$7, 'GEN-SOLAR'!$D$43:$AW$43), 0), IF($B34='Project List References'!$B$5, _xlfn.IFNA(_xlfn.XLOOKUP(K$2-$C34, 'GEN-BESS'!$D$7:$AW$7, 'GEN-BESS'!$D$43:$AW$43), 0), IF($B34='Project List References'!$B$6, _xlfn.IFNA(_xlfn.XLOOKUP(K$2-$C34, 'GEN-CARBON'!$D$7:$AW$7, 'GEN-CARBON'!$D$43:$AW$43), 0), IF($B34='Project List References'!$B$7, _xlfn.IFNA(_xlfn.XLOOKUP(K$2-$C34, 'SENS Coal'!$D$7:$AW$7, 'SENS Coal'!$D$43:$AW$43), 0), IF($B34='Project List References'!$B$8, _xlfn.IFNA(_xlfn.XLOOKUP(K$2-$C34,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L34" s="743" t="e">
        <f>IF($B34='Project List References'!$B$3, _xlfn.IFNA(_xlfn.XLOOKUP(L$2-$C34, 'GEN-CCGT'!$D$7:$AW$7, 'GEN-CCGT'!$D$43:$AW$43), 0), IF($B34='Project List References'!$B$4, _xlfn.IFNA(_xlfn.XLOOKUP(L$2-$C34, 'GEN-SOLAR'!$D$7:$AW$7, 'GEN-SOLAR'!$D$43:$AW$43), 0), IF($B34='Project List References'!$B$5, _xlfn.IFNA(_xlfn.XLOOKUP(L$2-$C34, 'GEN-BESS'!$D$7:$AW$7, 'GEN-BESS'!$D$43:$AW$43), 0), IF($B34='Project List References'!$B$6, _xlfn.IFNA(_xlfn.XLOOKUP(L$2-$C34, 'GEN-CARBON'!$D$7:$AW$7, 'GEN-CARBON'!$D$43:$AW$43), 0), IF($B34='Project List References'!$B$7, _xlfn.IFNA(_xlfn.XLOOKUP(L$2-$C34, 'SENS Coal'!$D$7:$AW$7, 'SENS Coal'!$D$43:$AW$43), 0), IF($B34='Project List References'!$B$8, _xlfn.IFNA(_xlfn.XLOOKUP(L$2-$C34,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M34" s="743" t="e">
        <f>IF($B34='Project List References'!$B$3, _xlfn.IFNA(_xlfn.XLOOKUP(M$2-$C34, 'GEN-CCGT'!$D$7:$AW$7, 'GEN-CCGT'!$D$43:$AW$43), 0), IF($B34='Project List References'!$B$4, _xlfn.IFNA(_xlfn.XLOOKUP(M$2-$C34, 'GEN-SOLAR'!$D$7:$AW$7, 'GEN-SOLAR'!$D$43:$AW$43), 0), IF($B34='Project List References'!$B$5, _xlfn.IFNA(_xlfn.XLOOKUP(M$2-$C34, 'GEN-BESS'!$D$7:$AW$7, 'GEN-BESS'!$D$43:$AW$43), 0), IF($B34='Project List References'!$B$6, _xlfn.IFNA(_xlfn.XLOOKUP(M$2-$C34, 'GEN-CARBON'!$D$7:$AW$7, 'GEN-CARBON'!$D$43:$AW$43), 0), IF($B34='Project List References'!$B$7, _xlfn.IFNA(_xlfn.XLOOKUP(M$2-$C34, 'SENS Coal'!$D$7:$AW$7, 'SENS Coal'!$D$43:$AW$43), 0), IF($B34='Project List References'!$B$8, _xlfn.IFNA(_xlfn.XLOOKUP(M$2-$C34,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N34" s="743" t="e">
        <f>IF($B34='Project List References'!$B$3, _xlfn.IFNA(_xlfn.XLOOKUP(N$2-$C34, 'GEN-CCGT'!$D$7:$AW$7, 'GEN-CCGT'!$D$43:$AW$43), 0), IF($B34='Project List References'!$B$4, _xlfn.IFNA(_xlfn.XLOOKUP(N$2-$C34, 'GEN-SOLAR'!$D$7:$AW$7, 'GEN-SOLAR'!$D$43:$AW$43), 0), IF($B34='Project List References'!$B$5, _xlfn.IFNA(_xlfn.XLOOKUP(N$2-$C34, 'GEN-BESS'!$D$7:$AW$7, 'GEN-BESS'!$D$43:$AW$43), 0), IF($B34='Project List References'!$B$6, _xlfn.IFNA(_xlfn.XLOOKUP(N$2-$C34, 'GEN-CARBON'!$D$7:$AW$7, 'GEN-CARBON'!$D$43:$AW$43), 0), IF($B34='Project List References'!$B$7, _xlfn.IFNA(_xlfn.XLOOKUP(N$2-$C34, 'SENS Coal'!$D$7:$AW$7, 'SENS Coal'!$D$43:$AW$43), 0), IF($B34='Project List References'!$B$8, _xlfn.IFNA(_xlfn.XLOOKUP(N$2-$C34,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O34" s="743" t="e">
        <f>IF($B34='Project List References'!$B$3, _xlfn.IFNA(_xlfn.XLOOKUP(O$2-$C34, 'GEN-CCGT'!$D$7:$AW$7, 'GEN-CCGT'!$D$43:$AW$43), 0), IF($B34='Project List References'!$B$4, _xlfn.IFNA(_xlfn.XLOOKUP(O$2-$C34, 'GEN-SOLAR'!$D$7:$AW$7, 'GEN-SOLAR'!$D$43:$AW$43), 0), IF($B34='Project List References'!$B$5, _xlfn.IFNA(_xlfn.XLOOKUP(O$2-$C34, 'GEN-BESS'!$D$7:$AW$7, 'GEN-BESS'!$D$43:$AW$43), 0), IF($B34='Project List References'!$B$6, _xlfn.IFNA(_xlfn.XLOOKUP(O$2-$C34, 'GEN-CARBON'!$D$7:$AW$7, 'GEN-CARBON'!$D$43:$AW$43), 0), IF($B34='Project List References'!$B$7, _xlfn.IFNA(_xlfn.XLOOKUP(O$2-$C34, 'SENS Coal'!$D$7:$AW$7, 'SENS Coal'!$D$43:$AW$43), 0), IF($B34='Project List References'!$B$8, _xlfn.IFNA(_xlfn.XLOOKUP(O$2-$C34,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P34" s="743" t="e">
        <f>IF($B34='Project List References'!$B$3, _xlfn.IFNA(_xlfn.XLOOKUP(P$2-$C34, 'GEN-CCGT'!$D$7:$AW$7, 'GEN-CCGT'!$D$43:$AW$43), 0), IF($B34='Project List References'!$B$4, _xlfn.IFNA(_xlfn.XLOOKUP(P$2-$C34, 'GEN-SOLAR'!$D$7:$AW$7, 'GEN-SOLAR'!$D$43:$AW$43), 0), IF($B34='Project List References'!$B$5, _xlfn.IFNA(_xlfn.XLOOKUP(P$2-$C34, 'GEN-BESS'!$D$7:$AW$7, 'GEN-BESS'!$D$43:$AW$43), 0), IF($B34='Project List References'!$B$6, _xlfn.IFNA(_xlfn.XLOOKUP(P$2-$C34, 'GEN-CARBON'!$D$7:$AW$7, 'GEN-CARBON'!$D$43:$AW$43), 0), IF($B34='Project List References'!$B$7, _xlfn.IFNA(_xlfn.XLOOKUP(P$2-$C34, 'SENS Coal'!$D$7:$AW$7, 'SENS Coal'!$D$43:$AW$43), 0), IF($B34='Project List References'!$B$8, _xlfn.IFNA(_xlfn.XLOOKUP(P$2-$C34,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Q34" s="743" t="e">
        <f>IF($B34='Project List References'!$B$3, _xlfn.IFNA(_xlfn.XLOOKUP(Q$2-$C34, 'GEN-CCGT'!$D$7:$AW$7, 'GEN-CCGT'!$D$43:$AW$43), 0), IF($B34='Project List References'!$B$4, _xlfn.IFNA(_xlfn.XLOOKUP(Q$2-$C34, 'GEN-SOLAR'!$D$7:$AW$7, 'GEN-SOLAR'!$D$43:$AW$43), 0), IF($B34='Project List References'!$B$5, _xlfn.IFNA(_xlfn.XLOOKUP(Q$2-$C34, 'GEN-BESS'!$D$7:$AW$7, 'GEN-BESS'!$D$43:$AW$43), 0), IF($B34='Project List References'!$B$6, _xlfn.IFNA(_xlfn.XLOOKUP(Q$2-$C34, 'GEN-CARBON'!$D$7:$AW$7, 'GEN-CARBON'!$D$43:$AW$43), 0), IF($B34='Project List References'!$B$7, _xlfn.IFNA(_xlfn.XLOOKUP(Q$2-$C34, 'SENS Coal'!$D$7:$AW$7, 'SENS Coal'!$D$43:$AW$43), 0), IF($B34='Project List References'!$B$8, _xlfn.IFNA(_xlfn.XLOOKUP(Q$2-$C34,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R34" s="743" t="e">
        <f>IF($B34='Project List References'!$B$3, _xlfn.IFNA(_xlfn.XLOOKUP(R$2-$C34, 'GEN-CCGT'!$D$7:$AW$7, 'GEN-CCGT'!$D$43:$AW$43), 0), IF($B34='Project List References'!$B$4, _xlfn.IFNA(_xlfn.XLOOKUP(R$2-$C34, 'GEN-SOLAR'!$D$7:$AW$7, 'GEN-SOLAR'!$D$43:$AW$43), 0), IF($B34='Project List References'!$B$5, _xlfn.IFNA(_xlfn.XLOOKUP(R$2-$C34, 'GEN-BESS'!$D$7:$AW$7, 'GEN-BESS'!$D$43:$AW$43), 0), IF($B34='Project List References'!$B$6, _xlfn.IFNA(_xlfn.XLOOKUP(R$2-$C34, 'GEN-CARBON'!$D$7:$AW$7, 'GEN-CARBON'!$D$43:$AW$43), 0), IF($B34='Project List References'!$B$7, _xlfn.IFNA(_xlfn.XLOOKUP(R$2-$C34, 'SENS Coal'!$D$7:$AW$7, 'SENS Coal'!$D$43:$AW$43), 0), IF($B34='Project List References'!$B$8, _xlfn.IFNA(_xlfn.XLOOKUP(R$2-$C34,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S34" s="743" t="e">
        <f>IF($B34='Project List References'!$B$3, _xlfn.IFNA(_xlfn.XLOOKUP(S$2-$C34, 'GEN-CCGT'!$D$7:$AW$7, 'GEN-CCGT'!$D$43:$AW$43), 0), IF($B34='Project List References'!$B$4, _xlfn.IFNA(_xlfn.XLOOKUP(S$2-$C34, 'GEN-SOLAR'!$D$7:$AW$7, 'GEN-SOLAR'!$D$43:$AW$43), 0), IF($B34='Project List References'!$B$5, _xlfn.IFNA(_xlfn.XLOOKUP(S$2-$C34, 'GEN-BESS'!$D$7:$AW$7, 'GEN-BESS'!$D$43:$AW$43), 0), IF($B34='Project List References'!$B$6, _xlfn.IFNA(_xlfn.XLOOKUP(S$2-$C34, 'GEN-CARBON'!$D$7:$AW$7, 'GEN-CARBON'!$D$43:$AW$43), 0), IF($B34='Project List References'!$B$7, _xlfn.IFNA(_xlfn.XLOOKUP(S$2-$C34, 'SENS Coal'!$D$7:$AW$7, 'SENS Coal'!$D$43:$AW$43), 0), IF($B34='Project List References'!$B$8, _xlfn.IFNA(_xlfn.XLOOKUP(S$2-$C34,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T34" s="743" t="e">
        <f>IF($B34='Project List References'!$B$3, _xlfn.IFNA(_xlfn.XLOOKUP(T$2-$C34, 'GEN-CCGT'!$D$7:$AW$7, 'GEN-CCGT'!$D$43:$AW$43), 0), IF($B34='Project List References'!$B$4, _xlfn.IFNA(_xlfn.XLOOKUP(T$2-$C34, 'GEN-SOLAR'!$D$7:$AW$7, 'GEN-SOLAR'!$D$43:$AW$43), 0), IF($B34='Project List References'!$B$5, _xlfn.IFNA(_xlfn.XLOOKUP(T$2-$C34, 'GEN-BESS'!$D$7:$AW$7, 'GEN-BESS'!$D$43:$AW$43), 0), IF($B34='Project List References'!$B$6, _xlfn.IFNA(_xlfn.XLOOKUP(T$2-$C34, 'GEN-CARBON'!$D$7:$AW$7, 'GEN-CARBON'!$D$43:$AW$43), 0), IF($B34='Project List References'!$B$7, _xlfn.IFNA(_xlfn.XLOOKUP(T$2-$C34, 'SENS Coal'!$D$7:$AW$7, 'SENS Coal'!$D$43:$AW$43), 0), IF($B34='Project List References'!$B$8, _xlfn.IFNA(_xlfn.XLOOKUP(T$2-$C34, 'SENS Tires'!$D$7:$AW$7, 'SENS Tires'!$D$43:$AW$43),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</row>
    <row r="35" spans="1:20">
      <c r="A35" s="655" t="str">
        <f>IF(ISBLANK('Project Master Sheet'!A35)=FALSE, 'Project Master Sheet'!A35, "")</f>
        <v/>
      </c>
      <c r="B35" s="655" t="str">
        <f>_xlfn.IFNA(_xlfn.XLOOKUP(A35, 'Project Master Sheet'!A:A, 'Project Master Sheet'!D:D), "")</f>
        <v/>
      </c>
      <c r="C35" s="655" t="e">
        <f>_xlfn.XLOOKUP('Project OPEX'!A35, 'Project Master Sheet'!A:A, 'Project Master Sheet'!I:I)</f>
        <v>#N/A</v>
      </c>
      <c r="E35" s="743" t="e">
        <f>IF($B35='Project List References'!$B$3, _xlfn.IFNA(_xlfn.XLOOKUP(E$2-$C35, 'GEN-CCGT'!$D$7:$AW$7, 'GEN-CCGT'!$D$43:$AW$43), 0), IF($B35='Project List References'!$B$4, _xlfn.IFNA(_xlfn.XLOOKUP(E$2-$C35, 'GEN-SOLAR'!$D$7:$AW$7, 'GEN-SOLAR'!$D$43:$AW$43), 0), IF($B35='Project List References'!$B$5, _xlfn.IFNA(_xlfn.XLOOKUP(E$2-$C35, 'GEN-BESS'!$D$7:$AW$7, 'GEN-BESS'!$D$43:$AW$43), 0), IF($B35='Project List References'!$B$6, _xlfn.IFNA(_xlfn.XLOOKUP(E$2-$C35, 'GEN-CARBON'!$D$7:$AW$7, 'GEN-CARBON'!$D$43:$AW$43), 0), IF($B35='Project List References'!$B$7, _xlfn.IFNA(_xlfn.XLOOKUP(E$2-$C35, 'SENS Coal'!$D$7:$AW$7, 'SENS Coal'!$D$43:$AW$43), 0), IF($B35='Project List References'!$B$8, _xlfn.IFNA(_xlfn.XLOOKUP(E$2-$C35,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F35" s="743" t="e">
        <f>IF($B35='Project List References'!$B$3, _xlfn.IFNA(_xlfn.XLOOKUP(F$2-$C35, 'GEN-CCGT'!$D$7:$AW$7, 'GEN-CCGT'!$D$43:$AW$43), 0), IF($B35='Project List References'!$B$4, _xlfn.IFNA(_xlfn.XLOOKUP(F$2-$C35, 'GEN-SOLAR'!$D$7:$AW$7, 'GEN-SOLAR'!$D$43:$AW$43), 0), IF($B35='Project List References'!$B$5, _xlfn.IFNA(_xlfn.XLOOKUP(F$2-$C35, 'GEN-BESS'!$D$7:$AW$7, 'GEN-BESS'!$D$43:$AW$43), 0), IF($B35='Project List References'!$B$6, _xlfn.IFNA(_xlfn.XLOOKUP(F$2-$C35, 'GEN-CARBON'!$D$7:$AW$7, 'GEN-CARBON'!$D$43:$AW$43), 0), IF($B35='Project List References'!$B$7, _xlfn.IFNA(_xlfn.XLOOKUP(F$2-$C35, 'SENS Coal'!$D$7:$AW$7, 'SENS Coal'!$D$43:$AW$43), 0), IF($B35='Project List References'!$B$8, _xlfn.IFNA(_xlfn.XLOOKUP(F$2-$C35,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G35" s="743" t="e">
        <f>IF($B35='Project List References'!$B$3, _xlfn.IFNA(_xlfn.XLOOKUP(G$2-$C35, 'GEN-CCGT'!$D$7:$AW$7, 'GEN-CCGT'!$D$43:$AW$43), 0), IF($B35='Project List References'!$B$4, _xlfn.IFNA(_xlfn.XLOOKUP(G$2-$C35, 'GEN-SOLAR'!$D$7:$AW$7, 'GEN-SOLAR'!$D$43:$AW$43), 0), IF($B35='Project List References'!$B$5, _xlfn.IFNA(_xlfn.XLOOKUP(G$2-$C35, 'GEN-BESS'!$D$7:$AW$7, 'GEN-BESS'!$D$43:$AW$43), 0), IF($B35='Project List References'!$B$6, _xlfn.IFNA(_xlfn.XLOOKUP(G$2-$C35, 'GEN-CARBON'!$D$7:$AW$7, 'GEN-CARBON'!$D$43:$AW$43), 0), IF($B35='Project List References'!$B$7, _xlfn.IFNA(_xlfn.XLOOKUP(G$2-$C35, 'SENS Coal'!$D$7:$AW$7, 'SENS Coal'!$D$43:$AW$43), 0), IF($B35='Project List References'!$B$8, _xlfn.IFNA(_xlfn.XLOOKUP(G$2-$C35,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H35" s="743" t="e">
        <f>IF($B35='Project List References'!$B$3, _xlfn.IFNA(_xlfn.XLOOKUP(H$2-$C35, 'GEN-CCGT'!$D$7:$AW$7, 'GEN-CCGT'!$D$43:$AW$43), 0), IF($B35='Project List References'!$B$4, _xlfn.IFNA(_xlfn.XLOOKUP(H$2-$C35, 'GEN-SOLAR'!$D$7:$AW$7, 'GEN-SOLAR'!$D$43:$AW$43), 0), IF($B35='Project List References'!$B$5, _xlfn.IFNA(_xlfn.XLOOKUP(H$2-$C35, 'GEN-BESS'!$D$7:$AW$7, 'GEN-BESS'!$D$43:$AW$43), 0), IF($B35='Project List References'!$B$6, _xlfn.IFNA(_xlfn.XLOOKUP(H$2-$C35, 'GEN-CARBON'!$D$7:$AW$7, 'GEN-CARBON'!$D$43:$AW$43), 0), IF($B35='Project List References'!$B$7, _xlfn.IFNA(_xlfn.XLOOKUP(H$2-$C35, 'SENS Coal'!$D$7:$AW$7, 'SENS Coal'!$D$43:$AW$43), 0), IF($B35='Project List References'!$B$8, _xlfn.IFNA(_xlfn.XLOOKUP(H$2-$C35,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I35" s="743" t="e">
        <f>IF($B35='Project List References'!$B$3, _xlfn.IFNA(_xlfn.XLOOKUP(I$2-$C35, 'GEN-CCGT'!$D$7:$AW$7, 'GEN-CCGT'!$D$43:$AW$43), 0), IF($B35='Project List References'!$B$4, _xlfn.IFNA(_xlfn.XLOOKUP(I$2-$C35, 'GEN-SOLAR'!$D$7:$AW$7, 'GEN-SOLAR'!$D$43:$AW$43), 0), IF($B35='Project List References'!$B$5, _xlfn.IFNA(_xlfn.XLOOKUP(I$2-$C35, 'GEN-BESS'!$D$7:$AW$7, 'GEN-BESS'!$D$43:$AW$43), 0), IF($B35='Project List References'!$B$6, _xlfn.IFNA(_xlfn.XLOOKUP(I$2-$C35, 'GEN-CARBON'!$D$7:$AW$7, 'GEN-CARBON'!$D$43:$AW$43), 0), IF($B35='Project List References'!$B$7, _xlfn.IFNA(_xlfn.XLOOKUP(I$2-$C35, 'SENS Coal'!$D$7:$AW$7, 'SENS Coal'!$D$43:$AW$43), 0), IF($B35='Project List References'!$B$8, _xlfn.IFNA(_xlfn.XLOOKUP(I$2-$C35,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J35" s="743" t="e">
        <f>IF($B35='Project List References'!$B$3, _xlfn.IFNA(_xlfn.XLOOKUP(J$2-$C35, 'GEN-CCGT'!$D$7:$AW$7, 'GEN-CCGT'!$D$43:$AW$43), 0), IF($B35='Project List References'!$B$4, _xlfn.IFNA(_xlfn.XLOOKUP(J$2-$C35, 'GEN-SOLAR'!$D$7:$AW$7, 'GEN-SOLAR'!$D$43:$AW$43), 0), IF($B35='Project List References'!$B$5, _xlfn.IFNA(_xlfn.XLOOKUP(J$2-$C35, 'GEN-BESS'!$D$7:$AW$7, 'GEN-BESS'!$D$43:$AW$43), 0), IF($B35='Project List References'!$B$6, _xlfn.IFNA(_xlfn.XLOOKUP(J$2-$C35, 'GEN-CARBON'!$D$7:$AW$7, 'GEN-CARBON'!$D$43:$AW$43), 0), IF($B35='Project List References'!$B$7, _xlfn.IFNA(_xlfn.XLOOKUP(J$2-$C35, 'SENS Coal'!$D$7:$AW$7, 'SENS Coal'!$D$43:$AW$43), 0), IF($B35='Project List References'!$B$8, _xlfn.IFNA(_xlfn.XLOOKUP(J$2-$C35,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K35" s="743" t="e">
        <f>IF($B35='Project List References'!$B$3, _xlfn.IFNA(_xlfn.XLOOKUP(K$2-$C35, 'GEN-CCGT'!$D$7:$AW$7, 'GEN-CCGT'!$D$43:$AW$43), 0), IF($B35='Project List References'!$B$4, _xlfn.IFNA(_xlfn.XLOOKUP(K$2-$C35, 'GEN-SOLAR'!$D$7:$AW$7, 'GEN-SOLAR'!$D$43:$AW$43), 0), IF($B35='Project List References'!$B$5, _xlfn.IFNA(_xlfn.XLOOKUP(K$2-$C35, 'GEN-BESS'!$D$7:$AW$7, 'GEN-BESS'!$D$43:$AW$43), 0), IF($B35='Project List References'!$B$6, _xlfn.IFNA(_xlfn.XLOOKUP(K$2-$C35, 'GEN-CARBON'!$D$7:$AW$7, 'GEN-CARBON'!$D$43:$AW$43), 0), IF($B35='Project List References'!$B$7, _xlfn.IFNA(_xlfn.XLOOKUP(K$2-$C35, 'SENS Coal'!$D$7:$AW$7, 'SENS Coal'!$D$43:$AW$43), 0), IF($B35='Project List References'!$B$8, _xlfn.IFNA(_xlfn.XLOOKUP(K$2-$C35,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L35" s="743" t="e">
        <f>IF($B35='Project List References'!$B$3, _xlfn.IFNA(_xlfn.XLOOKUP(L$2-$C35, 'GEN-CCGT'!$D$7:$AW$7, 'GEN-CCGT'!$D$43:$AW$43), 0), IF($B35='Project List References'!$B$4, _xlfn.IFNA(_xlfn.XLOOKUP(L$2-$C35, 'GEN-SOLAR'!$D$7:$AW$7, 'GEN-SOLAR'!$D$43:$AW$43), 0), IF($B35='Project List References'!$B$5, _xlfn.IFNA(_xlfn.XLOOKUP(L$2-$C35, 'GEN-BESS'!$D$7:$AW$7, 'GEN-BESS'!$D$43:$AW$43), 0), IF($B35='Project List References'!$B$6, _xlfn.IFNA(_xlfn.XLOOKUP(L$2-$C35, 'GEN-CARBON'!$D$7:$AW$7, 'GEN-CARBON'!$D$43:$AW$43), 0), IF($B35='Project List References'!$B$7, _xlfn.IFNA(_xlfn.XLOOKUP(L$2-$C35, 'SENS Coal'!$D$7:$AW$7, 'SENS Coal'!$D$43:$AW$43), 0), IF($B35='Project List References'!$B$8, _xlfn.IFNA(_xlfn.XLOOKUP(L$2-$C35,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M35" s="743" t="e">
        <f>IF($B35='Project List References'!$B$3, _xlfn.IFNA(_xlfn.XLOOKUP(M$2-$C35, 'GEN-CCGT'!$D$7:$AW$7, 'GEN-CCGT'!$D$43:$AW$43), 0), IF($B35='Project List References'!$B$4, _xlfn.IFNA(_xlfn.XLOOKUP(M$2-$C35, 'GEN-SOLAR'!$D$7:$AW$7, 'GEN-SOLAR'!$D$43:$AW$43), 0), IF($B35='Project List References'!$B$5, _xlfn.IFNA(_xlfn.XLOOKUP(M$2-$C35, 'GEN-BESS'!$D$7:$AW$7, 'GEN-BESS'!$D$43:$AW$43), 0), IF($B35='Project List References'!$B$6, _xlfn.IFNA(_xlfn.XLOOKUP(M$2-$C35, 'GEN-CARBON'!$D$7:$AW$7, 'GEN-CARBON'!$D$43:$AW$43), 0), IF($B35='Project List References'!$B$7, _xlfn.IFNA(_xlfn.XLOOKUP(M$2-$C35, 'SENS Coal'!$D$7:$AW$7, 'SENS Coal'!$D$43:$AW$43), 0), IF($B35='Project List References'!$B$8, _xlfn.IFNA(_xlfn.XLOOKUP(M$2-$C35,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N35" s="743" t="e">
        <f>IF($B35='Project List References'!$B$3, _xlfn.IFNA(_xlfn.XLOOKUP(N$2-$C35, 'GEN-CCGT'!$D$7:$AW$7, 'GEN-CCGT'!$D$43:$AW$43), 0), IF($B35='Project List References'!$B$4, _xlfn.IFNA(_xlfn.XLOOKUP(N$2-$C35, 'GEN-SOLAR'!$D$7:$AW$7, 'GEN-SOLAR'!$D$43:$AW$43), 0), IF($B35='Project List References'!$B$5, _xlfn.IFNA(_xlfn.XLOOKUP(N$2-$C35, 'GEN-BESS'!$D$7:$AW$7, 'GEN-BESS'!$D$43:$AW$43), 0), IF($B35='Project List References'!$B$6, _xlfn.IFNA(_xlfn.XLOOKUP(N$2-$C35, 'GEN-CARBON'!$D$7:$AW$7, 'GEN-CARBON'!$D$43:$AW$43), 0), IF($B35='Project List References'!$B$7, _xlfn.IFNA(_xlfn.XLOOKUP(N$2-$C35, 'SENS Coal'!$D$7:$AW$7, 'SENS Coal'!$D$43:$AW$43), 0), IF($B35='Project List References'!$B$8, _xlfn.IFNA(_xlfn.XLOOKUP(N$2-$C35,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O35" s="743" t="e">
        <f>IF($B35='Project List References'!$B$3, _xlfn.IFNA(_xlfn.XLOOKUP(O$2-$C35, 'GEN-CCGT'!$D$7:$AW$7, 'GEN-CCGT'!$D$43:$AW$43), 0), IF($B35='Project List References'!$B$4, _xlfn.IFNA(_xlfn.XLOOKUP(O$2-$C35, 'GEN-SOLAR'!$D$7:$AW$7, 'GEN-SOLAR'!$D$43:$AW$43), 0), IF($B35='Project List References'!$B$5, _xlfn.IFNA(_xlfn.XLOOKUP(O$2-$C35, 'GEN-BESS'!$D$7:$AW$7, 'GEN-BESS'!$D$43:$AW$43), 0), IF($B35='Project List References'!$B$6, _xlfn.IFNA(_xlfn.XLOOKUP(O$2-$C35, 'GEN-CARBON'!$D$7:$AW$7, 'GEN-CARBON'!$D$43:$AW$43), 0), IF($B35='Project List References'!$B$7, _xlfn.IFNA(_xlfn.XLOOKUP(O$2-$C35, 'SENS Coal'!$D$7:$AW$7, 'SENS Coal'!$D$43:$AW$43), 0), IF($B35='Project List References'!$B$8, _xlfn.IFNA(_xlfn.XLOOKUP(O$2-$C35,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P35" s="743" t="e">
        <f>IF($B35='Project List References'!$B$3, _xlfn.IFNA(_xlfn.XLOOKUP(P$2-$C35, 'GEN-CCGT'!$D$7:$AW$7, 'GEN-CCGT'!$D$43:$AW$43), 0), IF($B35='Project List References'!$B$4, _xlfn.IFNA(_xlfn.XLOOKUP(P$2-$C35, 'GEN-SOLAR'!$D$7:$AW$7, 'GEN-SOLAR'!$D$43:$AW$43), 0), IF($B35='Project List References'!$B$5, _xlfn.IFNA(_xlfn.XLOOKUP(P$2-$C35, 'GEN-BESS'!$D$7:$AW$7, 'GEN-BESS'!$D$43:$AW$43), 0), IF($B35='Project List References'!$B$6, _xlfn.IFNA(_xlfn.XLOOKUP(P$2-$C35, 'GEN-CARBON'!$D$7:$AW$7, 'GEN-CARBON'!$D$43:$AW$43), 0), IF($B35='Project List References'!$B$7, _xlfn.IFNA(_xlfn.XLOOKUP(P$2-$C35, 'SENS Coal'!$D$7:$AW$7, 'SENS Coal'!$D$43:$AW$43), 0), IF($B35='Project List References'!$B$8, _xlfn.IFNA(_xlfn.XLOOKUP(P$2-$C35,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Q35" s="743" t="e">
        <f>IF($B35='Project List References'!$B$3, _xlfn.IFNA(_xlfn.XLOOKUP(Q$2-$C35, 'GEN-CCGT'!$D$7:$AW$7, 'GEN-CCGT'!$D$43:$AW$43), 0), IF($B35='Project List References'!$B$4, _xlfn.IFNA(_xlfn.XLOOKUP(Q$2-$C35, 'GEN-SOLAR'!$D$7:$AW$7, 'GEN-SOLAR'!$D$43:$AW$43), 0), IF($B35='Project List References'!$B$5, _xlfn.IFNA(_xlfn.XLOOKUP(Q$2-$C35, 'GEN-BESS'!$D$7:$AW$7, 'GEN-BESS'!$D$43:$AW$43), 0), IF($B35='Project List References'!$B$6, _xlfn.IFNA(_xlfn.XLOOKUP(Q$2-$C35, 'GEN-CARBON'!$D$7:$AW$7, 'GEN-CARBON'!$D$43:$AW$43), 0), IF($B35='Project List References'!$B$7, _xlfn.IFNA(_xlfn.XLOOKUP(Q$2-$C35, 'SENS Coal'!$D$7:$AW$7, 'SENS Coal'!$D$43:$AW$43), 0), IF($B35='Project List References'!$B$8, _xlfn.IFNA(_xlfn.XLOOKUP(Q$2-$C35,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R35" s="743" t="e">
        <f>IF($B35='Project List References'!$B$3, _xlfn.IFNA(_xlfn.XLOOKUP(R$2-$C35, 'GEN-CCGT'!$D$7:$AW$7, 'GEN-CCGT'!$D$43:$AW$43), 0), IF($B35='Project List References'!$B$4, _xlfn.IFNA(_xlfn.XLOOKUP(R$2-$C35, 'GEN-SOLAR'!$D$7:$AW$7, 'GEN-SOLAR'!$D$43:$AW$43), 0), IF($B35='Project List References'!$B$5, _xlfn.IFNA(_xlfn.XLOOKUP(R$2-$C35, 'GEN-BESS'!$D$7:$AW$7, 'GEN-BESS'!$D$43:$AW$43), 0), IF($B35='Project List References'!$B$6, _xlfn.IFNA(_xlfn.XLOOKUP(R$2-$C35, 'GEN-CARBON'!$D$7:$AW$7, 'GEN-CARBON'!$D$43:$AW$43), 0), IF($B35='Project List References'!$B$7, _xlfn.IFNA(_xlfn.XLOOKUP(R$2-$C35, 'SENS Coal'!$D$7:$AW$7, 'SENS Coal'!$D$43:$AW$43), 0), IF($B35='Project List References'!$B$8, _xlfn.IFNA(_xlfn.XLOOKUP(R$2-$C35,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S35" s="743" t="e">
        <f>IF($B35='Project List References'!$B$3, _xlfn.IFNA(_xlfn.XLOOKUP(S$2-$C35, 'GEN-CCGT'!$D$7:$AW$7, 'GEN-CCGT'!$D$43:$AW$43), 0), IF($B35='Project List References'!$B$4, _xlfn.IFNA(_xlfn.XLOOKUP(S$2-$C35, 'GEN-SOLAR'!$D$7:$AW$7, 'GEN-SOLAR'!$D$43:$AW$43), 0), IF($B35='Project List References'!$B$5, _xlfn.IFNA(_xlfn.XLOOKUP(S$2-$C35, 'GEN-BESS'!$D$7:$AW$7, 'GEN-BESS'!$D$43:$AW$43), 0), IF($B35='Project List References'!$B$6, _xlfn.IFNA(_xlfn.XLOOKUP(S$2-$C35, 'GEN-CARBON'!$D$7:$AW$7, 'GEN-CARBON'!$D$43:$AW$43), 0), IF($B35='Project List References'!$B$7, _xlfn.IFNA(_xlfn.XLOOKUP(S$2-$C35, 'SENS Coal'!$D$7:$AW$7, 'SENS Coal'!$D$43:$AW$43), 0), IF($B35='Project List References'!$B$8, _xlfn.IFNA(_xlfn.XLOOKUP(S$2-$C35,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T35" s="743" t="e">
        <f>IF($B35='Project List References'!$B$3, _xlfn.IFNA(_xlfn.XLOOKUP(T$2-$C35, 'GEN-CCGT'!$D$7:$AW$7, 'GEN-CCGT'!$D$43:$AW$43), 0), IF($B35='Project List References'!$B$4, _xlfn.IFNA(_xlfn.XLOOKUP(T$2-$C35, 'GEN-SOLAR'!$D$7:$AW$7, 'GEN-SOLAR'!$D$43:$AW$43), 0), IF($B35='Project List References'!$B$5, _xlfn.IFNA(_xlfn.XLOOKUP(T$2-$C35, 'GEN-BESS'!$D$7:$AW$7, 'GEN-BESS'!$D$43:$AW$43), 0), IF($B35='Project List References'!$B$6, _xlfn.IFNA(_xlfn.XLOOKUP(T$2-$C35, 'GEN-CARBON'!$D$7:$AW$7, 'GEN-CARBON'!$D$43:$AW$43), 0), IF($B35='Project List References'!$B$7, _xlfn.IFNA(_xlfn.XLOOKUP(T$2-$C35, 'SENS Coal'!$D$7:$AW$7, 'SENS Coal'!$D$43:$AW$43), 0), IF($B35='Project List References'!$B$8, _xlfn.IFNA(_xlfn.XLOOKUP(T$2-$C35, 'SENS Tires'!$D$7:$AW$7, 'SENS Tires'!$D$43:$AW$43),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</row>
    <row r="36" spans="1:20">
      <c r="A36" s="655" t="str">
        <f>IF(ISBLANK('Project Master Sheet'!A36)=FALSE, 'Project Master Sheet'!A36, "")</f>
        <v/>
      </c>
      <c r="B36" s="655" t="str">
        <f>_xlfn.IFNA(_xlfn.XLOOKUP(A36, 'Project Master Sheet'!A:A, 'Project Master Sheet'!D:D), "")</f>
        <v/>
      </c>
      <c r="C36" s="655" t="e">
        <f>_xlfn.XLOOKUP('Project OPEX'!A36, 'Project Master Sheet'!A:A, 'Project Master Sheet'!I:I)</f>
        <v>#N/A</v>
      </c>
      <c r="E36" s="743" t="e">
        <f>IF($B36='Project List References'!$B$3, _xlfn.IFNA(_xlfn.XLOOKUP(E$2-$C36, 'GEN-CCGT'!$D$7:$AW$7, 'GEN-CCGT'!$D$43:$AW$43), 0), IF($B36='Project List References'!$B$4, _xlfn.IFNA(_xlfn.XLOOKUP(E$2-$C36, 'GEN-SOLAR'!$D$7:$AW$7, 'GEN-SOLAR'!$D$43:$AW$43), 0), IF($B36='Project List References'!$B$5, _xlfn.IFNA(_xlfn.XLOOKUP(E$2-$C36, 'GEN-BESS'!$D$7:$AW$7, 'GEN-BESS'!$D$43:$AW$43), 0), IF($B36='Project List References'!$B$6, _xlfn.IFNA(_xlfn.XLOOKUP(E$2-$C36, 'GEN-CARBON'!$D$7:$AW$7, 'GEN-CARBON'!$D$43:$AW$43), 0), IF($B36='Project List References'!$B$7, _xlfn.IFNA(_xlfn.XLOOKUP(E$2-$C36, 'SENS Coal'!$D$7:$AW$7, 'SENS Coal'!$D$43:$AW$43), 0), IF($B36='Project List References'!$B$8, _xlfn.IFNA(_xlfn.XLOOKUP(E$2-$C36,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F36" s="743" t="e">
        <f>IF($B36='Project List References'!$B$3, _xlfn.IFNA(_xlfn.XLOOKUP(F$2-$C36, 'GEN-CCGT'!$D$7:$AW$7, 'GEN-CCGT'!$D$43:$AW$43), 0), IF($B36='Project List References'!$B$4, _xlfn.IFNA(_xlfn.XLOOKUP(F$2-$C36, 'GEN-SOLAR'!$D$7:$AW$7, 'GEN-SOLAR'!$D$43:$AW$43), 0), IF($B36='Project List References'!$B$5, _xlfn.IFNA(_xlfn.XLOOKUP(F$2-$C36, 'GEN-BESS'!$D$7:$AW$7, 'GEN-BESS'!$D$43:$AW$43), 0), IF($B36='Project List References'!$B$6, _xlfn.IFNA(_xlfn.XLOOKUP(F$2-$C36, 'GEN-CARBON'!$D$7:$AW$7, 'GEN-CARBON'!$D$43:$AW$43), 0), IF($B36='Project List References'!$B$7, _xlfn.IFNA(_xlfn.XLOOKUP(F$2-$C36, 'SENS Coal'!$D$7:$AW$7, 'SENS Coal'!$D$43:$AW$43), 0), IF($B36='Project List References'!$B$8, _xlfn.IFNA(_xlfn.XLOOKUP(F$2-$C36,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G36" s="743" t="e">
        <f>IF($B36='Project List References'!$B$3, _xlfn.IFNA(_xlfn.XLOOKUP(G$2-$C36, 'GEN-CCGT'!$D$7:$AW$7, 'GEN-CCGT'!$D$43:$AW$43), 0), IF($B36='Project List References'!$B$4, _xlfn.IFNA(_xlfn.XLOOKUP(G$2-$C36, 'GEN-SOLAR'!$D$7:$AW$7, 'GEN-SOLAR'!$D$43:$AW$43), 0), IF($B36='Project List References'!$B$5, _xlfn.IFNA(_xlfn.XLOOKUP(G$2-$C36, 'GEN-BESS'!$D$7:$AW$7, 'GEN-BESS'!$D$43:$AW$43), 0), IF($B36='Project List References'!$B$6, _xlfn.IFNA(_xlfn.XLOOKUP(G$2-$C36, 'GEN-CARBON'!$D$7:$AW$7, 'GEN-CARBON'!$D$43:$AW$43), 0), IF($B36='Project List References'!$B$7, _xlfn.IFNA(_xlfn.XLOOKUP(G$2-$C36, 'SENS Coal'!$D$7:$AW$7, 'SENS Coal'!$D$43:$AW$43), 0), IF($B36='Project List References'!$B$8, _xlfn.IFNA(_xlfn.XLOOKUP(G$2-$C36,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H36" s="743" t="e">
        <f>IF($B36='Project List References'!$B$3, _xlfn.IFNA(_xlfn.XLOOKUP(H$2-$C36, 'GEN-CCGT'!$D$7:$AW$7, 'GEN-CCGT'!$D$43:$AW$43), 0), IF($B36='Project List References'!$B$4, _xlfn.IFNA(_xlfn.XLOOKUP(H$2-$C36, 'GEN-SOLAR'!$D$7:$AW$7, 'GEN-SOLAR'!$D$43:$AW$43), 0), IF($B36='Project List References'!$B$5, _xlfn.IFNA(_xlfn.XLOOKUP(H$2-$C36, 'GEN-BESS'!$D$7:$AW$7, 'GEN-BESS'!$D$43:$AW$43), 0), IF($B36='Project List References'!$B$6, _xlfn.IFNA(_xlfn.XLOOKUP(H$2-$C36, 'GEN-CARBON'!$D$7:$AW$7, 'GEN-CARBON'!$D$43:$AW$43), 0), IF($B36='Project List References'!$B$7, _xlfn.IFNA(_xlfn.XLOOKUP(H$2-$C36, 'SENS Coal'!$D$7:$AW$7, 'SENS Coal'!$D$43:$AW$43), 0), IF($B36='Project List References'!$B$8, _xlfn.IFNA(_xlfn.XLOOKUP(H$2-$C36,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I36" s="743" t="e">
        <f>IF($B36='Project List References'!$B$3, _xlfn.IFNA(_xlfn.XLOOKUP(I$2-$C36, 'GEN-CCGT'!$D$7:$AW$7, 'GEN-CCGT'!$D$43:$AW$43), 0), IF($B36='Project List References'!$B$4, _xlfn.IFNA(_xlfn.XLOOKUP(I$2-$C36, 'GEN-SOLAR'!$D$7:$AW$7, 'GEN-SOLAR'!$D$43:$AW$43), 0), IF($B36='Project List References'!$B$5, _xlfn.IFNA(_xlfn.XLOOKUP(I$2-$C36, 'GEN-BESS'!$D$7:$AW$7, 'GEN-BESS'!$D$43:$AW$43), 0), IF($B36='Project List References'!$B$6, _xlfn.IFNA(_xlfn.XLOOKUP(I$2-$C36, 'GEN-CARBON'!$D$7:$AW$7, 'GEN-CARBON'!$D$43:$AW$43), 0), IF($B36='Project List References'!$B$7, _xlfn.IFNA(_xlfn.XLOOKUP(I$2-$C36, 'SENS Coal'!$D$7:$AW$7, 'SENS Coal'!$D$43:$AW$43), 0), IF($B36='Project List References'!$B$8, _xlfn.IFNA(_xlfn.XLOOKUP(I$2-$C36,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J36" s="743" t="e">
        <f>IF($B36='Project List References'!$B$3, _xlfn.IFNA(_xlfn.XLOOKUP(J$2-$C36, 'GEN-CCGT'!$D$7:$AW$7, 'GEN-CCGT'!$D$43:$AW$43), 0), IF($B36='Project List References'!$B$4, _xlfn.IFNA(_xlfn.XLOOKUP(J$2-$C36, 'GEN-SOLAR'!$D$7:$AW$7, 'GEN-SOLAR'!$D$43:$AW$43), 0), IF($B36='Project List References'!$B$5, _xlfn.IFNA(_xlfn.XLOOKUP(J$2-$C36, 'GEN-BESS'!$D$7:$AW$7, 'GEN-BESS'!$D$43:$AW$43), 0), IF($B36='Project List References'!$B$6, _xlfn.IFNA(_xlfn.XLOOKUP(J$2-$C36, 'GEN-CARBON'!$D$7:$AW$7, 'GEN-CARBON'!$D$43:$AW$43), 0), IF($B36='Project List References'!$B$7, _xlfn.IFNA(_xlfn.XLOOKUP(J$2-$C36, 'SENS Coal'!$D$7:$AW$7, 'SENS Coal'!$D$43:$AW$43), 0), IF($B36='Project List References'!$B$8, _xlfn.IFNA(_xlfn.XLOOKUP(J$2-$C36,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K36" s="743" t="e">
        <f>IF($B36='Project List References'!$B$3, _xlfn.IFNA(_xlfn.XLOOKUP(K$2-$C36, 'GEN-CCGT'!$D$7:$AW$7, 'GEN-CCGT'!$D$43:$AW$43), 0), IF($B36='Project List References'!$B$4, _xlfn.IFNA(_xlfn.XLOOKUP(K$2-$C36, 'GEN-SOLAR'!$D$7:$AW$7, 'GEN-SOLAR'!$D$43:$AW$43), 0), IF($B36='Project List References'!$B$5, _xlfn.IFNA(_xlfn.XLOOKUP(K$2-$C36, 'GEN-BESS'!$D$7:$AW$7, 'GEN-BESS'!$D$43:$AW$43), 0), IF($B36='Project List References'!$B$6, _xlfn.IFNA(_xlfn.XLOOKUP(K$2-$C36, 'GEN-CARBON'!$D$7:$AW$7, 'GEN-CARBON'!$D$43:$AW$43), 0), IF($B36='Project List References'!$B$7, _xlfn.IFNA(_xlfn.XLOOKUP(K$2-$C36, 'SENS Coal'!$D$7:$AW$7, 'SENS Coal'!$D$43:$AW$43), 0), IF($B36='Project List References'!$B$8, _xlfn.IFNA(_xlfn.XLOOKUP(K$2-$C36,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L36" s="743" t="e">
        <f>IF($B36='Project List References'!$B$3, _xlfn.IFNA(_xlfn.XLOOKUP(L$2-$C36, 'GEN-CCGT'!$D$7:$AW$7, 'GEN-CCGT'!$D$43:$AW$43), 0), IF($B36='Project List References'!$B$4, _xlfn.IFNA(_xlfn.XLOOKUP(L$2-$C36, 'GEN-SOLAR'!$D$7:$AW$7, 'GEN-SOLAR'!$D$43:$AW$43), 0), IF($B36='Project List References'!$B$5, _xlfn.IFNA(_xlfn.XLOOKUP(L$2-$C36, 'GEN-BESS'!$D$7:$AW$7, 'GEN-BESS'!$D$43:$AW$43), 0), IF($B36='Project List References'!$B$6, _xlfn.IFNA(_xlfn.XLOOKUP(L$2-$C36, 'GEN-CARBON'!$D$7:$AW$7, 'GEN-CARBON'!$D$43:$AW$43), 0), IF($B36='Project List References'!$B$7, _xlfn.IFNA(_xlfn.XLOOKUP(L$2-$C36, 'SENS Coal'!$D$7:$AW$7, 'SENS Coal'!$D$43:$AW$43), 0), IF($B36='Project List References'!$B$8, _xlfn.IFNA(_xlfn.XLOOKUP(L$2-$C36,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M36" s="743" t="e">
        <f>IF($B36='Project List References'!$B$3, _xlfn.IFNA(_xlfn.XLOOKUP(M$2-$C36, 'GEN-CCGT'!$D$7:$AW$7, 'GEN-CCGT'!$D$43:$AW$43), 0), IF($B36='Project List References'!$B$4, _xlfn.IFNA(_xlfn.XLOOKUP(M$2-$C36, 'GEN-SOLAR'!$D$7:$AW$7, 'GEN-SOLAR'!$D$43:$AW$43), 0), IF($B36='Project List References'!$B$5, _xlfn.IFNA(_xlfn.XLOOKUP(M$2-$C36, 'GEN-BESS'!$D$7:$AW$7, 'GEN-BESS'!$D$43:$AW$43), 0), IF($B36='Project List References'!$B$6, _xlfn.IFNA(_xlfn.XLOOKUP(M$2-$C36, 'GEN-CARBON'!$D$7:$AW$7, 'GEN-CARBON'!$D$43:$AW$43), 0), IF($B36='Project List References'!$B$7, _xlfn.IFNA(_xlfn.XLOOKUP(M$2-$C36, 'SENS Coal'!$D$7:$AW$7, 'SENS Coal'!$D$43:$AW$43), 0), IF($B36='Project List References'!$B$8, _xlfn.IFNA(_xlfn.XLOOKUP(M$2-$C36,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N36" s="743" t="e">
        <f>IF($B36='Project List References'!$B$3, _xlfn.IFNA(_xlfn.XLOOKUP(N$2-$C36, 'GEN-CCGT'!$D$7:$AW$7, 'GEN-CCGT'!$D$43:$AW$43), 0), IF($B36='Project List References'!$B$4, _xlfn.IFNA(_xlfn.XLOOKUP(N$2-$C36, 'GEN-SOLAR'!$D$7:$AW$7, 'GEN-SOLAR'!$D$43:$AW$43), 0), IF($B36='Project List References'!$B$5, _xlfn.IFNA(_xlfn.XLOOKUP(N$2-$C36, 'GEN-BESS'!$D$7:$AW$7, 'GEN-BESS'!$D$43:$AW$43), 0), IF($B36='Project List References'!$B$6, _xlfn.IFNA(_xlfn.XLOOKUP(N$2-$C36, 'GEN-CARBON'!$D$7:$AW$7, 'GEN-CARBON'!$D$43:$AW$43), 0), IF($B36='Project List References'!$B$7, _xlfn.IFNA(_xlfn.XLOOKUP(N$2-$C36, 'SENS Coal'!$D$7:$AW$7, 'SENS Coal'!$D$43:$AW$43), 0), IF($B36='Project List References'!$B$8, _xlfn.IFNA(_xlfn.XLOOKUP(N$2-$C36,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O36" s="743" t="e">
        <f>IF($B36='Project List References'!$B$3, _xlfn.IFNA(_xlfn.XLOOKUP(O$2-$C36, 'GEN-CCGT'!$D$7:$AW$7, 'GEN-CCGT'!$D$43:$AW$43), 0), IF($B36='Project List References'!$B$4, _xlfn.IFNA(_xlfn.XLOOKUP(O$2-$C36, 'GEN-SOLAR'!$D$7:$AW$7, 'GEN-SOLAR'!$D$43:$AW$43), 0), IF($B36='Project List References'!$B$5, _xlfn.IFNA(_xlfn.XLOOKUP(O$2-$C36, 'GEN-BESS'!$D$7:$AW$7, 'GEN-BESS'!$D$43:$AW$43), 0), IF($B36='Project List References'!$B$6, _xlfn.IFNA(_xlfn.XLOOKUP(O$2-$C36, 'GEN-CARBON'!$D$7:$AW$7, 'GEN-CARBON'!$D$43:$AW$43), 0), IF($B36='Project List References'!$B$7, _xlfn.IFNA(_xlfn.XLOOKUP(O$2-$C36, 'SENS Coal'!$D$7:$AW$7, 'SENS Coal'!$D$43:$AW$43), 0), IF($B36='Project List References'!$B$8, _xlfn.IFNA(_xlfn.XLOOKUP(O$2-$C36,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P36" s="743" t="e">
        <f>IF($B36='Project List References'!$B$3, _xlfn.IFNA(_xlfn.XLOOKUP(P$2-$C36, 'GEN-CCGT'!$D$7:$AW$7, 'GEN-CCGT'!$D$43:$AW$43), 0), IF($B36='Project List References'!$B$4, _xlfn.IFNA(_xlfn.XLOOKUP(P$2-$C36, 'GEN-SOLAR'!$D$7:$AW$7, 'GEN-SOLAR'!$D$43:$AW$43), 0), IF($B36='Project List References'!$B$5, _xlfn.IFNA(_xlfn.XLOOKUP(P$2-$C36, 'GEN-BESS'!$D$7:$AW$7, 'GEN-BESS'!$D$43:$AW$43), 0), IF($B36='Project List References'!$B$6, _xlfn.IFNA(_xlfn.XLOOKUP(P$2-$C36, 'GEN-CARBON'!$D$7:$AW$7, 'GEN-CARBON'!$D$43:$AW$43), 0), IF($B36='Project List References'!$B$7, _xlfn.IFNA(_xlfn.XLOOKUP(P$2-$C36, 'SENS Coal'!$D$7:$AW$7, 'SENS Coal'!$D$43:$AW$43), 0), IF($B36='Project List References'!$B$8, _xlfn.IFNA(_xlfn.XLOOKUP(P$2-$C36,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Q36" s="743" t="e">
        <f>IF($B36='Project List References'!$B$3, _xlfn.IFNA(_xlfn.XLOOKUP(Q$2-$C36, 'GEN-CCGT'!$D$7:$AW$7, 'GEN-CCGT'!$D$43:$AW$43), 0), IF($B36='Project List References'!$B$4, _xlfn.IFNA(_xlfn.XLOOKUP(Q$2-$C36, 'GEN-SOLAR'!$D$7:$AW$7, 'GEN-SOLAR'!$D$43:$AW$43), 0), IF($B36='Project List References'!$B$5, _xlfn.IFNA(_xlfn.XLOOKUP(Q$2-$C36, 'GEN-BESS'!$D$7:$AW$7, 'GEN-BESS'!$D$43:$AW$43), 0), IF($B36='Project List References'!$B$6, _xlfn.IFNA(_xlfn.XLOOKUP(Q$2-$C36, 'GEN-CARBON'!$D$7:$AW$7, 'GEN-CARBON'!$D$43:$AW$43), 0), IF($B36='Project List References'!$B$7, _xlfn.IFNA(_xlfn.XLOOKUP(Q$2-$C36, 'SENS Coal'!$D$7:$AW$7, 'SENS Coal'!$D$43:$AW$43), 0), IF($B36='Project List References'!$B$8, _xlfn.IFNA(_xlfn.XLOOKUP(Q$2-$C36,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R36" s="743" t="e">
        <f>IF($B36='Project List References'!$B$3, _xlfn.IFNA(_xlfn.XLOOKUP(R$2-$C36, 'GEN-CCGT'!$D$7:$AW$7, 'GEN-CCGT'!$D$43:$AW$43), 0), IF($B36='Project List References'!$B$4, _xlfn.IFNA(_xlfn.XLOOKUP(R$2-$C36, 'GEN-SOLAR'!$D$7:$AW$7, 'GEN-SOLAR'!$D$43:$AW$43), 0), IF($B36='Project List References'!$B$5, _xlfn.IFNA(_xlfn.XLOOKUP(R$2-$C36, 'GEN-BESS'!$D$7:$AW$7, 'GEN-BESS'!$D$43:$AW$43), 0), IF($B36='Project List References'!$B$6, _xlfn.IFNA(_xlfn.XLOOKUP(R$2-$C36, 'GEN-CARBON'!$D$7:$AW$7, 'GEN-CARBON'!$D$43:$AW$43), 0), IF($B36='Project List References'!$B$7, _xlfn.IFNA(_xlfn.XLOOKUP(R$2-$C36, 'SENS Coal'!$D$7:$AW$7, 'SENS Coal'!$D$43:$AW$43), 0), IF($B36='Project List References'!$B$8, _xlfn.IFNA(_xlfn.XLOOKUP(R$2-$C36,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S36" s="743" t="e">
        <f>IF($B36='Project List References'!$B$3, _xlfn.IFNA(_xlfn.XLOOKUP(S$2-$C36, 'GEN-CCGT'!$D$7:$AW$7, 'GEN-CCGT'!$D$43:$AW$43), 0), IF($B36='Project List References'!$B$4, _xlfn.IFNA(_xlfn.XLOOKUP(S$2-$C36, 'GEN-SOLAR'!$D$7:$AW$7, 'GEN-SOLAR'!$D$43:$AW$43), 0), IF($B36='Project List References'!$B$5, _xlfn.IFNA(_xlfn.XLOOKUP(S$2-$C36, 'GEN-BESS'!$D$7:$AW$7, 'GEN-BESS'!$D$43:$AW$43), 0), IF($B36='Project List References'!$B$6, _xlfn.IFNA(_xlfn.XLOOKUP(S$2-$C36, 'GEN-CARBON'!$D$7:$AW$7, 'GEN-CARBON'!$D$43:$AW$43), 0), IF($B36='Project List References'!$B$7, _xlfn.IFNA(_xlfn.XLOOKUP(S$2-$C36, 'SENS Coal'!$D$7:$AW$7, 'SENS Coal'!$D$43:$AW$43), 0), IF($B36='Project List References'!$B$8, _xlfn.IFNA(_xlfn.XLOOKUP(S$2-$C36,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T36" s="743" t="e">
        <f>IF($B36='Project List References'!$B$3, _xlfn.IFNA(_xlfn.XLOOKUP(T$2-$C36, 'GEN-CCGT'!$D$7:$AW$7, 'GEN-CCGT'!$D$43:$AW$43), 0), IF($B36='Project List References'!$B$4, _xlfn.IFNA(_xlfn.XLOOKUP(T$2-$C36, 'GEN-SOLAR'!$D$7:$AW$7, 'GEN-SOLAR'!$D$43:$AW$43), 0), IF($B36='Project List References'!$B$5, _xlfn.IFNA(_xlfn.XLOOKUP(T$2-$C36, 'GEN-BESS'!$D$7:$AW$7, 'GEN-BESS'!$D$43:$AW$43), 0), IF($B36='Project List References'!$B$6, _xlfn.IFNA(_xlfn.XLOOKUP(T$2-$C36, 'GEN-CARBON'!$D$7:$AW$7, 'GEN-CARBON'!$D$43:$AW$43), 0), IF($B36='Project List References'!$B$7, _xlfn.IFNA(_xlfn.XLOOKUP(T$2-$C36, 'SENS Coal'!$D$7:$AW$7, 'SENS Coal'!$D$43:$AW$43), 0), IF($B36='Project List References'!$B$8, _xlfn.IFNA(_xlfn.XLOOKUP(T$2-$C36, 'SENS Tires'!$D$7:$AW$7, 'SENS Tires'!$D$43:$AW$43),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</row>
    <row r="37" spans="1:20">
      <c r="A37" s="655" t="str">
        <f>IF(ISBLANK('Project Master Sheet'!A37)=FALSE, 'Project Master Sheet'!A37, "")</f>
        <v/>
      </c>
      <c r="B37" s="655" t="str">
        <f>_xlfn.IFNA(_xlfn.XLOOKUP(A37, 'Project Master Sheet'!A:A, 'Project Master Sheet'!D:D), "")</f>
        <v/>
      </c>
      <c r="C37" s="655" t="e">
        <f>_xlfn.XLOOKUP('Project OPEX'!A37, 'Project Master Sheet'!A:A, 'Project Master Sheet'!I:I)</f>
        <v>#N/A</v>
      </c>
      <c r="E37" s="743" t="e">
        <f>IF($B37='Project List References'!$B$3, _xlfn.IFNA(_xlfn.XLOOKUP(E$2-$C37, 'GEN-CCGT'!$D$7:$AW$7, 'GEN-CCGT'!$D$43:$AW$43), 0), IF($B37='Project List References'!$B$4, _xlfn.IFNA(_xlfn.XLOOKUP(E$2-$C37, 'GEN-SOLAR'!$D$7:$AW$7, 'GEN-SOLAR'!$D$43:$AW$43), 0), IF($B37='Project List References'!$B$5, _xlfn.IFNA(_xlfn.XLOOKUP(E$2-$C37, 'GEN-BESS'!$D$7:$AW$7, 'GEN-BESS'!$D$43:$AW$43), 0), IF($B37='Project List References'!$B$6, _xlfn.IFNA(_xlfn.XLOOKUP(E$2-$C37, 'GEN-CARBON'!$D$7:$AW$7, 'GEN-CARBON'!$D$43:$AW$43), 0), IF($B37='Project List References'!$B$7, _xlfn.IFNA(_xlfn.XLOOKUP(E$2-$C37, 'SENS Coal'!$D$7:$AW$7, 'SENS Coal'!$D$43:$AW$43), 0), IF($B37='Project List References'!$B$8, _xlfn.IFNA(_xlfn.XLOOKUP(E$2-$C37,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F37" s="743" t="e">
        <f>IF($B37='Project List References'!$B$3, _xlfn.IFNA(_xlfn.XLOOKUP(F$2-$C37, 'GEN-CCGT'!$D$7:$AW$7, 'GEN-CCGT'!$D$43:$AW$43), 0), IF($B37='Project List References'!$B$4, _xlfn.IFNA(_xlfn.XLOOKUP(F$2-$C37, 'GEN-SOLAR'!$D$7:$AW$7, 'GEN-SOLAR'!$D$43:$AW$43), 0), IF($B37='Project List References'!$B$5, _xlfn.IFNA(_xlfn.XLOOKUP(F$2-$C37, 'GEN-BESS'!$D$7:$AW$7, 'GEN-BESS'!$D$43:$AW$43), 0), IF($B37='Project List References'!$B$6, _xlfn.IFNA(_xlfn.XLOOKUP(F$2-$C37, 'GEN-CARBON'!$D$7:$AW$7, 'GEN-CARBON'!$D$43:$AW$43), 0), IF($B37='Project List References'!$B$7, _xlfn.IFNA(_xlfn.XLOOKUP(F$2-$C37, 'SENS Coal'!$D$7:$AW$7, 'SENS Coal'!$D$43:$AW$43), 0), IF($B37='Project List References'!$B$8, _xlfn.IFNA(_xlfn.XLOOKUP(F$2-$C37,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G37" s="743" t="e">
        <f>IF($B37='Project List References'!$B$3, _xlfn.IFNA(_xlfn.XLOOKUP(G$2-$C37, 'GEN-CCGT'!$D$7:$AW$7, 'GEN-CCGT'!$D$43:$AW$43), 0), IF($B37='Project List References'!$B$4, _xlfn.IFNA(_xlfn.XLOOKUP(G$2-$C37, 'GEN-SOLAR'!$D$7:$AW$7, 'GEN-SOLAR'!$D$43:$AW$43), 0), IF($B37='Project List References'!$B$5, _xlfn.IFNA(_xlfn.XLOOKUP(G$2-$C37, 'GEN-BESS'!$D$7:$AW$7, 'GEN-BESS'!$D$43:$AW$43), 0), IF($B37='Project List References'!$B$6, _xlfn.IFNA(_xlfn.XLOOKUP(G$2-$C37, 'GEN-CARBON'!$D$7:$AW$7, 'GEN-CARBON'!$D$43:$AW$43), 0), IF($B37='Project List References'!$B$7, _xlfn.IFNA(_xlfn.XLOOKUP(G$2-$C37, 'SENS Coal'!$D$7:$AW$7, 'SENS Coal'!$D$43:$AW$43), 0), IF($B37='Project List References'!$B$8, _xlfn.IFNA(_xlfn.XLOOKUP(G$2-$C37,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H37" s="743" t="e">
        <f>IF($B37='Project List References'!$B$3, _xlfn.IFNA(_xlfn.XLOOKUP(H$2-$C37, 'GEN-CCGT'!$D$7:$AW$7, 'GEN-CCGT'!$D$43:$AW$43), 0), IF($B37='Project List References'!$B$4, _xlfn.IFNA(_xlfn.XLOOKUP(H$2-$C37, 'GEN-SOLAR'!$D$7:$AW$7, 'GEN-SOLAR'!$D$43:$AW$43), 0), IF($B37='Project List References'!$B$5, _xlfn.IFNA(_xlfn.XLOOKUP(H$2-$C37, 'GEN-BESS'!$D$7:$AW$7, 'GEN-BESS'!$D$43:$AW$43), 0), IF($B37='Project List References'!$B$6, _xlfn.IFNA(_xlfn.XLOOKUP(H$2-$C37, 'GEN-CARBON'!$D$7:$AW$7, 'GEN-CARBON'!$D$43:$AW$43), 0), IF($B37='Project List References'!$B$7, _xlfn.IFNA(_xlfn.XLOOKUP(H$2-$C37, 'SENS Coal'!$D$7:$AW$7, 'SENS Coal'!$D$43:$AW$43), 0), IF($B37='Project List References'!$B$8, _xlfn.IFNA(_xlfn.XLOOKUP(H$2-$C37,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I37" s="743" t="e">
        <f>IF($B37='Project List References'!$B$3, _xlfn.IFNA(_xlfn.XLOOKUP(I$2-$C37, 'GEN-CCGT'!$D$7:$AW$7, 'GEN-CCGT'!$D$43:$AW$43), 0), IF($B37='Project List References'!$B$4, _xlfn.IFNA(_xlfn.XLOOKUP(I$2-$C37, 'GEN-SOLAR'!$D$7:$AW$7, 'GEN-SOLAR'!$D$43:$AW$43), 0), IF($B37='Project List References'!$B$5, _xlfn.IFNA(_xlfn.XLOOKUP(I$2-$C37, 'GEN-BESS'!$D$7:$AW$7, 'GEN-BESS'!$D$43:$AW$43), 0), IF($B37='Project List References'!$B$6, _xlfn.IFNA(_xlfn.XLOOKUP(I$2-$C37, 'GEN-CARBON'!$D$7:$AW$7, 'GEN-CARBON'!$D$43:$AW$43), 0), IF($B37='Project List References'!$B$7, _xlfn.IFNA(_xlfn.XLOOKUP(I$2-$C37, 'SENS Coal'!$D$7:$AW$7, 'SENS Coal'!$D$43:$AW$43), 0), IF($B37='Project List References'!$B$8, _xlfn.IFNA(_xlfn.XLOOKUP(I$2-$C37,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J37" s="743" t="e">
        <f>IF($B37='Project List References'!$B$3, _xlfn.IFNA(_xlfn.XLOOKUP(J$2-$C37, 'GEN-CCGT'!$D$7:$AW$7, 'GEN-CCGT'!$D$43:$AW$43), 0), IF($B37='Project List References'!$B$4, _xlfn.IFNA(_xlfn.XLOOKUP(J$2-$C37, 'GEN-SOLAR'!$D$7:$AW$7, 'GEN-SOLAR'!$D$43:$AW$43), 0), IF($B37='Project List References'!$B$5, _xlfn.IFNA(_xlfn.XLOOKUP(J$2-$C37, 'GEN-BESS'!$D$7:$AW$7, 'GEN-BESS'!$D$43:$AW$43), 0), IF($B37='Project List References'!$B$6, _xlfn.IFNA(_xlfn.XLOOKUP(J$2-$C37, 'GEN-CARBON'!$D$7:$AW$7, 'GEN-CARBON'!$D$43:$AW$43), 0), IF($B37='Project List References'!$B$7, _xlfn.IFNA(_xlfn.XLOOKUP(J$2-$C37, 'SENS Coal'!$D$7:$AW$7, 'SENS Coal'!$D$43:$AW$43), 0), IF($B37='Project List References'!$B$8, _xlfn.IFNA(_xlfn.XLOOKUP(J$2-$C37,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K37" s="743" t="e">
        <f>IF($B37='Project List References'!$B$3, _xlfn.IFNA(_xlfn.XLOOKUP(K$2-$C37, 'GEN-CCGT'!$D$7:$AW$7, 'GEN-CCGT'!$D$43:$AW$43), 0), IF($B37='Project List References'!$B$4, _xlfn.IFNA(_xlfn.XLOOKUP(K$2-$C37, 'GEN-SOLAR'!$D$7:$AW$7, 'GEN-SOLAR'!$D$43:$AW$43), 0), IF($B37='Project List References'!$B$5, _xlfn.IFNA(_xlfn.XLOOKUP(K$2-$C37, 'GEN-BESS'!$D$7:$AW$7, 'GEN-BESS'!$D$43:$AW$43), 0), IF($B37='Project List References'!$B$6, _xlfn.IFNA(_xlfn.XLOOKUP(K$2-$C37, 'GEN-CARBON'!$D$7:$AW$7, 'GEN-CARBON'!$D$43:$AW$43), 0), IF($B37='Project List References'!$B$7, _xlfn.IFNA(_xlfn.XLOOKUP(K$2-$C37, 'SENS Coal'!$D$7:$AW$7, 'SENS Coal'!$D$43:$AW$43), 0), IF($B37='Project List References'!$B$8, _xlfn.IFNA(_xlfn.XLOOKUP(K$2-$C37,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L37" s="743" t="e">
        <f>IF($B37='Project List References'!$B$3, _xlfn.IFNA(_xlfn.XLOOKUP(L$2-$C37, 'GEN-CCGT'!$D$7:$AW$7, 'GEN-CCGT'!$D$43:$AW$43), 0), IF($B37='Project List References'!$B$4, _xlfn.IFNA(_xlfn.XLOOKUP(L$2-$C37, 'GEN-SOLAR'!$D$7:$AW$7, 'GEN-SOLAR'!$D$43:$AW$43), 0), IF($B37='Project List References'!$B$5, _xlfn.IFNA(_xlfn.XLOOKUP(L$2-$C37, 'GEN-BESS'!$D$7:$AW$7, 'GEN-BESS'!$D$43:$AW$43), 0), IF($B37='Project List References'!$B$6, _xlfn.IFNA(_xlfn.XLOOKUP(L$2-$C37, 'GEN-CARBON'!$D$7:$AW$7, 'GEN-CARBON'!$D$43:$AW$43), 0), IF($B37='Project List References'!$B$7, _xlfn.IFNA(_xlfn.XLOOKUP(L$2-$C37, 'SENS Coal'!$D$7:$AW$7, 'SENS Coal'!$D$43:$AW$43), 0), IF($B37='Project List References'!$B$8, _xlfn.IFNA(_xlfn.XLOOKUP(L$2-$C37,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M37" s="743" t="e">
        <f>IF($B37='Project List References'!$B$3, _xlfn.IFNA(_xlfn.XLOOKUP(M$2-$C37, 'GEN-CCGT'!$D$7:$AW$7, 'GEN-CCGT'!$D$43:$AW$43), 0), IF($B37='Project List References'!$B$4, _xlfn.IFNA(_xlfn.XLOOKUP(M$2-$C37, 'GEN-SOLAR'!$D$7:$AW$7, 'GEN-SOLAR'!$D$43:$AW$43), 0), IF($B37='Project List References'!$B$5, _xlfn.IFNA(_xlfn.XLOOKUP(M$2-$C37, 'GEN-BESS'!$D$7:$AW$7, 'GEN-BESS'!$D$43:$AW$43), 0), IF($B37='Project List References'!$B$6, _xlfn.IFNA(_xlfn.XLOOKUP(M$2-$C37, 'GEN-CARBON'!$D$7:$AW$7, 'GEN-CARBON'!$D$43:$AW$43), 0), IF($B37='Project List References'!$B$7, _xlfn.IFNA(_xlfn.XLOOKUP(M$2-$C37, 'SENS Coal'!$D$7:$AW$7, 'SENS Coal'!$D$43:$AW$43), 0), IF($B37='Project List References'!$B$8, _xlfn.IFNA(_xlfn.XLOOKUP(M$2-$C37,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N37" s="743" t="e">
        <f>IF($B37='Project List References'!$B$3, _xlfn.IFNA(_xlfn.XLOOKUP(N$2-$C37, 'GEN-CCGT'!$D$7:$AW$7, 'GEN-CCGT'!$D$43:$AW$43), 0), IF($B37='Project List References'!$B$4, _xlfn.IFNA(_xlfn.XLOOKUP(N$2-$C37, 'GEN-SOLAR'!$D$7:$AW$7, 'GEN-SOLAR'!$D$43:$AW$43), 0), IF($B37='Project List References'!$B$5, _xlfn.IFNA(_xlfn.XLOOKUP(N$2-$C37, 'GEN-BESS'!$D$7:$AW$7, 'GEN-BESS'!$D$43:$AW$43), 0), IF($B37='Project List References'!$B$6, _xlfn.IFNA(_xlfn.XLOOKUP(N$2-$C37, 'GEN-CARBON'!$D$7:$AW$7, 'GEN-CARBON'!$D$43:$AW$43), 0), IF($B37='Project List References'!$B$7, _xlfn.IFNA(_xlfn.XLOOKUP(N$2-$C37, 'SENS Coal'!$D$7:$AW$7, 'SENS Coal'!$D$43:$AW$43), 0), IF($B37='Project List References'!$B$8, _xlfn.IFNA(_xlfn.XLOOKUP(N$2-$C37,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O37" s="743" t="e">
        <f>IF($B37='Project List References'!$B$3, _xlfn.IFNA(_xlfn.XLOOKUP(O$2-$C37, 'GEN-CCGT'!$D$7:$AW$7, 'GEN-CCGT'!$D$43:$AW$43), 0), IF($B37='Project List References'!$B$4, _xlfn.IFNA(_xlfn.XLOOKUP(O$2-$C37, 'GEN-SOLAR'!$D$7:$AW$7, 'GEN-SOLAR'!$D$43:$AW$43), 0), IF($B37='Project List References'!$B$5, _xlfn.IFNA(_xlfn.XLOOKUP(O$2-$C37, 'GEN-BESS'!$D$7:$AW$7, 'GEN-BESS'!$D$43:$AW$43), 0), IF($B37='Project List References'!$B$6, _xlfn.IFNA(_xlfn.XLOOKUP(O$2-$C37, 'GEN-CARBON'!$D$7:$AW$7, 'GEN-CARBON'!$D$43:$AW$43), 0), IF($B37='Project List References'!$B$7, _xlfn.IFNA(_xlfn.XLOOKUP(O$2-$C37, 'SENS Coal'!$D$7:$AW$7, 'SENS Coal'!$D$43:$AW$43), 0), IF($B37='Project List References'!$B$8, _xlfn.IFNA(_xlfn.XLOOKUP(O$2-$C37,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P37" s="743" t="e">
        <f>IF($B37='Project List References'!$B$3, _xlfn.IFNA(_xlfn.XLOOKUP(P$2-$C37, 'GEN-CCGT'!$D$7:$AW$7, 'GEN-CCGT'!$D$43:$AW$43), 0), IF($B37='Project List References'!$B$4, _xlfn.IFNA(_xlfn.XLOOKUP(P$2-$C37, 'GEN-SOLAR'!$D$7:$AW$7, 'GEN-SOLAR'!$D$43:$AW$43), 0), IF($B37='Project List References'!$B$5, _xlfn.IFNA(_xlfn.XLOOKUP(P$2-$C37, 'GEN-BESS'!$D$7:$AW$7, 'GEN-BESS'!$D$43:$AW$43), 0), IF($B37='Project List References'!$B$6, _xlfn.IFNA(_xlfn.XLOOKUP(P$2-$C37, 'GEN-CARBON'!$D$7:$AW$7, 'GEN-CARBON'!$D$43:$AW$43), 0), IF($B37='Project List References'!$B$7, _xlfn.IFNA(_xlfn.XLOOKUP(P$2-$C37, 'SENS Coal'!$D$7:$AW$7, 'SENS Coal'!$D$43:$AW$43), 0), IF($B37='Project List References'!$B$8, _xlfn.IFNA(_xlfn.XLOOKUP(P$2-$C37,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Q37" s="743" t="e">
        <f>IF($B37='Project List References'!$B$3, _xlfn.IFNA(_xlfn.XLOOKUP(Q$2-$C37, 'GEN-CCGT'!$D$7:$AW$7, 'GEN-CCGT'!$D$43:$AW$43), 0), IF($B37='Project List References'!$B$4, _xlfn.IFNA(_xlfn.XLOOKUP(Q$2-$C37, 'GEN-SOLAR'!$D$7:$AW$7, 'GEN-SOLAR'!$D$43:$AW$43), 0), IF($B37='Project List References'!$B$5, _xlfn.IFNA(_xlfn.XLOOKUP(Q$2-$C37, 'GEN-BESS'!$D$7:$AW$7, 'GEN-BESS'!$D$43:$AW$43), 0), IF($B37='Project List References'!$B$6, _xlfn.IFNA(_xlfn.XLOOKUP(Q$2-$C37, 'GEN-CARBON'!$D$7:$AW$7, 'GEN-CARBON'!$D$43:$AW$43), 0), IF($B37='Project List References'!$B$7, _xlfn.IFNA(_xlfn.XLOOKUP(Q$2-$C37, 'SENS Coal'!$D$7:$AW$7, 'SENS Coal'!$D$43:$AW$43), 0), IF($B37='Project List References'!$B$8, _xlfn.IFNA(_xlfn.XLOOKUP(Q$2-$C37,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R37" s="743" t="e">
        <f>IF($B37='Project List References'!$B$3, _xlfn.IFNA(_xlfn.XLOOKUP(R$2-$C37, 'GEN-CCGT'!$D$7:$AW$7, 'GEN-CCGT'!$D$43:$AW$43), 0), IF($B37='Project List References'!$B$4, _xlfn.IFNA(_xlfn.XLOOKUP(R$2-$C37, 'GEN-SOLAR'!$D$7:$AW$7, 'GEN-SOLAR'!$D$43:$AW$43), 0), IF($B37='Project List References'!$B$5, _xlfn.IFNA(_xlfn.XLOOKUP(R$2-$C37, 'GEN-BESS'!$D$7:$AW$7, 'GEN-BESS'!$D$43:$AW$43), 0), IF($B37='Project List References'!$B$6, _xlfn.IFNA(_xlfn.XLOOKUP(R$2-$C37, 'GEN-CARBON'!$D$7:$AW$7, 'GEN-CARBON'!$D$43:$AW$43), 0), IF($B37='Project List References'!$B$7, _xlfn.IFNA(_xlfn.XLOOKUP(R$2-$C37, 'SENS Coal'!$D$7:$AW$7, 'SENS Coal'!$D$43:$AW$43), 0), IF($B37='Project List References'!$B$8, _xlfn.IFNA(_xlfn.XLOOKUP(R$2-$C37,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S37" s="743" t="e">
        <f>IF($B37='Project List References'!$B$3, _xlfn.IFNA(_xlfn.XLOOKUP(S$2-$C37, 'GEN-CCGT'!$D$7:$AW$7, 'GEN-CCGT'!$D$43:$AW$43), 0), IF($B37='Project List References'!$B$4, _xlfn.IFNA(_xlfn.XLOOKUP(S$2-$C37, 'GEN-SOLAR'!$D$7:$AW$7, 'GEN-SOLAR'!$D$43:$AW$43), 0), IF($B37='Project List References'!$B$5, _xlfn.IFNA(_xlfn.XLOOKUP(S$2-$C37, 'GEN-BESS'!$D$7:$AW$7, 'GEN-BESS'!$D$43:$AW$43), 0), IF($B37='Project List References'!$B$6, _xlfn.IFNA(_xlfn.XLOOKUP(S$2-$C37, 'GEN-CARBON'!$D$7:$AW$7, 'GEN-CARBON'!$D$43:$AW$43), 0), IF($B37='Project List References'!$B$7, _xlfn.IFNA(_xlfn.XLOOKUP(S$2-$C37, 'SENS Coal'!$D$7:$AW$7, 'SENS Coal'!$D$43:$AW$43), 0), IF($B37='Project List References'!$B$8, _xlfn.IFNA(_xlfn.XLOOKUP(S$2-$C37,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T37" s="743" t="e">
        <f>IF($B37='Project List References'!$B$3, _xlfn.IFNA(_xlfn.XLOOKUP(T$2-$C37, 'GEN-CCGT'!$D$7:$AW$7, 'GEN-CCGT'!$D$43:$AW$43), 0), IF($B37='Project List References'!$B$4, _xlfn.IFNA(_xlfn.XLOOKUP(T$2-$C37, 'GEN-SOLAR'!$D$7:$AW$7, 'GEN-SOLAR'!$D$43:$AW$43), 0), IF($B37='Project List References'!$B$5, _xlfn.IFNA(_xlfn.XLOOKUP(T$2-$C37, 'GEN-BESS'!$D$7:$AW$7, 'GEN-BESS'!$D$43:$AW$43), 0), IF($B37='Project List References'!$B$6, _xlfn.IFNA(_xlfn.XLOOKUP(T$2-$C37, 'GEN-CARBON'!$D$7:$AW$7, 'GEN-CARBON'!$D$43:$AW$43), 0), IF($B37='Project List References'!$B$7, _xlfn.IFNA(_xlfn.XLOOKUP(T$2-$C37, 'SENS Coal'!$D$7:$AW$7, 'SENS Coal'!$D$43:$AW$43), 0), IF($B37='Project List References'!$B$8, _xlfn.IFNA(_xlfn.XLOOKUP(T$2-$C37, 'SENS Tires'!$D$7:$AW$7, 'SENS Tires'!$D$43:$AW$43),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</row>
    <row r="38" spans="1:20">
      <c r="A38" s="655" t="str">
        <f>IF(ISBLANK('Project Master Sheet'!A38)=FALSE, 'Project Master Sheet'!A38, "")</f>
        <v/>
      </c>
      <c r="B38" s="655" t="str">
        <f>_xlfn.IFNA(_xlfn.XLOOKUP(A38, 'Project Master Sheet'!A:A, 'Project Master Sheet'!D:D), "")</f>
        <v/>
      </c>
      <c r="C38" s="655" t="e">
        <f>_xlfn.XLOOKUP('Project OPEX'!A38, 'Project Master Sheet'!A:A, 'Project Master Sheet'!I:I)</f>
        <v>#N/A</v>
      </c>
      <c r="E38" s="743" t="e">
        <f>IF($B38='Project List References'!$B$3, _xlfn.IFNA(_xlfn.XLOOKUP(E$2-$C38, 'GEN-CCGT'!$D$7:$AW$7, 'GEN-CCGT'!$D$43:$AW$43), 0), IF($B38='Project List References'!$B$4, _xlfn.IFNA(_xlfn.XLOOKUP(E$2-$C38, 'GEN-SOLAR'!$D$7:$AW$7, 'GEN-SOLAR'!$D$43:$AW$43), 0), IF($B38='Project List References'!$B$5, _xlfn.IFNA(_xlfn.XLOOKUP(E$2-$C38, 'GEN-BESS'!$D$7:$AW$7, 'GEN-BESS'!$D$43:$AW$43), 0), IF($B38='Project List References'!$B$6, _xlfn.IFNA(_xlfn.XLOOKUP(E$2-$C38, 'GEN-CARBON'!$D$7:$AW$7, 'GEN-CARBON'!$D$43:$AW$43), 0), IF($B38='Project List References'!$B$7, _xlfn.IFNA(_xlfn.XLOOKUP(E$2-$C38, 'SENS Coal'!$D$7:$AW$7, 'SENS Coal'!$D$43:$AW$43), 0), IF($B38='Project List References'!$B$8, _xlfn.IFNA(_xlfn.XLOOKUP(E$2-$C38,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F38" s="743" t="e">
        <f>IF($B38='Project List References'!$B$3, _xlfn.IFNA(_xlfn.XLOOKUP(F$2-$C38, 'GEN-CCGT'!$D$7:$AW$7, 'GEN-CCGT'!$D$43:$AW$43), 0), IF($B38='Project List References'!$B$4, _xlfn.IFNA(_xlfn.XLOOKUP(F$2-$C38, 'GEN-SOLAR'!$D$7:$AW$7, 'GEN-SOLAR'!$D$43:$AW$43), 0), IF($B38='Project List References'!$B$5, _xlfn.IFNA(_xlfn.XLOOKUP(F$2-$C38, 'GEN-BESS'!$D$7:$AW$7, 'GEN-BESS'!$D$43:$AW$43), 0), IF($B38='Project List References'!$B$6, _xlfn.IFNA(_xlfn.XLOOKUP(F$2-$C38, 'GEN-CARBON'!$D$7:$AW$7, 'GEN-CARBON'!$D$43:$AW$43), 0), IF($B38='Project List References'!$B$7, _xlfn.IFNA(_xlfn.XLOOKUP(F$2-$C38, 'SENS Coal'!$D$7:$AW$7, 'SENS Coal'!$D$43:$AW$43), 0), IF($B38='Project List References'!$B$8, _xlfn.IFNA(_xlfn.XLOOKUP(F$2-$C38,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G38" s="743" t="e">
        <f>IF($B38='Project List References'!$B$3, _xlfn.IFNA(_xlfn.XLOOKUP(G$2-$C38, 'GEN-CCGT'!$D$7:$AW$7, 'GEN-CCGT'!$D$43:$AW$43), 0), IF($B38='Project List References'!$B$4, _xlfn.IFNA(_xlfn.XLOOKUP(G$2-$C38, 'GEN-SOLAR'!$D$7:$AW$7, 'GEN-SOLAR'!$D$43:$AW$43), 0), IF($B38='Project List References'!$B$5, _xlfn.IFNA(_xlfn.XLOOKUP(G$2-$C38, 'GEN-BESS'!$D$7:$AW$7, 'GEN-BESS'!$D$43:$AW$43), 0), IF($B38='Project List References'!$B$6, _xlfn.IFNA(_xlfn.XLOOKUP(G$2-$C38, 'GEN-CARBON'!$D$7:$AW$7, 'GEN-CARBON'!$D$43:$AW$43), 0), IF($B38='Project List References'!$B$7, _xlfn.IFNA(_xlfn.XLOOKUP(G$2-$C38, 'SENS Coal'!$D$7:$AW$7, 'SENS Coal'!$D$43:$AW$43), 0), IF($B38='Project List References'!$B$8, _xlfn.IFNA(_xlfn.XLOOKUP(G$2-$C38,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H38" s="743" t="e">
        <f>IF($B38='Project List References'!$B$3, _xlfn.IFNA(_xlfn.XLOOKUP(H$2-$C38, 'GEN-CCGT'!$D$7:$AW$7, 'GEN-CCGT'!$D$43:$AW$43), 0), IF($B38='Project List References'!$B$4, _xlfn.IFNA(_xlfn.XLOOKUP(H$2-$C38, 'GEN-SOLAR'!$D$7:$AW$7, 'GEN-SOLAR'!$D$43:$AW$43), 0), IF($B38='Project List References'!$B$5, _xlfn.IFNA(_xlfn.XLOOKUP(H$2-$C38, 'GEN-BESS'!$D$7:$AW$7, 'GEN-BESS'!$D$43:$AW$43), 0), IF($B38='Project List References'!$B$6, _xlfn.IFNA(_xlfn.XLOOKUP(H$2-$C38, 'GEN-CARBON'!$D$7:$AW$7, 'GEN-CARBON'!$D$43:$AW$43), 0), IF($B38='Project List References'!$B$7, _xlfn.IFNA(_xlfn.XLOOKUP(H$2-$C38, 'SENS Coal'!$D$7:$AW$7, 'SENS Coal'!$D$43:$AW$43), 0), IF($B38='Project List References'!$B$8, _xlfn.IFNA(_xlfn.XLOOKUP(H$2-$C38,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I38" s="743" t="e">
        <f>IF($B38='Project List References'!$B$3, _xlfn.IFNA(_xlfn.XLOOKUP(I$2-$C38, 'GEN-CCGT'!$D$7:$AW$7, 'GEN-CCGT'!$D$43:$AW$43), 0), IF($B38='Project List References'!$B$4, _xlfn.IFNA(_xlfn.XLOOKUP(I$2-$C38, 'GEN-SOLAR'!$D$7:$AW$7, 'GEN-SOLAR'!$D$43:$AW$43), 0), IF($B38='Project List References'!$B$5, _xlfn.IFNA(_xlfn.XLOOKUP(I$2-$C38, 'GEN-BESS'!$D$7:$AW$7, 'GEN-BESS'!$D$43:$AW$43), 0), IF($B38='Project List References'!$B$6, _xlfn.IFNA(_xlfn.XLOOKUP(I$2-$C38, 'GEN-CARBON'!$D$7:$AW$7, 'GEN-CARBON'!$D$43:$AW$43), 0), IF($B38='Project List References'!$B$7, _xlfn.IFNA(_xlfn.XLOOKUP(I$2-$C38, 'SENS Coal'!$D$7:$AW$7, 'SENS Coal'!$D$43:$AW$43), 0), IF($B38='Project List References'!$B$8, _xlfn.IFNA(_xlfn.XLOOKUP(I$2-$C38,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J38" s="743" t="e">
        <f>IF($B38='Project List References'!$B$3, _xlfn.IFNA(_xlfn.XLOOKUP(J$2-$C38, 'GEN-CCGT'!$D$7:$AW$7, 'GEN-CCGT'!$D$43:$AW$43), 0), IF($B38='Project List References'!$B$4, _xlfn.IFNA(_xlfn.XLOOKUP(J$2-$C38, 'GEN-SOLAR'!$D$7:$AW$7, 'GEN-SOLAR'!$D$43:$AW$43), 0), IF($B38='Project List References'!$B$5, _xlfn.IFNA(_xlfn.XLOOKUP(J$2-$C38, 'GEN-BESS'!$D$7:$AW$7, 'GEN-BESS'!$D$43:$AW$43), 0), IF($B38='Project List References'!$B$6, _xlfn.IFNA(_xlfn.XLOOKUP(J$2-$C38, 'GEN-CARBON'!$D$7:$AW$7, 'GEN-CARBON'!$D$43:$AW$43), 0), IF($B38='Project List References'!$B$7, _xlfn.IFNA(_xlfn.XLOOKUP(J$2-$C38, 'SENS Coal'!$D$7:$AW$7, 'SENS Coal'!$D$43:$AW$43), 0), IF($B38='Project List References'!$B$8, _xlfn.IFNA(_xlfn.XLOOKUP(J$2-$C38,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K38" s="743" t="e">
        <f>IF($B38='Project List References'!$B$3, _xlfn.IFNA(_xlfn.XLOOKUP(K$2-$C38, 'GEN-CCGT'!$D$7:$AW$7, 'GEN-CCGT'!$D$43:$AW$43), 0), IF($B38='Project List References'!$B$4, _xlfn.IFNA(_xlfn.XLOOKUP(K$2-$C38, 'GEN-SOLAR'!$D$7:$AW$7, 'GEN-SOLAR'!$D$43:$AW$43), 0), IF($B38='Project List References'!$B$5, _xlfn.IFNA(_xlfn.XLOOKUP(K$2-$C38, 'GEN-BESS'!$D$7:$AW$7, 'GEN-BESS'!$D$43:$AW$43), 0), IF($B38='Project List References'!$B$6, _xlfn.IFNA(_xlfn.XLOOKUP(K$2-$C38, 'GEN-CARBON'!$D$7:$AW$7, 'GEN-CARBON'!$D$43:$AW$43), 0), IF($B38='Project List References'!$B$7, _xlfn.IFNA(_xlfn.XLOOKUP(K$2-$C38, 'SENS Coal'!$D$7:$AW$7, 'SENS Coal'!$D$43:$AW$43), 0), IF($B38='Project List References'!$B$8, _xlfn.IFNA(_xlfn.XLOOKUP(K$2-$C38,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L38" s="743" t="e">
        <f>IF($B38='Project List References'!$B$3, _xlfn.IFNA(_xlfn.XLOOKUP(L$2-$C38, 'GEN-CCGT'!$D$7:$AW$7, 'GEN-CCGT'!$D$43:$AW$43), 0), IF($B38='Project List References'!$B$4, _xlfn.IFNA(_xlfn.XLOOKUP(L$2-$C38, 'GEN-SOLAR'!$D$7:$AW$7, 'GEN-SOLAR'!$D$43:$AW$43), 0), IF($B38='Project List References'!$B$5, _xlfn.IFNA(_xlfn.XLOOKUP(L$2-$C38, 'GEN-BESS'!$D$7:$AW$7, 'GEN-BESS'!$D$43:$AW$43), 0), IF($B38='Project List References'!$B$6, _xlfn.IFNA(_xlfn.XLOOKUP(L$2-$C38, 'GEN-CARBON'!$D$7:$AW$7, 'GEN-CARBON'!$D$43:$AW$43), 0), IF($B38='Project List References'!$B$7, _xlfn.IFNA(_xlfn.XLOOKUP(L$2-$C38, 'SENS Coal'!$D$7:$AW$7, 'SENS Coal'!$D$43:$AW$43), 0), IF($B38='Project List References'!$B$8, _xlfn.IFNA(_xlfn.XLOOKUP(L$2-$C38,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M38" s="743" t="e">
        <f>IF($B38='Project List References'!$B$3, _xlfn.IFNA(_xlfn.XLOOKUP(M$2-$C38, 'GEN-CCGT'!$D$7:$AW$7, 'GEN-CCGT'!$D$43:$AW$43), 0), IF($B38='Project List References'!$B$4, _xlfn.IFNA(_xlfn.XLOOKUP(M$2-$C38, 'GEN-SOLAR'!$D$7:$AW$7, 'GEN-SOLAR'!$D$43:$AW$43), 0), IF($B38='Project List References'!$B$5, _xlfn.IFNA(_xlfn.XLOOKUP(M$2-$C38, 'GEN-BESS'!$D$7:$AW$7, 'GEN-BESS'!$D$43:$AW$43), 0), IF($B38='Project List References'!$B$6, _xlfn.IFNA(_xlfn.XLOOKUP(M$2-$C38, 'GEN-CARBON'!$D$7:$AW$7, 'GEN-CARBON'!$D$43:$AW$43), 0), IF($B38='Project List References'!$B$7, _xlfn.IFNA(_xlfn.XLOOKUP(M$2-$C38, 'SENS Coal'!$D$7:$AW$7, 'SENS Coal'!$D$43:$AW$43), 0), IF($B38='Project List References'!$B$8, _xlfn.IFNA(_xlfn.XLOOKUP(M$2-$C38,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N38" s="743" t="e">
        <f>IF($B38='Project List References'!$B$3, _xlfn.IFNA(_xlfn.XLOOKUP(N$2-$C38, 'GEN-CCGT'!$D$7:$AW$7, 'GEN-CCGT'!$D$43:$AW$43), 0), IF($B38='Project List References'!$B$4, _xlfn.IFNA(_xlfn.XLOOKUP(N$2-$C38, 'GEN-SOLAR'!$D$7:$AW$7, 'GEN-SOLAR'!$D$43:$AW$43), 0), IF($B38='Project List References'!$B$5, _xlfn.IFNA(_xlfn.XLOOKUP(N$2-$C38, 'GEN-BESS'!$D$7:$AW$7, 'GEN-BESS'!$D$43:$AW$43), 0), IF($B38='Project List References'!$B$6, _xlfn.IFNA(_xlfn.XLOOKUP(N$2-$C38, 'GEN-CARBON'!$D$7:$AW$7, 'GEN-CARBON'!$D$43:$AW$43), 0), IF($B38='Project List References'!$B$7, _xlfn.IFNA(_xlfn.XLOOKUP(N$2-$C38, 'SENS Coal'!$D$7:$AW$7, 'SENS Coal'!$D$43:$AW$43), 0), IF($B38='Project List References'!$B$8, _xlfn.IFNA(_xlfn.XLOOKUP(N$2-$C38,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O38" s="743" t="e">
        <f>IF($B38='Project List References'!$B$3, _xlfn.IFNA(_xlfn.XLOOKUP(O$2-$C38, 'GEN-CCGT'!$D$7:$AW$7, 'GEN-CCGT'!$D$43:$AW$43), 0), IF($B38='Project List References'!$B$4, _xlfn.IFNA(_xlfn.XLOOKUP(O$2-$C38, 'GEN-SOLAR'!$D$7:$AW$7, 'GEN-SOLAR'!$D$43:$AW$43), 0), IF($B38='Project List References'!$B$5, _xlfn.IFNA(_xlfn.XLOOKUP(O$2-$C38, 'GEN-BESS'!$D$7:$AW$7, 'GEN-BESS'!$D$43:$AW$43), 0), IF($B38='Project List References'!$B$6, _xlfn.IFNA(_xlfn.XLOOKUP(O$2-$C38, 'GEN-CARBON'!$D$7:$AW$7, 'GEN-CARBON'!$D$43:$AW$43), 0), IF($B38='Project List References'!$B$7, _xlfn.IFNA(_xlfn.XLOOKUP(O$2-$C38, 'SENS Coal'!$D$7:$AW$7, 'SENS Coal'!$D$43:$AW$43), 0), IF($B38='Project List References'!$B$8, _xlfn.IFNA(_xlfn.XLOOKUP(O$2-$C38,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P38" s="743" t="e">
        <f>IF($B38='Project List References'!$B$3, _xlfn.IFNA(_xlfn.XLOOKUP(P$2-$C38, 'GEN-CCGT'!$D$7:$AW$7, 'GEN-CCGT'!$D$43:$AW$43), 0), IF($B38='Project List References'!$B$4, _xlfn.IFNA(_xlfn.XLOOKUP(P$2-$C38, 'GEN-SOLAR'!$D$7:$AW$7, 'GEN-SOLAR'!$D$43:$AW$43), 0), IF($B38='Project List References'!$B$5, _xlfn.IFNA(_xlfn.XLOOKUP(P$2-$C38, 'GEN-BESS'!$D$7:$AW$7, 'GEN-BESS'!$D$43:$AW$43), 0), IF($B38='Project List References'!$B$6, _xlfn.IFNA(_xlfn.XLOOKUP(P$2-$C38, 'GEN-CARBON'!$D$7:$AW$7, 'GEN-CARBON'!$D$43:$AW$43), 0), IF($B38='Project List References'!$B$7, _xlfn.IFNA(_xlfn.XLOOKUP(P$2-$C38, 'SENS Coal'!$D$7:$AW$7, 'SENS Coal'!$D$43:$AW$43), 0), IF($B38='Project List References'!$B$8, _xlfn.IFNA(_xlfn.XLOOKUP(P$2-$C38,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Q38" s="743" t="e">
        <f>IF($B38='Project List References'!$B$3, _xlfn.IFNA(_xlfn.XLOOKUP(Q$2-$C38, 'GEN-CCGT'!$D$7:$AW$7, 'GEN-CCGT'!$D$43:$AW$43), 0), IF($B38='Project List References'!$B$4, _xlfn.IFNA(_xlfn.XLOOKUP(Q$2-$C38, 'GEN-SOLAR'!$D$7:$AW$7, 'GEN-SOLAR'!$D$43:$AW$43), 0), IF($B38='Project List References'!$B$5, _xlfn.IFNA(_xlfn.XLOOKUP(Q$2-$C38, 'GEN-BESS'!$D$7:$AW$7, 'GEN-BESS'!$D$43:$AW$43), 0), IF($B38='Project List References'!$B$6, _xlfn.IFNA(_xlfn.XLOOKUP(Q$2-$C38, 'GEN-CARBON'!$D$7:$AW$7, 'GEN-CARBON'!$D$43:$AW$43), 0), IF($B38='Project List References'!$B$7, _xlfn.IFNA(_xlfn.XLOOKUP(Q$2-$C38, 'SENS Coal'!$D$7:$AW$7, 'SENS Coal'!$D$43:$AW$43), 0), IF($B38='Project List References'!$B$8, _xlfn.IFNA(_xlfn.XLOOKUP(Q$2-$C38,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R38" s="743" t="e">
        <f>IF($B38='Project List References'!$B$3, _xlfn.IFNA(_xlfn.XLOOKUP(R$2-$C38, 'GEN-CCGT'!$D$7:$AW$7, 'GEN-CCGT'!$D$43:$AW$43), 0), IF($B38='Project List References'!$B$4, _xlfn.IFNA(_xlfn.XLOOKUP(R$2-$C38, 'GEN-SOLAR'!$D$7:$AW$7, 'GEN-SOLAR'!$D$43:$AW$43), 0), IF($B38='Project List References'!$B$5, _xlfn.IFNA(_xlfn.XLOOKUP(R$2-$C38, 'GEN-BESS'!$D$7:$AW$7, 'GEN-BESS'!$D$43:$AW$43), 0), IF($B38='Project List References'!$B$6, _xlfn.IFNA(_xlfn.XLOOKUP(R$2-$C38, 'GEN-CARBON'!$D$7:$AW$7, 'GEN-CARBON'!$D$43:$AW$43), 0), IF($B38='Project List References'!$B$7, _xlfn.IFNA(_xlfn.XLOOKUP(R$2-$C38, 'SENS Coal'!$D$7:$AW$7, 'SENS Coal'!$D$43:$AW$43), 0), IF($B38='Project List References'!$B$8, _xlfn.IFNA(_xlfn.XLOOKUP(R$2-$C38,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S38" s="743" t="e">
        <f>IF($B38='Project List References'!$B$3, _xlfn.IFNA(_xlfn.XLOOKUP(S$2-$C38, 'GEN-CCGT'!$D$7:$AW$7, 'GEN-CCGT'!$D$43:$AW$43), 0), IF($B38='Project List References'!$B$4, _xlfn.IFNA(_xlfn.XLOOKUP(S$2-$C38, 'GEN-SOLAR'!$D$7:$AW$7, 'GEN-SOLAR'!$D$43:$AW$43), 0), IF($B38='Project List References'!$B$5, _xlfn.IFNA(_xlfn.XLOOKUP(S$2-$C38, 'GEN-BESS'!$D$7:$AW$7, 'GEN-BESS'!$D$43:$AW$43), 0), IF($B38='Project List References'!$B$6, _xlfn.IFNA(_xlfn.XLOOKUP(S$2-$C38, 'GEN-CARBON'!$D$7:$AW$7, 'GEN-CARBON'!$D$43:$AW$43), 0), IF($B38='Project List References'!$B$7, _xlfn.IFNA(_xlfn.XLOOKUP(S$2-$C38, 'SENS Coal'!$D$7:$AW$7, 'SENS Coal'!$D$43:$AW$43), 0), IF($B38='Project List References'!$B$8, _xlfn.IFNA(_xlfn.XLOOKUP(S$2-$C38,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T38" s="743" t="e">
        <f>IF($B38='Project List References'!$B$3, _xlfn.IFNA(_xlfn.XLOOKUP(T$2-$C38, 'GEN-CCGT'!$D$7:$AW$7, 'GEN-CCGT'!$D$43:$AW$43), 0), IF($B38='Project List References'!$B$4, _xlfn.IFNA(_xlfn.XLOOKUP(T$2-$C38, 'GEN-SOLAR'!$D$7:$AW$7, 'GEN-SOLAR'!$D$43:$AW$43), 0), IF($B38='Project List References'!$B$5, _xlfn.IFNA(_xlfn.XLOOKUP(T$2-$C38, 'GEN-BESS'!$D$7:$AW$7, 'GEN-BESS'!$D$43:$AW$43), 0), IF($B38='Project List References'!$B$6, _xlfn.IFNA(_xlfn.XLOOKUP(T$2-$C38, 'GEN-CARBON'!$D$7:$AW$7, 'GEN-CARBON'!$D$43:$AW$43), 0), IF($B38='Project List References'!$B$7, _xlfn.IFNA(_xlfn.XLOOKUP(T$2-$C38, 'SENS Coal'!$D$7:$AW$7, 'SENS Coal'!$D$43:$AW$43), 0), IF($B38='Project List References'!$B$8, _xlfn.IFNA(_xlfn.XLOOKUP(T$2-$C38, 'SENS Tires'!$D$7:$AW$7, 'SENS Tires'!$D$43:$AW$43),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</row>
    <row r="39" spans="1:20">
      <c r="A39" s="655" t="str">
        <f>IF(ISBLANK('Project Master Sheet'!A39)=FALSE, 'Project Master Sheet'!A39, "")</f>
        <v/>
      </c>
      <c r="B39" s="655" t="str">
        <f>_xlfn.IFNA(_xlfn.XLOOKUP(A39, 'Project Master Sheet'!A:A, 'Project Master Sheet'!D:D), "")</f>
        <v/>
      </c>
      <c r="C39" s="655" t="e">
        <f>_xlfn.XLOOKUP('Project OPEX'!A39, 'Project Master Sheet'!A:A, 'Project Master Sheet'!I:I)</f>
        <v>#N/A</v>
      </c>
      <c r="E39" s="743" t="e">
        <f>IF($B39='Project List References'!$B$3, _xlfn.IFNA(_xlfn.XLOOKUP(E$2-$C39, 'GEN-CCGT'!$D$7:$AW$7, 'GEN-CCGT'!$D$43:$AW$43), 0), IF($B39='Project List References'!$B$4, _xlfn.IFNA(_xlfn.XLOOKUP(E$2-$C39, 'GEN-SOLAR'!$D$7:$AW$7, 'GEN-SOLAR'!$D$43:$AW$43), 0), IF($B39='Project List References'!$B$5, _xlfn.IFNA(_xlfn.XLOOKUP(E$2-$C39, 'GEN-BESS'!$D$7:$AW$7, 'GEN-BESS'!$D$43:$AW$43), 0), IF($B39='Project List References'!$B$6, _xlfn.IFNA(_xlfn.XLOOKUP(E$2-$C39, 'GEN-CARBON'!$D$7:$AW$7, 'GEN-CARBON'!$D$43:$AW$43), 0), IF($B39='Project List References'!$B$7, _xlfn.IFNA(_xlfn.XLOOKUP(E$2-$C39, 'SENS Coal'!$D$7:$AW$7, 'SENS Coal'!$D$43:$AW$43), 0), IF($B39='Project List References'!$B$8, _xlfn.IFNA(_xlfn.XLOOKUP(E$2-$C39,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F39" s="743" t="e">
        <f>IF($B39='Project List References'!$B$3, _xlfn.IFNA(_xlfn.XLOOKUP(F$2-$C39, 'GEN-CCGT'!$D$7:$AW$7, 'GEN-CCGT'!$D$43:$AW$43), 0), IF($B39='Project List References'!$B$4, _xlfn.IFNA(_xlfn.XLOOKUP(F$2-$C39, 'GEN-SOLAR'!$D$7:$AW$7, 'GEN-SOLAR'!$D$43:$AW$43), 0), IF($B39='Project List References'!$B$5, _xlfn.IFNA(_xlfn.XLOOKUP(F$2-$C39, 'GEN-BESS'!$D$7:$AW$7, 'GEN-BESS'!$D$43:$AW$43), 0), IF($B39='Project List References'!$B$6, _xlfn.IFNA(_xlfn.XLOOKUP(F$2-$C39, 'GEN-CARBON'!$D$7:$AW$7, 'GEN-CARBON'!$D$43:$AW$43), 0), IF($B39='Project List References'!$B$7, _xlfn.IFNA(_xlfn.XLOOKUP(F$2-$C39, 'SENS Coal'!$D$7:$AW$7, 'SENS Coal'!$D$43:$AW$43), 0), IF($B39='Project List References'!$B$8, _xlfn.IFNA(_xlfn.XLOOKUP(F$2-$C39,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G39" s="743" t="e">
        <f>IF($B39='Project List References'!$B$3, _xlfn.IFNA(_xlfn.XLOOKUP(G$2-$C39, 'GEN-CCGT'!$D$7:$AW$7, 'GEN-CCGT'!$D$43:$AW$43), 0), IF($B39='Project List References'!$B$4, _xlfn.IFNA(_xlfn.XLOOKUP(G$2-$C39, 'GEN-SOLAR'!$D$7:$AW$7, 'GEN-SOLAR'!$D$43:$AW$43), 0), IF($B39='Project List References'!$B$5, _xlfn.IFNA(_xlfn.XLOOKUP(G$2-$C39, 'GEN-BESS'!$D$7:$AW$7, 'GEN-BESS'!$D$43:$AW$43), 0), IF($B39='Project List References'!$B$6, _xlfn.IFNA(_xlfn.XLOOKUP(G$2-$C39, 'GEN-CARBON'!$D$7:$AW$7, 'GEN-CARBON'!$D$43:$AW$43), 0), IF($B39='Project List References'!$B$7, _xlfn.IFNA(_xlfn.XLOOKUP(G$2-$C39, 'SENS Coal'!$D$7:$AW$7, 'SENS Coal'!$D$43:$AW$43), 0), IF($B39='Project List References'!$B$8, _xlfn.IFNA(_xlfn.XLOOKUP(G$2-$C39,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H39" s="743" t="e">
        <f>IF($B39='Project List References'!$B$3, _xlfn.IFNA(_xlfn.XLOOKUP(H$2-$C39, 'GEN-CCGT'!$D$7:$AW$7, 'GEN-CCGT'!$D$43:$AW$43), 0), IF($B39='Project List References'!$B$4, _xlfn.IFNA(_xlfn.XLOOKUP(H$2-$C39, 'GEN-SOLAR'!$D$7:$AW$7, 'GEN-SOLAR'!$D$43:$AW$43), 0), IF($B39='Project List References'!$B$5, _xlfn.IFNA(_xlfn.XLOOKUP(H$2-$C39, 'GEN-BESS'!$D$7:$AW$7, 'GEN-BESS'!$D$43:$AW$43), 0), IF($B39='Project List References'!$B$6, _xlfn.IFNA(_xlfn.XLOOKUP(H$2-$C39, 'GEN-CARBON'!$D$7:$AW$7, 'GEN-CARBON'!$D$43:$AW$43), 0), IF($B39='Project List References'!$B$7, _xlfn.IFNA(_xlfn.XLOOKUP(H$2-$C39, 'SENS Coal'!$D$7:$AW$7, 'SENS Coal'!$D$43:$AW$43), 0), IF($B39='Project List References'!$B$8, _xlfn.IFNA(_xlfn.XLOOKUP(H$2-$C39,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I39" s="743" t="e">
        <f>IF($B39='Project List References'!$B$3, _xlfn.IFNA(_xlfn.XLOOKUP(I$2-$C39, 'GEN-CCGT'!$D$7:$AW$7, 'GEN-CCGT'!$D$43:$AW$43), 0), IF($B39='Project List References'!$B$4, _xlfn.IFNA(_xlfn.XLOOKUP(I$2-$C39, 'GEN-SOLAR'!$D$7:$AW$7, 'GEN-SOLAR'!$D$43:$AW$43), 0), IF($B39='Project List References'!$B$5, _xlfn.IFNA(_xlfn.XLOOKUP(I$2-$C39, 'GEN-BESS'!$D$7:$AW$7, 'GEN-BESS'!$D$43:$AW$43), 0), IF($B39='Project List References'!$B$6, _xlfn.IFNA(_xlfn.XLOOKUP(I$2-$C39, 'GEN-CARBON'!$D$7:$AW$7, 'GEN-CARBON'!$D$43:$AW$43), 0), IF($B39='Project List References'!$B$7, _xlfn.IFNA(_xlfn.XLOOKUP(I$2-$C39, 'SENS Coal'!$D$7:$AW$7, 'SENS Coal'!$D$43:$AW$43), 0), IF($B39='Project List References'!$B$8, _xlfn.IFNA(_xlfn.XLOOKUP(I$2-$C39,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J39" s="743" t="e">
        <f>IF($B39='Project List References'!$B$3, _xlfn.IFNA(_xlfn.XLOOKUP(J$2-$C39, 'GEN-CCGT'!$D$7:$AW$7, 'GEN-CCGT'!$D$43:$AW$43), 0), IF($B39='Project List References'!$B$4, _xlfn.IFNA(_xlfn.XLOOKUP(J$2-$C39, 'GEN-SOLAR'!$D$7:$AW$7, 'GEN-SOLAR'!$D$43:$AW$43), 0), IF($B39='Project List References'!$B$5, _xlfn.IFNA(_xlfn.XLOOKUP(J$2-$C39, 'GEN-BESS'!$D$7:$AW$7, 'GEN-BESS'!$D$43:$AW$43), 0), IF($B39='Project List References'!$B$6, _xlfn.IFNA(_xlfn.XLOOKUP(J$2-$C39, 'GEN-CARBON'!$D$7:$AW$7, 'GEN-CARBON'!$D$43:$AW$43), 0), IF($B39='Project List References'!$B$7, _xlfn.IFNA(_xlfn.XLOOKUP(J$2-$C39, 'SENS Coal'!$D$7:$AW$7, 'SENS Coal'!$D$43:$AW$43), 0), IF($B39='Project List References'!$B$8, _xlfn.IFNA(_xlfn.XLOOKUP(J$2-$C39,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K39" s="743" t="e">
        <f>IF($B39='Project List References'!$B$3, _xlfn.IFNA(_xlfn.XLOOKUP(K$2-$C39, 'GEN-CCGT'!$D$7:$AW$7, 'GEN-CCGT'!$D$43:$AW$43), 0), IF($B39='Project List References'!$B$4, _xlfn.IFNA(_xlfn.XLOOKUP(K$2-$C39, 'GEN-SOLAR'!$D$7:$AW$7, 'GEN-SOLAR'!$D$43:$AW$43), 0), IF($B39='Project List References'!$B$5, _xlfn.IFNA(_xlfn.XLOOKUP(K$2-$C39, 'GEN-BESS'!$D$7:$AW$7, 'GEN-BESS'!$D$43:$AW$43), 0), IF($B39='Project List References'!$B$6, _xlfn.IFNA(_xlfn.XLOOKUP(K$2-$C39, 'GEN-CARBON'!$D$7:$AW$7, 'GEN-CARBON'!$D$43:$AW$43), 0), IF($B39='Project List References'!$B$7, _xlfn.IFNA(_xlfn.XLOOKUP(K$2-$C39, 'SENS Coal'!$D$7:$AW$7, 'SENS Coal'!$D$43:$AW$43), 0), IF($B39='Project List References'!$B$8, _xlfn.IFNA(_xlfn.XLOOKUP(K$2-$C39,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L39" s="743" t="e">
        <f>IF($B39='Project List References'!$B$3, _xlfn.IFNA(_xlfn.XLOOKUP(L$2-$C39, 'GEN-CCGT'!$D$7:$AW$7, 'GEN-CCGT'!$D$43:$AW$43), 0), IF($B39='Project List References'!$B$4, _xlfn.IFNA(_xlfn.XLOOKUP(L$2-$C39, 'GEN-SOLAR'!$D$7:$AW$7, 'GEN-SOLAR'!$D$43:$AW$43), 0), IF($B39='Project List References'!$B$5, _xlfn.IFNA(_xlfn.XLOOKUP(L$2-$C39, 'GEN-BESS'!$D$7:$AW$7, 'GEN-BESS'!$D$43:$AW$43), 0), IF($B39='Project List References'!$B$6, _xlfn.IFNA(_xlfn.XLOOKUP(L$2-$C39, 'GEN-CARBON'!$D$7:$AW$7, 'GEN-CARBON'!$D$43:$AW$43), 0), IF($B39='Project List References'!$B$7, _xlfn.IFNA(_xlfn.XLOOKUP(L$2-$C39, 'SENS Coal'!$D$7:$AW$7, 'SENS Coal'!$D$43:$AW$43), 0), IF($B39='Project List References'!$B$8, _xlfn.IFNA(_xlfn.XLOOKUP(L$2-$C39,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M39" s="743" t="e">
        <f>IF($B39='Project List References'!$B$3, _xlfn.IFNA(_xlfn.XLOOKUP(M$2-$C39, 'GEN-CCGT'!$D$7:$AW$7, 'GEN-CCGT'!$D$43:$AW$43), 0), IF($B39='Project List References'!$B$4, _xlfn.IFNA(_xlfn.XLOOKUP(M$2-$C39, 'GEN-SOLAR'!$D$7:$AW$7, 'GEN-SOLAR'!$D$43:$AW$43), 0), IF($B39='Project List References'!$B$5, _xlfn.IFNA(_xlfn.XLOOKUP(M$2-$C39, 'GEN-BESS'!$D$7:$AW$7, 'GEN-BESS'!$D$43:$AW$43), 0), IF($B39='Project List References'!$B$6, _xlfn.IFNA(_xlfn.XLOOKUP(M$2-$C39, 'GEN-CARBON'!$D$7:$AW$7, 'GEN-CARBON'!$D$43:$AW$43), 0), IF($B39='Project List References'!$B$7, _xlfn.IFNA(_xlfn.XLOOKUP(M$2-$C39, 'SENS Coal'!$D$7:$AW$7, 'SENS Coal'!$D$43:$AW$43), 0), IF($B39='Project List References'!$B$8, _xlfn.IFNA(_xlfn.XLOOKUP(M$2-$C39,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N39" s="743" t="e">
        <f>IF($B39='Project List References'!$B$3, _xlfn.IFNA(_xlfn.XLOOKUP(N$2-$C39, 'GEN-CCGT'!$D$7:$AW$7, 'GEN-CCGT'!$D$43:$AW$43), 0), IF($B39='Project List References'!$B$4, _xlfn.IFNA(_xlfn.XLOOKUP(N$2-$C39, 'GEN-SOLAR'!$D$7:$AW$7, 'GEN-SOLAR'!$D$43:$AW$43), 0), IF($B39='Project List References'!$B$5, _xlfn.IFNA(_xlfn.XLOOKUP(N$2-$C39, 'GEN-BESS'!$D$7:$AW$7, 'GEN-BESS'!$D$43:$AW$43), 0), IF($B39='Project List References'!$B$6, _xlfn.IFNA(_xlfn.XLOOKUP(N$2-$C39, 'GEN-CARBON'!$D$7:$AW$7, 'GEN-CARBON'!$D$43:$AW$43), 0), IF($B39='Project List References'!$B$7, _xlfn.IFNA(_xlfn.XLOOKUP(N$2-$C39, 'SENS Coal'!$D$7:$AW$7, 'SENS Coal'!$D$43:$AW$43), 0), IF($B39='Project List References'!$B$8, _xlfn.IFNA(_xlfn.XLOOKUP(N$2-$C39,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O39" s="743" t="e">
        <f>IF($B39='Project List References'!$B$3, _xlfn.IFNA(_xlfn.XLOOKUP(O$2-$C39, 'GEN-CCGT'!$D$7:$AW$7, 'GEN-CCGT'!$D$43:$AW$43), 0), IF($B39='Project List References'!$B$4, _xlfn.IFNA(_xlfn.XLOOKUP(O$2-$C39, 'GEN-SOLAR'!$D$7:$AW$7, 'GEN-SOLAR'!$D$43:$AW$43), 0), IF($B39='Project List References'!$B$5, _xlfn.IFNA(_xlfn.XLOOKUP(O$2-$C39, 'GEN-BESS'!$D$7:$AW$7, 'GEN-BESS'!$D$43:$AW$43), 0), IF($B39='Project List References'!$B$6, _xlfn.IFNA(_xlfn.XLOOKUP(O$2-$C39, 'GEN-CARBON'!$D$7:$AW$7, 'GEN-CARBON'!$D$43:$AW$43), 0), IF($B39='Project List References'!$B$7, _xlfn.IFNA(_xlfn.XLOOKUP(O$2-$C39, 'SENS Coal'!$D$7:$AW$7, 'SENS Coal'!$D$43:$AW$43), 0), IF($B39='Project List References'!$B$8, _xlfn.IFNA(_xlfn.XLOOKUP(O$2-$C39,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P39" s="743" t="e">
        <f>IF($B39='Project List References'!$B$3, _xlfn.IFNA(_xlfn.XLOOKUP(P$2-$C39, 'GEN-CCGT'!$D$7:$AW$7, 'GEN-CCGT'!$D$43:$AW$43), 0), IF($B39='Project List References'!$B$4, _xlfn.IFNA(_xlfn.XLOOKUP(P$2-$C39, 'GEN-SOLAR'!$D$7:$AW$7, 'GEN-SOLAR'!$D$43:$AW$43), 0), IF($B39='Project List References'!$B$5, _xlfn.IFNA(_xlfn.XLOOKUP(P$2-$C39, 'GEN-BESS'!$D$7:$AW$7, 'GEN-BESS'!$D$43:$AW$43), 0), IF($B39='Project List References'!$B$6, _xlfn.IFNA(_xlfn.XLOOKUP(P$2-$C39, 'GEN-CARBON'!$D$7:$AW$7, 'GEN-CARBON'!$D$43:$AW$43), 0), IF($B39='Project List References'!$B$7, _xlfn.IFNA(_xlfn.XLOOKUP(P$2-$C39, 'SENS Coal'!$D$7:$AW$7, 'SENS Coal'!$D$43:$AW$43), 0), IF($B39='Project List References'!$B$8, _xlfn.IFNA(_xlfn.XLOOKUP(P$2-$C39,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Q39" s="743" t="e">
        <f>IF($B39='Project List References'!$B$3, _xlfn.IFNA(_xlfn.XLOOKUP(Q$2-$C39, 'GEN-CCGT'!$D$7:$AW$7, 'GEN-CCGT'!$D$43:$AW$43), 0), IF($B39='Project List References'!$B$4, _xlfn.IFNA(_xlfn.XLOOKUP(Q$2-$C39, 'GEN-SOLAR'!$D$7:$AW$7, 'GEN-SOLAR'!$D$43:$AW$43), 0), IF($B39='Project List References'!$B$5, _xlfn.IFNA(_xlfn.XLOOKUP(Q$2-$C39, 'GEN-BESS'!$D$7:$AW$7, 'GEN-BESS'!$D$43:$AW$43), 0), IF($B39='Project List References'!$B$6, _xlfn.IFNA(_xlfn.XLOOKUP(Q$2-$C39, 'GEN-CARBON'!$D$7:$AW$7, 'GEN-CARBON'!$D$43:$AW$43), 0), IF($B39='Project List References'!$B$7, _xlfn.IFNA(_xlfn.XLOOKUP(Q$2-$C39, 'SENS Coal'!$D$7:$AW$7, 'SENS Coal'!$D$43:$AW$43), 0), IF($B39='Project List References'!$B$8, _xlfn.IFNA(_xlfn.XLOOKUP(Q$2-$C39,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R39" s="743" t="e">
        <f>IF($B39='Project List References'!$B$3, _xlfn.IFNA(_xlfn.XLOOKUP(R$2-$C39, 'GEN-CCGT'!$D$7:$AW$7, 'GEN-CCGT'!$D$43:$AW$43), 0), IF($B39='Project List References'!$B$4, _xlfn.IFNA(_xlfn.XLOOKUP(R$2-$C39, 'GEN-SOLAR'!$D$7:$AW$7, 'GEN-SOLAR'!$D$43:$AW$43), 0), IF($B39='Project List References'!$B$5, _xlfn.IFNA(_xlfn.XLOOKUP(R$2-$C39, 'GEN-BESS'!$D$7:$AW$7, 'GEN-BESS'!$D$43:$AW$43), 0), IF($B39='Project List References'!$B$6, _xlfn.IFNA(_xlfn.XLOOKUP(R$2-$C39, 'GEN-CARBON'!$D$7:$AW$7, 'GEN-CARBON'!$D$43:$AW$43), 0), IF($B39='Project List References'!$B$7, _xlfn.IFNA(_xlfn.XLOOKUP(R$2-$C39, 'SENS Coal'!$D$7:$AW$7, 'SENS Coal'!$D$43:$AW$43), 0), IF($B39='Project List References'!$B$8, _xlfn.IFNA(_xlfn.XLOOKUP(R$2-$C39,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S39" s="743" t="e">
        <f>IF($B39='Project List References'!$B$3, _xlfn.IFNA(_xlfn.XLOOKUP(S$2-$C39, 'GEN-CCGT'!$D$7:$AW$7, 'GEN-CCGT'!$D$43:$AW$43), 0), IF($B39='Project List References'!$B$4, _xlfn.IFNA(_xlfn.XLOOKUP(S$2-$C39, 'GEN-SOLAR'!$D$7:$AW$7, 'GEN-SOLAR'!$D$43:$AW$43), 0), IF($B39='Project List References'!$B$5, _xlfn.IFNA(_xlfn.XLOOKUP(S$2-$C39, 'GEN-BESS'!$D$7:$AW$7, 'GEN-BESS'!$D$43:$AW$43), 0), IF($B39='Project List References'!$B$6, _xlfn.IFNA(_xlfn.XLOOKUP(S$2-$C39, 'GEN-CARBON'!$D$7:$AW$7, 'GEN-CARBON'!$D$43:$AW$43), 0), IF($B39='Project List References'!$B$7, _xlfn.IFNA(_xlfn.XLOOKUP(S$2-$C39, 'SENS Coal'!$D$7:$AW$7, 'SENS Coal'!$D$43:$AW$43), 0), IF($B39='Project List References'!$B$8, _xlfn.IFNA(_xlfn.XLOOKUP(S$2-$C39,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T39" s="743" t="e">
        <f>IF($B39='Project List References'!$B$3, _xlfn.IFNA(_xlfn.XLOOKUP(T$2-$C39, 'GEN-CCGT'!$D$7:$AW$7, 'GEN-CCGT'!$D$43:$AW$43), 0), IF($B39='Project List References'!$B$4, _xlfn.IFNA(_xlfn.XLOOKUP(T$2-$C39, 'GEN-SOLAR'!$D$7:$AW$7, 'GEN-SOLAR'!$D$43:$AW$43), 0), IF($B39='Project List References'!$B$5, _xlfn.IFNA(_xlfn.XLOOKUP(T$2-$C39, 'GEN-BESS'!$D$7:$AW$7, 'GEN-BESS'!$D$43:$AW$43), 0), IF($B39='Project List References'!$B$6, _xlfn.IFNA(_xlfn.XLOOKUP(T$2-$C39, 'GEN-CARBON'!$D$7:$AW$7, 'GEN-CARBON'!$D$43:$AW$43), 0), IF($B39='Project List References'!$B$7, _xlfn.IFNA(_xlfn.XLOOKUP(T$2-$C39, 'SENS Coal'!$D$7:$AW$7, 'SENS Coal'!$D$43:$AW$43), 0), IF($B39='Project List References'!$B$8, _xlfn.IFNA(_xlfn.XLOOKUP(T$2-$C39, 'SENS Tires'!$D$7:$AW$7, 'SENS Tires'!$D$43:$AW$43),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</row>
    <row r="40" spans="1:20">
      <c r="A40" s="655" t="str">
        <f>IF(ISBLANK('Project Master Sheet'!A40)=FALSE, 'Project Master Sheet'!A40, "")</f>
        <v/>
      </c>
      <c r="B40" s="655" t="str">
        <f>_xlfn.IFNA(_xlfn.XLOOKUP(A40, 'Project Master Sheet'!A:A, 'Project Master Sheet'!D:D), "")</f>
        <v/>
      </c>
      <c r="C40" s="655" t="e">
        <f>_xlfn.XLOOKUP('Project OPEX'!A40, 'Project Master Sheet'!A:A, 'Project Master Sheet'!I:I)</f>
        <v>#N/A</v>
      </c>
      <c r="E40" s="743" t="e">
        <f>IF($B40='Project List References'!$B$3, _xlfn.IFNA(_xlfn.XLOOKUP(E$2-$C40, 'GEN-CCGT'!$D$7:$AW$7, 'GEN-CCGT'!$D$43:$AW$43), 0), IF($B40='Project List References'!$B$4, _xlfn.IFNA(_xlfn.XLOOKUP(E$2-$C40, 'GEN-SOLAR'!$D$7:$AW$7, 'GEN-SOLAR'!$D$43:$AW$43), 0), IF($B40='Project List References'!$B$5, _xlfn.IFNA(_xlfn.XLOOKUP(E$2-$C40, 'GEN-BESS'!$D$7:$AW$7, 'GEN-BESS'!$D$43:$AW$43), 0), IF($B40='Project List References'!$B$6, _xlfn.IFNA(_xlfn.XLOOKUP(E$2-$C40, 'GEN-CARBON'!$D$7:$AW$7, 'GEN-CARBON'!$D$43:$AW$43), 0), IF($B40='Project List References'!$B$7, _xlfn.IFNA(_xlfn.XLOOKUP(E$2-$C40, 'SENS Coal'!$D$7:$AW$7, 'SENS Coal'!$D$43:$AW$43), 0), IF($B40='Project List References'!$B$8, _xlfn.IFNA(_xlfn.XLOOKUP(E$2-$C40,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F40" s="743" t="e">
        <f>IF($B40='Project List References'!$B$3, _xlfn.IFNA(_xlfn.XLOOKUP(F$2-$C40, 'GEN-CCGT'!$D$7:$AW$7, 'GEN-CCGT'!$D$43:$AW$43), 0), IF($B40='Project List References'!$B$4, _xlfn.IFNA(_xlfn.XLOOKUP(F$2-$C40, 'GEN-SOLAR'!$D$7:$AW$7, 'GEN-SOLAR'!$D$43:$AW$43), 0), IF($B40='Project List References'!$B$5, _xlfn.IFNA(_xlfn.XLOOKUP(F$2-$C40, 'GEN-BESS'!$D$7:$AW$7, 'GEN-BESS'!$D$43:$AW$43), 0), IF($B40='Project List References'!$B$6, _xlfn.IFNA(_xlfn.XLOOKUP(F$2-$C40, 'GEN-CARBON'!$D$7:$AW$7, 'GEN-CARBON'!$D$43:$AW$43), 0), IF($B40='Project List References'!$B$7, _xlfn.IFNA(_xlfn.XLOOKUP(F$2-$C40, 'SENS Coal'!$D$7:$AW$7, 'SENS Coal'!$D$43:$AW$43), 0), IF($B40='Project List References'!$B$8, _xlfn.IFNA(_xlfn.XLOOKUP(F$2-$C40,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G40" s="743" t="e">
        <f>IF($B40='Project List References'!$B$3, _xlfn.IFNA(_xlfn.XLOOKUP(G$2-$C40, 'GEN-CCGT'!$D$7:$AW$7, 'GEN-CCGT'!$D$43:$AW$43), 0), IF($B40='Project List References'!$B$4, _xlfn.IFNA(_xlfn.XLOOKUP(G$2-$C40, 'GEN-SOLAR'!$D$7:$AW$7, 'GEN-SOLAR'!$D$43:$AW$43), 0), IF($B40='Project List References'!$B$5, _xlfn.IFNA(_xlfn.XLOOKUP(G$2-$C40, 'GEN-BESS'!$D$7:$AW$7, 'GEN-BESS'!$D$43:$AW$43), 0), IF($B40='Project List References'!$B$6, _xlfn.IFNA(_xlfn.XLOOKUP(G$2-$C40, 'GEN-CARBON'!$D$7:$AW$7, 'GEN-CARBON'!$D$43:$AW$43), 0), IF($B40='Project List References'!$B$7, _xlfn.IFNA(_xlfn.XLOOKUP(G$2-$C40, 'SENS Coal'!$D$7:$AW$7, 'SENS Coal'!$D$43:$AW$43), 0), IF($B40='Project List References'!$B$8, _xlfn.IFNA(_xlfn.XLOOKUP(G$2-$C40,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H40" s="743" t="e">
        <f>IF($B40='Project List References'!$B$3, _xlfn.IFNA(_xlfn.XLOOKUP(H$2-$C40, 'GEN-CCGT'!$D$7:$AW$7, 'GEN-CCGT'!$D$43:$AW$43), 0), IF($B40='Project List References'!$B$4, _xlfn.IFNA(_xlfn.XLOOKUP(H$2-$C40, 'GEN-SOLAR'!$D$7:$AW$7, 'GEN-SOLAR'!$D$43:$AW$43), 0), IF($B40='Project List References'!$B$5, _xlfn.IFNA(_xlfn.XLOOKUP(H$2-$C40, 'GEN-BESS'!$D$7:$AW$7, 'GEN-BESS'!$D$43:$AW$43), 0), IF($B40='Project List References'!$B$6, _xlfn.IFNA(_xlfn.XLOOKUP(H$2-$C40, 'GEN-CARBON'!$D$7:$AW$7, 'GEN-CARBON'!$D$43:$AW$43), 0), IF($B40='Project List References'!$B$7, _xlfn.IFNA(_xlfn.XLOOKUP(H$2-$C40, 'SENS Coal'!$D$7:$AW$7, 'SENS Coal'!$D$43:$AW$43), 0), IF($B40='Project List References'!$B$8, _xlfn.IFNA(_xlfn.XLOOKUP(H$2-$C40,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I40" s="743" t="e">
        <f>IF($B40='Project List References'!$B$3, _xlfn.IFNA(_xlfn.XLOOKUP(I$2-$C40, 'GEN-CCGT'!$D$7:$AW$7, 'GEN-CCGT'!$D$43:$AW$43), 0), IF($B40='Project List References'!$B$4, _xlfn.IFNA(_xlfn.XLOOKUP(I$2-$C40, 'GEN-SOLAR'!$D$7:$AW$7, 'GEN-SOLAR'!$D$43:$AW$43), 0), IF($B40='Project List References'!$B$5, _xlfn.IFNA(_xlfn.XLOOKUP(I$2-$C40, 'GEN-BESS'!$D$7:$AW$7, 'GEN-BESS'!$D$43:$AW$43), 0), IF($B40='Project List References'!$B$6, _xlfn.IFNA(_xlfn.XLOOKUP(I$2-$C40, 'GEN-CARBON'!$D$7:$AW$7, 'GEN-CARBON'!$D$43:$AW$43), 0), IF($B40='Project List References'!$B$7, _xlfn.IFNA(_xlfn.XLOOKUP(I$2-$C40, 'SENS Coal'!$D$7:$AW$7, 'SENS Coal'!$D$43:$AW$43), 0), IF($B40='Project List References'!$B$8, _xlfn.IFNA(_xlfn.XLOOKUP(I$2-$C40,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J40" s="743" t="e">
        <f>IF($B40='Project List References'!$B$3, _xlfn.IFNA(_xlfn.XLOOKUP(J$2-$C40, 'GEN-CCGT'!$D$7:$AW$7, 'GEN-CCGT'!$D$43:$AW$43), 0), IF($B40='Project List References'!$B$4, _xlfn.IFNA(_xlfn.XLOOKUP(J$2-$C40, 'GEN-SOLAR'!$D$7:$AW$7, 'GEN-SOLAR'!$D$43:$AW$43), 0), IF($B40='Project List References'!$B$5, _xlfn.IFNA(_xlfn.XLOOKUP(J$2-$C40, 'GEN-BESS'!$D$7:$AW$7, 'GEN-BESS'!$D$43:$AW$43), 0), IF($B40='Project List References'!$B$6, _xlfn.IFNA(_xlfn.XLOOKUP(J$2-$C40, 'GEN-CARBON'!$D$7:$AW$7, 'GEN-CARBON'!$D$43:$AW$43), 0), IF($B40='Project List References'!$B$7, _xlfn.IFNA(_xlfn.XLOOKUP(J$2-$C40, 'SENS Coal'!$D$7:$AW$7, 'SENS Coal'!$D$43:$AW$43), 0), IF($B40='Project List References'!$B$8, _xlfn.IFNA(_xlfn.XLOOKUP(J$2-$C40,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K40" s="743" t="e">
        <f>IF($B40='Project List References'!$B$3, _xlfn.IFNA(_xlfn.XLOOKUP(K$2-$C40, 'GEN-CCGT'!$D$7:$AW$7, 'GEN-CCGT'!$D$43:$AW$43), 0), IF($B40='Project List References'!$B$4, _xlfn.IFNA(_xlfn.XLOOKUP(K$2-$C40, 'GEN-SOLAR'!$D$7:$AW$7, 'GEN-SOLAR'!$D$43:$AW$43), 0), IF($B40='Project List References'!$B$5, _xlfn.IFNA(_xlfn.XLOOKUP(K$2-$C40, 'GEN-BESS'!$D$7:$AW$7, 'GEN-BESS'!$D$43:$AW$43), 0), IF($B40='Project List References'!$B$6, _xlfn.IFNA(_xlfn.XLOOKUP(K$2-$C40, 'GEN-CARBON'!$D$7:$AW$7, 'GEN-CARBON'!$D$43:$AW$43), 0), IF($B40='Project List References'!$B$7, _xlfn.IFNA(_xlfn.XLOOKUP(K$2-$C40, 'SENS Coal'!$D$7:$AW$7, 'SENS Coal'!$D$43:$AW$43), 0), IF($B40='Project List References'!$B$8, _xlfn.IFNA(_xlfn.XLOOKUP(K$2-$C40,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L40" s="743" t="e">
        <f>IF($B40='Project List References'!$B$3, _xlfn.IFNA(_xlfn.XLOOKUP(L$2-$C40, 'GEN-CCGT'!$D$7:$AW$7, 'GEN-CCGT'!$D$43:$AW$43), 0), IF($B40='Project List References'!$B$4, _xlfn.IFNA(_xlfn.XLOOKUP(L$2-$C40, 'GEN-SOLAR'!$D$7:$AW$7, 'GEN-SOLAR'!$D$43:$AW$43), 0), IF($B40='Project List References'!$B$5, _xlfn.IFNA(_xlfn.XLOOKUP(L$2-$C40, 'GEN-BESS'!$D$7:$AW$7, 'GEN-BESS'!$D$43:$AW$43), 0), IF($B40='Project List References'!$B$6, _xlfn.IFNA(_xlfn.XLOOKUP(L$2-$C40, 'GEN-CARBON'!$D$7:$AW$7, 'GEN-CARBON'!$D$43:$AW$43), 0), IF($B40='Project List References'!$B$7, _xlfn.IFNA(_xlfn.XLOOKUP(L$2-$C40, 'SENS Coal'!$D$7:$AW$7, 'SENS Coal'!$D$43:$AW$43), 0), IF($B40='Project List References'!$B$8, _xlfn.IFNA(_xlfn.XLOOKUP(L$2-$C40,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M40" s="743" t="e">
        <f>IF($B40='Project List References'!$B$3, _xlfn.IFNA(_xlfn.XLOOKUP(M$2-$C40, 'GEN-CCGT'!$D$7:$AW$7, 'GEN-CCGT'!$D$43:$AW$43), 0), IF($B40='Project List References'!$B$4, _xlfn.IFNA(_xlfn.XLOOKUP(M$2-$C40, 'GEN-SOLAR'!$D$7:$AW$7, 'GEN-SOLAR'!$D$43:$AW$43), 0), IF($B40='Project List References'!$B$5, _xlfn.IFNA(_xlfn.XLOOKUP(M$2-$C40, 'GEN-BESS'!$D$7:$AW$7, 'GEN-BESS'!$D$43:$AW$43), 0), IF($B40='Project List References'!$B$6, _xlfn.IFNA(_xlfn.XLOOKUP(M$2-$C40, 'GEN-CARBON'!$D$7:$AW$7, 'GEN-CARBON'!$D$43:$AW$43), 0), IF($B40='Project List References'!$B$7, _xlfn.IFNA(_xlfn.XLOOKUP(M$2-$C40, 'SENS Coal'!$D$7:$AW$7, 'SENS Coal'!$D$43:$AW$43), 0), IF($B40='Project List References'!$B$8, _xlfn.IFNA(_xlfn.XLOOKUP(M$2-$C40,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N40" s="743" t="e">
        <f>IF($B40='Project List References'!$B$3, _xlfn.IFNA(_xlfn.XLOOKUP(N$2-$C40, 'GEN-CCGT'!$D$7:$AW$7, 'GEN-CCGT'!$D$43:$AW$43), 0), IF($B40='Project List References'!$B$4, _xlfn.IFNA(_xlfn.XLOOKUP(N$2-$C40, 'GEN-SOLAR'!$D$7:$AW$7, 'GEN-SOLAR'!$D$43:$AW$43), 0), IF($B40='Project List References'!$B$5, _xlfn.IFNA(_xlfn.XLOOKUP(N$2-$C40, 'GEN-BESS'!$D$7:$AW$7, 'GEN-BESS'!$D$43:$AW$43), 0), IF($B40='Project List References'!$B$6, _xlfn.IFNA(_xlfn.XLOOKUP(N$2-$C40, 'GEN-CARBON'!$D$7:$AW$7, 'GEN-CARBON'!$D$43:$AW$43), 0), IF($B40='Project List References'!$B$7, _xlfn.IFNA(_xlfn.XLOOKUP(N$2-$C40, 'SENS Coal'!$D$7:$AW$7, 'SENS Coal'!$D$43:$AW$43), 0), IF($B40='Project List References'!$B$8, _xlfn.IFNA(_xlfn.XLOOKUP(N$2-$C40,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O40" s="743" t="e">
        <f>IF($B40='Project List References'!$B$3, _xlfn.IFNA(_xlfn.XLOOKUP(O$2-$C40, 'GEN-CCGT'!$D$7:$AW$7, 'GEN-CCGT'!$D$43:$AW$43), 0), IF($B40='Project List References'!$B$4, _xlfn.IFNA(_xlfn.XLOOKUP(O$2-$C40, 'GEN-SOLAR'!$D$7:$AW$7, 'GEN-SOLAR'!$D$43:$AW$43), 0), IF($B40='Project List References'!$B$5, _xlfn.IFNA(_xlfn.XLOOKUP(O$2-$C40, 'GEN-BESS'!$D$7:$AW$7, 'GEN-BESS'!$D$43:$AW$43), 0), IF($B40='Project List References'!$B$6, _xlfn.IFNA(_xlfn.XLOOKUP(O$2-$C40, 'GEN-CARBON'!$D$7:$AW$7, 'GEN-CARBON'!$D$43:$AW$43), 0), IF($B40='Project List References'!$B$7, _xlfn.IFNA(_xlfn.XLOOKUP(O$2-$C40, 'SENS Coal'!$D$7:$AW$7, 'SENS Coal'!$D$43:$AW$43), 0), IF($B40='Project List References'!$B$8, _xlfn.IFNA(_xlfn.XLOOKUP(O$2-$C40,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P40" s="743" t="e">
        <f>IF($B40='Project List References'!$B$3, _xlfn.IFNA(_xlfn.XLOOKUP(P$2-$C40, 'GEN-CCGT'!$D$7:$AW$7, 'GEN-CCGT'!$D$43:$AW$43), 0), IF($B40='Project List References'!$B$4, _xlfn.IFNA(_xlfn.XLOOKUP(P$2-$C40, 'GEN-SOLAR'!$D$7:$AW$7, 'GEN-SOLAR'!$D$43:$AW$43), 0), IF($B40='Project List References'!$B$5, _xlfn.IFNA(_xlfn.XLOOKUP(P$2-$C40, 'GEN-BESS'!$D$7:$AW$7, 'GEN-BESS'!$D$43:$AW$43), 0), IF($B40='Project List References'!$B$6, _xlfn.IFNA(_xlfn.XLOOKUP(P$2-$C40, 'GEN-CARBON'!$D$7:$AW$7, 'GEN-CARBON'!$D$43:$AW$43), 0), IF($B40='Project List References'!$B$7, _xlfn.IFNA(_xlfn.XLOOKUP(P$2-$C40, 'SENS Coal'!$D$7:$AW$7, 'SENS Coal'!$D$43:$AW$43), 0), IF($B40='Project List References'!$B$8, _xlfn.IFNA(_xlfn.XLOOKUP(P$2-$C40,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Q40" s="743" t="e">
        <f>IF($B40='Project List References'!$B$3, _xlfn.IFNA(_xlfn.XLOOKUP(Q$2-$C40, 'GEN-CCGT'!$D$7:$AW$7, 'GEN-CCGT'!$D$43:$AW$43), 0), IF($B40='Project List References'!$B$4, _xlfn.IFNA(_xlfn.XLOOKUP(Q$2-$C40, 'GEN-SOLAR'!$D$7:$AW$7, 'GEN-SOLAR'!$D$43:$AW$43), 0), IF($B40='Project List References'!$B$5, _xlfn.IFNA(_xlfn.XLOOKUP(Q$2-$C40, 'GEN-BESS'!$D$7:$AW$7, 'GEN-BESS'!$D$43:$AW$43), 0), IF($B40='Project List References'!$B$6, _xlfn.IFNA(_xlfn.XLOOKUP(Q$2-$C40, 'GEN-CARBON'!$D$7:$AW$7, 'GEN-CARBON'!$D$43:$AW$43), 0), IF($B40='Project List References'!$B$7, _xlfn.IFNA(_xlfn.XLOOKUP(Q$2-$C40, 'SENS Coal'!$D$7:$AW$7, 'SENS Coal'!$D$43:$AW$43), 0), IF($B40='Project List References'!$B$8, _xlfn.IFNA(_xlfn.XLOOKUP(Q$2-$C40,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R40" s="743" t="e">
        <f>IF($B40='Project List References'!$B$3, _xlfn.IFNA(_xlfn.XLOOKUP(R$2-$C40, 'GEN-CCGT'!$D$7:$AW$7, 'GEN-CCGT'!$D$43:$AW$43), 0), IF($B40='Project List References'!$B$4, _xlfn.IFNA(_xlfn.XLOOKUP(R$2-$C40, 'GEN-SOLAR'!$D$7:$AW$7, 'GEN-SOLAR'!$D$43:$AW$43), 0), IF($B40='Project List References'!$B$5, _xlfn.IFNA(_xlfn.XLOOKUP(R$2-$C40, 'GEN-BESS'!$D$7:$AW$7, 'GEN-BESS'!$D$43:$AW$43), 0), IF($B40='Project List References'!$B$6, _xlfn.IFNA(_xlfn.XLOOKUP(R$2-$C40, 'GEN-CARBON'!$D$7:$AW$7, 'GEN-CARBON'!$D$43:$AW$43), 0), IF($B40='Project List References'!$B$7, _xlfn.IFNA(_xlfn.XLOOKUP(R$2-$C40, 'SENS Coal'!$D$7:$AW$7, 'SENS Coal'!$D$43:$AW$43), 0), IF($B40='Project List References'!$B$8, _xlfn.IFNA(_xlfn.XLOOKUP(R$2-$C40,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S40" s="743" t="e">
        <f>IF($B40='Project List References'!$B$3, _xlfn.IFNA(_xlfn.XLOOKUP(S$2-$C40, 'GEN-CCGT'!$D$7:$AW$7, 'GEN-CCGT'!$D$43:$AW$43), 0), IF($B40='Project List References'!$B$4, _xlfn.IFNA(_xlfn.XLOOKUP(S$2-$C40, 'GEN-SOLAR'!$D$7:$AW$7, 'GEN-SOLAR'!$D$43:$AW$43), 0), IF($B40='Project List References'!$B$5, _xlfn.IFNA(_xlfn.XLOOKUP(S$2-$C40, 'GEN-BESS'!$D$7:$AW$7, 'GEN-BESS'!$D$43:$AW$43), 0), IF($B40='Project List References'!$B$6, _xlfn.IFNA(_xlfn.XLOOKUP(S$2-$C40, 'GEN-CARBON'!$D$7:$AW$7, 'GEN-CARBON'!$D$43:$AW$43), 0), IF($B40='Project List References'!$B$7, _xlfn.IFNA(_xlfn.XLOOKUP(S$2-$C40, 'SENS Coal'!$D$7:$AW$7, 'SENS Coal'!$D$43:$AW$43), 0), IF($B40='Project List References'!$B$8, _xlfn.IFNA(_xlfn.XLOOKUP(S$2-$C40,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T40" s="743" t="e">
        <f>IF($B40='Project List References'!$B$3, _xlfn.IFNA(_xlfn.XLOOKUP(T$2-$C40, 'GEN-CCGT'!$D$7:$AW$7, 'GEN-CCGT'!$D$43:$AW$43), 0), IF($B40='Project List References'!$B$4, _xlfn.IFNA(_xlfn.XLOOKUP(T$2-$C40, 'GEN-SOLAR'!$D$7:$AW$7, 'GEN-SOLAR'!$D$43:$AW$43), 0), IF($B40='Project List References'!$B$5, _xlfn.IFNA(_xlfn.XLOOKUP(T$2-$C40, 'GEN-BESS'!$D$7:$AW$7, 'GEN-BESS'!$D$43:$AW$43), 0), IF($B40='Project List References'!$B$6, _xlfn.IFNA(_xlfn.XLOOKUP(T$2-$C40, 'GEN-CARBON'!$D$7:$AW$7, 'GEN-CARBON'!$D$43:$AW$43), 0), IF($B40='Project List References'!$B$7, _xlfn.IFNA(_xlfn.XLOOKUP(T$2-$C40, 'SENS Coal'!$D$7:$AW$7, 'SENS Coal'!$D$43:$AW$43), 0), IF($B40='Project List References'!$B$8, _xlfn.IFNA(_xlfn.XLOOKUP(T$2-$C40, 'SENS Tires'!$D$7:$AW$7, 'SENS Tires'!$D$43:$AW$43),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</row>
  </sheetData>
  <mergeCells count="1">
    <mergeCell ref="E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A89D-94A1-4C94-8869-C3EF7D686EED}">
  <dimension ref="A1:T54"/>
  <sheetViews>
    <sheetView workbookViewId="0">
      <selection activeCell="A10" sqref="A10"/>
    </sheetView>
  </sheetViews>
  <sheetFormatPr baseColWidth="10" defaultColWidth="9.1640625" defaultRowHeight="15"/>
  <cols>
    <col min="1" max="1" width="30.1640625" style="655" customWidth="1"/>
    <col min="2" max="2" width="23" style="655" customWidth="1"/>
    <col min="3" max="3" width="18.1640625" style="655" customWidth="1"/>
    <col min="4" max="4" width="5.6640625" style="655" customWidth="1"/>
    <col min="5" max="20" width="12.6640625" style="655" customWidth="1"/>
    <col min="21" max="16384" width="9.1640625" style="655"/>
  </cols>
  <sheetData>
    <row r="1" spans="1:20" ht="27">
      <c r="A1" s="656" t="s">
        <v>40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</row>
    <row r="2" spans="1:20">
      <c r="A2" s="655" t="s">
        <v>52</v>
      </c>
      <c r="B2" s="655" t="s">
        <v>45</v>
      </c>
      <c r="C2" s="655" t="s">
        <v>53</v>
      </c>
      <c r="E2" s="655">
        <v>0</v>
      </c>
      <c r="F2" s="655">
        <f>E2+1</f>
        <v>1</v>
      </c>
      <c r="G2" s="655">
        <f t="shared" ref="G2:T2" si="0">F2+1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20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_xlfn.XLOOKUP('Project OPEX'!A3, 'Project Master Sheet'!A:A, 'Project Master Sheet'!I:I)</f>
        <v>1</v>
      </c>
      <c r="E3" s="743">
        <f>CASHFLOW!E3-'Project CAPEX'!E3</f>
        <v>0</v>
      </c>
      <c r="F3" s="743">
        <f>CASHFLOW!F3-'Project CAPEX'!F3</f>
        <v>0</v>
      </c>
      <c r="G3" s="743">
        <f>CASHFLOW!G3-'Project CAPEX'!G3</f>
        <v>0</v>
      </c>
      <c r="H3" s="743">
        <f>CASHFLOW!H3-'Project CAPEX'!H3</f>
        <v>0</v>
      </c>
      <c r="I3" s="743">
        <f>CASHFLOW!I3-'Project CAPEX'!I3</f>
        <v>0</v>
      </c>
      <c r="J3" s="743">
        <f>CASHFLOW!J3-'Project CAPEX'!J3</f>
        <v>91.587280885924343</v>
      </c>
      <c r="K3" s="743">
        <f>CASHFLOW!K3-'Project CAPEX'!K3</f>
        <v>166.78794176064469</v>
      </c>
      <c r="L3" s="743">
        <f>CASHFLOW!L3-'Project CAPEX'!L3</f>
        <v>169.02780945626503</v>
      </c>
      <c r="M3" s="743">
        <f>CASHFLOW!M3-'Project CAPEX'!M3</f>
        <v>171.29859096209415</v>
      </c>
      <c r="N3" s="743">
        <f>CASHFLOW!N3-'Project CAPEX'!N3</f>
        <v>173.600622318549</v>
      </c>
      <c r="O3" s="743">
        <f>CASHFLOW!O3-'Project CAPEX'!O3</f>
        <v>175.9342392234073</v>
      </c>
      <c r="P3" s="743">
        <f>CASHFLOW!P3-'Project CAPEX'!P3</f>
        <v>178.29977683989352</v>
      </c>
      <c r="Q3" s="743">
        <f>CASHFLOW!Q3-'Project CAPEX'!Q3</f>
        <v>180.69756959583643</v>
      </c>
      <c r="R3" s="743">
        <f>CASHFLOW!R3-'Project CAPEX'!R3</f>
        <v>183.12795097357665</v>
      </c>
      <c r="S3" s="743">
        <f>CASHFLOW!S3-'Project CAPEX'!S3</f>
        <v>185.59125329028888</v>
      </c>
      <c r="T3" s="743">
        <f>CASHFLOW!T3-'Project CAPEX'!T3</f>
        <v>188.08780746837542</v>
      </c>
    </row>
    <row r="4" spans="1:20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_xlfn.XLOOKUP('Project OPEX'!A4, 'Project Master Sheet'!A:A, 'Project Master Sheet'!I:I)</f>
        <v>1</v>
      </c>
      <c r="E4" s="743">
        <f>CASHFLOW!E4-'Project CAPEX'!E4</f>
        <v>0</v>
      </c>
      <c r="F4" s="743">
        <f>CASHFLOW!F4-'Project CAPEX'!F4</f>
        <v>0</v>
      </c>
      <c r="G4" s="743">
        <f>CASHFLOW!G4-'Project CAPEX'!G4</f>
        <v>1.8220605600000002</v>
      </c>
      <c r="H4" s="743">
        <f>CASHFLOW!H4-'Project CAPEX'!H4</f>
        <v>4.4443360319999998</v>
      </c>
      <c r="I4" s="743">
        <f>CASHFLOW!I4-'Project CAPEX'!I4</f>
        <v>4.4875410326399994</v>
      </c>
      <c r="J4" s="743">
        <f>CASHFLOW!J4-'Project CAPEX'!J4</f>
        <v>4.5315506816927993</v>
      </c>
      <c r="K4" s="743">
        <f>CASHFLOW!K4-'Project CAPEX'!K4</f>
        <v>4.5763792885786563</v>
      </c>
      <c r="L4" s="743">
        <f>CASHFLOW!L4-'Project CAPEX'!L4</f>
        <v>4.6220413953997888</v>
      </c>
      <c r="M4" s="743">
        <f>CASHFLOW!M4-'Project CAPEX'!M4</f>
        <v>4.6685517799888308</v>
      </c>
      <c r="N4" s="743">
        <f>CASHFLOW!N4-'Project CAPEX'!N4</f>
        <v>4.7159254589700863</v>
      </c>
      <c r="O4" s="743">
        <f>CASHFLOW!O4-'Project CAPEX'!O4</f>
        <v>4.7641776908324101</v>
      </c>
      <c r="P4" s="743">
        <f>CASHFLOW!P4-'Project CAPEX'!P4</f>
        <v>4.813323979012468</v>
      </c>
      <c r="Q4" s="743">
        <f>CASHFLOW!Q4-'Project CAPEX'!Q4</f>
        <v>4.8633800749870302</v>
      </c>
      <c r="R4" s="743">
        <f>CASHFLOW!R4-'Project CAPEX'!R4</f>
        <v>4.9143619813729131</v>
      </c>
      <c r="S4" s="743">
        <f>CASHFLOW!S4-'Project CAPEX'!S4</f>
        <v>4.9662859550330971</v>
      </c>
      <c r="T4" s="743">
        <f>CASHFLOW!T4-'Project CAPEX'!T4</f>
        <v>5.0191685101874679</v>
      </c>
    </row>
    <row r="5" spans="1:20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_xlfn.XLOOKUP('Project OPEX'!A5, 'Project Master Sheet'!A:A, 'Project Master Sheet'!I:I)</f>
        <v>2</v>
      </c>
      <c r="E5" s="743">
        <f>CASHFLOW!E5-'Project CAPEX'!E5</f>
        <v>0</v>
      </c>
      <c r="F5" s="743">
        <f>CASHFLOW!F5-'Project CAPEX'!F5</f>
        <v>0</v>
      </c>
      <c r="G5" s="743">
        <f>CASHFLOW!G5-'Project CAPEX'!G5</f>
        <v>0</v>
      </c>
      <c r="H5" s="743">
        <f>CASHFLOW!H5-'Project CAPEX'!H5</f>
        <v>477.31435497362384</v>
      </c>
      <c r="I5" s="743">
        <f>CASHFLOW!I5-'Project CAPEX'!I5</f>
        <v>677.91338481877949</v>
      </c>
      <c r="J5" s="743">
        <f>CASHFLOW!J5-'Project CAPEX'!J5</f>
        <v>692.35014979688958</v>
      </c>
      <c r="K5" s="743">
        <f>CASHFLOW!K5-'Project CAPEX'!K5</f>
        <v>759.85732613492382</v>
      </c>
      <c r="L5" s="743">
        <f>CASHFLOW!L5-'Project CAPEX'!L5</f>
        <v>787.06199705824497</v>
      </c>
      <c r="M5" s="743">
        <f>CASHFLOW!M5-'Project CAPEX'!M5</f>
        <v>802.16974709379792</v>
      </c>
      <c r="N5" s="743">
        <f>CASHFLOW!N5-'Project CAPEX'!N5</f>
        <v>817.58383564635506</v>
      </c>
      <c r="O5" s="743">
        <f>CASHFLOW!O5-'Project CAPEX'!O5</f>
        <v>833.31037893512621</v>
      </c>
      <c r="P5" s="743">
        <f>CASHFLOW!P5-'Project CAPEX'!P5</f>
        <v>849.35561552857746</v>
      </c>
      <c r="Q5" s="743">
        <f>CASHFLOW!Q5-'Project CAPEX'!Q5</f>
        <v>865.72590879133043</v>
      </c>
      <c r="R5" s="743">
        <f>CASHFLOW!R5-'Project CAPEX'!R5</f>
        <v>882.427749379999</v>
      </c>
      <c r="S5" s="743">
        <f>CASHFLOW!S5-'Project CAPEX'!S5</f>
        <v>899.4677577889405</v>
      </c>
      <c r="T5" s="743">
        <f>CASHFLOW!T5-'Project CAPEX'!T5</f>
        <v>916.85268694692388</v>
      </c>
    </row>
    <row r="6" spans="1:20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_xlfn.XLOOKUP('Project OPEX'!A6, 'Project Master Sheet'!A:A, 'Project Master Sheet'!I:I)</f>
        <v>0</v>
      </c>
      <c r="E6" s="743">
        <f>CASHFLOW!E6-'Project CAPEX'!E6</f>
        <v>0</v>
      </c>
      <c r="F6" s="743">
        <f>CASHFLOW!F6-'Project CAPEX'!F6</f>
        <v>69.898992482293721</v>
      </c>
      <c r="G6" s="743">
        <f>CASHFLOW!G6-'Project CAPEX'!G6</f>
        <v>98.988277615753432</v>
      </c>
      <c r="H6" s="743">
        <f>CASHFLOW!H6-'Project CAPEX'!H6</f>
        <v>100.54940630604344</v>
      </c>
      <c r="I6" s="743">
        <f>CASHFLOW!I6-'Project CAPEX'!I6</f>
        <v>102.1606493332161</v>
      </c>
      <c r="J6" s="743">
        <f>CASHFLOW!J6-'Project CAPEX'!J6</f>
        <v>103.76947006855983</v>
      </c>
      <c r="K6" s="743">
        <f>CASHFLOW!K6-'Project CAPEX'!K6</f>
        <v>105.404483824555</v>
      </c>
      <c r="L6" s="743">
        <f>CASHFLOW!L6-'Project CAPEX'!L6</f>
        <v>107.07219379825781</v>
      </c>
      <c r="M6" s="743">
        <f>CASHFLOW!M6-'Project CAPEX'!M6</f>
        <v>108.77325384867777</v>
      </c>
      <c r="N6" s="743">
        <f>CASHFLOW!N6-'Project CAPEX'!N6</f>
        <v>110.50833091093776</v>
      </c>
      <c r="O6" s="743">
        <f>CASHFLOW!O6-'Project CAPEX'!O6</f>
        <v>112.27810525777903</v>
      </c>
      <c r="P6" s="743">
        <f>CASHFLOW!P6-'Project CAPEX'!P6</f>
        <v>114.08327076629539</v>
      </c>
      <c r="Q6" s="743">
        <f>CASHFLOW!Q6-'Project CAPEX'!Q6</f>
        <v>115.9245351900023</v>
      </c>
      <c r="R6" s="743">
        <f>CASHFLOW!R6-'Project CAPEX'!R6</f>
        <v>117.8026204363465</v>
      </c>
      <c r="S6" s="743">
        <f>CASHFLOW!S6-'Project CAPEX'!S6</f>
        <v>119.71826284976603</v>
      </c>
      <c r="T6" s="743">
        <f>CASHFLOW!T6-'Project CAPEX'!T6</f>
        <v>121.67221350041069</v>
      </c>
    </row>
    <row r="7" spans="1:20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_xlfn.XLOOKUP('Project OPEX'!A7, 'Project Master Sheet'!A:A, 'Project Master Sheet'!I:I)</f>
        <v>0</v>
      </c>
      <c r="E7" s="743">
        <f>CASHFLOW!E7-'Project CAPEX'!E7</f>
        <v>0</v>
      </c>
      <c r="F7" s="743">
        <f>CASHFLOW!F7-'Project CAPEX'!F7</f>
        <v>1.2133722219880561</v>
      </c>
      <c r="G7" s="743">
        <f>CASHFLOW!G7-'Project CAPEX'!G7</f>
        <v>8.1576256070178452</v>
      </c>
      <c r="H7" s="743">
        <f>CASHFLOW!H7-'Project CAPEX'!H7</f>
        <v>8.1930144846246638</v>
      </c>
      <c r="I7" s="743">
        <f>CASHFLOW!I7-'Project CAPEX'!I7</f>
        <v>8.2282056974657021</v>
      </c>
      <c r="J7" s="743">
        <f>CASHFLOW!J7-'Project CAPEX'!J7</f>
        <v>8.263181003402897</v>
      </c>
      <c r="K7" s="743">
        <f>CASHFLOW!K7-'Project CAPEX'!K7</f>
        <v>8.2979215257147274</v>
      </c>
      <c r="L7" s="743">
        <f>CASHFLOW!L7-'Project CAPEX'!L7</f>
        <v>8.332407734190026</v>
      </c>
      <c r="M7" s="743">
        <f>CASHFLOW!M7-'Project CAPEX'!M7</f>
        <v>8.3666194256779001</v>
      </c>
      <c r="N7" s="743">
        <f>CASHFLOW!N7-'Project CAPEX'!N7</f>
        <v>8.4005357040781181</v>
      </c>
      <c r="O7" s="743">
        <f>CASHFLOW!O7-'Project CAPEX'!O7</f>
        <v>8.4341349597558537</v>
      </c>
      <c r="P7" s="743">
        <f>CASHFLOW!P7-'Project CAPEX'!P7</f>
        <v>8.4673948483642043</v>
      </c>
      <c r="Q7" s="743">
        <f>CASHFLOW!Q7-'Project CAPEX'!Q7</f>
        <v>8.5002922690574447</v>
      </c>
      <c r="R7" s="743">
        <f>CASHFLOW!R7-'Project CAPEX'!R7</f>
        <v>8.5328033420774361</v>
      </c>
      <c r="S7" s="743">
        <f>CASHFLOW!S7-'Project CAPEX'!S7</f>
        <v>8.5649033856951586</v>
      </c>
      <c r="T7" s="743">
        <f>CASHFLOW!T7-'Project CAPEX'!T7</f>
        <v>8.5965668924887506</v>
      </c>
    </row>
    <row r="8" spans="1:20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_xlfn.XLOOKUP('Project OPEX'!A8, 'Project Master Sheet'!A:A, 'Project Master Sheet'!I:I)</f>
        <v>#N/A</v>
      </c>
      <c r="E8" s="743" t="e">
        <f>CASHFLOW!E8-'Project CAPEX'!E8</f>
        <v>#N/A</v>
      </c>
      <c r="F8" s="743" t="e">
        <f>CASHFLOW!F8-'Project CAPEX'!F8</f>
        <v>#N/A</v>
      </c>
      <c r="G8" s="743" t="e">
        <f>CASHFLOW!G8-'Project CAPEX'!G8</f>
        <v>#N/A</v>
      </c>
      <c r="H8" s="743" t="e">
        <f>CASHFLOW!H8-'Project CAPEX'!H8</f>
        <v>#N/A</v>
      </c>
      <c r="I8" s="743" t="e">
        <f>CASHFLOW!I8-'Project CAPEX'!I8</f>
        <v>#N/A</v>
      </c>
      <c r="J8" s="743" t="e">
        <f>CASHFLOW!J8-'Project CAPEX'!J8</f>
        <v>#N/A</v>
      </c>
      <c r="K8" s="743" t="e">
        <f>CASHFLOW!K8-'Project CAPEX'!K8</f>
        <v>#N/A</v>
      </c>
      <c r="L8" s="743" t="e">
        <f>CASHFLOW!L8-'Project CAPEX'!L8</f>
        <v>#N/A</v>
      </c>
      <c r="M8" s="743" t="e">
        <f>CASHFLOW!M8-'Project CAPEX'!M8</f>
        <v>#N/A</v>
      </c>
      <c r="N8" s="743" t="e">
        <f>CASHFLOW!N8-'Project CAPEX'!N8</f>
        <v>#N/A</v>
      </c>
      <c r="O8" s="743" t="e">
        <f>CASHFLOW!O8-'Project CAPEX'!O8</f>
        <v>#N/A</v>
      </c>
      <c r="P8" s="743" t="e">
        <f>CASHFLOW!P8-'Project CAPEX'!P8</f>
        <v>#N/A</v>
      </c>
      <c r="Q8" s="743" t="e">
        <f>CASHFLOW!Q8-'Project CAPEX'!Q8</f>
        <v>#N/A</v>
      </c>
      <c r="R8" s="743" t="e">
        <f>CASHFLOW!R8-'Project CAPEX'!R8</f>
        <v>#N/A</v>
      </c>
      <c r="S8" s="743" t="e">
        <f>CASHFLOW!S8-'Project CAPEX'!S8</f>
        <v>#N/A</v>
      </c>
      <c r="T8" s="743" t="e">
        <f>CASHFLOW!T8-'Project CAPEX'!T8</f>
        <v>#N/A</v>
      </c>
    </row>
    <row r="9" spans="1:20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_xlfn.XLOOKUP('Project OPEX'!A9, 'Project Master Sheet'!A:A, 'Project Master Sheet'!I:I)</f>
        <v>1</v>
      </c>
      <c r="E9" s="743">
        <f>CASHFLOW!E9-'Project CAPEX'!E9</f>
        <v>0</v>
      </c>
      <c r="F9" s="743">
        <f>CASHFLOW!F9-'Project CAPEX'!F9</f>
        <v>0</v>
      </c>
      <c r="G9" s="743">
        <f>CASHFLOW!G9-'Project CAPEX'!G9</f>
        <v>0</v>
      </c>
      <c r="H9" s="743">
        <f>CASHFLOW!H9-'Project CAPEX'!H9</f>
        <v>0</v>
      </c>
      <c r="I9" s="743">
        <f>CASHFLOW!I9-'Project CAPEX'!I9</f>
        <v>12.469952052126716</v>
      </c>
      <c r="J9" s="743">
        <f>CASHFLOW!J9-'Project CAPEX'!J9</f>
        <v>23.54950768127388</v>
      </c>
      <c r="K9" s="743">
        <f>CASHFLOW!K9-'Project CAPEX'!K9</f>
        <v>24.173533791540823</v>
      </c>
      <c r="L9" s="743">
        <f>CASHFLOW!L9-'Project CAPEX'!L9</f>
        <v>24.807203643961806</v>
      </c>
      <c r="M9" s="743">
        <f>CASHFLOW!M9-'Project CAPEX'!M9</f>
        <v>25.450672722332087</v>
      </c>
      <c r="N9" s="743">
        <f>CASHFLOW!N9-'Project CAPEX'!N9</f>
        <v>26.104098778239258</v>
      </c>
      <c r="O9" s="743">
        <f>CASHFLOW!O9-'Project CAPEX'!O9</f>
        <v>26.767641857427719</v>
      </c>
      <c r="P9" s="743">
        <f>CASHFLOW!P9-'Project CAPEX'!P9</f>
        <v>27.441464326226654</v>
      </c>
      <c r="Q9" s="743">
        <f>CASHFLOW!Q9-'Project CAPEX'!Q9</f>
        <v>28.125730898030582</v>
      </c>
      <c r="R9" s="743">
        <f>CASHFLOW!R9-'Project CAPEX'!R9</f>
        <v>28.820608659821261</v>
      </c>
      <c r="S9" s="743">
        <f>CASHFLOW!S9-'Project CAPEX'!S9</f>
        <v>29.52626709871889</v>
      </c>
      <c r="T9" s="743">
        <f>CASHFLOW!T9-'Project CAPEX'!T9</f>
        <v>30.242878128550295</v>
      </c>
    </row>
    <row r="10" spans="1:20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_xlfn.XLOOKUP('Project OPEX'!A10, 'Project Master Sheet'!A:A, 'Project Master Sheet'!I:I)</f>
        <v>#N/A</v>
      </c>
      <c r="E10" s="743" t="e">
        <f>CASHFLOW!E10-'Project CAPEX'!E10</f>
        <v>#N/A</v>
      </c>
      <c r="F10" s="743" t="e">
        <f>CASHFLOW!F10-'Project CAPEX'!F10</f>
        <v>#N/A</v>
      </c>
      <c r="G10" s="743" t="e">
        <f>CASHFLOW!G10-'Project CAPEX'!G10</f>
        <v>#N/A</v>
      </c>
      <c r="H10" s="743" t="e">
        <f>CASHFLOW!H10-'Project CAPEX'!H10</f>
        <v>#N/A</v>
      </c>
      <c r="I10" s="743" t="e">
        <f>CASHFLOW!I10-'Project CAPEX'!I10</f>
        <v>#N/A</v>
      </c>
      <c r="J10" s="743" t="e">
        <f>CASHFLOW!J10-'Project CAPEX'!J10</f>
        <v>#N/A</v>
      </c>
      <c r="K10" s="743" t="e">
        <f>CASHFLOW!K10-'Project CAPEX'!K10</f>
        <v>#N/A</v>
      </c>
      <c r="L10" s="743" t="e">
        <f>CASHFLOW!L10-'Project CAPEX'!L10</f>
        <v>#N/A</v>
      </c>
      <c r="M10" s="743" t="e">
        <f>CASHFLOW!M10-'Project CAPEX'!M10</f>
        <v>#N/A</v>
      </c>
      <c r="N10" s="743" t="e">
        <f>CASHFLOW!N10-'Project CAPEX'!N10</f>
        <v>#N/A</v>
      </c>
      <c r="O10" s="743" t="e">
        <f>CASHFLOW!O10-'Project CAPEX'!O10</f>
        <v>#N/A</v>
      </c>
      <c r="P10" s="743" t="e">
        <f>CASHFLOW!P10-'Project CAPEX'!P10</f>
        <v>#N/A</v>
      </c>
      <c r="Q10" s="743" t="e">
        <f>CASHFLOW!Q10-'Project CAPEX'!Q10</f>
        <v>#N/A</v>
      </c>
      <c r="R10" s="743" t="e">
        <f>CASHFLOW!R10-'Project CAPEX'!R10</f>
        <v>#N/A</v>
      </c>
      <c r="S10" s="743" t="e">
        <f>CASHFLOW!S10-'Project CAPEX'!S10</f>
        <v>#N/A</v>
      </c>
      <c r="T10" s="743" t="e">
        <f>CASHFLOW!T10-'Project CAPEX'!T10</f>
        <v>#N/A</v>
      </c>
    </row>
    <row r="11" spans="1:20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_xlfn.XLOOKUP('Project OPEX'!A11, 'Project Master Sheet'!A:A, 'Project Master Sheet'!I:I)</f>
        <v>#N/A</v>
      </c>
      <c r="E11" s="743" t="e">
        <f>CASHFLOW!E11-'Project CAPEX'!E11</f>
        <v>#N/A</v>
      </c>
      <c r="F11" s="743" t="e">
        <f>CASHFLOW!F11-'Project CAPEX'!F11</f>
        <v>#N/A</v>
      </c>
      <c r="G11" s="743" t="e">
        <f>CASHFLOW!G11-'Project CAPEX'!G11</f>
        <v>#N/A</v>
      </c>
      <c r="H11" s="743" t="e">
        <f>CASHFLOW!H11-'Project CAPEX'!H11</f>
        <v>#N/A</v>
      </c>
      <c r="I11" s="743" t="e">
        <f>CASHFLOW!I11-'Project CAPEX'!I11</f>
        <v>#N/A</v>
      </c>
      <c r="J11" s="743" t="e">
        <f>CASHFLOW!J11-'Project CAPEX'!J11</f>
        <v>#N/A</v>
      </c>
      <c r="K11" s="743" t="e">
        <f>CASHFLOW!K11-'Project CAPEX'!K11</f>
        <v>#N/A</v>
      </c>
      <c r="L11" s="743" t="e">
        <f>CASHFLOW!L11-'Project CAPEX'!L11</f>
        <v>#N/A</v>
      </c>
      <c r="M11" s="743" t="e">
        <f>CASHFLOW!M11-'Project CAPEX'!M11</f>
        <v>#N/A</v>
      </c>
      <c r="N11" s="743" t="e">
        <f>CASHFLOW!N11-'Project CAPEX'!N11</f>
        <v>#N/A</v>
      </c>
      <c r="O11" s="743" t="e">
        <f>CASHFLOW!O11-'Project CAPEX'!O11</f>
        <v>#N/A</v>
      </c>
      <c r="P11" s="743" t="e">
        <f>CASHFLOW!P11-'Project CAPEX'!P11</f>
        <v>#N/A</v>
      </c>
      <c r="Q11" s="743" t="e">
        <f>CASHFLOW!Q11-'Project CAPEX'!Q11</f>
        <v>#N/A</v>
      </c>
      <c r="R11" s="743" t="e">
        <f>CASHFLOW!R11-'Project CAPEX'!R11</f>
        <v>#N/A</v>
      </c>
      <c r="S11" s="743" t="e">
        <f>CASHFLOW!S11-'Project CAPEX'!S11</f>
        <v>#N/A</v>
      </c>
      <c r="T11" s="743" t="e">
        <f>CASHFLOW!T11-'Project CAPEX'!T11</f>
        <v>#N/A</v>
      </c>
    </row>
    <row r="12" spans="1:20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_xlfn.XLOOKUP('Project OPEX'!A12, 'Project Master Sheet'!A:A, 'Project Master Sheet'!I:I)</f>
        <v>#N/A</v>
      </c>
      <c r="E12" s="743" t="e">
        <f>CASHFLOW!E12-'Project CAPEX'!E12</f>
        <v>#N/A</v>
      </c>
      <c r="F12" s="743" t="e">
        <f>CASHFLOW!F12-'Project CAPEX'!F12</f>
        <v>#N/A</v>
      </c>
      <c r="G12" s="743" t="e">
        <f>CASHFLOW!G12-'Project CAPEX'!G12</f>
        <v>#N/A</v>
      </c>
      <c r="H12" s="743" t="e">
        <f>CASHFLOW!H12-'Project CAPEX'!H12</f>
        <v>#N/A</v>
      </c>
      <c r="I12" s="743" t="e">
        <f>CASHFLOW!I12-'Project CAPEX'!I12</f>
        <v>#N/A</v>
      </c>
      <c r="J12" s="743" t="e">
        <f>CASHFLOW!J12-'Project CAPEX'!J12</f>
        <v>#N/A</v>
      </c>
      <c r="K12" s="743" t="e">
        <f>CASHFLOW!K12-'Project CAPEX'!K12</f>
        <v>#N/A</v>
      </c>
      <c r="L12" s="743" t="e">
        <f>CASHFLOW!L12-'Project CAPEX'!L12</f>
        <v>#N/A</v>
      </c>
      <c r="M12" s="743" t="e">
        <f>CASHFLOW!M12-'Project CAPEX'!M12</f>
        <v>#N/A</v>
      </c>
      <c r="N12" s="743" t="e">
        <f>CASHFLOW!N12-'Project CAPEX'!N12</f>
        <v>#N/A</v>
      </c>
      <c r="O12" s="743" t="e">
        <f>CASHFLOW!O12-'Project CAPEX'!O12</f>
        <v>#N/A</v>
      </c>
      <c r="P12" s="743" t="e">
        <f>CASHFLOW!P12-'Project CAPEX'!P12</f>
        <v>#N/A</v>
      </c>
      <c r="Q12" s="743" t="e">
        <f>CASHFLOW!Q12-'Project CAPEX'!Q12</f>
        <v>#N/A</v>
      </c>
      <c r="R12" s="743" t="e">
        <f>CASHFLOW!R12-'Project CAPEX'!R12</f>
        <v>#N/A</v>
      </c>
      <c r="S12" s="743" t="e">
        <f>CASHFLOW!S12-'Project CAPEX'!S12</f>
        <v>#N/A</v>
      </c>
      <c r="T12" s="743" t="e">
        <f>CASHFLOW!T12-'Project CAPEX'!T12</f>
        <v>#N/A</v>
      </c>
    </row>
    <row r="13" spans="1:20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_xlfn.XLOOKUP('Project OPEX'!A13, 'Project Master Sheet'!A:A, 'Project Master Sheet'!I:I)</f>
        <v>#N/A</v>
      </c>
      <c r="E13" s="743" t="e">
        <f>CASHFLOW!E13-'Project CAPEX'!E13</f>
        <v>#N/A</v>
      </c>
      <c r="F13" s="743" t="e">
        <f>CASHFLOW!F13-'Project CAPEX'!F13</f>
        <v>#N/A</v>
      </c>
      <c r="G13" s="743" t="e">
        <f>CASHFLOW!G13-'Project CAPEX'!G13</f>
        <v>#N/A</v>
      </c>
      <c r="H13" s="743" t="e">
        <f>CASHFLOW!H13-'Project CAPEX'!H13</f>
        <v>#N/A</v>
      </c>
      <c r="I13" s="743" t="e">
        <f>CASHFLOW!I13-'Project CAPEX'!I13</f>
        <v>#N/A</v>
      </c>
      <c r="J13" s="743" t="e">
        <f>CASHFLOW!J13-'Project CAPEX'!J13</f>
        <v>#N/A</v>
      </c>
      <c r="K13" s="743" t="e">
        <f>CASHFLOW!K13-'Project CAPEX'!K13</f>
        <v>#N/A</v>
      </c>
      <c r="L13" s="743" t="e">
        <f>CASHFLOW!L13-'Project CAPEX'!L13</f>
        <v>#N/A</v>
      </c>
      <c r="M13" s="743" t="e">
        <f>CASHFLOW!M13-'Project CAPEX'!M13</f>
        <v>#N/A</v>
      </c>
      <c r="N13" s="743" t="e">
        <f>CASHFLOW!N13-'Project CAPEX'!N13</f>
        <v>#N/A</v>
      </c>
      <c r="O13" s="743" t="e">
        <f>CASHFLOW!O13-'Project CAPEX'!O13</f>
        <v>#N/A</v>
      </c>
      <c r="P13" s="743" t="e">
        <f>CASHFLOW!P13-'Project CAPEX'!P13</f>
        <v>#N/A</v>
      </c>
      <c r="Q13" s="743" t="e">
        <f>CASHFLOW!Q13-'Project CAPEX'!Q13</f>
        <v>#N/A</v>
      </c>
      <c r="R13" s="743" t="e">
        <f>CASHFLOW!R13-'Project CAPEX'!R13</f>
        <v>#N/A</v>
      </c>
      <c r="S13" s="743" t="e">
        <f>CASHFLOW!S13-'Project CAPEX'!S13</f>
        <v>#N/A</v>
      </c>
      <c r="T13" s="743" t="e">
        <f>CASHFLOW!T13-'Project CAPEX'!T13</f>
        <v>#N/A</v>
      </c>
    </row>
    <row r="14" spans="1:20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_xlfn.XLOOKUP('Project OPEX'!A14, 'Project Master Sheet'!A:A, 'Project Master Sheet'!I:I)</f>
        <v>#N/A</v>
      </c>
      <c r="E14" s="743" t="e">
        <f>CASHFLOW!E14-'Project CAPEX'!E14</f>
        <v>#N/A</v>
      </c>
      <c r="F14" s="743" t="e">
        <f>CASHFLOW!F14-'Project CAPEX'!F14</f>
        <v>#N/A</v>
      </c>
      <c r="G14" s="743" t="e">
        <f>CASHFLOW!G14-'Project CAPEX'!G14</f>
        <v>#N/A</v>
      </c>
      <c r="H14" s="743" t="e">
        <f>CASHFLOW!H14-'Project CAPEX'!H14</f>
        <v>#N/A</v>
      </c>
      <c r="I14" s="743" t="e">
        <f>CASHFLOW!I14-'Project CAPEX'!I14</f>
        <v>#N/A</v>
      </c>
      <c r="J14" s="743" t="e">
        <f>CASHFLOW!J14-'Project CAPEX'!J14</f>
        <v>#N/A</v>
      </c>
      <c r="K14" s="743" t="e">
        <f>CASHFLOW!K14-'Project CAPEX'!K14</f>
        <v>#N/A</v>
      </c>
      <c r="L14" s="743" t="e">
        <f>CASHFLOW!L14-'Project CAPEX'!L14</f>
        <v>#N/A</v>
      </c>
      <c r="M14" s="743" t="e">
        <f>CASHFLOW!M14-'Project CAPEX'!M14</f>
        <v>#N/A</v>
      </c>
      <c r="N14" s="743" t="e">
        <f>CASHFLOW!N14-'Project CAPEX'!N14</f>
        <v>#N/A</v>
      </c>
      <c r="O14" s="743" t="e">
        <f>CASHFLOW!O14-'Project CAPEX'!O14</f>
        <v>#N/A</v>
      </c>
      <c r="P14" s="743" t="e">
        <f>CASHFLOW!P14-'Project CAPEX'!P14</f>
        <v>#N/A</v>
      </c>
      <c r="Q14" s="743" t="e">
        <f>CASHFLOW!Q14-'Project CAPEX'!Q14</f>
        <v>#N/A</v>
      </c>
      <c r="R14" s="743" t="e">
        <f>CASHFLOW!R14-'Project CAPEX'!R14</f>
        <v>#N/A</v>
      </c>
      <c r="S14" s="743" t="e">
        <f>CASHFLOW!S14-'Project CAPEX'!S14</f>
        <v>#N/A</v>
      </c>
      <c r="T14" s="743" t="e">
        <f>CASHFLOW!T14-'Project CAPEX'!T14</f>
        <v>#N/A</v>
      </c>
    </row>
    <row r="15" spans="1:20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_xlfn.XLOOKUP('Project OPEX'!A15, 'Project Master Sheet'!A:A, 'Project Master Sheet'!I:I)</f>
        <v>#N/A</v>
      </c>
      <c r="E15" s="743" t="e">
        <f>CASHFLOW!E15-'Project CAPEX'!E15</f>
        <v>#N/A</v>
      </c>
      <c r="F15" s="743" t="e">
        <f>CASHFLOW!F15-'Project CAPEX'!F15</f>
        <v>#N/A</v>
      </c>
      <c r="G15" s="743" t="e">
        <f>CASHFLOW!G15-'Project CAPEX'!G15</f>
        <v>#N/A</v>
      </c>
      <c r="H15" s="743" t="e">
        <f>CASHFLOW!H15-'Project CAPEX'!H15</f>
        <v>#N/A</v>
      </c>
      <c r="I15" s="743" t="e">
        <f>CASHFLOW!I15-'Project CAPEX'!I15</f>
        <v>#N/A</v>
      </c>
      <c r="J15" s="743" t="e">
        <f>CASHFLOW!J15-'Project CAPEX'!J15</f>
        <v>#N/A</v>
      </c>
      <c r="K15" s="743" t="e">
        <f>CASHFLOW!K15-'Project CAPEX'!K15</f>
        <v>#N/A</v>
      </c>
      <c r="L15" s="743" t="e">
        <f>CASHFLOW!L15-'Project CAPEX'!L15</f>
        <v>#N/A</v>
      </c>
      <c r="M15" s="743" t="e">
        <f>CASHFLOW!M15-'Project CAPEX'!M15</f>
        <v>#N/A</v>
      </c>
      <c r="N15" s="743" t="e">
        <f>CASHFLOW!N15-'Project CAPEX'!N15</f>
        <v>#N/A</v>
      </c>
      <c r="O15" s="743" t="e">
        <f>CASHFLOW!O15-'Project CAPEX'!O15</f>
        <v>#N/A</v>
      </c>
      <c r="P15" s="743" t="e">
        <f>CASHFLOW!P15-'Project CAPEX'!P15</f>
        <v>#N/A</v>
      </c>
      <c r="Q15" s="743" t="e">
        <f>CASHFLOW!Q15-'Project CAPEX'!Q15</f>
        <v>#N/A</v>
      </c>
      <c r="R15" s="743" t="e">
        <f>CASHFLOW!R15-'Project CAPEX'!R15</f>
        <v>#N/A</v>
      </c>
      <c r="S15" s="743" t="e">
        <f>CASHFLOW!S15-'Project CAPEX'!S15</f>
        <v>#N/A</v>
      </c>
      <c r="T15" s="743" t="e">
        <f>CASHFLOW!T15-'Project CAPEX'!T15</f>
        <v>#N/A</v>
      </c>
    </row>
    <row r="16" spans="1:20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_xlfn.XLOOKUP('Project OPEX'!A16, 'Project Master Sheet'!A:A, 'Project Master Sheet'!I:I)</f>
        <v>#N/A</v>
      </c>
      <c r="E16" s="743" t="e">
        <f>CASHFLOW!E16-'Project CAPEX'!E16</f>
        <v>#N/A</v>
      </c>
      <c r="F16" s="743" t="e">
        <f>CASHFLOW!F16-'Project CAPEX'!F16</f>
        <v>#N/A</v>
      </c>
      <c r="G16" s="743" t="e">
        <f>CASHFLOW!G16-'Project CAPEX'!G16</f>
        <v>#N/A</v>
      </c>
      <c r="H16" s="743" t="e">
        <f>CASHFLOW!H16-'Project CAPEX'!H16</f>
        <v>#N/A</v>
      </c>
      <c r="I16" s="743" t="e">
        <f>CASHFLOW!I16-'Project CAPEX'!I16</f>
        <v>#N/A</v>
      </c>
      <c r="J16" s="743" t="e">
        <f>CASHFLOW!J16-'Project CAPEX'!J16</f>
        <v>#N/A</v>
      </c>
      <c r="K16" s="743" t="e">
        <f>CASHFLOW!K16-'Project CAPEX'!K16</f>
        <v>#N/A</v>
      </c>
      <c r="L16" s="743" t="e">
        <f>CASHFLOW!L16-'Project CAPEX'!L16</f>
        <v>#N/A</v>
      </c>
      <c r="M16" s="743" t="e">
        <f>CASHFLOW!M16-'Project CAPEX'!M16</f>
        <v>#N/A</v>
      </c>
      <c r="N16" s="743" t="e">
        <f>CASHFLOW!N16-'Project CAPEX'!N16</f>
        <v>#N/A</v>
      </c>
      <c r="O16" s="743" t="e">
        <f>CASHFLOW!O16-'Project CAPEX'!O16</f>
        <v>#N/A</v>
      </c>
      <c r="P16" s="743" t="e">
        <f>CASHFLOW!P16-'Project CAPEX'!P16</f>
        <v>#N/A</v>
      </c>
      <c r="Q16" s="743" t="e">
        <f>CASHFLOW!Q16-'Project CAPEX'!Q16</f>
        <v>#N/A</v>
      </c>
      <c r="R16" s="743" t="e">
        <f>CASHFLOW!R16-'Project CAPEX'!R16</f>
        <v>#N/A</v>
      </c>
      <c r="S16" s="743" t="e">
        <f>CASHFLOW!S16-'Project CAPEX'!S16</f>
        <v>#N/A</v>
      </c>
      <c r="T16" s="743" t="e">
        <f>CASHFLOW!T16-'Project CAPEX'!T16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_xlfn.XLOOKUP('Project OPEX'!A17, 'Project Master Sheet'!A:A, 'Project Master Sheet'!I:I)</f>
        <v>#N/A</v>
      </c>
      <c r="E17" s="743" t="e">
        <f>CASHFLOW!E17-'Project CAPEX'!E17</f>
        <v>#N/A</v>
      </c>
      <c r="F17" s="743" t="e">
        <f>CASHFLOW!F17-'Project CAPEX'!F17</f>
        <v>#N/A</v>
      </c>
      <c r="G17" s="743" t="e">
        <f>CASHFLOW!G17-'Project CAPEX'!G17</f>
        <v>#N/A</v>
      </c>
      <c r="H17" s="743" t="e">
        <f>CASHFLOW!H17-'Project CAPEX'!H17</f>
        <v>#N/A</v>
      </c>
      <c r="I17" s="743" t="e">
        <f>CASHFLOW!I17-'Project CAPEX'!I17</f>
        <v>#N/A</v>
      </c>
      <c r="J17" s="743" t="e">
        <f>CASHFLOW!J17-'Project CAPEX'!J17</f>
        <v>#N/A</v>
      </c>
      <c r="K17" s="743" t="e">
        <f>CASHFLOW!K17-'Project CAPEX'!K17</f>
        <v>#N/A</v>
      </c>
      <c r="L17" s="743" t="e">
        <f>CASHFLOW!L17-'Project CAPEX'!L17</f>
        <v>#N/A</v>
      </c>
      <c r="M17" s="743" t="e">
        <f>CASHFLOW!M17-'Project CAPEX'!M17</f>
        <v>#N/A</v>
      </c>
      <c r="N17" s="743" t="e">
        <f>CASHFLOW!N17-'Project CAPEX'!N17</f>
        <v>#N/A</v>
      </c>
      <c r="O17" s="743" t="e">
        <f>CASHFLOW!O17-'Project CAPEX'!O17</f>
        <v>#N/A</v>
      </c>
      <c r="P17" s="743" t="e">
        <f>CASHFLOW!P17-'Project CAPEX'!P17</f>
        <v>#N/A</v>
      </c>
      <c r="Q17" s="743" t="e">
        <f>CASHFLOW!Q17-'Project CAPEX'!Q17</f>
        <v>#N/A</v>
      </c>
      <c r="R17" s="743" t="e">
        <f>CASHFLOW!R17-'Project CAPEX'!R17</f>
        <v>#N/A</v>
      </c>
      <c r="S17" s="743" t="e">
        <f>CASHFLOW!S17-'Project CAPEX'!S17</f>
        <v>#N/A</v>
      </c>
      <c r="T17" s="743" t="e">
        <f>CASHFLOW!T17-'Project CAPEX'!T17</f>
        <v>#N/A</v>
      </c>
    </row>
    <row r="18" spans="1:20">
      <c r="A18" s="655" t="str">
        <f>IF(ISBLANK('Project Master Sheet'!A18)=FALSE, 'Project Master Sheet'!A18, "")</f>
        <v/>
      </c>
      <c r="B18" s="655" t="str">
        <f>_xlfn.IFNA(_xlfn.XLOOKUP(A18, 'Project Master Sheet'!A:A, 'Project Master Sheet'!D:D), "")</f>
        <v/>
      </c>
      <c r="C18" s="655" t="e">
        <f>_xlfn.XLOOKUP('Project OPEX'!A18, 'Project Master Sheet'!A:A, 'Project Master Sheet'!I:I)</f>
        <v>#N/A</v>
      </c>
      <c r="E18" s="743" t="e">
        <f>CASHFLOW!E18-'Project CAPEX'!E18</f>
        <v>#N/A</v>
      </c>
      <c r="F18" s="743" t="e">
        <f>CASHFLOW!F18-'Project CAPEX'!F18</f>
        <v>#N/A</v>
      </c>
      <c r="G18" s="743" t="e">
        <f>CASHFLOW!G18-'Project CAPEX'!G18</f>
        <v>#N/A</v>
      </c>
      <c r="H18" s="743" t="e">
        <f>CASHFLOW!H18-'Project CAPEX'!H18</f>
        <v>#N/A</v>
      </c>
      <c r="I18" s="743" t="e">
        <f>CASHFLOW!I18-'Project CAPEX'!I18</f>
        <v>#N/A</v>
      </c>
      <c r="J18" s="743" t="e">
        <f>CASHFLOW!J18-'Project CAPEX'!J18</f>
        <v>#N/A</v>
      </c>
      <c r="K18" s="743" t="e">
        <f>CASHFLOW!K18-'Project CAPEX'!K18</f>
        <v>#N/A</v>
      </c>
      <c r="L18" s="743" t="e">
        <f>CASHFLOW!L18-'Project CAPEX'!L18</f>
        <v>#N/A</v>
      </c>
      <c r="M18" s="743" t="e">
        <f>CASHFLOW!M18-'Project CAPEX'!M18</f>
        <v>#N/A</v>
      </c>
      <c r="N18" s="743" t="e">
        <f>CASHFLOW!N18-'Project CAPEX'!N18</f>
        <v>#N/A</v>
      </c>
      <c r="O18" s="743" t="e">
        <f>CASHFLOW!O18-'Project CAPEX'!O18</f>
        <v>#N/A</v>
      </c>
      <c r="P18" s="743" t="e">
        <f>CASHFLOW!P18-'Project CAPEX'!P18</f>
        <v>#N/A</v>
      </c>
      <c r="Q18" s="743" t="e">
        <f>CASHFLOW!Q18-'Project CAPEX'!Q18</f>
        <v>#N/A</v>
      </c>
      <c r="R18" s="743" t="e">
        <f>CASHFLOW!R18-'Project CAPEX'!R18</f>
        <v>#N/A</v>
      </c>
      <c r="S18" s="743" t="e">
        <f>CASHFLOW!S18-'Project CAPEX'!S18</f>
        <v>#N/A</v>
      </c>
      <c r="T18" s="743" t="e">
        <f>CASHFLOW!T18-'Project CAPEX'!T18</f>
        <v>#N/A</v>
      </c>
    </row>
    <row r="19" spans="1:20">
      <c r="A19" s="655" t="str">
        <f>IF(ISBLANK('Project Master Sheet'!A19)=FALSE, 'Project Master Sheet'!A19, "")</f>
        <v/>
      </c>
      <c r="B19" s="655" t="str">
        <f>_xlfn.IFNA(_xlfn.XLOOKUP(A19, 'Project Master Sheet'!A:A, 'Project Master Sheet'!D:D), "")</f>
        <v/>
      </c>
      <c r="C19" s="655" t="e">
        <f>_xlfn.XLOOKUP('Project OPEX'!A19, 'Project Master Sheet'!A:A, 'Project Master Sheet'!I:I)</f>
        <v>#N/A</v>
      </c>
      <c r="E19" s="743" t="e">
        <f>CASHFLOW!E19-'Project CAPEX'!E19</f>
        <v>#N/A</v>
      </c>
      <c r="F19" s="743" t="e">
        <f>CASHFLOW!F19-'Project CAPEX'!F19</f>
        <v>#N/A</v>
      </c>
      <c r="G19" s="743" t="e">
        <f>CASHFLOW!G19-'Project CAPEX'!G19</f>
        <v>#N/A</v>
      </c>
      <c r="H19" s="743" t="e">
        <f>CASHFLOW!H19-'Project CAPEX'!H19</f>
        <v>#N/A</v>
      </c>
      <c r="I19" s="743" t="e">
        <f>CASHFLOW!I19-'Project CAPEX'!I19</f>
        <v>#N/A</v>
      </c>
      <c r="J19" s="743" t="e">
        <f>CASHFLOW!J19-'Project CAPEX'!J19</f>
        <v>#N/A</v>
      </c>
      <c r="K19" s="743" t="e">
        <f>CASHFLOW!K19-'Project CAPEX'!K19</f>
        <v>#N/A</v>
      </c>
      <c r="L19" s="743" t="e">
        <f>CASHFLOW!L19-'Project CAPEX'!L19</f>
        <v>#N/A</v>
      </c>
      <c r="M19" s="743" t="e">
        <f>CASHFLOW!M19-'Project CAPEX'!M19</f>
        <v>#N/A</v>
      </c>
      <c r="N19" s="743" t="e">
        <f>CASHFLOW!N19-'Project CAPEX'!N19</f>
        <v>#N/A</v>
      </c>
      <c r="O19" s="743" t="e">
        <f>CASHFLOW!O19-'Project CAPEX'!O19</f>
        <v>#N/A</v>
      </c>
      <c r="P19" s="743" t="e">
        <f>CASHFLOW!P19-'Project CAPEX'!P19</f>
        <v>#N/A</v>
      </c>
      <c r="Q19" s="743" t="e">
        <f>CASHFLOW!Q19-'Project CAPEX'!Q19</f>
        <v>#N/A</v>
      </c>
      <c r="R19" s="743" t="e">
        <f>CASHFLOW!R19-'Project CAPEX'!R19</f>
        <v>#N/A</v>
      </c>
      <c r="S19" s="743" t="e">
        <f>CASHFLOW!S19-'Project CAPEX'!S19</f>
        <v>#N/A</v>
      </c>
      <c r="T19" s="743" t="e">
        <f>CASHFLOW!T19-'Project CAPEX'!T19</f>
        <v>#N/A</v>
      </c>
    </row>
    <row r="20" spans="1:20">
      <c r="A20" s="655" t="str">
        <f>IF(ISBLANK('Project Master Sheet'!A20)=FALSE, 'Project Master Sheet'!A20, "")</f>
        <v/>
      </c>
      <c r="B20" s="655" t="str">
        <f>_xlfn.IFNA(_xlfn.XLOOKUP(A20, 'Project Master Sheet'!A:A, 'Project Master Sheet'!D:D), "")</f>
        <v/>
      </c>
      <c r="C20" s="655" t="e">
        <f>_xlfn.XLOOKUP('Project OPEX'!A20, 'Project Master Sheet'!A:A, 'Project Master Sheet'!I:I)</f>
        <v>#N/A</v>
      </c>
      <c r="E20" s="743" t="e">
        <f>CASHFLOW!E20-'Project CAPEX'!E20</f>
        <v>#N/A</v>
      </c>
      <c r="F20" s="743" t="e">
        <f>CASHFLOW!F20-'Project CAPEX'!F20</f>
        <v>#N/A</v>
      </c>
      <c r="G20" s="743" t="e">
        <f>CASHFLOW!G20-'Project CAPEX'!G20</f>
        <v>#N/A</v>
      </c>
      <c r="H20" s="743" t="e">
        <f>CASHFLOW!H20-'Project CAPEX'!H20</f>
        <v>#N/A</v>
      </c>
      <c r="I20" s="743" t="e">
        <f>CASHFLOW!I20-'Project CAPEX'!I20</f>
        <v>#N/A</v>
      </c>
      <c r="J20" s="743" t="e">
        <f>CASHFLOW!J20-'Project CAPEX'!J20</f>
        <v>#N/A</v>
      </c>
      <c r="K20" s="743" t="e">
        <f>CASHFLOW!K20-'Project CAPEX'!K20</f>
        <v>#N/A</v>
      </c>
      <c r="L20" s="743" t="e">
        <f>CASHFLOW!L20-'Project CAPEX'!L20</f>
        <v>#N/A</v>
      </c>
      <c r="M20" s="743" t="e">
        <f>CASHFLOW!M20-'Project CAPEX'!M20</f>
        <v>#N/A</v>
      </c>
      <c r="N20" s="743" t="e">
        <f>CASHFLOW!N20-'Project CAPEX'!N20</f>
        <v>#N/A</v>
      </c>
      <c r="O20" s="743" t="e">
        <f>CASHFLOW!O20-'Project CAPEX'!O20</f>
        <v>#N/A</v>
      </c>
      <c r="P20" s="743" t="e">
        <f>CASHFLOW!P20-'Project CAPEX'!P20</f>
        <v>#N/A</v>
      </c>
      <c r="Q20" s="743" t="e">
        <f>CASHFLOW!Q20-'Project CAPEX'!Q20</f>
        <v>#N/A</v>
      </c>
      <c r="R20" s="743" t="e">
        <f>CASHFLOW!R20-'Project CAPEX'!R20</f>
        <v>#N/A</v>
      </c>
      <c r="S20" s="743" t="e">
        <f>CASHFLOW!S20-'Project CAPEX'!S20</f>
        <v>#N/A</v>
      </c>
      <c r="T20" s="743" t="e">
        <f>CASHFLOW!T20-'Project CAPEX'!T20</f>
        <v>#N/A</v>
      </c>
    </row>
    <row r="21" spans="1:20">
      <c r="A21" s="655" t="str">
        <f>IF(ISBLANK('Project Master Sheet'!A21)=FALSE, 'Project Master Sheet'!A21, "")</f>
        <v/>
      </c>
      <c r="B21" s="655" t="str">
        <f>_xlfn.IFNA(_xlfn.XLOOKUP(A21, 'Project Master Sheet'!A:A, 'Project Master Sheet'!D:D), "")</f>
        <v/>
      </c>
      <c r="C21" s="655" t="e">
        <f>_xlfn.XLOOKUP('Project OPEX'!A21, 'Project Master Sheet'!A:A, 'Project Master Sheet'!I:I)</f>
        <v>#N/A</v>
      </c>
      <c r="E21" s="743" t="e">
        <f>CASHFLOW!E21-'Project CAPEX'!E21</f>
        <v>#N/A</v>
      </c>
      <c r="F21" s="743" t="e">
        <f>CASHFLOW!F21-'Project CAPEX'!F21</f>
        <v>#N/A</v>
      </c>
      <c r="G21" s="743" t="e">
        <f>CASHFLOW!G21-'Project CAPEX'!G21</f>
        <v>#N/A</v>
      </c>
      <c r="H21" s="743" t="e">
        <f>CASHFLOW!H21-'Project CAPEX'!H21</f>
        <v>#N/A</v>
      </c>
      <c r="I21" s="743" t="e">
        <f>CASHFLOW!I21-'Project CAPEX'!I21</f>
        <v>#N/A</v>
      </c>
      <c r="J21" s="743" t="e">
        <f>CASHFLOW!J21-'Project CAPEX'!J21</f>
        <v>#N/A</v>
      </c>
      <c r="K21" s="743" t="e">
        <f>CASHFLOW!K21-'Project CAPEX'!K21</f>
        <v>#N/A</v>
      </c>
      <c r="L21" s="743" t="e">
        <f>CASHFLOW!L21-'Project CAPEX'!L21</f>
        <v>#N/A</v>
      </c>
      <c r="M21" s="743" t="e">
        <f>CASHFLOW!M21-'Project CAPEX'!M21</f>
        <v>#N/A</v>
      </c>
      <c r="N21" s="743" t="e">
        <f>CASHFLOW!N21-'Project CAPEX'!N21</f>
        <v>#N/A</v>
      </c>
      <c r="O21" s="743" t="e">
        <f>CASHFLOW!O21-'Project CAPEX'!O21</f>
        <v>#N/A</v>
      </c>
      <c r="P21" s="743" t="e">
        <f>CASHFLOW!P21-'Project CAPEX'!P21</f>
        <v>#N/A</v>
      </c>
      <c r="Q21" s="743" t="e">
        <f>CASHFLOW!Q21-'Project CAPEX'!Q21</f>
        <v>#N/A</v>
      </c>
      <c r="R21" s="743" t="e">
        <f>CASHFLOW!R21-'Project CAPEX'!R21</f>
        <v>#N/A</v>
      </c>
      <c r="S21" s="743" t="e">
        <f>CASHFLOW!S21-'Project CAPEX'!S21</f>
        <v>#N/A</v>
      </c>
      <c r="T21" s="743" t="e">
        <f>CASHFLOW!T21-'Project CAPEX'!T21</f>
        <v>#N/A</v>
      </c>
    </row>
    <row r="22" spans="1:20">
      <c r="A22" s="655" t="str">
        <f>IF(ISBLANK('Project Master Sheet'!A22)=FALSE, 'Project Master Sheet'!A22, "")</f>
        <v/>
      </c>
      <c r="B22" s="655" t="str">
        <f>_xlfn.IFNA(_xlfn.XLOOKUP(A22, 'Project Master Sheet'!A:A, 'Project Master Sheet'!D:D), "")</f>
        <v/>
      </c>
      <c r="C22" s="655" t="e">
        <f>_xlfn.XLOOKUP('Project OPEX'!A22, 'Project Master Sheet'!A:A, 'Project Master Sheet'!I:I)</f>
        <v>#N/A</v>
      </c>
      <c r="E22" s="743" t="e">
        <f>CASHFLOW!E22-'Project CAPEX'!E22</f>
        <v>#N/A</v>
      </c>
      <c r="F22" s="743" t="e">
        <f>CASHFLOW!F22-'Project CAPEX'!F22</f>
        <v>#N/A</v>
      </c>
      <c r="G22" s="743" t="e">
        <f>CASHFLOW!G22-'Project CAPEX'!G22</f>
        <v>#N/A</v>
      </c>
      <c r="H22" s="743" t="e">
        <f>CASHFLOW!H22-'Project CAPEX'!H22</f>
        <v>#N/A</v>
      </c>
      <c r="I22" s="743" t="e">
        <f>CASHFLOW!I22-'Project CAPEX'!I22</f>
        <v>#N/A</v>
      </c>
      <c r="J22" s="743" t="e">
        <f>CASHFLOW!J22-'Project CAPEX'!J22</f>
        <v>#N/A</v>
      </c>
      <c r="K22" s="743" t="e">
        <f>CASHFLOW!K22-'Project CAPEX'!K22</f>
        <v>#N/A</v>
      </c>
      <c r="L22" s="743" t="e">
        <f>CASHFLOW!L22-'Project CAPEX'!L22</f>
        <v>#N/A</v>
      </c>
      <c r="M22" s="743" t="e">
        <f>CASHFLOW!M22-'Project CAPEX'!M22</f>
        <v>#N/A</v>
      </c>
      <c r="N22" s="743" t="e">
        <f>CASHFLOW!N22-'Project CAPEX'!N22</f>
        <v>#N/A</v>
      </c>
      <c r="O22" s="743" t="e">
        <f>CASHFLOW!O22-'Project CAPEX'!O22</f>
        <v>#N/A</v>
      </c>
      <c r="P22" s="743" t="e">
        <f>CASHFLOW!P22-'Project CAPEX'!P22</f>
        <v>#N/A</v>
      </c>
      <c r="Q22" s="743" t="e">
        <f>CASHFLOW!Q22-'Project CAPEX'!Q22</f>
        <v>#N/A</v>
      </c>
      <c r="R22" s="743" t="e">
        <f>CASHFLOW!R22-'Project CAPEX'!R22</f>
        <v>#N/A</v>
      </c>
      <c r="S22" s="743" t="e">
        <f>CASHFLOW!S22-'Project CAPEX'!S22</f>
        <v>#N/A</v>
      </c>
      <c r="T22" s="743" t="e">
        <f>CASHFLOW!T22-'Project CAPEX'!T22</f>
        <v>#N/A</v>
      </c>
    </row>
    <row r="23" spans="1:20">
      <c r="A23" s="655" t="str">
        <f>IF(ISBLANK('Project Master Sheet'!A23)=FALSE, 'Project Master Sheet'!A23, "")</f>
        <v/>
      </c>
      <c r="B23" s="655" t="str">
        <f>_xlfn.IFNA(_xlfn.XLOOKUP(A23, 'Project Master Sheet'!A:A, 'Project Master Sheet'!D:D), "")</f>
        <v/>
      </c>
      <c r="C23" s="655" t="e">
        <f>_xlfn.XLOOKUP('Project OPEX'!A23, 'Project Master Sheet'!A:A, 'Project Master Sheet'!I:I)</f>
        <v>#N/A</v>
      </c>
      <c r="E23" s="743" t="e">
        <f>CASHFLOW!E23-'Project CAPEX'!E23</f>
        <v>#N/A</v>
      </c>
      <c r="F23" s="743" t="e">
        <f>CASHFLOW!F23-'Project CAPEX'!F23</f>
        <v>#N/A</v>
      </c>
      <c r="G23" s="743" t="e">
        <f>CASHFLOW!G23-'Project CAPEX'!G23</f>
        <v>#N/A</v>
      </c>
      <c r="H23" s="743" t="e">
        <f>CASHFLOW!H23-'Project CAPEX'!H23</f>
        <v>#N/A</v>
      </c>
      <c r="I23" s="743" t="e">
        <f>CASHFLOW!I23-'Project CAPEX'!I23</f>
        <v>#N/A</v>
      </c>
      <c r="J23" s="743" t="e">
        <f>CASHFLOW!J23-'Project CAPEX'!J23</f>
        <v>#N/A</v>
      </c>
      <c r="K23" s="743" t="e">
        <f>CASHFLOW!K23-'Project CAPEX'!K23</f>
        <v>#N/A</v>
      </c>
      <c r="L23" s="743" t="e">
        <f>CASHFLOW!L23-'Project CAPEX'!L23</f>
        <v>#N/A</v>
      </c>
      <c r="M23" s="743" t="e">
        <f>CASHFLOW!M23-'Project CAPEX'!M23</f>
        <v>#N/A</v>
      </c>
      <c r="N23" s="743" t="e">
        <f>CASHFLOW!N23-'Project CAPEX'!N23</f>
        <v>#N/A</v>
      </c>
      <c r="O23" s="743" t="e">
        <f>CASHFLOW!O23-'Project CAPEX'!O23</f>
        <v>#N/A</v>
      </c>
      <c r="P23" s="743" t="e">
        <f>CASHFLOW!P23-'Project CAPEX'!P23</f>
        <v>#N/A</v>
      </c>
      <c r="Q23" s="743" t="e">
        <f>CASHFLOW!Q23-'Project CAPEX'!Q23</f>
        <v>#N/A</v>
      </c>
      <c r="R23" s="743" t="e">
        <f>CASHFLOW!R23-'Project CAPEX'!R23</f>
        <v>#N/A</v>
      </c>
      <c r="S23" s="743" t="e">
        <f>CASHFLOW!S23-'Project CAPEX'!S23</f>
        <v>#N/A</v>
      </c>
      <c r="T23" s="743" t="e">
        <f>CASHFLOW!T23-'Project CAPEX'!T23</f>
        <v>#N/A</v>
      </c>
    </row>
    <row r="24" spans="1:20">
      <c r="A24" s="655" t="str">
        <f>IF(ISBLANK('Project Master Sheet'!A24)=FALSE, 'Project Master Sheet'!A24, "")</f>
        <v/>
      </c>
      <c r="B24" s="655" t="str">
        <f>_xlfn.IFNA(_xlfn.XLOOKUP(A24, 'Project Master Sheet'!A:A, 'Project Master Sheet'!D:D), "")</f>
        <v/>
      </c>
      <c r="C24" s="655" t="e">
        <f>_xlfn.XLOOKUP('Project OPEX'!A24, 'Project Master Sheet'!A:A, 'Project Master Sheet'!I:I)</f>
        <v>#N/A</v>
      </c>
      <c r="E24" s="743" t="e">
        <f>CASHFLOW!E24-'Project CAPEX'!E24</f>
        <v>#N/A</v>
      </c>
      <c r="F24" s="743" t="e">
        <f>CASHFLOW!F24-'Project CAPEX'!F24</f>
        <v>#N/A</v>
      </c>
      <c r="G24" s="743" t="e">
        <f>CASHFLOW!G24-'Project CAPEX'!G24</f>
        <v>#N/A</v>
      </c>
      <c r="H24" s="743" t="e">
        <f>CASHFLOW!H24-'Project CAPEX'!H24</f>
        <v>#N/A</v>
      </c>
      <c r="I24" s="743" t="e">
        <f>CASHFLOW!I24-'Project CAPEX'!I24</f>
        <v>#N/A</v>
      </c>
      <c r="J24" s="743" t="e">
        <f>CASHFLOW!J24-'Project CAPEX'!J24</f>
        <v>#N/A</v>
      </c>
      <c r="K24" s="743" t="e">
        <f>CASHFLOW!K24-'Project CAPEX'!K24</f>
        <v>#N/A</v>
      </c>
      <c r="L24" s="743" t="e">
        <f>CASHFLOW!L24-'Project CAPEX'!L24</f>
        <v>#N/A</v>
      </c>
      <c r="M24" s="743" t="e">
        <f>CASHFLOW!M24-'Project CAPEX'!M24</f>
        <v>#N/A</v>
      </c>
      <c r="N24" s="743" t="e">
        <f>CASHFLOW!N24-'Project CAPEX'!N24</f>
        <v>#N/A</v>
      </c>
      <c r="O24" s="743" t="e">
        <f>CASHFLOW!O24-'Project CAPEX'!O24</f>
        <v>#N/A</v>
      </c>
      <c r="P24" s="743" t="e">
        <f>CASHFLOW!P24-'Project CAPEX'!P24</f>
        <v>#N/A</v>
      </c>
      <c r="Q24" s="743" t="e">
        <f>CASHFLOW!Q24-'Project CAPEX'!Q24</f>
        <v>#N/A</v>
      </c>
      <c r="R24" s="743" t="e">
        <f>CASHFLOW!R24-'Project CAPEX'!R24</f>
        <v>#N/A</v>
      </c>
      <c r="S24" s="743" t="e">
        <f>CASHFLOW!S24-'Project CAPEX'!S24</f>
        <v>#N/A</v>
      </c>
      <c r="T24" s="743" t="e">
        <f>CASHFLOW!T24-'Project CAPEX'!T24</f>
        <v>#N/A</v>
      </c>
    </row>
    <row r="25" spans="1:20">
      <c r="A25" s="655" t="str">
        <f>IF(ISBLANK('Project Master Sheet'!A25)=FALSE, 'Project Master Sheet'!A25, "")</f>
        <v/>
      </c>
      <c r="B25" s="655" t="str">
        <f>_xlfn.IFNA(_xlfn.XLOOKUP(A25, 'Project Master Sheet'!A:A, 'Project Master Sheet'!D:D), "")</f>
        <v/>
      </c>
      <c r="C25" s="655" t="e">
        <f>_xlfn.XLOOKUP('Project OPEX'!A25, 'Project Master Sheet'!A:A, 'Project Master Sheet'!I:I)</f>
        <v>#N/A</v>
      </c>
      <c r="E25" s="743" t="e">
        <f>CASHFLOW!E25-'Project CAPEX'!E25</f>
        <v>#N/A</v>
      </c>
      <c r="F25" s="743" t="e">
        <f>CASHFLOW!F25-'Project CAPEX'!F25</f>
        <v>#N/A</v>
      </c>
      <c r="G25" s="743" t="e">
        <f>CASHFLOW!G25-'Project CAPEX'!G25</f>
        <v>#N/A</v>
      </c>
      <c r="H25" s="743" t="e">
        <f>CASHFLOW!H25-'Project CAPEX'!H25</f>
        <v>#N/A</v>
      </c>
      <c r="I25" s="743" t="e">
        <f>CASHFLOW!I25-'Project CAPEX'!I25</f>
        <v>#N/A</v>
      </c>
      <c r="J25" s="743" t="e">
        <f>CASHFLOW!J25-'Project CAPEX'!J25</f>
        <v>#N/A</v>
      </c>
      <c r="K25" s="743" t="e">
        <f>CASHFLOW!K25-'Project CAPEX'!K25</f>
        <v>#N/A</v>
      </c>
      <c r="L25" s="743" t="e">
        <f>CASHFLOW!L25-'Project CAPEX'!L25</f>
        <v>#N/A</v>
      </c>
      <c r="M25" s="743" t="e">
        <f>CASHFLOW!M25-'Project CAPEX'!M25</f>
        <v>#N/A</v>
      </c>
      <c r="N25" s="743" t="e">
        <f>CASHFLOW!N25-'Project CAPEX'!N25</f>
        <v>#N/A</v>
      </c>
      <c r="O25" s="743" t="e">
        <f>CASHFLOW!O25-'Project CAPEX'!O25</f>
        <v>#N/A</v>
      </c>
      <c r="P25" s="743" t="e">
        <f>CASHFLOW!P25-'Project CAPEX'!P25</f>
        <v>#N/A</v>
      </c>
      <c r="Q25" s="743" t="e">
        <f>CASHFLOW!Q25-'Project CAPEX'!Q25</f>
        <v>#N/A</v>
      </c>
      <c r="R25" s="743" t="e">
        <f>CASHFLOW!R25-'Project CAPEX'!R25</f>
        <v>#N/A</v>
      </c>
      <c r="S25" s="743" t="e">
        <f>CASHFLOW!S25-'Project CAPEX'!S25</f>
        <v>#N/A</v>
      </c>
      <c r="T25" s="743" t="e">
        <f>CASHFLOW!T25-'Project CAPEX'!T25</f>
        <v>#N/A</v>
      </c>
    </row>
    <row r="26" spans="1:20">
      <c r="A26" s="655" t="str">
        <f>IF(ISBLANK('Project Master Sheet'!A26)=FALSE, 'Project Master Sheet'!A26, "")</f>
        <v/>
      </c>
      <c r="B26" s="655" t="str">
        <f>_xlfn.IFNA(_xlfn.XLOOKUP(A26, 'Project Master Sheet'!A:A, 'Project Master Sheet'!D:D), "")</f>
        <v/>
      </c>
      <c r="C26" s="655" t="e">
        <f>_xlfn.XLOOKUP('Project OPEX'!A26, 'Project Master Sheet'!A:A, 'Project Master Sheet'!I:I)</f>
        <v>#N/A</v>
      </c>
      <c r="E26" s="743" t="e">
        <f>CASHFLOW!E26-'Project CAPEX'!E26</f>
        <v>#N/A</v>
      </c>
      <c r="F26" s="743" t="e">
        <f>CASHFLOW!F26-'Project CAPEX'!F26</f>
        <v>#N/A</v>
      </c>
      <c r="G26" s="743" t="e">
        <f>CASHFLOW!G26-'Project CAPEX'!G26</f>
        <v>#N/A</v>
      </c>
      <c r="H26" s="743" t="e">
        <f>CASHFLOW!H26-'Project CAPEX'!H26</f>
        <v>#N/A</v>
      </c>
      <c r="I26" s="743" t="e">
        <f>CASHFLOW!I26-'Project CAPEX'!I26</f>
        <v>#N/A</v>
      </c>
      <c r="J26" s="743" t="e">
        <f>CASHFLOW!J26-'Project CAPEX'!J26</f>
        <v>#N/A</v>
      </c>
      <c r="K26" s="743" t="e">
        <f>CASHFLOW!K26-'Project CAPEX'!K26</f>
        <v>#N/A</v>
      </c>
      <c r="L26" s="743" t="e">
        <f>CASHFLOW!L26-'Project CAPEX'!L26</f>
        <v>#N/A</v>
      </c>
      <c r="M26" s="743" t="e">
        <f>CASHFLOW!M26-'Project CAPEX'!M26</f>
        <v>#N/A</v>
      </c>
      <c r="N26" s="743" t="e">
        <f>CASHFLOW!N26-'Project CAPEX'!N26</f>
        <v>#N/A</v>
      </c>
      <c r="O26" s="743" t="e">
        <f>CASHFLOW!O26-'Project CAPEX'!O26</f>
        <v>#N/A</v>
      </c>
      <c r="P26" s="743" t="e">
        <f>CASHFLOW!P26-'Project CAPEX'!P26</f>
        <v>#N/A</v>
      </c>
      <c r="Q26" s="743" t="e">
        <f>CASHFLOW!Q26-'Project CAPEX'!Q26</f>
        <v>#N/A</v>
      </c>
      <c r="R26" s="743" t="e">
        <f>CASHFLOW!R26-'Project CAPEX'!R26</f>
        <v>#N/A</v>
      </c>
      <c r="S26" s="743" t="e">
        <f>CASHFLOW!S26-'Project CAPEX'!S26</f>
        <v>#N/A</v>
      </c>
      <c r="T26" s="743" t="e">
        <f>CASHFLOW!T26-'Project CAPEX'!T26</f>
        <v>#N/A</v>
      </c>
    </row>
    <row r="27" spans="1:20">
      <c r="A27" s="655" t="str">
        <f>IF(ISBLANK('Project Master Sheet'!A27)=FALSE, 'Project Master Sheet'!A27, "")</f>
        <v/>
      </c>
      <c r="B27" s="655" t="str">
        <f>_xlfn.IFNA(_xlfn.XLOOKUP(A27, 'Project Master Sheet'!A:A, 'Project Master Sheet'!D:D), "")</f>
        <v/>
      </c>
      <c r="C27" s="655" t="e">
        <f>_xlfn.XLOOKUP('Project OPEX'!A27, 'Project Master Sheet'!A:A, 'Project Master Sheet'!I:I)</f>
        <v>#N/A</v>
      </c>
      <c r="E27" s="743" t="e">
        <f>CASHFLOW!E27-'Project CAPEX'!E27</f>
        <v>#N/A</v>
      </c>
      <c r="F27" s="743" t="e">
        <f>CASHFLOW!F27-'Project CAPEX'!F27</f>
        <v>#N/A</v>
      </c>
      <c r="G27" s="743" t="e">
        <f>CASHFLOW!G27-'Project CAPEX'!G27</f>
        <v>#N/A</v>
      </c>
      <c r="H27" s="743" t="e">
        <f>CASHFLOW!H27-'Project CAPEX'!H27</f>
        <v>#N/A</v>
      </c>
      <c r="I27" s="743" t="e">
        <f>CASHFLOW!I27-'Project CAPEX'!I27</f>
        <v>#N/A</v>
      </c>
      <c r="J27" s="743" t="e">
        <f>CASHFLOW!J27-'Project CAPEX'!J27</f>
        <v>#N/A</v>
      </c>
      <c r="K27" s="743" t="e">
        <f>CASHFLOW!K27-'Project CAPEX'!K27</f>
        <v>#N/A</v>
      </c>
      <c r="L27" s="743" t="e">
        <f>CASHFLOW!L27-'Project CAPEX'!L27</f>
        <v>#N/A</v>
      </c>
      <c r="M27" s="743" t="e">
        <f>CASHFLOW!M27-'Project CAPEX'!M27</f>
        <v>#N/A</v>
      </c>
      <c r="N27" s="743" t="e">
        <f>CASHFLOW!N27-'Project CAPEX'!N27</f>
        <v>#N/A</v>
      </c>
      <c r="O27" s="743" t="e">
        <f>CASHFLOW!O27-'Project CAPEX'!O27</f>
        <v>#N/A</v>
      </c>
      <c r="P27" s="743" t="e">
        <f>CASHFLOW!P27-'Project CAPEX'!P27</f>
        <v>#N/A</v>
      </c>
      <c r="Q27" s="743" t="e">
        <f>CASHFLOW!Q27-'Project CAPEX'!Q27</f>
        <v>#N/A</v>
      </c>
      <c r="R27" s="743" t="e">
        <f>CASHFLOW!R27-'Project CAPEX'!R27</f>
        <v>#N/A</v>
      </c>
      <c r="S27" s="743" t="e">
        <f>CASHFLOW!S27-'Project CAPEX'!S27</f>
        <v>#N/A</v>
      </c>
      <c r="T27" s="743" t="e">
        <f>CASHFLOW!T27-'Project CAPEX'!T27</f>
        <v>#N/A</v>
      </c>
    </row>
    <row r="28" spans="1:20">
      <c r="A28" s="655" t="str">
        <f>IF(ISBLANK('Project Master Sheet'!A28)=FALSE, 'Project Master Sheet'!A28, "")</f>
        <v/>
      </c>
      <c r="B28" s="655" t="str">
        <f>_xlfn.IFNA(_xlfn.XLOOKUP(A28, 'Project Master Sheet'!A:A, 'Project Master Sheet'!D:D), "")</f>
        <v/>
      </c>
      <c r="C28" s="655" t="e">
        <f>_xlfn.XLOOKUP('Project OPEX'!A28, 'Project Master Sheet'!A:A, 'Project Master Sheet'!I:I)</f>
        <v>#N/A</v>
      </c>
      <c r="E28" s="743" t="e">
        <f>CASHFLOW!E28-'Project CAPEX'!E28</f>
        <v>#N/A</v>
      </c>
      <c r="F28" s="743" t="e">
        <f>CASHFLOW!F28-'Project CAPEX'!F28</f>
        <v>#N/A</v>
      </c>
      <c r="G28" s="743" t="e">
        <f>CASHFLOW!G28-'Project CAPEX'!G28</f>
        <v>#N/A</v>
      </c>
      <c r="H28" s="743" t="e">
        <f>CASHFLOW!H28-'Project CAPEX'!H28</f>
        <v>#N/A</v>
      </c>
      <c r="I28" s="743" t="e">
        <f>CASHFLOW!I28-'Project CAPEX'!I28</f>
        <v>#N/A</v>
      </c>
      <c r="J28" s="743" t="e">
        <f>CASHFLOW!J28-'Project CAPEX'!J28</f>
        <v>#N/A</v>
      </c>
      <c r="K28" s="743" t="e">
        <f>CASHFLOW!K28-'Project CAPEX'!K28</f>
        <v>#N/A</v>
      </c>
      <c r="L28" s="743" t="e">
        <f>CASHFLOW!L28-'Project CAPEX'!L28</f>
        <v>#N/A</v>
      </c>
      <c r="M28" s="743" t="e">
        <f>CASHFLOW!M28-'Project CAPEX'!M28</f>
        <v>#N/A</v>
      </c>
      <c r="N28" s="743" t="e">
        <f>CASHFLOW!N28-'Project CAPEX'!N28</f>
        <v>#N/A</v>
      </c>
      <c r="O28" s="743" t="e">
        <f>CASHFLOW!O28-'Project CAPEX'!O28</f>
        <v>#N/A</v>
      </c>
      <c r="P28" s="743" t="e">
        <f>CASHFLOW!P28-'Project CAPEX'!P28</f>
        <v>#N/A</v>
      </c>
      <c r="Q28" s="743" t="e">
        <f>CASHFLOW!Q28-'Project CAPEX'!Q28</f>
        <v>#N/A</v>
      </c>
      <c r="R28" s="743" t="e">
        <f>CASHFLOW!R28-'Project CAPEX'!R28</f>
        <v>#N/A</v>
      </c>
      <c r="S28" s="743" t="e">
        <f>CASHFLOW!S28-'Project CAPEX'!S28</f>
        <v>#N/A</v>
      </c>
      <c r="T28" s="743" t="e">
        <f>CASHFLOW!T28-'Project CAPEX'!T28</f>
        <v>#N/A</v>
      </c>
    </row>
    <row r="29" spans="1:20">
      <c r="A29" s="655" t="str">
        <f>IF(ISBLANK('Project Master Sheet'!A29)=FALSE, 'Project Master Sheet'!A29, "")</f>
        <v/>
      </c>
      <c r="B29" s="655" t="str">
        <f>_xlfn.IFNA(_xlfn.XLOOKUP(A29, 'Project Master Sheet'!A:A, 'Project Master Sheet'!D:D), "")</f>
        <v/>
      </c>
      <c r="C29" s="655" t="e">
        <f>_xlfn.XLOOKUP('Project OPEX'!A29, 'Project Master Sheet'!A:A, 'Project Master Sheet'!I:I)</f>
        <v>#N/A</v>
      </c>
      <c r="E29" s="743" t="e">
        <f>CASHFLOW!E29-'Project CAPEX'!E29</f>
        <v>#N/A</v>
      </c>
      <c r="F29" s="743" t="e">
        <f>CASHFLOW!F29-'Project CAPEX'!F29</f>
        <v>#N/A</v>
      </c>
      <c r="G29" s="743" t="e">
        <f>CASHFLOW!G29-'Project CAPEX'!G29</f>
        <v>#N/A</v>
      </c>
      <c r="H29" s="743" t="e">
        <f>CASHFLOW!H29-'Project CAPEX'!H29</f>
        <v>#N/A</v>
      </c>
      <c r="I29" s="743" t="e">
        <f>CASHFLOW!I29-'Project CAPEX'!I29</f>
        <v>#N/A</v>
      </c>
      <c r="J29" s="743" t="e">
        <f>CASHFLOW!J29-'Project CAPEX'!J29</f>
        <v>#N/A</v>
      </c>
      <c r="K29" s="743" t="e">
        <f>CASHFLOW!K29-'Project CAPEX'!K29</f>
        <v>#N/A</v>
      </c>
      <c r="L29" s="743" t="e">
        <f>CASHFLOW!L29-'Project CAPEX'!L29</f>
        <v>#N/A</v>
      </c>
      <c r="M29" s="743" t="e">
        <f>CASHFLOW!M29-'Project CAPEX'!M29</f>
        <v>#N/A</v>
      </c>
      <c r="N29" s="743" t="e">
        <f>CASHFLOW!N29-'Project CAPEX'!N29</f>
        <v>#N/A</v>
      </c>
      <c r="O29" s="743" t="e">
        <f>CASHFLOW!O29-'Project CAPEX'!O29</f>
        <v>#N/A</v>
      </c>
      <c r="P29" s="743" t="e">
        <f>CASHFLOW!P29-'Project CAPEX'!P29</f>
        <v>#N/A</v>
      </c>
      <c r="Q29" s="743" t="e">
        <f>CASHFLOW!Q29-'Project CAPEX'!Q29</f>
        <v>#N/A</v>
      </c>
      <c r="R29" s="743" t="e">
        <f>CASHFLOW!R29-'Project CAPEX'!R29</f>
        <v>#N/A</v>
      </c>
      <c r="S29" s="743" t="e">
        <f>CASHFLOW!S29-'Project CAPEX'!S29</f>
        <v>#N/A</v>
      </c>
      <c r="T29" s="743" t="e">
        <f>CASHFLOW!T29-'Project CAPEX'!T29</f>
        <v>#N/A</v>
      </c>
    </row>
    <row r="30" spans="1:20">
      <c r="A30" s="655" t="str">
        <f>IF(ISBLANK('Project Master Sheet'!A30)=FALSE, 'Project Master Sheet'!A30, "")</f>
        <v/>
      </c>
      <c r="B30" s="655" t="str">
        <f>_xlfn.IFNA(_xlfn.XLOOKUP(A30, 'Project Master Sheet'!A:A, 'Project Master Sheet'!D:D), "")</f>
        <v/>
      </c>
      <c r="C30" s="655" t="e">
        <f>_xlfn.XLOOKUP('Project OPEX'!A30, 'Project Master Sheet'!A:A, 'Project Master Sheet'!I:I)</f>
        <v>#N/A</v>
      </c>
      <c r="E30" s="743" t="e">
        <f>CASHFLOW!E30-'Project CAPEX'!E30</f>
        <v>#N/A</v>
      </c>
      <c r="F30" s="743" t="e">
        <f>CASHFLOW!F30-'Project CAPEX'!F30</f>
        <v>#N/A</v>
      </c>
      <c r="G30" s="743" t="e">
        <f>CASHFLOW!G30-'Project CAPEX'!G30</f>
        <v>#N/A</v>
      </c>
      <c r="H30" s="743" t="e">
        <f>CASHFLOW!H30-'Project CAPEX'!H30</f>
        <v>#N/A</v>
      </c>
      <c r="I30" s="743" t="e">
        <f>CASHFLOW!I30-'Project CAPEX'!I30</f>
        <v>#N/A</v>
      </c>
      <c r="J30" s="743" t="e">
        <f>CASHFLOW!J30-'Project CAPEX'!J30</f>
        <v>#N/A</v>
      </c>
      <c r="K30" s="743" t="e">
        <f>CASHFLOW!K30-'Project CAPEX'!K30</f>
        <v>#N/A</v>
      </c>
      <c r="L30" s="743" t="e">
        <f>CASHFLOW!L30-'Project CAPEX'!L30</f>
        <v>#N/A</v>
      </c>
      <c r="M30" s="743" t="e">
        <f>CASHFLOW!M30-'Project CAPEX'!M30</f>
        <v>#N/A</v>
      </c>
      <c r="N30" s="743" t="e">
        <f>CASHFLOW!N30-'Project CAPEX'!N30</f>
        <v>#N/A</v>
      </c>
      <c r="O30" s="743" t="e">
        <f>CASHFLOW!O30-'Project CAPEX'!O30</f>
        <v>#N/A</v>
      </c>
      <c r="P30" s="743" t="e">
        <f>CASHFLOW!P30-'Project CAPEX'!P30</f>
        <v>#N/A</v>
      </c>
      <c r="Q30" s="743" t="e">
        <f>CASHFLOW!Q30-'Project CAPEX'!Q30</f>
        <v>#N/A</v>
      </c>
      <c r="R30" s="743" t="e">
        <f>CASHFLOW!R30-'Project CAPEX'!R30</f>
        <v>#N/A</v>
      </c>
      <c r="S30" s="743" t="e">
        <f>CASHFLOW!S30-'Project CAPEX'!S30</f>
        <v>#N/A</v>
      </c>
      <c r="T30" s="743" t="e">
        <f>CASHFLOW!T30-'Project CAPEX'!T30</f>
        <v>#N/A</v>
      </c>
    </row>
    <row r="31" spans="1:20">
      <c r="A31" s="655" t="str">
        <f>IF(ISBLANK('Project Master Sheet'!A31)=FALSE, 'Project Master Sheet'!A31, "")</f>
        <v/>
      </c>
      <c r="B31" s="655" t="str">
        <f>_xlfn.IFNA(_xlfn.XLOOKUP(A31, 'Project Master Sheet'!A:A, 'Project Master Sheet'!D:D), "")</f>
        <v/>
      </c>
      <c r="C31" s="655" t="e">
        <f>_xlfn.XLOOKUP('Project OPEX'!A31, 'Project Master Sheet'!A:A, 'Project Master Sheet'!I:I)</f>
        <v>#N/A</v>
      </c>
      <c r="E31" s="743" t="e">
        <f>CASHFLOW!E31-'Project CAPEX'!E31</f>
        <v>#N/A</v>
      </c>
      <c r="F31" s="743" t="e">
        <f>CASHFLOW!F31-'Project CAPEX'!F31</f>
        <v>#N/A</v>
      </c>
      <c r="G31" s="743" t="e">
        <f>CASHFLOW!G31-'Project CAPEX'!G31</f>
        <v>#N/A</v>
      </c>
      <c r="H31" s="743" t="e">
        <f>CASHFLOW!H31-'Project CAPEX'!H31</f>
        <v>#N/A</v>
      </c>
      <c r="I31" s="743" t="e">
        <f>CASHFLOW!I31-'Project CAPEX'!I31</f>
        <v>#N/A</v>
      </c>
      <c r="J31" s="743" t="e">
        <f>CASHFLOW!J31-'Project CAPEX'!J31</f>
        <v>#N/A</v>
      </c>
      <c r="K31" s="743" t="e">
        <f>CASHFLOW!K31-'Project CAPEX'!K31</f>
        <v>#N/A</v>
      </c>
      <c r="L31" s="743" t="e">
        <f>CASHFLOW!L31-'Project CAPEX'!L31</f>
        <v>#N/A</v>
      </c>
      <c r="M31" s="743" t="e">
        <f>CASHFLOW!M31-'Project CAPEX'!M31</f>
        <v>#N/A</v>
      </c>
      <c r="N31" s="743" t="e">
        <f>CASHFLOW!N31-'Project CAPEX'!N31</f>
        <v>#N/A</v>
      </c>
      <c r="O31" s="743" t="e">
        <f>CASHFLOW!O31-'Project CAPEX'!O31</f>
        <v>#N/A</v>
      </c>
      <c r="P31" s="743" t="e">
        <f>CASHFLOW!P31-'Project CAPEX'!P31</f>
        <v>#N/A</v>
      </c>
      <c r="Q31" s="743" t="e">
        <f>CASHFLOW!Q31-'Project CAPEX'!Q31</f>
        <v>#N/A</v>
      </c>
      <c r="R31" s="743" t="e">
        <f>CASHFLOW!R31-'Project CAPEX'!R31</f>
        <v>#N/A</v>
      </c>
      <c r="S31" s="743" t="e">
        <f>CASHFLOW!S31-'Project CAPEX'!S31</f>
        <v>#N/A</v>
      </c>
      <c r="T31" s="743" t="e">
        <f>CASHFLOW!T31-'Project CAPEX'!T31</f>
        <v>#N/A</v>
      </c>
    </row>
    <row r="32" spans="1:20">
      <c r="A32" s="655" t="str">
        <f>IF(ISBLANK('Project Master Sheet'!A32)=FALSE, 'Project Master Sheet'!A32, "")</f>
        <v/>
      </c>
      <c r="B32" s="655" t="str">
        <f>_xlfn.IFNA(_xlfn.XLOOKUP(A32, 'Project Master Sheet'!A:A, 'Project Master Sheet'!D:D), "")</f>
        <v/>
      </c>
      <c r="C32" s="655" t="e">
        <f>_xlfn.XLOOKUP('Project OPEX'!A32, 'Project Master Sheet'!A:A, 'Project Master Sheet'!I:I)</f>
        <v>#N/A</v>
      </c>
      <c r="E32" s="743" t="e">
        <f>CASHFLOW!E32-'Project CAPEX'!E32</f>
        <v>#N/A</v>
      </c>
      <c r="F32" s="743" t="e">
        <f>CASHFLOW!F32-'Project CAPEX'!F32</f>
        <v>#N/A</v>
      </c>
      <c r="G32" s="743" t="e">
        <f>CASHFLOW!G32-'Project CAPEX'!G32</f>
        <v>#N/A</v>
      </c>
      <c r="H32" s="743" t="e">
        <f>CASHFLOW!H32-'Project CAPEX'!H32</f>
        <v>#N/A</v>
      </c>
      <c r="I32" s="743" t="e">
        <f>CASHFLOW!I32-'Project CAPEX'!I32</f>
        <v>#N/A</v>
      </c>
      <c r="J32" s="743" t="e">
        <f>CASHFLOW!J32-'Project CAPEX'!J32</f>
        <v>#N/A</v>
      </c>
      <c r="K32" s="743" t="e">
        <f>CASHFLOW!K32-'Project CAPEX'!K32</f>
        <v>#N/A</v>
      </c>
      <c r="L32" s="743" t="e">
        <f>CASHFLOW!L32-'Project CAPEX'!L32</f>
        <v>#N/A</v>
      </c>
      <c r="M32" s="743" t="e">
        <f>CASHFLOW!M32-'Project CAPEX'!M32</f>
        <v>#N/A</v>
      </c>
      <c r="N32" s="743" t="e">
        <f>CASHFLOW!N32-'Project CAPEX'!N32</f>
        <v>#N/A</v>
      </c>
      <c r="O32" s="743" t="e">
        <f>CASHFLOW!O32-'Project CAPEX'!O32</f>
        <v>#N/A</v>
      </c>
      <c r="P32" s="743" t="e">
        <f>CASHFLOW!P32-'Project CAPEX'!P32</f>
        <v>#N/A</v>
      </c>
      <c r="Q32" s="743" t="e">
        <f>CASHFLOW!Q32-'Project CAPEX'!Q32</f>
        <v>#N/A</v>
      </c>
      <c r="R32" s="743" t="e">
        <f>CASHFLOW!R32-'Project CAPEX'!R32</f>
        <v>#N/A</v>
      </c>
      <c r="S32" s="743" t="e">
        <f>CASHFLOW!S32-'Project CAPEX'!S32</f>
        <v>#N/A</v>
      </c>
      <c r="T32" s="743" t="e">
        <f>CASHFLOW!T32-'Project CAPEX'!T32</f>
        <v>#N/A</v>
      </c>
    </row>
    <row r="33" spans="1:20">
      <c r="A33" s="655" t="str">
        <f>IF(ISBLANK('Project Master Sheet'!A33)=FALSE, 'Project Master Sheet'!A33, "")</f>
        <v/>
      </c>
      <c r="B33" s="655" t="str">
        <f>_xlfn.IFNA(_xlfn.XLOOKUP(A33, 'Project Master Sheet'!A:A, 'Project Master Sheet'!D:D), "")</f>
        <v/>
      </c>
      <c r="C33" s="655" t="e">
        <f>_xlfn.XLOOKUP('Project OPEX'!A33, 'Project Master Sheet'!A:A, 'Project Master Sheet'!I:I)</f>
        <v>#N/A</v>
      </c>
      <c r="E33" s="743" t="e">
        <f>CASHFLOW!E33-'Project CAPEX'!E33</f>
        <v>#N/A</v>
      </c>
      <c r="F33" s="743" t="e">
        <f>CASHFLOW!F33-'Project CAPEX'!F33</f>
        <v>#N/A</v>
      </c>
      <c r="G33" s="743" t="e">
        <f>CASHFLOW!G33-'Project CAPEX'!G33</f>
        <v>#N/A</v>
      </c>
      <c r="H33" s="743" t="e">
        <f>CASHFLOW!H33-'Project CAPEX'!H33</f>
        <v>#N/A</v>
      </c>
      <c r="I33" s="743" t="e">
        <f>CASHFLOW!I33-'Project CAPEX'!I33</f>
        <v>#N/A</v>
      </c>
      <c r="J33" s="743" t="e">
        <f>CASHFLOW!J33-'Project CAPEX'!J33</f>
        <v>#N/A</v>
      </c>
      <c r="K33" s="743" t="e">
        <f>CASHFLOW!K33-'Project CAPEX'!K33</f>
        <v>#N/A</v>
      </c>
      <c r="L33" s="743" t="e">
        <f>CASHFLOW!L33-'Project CAPEX'!L33</f>
        <v>#N/A</v>
      </c>
      <c r="M33" s="743" t="e">
        <f>CASHFLOW!M33-'Project CAPEX'!M33</f>
        <v>#N/A</v>
      </c>
      <c r="N33" s="743" t="e">
        <f>CASHFLOW!N33-'Project CAPEX'!N33</f>
        <v>#N/A</v>
      </c>
      <c r="O33" s="743" t="e">
        <f>CASHFLOW!O33-'Project CAPEX'!O33</f>
        <v>#N/A</v>
      </c>
      <c r="P33" s="743" t="e">
        <f>CASHFLOW!P33-'Project CAPEX'!P33</f>
        <v>#N/A</v>
      </c>
      <c r="Q33" s="743" t="e">
        <f>CASHFLOW!Q33-'Project CAPEX'!Q33</f>
        <v>#N/A</v>
      </c>
      <c r="R33" s="743" t="e">
        <f>CASHFLOW!R33-'Project CAPEX'!R33</f>
        <v>#N/A</v>
      </c>
      <c r="S33" s="743" t="e">
        <f>CASHFLOW!S33-'Project CAPEX'!S33</f>
        <v>#N/A</v>
      </c>
      <c r="T33" s="743" t="e">
        <f>CASHFLOW!T33-'Project CAPEX'!T33</f>
        <v>#N/A</v>
      </c>
    </row>
    <row r="34" spans="1:20">
      <c r="A34" s="655" t="str">
        <f>IF(ISBLANK('Project Master Sheet'!A34)=FALSE, 'Project Master Sheet'!A34, "")</f>
        <v/>
      </c>
      <c r="B34" s="655" t="str">
        <f>_xlfn.IFNA(_xlfn.XLOOKUP(A34, 'Project Master Sheet'!A:A, 'Project Master Sheet'!D:D), "")</f>
        <v/>
      </c>
      <c r="C34" s="655" t="e">
        <f>_xlfn.XLOOKUP('Project OPEX'!A34, 'Project Master Sheet'!A:A, 'Project Master Sheet'!I:I)</f>
        <v>#N/A</v>
      </c>
      <c r="E34" s="743" t="e">
        <f>CASHFLOW!E34-'Project CAPEX'!E34</f>
        <v>#N/A</v>
      </c>
      <c r="F34" s="743" t="e">
        <f>CASHFLOW!F34-'Project CAPEX'!F34</f>
        <v>#N/A</v>
      </c>
      <c r="G34" s="743" t="e">
        <f>CASHFLOW!G34-'Project CAPEX'!G34</f>
        <v>#N/A</v>
      </c>
      <c r="H34" s="743" t="e">
        <f>CASHFLOW!H34-'Project CAPEX'!H34</f>
        <v>#N/A</v>
      </c>
      <c r="I34" s="743" t="e">
        <f>CASHFLOW!I34-'Project CAPEX'!I34</f>
        <v>#N/A</v>
      </c>
      <c r="J34" s="743" t="e">
        <f>CASHFLOW!J34-'Project CAPEX'!J34</f>
        <v>#N/A</v>
      </c>
      <c r="K34" s="743" t="e">
        <f>CASHFLOW!K34-'Project CAPEX'!K34</f>
        <v>#N/A</v>
      </c>
      <c r="L34" s="743" t="e">
        <f>CASHFLOW!L34-'Project CAPEX'!L34</f>
        <v>#N/A</v>
      </c>
      <c r="M34" s="743" t="e">
        <f>CASHFLOW!M34-'Project CAPEX'!M34</f>
        <v>#N/A</v>
      </c>
      <c r="N34" s="743" t="e">
        <f>CASHFLOW!N34-'Project CAPEX'!N34</f>
        <v>#N/A</v>
      </c>
      <c r="O34" s="743" t="e">
        <f>CASHFLOW!O34-'Project CAPEX'!O34</f>
        <v>#N/A</v>
      </c>
      <c r="P34" s="743" t="e">
        <f>CASHFLOW!P34-'Project CAPEX'!P34</f>
        <v>#N/A</v>
      </c>
      <c r="Q34" s="743" t="e">
        <f>CASHFLOW!Q34-'Project CAPEX'!Q34</f>
        <v>#N/A</v>
      </c>
      <c r="R34" s="743" t="e">
        <f>CASHFLOW!R34-'Project CAPEX'!R34</f>
        <v>#N/A</v>
      </c>
      <c r="S34" s="743" t="e">
        <f>CASHFLOW!S34-'Project CAPEX'!S34</f>
        <v>#N/A</v>
      </c>
      <c r="T34" s="743" t="e">
        <f>CASHFLOW!T34-'Project CAPEX'!T34</f>
        <v>#N/A</v>
      </c>
    </row>
    <row r="35" spans="1:20">
      <c r="A35" s="655" t="str">
        <f>IF(ISBLANK('Project Master Sheet'!A35)=FALSE, 'Project Master Sheet'!A35, "")</f>
        <v/>
      </c>
      <c r="B35" s="655" t="str">
        <f>_xlfn.IFNA(_xlfn.XLOOKUP(A35, 'Project Master Sheet'!A:A, 'Project Master Sheet'!D:D), "")</f>
        <v/>
      </c>
      <c r="C35" s="655" t="e">
        <f>_xlfn.XLOOKUP('Project OPEX'!A35, 'Project Master Sheet'!A:A, 'Project Master Sheet'!I:I)</f>
        <v>#N/A</v>
      </c>
      <c r="E35" s="743" t="e">
        <f>CASHFLOW!E35-'Project CAPEX'!E35</f>
        <v>#N/A</v>
      </c>
      <c r="F35" s="743" t="e">
        <f>CASHFLOW!F35-'Project CAPEX'!F35</f>
        <v>#N/A</v>
      </c>
      <c r="G35" s="743" t="e">
        <f>CASHFLOW!G35-'Project CAPEX'!G35</f>
        <v>#N/A</v>
      </c>
      <c r="H35" s="743" t="e">
        <f>CASHFLOW!H35-'Project CAPEX'!H35</f>
        <v>#N/A</v>
      </c>
      <c r="I35" s="743" t="e">
        <f>CASHFLOW!I35-'Project CAPEX'!I35</f>
        <v>#N/A</v>
      </c>
      <c r="J35" s="743" t="e">
        <f>CASHFLOW!J35-'Project CAPEX'!J35</f>
        <v>#N/A</v>
      </c>
      <c r="K35" s="743" t="e">
        <f>CASHFLOW!K35-'Project CAPEX'!K35</f>
        <v>#N/A</v>
      </c>
      <c r="L35" s="743" t="e">
        <f>CASHFLOW!L35-'Project CAPEX'!L35</f>
        <v>#N/A</v>
      </c>
      <c r="M35" s="743" t="e">
        <f>CASHFLOW!M35-'Project CAPEX'!M35</f>
        <v>#N/A</v>
      </c>
      <c r="N35" s="743" t="e">
        <f>CASHFLOW!N35-'Project CAPEX'!N35</f>
        <v>#N/A</v>
      </c>
      <c r="O35" s="743" t="e">
        <f>CASHFLOW!O35-'Project CAPEX'!O35</f>
        <v>#N/A</v>
      </c>
      <c r="P35" s="743" t="e">
        <f>CASHFLOW!P35-'Project CAPEX'!P35</f>
        <v>#N/A</v>
      </c>
      <c r="Q35" s="743" t="e">
        <f>CASHFLOW!Q35-'Project CAPEX'!Q35</f>
        <v>#N/A</v>
      </c>
      <c r="R35" s="743" t="e">
        <f>CASHFLOW!R35-'Project CAPEX'!R35</f>
        <v>#N/A</v>
      </c>
      <c r="S35" s="743" t="e">
        <f>CASHFLOW!S35-'Project CAPEX'!S35</f>
        <v>#N/A</v>
      </c>
      <c r="T35" s="743" t="e">
        <f>CASHFLOW!T35-'Project CAPEX'!T35</f>
        <v>#N/A</v>
      </c>
    </row>
    <row r="36" spans="1:20">
      <c r="A36" s="655" t="str">
        <f>IF(ISBLANK('Project Master Sheet'!A36)=FALSE, 'Project Master Sheet'!A36, "")</f>
        <v/>
      </c>
      <c r="B36" s="655" t="str">
        <f>_xlfn.IFNA(_xlfn.XLOOKUP(A36, 'Project Master Sheet'!A:A, 'Project Master Sheet'!D:D), "")</f>
        <v/>
      </c>
      <c r="C36" s="655" t="e">
        <f>_xlfn.XLOOKUP('Project OPEX'!A36, 'Project Master Sheet'!A:A, 'Project Master Sheet'!I:I)</f>
        <v>#N/A</v>
      </c>
      <c r="E36" s="743" t="e">
        <f>CASHFLOW!E36-'Project CAPEX'!E36</f>
        <v>#N/A</v>
      </c>
      <c r="F36" s="743" t="e">
        <f>CASHFLOW!F36-'Project CAPEX'!F36</f>
        <v>#N/A</v>
      </c>
      <c r="G36" s="743" t="e">
        <f>CASHFLOW!G36-'Project CAPEX'!G36</f>
        <v>#N/A</v>
      </c>
      <c r="H36" s="743" t="e">
        <f>CASHFLOW!H36-'Project CAPEX'!H36</f>
        <v>#N/A</v>
      </c>
      <c r="I36" s="743" t="e">
        <f>CASHFLOW!I36-'Project CAPEX'!I36</f>
        <v>#N/A</v>
      </c>
      <c r="J36" s="743" t="e">
        <f>CASHFLOW!J36-'Project CAPEX'!J36</f>
        <v>#N/A</v>
      </c>
      <c r="K36" s="743" t="e">
        <f>CASHFLOW!K36-'Project CAPEX'!K36</f>
        <v>#N/A</v>
      </c>
      <c r="L36" s="743" t="e">
        <f>CASHFLOW!L36-'Project CAPEX'!L36</f>
        <v>#N/A</v>
      </c>
      <c r="M36" s="743" t="e">
        <f>CASHFLOW!M36-'Project CAPEX'!M36</f>
        <v>#N/A</v>
      </c>
      <c r="N36" s="743" t="e">
        <f>CASHFLOW!N36-'Project CAPEX'!N36</f>
        <v>#N/A</v>
      </c>
      <c r="O36" s="743" t="e">
        <f>CASHFLOW!O36-'Project CAPEX'!O36</f>
        <v>#N/A</v>
      </c>
      <c r="P36" s="743" t="e">
        <f>CASHFLOW!P36-'Project CAPEX'!P36</f>
        <v>#N/A</v>
      </c>
      <c r="Q36" s="743" t="e">
        <f>CASHFLOW!Q36-'Project CAPEX'!Q36</f>
        <v>#N/A</v>
      </c>
      <c r="R36" s="743" t="e">
        <f>CASHFLOW!R36-'Project CAPEX'!R36</f>
        <v>#N/A</v>
      </c>
      <c r="S36" s="743" t="e">
        <f>CASHFLOW!S36-'Project CAPEX'!S36</f>
        <v>#N/A</v>
      </c>
      <c r="T36" s="743" t="e">
        <f>CASHFLOW!T36-'Project CAPEX'!T36</f>
        <v>#N/A</v>
      </c>
    </row>
    <row r="37" spans="1:20">
      <c r="A37" s="655" t="str">
        <f>IF(ISBLANK('Project Master Sheet'!A37)=FALSE, 'Project Master Sheet'!A37, "")</f>
        <v/>
      </c>
      <c r="B37" s="655" t="str">
        <f>_xlfn.IFNA(_xlfn.XLOOKUP(A37, 'Project Master Sheet'!A:A, 'Project Master Sheet'!D:D), "")</f>
        <v/>
      </c>
      <c r="E37" s="743"/>
      <c r="F37" s="743"/>
      <c r="G37" s="743"/>
      <c r="H37" s="743"/>
      <c r="I37" s="743"/>
      <c r="J37" s="743"/>
      <c r="K37" s="743"/>
      <c r="L37" s="743"/>
      <c r="M37" s="743"/>
      <c r="N37" s="743"/>
      <c r="O37" s="743"/>
      <c r="P37" s="743"/>
      <c r="Q37" s="743"/>
      <c r="R37" s="743"/>
      <c r="S37" s="743"/>
      <c r="T37" s="743"/>
    </row>
    <row r="38" spans="1:20">
      <c r="A38" s="655" t="str">
        <f>IF(ISBLANK('Project Master Sheet'!A38)=FALSE, 'Project Master Sheet'!A38, "")</f>
        <v/>
      </c>
      <c r="B38" s="655" t="str">
        <f>_xlfn.IFNA(_xlfn.XLOOKUP(A38, 'Project Master Sheet'!A:A, 'Project Master Sheet'!D:D), "")</f>
        <v/>
      </c>
      <c r="E38" s="743"/>
      <c r="F38" s="743"/>
      <c r="G38" s="743"/>
      <c r="H38" s="743"/>
      <c r="I38" s="743"/>
      <c r="J38" s="743"/>
      <c r="K38" s="743"/>
      <c r="L38" s="743"/>
      <c r="M38" s="743"/>
      <c r="N38" s="743"/>
      <c r="O38" s="743"/>
      <c r="P38" s="743"/>
      <c r="Q38" s="743"/>
      <c r="R38" s="743"/>
      <c r="S38" s="743"/>
      <c r="T38" s="743"/>
    </row>
    <row r="39" spans="1:20">
      <c r="A39" s="655" t="str">
        <f>IF(ISBLANK('Project Master Sheet'!A39)=FALSE, 'Project Master Sheet'!A39, "")</f>
        <v/>
      </c>
      <c r="B39" s="655" t="str">
        <f>_xlfn.IFNA(_xlfn.XLOOKUP(A39, 'Project Master Sheet'!A:A, 'Project Master Sheet'!D:D), "")</f>
        <v/>
      </c>
      <c r="E39" s="743"/>
      <c r="F39" s="743"/>
      <c r="G39" s="743"/>
      <c r="H39" s="743"/>
      <c r="I39" s="743"/>
      <c r="J39" s="743"/>
      <c r="K39" s="743"/>
      <c r="L39" s="743"/>
      <c r="M39" s="743"/>
      <c r="N39" s="743"/>
      <c r="O39" s="743"/>
      <c r="P39" s="743"/>
      <c r="Q39" s="743"/>
      <c r="R39" s="743"/>
      <c r="S39" s="743"/>
      <c r="T39" s="743"/>
    </row>
    <row r="40" spans="1:20">
      <c r="A40" s="655" t="str">
        <f>IF(ISBLANK('Project Master Sheet'!A40)=FALSE, 'Project Master Sheet'!A40, "")</f>
        <v/>
      </c>
      <c r="B40" s="655" t="str">
        <f>_xlfn.IFNA(_xlfn.XLOOKUP(A40, 'Project Master Sheet'!A:A, 'Project Master Sheet'!D:D), "")</f>
        <v/>
      </c>
      <c r="E40" s="743"/>
      <c r="F40" s="743"/>
      <c r="G40" s="743"/>
      <c r="H40" s="743"/>
      <c r="I40" s="743"/>
      <c r="J40" s="743"/>
      <c r="K40" s="743"/>
      <c r="L40" s="743"/>
      <c r="M40" s="743"/>
      <c r="N40" s="743"/>
      <c r="O40" s="743"/>
      <c r="P40" s="743"/>
      <c r="Q40" s="743"/>
      <c r="R40" s="743"/>
      <c r="S40" s="743"/>
      <c r="T40" s="743"/>
    </row>
    <row r="41" spans="1:20">
      <c r="A41" s="655" t="str">
        <f>IF(ISBLANK('Project Master Sheet'!A41)=FALSE, 'Project Master Sheet'!A41, "")</f>
        <v/>
      </c>
      <c r="B41" s="655" t="str">
        <f>_xlfn.IFNA(_xlfn.XLOOKUP(A41, 'Project Master Sheet'!A:A, 'Project Master Sheet'!D:D), "")</f>
        <v/>
      </c>
      <c r="E41" s="743"/>
      <c r="F41" s="743"/>
      <c r="G41" s="743"/>
      <c r="H41" s="743"/>
      <c r="I41" s="743"/>
      <c r="J41" s="743"/>
      <c r="K41" s="743"/>
      <c r="L41" s="743"/>
      <c r="M41" s="743"/>
      <c r="N41" s="743"/>
      <c r="O41" s="743"/>
      <c r="P41" s="743"/>
      <c r="Q41" s="743"/>
      <c r="R41" s="743"/>
      <c r="S41" s="743"/>
      <c r="T41" s="743"/>
    </row>
    <row r="42" spans="1:20">
      <c r="A42" s="655" t="str">
        <f>IF(ISBLANK('Project Master Sheet'!A42)=FALSE, 'Project Master Sheet'!A42, "")</f>
        <v/>
      </c>
      <c r="B42" s="655" t="str">
        <f>_xlfn.IFNA(_xlfn.XLOOKUP(A42, 'Project Master Sheet'!A:A, 'Project Master Sheet'!D:D), "")</f>
        <v/>
      </c>
      <c r="E42" s="743"/>
      <c r="F42" s="743"/>
      <c r="G42" s="743"/>
      <c r="H42" s="743"/>
      <c r="I42" s="743"/>
      <c r="J42" s="743"/>
      <c r="K42" s="743"/>
      <c r="L42" s="743"/>
      <c r="M42" s="743"/>
      <c r="N42" s="743"/>
      <c r="O42" s="743"/>
      <c r="P42" s="743"/>
      <c r="Q42" s="743"/>
      <c r="R42" s="743"/>
      <c r="S42" s="743"/>
      <c r="T42" s="743"/>
    </row>
    <row r="43" spans="1:20">
      <c r="A43" s="655" t="str">
        <f>IF(ISBLANK('Project Master Sheet'!A43)=FALSE, 'Project Master Sheet'!A43, "")</f>
        <v/>
      </c>
      <c r="B43" s="655" t="str">
        <f>_xlfn.IFNA(_xlfn.XLOOKUP(A43, 'Project Master Sheet'!A:A, 'Project Master Sheet'!D:D), "")</f>
        <v/>
      </c>
      <c r="E43" s="743"/>
      <c r="F43" s="743"/>
      <c r="G43" s="743"/>
      <c r="H43" s="743"/>
      <c r="I43" s="743"/>
      <c r="J43" s="743"/>
      <c r="K43" s="743"/>
      <c r="L43" s="743"/>
      <c r="M43" s="743"/>
      <c r="N43" s="743"/>
      <c r="O43" s="743"/>
      <c r="P43" s="743"/>
      <c r="Q43" s="743"/>
      <c r="R43" s="743"/>
      <c r="S43" s="743"/>
      <c r="T43" s="743"/>
    </row>
    <row r="44" spans="1:20">
      <c r="A44" s="655" t="str">
        <f>IF(ISBLANK('Project Master Sheet'!A44)=FALSE, 'Project Master Sheet'!A44, "")</f>
        <v/>
      </c>
      <c r="B44" s="655" t="str">
        <f>_xlfn.IFNA(_xlfn.XLOOKUP(A44, 'Project Master Sheet'!A:A, 'Project Master Sheet'!D:D), "")</f>
        <v/>
      </c>
      <c r="E44" s="743"/>
      <c r="F44" s="743"/>
      <c r="G44" s="743"/>
      <c r="H44" s="743"/>
      <c r="I44" s="743"/>
      <c r="J44" s="743"/>
      <c r="K44" s="743"/>
      <c r="L44" s="743"/>
      <c r="M44" s="743"/>
      <c r="N44" s="743"/>
      <c r="O44" s="743"/>
      <c r="P44" s="743"/>
      <c r="Q44" s="743"/>
      <c r="R44" s="743"/>
      <c r="S44" s="743"/>
      <c r="T44" s="743"/>
    </row>
    <row r="45" spans="1:20">
      <c r="E45" s="743"/>
      <c r="F45" s="743"/>
      <c r="G45" s="743"/>
      <c r="H45" s="743"/>
      <c r="I45" s="743"/>
      <c r="J45" s="743"/>
      <c r="K45" s="743"/>
      <c r="L45" s="743"/>
      <c r="M45" s="743"/>
      <c r="N45" s="743"/>
      <c r="O45" s="743"/>
      <c r="P45" s="743"/>
      <c r="Q45" s="743"/>
      <c r="R45" s="743"/>
      <c r="S45" s="743"/>
      <c r="T45" s="743"/>
    </row>
    <row r="46" spans="1:20">
      <c r="E46" s="743"/>
      <c r="F46" s="743"/>
      <c r="G46" s="743"/>
      <c r="H46" s="743"/>
      <c r="I46" s="743"/>
      <c r="J46" s="743"/>
      <c r="K46" s="743"/>
      <c r="L46" s="743"/>
      <c r="M46" s="743"/>
      <c r="N46" s="743"/>
      <c r="O46" s="743"/>
      <c r="P46" s="743"/>
      <c r="Q46" s="743"/>
      <c r="R46" s="743"/>
      <c r="S46" s="743"/>
      <c r="T46" s="743"/>
    </row>
    <row r="47" spans="1:20">
      <c r="E47" s="743"/>
      <c r="F47" s="743"/>
      <c r="G47" s="743"/>
      <c r="H47" s="743"/>
      <c r="I47" s="743"/>
      <c r="J47" s="743"/>
      <c r="K47" s="743"/>
      <c r="L47" s="743"/>
      <c r="M47" s="743"/>
      <c r="N47" s="743"/>
      <c r="O47" s="743"/>
      <c r="P47" s="743"/>
      <c r="Q47" s="743"/>
      <c r="R47" s="743"/>
      <c r="S47" s="743"/>
      <c r="T47" s="743"/>
    </row>
    <row r="48" spans="1:20">
      <c r="E48" s="743"/>
      <c r="F48" s="743"/>
      <c r="G48" s="743"/>
      <c r="H48" s="743"/>
      <c r="I48" s="743"/>
      <c r="J48" s="743"/>
      <c r="K48" s="743"/>
      <c r="L48" s="743"/>
      <c r="M48" s="743"/>
      <c r="N48" s="743"/>
      <c r="O48" s="743"/>
      <c r="P48" s="743"/>
      <c r="Q48" s="743"/>
      <c r="R48" s="743"/>
      <c r="S48" s="743"/>
      <c r="T48" s="743"/>
    </row>
    <row r="49" spans="5:20">
      <c r="E49" s="743"/>
      <c r="F49" s="743"/>
      <c r="G49" s="743"/>
      <c r="H49" s="743"/>
      <c r="I49" s="743"/>
      <c r="J49" s="743"/>
      <c r="K49" s="743"/>
      <c r="L49" s="743"/>
      <c r="M49" s="743"/>
      <c r="N49" s="743"/>
      <c r="O49" s="743"/>
      <c r="P49" s="743"/>
      <c r="Q49" s="743"/>
      <c r="R49" s="743"/>
      <c r="S49" s="743"/>
      <c r="T49" s="743"/>
    </row>
    <row r="50" spans="5:20">
      <c r="E50" s="743"/>
      <c r="F50" s="743"/>
      <c r="G50" s="743"/>
      <c r="H50" s="743"/>
      <c r="I50" s="743"/>
      <c r="J50" s="743"/>
      <c r="K50" s="743"/>
      <c r="L50" s="743"/>
      <c r="M50" s="743"/>
      <c r="N50" s="743"/>
      <c r="O50" s="743"/>
      <c r="P50" s="743"/>
      <c r="Q50" s="743"/>
      <c r="R50" s="743"/>
      <c r="S50" s="743"/>
      <c r="T50" s="743"/>
    </row>
    <row r="51" spans="5:20">
      <c r="E51" s="743"/>
      <c r="F51" s="743"/>
      <c r="G51" s="743"/>
      <c r="H51" s="743"/>
      <c r="I51" s="743"/>
      <c r="J51" s="743"/>
      <c r="K51" s="743"/>
      <c r="L51" s="743"/>
      <c r="M51" s="743"/>
      <c r="N51" s="743"/>
      <c r="O51" s="743"/>
      <c r="P51" s="743"/>
      <c r="Q51" s="743"/>
      <c r="R51" s="743"/>
      <c r="S51" s="743"/>
      <c r="T51" s="743"/>
    </row>
    <row r="52" spans="5:20">
      <c r="E52" s="743"/>
      <c r="F52" s="743"/>
      <c r="G52" s="743"/>
      <c r="H52" s="743"/>
      <c r="I52" s="743"/>
      <c r="J52" s="743"/>
      <c r="K52" s="743"/>
      <c r="L52" s="743"/>
      <c r="M52" s="743"/>
      <c r="N52" s="743"/>
      <c r="O52" s="743"/>
      <c r="P52" s="743"/>
      <c r="Q52" s="743"/>
      <c r="R52" s="743"/>
      <c r="S52" s="743"/>
      <c r="T52" s="743"/>
    </row>
    <row r="53" spans="5:20">
      <c r="E53" s="743"/>
      <c r="F53" s="743"/>
      <c r="G53" s="743"/>
      <c r="H53" s="743"/>
      <c r="I53" s="743"/>
      <c r="J53" s="743"/>
      <c r="K53" s="743"/>
      <c r="L53" s="743"/>
      <c r="M53" s="743"/>
      <c r="N53" s="743"/>
      <c r="O53" s="743"/>
      <c r="P53" s="743"/>
      <c r="Q53" s="743"/>
      <c r="R53" s="743"/>
      <c r="S53" s="743"/>
      <c r="T53" s="743"/>
    </row>
    <row r="54" spans="5:20">
      <c r="E54" s="743"/>
      <c r="F54" s="743"/>
      <c r="G54" s="743"/>
      <c r="H54" s="743"/>
      <c r="I54" s="743"/>
      <c r="J54" s="743"/>
      <c r="K54" s="743"/>
      <c r="L54" s="743"/>
      <c r="M54" s="743"/>
      <c r="N54" s="743"/>
      <c r="O54" s="743"/>
      <c r="P54" s="743"/>
      <c r="Q54" s="743"/>
      <c r="R54" s="743"/>
      <c r="S54" s="743"/>
      <c r="T54" s="743"/>
    </row>
  </sheetData>
  <mergeCells count="1">
    <mergeCell ref="E1:T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7240-D571-4001-84E1-C506EC8EE325}">
  <dimension ref="A1:DG44"/>
  <sheetViews>
    <sheetView workbookViewId="0">
      <selection activeCell="A10" sqref="A10"/>
    </sheetView>
  </sheetViews>
  <sheetFormatPr baseColWidth="10" defaultColWidth="9.1640625" defaultRowHeight="15"/>
  <cols>
    <col min="1" max="1" width="30.1640625" style="655" customWidth="1"/>
    <col min="2" max="2" width="23" style="655" customWidth="1"/>
    <col min="3" max="3" width="18.1640625" style="655" customWidth="1"/>
    <col min="4" max="4" width="5.6640625" style="655" customWidth="1"/>
    <col min="5" max="20" width="12.6640625" style="655" customWidth="1"/>
    <col min="21" max="16384" width="9.1640625" style="655"/>
  </cols>
  <sheetData>
    <row r="1" spans="1:111" ht="27">
      <c r="A1" s="656" t="s">
        <v>40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8"/>
      <c r="AI1" s="658"/>
      <c r="AJ1" s="658"/>
      <c r="AK1" s="658"/>
      <c r="AL1" s="658"/>
      <c r="AM1" s="658"/>
      <c r="AN1" s="658"/>
      <c r="AO1" s="658"/>
      <c r="AP1" s="658"/>
      <c r="AQ1" s="658"/>
      <c r="AR1" s="658"/>
      <c r="AS1" s="658"/>
      <c r="AT1" s="658"/>
      <c r="AU1" s="658"/>
      <c r="AV1" s="658"/>
      <c r="AW1" s="658"/>
      <c r="AX1" s="658"/>
      <c r="AY1" s="658"/>
      <c r="AZ1" s="658"/>
      <c r="BA1" s="658"/>
      <c r="BB1" s="658"/>
      <c r="BC1" s="658"/>
      <c r="BD1" s="658"/>
      <c r="BE1" s="658"/>
      <c r="BF1" s="658"/>
      <c r="BG1" s="658"/>
      <c r="BH1" s="658"/>
      <c r="BI1" s="658"/>
      <c r="BJ1" s="658"/>
      <c r="BK1" s="658"/>
      <c r="BL1" s="658"/>
      <c r="BM1" s="658"/>
      <c r="BN1" s="658"/>
      <c r="BO1" s="658"/>
      <c r="BP1" s="658"/>
      <c r="BQ1" s="658"/>
      <c r="BR1" s="658"/>
      <c r="BS1" s="658"/>
      <c r="BT1" s="658"/>
      <c r="BU1" s="658"/>
      <c r="BV1" s="658"/>
      <c r="BW1" s="658"/>
      <c r="BX1" s="658"/>
      <c r="BY1" s="658"/>
      <c r="BZ1" s="658"/>
      <c r="CA1" s="658"/>
      <c r="CB1" s="658"/>
      <c r="CC1" s="658"/>
      <c r="CD1" s="658"/>
      <c r="CE1" s="658"/>
      <c r="CF1" s="658"/>
      <c r="CG1" s="658"/>
      <c r="CH1" s="658"/>
      <c r="CI1" s="658"/>
      <c r="CJ1" s="658"/>
      <c r="CK1" s="658"/>
      <c r="CL1" s="658"/>
      <c r="CM1" s="658"/>
      <c r="CN1" s="658"/>
      <c r="CO1" s="658"/>
      <c r="CP1" s="658"/>
      <c r="CQ1" s="658"/>
      <c r="CR1" s="658"/>
      <c r="CS1" s="658"/>
      <c r="CT1" s="658"/>
      <c r="CU1" s="658"/>
      <c r="CV1" s="658"/>
      <c r="CW1" s="658"/>
      <c r="CX1" s="658"/>
      <c r="CY1" s="658"/>
      <c r="CZ1" s="658"/>
      <c r="DA1" s="658"/>
      <c r="DB1" s="658"/>
      <c r="DC1" s="658"/>
      <c r="DD1" s="658"/>
      <c r="DE1" s="658"/>
      <c r="DF1" s="658"/>
      <c r="DG1" s="658"/>
    </row>
    <row r="2" spans="1:111">
      <c r="A2" s="655" t="s">
        <v>52</v>
      </c>
      <c r="B2" s="655" t="s">
        <v>45</v>
      </c>
      <c r="C2" s="655" t="s">
        <v>53</v>
      </c>
      <c r="E2" s="655">
        <v>0</v>
      </c>
      <c r="F2" s="655">
        <f>E2+1</f>
        <v>1</v>
      </c>
      <c r="G2" s="655">
        <f t="shared" ref="G2:T2" si="0">F2+1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111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_xlfn.XLOOKUP('Project OPEX'!A3, 'Project Master Sheet'!A:A, 'Project Master Sheet'!I:I)</f>
        <v>1</v>
      </c>
      <c r="E3" s="743">
        <f>IF($B3='Project List References'!$B$3, _xlfn.IFNA(_xlfn.XLOOKUP(E$2-$C3, 'GEN-CCGT'!$D$7:$AW$7, 'GEN-CCGT'!$D$51:$AW$51), 0), IF($B3='Project List References'!$B$4, _xlfn.IFNA(_xlfn.XLOOKUP(E$2-$C3, 'GEN-SOLAR'!$D$7:$AW$7, 'GEN-SOLAR'!$D$51:$AW$51), 0), IF($B3='Project List References'!$B$5, _xlfn.IFNA(_xlfn.XLOOKUP(E$2-$C3, 'GEN-BESS'!$D$7:$AW$7, 'GEN-BESS'!$D$51:$AW$51), 0), IF($B3='Project List References'!$B$6, _xlfn.IFNA(_xlfn.XLOOKUP(E$2-$C3, 'GEN-CARBON'!$D$7:$AW$7, 'GEN-CARBON'!$D$51:$AW$51), 0), IF($B3='Project List References'!$B$7, _xlfn.IFNA(_xlfn.XLOOKUP(E$2-$C3, 'SENS Coal'!$D$7:$AW$7, 'SENS Coal'!$D$51:$AW$51), 0), IF($B3='Project List References'!$B$8, _xlfn.IFNA(_xlfn.XLOOKUP(E$2-$C3,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F3" s="743">
        <f>IF($B3='Project List References'!$B$3, _xlfn.IFNA(_xlfn.XLOOKUP(F$2-$C3, 'GEN-CCGT'!$D$7:$AW$7, 'GEN-CCGT'!$D$51:$AW$51), 0), IF($B3='Project List References'!$B$4, _xlfn.IFNA(_xlfn.XLOOKUP(F$2-$C3, 'GEN-SOLAR'!$D$7:$AW$7, 'GEN-SOLAR'!$D$51:$AW$51), 0), IF($B3='Project List References'!$B$5, _xlfn.IFNA(_xlfn.XLOOKUP(F$2-$C3, 'GEN-BESS'!$D$7:$AW$7, 'GEN-BESS'!$D$51:$AW$51), 0), IF($B3='Project List References'!$B$6, _xlfn.IFNA(_xlfn.XLOOKUP(F$2-$C3, 'GEN-CARBON'!$D$7:$AW$7, 'GEN-CARBON'!$D$51:$AW$51), 0), IF($B3='Project List References'!$B$7, _xlfn.IFNA(_xlfn.XLOOKUP(F$2-$C3, 'SENS Coal'!$D$7:$AW$7, 'SENS Coal'!$D$51:$AW$51), 0), IF($B3='Project List References'!$B$8, _xlfn.IFNA(_xlfn.XLOOKUP(F$2-$C3,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330</v>
      </c>
      <c r="G3" s="743">
        <f>IF($B3='Project List References'!$B$3, _xlfn.IFNA(_xlfn.XLOOKUP(G$2-$C3, 'GEN-CCGT'!$D$7:$AW$7, 'GEN-CCGT'!$D$51:$AW$51), 0), IF($B3='Project List References'!$B$4, _xlfn.IFNA(_xlfn.XLOOKUP(G$2-$C3, 'GEN-SOLAR'!$D$7:$AW$7, 'GEN-SOLAR'!$D$51:$AW$51), 0), IF($B3='Project List References'!$B$5, _xlfn.IFNA(_xlfn.XLOOKUP(G$2-$C3, 'GEN-BESS'!$D$7:$AW$7, 'GEN-BESS'!$D$51:$AW$51), 0), IF($B3='Project List References'!$B$6, _xlfn.IFNA(_xlfn.XLOOKUP(G$2-$C3, 'GEN-CARBON'!$D$7:$AW$7, 'GEN-CARBON'!$D$51:$AW$51), 0), IF($B3='Project List References'!$B$7, _xlfn.IFNA(_xlfn.XLOOKUP(G$2-$C3, 'SENS Coal'!$D$7:$AW$7, 'SENS Coal'!$D$51:$AW$51), 0), IF($B3='Project List References'!$B$8, _xlfn.IFNA(_xlfn.XLOOKUP(G$2-$C3,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690</v>
      </c>
      <c r="H3" s="743">
        <f>IF($B3='Project List References'!$B$3, _xlfn.IFNA(_xlfn.XLOOKUP(H$2-$C3, 'GEN-CCGT'!$D$7:$AW$7, 'GEN-CCGT'!$D$51:$AW$51), 0), IF($B3='Project List References'!$B$4, _xlfn.IFNA(_xlfn.XLOOKUP(H$2-$C3, 'GEN-SOLAR'!$D$7:$AW$7, 'GEN-SOLAR'!$D$51:$AW$51), 0), IF($B3='Project List References'!$B$5, _xlfn.IFNA(_xlfn.XLOOKUP(H$2-$C3, 'GEN-BESS'!$D$7:$AW$7, 'GEN-BESS'!$D$51:$AW$51), 0), IF($B3='Project List References'!$B$6, _xlfn.IFNA(_xlfn.XLOOKUP(H$2-$C3, 'GEN-CARBON'!$D$7:$AW$7, 'GEN-CARBON'!$D$51:$AW$51), 0), IF($B3='Project List References'!$B$7, _xlfn.IFNA(_xlfn.XLOOKUP(H$2-$C3, 'SENS Coal'!$D$7:$AW$7, 'SENS Coal'!$D$51:$AW$51), 0), IF($B3='Project List References'!$B$8, _xlfn.IFNA(_xlfn.XLOOKUP(H$2-$C3,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1050</v>
      </c>
      <c r="I3" s="743">
        <f>IF($B3='Project List References'!$B$3, _xlfn.IFNA(_xlfn.XLOOKUP(I$2-$C3, 'GEN-CCGT'!$D$7:$AW$7, 'GEN-CCGT'!$D$51:$AW$51), 0), IF($B3='Project List References'!$B$4, _xlfn.IFNA(_xlfn.XLOOKUP(I$2-$C3, 'GEN-SOLAR'!$D$7:$AW$7, 'GEN-SOLAR'!$D$51:$AW$51), 0), IF($B3='Project List References'!$B$5, _xlfn.IFNA(_xlfn.XLOOKUP(I$2-$C3, 'GEN-BESS'!$D$7:$AW$7, 'GEN-BESS'!$D$51:$AW$51), 0), IF($B3='Project List References'!$B$6, _xlfn.IFNA(_xlfn.XLOOKUP(I$2-$C3, 'GEN-CARBON'!$D$7:$AW$7, 'GEN-CARBON'!$D$51:$AW$51), 0), IF($B3='Project List References'!$B$7, _xlfn.IFNA(_xlfn.XLOOKUP(I$2-$C3, 'SENS Coal'!$D$7:$AW$7, 'SENS Coal'!$D$51:$AW$51), 0), IF($B3='Project List References'!$B$8, _xlfn.IFNA(_xlfn.XLOOKUP(I$2-$C3,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1410</v>
      </c>
      <c r="J3" s="743">
        <f>IF($B3='Project List References'!$B$3, _xlfn.IFNA(_xlfn.XLOOKUP(J$2-$C3, 'GEN-CCGT'!$D$7:$AW$7, 'GEN-CCGT'!$D$51:$AW$51), 0), IF($B3='Project List References'!$B$4, _xlfn.IFNA(_xlfn.XLOOKUP(J$2-$C3, 'GEN-SOLAR'!$D$7:$AW$7, 'GEN-SOLAR'!$D$51:$AW$51), 0), IF($B3='Project List References'!$B$5, _xlfn.IFNA(_xlfn.XLOOKUP(J$2-$C3, 'GEN-BESS'!$D$7:$AW$7, 'GEN-BESS'!$D$51:$AW$51), 0), IF($B3='Project List References'!$B$6, _xlfn.IFNA(_xlfn.XLOOKUP(J$2-$C3, 'GEN-CARBON'!$D$7:$AW$7, 'GEN-CARBON'!$D$51:$AW$51), 0), IF($B3='Project List References'!$B$7, _xlfn.IFNA(_xlfn.XLOOKUP(J$2-$C3, 'SENS Coal'!$D$7:$AW$7, 'SENS Coal'!$D$51:$AW$51), 0), IF($B3='Project List References'!$B$8, _xlfn.IFNA(_xlfn.XLOOKUP(J$2-$C3,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1440</v>
      </c>
      <c r="K3" s="743">
        <f>IF($B3='Project List References'!$B$3, _xlfn.IFNA(_xlfn.XLOOKUP(K$2-$C3, 'GEN-CCGT'!$D$7:$AW$7, 'GEN-CCGT'!$D$51:$AW$51), 0), IF($B3='Project List References'!$B$4, _xlfn.IFNA(_xlfn.XLOOKUP(K$2-$C3, 'GEN-SOLAR'!$D$7:$AW$7, 'GEN-SOLAR'!$D$51:$AW$51), 0), IF($B3='Project List References'!$B$5, _xlfn.IFNA(_xlfn.XLOOKUP(K$2-$C3, 'GEN-BESS'!$D$7:$AW$7, 'GEN-BESS'!$D$51:$AW$51), 0), IF($B3='Project List References'!$B$6, _xlfn.IFNA(_xlfn.XLOOKUP(K$2-$C3, 'GEN-CARBON'!$D$7:$AW$7, 'GEN-CARBON'!$D$51:$AW$51), 0), IF($B3='Project List References'!$B$7, _xlfn.IFNA(_xlfn.XLOOKUP(K$2-$C3, 'SENS Coal'!$D$7:$AW$7, 'SENS Coal'!$D$51:$AW$51), 0), IF($B3='Project List References'!$B$8, _xlfn.IFNA(_xlfn.XLOOKUP(K$2-$C3,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1385.28</v>
      </c>
      <c r="L3" s="743">
        <f>IF($B3='Project List References'!$B$3, _xlfn.IFNA(_xlfn.XLOOKUP(L$2-$C3, 'GEN-CCGT'!$D$7:$AW$7, 'GEN-CCGT'!$D$51:$AW$51), 0), IF($B3='Project List References'!$B$4, _xlfn.IFNA(_xlfn.XLOOKUP(L$2-$C3, 'GEN-SOLAR'!$D$7:$AW$7, 'GEN-SOLAR'!$D$51:$AW$51), 0), IF($B3='Project List References'!$B$5, _xlfn.IFNA(_xlfn.XLOOKUP(L$2-$C3, 'GEN-BESS'!$D$7:$AW$7, 'GEN-BESS'!$D$51:$AW$51), 0), IF($B3='Project List References'!$B$6, _xlfn.IFNA(_xlfn.XLOOKUP(L$2-$C3, 'GEN-CARBON'!$D$7:$AW$7, 'GEN-CARBON'!$D$51:$AW$51), 0), IF($B3='Project List References'!$B$7, _xlfn.IFNA(_xlfn.XLOOKUP(L$2-$C3, 'SENS Coal'!$D$7:$AW$7, 'SENS Coal'!$D$51:$AW$51), 0), IF($B3='Project List References'!$B$8, _xlfn.IFNA(_xlfn.XLOOKUP(L$2-$C3,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1330.56</v>
      </c>
      <c r="M3" s="743">
        <f>IF($B3='Project List References'!$B$3, _xlfn.IFNA(_xlfn.XLOOKUP(M$2-$C3, 'GEN-CCGT'!$D$7:$AW$7, 'GEN-CCGT'!$D$51:$AW$51), 0), IF($B3='Project List References'!$B$4, _xlfn.IFNA(_xlfn.XLOOKUP(M$2-$C3, 'GEN-SOLAR'!$D$7:$AW$7, 'GEN-SOLAR'!$D$51:$AW$51), 0), IF($B3='Project List References'!$B$5, _xlfn.IFNA(_xlfn.XLOOKUP(M$2-$C3, 'GEN-BESS'!$D$7:$AW$7, 'GEN-BESS'!$D$51:$AW$51), 0), IF($B3='Project List References'!$B$6, _xlfn.IFNA(_xlfn.XLOOKUP(M$2-$C3, 'GEN-CARBON'!$D$7:$AW$7, 'GEN-CARBON'!$D$51:$AW$51), 0), IF($B3='Project List References'!$B$7, _xlfn.IFNA(_xlfn.XLOOKUP(M$2-$C3, 'SENS Coal'!$D$7:$AW$7, 'SENS Coal'!$D$51:$AW$51), 0), IF($B3='Project List References'!$B$8, _xlfn.IFNA(_xlfn.XLOOKUP(M$2-$C3,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1275.8399999999999</v>
      </c>
      <c r="N3" s="743">
        <f>IF($B3='Project List References'!$B$3, _xlfn.IFNA(_xlfn.XLOOKUP(N$2-$C3, 'GEN-CCGT'!$D$7:$AW$7, 'GEN-CCGT'!$D$51:$AW$51), 0), IF($B3='Project List References'!$B$4, _xlfn.IFNA(_xlfn.XLOOKUP(N$2-$C3, 'GEN-SOLAR'!$D$7:$AW$7, 'GEN-SOLAR'!$D$51:$AW$51), 0), IF($B3='Project List References'!$B$5, _xlfn.IFNA(_xlfn.XLOOKUP(N$2-$C3, 'GEN-BESS'!$D$7:$AW$7, 'GEN-BESS'!$D$51:$AW$51), 0), IF($B3='Project List References'!$B$6, _xlfn.IFNA(_xlfn.XLOOKUP(N$2-$C3, 'GEN-CARBON'!$D$7:$AW$7, 'GEN-CARBON'!$D$51:$AW$51), 0), IF($B3='Project List References'!$B$7, _xlfn.IFNA(_xlfn.XLOOKUP(N$2-$C3, 'SENS Coal'!$D$7:$AW$7, 'SENS Coal'!$D$51:$AW$51), 0), IF($B3='Project List References'!$B$8, _xlfn.IFNA(_xlfn.XLOOKUP(N$2-$C3,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1221.1199999999999</v>
      </c>
      <c r="O3" s="743">
        <f>IF($B3='Project List References'!$B$3, _xlfn.IFNA(_xlfn.XLOOKUP(O$2-$C3, 'GEN-CCGT'!$D$7:$AW$7, 'GEN-CCGT'!$D$51:$AW$51), 0), IF($B3='Project List References'!$B$4, _xlfn.IFNA(_xlfn.XLOOKUP(O$2-$C3, 'GEN-SOLAR'!$D$7:$AW$7, 'GEN-SOLAR'!$D$51:$AW$51), 0), IF($B3='Project List References'!$B$5, _xlfn.IFNA(_xlfn.XLOOKUP(O$2-$C3, 'GEN-BESS'!$D$7:$AW$7, 'GEN-BESS'!$D$51:$AW$51), 0), IF($B3='Project List References'!$B$6, _xlfn.IFNA(_xlfn.XLOOKUP(O$2-$C3, 'GEN-CARBON'!$D$7:$AW$7, 'GEN-CARBON'!$D$51:$AW$51), 0), IF($B3='Project List References'!$B$7, _xlfn.IFNA(_xlfn.XLOOKUP(O$2-$C3, 'SENS Coal'!$D$7:$AW$7, 'SENS Coal'!$D$51:$AW$51), 0), IF($B3='Project List References'!$B$8, _xlfn.IFNA(_xlfn.XLOOKUP(O$2-$C3,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1166.3999999999999</v>
      </c>
      <c r="P3" s="743">
        <f>IF($B3='Project List References'!$B$3, _xlfn.IFNA(_xlfn.XLOOKUP(P$2-$C3, 'GEN-CCGT'!$D$7:$AW$7, 'GEN-CCGT'!$D$51:$AW$51), 0), IF($B3='Project List References'!$B$4, _xlfn.IFNA(_xlfn.XLOOKUP(P$2-$C3, 'GEN-SOLAR'!$D$7:$AW$7, 'GEN-SOLAR'!$D$51:$AW$51), 0), IF($B3='Project List References'!$B$5, _xlfn.IFNA(_xlfn.XLOOKUP(P$2-$C3, 'GEN-BESS'!$D$7:$AW$7, 'GEN-BESS'!$D$51:$AW$51), 0), IF($B3='Project List References'!$B$6, _xlfn.IFNA(_xlfn.XLOOKUP(P$2-$C3, 'GEN-CARBON'!$D$7:$AW$7, 'GEN-CARBON'!$D$51:$AW$51), 0), IF($B3='Project List References'!$B$7, _xlfn.IFNA(_xlfn.XLOOKUP(P$2-$C3, 'SENS Coal'!$D$7:$AW$7, 'SENS Coal'!$D$51:$AW$51), 0), IF($B3='Project List References'!$B$8, _xlfn.IFNA(_xlfn.XLOOKUP(P$2-$C3,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1111.6799999999998</v>
      </c>
      <c r="Q3" s="743">
        <f>IF($B3='Project List References'!$B$3, _xlfn.IFNA(_xlfn.XLOOKUP(Q$2-$C3, 'GEN-CCGT'!$D$7:$AW$7, 'GEN-CCGT'!$D$51:$AW$51), 0), IF($B3='Project List References'!$B$4, _xlfn.IFNA(_xlfn.XLOOKUP(Q$2-$C3, 'GEN-SOLAR'!$D$7:$AW$7, 'GEN-SOLAR'!$D$51:$AW$51), 0), IF($B3='Project List References'!$B$5, _xlfn.IFNA(_xlfn.XLOOKUP(Q$2-$C3, 'GEN-BESS'!$D$7:$AW$7, 'GEN-BESS'!$D$51:$AW$51), 0), IF($B3='Project List References'!$B$6, _xlfn.IFNA(_xlfn.XLOOKUP(Q$2-$C3, 'GEN-CARBON'!$D$7:$AW$7, 'GEN-CARBON'!$D$51:$AW$51), 0), IF($B3='Project List References'!$B$7, _xlfn.IFNA(_xlfn.XLOOKUP(Q$2-$C3, 'SENS Coal'!$D$7:$AW$7, 'SENS Coal'!$D$51:$AW$51), 0), IF($B3='Project List References'!$B$8, _xlfn.IFNA(_xlfn.XLOOKUP(Q$2-$C3,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1056.9599999999998</v>
      </c>
      <c r="R3" s="743">
        <f>IF($B3='Project List References'!$B$3, _xlfn.IFNA(_xlfn.XLOOKUP(R$2-$C3, 'GEN-CCGT'!$D$7:$AW$7, 'GEN-CCGT'!$D$51:$AW$51), 0), IF($B3='Project List References'!$B$4, _xlfn.IFNA(_xlfn.XLOOKUP(R$2-$C3, 'GEN-SOLAR'!$D$7:$AW$7, 'GEN-SOLAR'!$D$51:$AW$51), 0), IF($B3='Project List References'!$B$5, _xlfn.IFNA(_xlfn.XLOOKUP(R$2-$C3, 'GEN-BESS'!$D$7:$AW$7, 'GEN-BESS'!$D$51:$AW$51), 0), IF($B3='Project List References'!$B$6, _xlfn.IFNA(_xlfn.XLOOKUP(R$2-$C3, 'GEN-CARBON'!$D$7:$AW$7, 'GEN-CARBON'!$D$51:$AW$51), 0), IF($B3='Project List References'!$B$7, _xlfn.IFNA(_xlfn.XLOOKUP(R$2-$C3, 'SENS Coal'!$D$7:$AW$7, 'SENS Coal'!$D$51:$AW$51), 0), IF($B3='Project List References'!$B$8, _xlfn.IFNA(_xlfn.XLOOKUP(R$2-$C3,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1002.2399999999998</v>
      </c>
      <c r="S3" s="743">
        <f>IF($B3='Project List References'!$B$3, _xlfn.IFNA(_xlfn.XLOOKUP(S$2-$C3, 'GEN-CCGT'!$D$7:$AW$7, 'GEN-CCGT'!$D$51:$AW$51), 0), IF($B3='Project List References'!$B$4, _xlfn.IFNA(_xlfn.XLOOKUP(S$2-$C3, 'GEN-SOLAR'!$D$7:$AW$7, 'GEN-SOLAR'!$D$51:$AW$51), 0), IF($B3='Project List References'!$B$5, _xlfn.IFNA(_xlfn.XLOOKUP(S$2-$C3, 'GEN-BESS'!$D$7:$AW$7, 'GEN-BESS'!$D$51:$AW$51), 0), IF($B3='Project List References'!$B$6, _xlfn.IFNA(_xlfn.XLOOKUP(S$2-$C3, 'GEN-CARBON'!$D$7:$AW$7, 'GEN-CARBON'!$D$51:$AW$51), 0), IF($B3='Project List References'!$B$7, _xlfn.IFNA(_xlfn.XLOOKUP(S$2-$C3, 'SENS Coal'!$D$7:$AW$7, 'SENS Coal'!$D$51:$AW$51), 0), IF($B3='Project List References'!$B$8, _xlfn.IFNA(_xlfn.XLOOKUP(S$2-$C3,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947.51999999999975</v>
      </c>
      <c r="T3" s="743">
        <f>IF($B3='Project List References'!$B$3, _xlfn.IFNA(_xlfn.XLOOKUP(T$2-$C3, 'GEN-CCGT'!$D$7:$AW$7, 'GEN-CCGT'!$D$51:$AW$51), 0), IF($B3='Project List References'!$B$4, _xlfn.IFNA(_xlfn.XLOOKUP(T$2-$C3, 'GEN-SOLAR'!$D$7:$AW$7, 'GEN-SOLAR'!$D$51:$AW$51), 0), IF($B3='Project List References'!$B$5, _xlfn.IFNA(_xlfn.XLOOKUP(T$2-$C3, 'GEN-BESS'!$D$7:$AW$7, 'GEN-BESS'!$D$51:$AW$51), 0), IF($B3='Project List References'!$B$6, _xlfn.IFNA(_xlfn.XLOOKUP(T$2-$C3, 'GEN-CARBON'!$D$7:$AW$7, 'GEN-CARBON'!$D$51:$AW$51), 0), IF($B3='Project List References'!$B$7, _xlfn.IFNA(_xlfn.XLOOKUP(T$2-$C3, 'SENS Coal'!$D$7:$AW$7, 'SENS Coal'!$D$51:$AW$51), 0), IF($B3='Project List References'!$B$8, _xlfn.IFNA(_xlfn.XLOOKUP(T$2-$C3, 'SENS Tires'!$D$7:$AW$7, 'SENS Tires'!$D$51:$AW$51), 0)))))))/_xlfn.XLOOKUP($B3,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892.79999999999973</v>
      </c>
    </row>
    <row r="4" spans="1:111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_xlfn.XLOOKUP('Project OPEX'!A4, 'Project Master Sheet'!A:A, 'Project Master Sheet'!I:I)</f>
        <v>1</v>
      </c>
      <c r="E4" s="743">
        <f>IF($B4='Project List References'!$B$3, _xlfn.IFNA(_xlfn.XLOOKUP(E$2-$C4, 'GEN-CCGT'!$D$7:$AW$7, 'GEN-CCGT'!$D$51:$AW$51), 0), IF($B4='Project List References'!$B$4, _xlfn.IFNA(_xlfn.XLOOKUP(E$2-$C4, 'GEN-SOLAR'!$D$7:$AW$7, 'GEN-SOLAR'!$D$51:$AW$51), 0), IF($B4='Project List References'!$B$5, _xlfn.IFNA(_xlfn.XLOOKUP(E$2-$C4, 'GEN-BESS'!$D$7:$AW$7, 'GEN-BESS'!$D$51:$AW$51), 0), IF($B4='Project List References'!$B$6, _xlfn.IFNA(_xlfn.XLOOKUP(E$2-$C4, 'GEN-CARBON'!$D$7:$AW$7, 'GEN-CARBON'!$D$51:$AW$51), 0), IF($B4='Project List References'!$B$7, _xlfn.IFNA(_xlfn.XLOOKUP(E$2-$C4, 'SENS Coal'!$D$7:$AW$7, 'SENS Coal'!$D$51:$AW$51), 0), IF($B4='Project List References'!$B$8, _xlfn.IFNA(_xlfn.XLOOKUP(E$2-$C4,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F4" s="743">
        <f>IF($B4='Project List References'!$B$3, _xlfn.IFNA(_xlfn.XLOOKUP(F$2-$C4, 'GEN-CCGT'!$D$7:$AW$7, 'GEN-CCGT'!$D$51:$AW$51), 0), IF($B4='Project List References'!$B$4, _xlfn.IFNA(_xlfn.XLOOKUP(F$2-$C4, 'GEN-SOLAR'!$D$7:$AW$7, 'GEN-SOLAR'!$D$51:$AW$51), 0), IF($B4='Project List References'!$B$5, _xlfn.IFNA(_xlfn.XLOOKUP(F$2-$C4, 'GEN-BESS'!$D$7:$AW$7, 'GEN-BESS'!$D$51:$AW$51), 0), IF($B4='Project List References'!$B$6, _xlfn.IFNA(_xlfn.XLOOKUP(F$2-$C4, 'GEN-CARBON'!$D$7:$AW$7, 'GEN-CARBON'!$D$51:$AW$51), 0), IF($B4='Project List References'!$B$7, _xlfn.IFNA(_xlfn.XLOOKUP(F$2-$C4, 'SENS Coal'!$D$7:$AW$7, 'SENS Coal'!$D$51:$AW$51), 0), IF($B4='Project List References'!$B$8, _xlfn.IFNA(_xlfn.XLOOKUP(F$2-$C4,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52.708333333333321</v>
      </c>
      <c r="G4" s="743">
        <f>IF($B4='Project List References'!$B$3, _xlfn.IFNA(_xlfn.XLOOKUP(G$2-$C4, 'GEN-CCGT'!$D$7:$AW$7, 'GEN-CCGT'!$D$51:$AW$51), 0), IF($B4='Project List References'!$B$4, _xlfn.IFNA(_xlfn.XLOOKUP(G$2-$C4, 'GEN-SOLAR'!$D$7:$AW$7, 'GEN-SOLAR'!$D$51:$AW$51), 0), IF($B4='Project List References'!$B$5, _xlfn.IFNA(_xlfn.XLOOKUP(G$2-$C4, 'GEN-BESS'!$D$7:$AW$7, 'GEN-BESS'!$D$51:$AW$51), 0), IF($B4='Project List References'!$B$6, _xlfn.IFNA(_xlfn.XLOOKUP(G$2-$C4, 'GEN-CARBON'!$D$7:$AW$7, 'GEN-CARBON'!$D$51:$AW$51), 0), IF($B4='Project List References'!$B$7, _xlfn.IFNA(_xlfn.XLOOKUP(G$2-$C4, 'SENS Coal'!$D$7:$AW$7, 'SENS Coal'!$D$51:$AW$51), 0), IF($B4='Project List References'!$B$8, _xlfn.IFNA(_xlfn.XLOOKUP(G$2-$C4,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57.499999999999993</v>
      </c>
      <c r="H4" s="743">
        <f>IF($B4='Project List References'!$B$3, _xlfn.IFNA(_xlfn.XLOOKUP(H$2-$C4, 'GEN-CCGT'!$D$7:$AW$7, 'GEN-CCGT'!$D$51:$AW$51), 0), IF($B4='Project List References'!$B$4, _xlfn.IFNA(_xlfn.XLOOKUP(H$2-$C4, 'GEN-SOLAR'!$D$7:$AW$7, 'GEN-SOLAR'!$D$51:$AW$51), 0), IF($B4='Project List References'!$B$5, _xlfn.IFNA(_xlfn.XLOOKUP(H$2-$C4, 'GEN-BESS'!$D$7:$AW$7, 'GEN-BESS'!$D$51:$AW$51), 0), IF($B4='Project List References'!$B$6, _xlfn.IFNA(_xlfn.XLOOKUP(H$2-$C4, 'GEN-CARBON'!$D$7:$AW$7, 'GEN-CARBON'!$D$51:$AW$51), 0), IF($B4='Project List References'!$B$7, _xlfn.IFNA(_xlfn.XLOOKUP(H$2-$C4, 'SENS Coal'!$D$7:$AW$7, 'SENS Coal'!$D$51:$AW$51), 0), IF($B4='Project List References'!$B$8, _xlfn.IFNA(_xlfn.XLOOKUP(H$2-$C4,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55.314999999999991</v>
      </c>
      <c r="I4" s="743">
        <f>IF($B4='Project List References'!$B$3, _xlfn.IFNA(_xlfn.XLOOKUP(I$2-$C4, 'GEN-CCGT'!$D$7:$AW$7, 'GEN-CCGT'!$D$51:$AW$51), 0), IF($B4='Project List References'!$B$4, _xlfn.IFNA(_xlfn.XLOOKUP(I$2-$C4, 'GEN-SOLAR'!$D$7:$AW$7, 'GEN-SOLAR'!$D$51:$AW$51), 0), IF($B4='Project List References'!$B$5, _xlfn.IFNA(_xlfn.XLOOKUP(I$2-$C4, 'GEN-BESS'!$D$7:$AW$7, 'GEN-BESS'!$D$51:$AW$51), 0), IF($B4='Project List References'!$B$6, _xlfn.IFNA(_xlfn.XLOOKUP(I$2-$C4, 'GEN-CARBON'!$D$7:$AW$7, 'GEN-CARBON'!$D$51:$AW$51), 0), IF($B4='Project List References'!$B$7, _xlfn.IFNA(_xlfn.XLOOKUP(I$2-$C4, 'SENS Coal'!$D$7:$AW$7, 'SENS Coal'!$D$51:$AW$51), 0), IF($B4='Project List References'!$B$8, _xlfn.IFNA(_xlfn.XLOOKUP(I$2-$C4,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53.129999999999988</v>
      </c>
      <c r="J4" s="743">
        <f>IF($B4='Project List References'!$B$3, _xlfn.IFNA(_xlfn.XLOOKUP(J$2-$C4, 'GEN-CCGT'!$D$7:$AW$7, 'GEN-CCGT'!$D$51:$AW$51), 0), IF($B4='Project List References'!$B$4, _xlfn.IFNA(_xlfn.XLOOKUP(J$2-$C4, 'GEN-SOLAR'!$D$7:$AW$7, 'GEN-SOLAR'!$D$51:$AW$51), 0), IF($B4='Project List References'!$B$5, _xlfn.IFNA(_xlfn.XLOOKUP(J$2-$C4, 'GEN-BESS'!$D$7:$AW$7, 'GEN-BESS'!$D$51:$AW$51), 0), IF($B4='Project List References'!$B$6, _xlfn.IFNA(_xlfn.XLOOKUP(J$2-$C4, 'GEN-CARBON'!$D$7:$AW$7, 'GEN-CARBON'!$D$51:$AW$51), 0), IF($B4='Project List References'!$B$7, _xlfn.IFNA(_xlfn.XLOOKUP(J$2-$C4, 'SENS Coal'!$D$7:$AW$7, 'SENS Coal'!$D$51:$AW$51), 0), IF($B4='Project List References'!$B$8, _xlfn.IFNA(_xlfn.XLOOKUP(J$2-$C4,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50.944999999999986</v>
      </c>
      <c r="K4" s="743">
        <f>IF($B4='Project List References'!$B$3, _xlfn.IFNA(_xlfn.XLOOKUP(K$2-$C4, 'GEN-CCGT'!$D$7:$AW$7, 'GEN-CCGT'!$D$51:$AW$51), 0), IF($B4='Project List References'!$B$4, _xlfn.IFNA(_xlfn.XLOOKUP(K$2-$C4, 'GEN-SOLAR'!$D$7:$AW$7, 'GEN-SOLAR'!$D$51:$AW$51), 0), IF($B4='Project List References'!$B$5, _xlfn.IFNA(_xlfn.XLOOKUP(K$2-$C4, 'GEN-BESS'!$D$7:$AW$7, 'GEN-BESS'!$D$51:$AW$51), 0), IF($B4='Project List References'!$B$6, _xlfn.IFNA(_xlfn.XLOOKUP(K$2-$C4, 'GEN-CARBON'!$D$7:$AW$7, 'GEN-CARBON'!$D$51:$AW$51), 0), IF($B4='Project List References'!$B$7, _xlfn.IFNA(_xlfn.XLOOKUP(K$2-$C4, 'SENS Coal'!$D$7:$AW$7, 'SENS Coal'!$D$51:$AW$51), 0), IF($B4='Project List References'!$B$8, _xlfn.IFNA(_xlfn.XLOOKUP(K$2-$C4,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48.759999999999984</v>
      </c>
      <c r="L4" s="743">
        <f>IF($B4='Project List References'!$B$3, _xlfn.IFNA(_xlfn.XLOOKUP(L$2-$C4, 'GEN-CCGT'!$D$7:$AW$7, 'GEN-CCGT'!$D$51:$AW$51), 0), IF($B4='Project List References'!$B$4, _xlfn.IFNA(_xlfn.XLOOKUP(L$2-$C4, 'GEN-SOLAR'!$D$7:$AW$7, 'GEN-SOLAR'!$D$51:$AW$51), 0), IF($B4='Project List References'!$B$5, _xlfn.IFNA(_xlfn.XLOOKUP(L$2-$C4, 'GEN-BESS'!$D$7:$AW$7, 'GEN-BESS'!$D$51:$AW$51), 0), IF($B4='Project List References'!$B$6, _xlfn.IFNA(_xlfn.XLOOKUP(L$2-$C4, 'GEN-CARBON'!$D$7:$AW$7, 'GEN-CARBON'!$D$51:$AW$51), 0), IF($B4='Project List References'!$B$7, _xlfn.IFNA(_xlfn.XLOOKUP(L$2-$C4, 'SENS Coal'!$D$7:$AW$7, 'SENS Coal'!$D$51:$AW$51), 0), IF($B4='Project List References'!$B$8, _xlfn.IFNA(_xlfn.XLOOKUP(L$2-$C4,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46.574999999999982</v>
      </c>
      <c r="M4" s="743">
        <f>IF($B4='Project List References'!$B$3, _xlfn.IFNA(_xlfn.XLOOKUP(M$2-$C4, 'GEN-CCGT'!$D$7:$AW$7, 'GEN-CCGT'!$D$51:$AW$51), 0), IF($B4='Project List References'!$B$4, _xlfn.IFNA(_xlfn.XLOOKUP(M$2-$C4, 'GEN-SOLAR'!$D$7:$AW$7, 'GEN-SOLAR'!$D$51:$AW$51), 0), IF($B4='Project List References'!$B$5, _xlfn.IFNA(_xlfn.XLOOKUP(M$2-$C4, 'GEN-BESS'!$D$7:$AW$7, 'GEN-BESS'!$D$51:$AW$51), 0), IF($B4='Project List References'!$B$6, _xlfn.IFNA(_xlfn.XLOOKUP(M$2-$C4, 'GEN-CARBON'!$D$7:$AW$7, 'GEN-CARBON'!$D$51:$AW$51), 0), IF($B4='Project List References'!$B$7, _xlfn.IFNA(_xlfn.XLOOKUP(M$2-$C4, 'SENS Coal'!$D$7:$AW$7, 'SENS Coal'!$D$51:$AW$51), 0), IF($B4='Project List References'!$B$8, _xlfn.IFNA(_xlfn.XLOOKUP(M$2-$C4,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44.389999999999979</v>
      </c>
      <c r="N4" s="743">
        <f>IF($B4='Project List References'!$B$3, _xlfn.IFNA(_xlfn.XLOOKUP(N$2-$C4, 'GEN-CCGT'!$D$7:$AW$7, 'GEN-CCGT'!$D$51:$AW$51), 0), IF($B4='Project List References'!$B$4, _xlfn.IFNA(_xlfn.XLOOKUP(N$2-$C4, 'GEN-SOLAR'!$D$7:$AW$7, 'GEN-SOLAR'!$D$51:$AW$51), 0), IF($B4='Project List References'!$B$5, _xlfn.IFNA(_xlfn.XLOOKUP(N$2-$C4, 'GEN-BESS'!$D$7:$AW$7, 'GEN-BESS'!$D$51:$AW$51), 0), IF($B4='Project List References'!$B$6, _xlfn.IFNA(_xlfn.XLOOKUP(N$2-$C4, 'GEN-CARBON'!$D$7:$AW$7, 'GEN-CARBON'!$D$51:$AW$51), 0), IF($B4='Project List References'!$B$7, _xlfn.IFNA(_xlfn.XLOOKUP(N$2-$C4, 'SENS Coal'!$D$7:$AW$7, 'SENS Coal'!$D$51:$AW$51), 0), IF($B4='Project List References'!$B$8, _xlfn.IFNA(_xlfn.XLOOKUP(N$2-$C4,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42.204999999999977</v>
      </c>
      <c r="O4" s="743">
        <f>IF($B4='Project List References'!$B$3, _xlfn.IFNA(_xlfn.XLOOKUP(O$2-$C4, 'GEN-CCGT'!$D$7:$AW$7, 'GEN-CCGT'!$D$51:$AW$51), 0), IF($B4='Project List References'!$B$4, _xlfn.IFNA(_xlfn.XLOOKUP(O$2-$C4, 'GEN-SOLAR'!$D$7:$AW$7, 'GEN-SOLAR'!$D$51:$AW$51), 0), IF($B4='Project List References'!$B$5, _xlfn.IFNA(_xlfn.XLOOKUP(O$2-$C4, 'GEN-BESS'!$D$7:$AW$7, 'GEN-BESS'!$D$51:$AW$51), 0), IF($B4='Project List References'!$B$6, _xlfn.IFNA(_xlfn.XLOOKUP(O$2-$C4, 'GEN-CARBON'!$D$7:$AW$7, 'GEN-CARBON'!$D$51:$AW$51), 0), IF($B4='Project List References'!$B$7, _xlfn.IFNA(_xlfn.XLOOKUP(O$2-$C4, 'SENS Coal'!$D$7:$AW$7, 'SENS Coal'!$D$51:$AW$51), 0), IF($B4='Project List References'!$B$8, _xlfn.IFNA(_xlfn.XLOOKUP(O$2-$C4,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40.019999999999975</v>
      </c>
      <c r="P4" s="743">
        <f>IF($B4='Project List References'!$B$3, _xlfn.IFNA(_xlfn.XLOOKUP(P$2-$C4, 'GEN-CCGT'!$D$7:$AW$7, 'GEN-CCGT'!$D$51:$AW$51), 0), IF($B4='Project List References'!$B$4, _xlfn.IFNA(_xlfn.XLOOKUP(P$2-$C4, 'GEN-SOLAR'!$D$7:$AW$7, 'GEN-SOLAR'!$D$51:$AW$51), 0), IF($B4='Project List References'!$B$5, _xlfn.IFNA(_xlfn.XLOOKUP(P$2-$C4, 'GEN-BESS'!$D$7:$AW$7, 'GEN-BESS'!$D$51:$AW$51), 0), IF($B4='Project List References'!$B$6, _xlfn.IFNA(_xlfn.XLOOKUP(P$2-$C4, 'GEN-CARBON'!$D$7:$AW$7, 'GEN-CARBON'!$D$51:$AW$51), 0), IF($B4='Project List References'!$B$7, _xlfn.IFNA(_xlfn.XLOOKUP(P$2-$C4, 'SENS Coal'!$D$7:$AW$7, 'SENS Coal'!$D$51:$AW$51), 0), IF($B4='Project List References'!$B$8, _xlfn.IFNA(_xlfn.XLOOKUP(P$2-$C4,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37.834999999999972</v>
      </c>
      <c r="Q4" s="743">
        <f>IF($B4='Project List References'!$B$3, _xlfn.IFNA(_xlfn.XLOOKUP(Q$2-$C4, 'GEN-CCGT'!$D$7:$AW$7, 'GEN-CCGT'!$D$51:$AW$51), 0), IF($B4='Project List References'!$B$4, _xlfn.IFNA(_xlfn.XLOOKUP(Q$2-$C4, 'GEN-SOLAR'!$D$7:$AW$7, 'GEN-SOLAR'!$D$51:$AW$51), 0), IF($B4='Project List References'!$B$5, _xlfn.IFNA(_xlfn.XLOOKUP(Q$2-$C4, 'GEN-BESS'!$D$7:$AW$7, 'GEN-BESS'!$D$51:$AW$51), 0), IF($B4='Project List References'!$B$6, _xlfn.IFNA(_xlfn.XLOOKUP(Q$2-$C4, 'GEN-CARBON'!$D$7:$AW$7, 'GEN-CARBON'!$D$51:$AW$51), 0), IF($B4='Project List References'!$B$7, _xlfn.IFNA(_xlfn.XLOOKUP(Q$2-$C4, 'SENS Coal'!$D$7:$AW$7, 'SENS Coal'!$D$51:$AW$51), 0), IF($B4='Project List References'!$B$8, _xlfn.IFNA(_xlfn.XLOOKUP(Q$2-$C4,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35.64999999999997</v>
      </c>
      <c r="R4" s="743">
        <f>IF($B4='Project List References'!$B$3, _xlfn.IFNA(_xlfn.XLOOKUP(R$2-$C4, 'GEN-CCGT'!$D$7:$AW$7, 'GEN-CCGT'!$D$51:$AW$51), 0), IF($B4='Project List References'!$B$4, _xlfn.IFNA(_xlfn.XLOOKUP(R$2-$C4, 'GEN-SOLAR'!$D$7:$AW$7, 'GEN-SOLAR'!$D$51:$AW$51), 0), IF($B4='Project List References'!$B$5, _xlfn.IFNA(_xlfn.XLOOKUP(R$2-$C4, 'GEN-BESS'!$D$7:$AW$7, 'GEN-BESS'!$D$51:$AW$51), 0), IF($B4='Project List References'!$B$6, _xlfn.IFNA(_xlfn.XLOOKUP(R$2-$C4, 'GEN-CARBON'!$D$7:$AW$7, 'GEN-CARBON'!$D$51:$AW$51), 0), IF($B4='Project List References'!$B$7, _xlfn.IFNA(_xlfn.XLOOKUP(R$2-$C4, 'SENS Coal'!$D$7:$AW$7, 'SENS Coal'!$D$51:$AW$51), 0), IF($B4='Project List References'!$B$8, _xlfn.IFNA(_xlfn.XLOOKUP(R$2-$C4,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33.464999999999968</v>
      </c>
      <c r="S4" s="743">
        <f>IF($B4='Project List References'!$B$3, _xlfn.IFNA(_xlfn.XLOOKUP(S$2-$C4, 'GEN-CCGT'!$D$7:$AW$7, 'GEN-CCGT'!$D$51:$AW$51), 0), IF($B4='Project List References'!$B$4, _xlfn.IFNA(_xlfn.XLOOKUP(S$2-$C4, 'GEN-SOLAR'!$D$7:$AW$7, 'GEN-SOLAR'!$D$51:$AW$51), 0), IF($B4='Project List References'!$B$5, _xlfn.IFNA(_xlfn.XLOOKUP(S$2-$C4, 'GEN-BESS'!$D$7:$AW$7, 'GEN-BESS'!$D$51:$AW$51), 0), IF($B4='Project List References'!$B$6, _xlfn.IFNA(_xlfn.XLOOKUP(S$2-$C4, 'GEN-CARBON'!$D$7:$AW$7, 'GEN-CARBON'!$D$51:$AW$51), 0), IF($B4='Project List References'!$B$7, _xlfn.IFNA(_xlfn.XLOOKUP(S$2-$C4, 'SENS Coal'!$D$7:$AW$7, 'SENS Coal'!$D$51:$AW$51), 0), IF($B4='Project List References'!$B$8, _xlfn.IFNA(_xlfn.XLOOKUP(S$2-$C4,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31.279999999999969</v>
      </c>
      <c r="T4" s="743">
        <f>IF($B4='Project List References'!$B$3, _xlfn.IFNA(_xlfn.XLOOKUP(T$2-$C4, 'GEN-CCGT'!$D$7:$AW$7, 'GEN-CCGT'!$D$51:$AW$51), 0), IF($B4='Project List References'!$B$4, _xlfn.IFNA(_xlfn.XLOOKUP(T$2-$C4, 'GEN-SOLAR'!$D$7:$AW$7, 'GEN-SOLAR'!$D$51:$AW$51), 0), IF($B4='Project List References'!$B$5, _xlfn.IFNA(_xlfn.XLOOKUP(T$2-$C4, 'GEN-BESS'!$D$7:$AW$7, 'GEN-BESS'!$D$51:$AW$51), 0), IF($B4='Project List References'!$B$6, _xlfn.IFNA(_xlfn.XLOOKUP(T$2-$C4, 'GEN-CARBON'!$D$7:$AW$7, 'GEN-CARBON'!$D$51:$AW$51), 0), IF($B4='Project List References'!$B$7, _xlfn.IFNA(_xlfn.XLOOKUP(T$2-$C4, 'SENS Coal'!$D$7:$AW$7, 'SENS Coal'!$D$51:$AW$51), 0), IF($B4='Project List References'!$B$8, _xlfn.IFNA(_xlfn.XLOOKUP(T$2-$C4, 'SENS Tires'!$D$7:$AW$7, 'SENS Tires'!$D$51:$AW$51), 0)))))))/_xlfn.XLOOKUP($B4,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29.09499999999997</v>
      </c>
    </row>
    <row r="5" spans="1:111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_xlfn.XLOOKUP('Project OPEX'!A5, 'Project Master Sheet'!A:A, 'Project Master Sheet'!I:I)</f>
        <v>2</v>
      </c>
      <c r="E5" s="743">
        <f>IF($B5='Project List References'!$B$3, _xlfn.IFNA(_xlfn.XLOOKUP(E$2-$C5, 'GEN-CCGT'!$D$7:$AW$7, 'GEN-CCGT'!$D$51:$AW$51), 0), IF($B5='Project List References'!$B$4, _xlfn.IFNA(_xlfn.XLOOKUP(E$2-$C5, 'GEN-SOLAR'!$D$7:$AW$7, 'GEN-SOLAR'!$D$51:$AW$51), 0), IF($B5='Project List References'!$B$5, _xlfn.IFNA(_xlfn.XLOOKUP(E$2-$C5, 'GEN-BESS'!$D$7:$AW$7, 'GEN-BESS'!$D$51:$AW$51), 0), IF($B5='Project List References'!$B$6, _xlfn.IFNA(_xlfn.XLOOKUP(E$2-$C5, 'GEN-CARBON'!$D$7:$AW$7, 'GEN-CARBON'!$D$51:$AW$51), 0), IF($B5='Project List References'!$B$7, _xlfn.IFNA(_xlfn.XLOOKUP(E$2-$C5, 'SENS Coal'!$D$7:$AW$7, 'SENS Coal'!$D$51:$AW$51), 0), IF($B5='Project List References'!$B$8, _xlfn.IFNA(_xlfn.XLOOKUP(E$2-$C5,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F5" s="743">
        <f>IF($B5='Project List References'!$B$3, _xlfn.IFNA(_xlfn.XLOOKUP(F$2-$C5, 'GEN-CCGT'!$D$7:$AW$7, 'GEN-CCGT'!$D$51:$AW$51), 0), IF($B5='Project List References'!$B$4, _xlfn.IFNA(_xlfn.XLOOKUP(F$2-$C5, 'GEN-SOLAR'!$D$7:$AW$7, 'GEN-SOLAR'!$D$51:$AW$51), 0), IF($B5='Project List References'!$B$5, _xlfn.IFNA(_xlfn.XLOOKUP(F$2-$C5, 'GEN-BESS'!$D$7:$AW$7, 'GEN-BESS'!$D$51:$AW$51), 0), IF($B5='Project List References'!$B$6, _xlfn.IFNA(_xlfn.XLOOKUP(F$2-$C5, 'GEN-CARBON'!$D$7:$AW$7, 'GEN-CARBON'!$D$51:$AW$51), 0), IF($B5='Project List References'!$B$7, _xlfn.IFNA(_xlfn.XLOOKUP(F$2-$C5, 'SENS Coal'!$D$7:$AW$7, 'SENS Coal'!$D$51:$AW$51), 0), IF($B5='Project List References'!$B$8, _xlfn.IFNA(_xlfn.XLOOKUP(F$2-$C5,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G5" s="743">
        <f>IF($B5='Project List References'!$B$3, _xlfn.IFNA(_xlfn.XLOOKUP(G$2-$C5, 'GEN-CCGT'!$D$7:$AW$7, 'GEN-CCGT'!$D$51:$AW$51), 0), IF($B5='Project List References'!$B$4, _xlfn.IFNA(_xlfn.XLOOKUP(G$2-$C5, 'GEN-SOLAR'!$D$7:$AW$7, 'GEN-SOLAR'!$D$51:$AW$51), 0), IF($B5='Project List References'!$B$5, _xlfn.IFNA(_xlfn.XLOOKUP(G$2-$C5, 'GEN-BESS'!$D$7:$AW$7, 'GEN-BESS'!$D$51:$AW$51), 0), IF($B5='Project List References'!$B$6, _xlfn.IFNA(_xlfn.XLOOKUP(G$2-$C5, 'GEN-CARBON'!$D$7:$AW$7, 'GEN-CARBON'!$D$51:$AW$51), 0), IF($B5='Project List References'!$B$7, _xlfn.IFNA(_xlfn.XLOOKUP(G$2-$C5, 'SENS Coal'!$D$7:$AW$7, 'SENS Coal'!$D$51:$AW$51), 0), IF($B5='Project List References'!$B$8, _xlfn.IFNA(_xlfn.XLOOKUP(G$2-$C5,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660</v>
      </c>
      <c r="H5" s="743">
        <f>IF($B5='Project List References'!$B$3, _xlfn.IFNA(_xlfn.XLOOKUP(H$2-$C5, 'GEN-CCGT'!$D$7:$AW$7, 'GEN-CCGT'!$D$51:$AW$51), 0), IF($B5='Project List References'!$B$4, _xlfn.IFNA(_xlfn.XLOOKUP(H$2-$C5, 'GEN-SOLAR'!$D$7:$AW$7, 'GEN-SOLAR'!$D$51:$AW$51), 0), IF($B5='Project List References'!$B$5, _xlfn.IFNA(_xlfn.XLOOKUP(H$2-$C5, 'GEN-BESS'!$D$7:$AW$7, 'GEN-BESS'!$D$51:$AW$51), 0), IF($B5='Project List References'!$B$6, _xlfn.IFNA(_xlfn.XLOOKUP(H$2-$C5, 'GEN-CARBON'!$D$7:$AW$7, 'GEN-CARBON'!$D$51:$AW$51), 0), IF($B5='Project List References'!$B$7, _xlfn.IFNA(_xlfn.XLOOKUP(H$2-$C5, 'SENS Coal'!$D$7:$AW$7, 'SENS Coal'!$D$51:$AW$51), 0), IF($B5='Project List References'!$B$8, _xlfn.IFNA(_xlfn.XLOOKUP(H$2-$C5,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720</v>
      </c>
      <c r="I5" s="743">
        <f>IF($B5='Project List References'!$B$3, _xlfn.IFNA(_xlfn.XLOOKUP(I$2-$C5, 'GEN-CCGT'!$D$7:$AW$7, 'GEN-CCGT'!$D$51:$AW$51), 0), IF($B5='Project List References'!$B$4, _xlfn.IFNA(_xlfn.XLOOKUP(I$2-$C5, 'GEN-SOLAR'!$D$7:$AW$7, 'GEN-SOLAR'!$D$51:$AW$51), 0), IF($B5='Project List References'!$B$5, _xlfn.IFNA(_xlfn.XLOOKUP(I$2-$C5, 'GEN-BESS'!$D$7:$AW$7, 'GEN-BESS'!$D$51:$AW$51), 0), IF($B5='Project List References'!$B$6, _xlfn.IFNA(_xlfn.XLOOKUP(I$2-$C5, 'GEN-CARBON'!$D$7:$AW$7, 'GEN-CARBON'!$D$51:$AW$51), 0), IF($B5='Project List References'!$B$7, _xlfn.IFNA(_xlfn.XLOOKUP(I$2-$C5, 'SENS Coal'!$D$7:$AW$7, 'SENS Coal'!$D$51:$AW$51), 0), IF($B5='Project List References'!$B$8, _xlfn.IFNA(_xlfn.XLOOKUP(I$2-$C5,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692.64</v>
      </c>
      <c r="J5" s="743">
        <f>IF($B5='Project List References'!$B$3, _xlfn.IFNA(_xlfn.XLOOKUP(J$2-$C5, 'GEN-CCGT'!$D$7:$AW$7, 'GEN-CCGT'!$D$51:$AW$51), 0), IF($B5='Project List References'!$B$4, _xlfn.IFNA(_xlfn.XLOOKUP(J$2-$C5, 'GEN-SOLAR'!$D$7:$AW$7, 'GEN-SOLAR'!$D$51:$AW$51), 0), IF($B5='Project List References'!$B$5, _xlfn.IFNA(_xlfn.XLOOKUP(J$2-$C5, 'GEN-BESS'!$D$7:$AW$7, 'GEN-BESS'!$D$51:$AW$51), 0), IF($B5='Project List References'!$B$6, _xlfn.IFNA(_xlfn.XLOOKUP(J$2-$C5, 'GEN-CARBON'!$D$7:$AW$7, 'GEN-CARBON'!$D$51:$AW$51), 0), IF($B5='Project List References'!$B$7, _xlfn.IFNA(_xlfn.XLOOKUP(J$2-$C5, 'SENS Coal'!$D$7:$AW$7, 'SENS Coal'!$D$51:$AW$51), 0), IF($B5='Project List References'!$B$8, _xlfn.IFNA(_xlfn.XLOOKUP(J$2-$C5,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665.28</v>
      </c>
      <c r="K5" s="743">
        <f>IF($B5='Project List References'!$B$3, _xlfn.IFNA(_xlfn.XLOOKUP(K$2-$C5, 'GEN-CCGT'!$D$7:$AW$7, 'GEN-CCGT'!$D$51:$AW$51), 0), IF($B5='Project List References'!$B$4, _xlfn.IFNA(_xlfn.XLOOKUP(K$2-$C5, 'GEN-SOLAR'!$D$7:$AW$7, 'GEN-SOLAR'!$D$51:$AW$51), 0), IF($B5='Project List References'!$B$5, _xlfn.IFNA(_xlfn.XLOOKUP(K$2-$C5, 'GEN-BESS'!$D$7:$AW$7, 'GEN-BESS'!$D$51:$AW$51), 0), IF($B5='Project List References'!$B$6, _xlfn.IFNA(_xlfn.XLOOKUP(K$2-$C5, 'GEN-CARBON'!$D$7:$AW$7, 'GEN-CARBON'!$D$51:$AW$51), 0), IF($B5='Project List References'!$B$7, _xlfn.IFNA(_xlfn.XLOOKUP(K$2-$C5, 'SENS Coal'!$D$7:$AW$7, 'SENS Coal'!$D$51:$AW$51), 0), IF($B5='Project List References'!$B$8, _xlfn.IFNA(_xlfn.XLOOKUP(K$2-$C5,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637.91999999999996</v>
      </c>
      <c r="L5" s="743">
        <f>IF($B5='Project List References'!$B$3, _xlfn.IFNA(_xlfn.XLOOKUP(L$2-$C5, 'GEN-CCGT'!$D$7:$AW$7, 'GEN-CCGT'!$D$51:$AW$51), 0), IF($B5='Project List References'!$B$4, _xlfn.IFNA(_xlfn.XLOOKUP(L$2-$C5, 'GEN-SOLAR'!$D$7:$AW$7, 'GEN-SOLAR'!$D$51:$AW$51), 0), IF($B5='Project List References'!$B$5, _xlfn.IFNA(_xlfn.XLOOKUP(L$2-$C5, 'GEN-BESS'!$D$7:$AW$7, 'GEN-BESS'!$D$51:$AW$51), 0), IF($B5='Project List References'!$B$6, _xlfn.IFNA(_xlfn.XLOOKUP(L$2-$C5, 'GEN-CARBON'!$D$7:$AW$7, 'GEN-CARBON'!$D$51:$AW$51), 0), IF($B5='Project List References'!$B$7, _xlfn.IFNA(_xlfn.XLOOKUP(L$2-$C5, 'SENS Coal'!$D$7:$AW$7, 'SENS Coal'!$D$51:$AW$51), 0), IF($B5='Project List References'!$B$8, _xlfn.IFNA(_xlfn.XLOOKUP(L$2-$C5,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610.55999999999995</v>
      </c>
      <c r="M5" s="743">
        <f>IF($B5='Project List References'!$B$3, _xlfn.IFNA(_xlfn.XLOOKUP(M$2-$C5, 'GEN-CCGT'!$D$7:$AW$7, 'GEN-CCGT'!$D$51:$AW$51), 0), IF($B5='Project List References'!$B$4, _xlfn.IFNA(_xlfn.XLOOKUP(M$2-$C5, 'GEN-SOLAR'!$D$7:$AW$7, 'GEN-SOLAR'!$D$51:$AW$51), 0), IF($B5='Project List References'!$B$5, _xlfn.IFNA(_xlfn.XLOOKUP(M$2-$C5, 'GEN-BESS'!$D$7:$AW$7, 'GEN-BESS'!$D$51:$AW$51), 0), IF($B5='Project List References'!$B$6, _xlfn.IFNA(_xlfn.XLOOKUP(M$2-$C5, 'GEN-CARBON'!$D$7:$AW$7, 'GEN-CARBON'!$D$51:$AW$51), 0), IF($B5='Project List References'!$B$7, _xlfn.IFNA(_xlfn.XLOOKUP(M$2-$C5, 'SENS Coal'!$D$7:$AW$7, 'SENS Coal'!$D$51:$AW$51), 0), IF($B5='Project List References'!$B$8, _xlfn.IFNA(_xlfn.XLOOKUP(M$2-$C5,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583.19999999999993</v>
      </c>
      <c r="N5" s="743">
        <f>IF($B5='Project List References'!$B$3, _xlfn.IFNA(_xlfn.XLOOKUP(N$2-$C5, 'GEN-CCGT'!$D$7:$AW$7, 'GEN-CCGT'!$D$51:$AW$51), 0), IF($B5='Project List References'!$B$4, _xlfn.IFNA(_xlfn.XLOOKUP(N$2-$C5, 'GEN-SOLAR'!$D$7:$AW$7, 'GEN-SOLAR'!$D$51:$AW$51), 0), IF($B5='Project List References'!$B$5, _xlfn.IFNA(_xlfn.XLOOKUP(N$2-$C5, 'GEN-BESS'!$D$7:$AW$7, 'GEN-BESS'!$D$51:$AW$51), 0), IF($B5='Project List References'!$B$6, _xlfn.IFNA(_xlfn.XLOOKUP(N$2-$C5, 'GEN-CARBON'!$D$7:$AW$7, 'GEN-CARBON'!$D$51:$AW$51), 0), IF($B5='Project List References'!$B$7, _xlfn.IFNA(_xlfn.XLOOKUP(N$2-$C5, 'SENS Coal'!$D$7:$AW$7, 'SENS Coal'!$D$51:$AW$51), 0), IF($B5='Project List References'!$B$8, _xlfn.IFNA(_xlfn.XLOOKUP(N$2-$C5,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555.83999999999992</v>
      </c>
      <c r="O5" s="743">
        <f>IF($B5='Project List References'!$B$3, _xlfn.IFNA(_xlfn.XLOOKUP(O$2-$C5, 'GEN-CCGT'!$D$7:$AW$7, 'GEN-CCGT'!$D$51:$AW$51), 0), IF($B5='Project List References'!$B$4, _xlfn.IFNA(_xlfn.XLOOKUP(O$2-$C5, 'GEN-SOLAR'!$D$7:$AW$7, 'GEN-SOLAR'!$D$51:$AW$51), 0), IF($B5='Project List References'!$B$5, _xlfn.IFNA(_xlfn.XLOOKUP(O$2-$C5, 'GEN-BESS'!$D$7:$AW$7, 'GEN-BESS'!$D$51:$AW$51), 0), IF($B5='Project List References'!$B$6, _xlfn.IFNA(_xlfn.XLOOKUP(O$2-$C5, 'GEN-CARBON'!$D$7:$AW$7, 'GEN-CARBON'!$D$51:$AW$51), 0), IF($B5='Project List References'!$B$7, _xlfn.IFNA(_xlfn.XLOOKUP(O$2-$C5, 'SENS Coal'!$D$7:$AW$7, 'SENS Coal'!$D$51:$AW$51), 0), IF($B5='Project List References'!$B$8, _xlfn.IFNA(_xlfn.XLOOKUP(O$2-$C5,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528.4799999999999</v>
      </c>
      <c r="P5" s="743">
        <f>IF($B5='Project List References'!$B$3, _xlfn.IFNA(_xlfn.XLOOKUP(P$2-$C5, 'GEN-CCGT'!$D$7:$AW$7, 'GEN-CCGT'!$D$51:$AW$51), 0), IF($B5='Project List References'!$B$4, _xlfn.IFNA(_xlfn.XLOOKUP(P$2-$C5, 'GEN-SOLAR'!$D$7:$AW$7, 'GEN-SOLAR'!$D$51:$AW$51), 0), IF($B5='Project List References'!$B$5, _xlfn.IFNA(_xlfn.XLOOKUP(P$2-$C5, 'GEN-BESS'!$D$7:$AW$7, 'GEN-BESS'!$D$51:$AW$51), 0), IF($B5='Project List References'!$B$6, _xlfn.IFNA(_xlfn.XLOOKUP(P$2-$C5, 'GEN-CARBON'!$D$7:$AW$7, 'GEN-CARBON'!$D$51:$AW$51), 0), IF($B5='Project List References'!$B$7, _xlfn.IFNA(_xlfn.XLOOKUP(P$2-$C5, 'SENS Coal'!$D$7:$AW$7, 'SENS Coal'!$D$51:$AW$51), 0), IF($B5='Project List References'!$B$8, _xlfn.IFNA(_xlfn.XLOOKUP(P$2-$C5,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501.11999999999989</v>
      </c>
      <c r="Q5" s="743">
        <f>IF($B5='Project List References'!$B$3, _xlfn.IFNA(_xlfn.XLOOKUP(Q$2-$C5, 'GEN-CCGT'!$D$7:$AW$7, 'GEN-CCGT'!$D$51:$AW$51), 0), IF($B5='Project List References'!$B$4, _xlfn.IFNA(_xlfn.XLOOKUP(Q$2-$C5, 'GEN-SOLAR'!$D$7:$AW$7, 'GEN-SOLAR'!$D$51:$AW$51), 0), IF($B5='Project List References'!$B$5, _xlfn.IFNA(_xlfn.XLOOKUP(Q$2-$C5, 'GEN-BESS'!$D$7:$AW$7, 'GEN-BESS'!$D$51:$AW$51), 0), IF($B5='Project List References'!$B$6, _xlfn.IFNA(_xlfn.XLOOKUP(Q$2-$C5, 'GEN-CARBON'!$D$7:$AW$7, 'GEN-CARBON'!$D$51:$AW$51), 0), IF($B5='Project List References'!$B$7, _xlfn.IFNA(_xlfn.XLOOKUP(Q$2-$C5, 'SENS Coal'!$D$7:$AW$7, 'SENS Coal'!$D$51:$AW$51), 0), IF($B5='Project List References'!$B$8, _xlfn.IFNA(_xlfn.XLOOKUP(Q$2-$C5,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473.75999999999988</v>
      </c>
      <c r="R5" s="743">
        <f>IF($B5='Project List References'!$B$3, _xlfn.IFNA(_xlfn.XLOOKUP(R$2-$C5, 'GEN-CCGT'!$D$7:$AW$7, 'GEN-CCGT'!$D$51:$AW$51), 0), IF($B5='Project List References'!$B$4, _xlfn.IFNA(_xlfn.XLOOKUP(R$2-$C5, 'GEN-SOLAR'!$D$7:$AW$7, 'GEN-SOLAR'!$D$51:$AW$51), 0), IF($B5='Project List References'!$B$5, _xlfn.IFNA(_xlfn.XLOOKUP(R$2-$C5, 'GEN-BESS'!$D$7:$AW$7, 'GEN-BESS'!$D$51:$AW$51), 0), IF($B5='Project List References'!$B$6, _xlfn.IFNA(_xlfn.XLOOKUP(R$2-$C5, 'GEN-CARBON'!$D$7:$AW$7, 'GEN-CARBON'!$D$51:$AW$51), 0), IF($B5='Project List References'!$B$7, _xlfn.IFNA(_xlfn.XLOOKUP(R$2-$C5, 'SENS Coal'!$D$7:$AW$7, 'SENS Coal'!$D$51:$AW$51), 0), IF($B5='Project List References'!$B$8, _xlfn.IFNA(_xlfn.XLOOKUP(R$2-$C5,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446.39999999999986</v>
      </c>
      <c r="S5" s="743">
        <f>IF($B5='Project List References'!$B$3, _xlfn.IFNA(_xlfn.XLOOKUP(S$2-$C5, 'GEN-CCGT'!$D$7:$AW$7, 'GEN-CCGT'!$D$51:$AW$51), 0), IF($B5='Project List References'!$B$4, _xlfn.IFNA(_xlfn.XLOOKUP(S$2-$C5, 'GEN-SOLAR'!$D$7:$AW$7, 'GEN-SOLAR'!$D$51:$AW$51), 0), IF($B5='Project List References'!$B$5, _xlfn.IFNA(_xlfn.XLOOKUP(S$2-$C5, 'GEN-BESS'!$D$7:$AW$7, 'GEN-BESS'!$D$51:$AW$51), 0), IF($B5='Project List References'!$B$6, _xlfn.IFNA(_xlfn.XLOOKUP(S$2-$C5, 'GEN-CARBON'!$D$7:$AW$7, 'GEN-CARBON'!$D$51:$AW$51), 0), IF($B5='Project List References'!$B$7, _xlfn.IFNA(_xlfn.XLOOKUP(S$2-$C5, 'SENS Coal'!$D$7:$AW$7, 'SENS Coal'!$D$51:$AW$51), 0), IF($B5='Project List References'!$B$8, _xlfn.IFNA(_xlfn.XLOOKUP(S$2-$C5,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419.03999999999985</v>
      </c>
      <c r="T5" s="743">
        <f>IF($B5='Project List References'!$B$3, _xlfn.IFNA(_xlfn.XLOOKUP(T$2-$C5, 'GEN-CCGT'!$D$7:$AW$7, 'GEN-CCGT'!$D$51:$AW$51), 0), IF($B5='Project List References'!$B$4, _xlfn.IFNA(_xlfn.XLOOKUP(T$2-$C5, 'GEN-SOLAR'!$D$7:$AW$7, 'GEN-SOLAR'!$D$51:$AW$51), 0), IF($B5='Project List References'!$B$5, _xlfn.IFNA(_xlfn.XLOOKUP(T$2-$C5, 'GEN-BESS'!$D$7:$AW$7, 'GEN-BESS'!$D$51:$AW$51), 0), IF($B5='Project List References'!$B$6, _xlfn.IFNA(_xlfn.XLOOKUP(T$2-$C5, 'GEN-CARBON'!$D$7:$AW$7, 'GEN-CARBON'!$D$51:$AW$51), 0), IF($B5='Project List References'!$B$7, _xlfn.IFNA(_xlfn.XLOOKUP(T$2-$C5, 'SENS Coal'!$D$7:$AW$7, 'SENS Coal'!$D$51:$AW$51), 0), IF($B5='Project List References'!$B$8, _xlfn.IFNA(_xlfn.XLOOKUP(T$2-$C5, 'SENS Tires'!$D$7:$AW$7, 'SENS Tires'!$D$51:$AW$51), 0)))))))/_xlfn.XLOOKUP($B5,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391.67999999999984</v>
      </c>
    </row>
    <row r="6" spans="1:111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_xlfn.XLOOKUP('Project OPEX'!A6, 'Project Master Sheet'!A:A, 'Project Master Sheet'!I:I)</f>
        <v>0</v>
      </c>
      <c r="E6" s="743">
        <f>IF($B6='Project List References'!$B$3, _xlfn.IFNA(_xlfn.XLOOKUP(E$2-$C6, 'GEN-CCGT'!$D$7:$AW$7, 'GEN-CCGT'!$D$51:$AW$51), 0), IF($B6='Project List References'!$B$4, _xlfn.IFNA(_xlfn.XLOOKUP(E$2-$C6, 'GEN-SOLAR'!$D$7:$AW$7, 'GEN-SOLAR'!$D$51:$AW$51), 0), IF($B6='Project List References'!$B$5, _xlfn.IFNA(_xlfn.XLOOKUP(E$2-$C6, 'GEN-BESS'!$D$7:$AW$7, 'GEN-BESS'!$D$51:$AW$51), 0), IF($B6='Project List References'!$B$6, _xlfn.IFNA(_xlfn.XLOOKUP(E$2-$C6, 'GEN-CARBON'!$D$7:$AW$7, 'GEN-CARBON'!$D$51:$AW$51), 0), IF($B6='Project List References'!$B$7, _xlfn.IFNA(_xlfn.XLOOKUP(E$2-$C6, 'SENS Coal'!$D$7:$AW$7, 'SENS Coal'!$D$51:$AW$51), 0), IF($B6='Project List References'!$B$8, _xlfn.IFNA(_xlfn.XLOOKUP(E$2-$C6,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103.125</v>
      </c>
      <c r="F6" s="743">
        <f>IF($B6='Project List References'!$B$3, _xlfn.IFNA(_xlfn.XLOOKUP(F$2-$C6, 'GEN-CCGT'!$D$7:$AW$7, 'GEN-CCGT'!$D$51:$AW$51), 0), IF($B6='Project List References'!$B$4, _xlfn.IFNA(_xlfn.XLOOKUP(F$2-$C6, 'GEN-SOLAR'!$D$7:$AW$7, 'GEN-SOLAR'!$D$51:$AW$51), 0), IF($B6='Project List References'!$B$5, _xlfn.IFNA(_xlfn.XLOOKUP(F$2-$C6, 'GEN-BESS'!$D$7:$AW$7, 'GEN-BESS'!$D$51:$AW$51), 0), IF($B6='Project List References'!$B$6, _xlfn.IFNA(_xlfn.XLOOKUP(F$2-$C6, 'GEN-CARBON'!$D$7:$AW$7, 'GEN-CARBON'!$D$51:$AW$51), 0), IF($B6='Project List References'!$B$7, _xlfn.IFNA(_xlfn.XLOOKUP(F$2-$C6, 'SENS Coal'!$D$7:$AW$7, 'SENS Coal'!$D$51:$AW$51), 0), IF($B6='Project List References'!$B$8, _xlfn.IFNA(_xlfn.XLOOKUP(F$2-$C6,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112.5</v>
      </c>
      <c r="G6" s="743">
        <f>IF($B6='Project List References'!$B$3, _xlfn.IFNA(_xlfn.XLOOKUP(G$2-$C6, 'GEN-CCGT'!$D$7:$AW$7, 'GEN-CCGT'!$D$51:$AW$51), 0), IF($B6='Project List References'!$B$4, _xlfn.IFNA(_xlfn.XLOOKUP(G$2-$C6, 'GEN-SOLAR'!$D$7:$AW$7, 'GEN-SOLAR'!$D$51:$AW$51), 0), IF($B6='Project List References'!$B$5, _xlfn.IFNA(_xlfn.XLOOKUP(G$2-$C6, 'GEN-BESS'!$D$7:$AW$7, 'GEN-BESS'!$D$51:$AW$51), 0), IF($B6='Project List References'!$B$6, _xlfn.IFNA(_xlfn.XLOOKUP(G$2-$C6, 'GEN-CARBON'!$D$7:$AW$7, 'GEN-CARBON'!$D$51:$AW$51), 0), IF($B6='Project List References'!$B$7, _xlfn.IFNA(_xlfn.XLOOKUP(G$2-$C6, 'SENS Coal'!$D$7:$AW$7, 'SENS Coal'!$D$51:$AW$51), 0), IF($B6='Project List References'!$B$8, _xlfn.IFNA(_xlfn.XLOOKUP(G$2-$C6,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108.22499999999999</v>
      </c>
      <c r="H6" s="743">
        <f>IF($B6='Project List References'!$B$3, _xlfn.IFNA(_xlfn.XLOOKUP(H$2-$C6, 'GEN-CCGT'!$D$7:$AW$7, 'GEN-CCGT'!$D$51:$AW$51), 0), IF($B6='Project List References'!$B$4, _xlfn.IFNA(_xlfn.XLOOKUP(H$2-$C6, 'GEN-SOLAR'!$D$7:$AW$7, 'GEN-SOLAR'!$D$51:$AW$51), 0), IF($B6='Project List References'!$B$5, _xlfn.IFNA(_xlfn.XLOOKUP(H$2-$C6, 'GEN-BESS'!$D$7:$AW$7, 'GEN-BESS'!$D$51:$AW$51), 0), IF($B6='Project List References'!$B$6, _xlfn.IFNA(_xlfn.XLOOKUP(H$2-$C6, 'GEN-CARBON'!$D$7:$AW$7, 'GEN-CARBON'!$D$51:$AW$51), 0), IF($B6='Project List References'!$B$7, _xlfn.IFNA(_xlfn.XLOOKUP(H$2-$C6, 'SENS Coal'!$D$7:$AW$7, 'SENS Coal'!$D$51:$AW$51), 0), IF($B6='Project List References'!$B$8, _xlfn.IFNA(_xlfn.XLOOKUP(H$2-$C6,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103.94999999999999</v>
      </c>
      <c r="I6" s="743">
        <f>IF($B6='Project List References'!$B$3, _xlfn.IFNA(_xlfn.XLOOKUP(I$2-$C6, 'GEN-CCGT'!$D$7:$AW$7, 'GEN-CCGT'!$D$51:$AW$51), 0), IF($B6='Project List References'!$B$4, _xlfn.IFNA(_xlfn.XLOOKUP(I$2-$C6, 'GEN-SOLAR'!$D$7:$AW$7, 'GEN-SOLAR'!$D$51:$AW$51), 0), IF($B6='Project List References'!$B$5, _xlfn.IFNA(_xlfn.XLOOKUP(I$2-$C6, 'GEN-BESS'!$D$7:$AW$7, 'GEN-BESS'!$D$51:$AW$51), 0), IF($B6='Project List References'!$B$6, _xlfn.IFNA(_xlfn.XLOOKUP(I$2-$C6, 'GEN-CARBON'!$D$7:$AW$7, 'GEN-CARBON'!$D$51:$AW$51), 0), IF($B6='Project List References'!$B$7, _xlfn.IFNA(_xlfn.XLOOKUP(I$2-$C6, 'SENS Coal'!$D$7:$AW$7, 'SENS Coal'!$D$51:$AW$51), 0), IF($B6='Project List References'!$B$8, _xlfn.IFNA(_xlfn.XLOOKUP(I$2-$C6,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99.674999999999983</v>
      </c>
      <c r="J6" s="743">
        <f>IF($B6='Project List References'!$B$3, _xlfn.IFNA(_xlfn.XLOOKUP(J$2-$C6, 'GEN-CCGT'!$D$7:$AW$7, 'GEN-CCGT'!$D$51:$AW$51), 0), IF($B6='Project List References'!$B$4, _xlfn.IFNA(_xlfn.XLOOKUP(J$2-$C6, 'GEN-SOLAR'!$D$7:$AW$7, 'GEN-SOLAR'!$D$51:$AW$51), 0), IF($B6='Project List References'!$B$5, _xlfn.IFNA(_xlfn.XLOOKUP(J$2-$C6, 'GEN-BESS'!$D$7:$AW$7, 'GEN-BESS'!$D$51:$AW$51), 0), IF($B6='Project List References'!$B$6, _xlfn.IFNA(_xlfn.XLOOKUP(J$2-$C6, 'GEN-CARBON'!$D$7:$AW$7, 'GEN-CARBON'!$D$51:$AW$51), 0), IF($B6='Project List References'!$B$7, _xlfn.IFNA(_xlfn.XLOOKUP(J$2-$C6, 'SENS Coal'!$D$7:$AW$7, 'SENS Coal'!$D$51:$AW$51), 0), IF($B6='Project List References'!$B$8, _xlfn.IFNA(_xlfn.XLOOKUP(J$2-$C6,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95.399999999999977</v>
      </c>
      <c r="K6" s="743">
        <f>IF($B6='Project List References'!$B$3, _xlfn.IFNA(_xlfn.XLOOKUP(K$2-$C6, 'GEN-CCGT'!$D$7:$AW$7, 'GEN-CCGT'!$D$51:$AW$51), 0), IF($B6='Project List References'!$B$4, _xlfn.IFNA(_xlfn.XLOOKUP(K$2-$C6, 'GEN-SOLAR'!$D$7:$AW$7, 'GEN-SOLAR'!$D$51:$AW$51), 0), IF($B6='Project List References'!$B$5, _xlfn.IFNA(_xlfn.XLOOKUP(K$2-$C6, 'GEN-BESS'!$D$7:$AW$7, 'GEN-BESS'!$D$51:$AW$51), 0), IF($B6='Project List References'!$B$6, _xlfn.IFNA(_xlfn.XLOOKUP(K$2-$C6, 'GEN-CARBON'!$D$7:$AW$7, 'GEN-CARBON'!$D$51:$AW$51), 0), IF($B6='Project List References'!$B$7, _xlfn.IFNA(_xlfn.XLOOKUP(K$2-$C6, 'SENS Coal'!$D$7:$AW$7, 'SENS Coal'!$D$51:$AW$51), 0), IF($B6='Project List References'!$B$8, _xlfn.IFNA(_xlfn.XLOOKUP(K$2-$C6,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91.124999999999972</v>
      </c>
      <c r="L6" s="743">
        <f>IF($B6='Project List References'!$B$3, _xlfn.IFNA(_xlfn.XLOOKUP(L$2-$C6, 'GEN-CCGT'!$D$7:$AW$7, 'GEN-CCGT'!$D$51:$AW$51), 0), IF($B6='Project List References'!$B$4, _xlfn.IFNA(_xlfn.XLOOKUP(L$2-$C6, 'GEN-SOLAR'!$D$7:$AW$7, 'GEN-SOLAR'!$D$51:$AW$51), 0), IF($B6='Project List References'!$B$5, _xlfn.IFNA(_xlfn.XLOOKUP(L$2-$C6, 'GEN-BESS'!$D$7:$AW$7, 'GEN-BESS'!$D$51:$AW$51), 0), IF($B6='Project List References'!$B$6, _xlfn.IFNA(_xlfn.XLOOKUP(L$2-$C6, 'GEN-CARBON'!$D$7:$AW$7, 'GEN-CARBON'!$D$51:$AW$51), 0), IF($B6='Project List References'!$B$7, _xlfn.IFNA(_xlfn.XLOOKUP(L$2-$C6, 'SENS Coal'!$D$7:$AW$7, 'SENS Coal'!$D$51:$AW$51), 0), IF($B6='Project List References'!$B$8, _xlfn.IFNA(_xlfn.XLOOKUP(L$2-$C6,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86.849999999999966</v>
      </c>
      <c r="M6" s="743">
        <f>IF($B6='Project List References'!$B$3, _xlfn.IFNA(_xlfn.XLOOKUP(M$2-$C6, 'GEN-CCGT'!$D$7:$AW$7, 'GEN-CCGT'!$D$51:$AW$51), 0), IF($B6='Project List References'!$B$4, _xlfn.IFNA(_xlfn.XLOOKUP(M$2-$C6, 'GEN-SOLAR'!$D$7:$AW$7, 'GEN-SOLAR'!$D$51:$AW$51), 0), IF($B6='Project List References'!$B$5, _xlfn.IFNA(_xlfn.XLOOKUP(M$2-$C6, 'GEN-BESS'!$D$7:$AW$7, 'GEN-BESS'!$D$51:$AW$51), 0), IF($B6='Project List References'!$B$6, _xlfn.IFNA(_xlfn.XLOOKUP(M$2-$C6, 'GEN-CARBON'!$D$7:$AW$7, 'GEN-CARBON'!$D$51:$AW$51), 0), IF($B6='Project List References'!$B$7, _xlfn.IFNA(_xlfn.XLOOKUP(M$2-$C6, 'SENS Coal'!$D$7:$AW$7, 'SENS Coal'!$D$51:$AW$51), 0), IF($B6='Project List References'!$B$8, _xlfn.IFNA(_xlfn.XLOOKUP(M$2-$C6,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82.57499999999996</v>
      </c>
      <c r="N6" s="743">
        <f>IF($B6='Project List References'!$B$3, _xlfn.IFNA(_xlfn.XLOOKUP(N$2-$C6, 'GEN-CCGT'!$D$7:$AW$7, 'GEN-CCGT'!$D$51:$AW$51), 0), IF($B6='Project List References'!$B$4, _xlfn.IFNA(_xlfn.XLOOKUP(N$2-$C6, 'GEN-SOLAR'!$D$7:$AW$7, 'GEN-SOLAR'!$D$51:$AW$51), 0), IF($B6='Project List References'!$B$5, _xlfn.IFNA(_xlfn.XLOOKUP(N$2-$C6, 'GEN-BESS'!$D$7:$AW$7, 'GEN-BESS'!$D$51:$AW$51), 0), IF($B6='Project List References'!$B$6, _xlfn.IFNA(_xlfn.XLOOKUP(N$2-$C6, 'GEN-CARBON'!$D$7:$AW$7, 'GEN-CARBON'!$D$51:$AW$51), 0), IF($B6='Project List References'!$B$7, _xlfn.IFNA(_xlfn.XLOOKUP(N$2-$C6, 'SENS Coal'!$D$7:$AW$7, 'SENS Coal'!$D$51:$AW$51), 0), IF($B6='Project List References'!$B$8, _xlfn.IFNA(_xlfn.XLOOKUP(N$2-$C6,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78.299999999999955</v>
      </c>
      <c r="O6" s="743">
        <f>IF($B6='Project List References'!$B$3, _xlfn.IFNA(_xlfn.XLOOKUP(O$2-$C6, 'GEN-CCGT'!$D$7:$AW$7, 'GEN-CCGT'!$D$51:$AW$51), 0), IF($B6='Project List References'!$B$4, _xlfn.IFNA(_xlfn.XLOOKUP(O$2-$C6, 'GEN-SOLAR'!$D$7:$AW$7, 'GEN-SOLAR'!$D$51:$AW$51), 0), IF($B6='Project List References'!$B$5, _xlfn.IFNA(_xlfn.XLOOKUP(O$2-$C6, 'GEN-BESS'!$D$7:$AW$7, 'GEN-BESS'!$D$51:$AW$51), 0), IF($B6='Project List References'!$B$6, _xlfn.IFNA(_xlfn.XLOOKUP(O$2-$C6, 'GEN-CARBON'!$D$7:$AW$7, 'GEN-CARBON'!$D$51:$AW$51), 0), IF($B6='Project List References'!$B$7, _xlfn.IFNA(_xlfn.XLOOKUP(O$2-$C6, 'SENS Coal'!$D$7:$AW$7, 'SENS Coal'!$D$51:$AW$51), 0), IF($B6='Project List References'!$B$8, _xlfn.IFNA(_xlfn.XLOOKUP(O$2-$C6,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74.024999999999949</v>
      </c>
      <c r="P6" s="743">
        <f>IF($B6='Project List References'!$B$3, _xlfn.IFNA(_xlfn.XLOOKUP(P$2-$C6, 'GEN-CCGT'!$D$7:$AW$7, 'GEN-CCGT'!$D$51:$AW$51), 0), IF($B6='Project List References'!$B$4, _xlfn.IFNA(_xlfn.XLOOKUP(P$2-$C6, 'GEN-SOLAR'!$D$7:$AW$7, 'GEN-SOLAR'!$D$51:$AW$51), 0), IF($B6='Project List References'!$B$5, _xlfn.IFNA(_xlfn.XLOOKUP(P$2-$C6, 'GEN-BESS'!$D$7:$AW$7, 'GEN-BESS'!$D$51:$AW$51), 0), IF($B6='Project List References'!$B$6, _xlfn.IFNA(_xlfn.XLOOKUP(P$2-$C6, 'GEN-CARBON'!$D$7:$AW$7, 'GEN-CARBON'!$D$51:$AW$51), 0), IF($B6='Project List References'!$B$7, _xlfn.IFNA(_xlfn.XLOOKUP(P$2-$C6, 'SENS Coal'!$D$7:$AW$7, 'SENS Coal'!$D$51:$AW$51), 0), IF($B6='Project List References'!$B$8, _xlfn.IFNA(_xlfn.XLOOKUP(P$2-$C6,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69.749999999999943</v>
      </c>
      <c r="Q6" s="743">
        <f>IF($B6='Project List References'!$B$3, _xlfn.IFNA(_xlfn.XLOOKUP(Q$2-$C6, 'GEN-CCGT'!$D$7:$AW$7, 'GEN-CCGT'!$D$51:$AW$51), 0), IF($B6='Project List References'!$B$4, _xlfn.IFNA(_xlfn.XLOOKUP(Q$2-$C6, 'GEN-SOLAR'!$D$7:$AW$7, 'GEN-SOLAR'!$D$51:$AW$51), 0), IF($B6='Project List References'!$B$5, _xlfn.IFNA(_xlfn.XLOOKUP(Q$2-$C6, 'GEN-BESS'!$D$7:$AW$7, 'GEN-BESS'!$D$51:$AW$51), 0), IF($B6='Project List References'!$B$6, _xlfn.IFNA(_xlfn.XLOOKUP(Q$2-$C6, 'GEN-CARBON'!$D$7:$AW$7, 'GEN-CARBON'!$D$51:$AW$51), 0), IF($B6='Project List References'!$B$7, _xlfn.IFNA(_xlfn.XLOOKUP(Q$2-$C6, 'SENS Coal'!$D$7:$AW$7, 'SENS Coal'!$D$51:$AW$51), 0), IF($B6='Project List References'!$B$8, _xlfn.IFNA(_xlfn.XLOOKUP(Q$2-$C6,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65.474999999999937</v>
      </c>
      <c r="R6" s="743">
        <f>IF($B6='Project List References'!$B$3, _xlfn.IFNA(_xlfn.XLOOKUP(R$2-$C6, 'GEN-CCGT'!$D$7:$AW$7, 'GEN-CCGT'!$D$51:$AW$51), 0), IF($B6='Project List References'!$B$4, _xlfn.IFNA(_xlfn.XLOOKUP(R$2-$C6, 'GEN-SOLAR'!$D$7:$AW$7, 'GEN-SOLAR'!$D$51:$AW$51), 0), IF($B6='Project List References'!$B$5, _xlfn.IFNA(_xlfn.XLOOKUP(R$2-$C6, 'GEN-BESS'!$D$7:$AW$7, 'GEN-BESS'!$D$51:$AW$51), 0), IF($B6='Project List References'!$B$6, _xlfn.IFNA(_xlfn.XLOOKUP(R$2-$C6, 'GEN-CARBON'!$D$7:$AW$7, 'GEN-CARBON'!$D$51:$AW$51), 0), IF($B6='Project List References'!$B$7, _xlfn.IFNA(_xlfn.XLOOKUP(R$2-$C6, 'SENS Coal'!$D$7:$AW$7, 'SENS Coal'!$D$51:$AW$51), 0), IF($B6='Project List References'!$B$8, _xlfn.IFNA(_xlfn.XLOOKUP(R$2-$C6,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61.199999999999946</v>
      </c>
      <c r="S6" s="743">
        <f>IF($B6='Project List References'!$B$3, _xlfn.IFNA(_xlfn.XLOOKUP(S$2-$C6, 'GEN-CCGT'!$D$7:$AW$7, 'GEN-CCGT'!$D$51:$AW$51), 0), IF($B6='Project List References'!$B$4, _xlfn.IFNA(_xlfn.XLOOKUP(S$2-$C6, 'GEN-SOLAR'!$D$7:$AW$7, 'GEN-SOLAR'!$D$51:$AW$51), 0), IF($B6='Project List References'!$B$5, _xlfn.IFNA(_xlfn.XLOOKUP(S$2-$C6, 'GEN-BESS'!$D$7:$AW$7, 'GEN-BESS'!$D$51:$AW$51), 0), IF($B6='Project List References'!$B$6, _xlfn.IFNA(_xlfn.XLOOKUP(S$2-$C6, 'GEN-CARBON'!$D$7:$AW$7, 'GEN-CARBON'!$D$51:$AW$51), 0), IF($B6='Project List References'!$B$7, _xlfn.IFNA(_xlfn.XLOOKUP(S$2-$C6, 'SENS Coal'!$D$7:$AW$7, 'SENS Coal'!$D$51:$AW$51), 0), IF($B6='Project List References'!$B$8, _xlfn.IFNA(_xlfn.XLOOKUP(S$2-$C6,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56.92499999999994</v>
      </c>
      <c r="T6" s="743">
        <f>IF($B6='Project List References'!$B$3, _xlfn.IFNA(_xlfn.XLOOKUP(T$2-$C6, 'GEN-CCGT'!$D$7:$AW$7, 'GEN-CCGT'!$D$51:$AW$51), 0), IF($B6='Project List References'!$B$4, _xlfn.IFNA(_xlfn.XLOOKUP(T$2-$C6, 'GEN-SOLAR'!$D$7:$AW$7, 'GEN-SOLAR'!$D$51:$AW$51), 0), IF($B6='Project List References'!$B$5, _xlfn.IFNA(_xlfn.XLOOKUP(T$2-$C6, 'GEN-BESS'!$D$7:$AW$7, 'GEN-BESS'!$D$51:$AW$51), 0), IF($B6='Project List References'!$B$6, _xlfn.IFNA(_xlfn.XLOOKUP(T$2-$C6, 'GEN-CARBON'!$D$7:$AW$7, 'GEN-CARBON'!$D$51:$AW$51), 0), IF($B6='Project List References'!$B$7, _xlfn.IFNA(_xlfn.XLOOKUP(T$2-$C6, 'SENS Coal'!$D$7:$AW$7, 'SENS Coal'!$D$51:$AW$51), 0), IF($B6='Project List References'!$B$8, _xlfn.IFNA(_xlfn.XLOOKUP(T$2-$C6, 'SENS Tires'!$D$7:$AW$7, 'SENS Tires'!$D$51:$AW$51), 0)))))))/_xlfn.XLOOKUP($B6,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52.649999999999935</v>
      </c>
    </row>
    <row r="7" spans="1:111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_xlfn.XLOOKUP('Project OPEX'!A7, 'Project Master Sheet'!A:A, 'Project Master Sheet'!I:I)</f>
        <v>0</v>
      </c>
      <c r="E7" s="743">
        <f>IF($B7='Project List References'!$B$3, _xlfn.IFNA(_xlfn.XLOOKUP(E$2-$C7, 'GEN-CCGT'!$D$7:$AW$7, 'GEN-CCGT'!$D$51:$AW$51), 0), IF($B7='Project List References'!$B$4, _xlfn.IFNA(_xlfn.XLOOKUP(E$2-$C7, 'GEN-SOLAR'!$D$7:$AW$7, 'GEN-SOLAR'!$D$51:$AW$51), 0), IF($B7='Project List References'!$B$5, _xlfn.IFNA(_xlfn.XLOOKUP(E$2-$C7, 'GEN-BESS'!$D$7:$AW$7, 'GEN-BESS'!$D$51:$AW$51), 0), IF($B7='Project List References'!$B$6, _xlfn.IFNA(_xlfn.XLOOKUP(E$2-$C7, 'GEN-CARBON'!$D$7:$AW$7, 'GEN-CARBON'!$D$51:$AW$51), 0), IF($B7='Project List References'!$B$7, _xlfn.IFNA(_xlfn.XLOOKUP(E$2-$C7, 'SENS Coal'!$D$7:$AW$7, 'SENS Coal'!$D$51:$AW$51), 0), IF($B7='Project List References'!$B$8, _xlfn.IFNA(_xlfn.XLOOKUP(E$2-$C7,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51.333333333333336</v>
      </c>
      <c r="F7" s="743">
        <f>IF($B7='Project List References'!$B$3, _xlfn.IFNA(_xlfn.XLOOKUP(F$2-$C7, 'GEN-CCGT'!$D$7:$AW$7, 'GEN-CCGT'!$D$51:$AW$51), 0), IF($B7='Project List References'!$B$4, _xlfn.IFNA(_xlfn.XLOOKUP(F$2-$C7, 'GEN-SOLAR'!$D$7:$AW$7, 'GEN-SOLAR'!$D$51:$AW$51), 0), IF($B7='Project List References'!$B$5, _xlfn.IFNA(_xlfn.XLOOKUP(F$2-$C7, 'GEN-BESS'!$D$7:$AW$7, 'GEN-BESS'!$D$51:$AW$51), 0), IF($B7='Project List References'!$B$6, _xlfn.IFNA(_xlfn.XLOOKUP(F$2-$C7, 'GEN-CARBON'!$D$7:$AW$7, 'GEN-CARBON'!$D$51:$AW$51), 0), IF($B7='Project List References'!$B$7, _xlfn.IFNA(_xlfn.XLOOKUP(F$2-$C7, 'SENS Coal'!$D$7:$AW$7, 'SENS Coal'!$D$51:$AW$51), 0), IF($B7='Project List References'!$B$8, _xlfn.IFNA(_xlfn.XLOOKUP(F$2-$C7,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84</v>
      </c>
      <c r="G7" s="743">
        <f>IF($B7='Project List References'!$B$3, _xlfn.IFNA(_xlfn.XLOOKUP(G$2-$C7, 'GEN-CCGT'!$D$7:$AW$7, 'GEN-CCGT'!$D$51:$AW$51), 0), IF($B7='Project List References'!$B$4, _xlfn.IFNA(_xlfn.XLOOKUP(G$2-$C7, 'GEN-SOLAR'!$D$7:$AW$7, 'GEN-SOLAR'!$D$51:$AW$51), 0), IF($B7='Project List References'!$B$5, _xlfn.IFNA(_xlfn.XLOOKUP(G$2-$C7, 'GEN-BESS'!$D$7:$AW$7, 'GEN-BESS'!$D$51:$AW$51), 0), IF($B7='Project List References'!$B$6, _xlfn.IFNA(_xlfn.XLOOKUP(G$2-$C7, 'GEN-CARBON'!$D$7:$AW$7, 'GEN-CARBON'!$D$51:$AW$51), 0), IF($B7='Project List References'!$B$7, _xlfn.IFNA(_xlfn.XLOOKUP(G$2-$C7, 'SENS Coal'!$D$7:$AW$7, 'SENS Coal'!$D$51:$AW$51), 0), IF($B7='Project List References'!$B$8, _xlfn.IFNA(_xlfn.XLOOKUP(G$2-$C7,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80.807999999999993</v>
      </c>
      <c r="H7" s="743">
        <f>IF($B7='Project List References'!$B$3, _xlfn.IFNA(_xlfn.XLOOKUP(H$2-$C7, 'GEN-CCGT'!$D$7:$AW$7, 'GEN-CCGT'!$D$51:$AW$51), 0), IF($B7='Project List References'!$B$4, _xlfn.IFNA(_xlfn.XLOOKUP(H$2-$C7, 'GEN-SOLAR'!$D$7:$AW$7, 'GEN-SOLAR'!$D$51:$AW$51), 0), IF($B7='Project List References'!$B$5, _xlfn.IFNA(_xlfn.XLOOKUP(H$2-$C7, 'GEN-BESS'!$D$7:$AW$7, 'GEN-BESS'!$D$51:$AW$51), 0), IF($B7='Project List References'!$B$6, _xlfn.IFNA(_xlfn.XLOOKUP(H$2-$C7, 'GEN-CARBON'!$D$7:$AW$7, 'GEN-CARBON'!$D$51:$AW$51), 0), IF($B7='Project List References'!$B$7, _xlfn.IFNA(_xlfn.XLOOKUP(H$2-$C7, 'SENS Coal'!$D$7:$AW$7, 'SENS Coal'!$D$51:$AW$51), 0), IF($B7='Project List References'!$B$8, _xlfn.IFNA(_xlfn.XLOOKUP(H$2-$C7,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77.616</v>
      </c>
      <c r="I7" s="743">
        <f>IF($B7='Project List References'!$B$3, _xlfn.IFNA(_xlfn.XLOOKUP(I$2-$C7, 'GEN-CCGT'!$D$7:$AW$7, 'GEN-CCGT'!$D$51:$AW$51), 0), IF($B7='Project List References'!$B$4, _xlfn.IFNA(_xlfn.XLOOKUP(I$2-$C7, 'GEN-SOLAR'!$D$7:$AW$7, 'GEN-SOLAR'!$D$51:$AW$51), 0), IF($B7='Project List References'!$B$5, _xlfn.IFNA(_xlfn.XLOOKUP(I$2-$C7, 'GEN-BESS'!$D$7:$AW$7, 'GEN-BESS'!$D$51:$AW$51), 0), IF($B7='Project List References'!$B$6, _xlfn.IFNA(_xlfn.XLOOKUP(I$2-$C7, 'GEN-CARBON'!$D$7:$AW$7, 'GEN-CARBON'!$D$51:$AW$51), 0), IF($B7='Project List References'!$B$7, _xlfn.IFNA(_xlfn.XLOOKUP(I$2-$C7, 'SENS Coal'!$D$7:$AW$7, 'SENS Coal'!$D$51:$AW$51), 0), IF($B7='Project List References'!$B$8, _xlfn.IFNA(_xlfn.XLOOKUP(I$2-$C7,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74.423999999999992</v>
      </c>
      <c r="J7" s="743">
        <f>IF($B7='Project List References'!$B$3, _xlfn.IFNA(_xlfn.XLOOKUP(J$2-$C7, 'GEN-CCGT'!$D$7:$AW$7, 'GEN-CCGT'!$D$51:$AW$51), 0), IF($B7='Project List References'!$B$4, _xlfn.IFNA(_xlfn.XLOOKUP(J$2-$C7, 'GEN-SOLAR'!$D$7:$AW$7, 'GEN-SOLAR'!$D$51:$AW$51), 0), IF($B7='Project List References'!$B$5, _xlfn.IFNA(_xlfn.XLOOKUP(J$2-$C7, 'GEN-BESS'!$D$7:$AW$7, 'GEN-BESS'!$D$51:$AW$51), 0), IF($B7='Project List References'!$B$6, _xlfn.IFNA(_xlfn.XLOOKUP(J$2-$C7, 'GEN-CARBON'!$D$7:$AW$7, 'GEN-CARBON'!$D$51:$AW$51), 0), IF($B7='Project List References'!$B$7, _xlfn.IFNA(_xlfn.XLOOKUP(J$2-$C7, 'SENS Coal'!$D$7:$AW$7, 'SENS Coal'!$D$51:$AW$51), 0), IF($B7='Project List References'!$B$8, _xlfn.IFNA(_xlfn.XLOOKUP(J$2-$C7,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71.231999999999985</v>
      </c>
      <c r="K7" s="743">
        <f>IF($B7='Project List References'!$B$3, _xlfn.IFNA(_xlfn.XLOOKUP(K$2-$C7, 'GEN-CCGT'!$D$7:$AW$7, 'GEN-CCGT'!$D$51:$AW$51), 0), IF($B7='Project List References'!$B$4, _xlfn.IFNA(_xlfn.XLOOKUP(K$2-$C7, 'GEN-SOLAR'!$D$7:$AW$7, 'GEN-SOLAR'!$D$51:$AW$51), 0), IF($B7='Project List References'!$B$5, _xlfn.IFNA(_xlfn.XLOOKUP(K$2-$C7, 'GEN-BESS'!$D$7:$AW$7, 'GEN-BESS'!$D$51:$AW$51), 0), IF($B7='Project List References'!$B$6, _xlfn.IFNA(_xlfn.XLOOKUP(K$2-$C7, 'GEN-CARBON'!$D$7:$AW$7, 'GEN-CARBON'!$D$51:$AW$51), 0), IF($B7='Project List References'!$B$7, _xlfn.IFNA(_xlfn.XLOOKUP(K$2-$C7, 'SENS Coal'!$D$7:$AW$7, 'SENS Coal'!$D$51:$AW$51), 0), IF($B7='Project List References'!$B$8, _xlfn.IFNA(_xlfn.XLOOKUP(K$2-$C7,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68.039999999999992</v>
      </c>
      <c r="L7" s="743">
        <f>IF($B7='Project List References'!$B$3, _xlfn.IFNA(_xlfn.XLOOKUP(L$2-$C7, 'GEN-CCGT'!$D$7:$AW$7, 'GEN-CCGT'!$D$51:$AW$51), 0), IF($B7='Project List References'!$B$4, _xlfn.IFNA(_xlfn.XLOOKUP(L$2-$C7, 'GEN-SOLAR'!$D$7:$AW$7, 'GEN-SOLAR'!$D$51:$AW$51), 0), IF($B7='Project List References'!$B$5, _xlfn.IFNA(_xlfn.XLOOKUP(L$2-$C7, 'GEN-BESS'!$D$7:$AW$7, 'GEN-BESS'!$D$51:$AW$51), 0), IF($B7='Project List References'!$B$6, _xlfn.IFNA(_xlfn.XLOOKUP(L$2-$C7, 'GEN-CARBON'!$D$7:$AW$7, 'GEN-CARBON'!$D$51:$AW$51), 0), IF($B7='Project List References'!$B$7, _xlfn.IFNA(_xlfn.XLOOKUP(L$2-$C7, 'SENS Coal'!$D$7:$AW$7, 'SENS Coal'!$D$51:$AW$51), 0), IF($B7='Project List References'!$B$8, _xlfn.IFNA(_xlfn.XLOOKUP(L$2-$C7,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64.847999999999999</v>
      </c>
      <c r="M7" s="743">
        <f>IF($B7='Project List References'!$B$3, _xlfn.IFNA(_xlfn.XLOOKUP(M$2-$C7, 'GEN-CCGT'!$D$7:$AW$7, 'GEN-CCGT'!$D$51:$AW$51), 0), IF($B7='Project List References'!$B$4, _xlfn.IFNA(_xlfn.XLOOKUP(M$2-$C7, 'GEN-SOLAR'!$D$7:$AW$7, 'GEN-SOLAR'!$D$51:$AW$51), 0), IF($B7='Project List References'!$B$5, _xlfn.IFNA(_xlfn.XLOOKUP(M$2-$C7, 'GEN-BESS'!$D$7:$AW$7, 'GEN-BESS'!$D$51:$AW$51), 0), IF($B7='Project List References'!$B$6, _xlfn.IFNA(_xlfn.XLOOKUP(M$2-$C7, 'GEN-CARBON'!$D$7:$AW$7, 'GEN-CARBON'!$D$51:$AW$51), 0), IF($B7='Project List References'!$B$7, _xlfn.IFNA(_xlfn.XLOOKUP(M$2-$C7, 'SENS Coal'!$D$7:$AW$7, 'SENS Coal'!$D$51:$AW$51), 0), IF($B7='Project List References'!$B$8, _xlfn.IFNA(_xlfn.XLOOKUP(M$2-$C7,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61.655999999999985</v>
      </c>
      <c r="N7" s="743">
        <f>IF($B7='Project List References'!$B$3, _xlfn.IFNA(_xlfn.XLOOKUP(N$2-$C7, 'GEN-CCGT'!$D$7:$AW$7, 'GEN-CCGT'!$D$51:$AW$51), 0), IF($B7='Project List References'!$B$4, _xlfn.IFNA(_xlfn.XLOOKUP(N$2-$C7, 'GEN-SOLAR'!$D$7:$AW$7, 'GEN-SOLAR'!$D$51:$AW$51), 0), IF($B7='Project List References'!$B$5, _xlfn.IFNA(_xlfn.XLOOKUP(N$2-$C7, 'GEN-BESS'!$D$7:$AW$7, 'GEN-BESS'!$D$51:$AW$51), 0), IF($B7='Project List References'!$B$6, _xlfn.IFNA(_xlfn.XLOOKUP(N$2-$C7, 'GEN-CARBON'!$D$7:$AW$7, 'GEN-CARBON'!$D$51:$AW$51), 0), IF($B7='Project List References'!$B$7, _xlfn.IFNA(_xlfn.XLOOKUP(N$2-$C7, 'SENS Coal'!$D$7:$AW$7, 'SENS Coal'!$D$51:$AW$51), 0), IF($B7='Project List References'!$B$8, _xlfn.IFNA(_xlfn.XLOOKUP(N$2-$C7,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58.463999999999992</v>
      </c>
      <c r="O7" s="743">
        <f>IF($B7='Project List References'!$B$3, _xlfn.IFNA(_xlfn.XLOOKUP(O$2-$C7, 'GEN-CCGT'!$D$7:$AW$7, 'GEN-CCGT'!$D$51:$AW$51), 0), IF($B7='Project List References'!$B$4, _xlfn.IFNA(_xlfn.XLOOKUP(O$2-$C7, 'GEN-SOLAR'!$D$7:$AW$7, 'GEN-SOLAR'!$D$51:$AW$51), 0), IF($B7='Project List References'!$B$5, _xlfn.IFNA(_xlfn.XLOOKUP(O$2-$C7, 'GEN-BESS'!$D$7:$AW$7, 'GEN-BESS'!$D$51:$AW$51), 0), IF($B7='Project List References'!$B$6, _xlfn.IFNA(_xlfn.XLOOKUP(O$2-$C7, 'GEN-CARBON'!$D$7:$AW$7, 'GEN-CARBON'!$D$51:$AW$51), 0), IF($B7='Project List References'!$B$7, _xlfn.IFNA(_xlfn.XLOOKUP(O$2-$C7, 'SENS Coal'!$D$7:$AW$7, 'SENS Coal'!$D$51:$AW$51), 0), IF($B7='Project List References'!$B$8, _xlfn.IFNA(_xlfn.XLOOKUP(O$2-$C7,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55.271999999999984</v>
      </c>
      <c r="P7" s="743">
        <f>IF($B7='Project List References'!$B$3, _xlfn.IFNA(_xlfn.XLOOKUP(P$2-$C7, 'GEN-CCGT'!$D$7:$AW$7, 'GEN-CCGT'!$D$51:$AW$51), 0), IF($B7='Project List References'!$B$4, _xlfn.IFNA(_xlfn.XLOOKUP(P$2-$C7, 'GEN-SOLAR'!$D$7:$AW$7, 'GEN-SOLAR'!$D$51:$AW$51), 0), IF($B7='Project List References'!$B$5, _xlfn.IFNA(_xlfn.XLOOKUP(P$2-$C7, 'GEN-BESS'!$D$7:$AW$7, 'GEN-BESS'!$D$51:$AW$51), 0), IF($B7='Project List References'!$B$6, _xlfn.IFNA(_xlfn.XLOOKUP(P$2-$C7, 'GEN-CARBON'!$D$7:$AW$7, 'GEN-CARBON'!$D$51:$AW$51), 0), IF($B7='Project List References'!$B$7, _xlfn.IFNA(_xlfn.XLOOKUP(P$2-$C7, 'SENS Coal'!$D$7:$AW$7, 'SENS Coal'!$D$51:$AW$51), 0), IF($B7='Project List References'!$B$8, _xlfn.IFNA(_xlfn.XLOOKUP(P$2-$C7,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52.079999999999984</v>
      </c>
      <c r="Q7" s="743">
        <f>IF($B7='Project List References'!$B$3, _xlfn.IFNA(_xlfn.XLOOKUP(Q$2-$C7, 'GEN-CCGT'!$D$7:$AW$7, 'GEN-CCGT'!$D$51:$AW$51), 0), IF($B7='Project List References'!$B$4, _xlfn.IFNA(_xlfn.XLOOKUP(Q$2-$C7, 'GEN-SOLAR'!$D$7:$AW$7, 'GEN-SOLAR'!$D$51:$AW$51), 0), IF($B7='Project List References'!$B$5, _xlfn.IFNA(_xlfn.XLOOKUP(Q$2-$C7, 'GEN-BESS'!$D$7:$AW$7, 'GEN-BESS'!$D$51:$AW$51), 0), IF($B7='Project List References'!$B$6, _xlfn.IFNA(_xlfn.XLOOKUP(Q$2-$C7, 'GEN-CARBON'!$D$7:$AW$7, 'GEN-CARBON'!$D$51:$AW$51), 0), IF($B7='Project List References'!$B$7, _xlfn.IFNA(_xlfn.XLOOKUP(Q$2-$C7, 'SENS Coal'!$D$7:$AW$7, 'SENS Coal'!$D$51:$AW$51), 0), IF($B7='Project List References'!$B$8, _xlfn.IFNA(_xlfn.XLOOKUP(Q$2-$C7,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48.887999999999984</v>
      </c>
      <c r="R7" s="743">
        <f>IF($B7='Project List References'!$B$3, _xlfn.IFNA(_xlfn.XLOOKUP(R$2-$C7, 'GEN-CCGT'!$D$7:$AW$7, 'GEN-CCGT'!$D$51:$AW$51), 0), IF($B7='Project List References'!$B$4, _xlfn.IFNA(_xlfn.XLOOKUP(R$2-$C7, 'GEN-SOLAR'!$D$7:$AW$7, 'GEN-SOLAR'!$D$51:$AW$51), 0), IF($B7='Project List References'!$B$5, _xlfn.IFNA(_xlfn.XLOOKUP(R$2-$C7, 'GEN-BESS'!$D$7:$AW$7, 'GEN-BESS'!$D$51:$AW$51), 0), IF($B7='Project List References'!$B$6, _xlfn.IFNA(_xlfn.XLOOKUP(R$2-$C7, 'GEN-CARBON'!$D$7:$AW$7, 'GEN-CARBON'!$D$51:$AW$51), 0), IF($B7='Project List References'!$B$7, _xlfn.IFNA(_xlfn.XLOOKUP(R$2-$C7, 'SENS Coal'!$D$7:$AW$7, 'SENS Coal'!$D$51:$AW$51), 0), IF($B7='Project List References'!$B$8, _xlfn.IFNA(_xlfn.XLOOKUP(R$2-$C7,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45.695999999999977</v>
      </c>
      <c r="S7" s="743">
        <f>IF($B7='Project List References'!$B$3, _xlfn.IFNA(_xlfn.XLOOKUP(S$2-$C7, 'GEN-CCGT'!$D$7:$AW$7, 'GEN-CCGT'!$D$51:$AW$51), 0), IF($B7='Project List References'!$B$4, _xlfn.IFNA(_xlfn.XLOOKUP(S$2-$C7, 'GEN-SOLAR'!$D$7:$AW$7, 'GEN-SOLAR'!$D$51:$AW$51), 0), IF($B7='Project List References'!$B$5, _xlfn.IFNA(_xlfn.XLOOKUP(S$2-$C7, 'GEN-BESS'!$D$7:$AW$7, 'GEN-BESS'!$D$51:$AW$51), 0), IF($B7='Project List References'!$B$6, _xlfn.IFNA(_xlfn.XLOOKUP(S$2-$C7, 'GEN-CARBON'!$D$7:$AW$7, 'GEN-CARBON'!$D$51:$AW$51), 0), IF($B7='Project List References'!$B$7, _xlfn.IFNA(_xlfn.XLOOKUP(S$2-$C7, 'SENS Coal'!$D$7:$AW$7, 'SENS Coal'!$D$51:$AW$51), 0), IF($B7='Project List References'!$B$8, _xlfn.IFNA(_xlfn.XLOOKUP(S$2-$C7,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42.503999999999984</v>
      </c>
      <c r="T7" s="743">
        <f>IF($B7='Project List References'!$B$3, _xlfn.IFNA(_xlfn.XLOOKUP(T$2-$C7, 'GEN-CCGT'!$D$7:$AW$7, 'GEN-CCGT'!$D$51:$AW$51), 0), IF($B7='Project List References'!$B$4, _xlfn.IFNA(_xlfn.XLOOKUP(T$2-$C7, 'GEN-SOLAR'!$D$7:$AW$7, 'GEN-SOLAR'!$D$51:$AW$51), 0), IF($B7='Project List References'!$B$5, _xlfn.IFNA(_xlfn.XLOOKUP(T$2-$C7, 'GEN-BESS'!$D$7:$AW$7, 'GEN-BESS'!$D$51:$AW$51), 0), IF($B7='Project List References'!$B$6, _xlfn.IFNA(_xlfn.XLOOKUP(T$2-$C7, 'GEN-CARBON'!$D$7:$AW$7, 'GEN-CARBON'!$D$51:$AW$51), 0), IF($B7='Project List References'!$B$7, _xlfn.IFNA(_xlfn.XLOOKUP(T$2-$C7, 'SENS Coal'!$D$7:$AW$7, 'SENS Coal'!$D$51:$AW$51), 0), IF($B7='Project List References'!$B$8, _xlfn.IFNA(_xlfn.XLOOKUP(T$2-$C7, 'SENS Tires'!$D$7:$AW$7, 'SENS Tires'!$D$51:$AW$51), 0)))))))/_xlfn.XLOOKUP($B7,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39.311999999999976</v>
      </c>
    </row>
    <row r="8" spans="1:111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_xlfn.XLOOKUP('Project OPEX'!A8, 'Project Master Sheet'!A:A, 'Project Master Sheet'!I:I)</f>
        <v>#N/A</v>
      </c>
      <c r="E8" s="743" t="e">
        <f>IF($B8='Project List References'!$B$3, _xlfn.IFNA(_xlfn.XLOOKUP(E$2-$C8, 'GEN-CCGT'!$D$7:$AW$7, 'GEN-CCGT'!$D$51:$AW$51), 0), IF($B8='Project List References'!$B$4, _xlfn.IFNA(_xlfn.XLOOKUP(E$2-$C8, 'GEN-SOLAR'!$D$7:$AW$7, 'GEN-SOLAR'!$D$51:$AW$51), 0), IF($B8='Project List References'!$B$5, _xlfn.IFNA(_xlfn.XLOOKUP(E$2-$C8, 'GEN-BESS'!$D$7:$AW$7, 'GEN-BESS'!$D$51:$AW$51), 0), IF($B8='Project List References'!$B$6, _xlfn.IFNA(_xlfn.XLOOKUP(E$2-$C8, 'GEN-CARBON'!$D$7:$AW$7, 'GEN-CARBON'!$D$51:$AW$51), 0), IF($B8='Project List References'!$B$7, _xlfn.IFNA(_xlfn.XLOOKUP(E$2-$C8, 'SENS Coal'!$D$7:$AW$7, 'SENS Coal'!$D$51:$AW$51), 0), IF($B8='Project List References'!$B$8, _xlfn.IFNA(_xlfn.XLOOKUP(E$2-$C8,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F8" s="743" t="e">
        <f>IF($B8='Project List References'!$B$3, _xlfn.IFNA(_xlfn.XLOOKUP(F$2-$C8, 'GEN-CCGT'!$D$7:$AW$7, 'GEN-CCGT'!$D$51:$AW$51), 0), IF($B8='Project List References'!$B$4, _xlfn.IFNA(_xlfn.XLOOKUP(F$2-$C8, 'GEN-SOLAR'!$D$7:$AW$7, 'GEN-SOLAR'!$D$51:$AW$51), 0), IF($B8='Project List References'!$B$5, _xlfn.IFNA(_xlfn.XLOOKUP(F$2-$C8, 'GEN-BESS'!$D$7:$AW$7, 'GEN-BESS'!$D$51:$AW$51), 0), IF($B8='Project List References'!$B$6, _xlfn.IFNA(_xlfn.XLOOKUP(F$2-$C8, 'GEN-CARBON'!$D$7:$AW$7, 'GEN-CARBON'!$D$51:$AW$51), 0), IF($B8='Project List References'!$B$7, _xlfn.IFNA(_xlfn.XLOOKUP(F$2-$C8, 'SENS Coal'!$D$7:$AW$7, 'SENS Coal'!$D$51:$AW$51), 0), IF($B8='Project List References'!$B$8, _xlfn.IFNA(_xlfn.XLOOKUP(F$2-$C8,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G8" s="743" t="e">
        <f>IF($B8='Project List References'!$B$3, _xlfn.IFNA(_xlfn.XLOOKUP(G$2-$C8, 'GEN-CCGT'!$D$7:$AW$7, 'GEN-CCGT'!$D$51:$AW$51), 0), IF($B8='Project List References'!$B$4, _xlfn.IFNA(_xlfn.XLOOKUP(G$2-$C8, 'GEN-SOLAR'!$D$7:$AW$7, 'GEN-SOLAR'!$D$51:$AW$51), 0), IF($B8='Project List References'!$B$5, _xlfn.IFNA(_xlfn.XLOOKUP(G$2-$C8, 'GEN-BESS'!$D$7:$AW$7, 'GEN-BESS'!$D$51:$AW$51), 0), IF($B8='Project List References'!$B$6, _xlfn.IFNA(_xlfn.XLOOKUP(G$2-$C8, 'GEN-CARBON'!$D$7:$AW$7, 'GEN-CARBON'!$D$51:$AW$51), 0), IF($B8='Project List References'!$B$7, _xlfn.IFNA(_xlfn.XLOOKUP(G$2-$C8, 'SENS Coal'!$D$7:$AW$7, 'SENS Coal'!$D$51:$AW$51), 0), IF($B8='Project List References'!$B$8, _xlfn.IFNA(_xlfn.XLOOKUP(G$2-$C8,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H8" s="743" t="e">
        <f>IF($B8='Project List References'!$B$3, _xlfn.IFNA(_xlfn.XLOOKUP(H$2-$C8, 'GEN-CCGT'!$D$7:$AW$7, 'GEN-CCGT'!$D$51:$AW$51), 0), IF($B8='Project List References'!$B$4, _xlfn.IFNA(_xlfn.XLOOKUP(H$2-$C8, 'GEN-SOLAR'!$D$7:$AW$7, 'GEN-SOLAR'!$D$51:$AW$51), 0), IF($B8='Project List References'!$B$5, _xlfn.IFNA(_xlfn.XLOOKUP(H$2-$C8, 'GEN-BESS'!$D$7:$AW$7, 'GEN-BESS'!$D$51:$AW$51), 0), IF($B8='Project List References'!$B$6, _xlfn.IFNA(_xlfn.XLOOKUP(H$2-$C8, 'GEN-CARBON'!$D$7:$AW$7, 'GEN-CARBON'!$D$51:$AW$51), 0), IF($B8='Project List References'!$B$7, _xlfn.IFNA(_xlfn.XLOOKUP(H$2-$C8, 'SENS Coal'!$D$7:$AW$7, 'SENS Coal'!$D$51:$AW$51), 0), IF($B8='Project List References'!$B$8, _xlfn.IFNA(_xlfn.XLOOKUP(H$2-$C8,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I8" s="743" t="e">
        <f>IF($B8='Project List References'!$B$3, _xlfn.IFNA(_xlfn.XLOOKUP(I$2-$C8, 'GEN-CCGT'!$D$7:$AW$7, 'GEN-CCGT'!$D$51:$AW$51), 0), IF($B8='Project List References'!$B$4, _xlfn.IFNA(_xlfn.XLOOKUP(I$2-$C8, 'GEN-SOLAR'!$D$7:$AW$7, 'GEN-SOLAR'!$D$51:$AW$51), 0), IF($B8='Project List References'!$B$5, _xlfn.IFNA(_xlfn.XLOOKUP(I$2-$C8, 'GEN-BESS'!$D$7:$AW$7, 'GEN-BESS'!$D$51:$AW$51), 0), IF($B8='Project List References'!$B$6, _xlfn.IFNA(_xlfn.XLOOKUP(I$2-$C8, 'GEN-CARBON'!$D$7:$AW$7, 'GEN-CARBON'!$D$51:$AW$51), 0), IF($B8='Project List References'!$B$7, _xlfn.IFNA(_xlfn.XLOOKUP(I$2-$C8, 'SENS Coal'!$D$7:$AW$7, 'SENS Coal'!$D$51:$AW$51), 0), IF($B8='Project List References'!$B$8, _xlfn.IFNA(_xlfn.XLOOKUP(I$2-$C8,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J8" s="743" t="e">
        <f>IF($B8='Project List References'!$B$3, _xlfn.IFNA(_xlfn.XLOOKUP(J$2-$C8, 'GEN-CCGT'!$D$7:$AW$7, 'GEN-CCGT'!$D$51:$AW$51), 0), IF($B8='Project List References'!$B$4, _xlfn.IFNA(_xlfn.XLOOKUP(J$2-$C8, 'GEN-SOLAR'!$D$7:$AW$7, 'GEN-SOLAR'!$D$51:$AW$51), 0), IF($B8='Project List References'!$B$5, _xlfn.IFNA(_xlfn.XLOOKUP(J$2-$C8, 'GEN-BESS'!$D$7:$AW$7, 'GEN-BESS'!$D$51:$AW$51), 0), IF($B8='Project List References'!$B$6, _xlfn.IFNA(_xlfn.XLOOKUP(J$2-$C8, 'GEN-CARBON'!$D$7:$AW$7, 'GEN-CARBON'!$D$51:$AW$51), 0), IF($B8='Project List References'!$B$7, _xlfn.IFNA(_xlfn.XLOOKUP(J$2-$C8, 'SENS Coal'!$D$7:$AW$7, 'SENS Coal'!$D$51:$AW$51), 0), IF($B8='Project List References'!$B$8, _xlfn.IFNA(_xlfn.XLOOKUP(J$2-$C8,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K8" s="743" t="e">
        <f>IF($B8='Project List References'!$B$3, _xlfn.IFNA(_xlfn.XLOOKUP(K$2-$C8, 'GEN-CCGT'!$D$7:$AW$7, 'GEN-CCGT'!$D$51:$AW$51), 0), IF($B8='Project List References'!$B$4, _xlfn.IFNA(_xlfn.XLOOKUP(K$2-$C8, 'GEN-SOLAR'!$D$7:$AW$7, 'GEN-SOLAR'!$D$51:$AW$51), 0), IF($B8='Project List References'!$B$5, _xlfn.IFNA(_xlfn.XLOOKUP(K$2-$C8, 'GEN-BESS'!$D$7:$AW$7, 'GEN-BESS'!$D$51:$AW$51), 0), IF($B8='Project List References'!$B$6, _xlfn.IFNA(_xlfn.XLOOKUP(K$2-$C8, 'GEN-CARBON'!$D$7:$AW$7, 'GEN-CARBON'!$D$51:$AW$51), 0), IF($B8='Project List References'!$B$7, _xlfn.IFNA(_xlfn.XLOOKUP(K$2-$C8, 'SENS Coal'!$D$7:$AW$7, 'SENS Coal'!$D$51:$AW$51), 0), IF($B8='Project List References'!$B$8, _xlfn.IFNA(_xlfn.XLOOKUP(K$2-$C8,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L8" s="743" t="e">
        <f>IF($B8='Project List References'!$B$3, _xlfn.IFNA(_xlfn.XLOOKUP(L$2-$C8, 'GEN-CCGT'!$D$7:$AW$7, 'GEN-CCGT'!$D$51:$AW$51), 0), IF($B8='Project List References'!$B$4, _xlfn.IFNA(_xlfn.XLOOKUP(L$2-$C8, 'GEN-SOLAR'!$D$7:$AW$7, 'GEN-SOLAR'!$D$51:$AW$51), 0), IF($B8='Project List References'!$B$5, _xlfn.IFNA(_xlfn.XLOOKUP(L$2-$C8, 'GEN-BESS'!$D$7:$AW$7, 'GEN-BESS'!$D$51:$AW$51), 0), IF($B8='Project List References'!$B$6, _xlfn.IFNA(_xlfn.XLOOKUP(L$2-$C8, 'GEN-CARBON'!$D$7:$AW$7, 'GEN-CARBON'!$D$51:$AW$51), 0), IF($B8='Project List References'!$B$7, _xlfn.IFNA(_xlfn.XLOOKUP(L$2-$C8, 'SENS Coal'!$D$7:$AW$7, 'SENS Coal'!$D$51:$AW$51), 0), IF($B8='Project List References'!$B$8, _xlfn.IFNA(_xlfn.XLOOKUP(L$2-$C8,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M8" s="743" t="e">
        <f>IF($B8='Project List References'!$B$3, _xlfn.IFNA(_xlfn.XLOOKUP(M$2-$C8, 'GEN-CCGT'!$D$7:$AW$7, 'GEN-CCGT'!$D$51:$AW$51), 0), IF($B8='Project List References'!$B$4, _xlfn.IFNA(_xlfn.XLOOKUP(M$2-$C8, 'GEN-SOLAR'!$D$7:$AW$7, 'GEN-SOLAR'!$D$51:$AW$51), 0), IF($B8='Project List References'!$B$5, _xlfn.IFNA(_xlfn.XLOOKUP(M$2-$C8, 'GEN-BESS'!$D$7:$AW$7, 'GEN-BESS'!$D$51:$AW$51), 0), IF($B8='Project List References'!$B$6, _xlfn.IFNA(_xlfn.XLOOKUP(M$2-$C8, 'GEN-CARBON'!$D$7:$AW$7, 'GEN-CARBON'!$D$51:$AW$51), 0), IF($B8='Project List References'!$B$7, _xlfn.IFNA(_xlfn.XLOOKUP(M$2-$C8, 'SENS Coal'!$D$7:$AW$7, 'SENS Coal'!$D$51:$AW$51), 0), IF($B8='Project List References'!$B$8, _xlfn.IFNA(_xlfn.XLOOKUP(M$2-$C8,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N8" s="743" t="e">
        <f>IF($B8='Project List References'!$B$3, _xlfn.IFNA(_xlfn.XLOOKUP(N$2-$C8, 'GEN-CCGT'!$D$7:$AW$7, 'GEN-CCGT'!$D$51:$AW$51), 0), IF($B8='Project List References'!$B$4, _xlfn.IFNA(_xlfn.XLOOKUP(N$2-$C8, 'GEN-SOLAR'!$D$7:$AW$7, 'GEN-SOLAR'!$D$51:$AW$51), 0), IF($B8='Project List References'!$B$5, _xlfn.IFNA(_xlfn.XLOOKUP(N$2-$C8, 'GEN-BESS'!$D$7:$AW$7, 'GEN-BESS'!$D$51:$AW$51), 0), IF($B8='Project List References'!$B$6, _xlfn.IFNA(_xlfn.XLOOKUP(N$2-$C8, 'GEN-CARBON'!$D$7:$AW$7, 'GEN-CARBON'!$D$51:$AW$51), 0), IF($B8='Project List References'!$B$7, _xlfn.IFNA(_xlfn.XLOOKUP(N$2-$C8, 'SENS Coal'!$D$7:$AW$7, 'SENS Coal'!$D$51:$AW$51), 0), IF($B8='Project List References'!$B$8, _xlfn.IFNA(_xlfn.XLOOKUP(N$2-$C8,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O8" s="743" t="e">
        <f>IF($B8='Project List References'!$B$3, _xlfn.IFNA(_xlfn.XLOOKUP(O$2-$C8, 'GEN-CCGT'!$D$7:$AW$7, 'GEN-CCGT'!$D$51:$AW$51), 0), IF($B8='Project List References'!$B$4, _xlfn.IFNA(_xlfn.XLOOKUP(O$2-$C8, 'GEN-SOLAR'!$D$7:$AW$7, 'GEN-SOLAR'!$D$51:$AW$51), 0), IF($B8='Project List References'!$B$5, _xlfn.IFNA(_xlfn.XLOOKUP(O$2-$C8, 'GEN-BESS'!$D$7:$AW$7, 'GEN-BESS'!$D$51:$AW$51), 0), IF($B8='Project List References'!$B$6, _xlfn.IFNA(_xlfn.XLOOKUP(O$2-$C8, 'GEN-CARBON'!$D$7:$AW$7, 'GEN-CARBON'!$D$51:$AW$51), 0), IF($B8='Project List References'!$B$7, _xlfn.IFNA(_xlfn.XLOOKUP(O$2-$C8, 'SENS Coal'!$D$7:$AW$7, 'SENS Coal'!$D$51:$AW$51), 0), IF($B8='Project List References'!$B$8, _xlfn.IFNA(_xlfn.XLOOKUP(O$2-$C8,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P8" s="743" t="e">
        <f>IF($B8='Project List References'!$B$3, _xlfn.IFNA(_xlfn.XLOOKUP(P$2-$C8, 'GEN-CCGT'!$D$7:$AW$7, 'GEN-CCGT'!$D$51:$AW$51), 0), IF($B8='Project List References'!$B$4, _xlfn.IFNA(_xlfn.XLOOKUP(P$2-$C8, 'GEN-SOLAR'!$D$7:$AW$7, 'GEN-SOLAR'!$D$51:$AW$51), 0), IF($B8='Project List References'!$B$5, _xlfn.IFNA(_xlfn.XLOOKUP(P$2-$C8, 'GEN-BESS'!$D$7:$AW$7, 'GEN-BESS'!$D$51:$AW$51), 0), IF($B8='Project List References'!$B$6, _xlfn.IFNA(_xlfn.XLOOKUP(P$2-$C8, 'GEN-CARBON'!$D$7:$AW$7, 'GEN-CARBON'!$D$51:$AW$51), 0), IF($B8='Project List References'!$B$7, _xlfn.IFNA(_xlfn.XLOOKUP(P$2-$C8, 'SENS Coal'!$D$7:$AW$7, 'SENS Coal'!$D$51:$AW$51), 0), IF($B8='Project List References'!$B$8, _xlfn.IFNA(_xlfn.XLOOKUP(P$2-$C8,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Q8" s="743" t="e">
        <f>IF($B8='Project List References'!$B$3, _xlfn.IFNA(_xlfn.XLOOKUP(Q$2-$C8, 'GEN-CCGT'!$D$7:$AW$7, 'GEN-CCGT'!$D$51:$AW$51), 0), IF($B8='Project List References'!$B$4, _xlfn.IFNA(_xlfn.XLOOKUP(Q$2-$C8, 'GEN-SOLAR'!$D$7:$AW$7, 'GEN-SOLAR'!$D$51:$AW$51), 0), IF($B8='Project List References'!$B$5, _xlfn.IFNA(_xlfn.XLOOKUP(Q$2-$C8, 'GEN-BESS'!$D$7:$AW$7, 'GEN-BESS'!$D$51:$AW$51), 0), IF($B8='Project List References'!$B$6, _xlfn.IFNA(_xlfn.XLOOKUP(Q$2-$C8, 'GEN-CARBON'!$D$7:$AW$7, 'GEN-CARBON'!$D$51:$AW$51), 0), IF($B8='Project List References'!$B$7, _xlfn.IFNA(_xlfn.XLOOKUP(Q$2-$C8, 'SENS Coal'!$D$7:$AW$7, 'SENS Coal'!$D$51:$AW$51), 0), IF($B8='Project List References'!$B$8, _xlfn.IFNA(_xlfn.XLOOKUP(Q$2-$C8,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R8" s="743" t="e">
        <f>IF($B8='Project List References'!$B$3, _xlfn.IFNA(_xlfn.XLOOKUP(R$2-$C8, 'GEN-CCGT'!$D$7:$AW$7, 'GEN-CCGT'!$D$51:$AW$51), 0), IF($B8='Project List References'!$B$4, _xlfn.IFNA(_xlfn.XLOOKUP(R$2-$C8, 'GEN-SOLAR'!$D$7:$AW$7, 'GEN-SOLAR'!$D$51:$AW$51), 0), IF($B8='Project List References'!$B$5, _xlfn.IFNA(_xlfn.XLOOKUP(R$2-$C8, 'GEN-BESS'!$D$7:$AW$7, 'GEN-BESS'!$D$51:$AW$51), 0), IF($B8='Project List References'!$B$6, _xlfn.IFNA(_xlfn.XLOOKUP(R$2-$C8, 'GEN-CARBON'!$D$7:$AW$7, 'GEN-CARBON'!$D$51:$AW$51), 0), IF($B8='Project List References'!$B$7, _xlfn.IFNA(_xlfn.XLOOKUP(R$2-$C8, 'SENS Coal'!$D$7:$AW$7, 'SENS Coal'!$D$51:$AW$51), 0), IF($B8='Project List References'!$B$8, _xlfn.IFNA(_xlfn.XLOOKUP(R$2-$C8,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S8" s="743" t="e">
        <f>IF($B8='Project List References'!$B$3, _xlfn.IFNA(_xlfn.XLOOKUP(S$2-$C8, 'GEN-CCGT'!$D$7:$AW$7, 'GEN-CCGT'!$D$51:$AW$51), 0), IF($B8='Project List References'!$B$4, _xlfn.IFNA(_xlfn.XLOOKUP(S$2-$C8, 'GEN-SOLAR'!$D$7:$AW$7, 'GEN-SOLAR'!$D$51:$AW$51), 0), IF($B8='Project List References'!$B$5, _xlfn.IFNA(_xlfn.XLOOKUP(S$2-$C8, 'GEN-BESS'!$D$7:$AW$7, 'GEN-BESS'!$D$51:$AW$51), 0), IF($B8='Project List References'!$B$6, _xlfn.IFNA(_xlfn.XLOOKUP(S$2-$C8, 'GEN-CARBON'!$D$7:$AW$7, 'GEN-CARBON'!$D$51:$AW$51), 0), IF($B8='Project List References'!$B$7, _xlfn.IFNA(_xlfn.XLOOKUP(S$2-$C8, 'SENS Coal'!$D$7:$AW$7, 'SENS Coal'!$D$51:$AW$51), 0), IF($B8='Project List References'!$B$8, _xlfn.IFNA(_xlfn.XLOOKUP(S$2-$C8,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T8" s="743" t="e">
        <f>IF($B8='Project List References'!$B$3, _xlfn.IFNA(_xlfn.XLOOKUP(T$2-$C8, 'GEN-CCGT'!$D$7:$AW$7, 'GEN-CCGT'!$D$51:$AW$51), 0), IF($B8='Project List References'!$B$4, _xlfn.IFNA(_xlfn.XLOOKUP(T$2-$C8, 'GEN-SOLAR'!$D$7:$AW$7, 'GEN-SOLAR'!$D$51:$AW$51), 0), IF($B8='Project List References'!$B$5, _xlfn.IFNA(_xlfn.XLOOKUP(T$2-$C8, 'GEN-BESS'!$D$7:$AW$7, 'GEN-BESS'!$D$51:$AW$51), 0), IF($B8='Project List References'!$B$6, _xlfn.IFNA(_xlfn.XLOOKUP(T$2-$C8, 'GEN-CARBON'!$D$7:$AW$7, 'GEN-CARBON'!$D$51:$AW$51), 0), IF($B8='Project List References'!$B$7, _xlfn.IFNA(_xlfn.XLOOKUP(T$2-$C8, 'SENS Coal'!$D$7:$AW$7, 'SENS Coal'!$D$51:$AW$51), 0), IF($B8='Project List References'!$B$8, _xlfn.IFNA(_xlfn.XLOOKUP(T$2-$C8, 'SENS Tires'!$D$7:$AW$7, 'SENS Tires'!$D$51:$AW$51), 0)))))))/_xlfn.XLOOKUP($B8,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</row>
    <row r="9" spans="1:111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_xlfn.XLOOKUP('Project OPEX'!A9, 'Project Master Sheet'!A:A, 'Project Master Sheet'!I:I)</f>
        <v>1</v>
      </c>
      <c r="E9" s="743">
        <f>IF($B9='Project List References'!$B$3, _xlfn.IFNA(_xlfn.XLOOKUP(E$2-$C9, 'GEN-CCGT'!$D$7:$AW$7, 'GEN-CCGT'!$D$51:$AW$51), 0), IF($B9='Project List References'!$B$4, _xlfn.IFNA(_xlfn.XLOOKUP(E$2-$C9, 'GEN-SOLAR'!$D$7:$AW$7, 'GEN-SOLAR'!$D$51:$AW$51), 0), IF($B9='Project List References'!$B$5, _xlfn.IFNA(_xlfn.XLOOKUP(E$2-$C9, 'GEN-BESS'!$D$7:$AW$7, 'GEN-BESS'!$D$51:$AW$51), 0), IF($B9='Project List References'!$B$6, _xlfn.IFNA(_xlfn.XLOOKUP(E$2-$C9, 'GEN-CARBON'!$D$7:$AW$7, 'GEN-CARBON'!$D$51:$AW$51), 0), IF($B9='Project List References'!$B$7, _xlfn.IFNA(_xlfn.XLOOKUP(E$2-$C9, 'SENS Coal'!$D$7:$AW$7, 'SENS Coal'!$D$51:$AW$51), 0), IF($B9='Project List References'!$B$8, _xlfn.IFNA(_xlfn.XLOOKUP(E$2-$C9,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F9" s="743">
        <f>IF($B9='Project List References'!$B$3, _xlfn.IFNA(_xlfn.XLOOKUP(F$2-$C9, 'GEN-CCGT'!$D$7:$AW$7, 'GEN-CCGT'!$D$51:$AW$51), 0), IF($B9='Project List References'!$B$4, _xlfn.IFNA(_xlfn.XLOOKUP(F$2-$C9, 'GEN-SOLAR'!$D$7:$AW$7, 'GEN-SOLAR'!$D$51:$AW$51), 0), IF($B9='Project List References'!$B$5, _xlfn.IFNA(_xlfn.XLOOKUP(F$2-$C9, 'GEN-BESS'!$D$7:$AW$7, 'GEN-BESS'!$D$51:$AW$51), 0), IF($B9='Project List References'!$B$6, _xlfn.IFNA(_xlfn.XLOOKUP(F$2-$C9, 'GEN-CARBON'!$D$7:$AW$7, 'GEN-CARBON'!$D$51:$AW$51), 0), IF($B9='Project List References'!$B$7, _xlfn.IFNA(_xlfn.XLOOKUP(F$2-$C9, 'SENS Coal'!$D$7:$AW$7, 'SENS Coal'!$D$51:$AW$51), 0), IF($B9='Project List References'!$B$8, _xlfn.IFNA(_xlfn.XLOOKUP(F$2-$C9,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33.611111111111114</v>
      </c>
      <c r="G9" s="743">
        <f>IF($B9='Project List References'!$B$3, _xlfn.IFNA(_xlfn.XLOOKUP(G$2-$C9, 'GEN-CCGT'!$D$7:$AW$7, 'GEN-CCGT'!$D$51:$AW$51), 0), IF($B9='Project List References'!$B$4, _xlfn.IFNA(_xlfn.XLOOKUP(G$2-$C9, 'GEN-SOLAR'!$D$7:$AW$7, 'GEN-SOLAR'!$D$51:$AW$51), 0), IF($B9='Project List References'!$B$5, _xlfn.IFNA(_xlfn.XLOOKUP(G$2-$C9, 'GEN-BESS'!$D$7:$AW$7, 'GEN-BESS'!$D$51:$AW$51), 0), IF($B9='Project List References'!$B$6, _xlfn.IFNA(_xlfn.XLOOKUP(G$2-$C9, 'GEN-CARBON'!$D$7:$AW$7, 'GEN-CARBON'!$D$51:$AW$51), 0), IF($B9='Project List References'!$B$7, _xlfn.IFNA(_xlfn.XLOOKUP(G$2-$C9, 'SENS Coal'!$D$7:$AW$7, 'SENS Coal'!$D$51:$AW$51), 0), IF($B9='Project List References'!$B$8, _xlfn.IFNA(_xlfn.XLOOKUP(G$2-$C9,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70.277777777777771</v>
      </c>
      <c r="H9" s="743">
        <f>IF($B9='Project List References'!$B$3, _xlfn.IFNA(_xlfn.XLOOKUP(H$2-$C9, 'GEN-CCGT'!$D$7:$AW$7, 'GEN-CCGT'!$D$51:$AW$51), 0), IF($B9='Project List References'!$B$4, _xlfn.IFNA(_xlfn.XLOOKUP(H$2-$C9, 'GEN-SOLAR'!$D$7:$AW$7, 'GEN-SOLAR'!$D$51:$AW$51), 0), IF($B9='Project List References'!$B$5, _xlfn.IFNA(_xlfn.XLOOKUP(H$2-$C9, 'GEN-BESS'!$D$7:$AW$7, 'GEN-BESS'!$D$51:$AW$51), 0), IF($B9='Project List References'!$B$6, _xlfn.IFNA(_xlfn.XLOOKUP(H$2-$C9, 'GEN-CARBON'!$D$7:$AW$7, 'GEN-CARBON'!$D$51:$AW$51), 0), IF($B9='Project List References'!$B$7, _xlfn.IFNA(_xlfn.XLOOKUP(H$2-$C9, 'SENS Coal'!$D$7:$AW$7, 'SENS Coal'!$D$51:$AW$51), 0), IF($B9='Project List References'!$B$8, _xlfn.IFNA(_xlfn.XLOOKUP(H$2-$C9,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106.94444444444441</v>
      </c>
      <c r="I9" s="743">
        <f>IF($B9='Project List References'!$B$3, _xlfn.IFNA(_xlfn.XLOOKUP(I$2-$C9, 'GEN-CCGT'!$D$7:$AW$7, 'GEN-CCGT'!$D$51:$AW$51), 0), IF($B9='Project List References'!$B$4, _xlfn.IFNA(_xlfn.XLOOKUP(I$2-$C9, 'GEN-SOLAR'!$D$7:$AW$7, 'GEN-SOLAR'!$D$51:$AW$51), 0), IF($B9='Project List References'!$B$5, _xlfn.IFNA(_xlfn.XLOOKUP(I$2-$C9, 'GEN-BESS'!$D$7:$AW$7, 'GEN-BESS'!$D$51:$AW$51), 0), IF($B9='Project List References'!$B$6, _xlfn.IFNA(_xlfn.XLOOKUP(I$2-$C9, 'GEN-CARBON'!$D$7:$AW$7, 'GEN-CARBON'!$D$51:$AW$51), 0), IF($B9='Project List References'!$B$7, _xlfn.IFNA(_xlfn.XLOOKUP(I$2-$C9, 'SENS Coal'!$D$7:$AW$7, 'SENS Coal'!$D$51:$AW$51), 0), IF($B9='Project List References'!$B$8, _xlfn.IFNA(_xlfn.XLOOKUP(I$2-$C9,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109.99999999999999</v>
      </c>
      <c r="J9" s="743">
        <f>IF($B9='Project List References'!$B$3, _xlfn.IFNA(_xlfn.XLOOKUP(J$2-$C9, 'GEN-CCGT'!$D$7:$AW$7, 'GEN-CCGT'!$D$51:$AW$51), 0), IF($B9='Project List References'!$B$4, _xlfn.IFNA(_xlfn.XLOOKUP(J$2-$C9, 'GEN-SOLAR'!$D$7:$AW$7, 'GEN-SOLAR'!$D$51:$AW$51), 0), IF($B9='Project List References'!$B$5, _xlfn.IFNA(_xlfn.XLOOKUP(J$2-$C9, 'GEN-BESS'!$D$7:$AW$7, 'GEN-BESS'!$D$51:$AW$51), 0), IF($B9='Project List References'!$B$6, _xlfn.IFNA(_xlfn.XLOOKUP(J$2-$C9, 'GEN-CARBON'!$D$7:$AW$7, 'GEN-CARBON'!$D$51:$AW$51), 0), IF($B9='Project List References'!$B$7, _xlfn.IFNA(_xlfn.XLOOKUP(J$2-$C9, 'SENS Coal'!$D$7:$AW$7, 'SENS Coal'!$D$51:$AW$51), 0), IF($B9='Project List References'!$B$8, _xlfn.IFNA(_xlfn.XLOOKUP(J$2-$C9,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105.82000000000001</v>
      </c>
      <c r="K9" s="743">
        <f>IF($B9='Project List References'!$B$3, _xlfn.IFNA(_xlfn.XLOOKUP(K$2-$C9, 'GEN-CCGT'!$D$7:$AW$7, 'GEN-CCGT'!$D$51:$AW$51), 0), IF($B9='Project List References'!$B$4, _xlfn.IFNA(_xlfn.XLOOKUP(K$2-$C9, 'GEN-SOLAR'!$D$7:$AW$7, 'GEN-SOLAR'!$D$51:$AW$51), 0), IF($B9='Project List References'!$B$5, _xlfn.IFNA(_xlfn.XLOOKUP(K$2-$C9, 'GEN-BESS'!$D$7:$AW$7, 'GEN-BESS'!$D$51:$AW$51), 0), IF($B9='Project List References'!$B$6, _xlfn.IFNA(_xlfn.XLOOKUP(K$2-$C9, 'GEN-CARBON'!$D$7:$AW$7, 'GEN-CARBON'!$D$51:$AW$51), 0), IF($B9='Project List References'!$B$7, _xlfn.IFNA(_xlfn.XLOOKUP(K$2-$C9, 'SENS Coal'!$D$7:$AW$7, 'SENS Coal'!$D$51:$AW$51), 0), IF($B9='Project List References'!$B$8, _xlfn.IFNA(_xlfn.XLOOKUP(K$2-$C9,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101.64</v>
      </c>
      <c r="L9" s="743">
        <f>IF($B9='Project List References'!$B$3, _xlfn.IFNA(_xlfn.XLOOKUP(L$2-$C9, 'GEN-CCGT'!$D$7:$AW$7, 'GEN-CCGT'!$D$51:$AW$51), 0), IF($B9='Project List References'!$B$4, _xlfn.IFNA(_xlfn.XLOOKUP(L$2-$C9, 'GEN-SOLAR'!$D$7:$AW$7, 'GEN-SOLAR'!$D$51:$AW$51), 0), IF($B9='Project List References'!$B$5, _xlfn.IFNA(_xlfn.XLOOKUP(L$2-$C9, 'GEN-BESS'!$D$7:$AW$7, 'GEN-BESS'!$D$51:$AW$51), 0), IF($B9='Project List References'!$B$6, _xlfn.IFNA(_xlfn.XLOOKUP(L$2-$C9, 'GEN-CARBON'!$D$7:$AW$7, 'GEN-CARBON'!$D$51:$AW$51), 0), IF($B9='Project List References'!$B$7, _xlfn.IFNA(_xlfn.XLOOKUP(L$2-$C9, 'SENS Coal'!$D$7:$AW$7, 'SENS Coal'!$D$51:$AW$51), 0), IF($B9='Project List References'!$B$8, _xlfn.IFNA(_xlfn.XLOOKUP(L$2-$C9,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97.45999999999998</v>
      </c>
      <c r="M9" s="743">
        <f>IF($B9='Project List References'!$B$3, _xlfn.IFNA(_xlfn.XLOOKUP(M$2-$C9, 'GEN-CCGT'!$D$7:$AW$7, 'GEN-CCGT'!$D$51:$AW$51), 0), IF($B9='Project List References'!$B$4, _xlfn.IFNA(_xlfn.XLOOKUP(M$2-$C9, 'GEN-SOLAR'!$D$7:$AW$7, 'GEN-SOLAR'!$D$51:$AW$51), 0), IF($B9='Project List References'!$B$5, _xlfn.IFNA(_xlfn.XLOOKUP(M$2-$C9, 'GEN-BESS'!$D$7:$AW$7, 'GEN-BESS'!$D$51:$AW$51), 0), IF($B9='Project List References'!$B$6, _xlfn.IFNA(_xlfn.XLOOKUP(M$2-$C9, 'GEN-CARBON'!$D$7:$AW$7, 'GEN-CARBON'!$D$51:$AW$51), 0), IF($B9='Project List References'!$B$7, _xlfn.IFNA(_xlfn.XLOOKUP(M$2-$C9, 'SENS Coal'!$D$7:$AW$7, 'SENS Coal'!$D$51:$AW$51), 0), IF($B9='Project List References'!$B$8, _xlfn.IFNA(_xlfn.XLOOKUP(M$2-$C9,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93.279999999999973</v>
      </c>
      <c r="N9" s="743">
        <f>IF($B9='Project List References'!$B$3, _xlfn.IFNA(_xlfn.XLOOKUP(N$2-$C9, 'GEN-CCGT'!$D$7:$AW$7, 'GEN-CCGT'!$D$51:$AW$51), 0), IF($B9='Project List References'!$B$4, _xlfn.IFNA(_xlfn.XLOOKUP(N$2-$C9, 'GEN-SOLAR'!$D$7:$AW$7, 'GEN-SOLAR'!$D$51:$AW$51), 0), IF($B9='Project List References'!$B$5, _xlfn.IFNA(_xlfn.XLOOKUP(N$2-$C9, 'GEN-BESS'!$D$7:$AW$7, 'GEN-BESS'!$D$51:$AW$51), 0), IF($B9='Project List References'!$B$6, _xlfn.IFNA(_xlfn.XLOOKUP(N$2-$C9, 'GEN-CARBON'!$D$7:$AW$7, 'GEN-CARBON'!$D$51:$AW$51), 0), IF($B9='Project List References'!$B$7, _xlfn.IFNA(_xlfn.XLOOKUP(N$2-$C9, 'SENS Coal'!$D$7:$AW$7, 'SENS Coal'!$D$51:$AW$51), 0), IF($B9='Project List References'!$B$8, _xlfn.IFNA(_xlfn.XLOOKUP(N$2-$C9,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89.099999999999966</v>
      </c>
      <c r="O9" s="743">
        <f>IF($B9='Project List References'!$B$3, _xlfn.IFNA(_xlfn.XLOOKUP(O$2-$C9, 'GEN-CCGT'!$D$7:$AW$7, 'GEN-CCGT'!$D$51:$AW$51), 0), IF($B9='Project List References'!$B$4, _xlfn.IFNA(_xlfn.XLOOKUP(O$2-$C9, 'GEN-SOLAR'!$D$7:$AW$7, 'GEN-SOLAR'!$D$51:$AW$51), 0), IF($B9='Project List References'!$B$5, _xlfn.IFNA(_xlfn.XLOOKUP(O$2-$C9, 'GEN-BESS'!$D$7:$AW$7, 'GEN-BESS'!$D$51:$AW$51), 0), IF($B9='Project List References'!$B$6, _xlfn.IFNA(_xlfn.XLOOKUP(O$2-$C9, 'GEN-CARBON'!$D$7:$AW$7, 'GEN-CARBON'!$D$51:$AW$51), 0), IF($B9='Project List References'!$B$7, _xlfn.IFNA(_xlfn.XLOOKUP(O$2-$C9, 'SENS Coal'!$D$7:$AW$7, 'SENS Coal'!$D$51:$AW$51), 0), IF($B9='Project List References'!$B$8, _xlfn.IFNA(_xlfn.XLOOKUP(O$2-$C9,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84.919999999999959</v>
      </c>
      <c r="P9" s="743">
        <f>IF($B9='Project List References'!$B$3, _xlfn.IFNA(_xlfn.XLOOKUP(P$2-$C9, 'GEN-CCGT'!$D$7:$AW$7, 'GEN-CCGT'!$D$51:$AW$51), 0), IF($B9='Project List References'!$B$4, _xlfn.IFNA(_xlfn.XLOOKUP(P$2-$C9, 'GEN-SOLAR'!$D$7:$AW$7, 'GEN-SOLAR'!$D$51:$AW$51), 0), IF($B9='Project List References'!$B$5, _xlfn.IFNA(_xlfn.XLOOKUP(P$2-$C9, 'GEN-BESS'!$D$7:$AW$7, 'GEN-BESS'!$D$51:$AW$51), 0), IF($B9='Project List References'!$B$6, _xlfn.IFNA(_xlfn.XLOOKUP(P$2-$C9, 'GEN-CARBON'!$D$7:$AW$7, 'GEN-CARBON'!$D$51:$AW$51), 0), IF($B9='Project List References'!$B$7, _xlfn.IFNA(_xlfn.XLOOKUP(P$2-$C9, 'SENS Coal'!$D$7:$AW$7, 'SENS Coal'!$D$51:$AW$51), 0), IF($B9='Project List References'!$B$8, _xlfn.IFNA(_xlfn.XLOOKUP(P$2-$C9,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80.739999999999952</v>
      </c>
      <c r="Q9" s="743">
        <f>IF($B9='Project List References'!$B$3, _xlfn.IFNA(_xlfn.XLOOKUP(Q$2-$C9, 'GEN-CCGT'!$D$7:$AW$7, 'GEN-CCGT'!$D$51:$AW$51), 0), IF($B9='Project List References'!$B$4, _xlfn.IFNA(_xlfn.XLOOKUP(Q$2-$C9, 'GEN-SOLAR'!$D$7:$AW$7, 'GEN-SOLAR'!$D$51:$AW$51), 0), IF($B9='Project List References'!$B$5, _xlfn.IFNA(_xlfn.XLOOKUP(Q$2-$C9, 'GEN-BESS'!$D$7:$AW$7, 'GEN-BESS'!$D$51:$AW$51), 0), IF($B9='Project List References'!$B$6, _xlfn.IFNA(_xlfn.XLOOKUP(Q$2-$C9, 'GEN-CARBON'!$D$7:$AW$7, 'GEN-CARBON'!$D$51:$AW$51), 0), IF($B9='Project List References'!$B$7, _xlfn.IFNA(_xlfn.XLOOKUP(Q$2-$C9, 'SENS Coal'!$D$7:$AW$7, 'SENS Coal'!$D$51:$AW$51), 0), IF($B9='Project List References'!$B$8, _xlfn.IFNA(_xlfn.XLOOKUP(Q$2-$C9,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76.559999999999945</v>
      </c>
      <c r="R9" s="743">
        <f>IF($B9='Project List References'!$B$3, _xlfn.IFNA(_xlfn.XLOOKUP(R$2-$C9, 'GEN-CCGT'!$D$7:$AW$7, 'GEN-CCGT'!$D$51:$AW$51), 0), IF($B9='Project List References'!$B$4, _xlfn.IFNA(_xlfn.XLOOKUP(R$2-$C9, 'GEN-SOLAR'!$D$7:$AW$7, 'GEN-SOLAR'!$D$51:$AW$51), 0), IF($B9='Project List References'!$B$5, _xlfn.IFNA(_xlfn.XLOOKUP(R$2-$C9, 'GEN-BESS'!$D$7:$AW$7, 'GEN-BESS'!$D$51:$AW$51), 0), IF($B9='Project List References'!$B$6, _xlfn.IFNA(_xlfn.XLOOKUP(R$2-$C9, 'GEN-CARBON'!$D$7:$AW$7, 'GEN-CARBON'!$D$51:$AW$51), 0), IF($B9='Project List References'!$B$7, _xlfn.IFNA(_xlfn.XLOOKUP(R$2-$C9, 'SENS Coal'!$D$7:$AW$7, 'SENS Coal'!$D$51:$AW$51), 0), IF($B9='Project List References'!$B$8, _xlfn.IFNA(_xlfn.XLOOKUP(R$2-$C9,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72.379999999999939</v>
      </c>
      <c r="S9" s="743">
        <f>IF($B9='Project List References'!$B$3, _xlfn.IFNA(_xlfn.XLOOKUP(S$2-$C9, 'GEN-CCGT'!$D$7:$AW$7, 'GEN-CCGT'!$D$51:$AW$51), 0), IF($B9='Project List References'!$B$4, _xlfn.IFNA(_xlfn.XLOOKUP(S$2-$C9, 'GEN-SOLAR'!$D$7:$AW$7, 'GEN-SOLAR'!$D$51:$AW$51), 0), IF($B9='Project List References'!$B$5, _xlfn.IFNA(_xlfn.XLOOKUP(S$2-$C9, 'GEN-BESS'!$D$7:$AW$7, 'GEN-BESS'!$D$51:$AW$51), 0), IF($B9='Project List References'!$B$6, _xlfn.IFNA(_xlfn.XLOOKUP(S$2-$C9, 'GEN-CARBON'!$D$7:$AW$7, 'GEN-CARBON'!$D$51:$AW$51), 0), IF($B9='Project List References'!$B$7, _xlfn.IFNA(_xlfn.XLOOKUP(S$2-$C9, 'SENS Coal'!$D$7:$AW$7, 'SENS Coal'!$D$51:$AW$51), 0), IF($B9='Project List References'!$B$8, _xlfn.IFNA(_xlfn.XLOOKUP(S$2-$C9,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68.199999999999932</v>
      </c>
      <c r="T9" s="743">
        <f>IF($B9='Project List References'!$B$3, _xlfn.IFNA(_xlfn.XLOOKUP(T$2-$C9, 'GEN-CCGT'!$D$7:$AW$7, 'GEN-CCGT'!$D$51:$AW$51), 0), IF($B9='Project List References'!$B$4, _xlfn.IFNA(_xlfn.XLOOKUP(T$2-$C9, 'GEN-SOLAR'!$D$7:$AW$7, 'GEN-SOLAR'!$D$51:$AW$51), 0), IF($B9='Project List References'!$B$5, _xlfn.IFNA(_xlfn.XLOOKUP(T$2-$C9, 'GEN-BESS'!$D$7:$AW$7, 'GEN-BESS'!$D$51:$AW$51), 0), IF($B9='Project List References'!$B$6, _xlfn.IFNA(_xlfn.XLOOKUP(T$2-$C9, 'GEN-CARBON'!$D$7:$AW$7, 'GEN-CARBON'!$D$51:$AW$51), 0), IF($B9='Project List References'!$B$7, _xlfn.IFNA(_xlfn.XLOOKUP(T$2-$C9, 'SENS Coal'!$D$7:$AW$7, 'SENS Coal'!$D$51:$AW$51), 0), IF($B9='Project List References'!$B$8, _xlfn.IFNA(_xlfn.XLOOKUP(T$2-$C9, 'SENS Tires'!$D$7:$AW$7, 'SENS Tires'!$D$51:$AW$51), 0)))))))/_xlfn.XLOOKUP($B9,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64.019999999999925</v>
      </c>
    </row>
    <row r="10" spans="1:111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_xlfn.XLOOKUP('Project OPEX'!A10, 'Project Master Sheet'!A:A, 'Project Master Sheet'!I:I)</f>
        <v>#N/A</v>
      </c>
      <c r="E10" s="743" t="e">
        <f>IF($B10='Project List References'!$B$3, _xlfn.IFNA(_xlfn.XLOOKUP(E$2-$C10, 'GEN-CCGT'!$D$7:$AW$7, 'GEN-CCGT'!$D$51:$AW$51), 0), IF($B10='Project List References'!$B$4, _xlfn.IFNA(_xlfn.XLOOKUP(E$2-$C10, 'GEN-SOLAR'!$D$7:$AW$7, 'GEN-SOLAR'!$D$51:$AW$51), 0), IF($B10='Project List References'!$B$5, _xlfn.IFNA(_xlfn.XLOOKUP(E$2-$C10, 'GEN-BESS'!$D$7:$AW$7, 'GEN-BESS'!$D$51:$AW$51), 0), IF($B10='Project List References'!$B$6, _xlfn.IFNA(_xlfn.XLOOKUP(E$2-$C10, 'GEN-CARBON'!$D$7:$AW$7, 'GEN-CARBON'!$D$51:$AW$51), 0), IF($B10='Project List References'!$B$7, _xlfn.IFNA(_xlfn.XLOOKUP(E$2-$C10, 'SENS Coal'!$D$7:$AW$7, 'SENS Coal'!$D$51:$AW$51), 0), IF($B10='Project List References'!$B$8, _xlfn.IFNA(_xlfn.XLOOKUP(E$2-$C10,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F10" s="743" t="e">
        <f>IF($B10='Project List References'!$B$3, _xlfn.IFNA(_xlfn.XLOOKUP(F$2-$C10, 'GEN-CCGT'!$D$7:$AW$7, 'GEN-CCGT'!$D$51:$AW$51), 0), IF($B10='Project List References'!$B$4, _xlfn.IFNA(_xlfn.XLOOKUP(F$2-$C10, 'GEN-SOLAR'!$D$7:$AW$7, 'GEN-SOLAR'!$D$51:$AW$51), 0), IF($B10='Project List References'!$B$5, _xlfn.IFNA(_xlfn.XLOOKUP(F$2-$C10, 'GEN-BESS'!$D$7:$AW$7, 'GEN-BESS'!$D$51:$AW$51), 0), IF($B10='Project List References'!$B$6, _xlfn.IFNA(_xlfn.XLOOKUP(F$2-$C10, 'GEN-CARBON'!$D$7:$AW$7, 'GEN-CARBON'!$D$51:$AW$51), 0), IF($B10='Project List References'!$B$7, _xlfn.IFNA(_xlfn.XLOOKUP(F$2-$C10, 'SENS Coal'!$D$7:$AW$7, 'SENS Coal'!$D$51:$AW$51), 0), IF($B10='Project List References'!$B$8, _xlfn.IFNA(_xlfn.XLOOKUP(F$2-$C10,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G10" s="743" t="e">
        <f>IF($B10='Project List References'!$B$3, _xlfn.IFNA(_xlfn.XLOOKUP(G$2-$C10, 'GEN-CCGT'!$D$7:$AW$7, 'GEN-CCGT'!$D$51:$AW$51), 0), IF($B10='Project List References'!$B$4, _xlfn.IFNA(_xlfn.XLOOKUP(G$2-$C10, 'GEN-SOLAR'!$D$7:$AW$7, 'GEN-SOLAR'!$D$51:$AW$51), 0), IF($B10='Project List References'!$B$5, _xlfn.IFNA(_xlfn.XLOOKUP(G$2-$C10, 'GEN-BESS'!$D$7:$AW$7, 'GEN-BESS'!$D$51:$AW$51), 0), IF($B10='Project List References'!$B$6, _xlfn.IFNA(_xlfn.XLOOKUP(G$2-$C10, 'GEN-CARBON'!$D$7:$AW$7, 'GEN-CARBON'!$D$51:$AW$51), 0), IF($B10='Project List References'!$B$7, _xlfn.IFNA(_xlfn.XLOOKUP(G$2-$C10, 'SENS Coal'!$D$7:$AW$7, 'SENS Coal'!$D$51:$AW$51), 0), IF($B10='Project List References'!$B$8, _xlfn.IFNA(_xlfn.XLOOKUP(G$2-$C10,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H10" s="743" t="e">
        <f>IF($B10='Project List References'!$B$3, _xlfn.IFNA(_xlfn.XLOOKUP(H$2-$C10, 'GEN-CCGT'!$D$7:$AW$7, 'GEN-CCGT'!$D$51:$AW$51), 0), IF($B10='Project List References'!$B$4, _xlfn.IFNA(_xlfn.XLOOKUP(H$2-$C10, 'GEN-SOLAR'!$D$7:$AW$7, 'GEN-SOLAR'!$D$51:$AW$51), 0), IF($B10='Project List References'!$B$5, _xlfn.IFNA(_xlfn.XLOOKUP(H$2-$C10, 'GEN-BESS'!$D$7:$AW$7, 'GEN-BESS'!$D$51:$AW$51), 0), IF($B10='Project List References'!$B$6, _xlfn.IFNA(_xlfn.XLOOKUP(H$2-$C10, 'GEN-CARBON'!$D$7:$AW$7, 'GEN-CARBON'!$D$51:$AW$51), 0), IF($B10='Project List References'!$B$7, _xlfn.IFNA(_xlfn.XLOOKUP(H$2-$C10, 'SENS Coal'!$D$7:$AW$7, 'SENS Coal'!$D$51:$AW$51), 0), IF($B10='Project List References'!$B$8, _xlfn.IFNA(_xlfn.XLOOKUP(H$2-$C10,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I10" s="743" t="e">
        <f>IF($B10='Project List References'!$B$3, _xlfn.IFNA(_xlfn.XLOOKUP(I$2-$C10, 'GEN-CCGT'!$D$7:$AW$7, 'GEN-CCGT'!$D$51:$AW$51), 0), IF($B10='Project List References'!$B$4, _xlfn.IFNA(_xlfn.XLOOKUP(I$2-$C10, 'GEN-SOLAR'!$D$7:$AW$7, 'GEN-SOLAR'!$D$51:$AW$51), 0), IF($B10='Project List References'!$B$5, _xlfn.IFNA(_xlfn.XLOOKUP(I$2-$C10, 'GEN-BESS'!$D$7:$AW$7, 'GEN-BESS'!$D$51:$AW$51), 0), IF($B10='Project List References'!$B$6, _xlfn.IFNA(_xlfn.XLOOKUP(I$2-$C10, 'GEN-CARBON'!$D$7:$AW$7, 'GEN-CARBON'!$D$51:$AW$51), 0), IF($B10='Project List References'!$B$7, _xlfn.IFNA(_xlfn.XLOOKUP(I$2-$C10, 'SENS Coal'!$D$7:$AW$7, 'SENS Coal'!$D$51:$AW$51), 0), IF($B10='Project List References'!$B$8, _xlfn.IFNA(_xlfn.XLOOKUP(I$2-$C10,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J10" s="743" t="e">
        <f>IF($B10='Project List References'!$B$3, _xlfn.IFNA(_xlfn.XLOOKUP(J$2-$C10, 'GEN-CCGT'!$D$7:$AW$7, 'GEN-CCGT'!$D$51:$AW$51), 0), IF($B10='Project List References'!$B$4, _xlfn.IFNA(_xlfn.XLOOKUP(J$2-$C10, 'GEN-SOLAR'!$D$7:$AW$7, 'GEN-SOLAR'!$D$51:$AW$51), 0), IF($B10='Project List References'!$B$5, _xlfn.IFNA(_xlfn.XLOOKUP(J$2-$C10, 'GEN-BESS'!$D$7:$AW$7, 'GEN-BESS'!$D$51:$AW$51), 0), IF($B10='Project List References'!$B$6, _xlfn.IFNA(_xlfn.XLOOKUP(J$2-$C10, 'GEN-CARBON'!$D$7:$AW$7, 'GEN-CARBON'!$D$51:$AW$51), 0), IF($B10='Project List References'!$B$7, _xlfn.IFNA(_xlfn.XLOOKUP(J$2-$C10, 'SENS Coal'!$D$7:$AW$7, 'SENS Coal'!$D$51:$AW$51), 0), IF($B10='Project List References'!$B$8, _xlfn.IFNA(_xlfn.XLOOKUP(J$2-$C10,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K10" s="743" t="e">
        <f>IF($B10='Project List References'!$B$3, _xlfn.IFNA(_xlfn.XLOOKUP(K$2-$C10, 'GEN-CCGT'!$D$7:$AW$7, 'GEN-CCGT'!$D$51:$AW$51), 0), IF($B10='Project List References'!$B$4, _xlfn.IFNA(_xlfn.XLOOKUP(K$2-$C10, 'GEN-SOLAR'!$D$7:$AW$7, 'GEN-SOLAR'!$D$51:$AW$51), 0), IF($B10='Project List References'!$B$5, _xlfn.IFNA(_xlfn.XLOOKUP(K$2-$C10, 'GEN-BESS'!$D$7:$AW$7, 'GEN-BESS'!$D$51:$AW$51), 0), IF($B10='Project List References'!$B$6, _xlfn.IFNA(_xlfn.XLOOKUP(K$2-$C10, 'GEN-CARBON'!$D$7:$AW$7, 'GEN-CARBON'!$D$51:$AW$51), 0), IF($B10='Project List References'!$B$7, _xlfn.IFNA(_xlfn.XLOOKUP(K$2-$C10, 'SENS Coal'!$D$7:$AW$7, 'SENS Coal'!$D$51:$AW$51), 0), IF($B10='Project List References'!$B$8, _xlfn.IFNA(_xlfn.XLOOKUP(K$2-$C10,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L10" s="743" t="e">
        <f>IF($B10='Project List References'!$B$3, _xlfn.IFNA(_xlfn.XLOOKUP(L$2-$C10, 'GEN-CCGT'!$D$7:$AW$7, 'GEN-CCGT'!$D$51:$AW$51), 0), IF($B10='Project List References'!$B$4, _xlfn.IFNA(_xlfn.XLOOKUP(L$2-$C10, 'GEN-SOLAR'!$D$7:$AW$7, 'GEN-SOLAR'!$D$51:$AW$51), 0), IF($B10='Project List References'!$B$5, _xlfn.IFNA(_xlfn.XLOOKUP(L$2-$C10, 'GEN-BESS'!$D$7:$AW$7, 'GEN-BESS'!$D$51:$AW$51), 0), IF($B10='Project List References'!$B$6, _xlfn.IFNA(_xlfn.XLOOKUP(L$2-$C10, 'GEN-CARBON'!$D$7:$AW$7, 'GEN-CARBON'!$D$51:$AW$51), 0), IF($B10='Project List References'!$B$7, _xlfn.IFNA(_xlfn.XLOOKUP(L$2-$C10, 'SENS Coal'!$D$7:$AW$7, 'SENS Coal'!$D$51:$AW$51), 0), IF($B10='Project List References'!$B$8, _xlfn.IFNA(_xlfn.XLOOKUP(L$2-$C10,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M10" s="743" t="e">
        <f>IF($B10='Project List References'!$B$3, _xlfn.IFNA(_xlfn.XLOOKUP(M$2-$C10, 'GEN-CCGT'!$D$7:$AW$7, 'GEN-CCGT'!$D$51:$AW$51), 0), IF($B10='Project List References'!$B$4, _xlfn.IFNA(_xlfn.XLOOKUP(M$2-$C10, 'GEN-SOLAR'!$D$7:$AW$7, 'GEN-SOLAR'!$D$51:$AW$51), 0), IF($B10='Project List References'!$B$5, _xlfn.IFNA(_xlfn.XLOOKUP(M$2-$C10, 'GEN-BESS'!$D$7:$AW$7, 'GEN-BESS'!$D$51:$AW$51), 0), IF($B10='Project List References'!$B$6, _xlfn.IFNA(_xlfn.XLOOKUP(M$2-$C10, 'GEN-CARBON'!$D$7:$AW$7, 'GEN-CARBON'!$D$51:$AW$51), 0), IF($B10='Project List References'!$B$7, _xlfn.IFNA(_xlfn.XLOOKUP(M$2-$C10, 'SENS Coal'!$D$7:$AW$7, 'SENS Coal'!$D$51:$AW$51), 0), IF($B10='Project List References'!$B$8, _xlfn.IFNA(_xlfn.XLOOKUP(M$2-$C10,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N10" s="743" t="e">
        <f>IF($B10='Project List References'!$B$3, _xlfn.IFNA(_xlfn.XLOOKUP(N$2-$C10, 'GEN-CCGT'!$D$7:$AW$7, 'GEN-CCGT'!$D$51:$AW$51), 0), IF($B10='Project List References'!$B$4, _xlfn.IFNA(_xlfn.XLOOKUP(N$2-$C10, 'GEN-SOLAR'!$D$7:$AW$7, 'GEN-SOLAR'!$D$51:$AW$51), 0), IF($B10='Project List References'!$B$5, _xlfn.IFNA(_xlfn.XLOOKUP(N$2-$C10, 'GEN-BESS'!$D$7:$AW$7, 'GEN-BESS'!$D$51:$AW$51), 0), IF($B10='Project List References'!$B$6, _xlfn.IFNA(_xlfn.XLOOKUP(N$2-$C10, 'GEN-CARBON'!$D$7:$AW$7, 'GEN-CARBON'!$D$51:$AW$51), 0), IF($B10='Project List References'!$B$7, _xlfn.IFNA(_xlfn.XLOOKUP(N$2-$C10, 'SENS Coal'!$D$7:$AW$7, 'SENS Coal'!$D$51:$AW$51), 0), IF($B10='Project List References'!$B$8, _xlfn.IFNA(_xlfn.XLOOKUP(N$2-$C10,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O10" s="743" t="e">
        <f>IF($B10='Project List References'!$B$3, _xlfn.IFNA(_xlfn.XLOOKUP(O$2-$C10, 'GEN-CCGT'!$D$7:$AW$7, 'GEN-CCGT'!$D$51:$AW$51), 0), IF($B10='Project List References'!$B$4, _xlfn.IFNA(_xlfn.XLOOKUP(O$2-$C10, 'GEN-SOLAR'!$D$7:$AW$7, 'GEN-SOLAR'!$D$51:$AW$51), 0), IF($B10='Project List References'!$B$5, _xlfn.IFNA(_xlfn.XLOOKUP(O$2-$C10, 'GEN-BESS'!$D$7:$AW$7, 'GEN-BESS'!$D$51:$AW$51), 0), IF($B10='Project List References'!$B$6, _xlfn.IFNA(_xlfn.XLOOKUP(O$2-$C10, 'GEN-CARBON'!$D$7:$AW$7, 'GEN-CARBON'!$D$51:$AW$51), 0), IF($B10='Project List References'!$B$7, _xlfn.IFNA(_xlfn.XLOOKUP(O$2-$C10, 'SENS Coal'!$D$7:$AW$7, 'SENS Coal'!$D$51:$AW$51), 0), IF($B10='Project List References'!$B$8, _xlfn.IFNA(_xlfn.XLOOKUP(O$2-$C10,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P10" s="743" t="e">
        <f>IF($B10='Project List References'!$B$3, _xlfn.IFNA(_xlfn.XLOOKUP(P$2-$C10, 'GEN-CCGT'!$D$7:$AW$7, 'GEN-CCGT'!$D$51:$AW$51), 0), IF($B10='Project List References'!$B$4, _xlfn.IFNA(_xlfn.XLOOKUP(P$2-$C10, 'GEN-SOLAR'!$D$7:$AW$7, 'GEN-SOLAR'!$D$51:$AW$51), 0), IF($B10='Project List References'!$B$5, _xlfn.IFNA(_xlfn.XLOOKUP(P$2-$C10, 'GEN-BESS'!$D$7:$AW$7, 'GEN-BESS'!$D$51:$AW$51), 0), IF($B10='Project List References'!$B$6, _xlfn.IFNA(_xlfn.XLOOKUP(P$2-$C10, 'GEN-CARBON'!$D$7:$AW$7, 'GEN-CARBON'!$D$51:$AW$51), 0), IF($B10='Project List References'!$B$7, _xlfn.IFNA(_xlfn.XLOOKUP(P$2-$C10, 'SENS Coal'!$D$7:$AW$7, 'SENS Coal'!$D$51:$AW$51), 0), IF($B10='Project List References'!$B$8, _xlfn.IFNA(_xlfn.XLOOKUP(P$2-$C10,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Q10" s="743" t="e">
        <f>IF($B10='Project List References'!$B$3, _xlfn.IFNA(_xlfn.XLOOKUP(Q$2-$C10, 'GEN-CCGT'!$D$7:$AW$7, 'GEN-CCGT'!$D$51:$AW$51), 0), IF($B10='Project List References'!$B$4, _xlfn.IFNA(_xlfn.XLOOKUP(Q$2-$C10, 'GEN-SOLAR'!$D$7:$AW$7, 'GEN-SOLAR'!$D$51:$AW$51), 0), IF($B10='Project List References'!$B$5, _xlfn.IFNA(_xlfn.XLOOKUP(Q$2-$C10, 'GEN-BESS'!$D$7:$AW$7, 'GEN-BESS'!$D$51:$AW$51), 0), IF($B10='Project List References'!$B$6, _xlfn.IFNA(_xlfn.XLOOKUP(Q$2-$C10, 'GEN-CARBON'!$D$7:$AW$7, 'GEN-CARBON'!$D$51:$AW$51), 0), IF($B10='Project List References'!$B$7, _xlfn.IFNA(_xlfn.XLOOKUP(Q$2-$C10, 'SENS Coal'!$D$7:$AW$7, 'SENS Coal'!$D$51:$AW$51), 0), IF($B10='Project List References'!$B$8, _xlfn.IFNA(_xlfn.XLOOKUP(Q$2-$C10,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R10" s="743" t="e">
        <f>IF($B10='Project List References'!$B$3, _xlfn.IFNA(_xlfn.XLOOKUP(R$2-$C10, 'GEN-CCGT'!$D$7:$AW$7, 'GEN-CCGT'!$D$51:$AW$51), 0), IF($B10='Project List References'!$B$4, _xlfn.IFNA(_xlfn.XLOOKUP(R$2-$C10, 'GEN-SOLAR'!$D$7:$AW$7, 'GEN-SOLAR'!$D$51:$AW$51), 0), IF($B10='Project List References'!$B$5, _xlfn.IFNA(_xlfn.XLOOKUP(R$2-$C10, 'GEN-BESS'!$D$7:$AW$7, 'GEN-BESS'!$D$51:$AW$51), 0), IF($B10='Project List References'!$B$6, _xlfn.IFNA(_xlfn.XLOOKUP(R$2-$C10, 'GEN-CARBON'!$D$7:$AW$7, 'GEN-CARBON'!$D$51:$AW$51), 0), IF($B10='Project List References'!$B$7, _xlfn.IFNA(_xlfn.XLOOKUP(R$2-$C10, 'SENS Coal'!$D$7:$AW$7, 'SENS Coal'!$D$51:$AW$51), 0), IF($B10='Project List References'!$B$8, _xlfn.IFNA(_xlfn.XLOOKUP(R$2-$C10,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S10" s="743" t="e">
        <f>IF($B10='Project List References'!$B$3, _xlfn.IFNA(_xlfn.XLOOKUP(S$2-$C10, 'GEN-CCGT'!$D$7:$AW$7, 'GEN-CCGT'!$D$51:$AW$51), 0), IF($B10='Project List References'!$B$4, _xlfn.IFNA(_xlfn.XLOOKUP(S$2-$C10, 'GEN-SOLAR'!$D$7:$AW$7, 'GEN-SOLAR'!$D$51:$AW$51), 0), IF($B10='Project List References'!$B$5, _xlfn.IFNA(_xlfn.XLOOKUP(S$2-$C10, 'GEN-BESS'!$D$7:$AW$7, 'GEN-BESS'!$D$51:$AW$51), 0), IF($B10='Project List References'!$B$6, _xlfn.IFNA(_xlfn.XLOOKUP(S$2-$C10, 'GEN-CARBON'!$D$7:$AW$7, 'GEN-CARBON'!$D$51:$AW$51), 0), IF($B10='Project List References'!$B$7, _xlfn.IFNA(_xlfn.XLOOKUP(S$2-$C10, 'SENS Coal'!$D$7:$AW$7, 'SENS Coal'!$D$51:$AW$51), 0), IF($B10='Project List References'!$B$8, _xlfn.IFNA(_xlfn.XLOOKUP(S$2-$C10,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T10" s="743" t="e">
        <f>IF($B10='Project List References'!$B$3, _xlfn.IFNA(_xlfn.XLOOKUP(T$2-$C10, 'GEN-CCGT'!$D$7:$AW$7, 'GEN-CCGT'!$D$51:$AW$51), 0), IF($B10='Project List References'!$B$4, _xlfn.IFNA(_xlfn.XLOOKUP(T$2-$C10, 'GEN-SOLAR'!$D$7:$AW$7, 'GEN-SOLAR'!$D$51:$AW$51), 0), IF($B10='Project List References'!$B$5, _xlfn.IFNA(_xlfn.XLOOKUP(T$2-$C10, 'GEN-BESS'!$D$7:$AW$7, 'GEN-BESS'!$D$51:$AW$51), 0), IF($B10='Project List References'!$B$6, _xlfn.IFNA(_xlfn.XLOOKUP(T$2-$C10, 'GEN-CARBON'!$D$7:$AW$7, 'GEN-CARBON'!$D$51:$AW$51), 0), IF($B10='Project List References'!$B$7, _xlfn.IFNA(_xlfn.XLOOKUP(T$2-$C10, 'SENS Coal'!$D$7:$AW$7, 'SENS Coal'!$D$51:$AW$51), 0), IF($B10='Project List References'!$B$8, _xlfn.IFNA(_xlfn.XLOOKUP(T$2-$C10, 'SENS Tires'!$D$7:$AW$7, 'SENS Tires'!$D$51:$AW$51), 0)))))))/_xlfn.XLOOKUP($B10,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</row>
    <row r="11" spans="1:111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_xlfn.XLOOKUP('Project OPEX'!A11, 'Project Master Sheet'!A:A, 'Project Master Sheet'!I:I)</f>
        <v>#N/A</v>
      </c>
      <c r="E11" s="743" t="e">
        <f>IF($B11='Project List References'!$B$3, _xlfn.IFNA(_xlfn.XLOOKUP(E$2-$C11, 'GEN-CCGT'!$D$7:$AW$7, 'GEN-CCGT'!$D$51:$AW$51), 0), IF($B11='Project List References'!$B$4, _xlfn.IFNA(_xlfn.XLOOKUP(E$2-$C11, 'GEN-SOLAR'!$D$7:$AW$7, 'GEN-SOLAR'!$D$51:$AW$51), 0), IF($B11='Project List References'!$B$5, _xlfn.IFNA(_xlfn.XLOOKUP(E$2-$C11, 'GEN-BESS'!$D$7:$AW$7, 'GEN-BESS'!$D$51:$AW$51), 0), IF($B11='Project List References'!$B$6, _xlfn.IFNA(_xlfn.XLOOKUP(E$2-$C11, 'GEN-CARBON'!$D$7:$AW$7, 'GEN-CARBON'!$D$51:$AW$51), 0), IF($B11='Project List References'!$B$7, _xlfn.IFNA(_xlfn.XLOOKUP(E$2-$C11, 'SENS Coal'!$D$7:$AW$7, 'SENS Coal'!$D$51:$AW$51), 0), IF($B11='Project List References'!$B$8, _xlfn.IFNA(_xlfn.XLOOKUP(E$2-$C11,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F11" s="743" t="e">
        <f>IF($B11='Project List References'!$B$3, _xlfn.IFNA(_xlfn.XLOOKUP(F$2-$C11, 'GEN-CCGT'!$D$7:$AW$7, 'GEN-CCGT'!$D$51:$AW$51), 0), IF($B11='Project List References'!$B$4, _xlfn.IFNA(_xlfn.XLOOKUP(F$2-$C11, 'GEN-SOLAR'!$D$7:$AW$7, 'GEN-SOLAR'!$D$51:$AW$51), 0), IF($B11='Project List References'!$B$5, _xlfn.IFNA(_xlfn.XLOOKUP(F$2-$C11, 'GEN-BESS'!$D$7:$AW$7, 'GEN-BESS'!$D$51:$AW$51), 0), IF($B11='Project List References'!$B$6, _xlfn.IFNA(_xlfn.XLOOKUP(F$2-$C11, 'GEN-CARBON'!$D$7:$AW$7, 'GEN-CARBON'!$D$51:$AW$51), 0), IF($B11='Project List References'!$B$7, _xlfn.IFNA(_xlfn.XLOOKUP(F$2-$C11, 'SENS Coal'!$D$7:$AW$7, 'SENS Coal'!$D$51:$AW$51), 0), IF($B11='Project List References'!$B$8, _xlfn.IFNA(_xlfn.XLOOKUP(F$2-$C11,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G11" s="743" t="e">
        <f>IF($B11='Project List References'!$B$3, _xlfn.IFNA(_xlfn.XLOOKUP(G$2-$C11, 'GEN-CCGT'!$D$7:$AW$7, 'GEN-CCGT'!$D$51:$AW$51), 0), IF($B11='Project List References'!$B$4, _xlfn.IFNA(_xlfn.XLOOKUP(G$2-$C11, 'GEN-SOLAR'!$D$7:$AW$7, 'GEN-SOLAR'!$D$51:$AW$51), 0), IF($B11='Project List References'!$B$5, _xlfn.IFNA(_xlfn.XLOOKUP(G$2-$C11, 'GEN-BESS'!$D$7:$AW$7, 'GEN-BESS'!$D$51:$AW$51), 0), IF($B11='Project List References'!$B$6, _xlfn.IFNA(_xlfn.XLOOKUP(G$2-$C11, 'GEN-CARBON'!$D$7:$AW$7, 'GEN-CARBON'!$D$51:$AW$51), 0), IF($B11='Project List References'!$B$7, _xlfn.IFNA(_xlfn.XLOOKUP(G$2-$C11, 'SENS Coal'!$D$7:$AW$7, 'SENS Coal'!$D$51:$AW$51), 0), IF($B11='Project List References'!$B$8, _xlfn.IFNA(_xlfn.XLOOKUP(G$2-$C11,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H11" s="743" t="e">
        <f>IF($B11='Project List References'!$B$3, _xlfn.IFNA(_xlfn.XLOOKUP(H$2-$C11, 'GEN-CCGT'!$D$7:$AW$7, 'GEN-CCGT'!$D$51:$AW$51), 0), IF($B11='Project List References'!$B$4, _xlfn.IFNA(_xlfn.XLOOKUP(H$2-$C11, 'GEN-SOLAR'!$D$7:$AW$7, 'GEN-SOLAR'!$D$51:$AW$51), 0), IF($B11='Project List References'!$B$5, _xlfn.IFNA(_xlfn.XLOOKUP(H$2-$C11, 'GEN-BESS'!$D$7:$AW$7, 'GEN-BESS'!$D$51:$AW$51), 0), IF($B11='Project List References'!$B$6, _xlfn.IFNA(_xlfn.XLOOKUP(H$2-$C11, 'GEN-CARBON'!$D$7:$AW$7, 'GEN-CARBON'!$D$51:$AW$51), 0), IF($B11='Project List References'!$B$7, _xlfn.IFNA(_xlfn.XLOOKUP(H$2-$C11, 'SENS Coal'!$D$7:$AW$7, 'SENS Coal'!$D$51:$AW$51), 0), IF($B11='Project List References'!$B$8, _xlfn.IFNA(_xlfn.XLOOKUP(H$2-$C11,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I11" s="743" t="e">
        <f>IF($B11='Project List References'!$B$3, _xlfn.IFNA(_xlfn.XLOOKUP(I$2-$C11, 'GEN-CCGT'!$D$7:$AW$7, 'GEN-CCGT'!$D$51:$AW$51), 0), IF($B11='Project List References'!$B$4, _xlfn.IFNA(_xlfn.XLOOKUP(I$2-$C11, 'GEN-SOLAR'!$D$7:$AW$7, 'GEN-SOLAR'!$D$51:$AW$51), 0), IF($B11='Project List References'!$B$5, _xlfn.IFNA(_xlfn.XLOOKUP(I$2-$C11, 'GEN-BESS'!$D$7:$AW$7, 'GEN-BESS'!$D$51:$AW$51), 0), IF($B11='Project List References'!$B$6, _xlfn.IFNA(_xlfn.XLOOKUP(I$2-$C11, 'GEN-CARBON'!$D$7:$AW$7, 'GEN-CARBON'!$D$51:$AW$51), 0), IF($B11='Project List References'!$B$7, _xlfn.IFNA(_xlfn.XLOOKUP(I$2-$C11, 'SENS Coal'!$D$7:$AW$7, 'SENS Coal'!$D$51:$AW$51), 0), IF($B11='Project List References'!$B$8, _xlfn.IFNA(_xlfn.XLOOKUP(I$2-$C11,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J11" s="743" t="e">
        <f>IF($B11='Project List References'!$B$3, _xlfn.IFNA(_xlfn.XLOOKUP(J$2-$C11, 'GEN-CCGT'!$D$7:$AW$7, 'GEN-CCGT'!$D$51:$AW$51), 0), IF($B11='Project List References'!$B$4, _xlfn.IFNA(_xlfn.XLOOKUP(J$2-$C11, 'GEN-SOLAR'!$D$7:$AW$7, 'GEN-SOLAR'!$D$51:$AW$51), 0), IF($B11='Project List References'!$B$5, _xlfn.IFNA(_xlfn.XLOOKUP(J$2-$C11, 'GEN-BESS'!$D$7:$AW$7, 'GEN-BESS'!$D$51:$AW$51), 0), IF($B11='Project List References'!$B$6, _xlfn.IFNA(_xlfn.XLOOKUP(J$2-$C11, 'GEN-CARBON'!$D$7:$AW$7, 'GEN-CARBON'!$D$51:$AW$51), 0), IF($B11='Project List References'!$B$7, _xlfn.IFNA(_xlfn.XLOOKUP(J$2-$C11, 'SENS Coal'!$D$7:$AW$7, 'SENS Coal'!$D$51:$AW$51), 0), IF($B11='Project List References'!$B$8, _xlfn.IFNA(_xlfn.XLOOKUP(J$2-$C11,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K11" s="743" t="e">
        <f>IF($B11='Project List References'!$B$3, _xlfn.IFNA(_xlfn.XLOOKUP(K$2-$C11, 'GEN-CCGT'!$D$7:$AW$7, 'GEN-CCGT'!$D$51:$AW$51), 0), IF($B11='Project List References'!$B$4, _xlfn.IFNA(_xlfn.XLOOKUP(K$2-$C11, 'GEN-SOLAR'!$D$7:$AW$7, 'GEN-SOLAR'!$D$51:$AW$51), 0), IF($B11='Project List References'!$B$5, _xlfn.IFNA(_xlfn.XLOOKUP(K$2-$C11, 'GEN-BESS'!$D$7:$AW$7, 'GEN-BESS'!$D$51:$AW$51), 0), IF($B11='Project List References'!$B$6, _xlfn.IFNA(_xlfn.XLOOKUP(K$2-$C11, 'GEN-CARBON'!$D$7:$AW$7, 'GEN-CARBON'!$D$51:$AW$51), 0), IF($B11='Project List References'!$B$7, _xlfn.IFNA(_xlfn.XLOOKUP(K$2-$C11, 'SENS Coal'!$D$7:$AW$7, 'SENS Coal'!$D$51:$AW$51), 0), IF($B11='Project List References'!$B$8, _xlfn.IFNA(_xlfn.XLOOKUP(K$2-$C11,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L11" s="743" t="e">
        <f>IF($B11='Project List References'!$B$3, _xlfn.IFNA(_xlfn.XLOOKUP(L$2-$C11, 'GEN-CCGT'!$D$7:$AW$7, 'GEN-CCGT'!$D$51:$AW$51), 0), IF($B11='Project List References'!$B$4, _xlfn.IFNA(_xlfn.XLOOKUP(L$2-$C11, 'GEN-SOLAR'!$D$7:$AW$7, 'GEN-SOLAR'!$D$51:$AW$51), 0), IF($B11='Project List References'!$B$5, _xlfn.IFNA(_xlfn.XLOOKUP(L$2-$C11, 'GEN-BESS'!$D$7:$AW$7, 'GEN-BESS'!$D$51:$AW$51), 0), IF($B11='Project List References'!$B$6, _xlfn.IFNA(_xlfn.XLOOKUP(L$2-$C11, 'GEN-CARBON'!$D$7:$AW$7, 'GEN-CARBON'!$D$51:$AW$51), 0), IF($B11='Project List References'!$B$7, _xlfn.IFNA(_xlfn.XLOOKUP(L$2-$C11, 'SENS Coal'!$D$7:$AW$7, 'SENS Coal'!$D$51:$AW$51), 0), IF($B11='Project List References'!$B$8, _xlfn.IFNA(_xlfn.XLOOKUP(L$2-$C11,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M11" s="743" t="e">
        <f>IF($B11='Project List References'!$B$3, _xlfn.IFNA(_xlfn.XLOOKUP(M$2-$C11, 'GEN-CCGT'!$D$7:$AW$7, 'GEN-CCGT'!$D$51:$AW$51), 0), IF($B11='Project List References'!$B$4, _xlfn.IFNA(_xlfn.XLOOKUP(M$2-$C11, 'GEN-SOLAR'!$D$7:$AW$7, 'GEN-SOLAR'!$D$51:$AW$51), 0), IF($B11='Project List References'!$B$5, _xlfn.IFNA(_xlfn.XLOOKUP(M$2-$C11, 'GEN-BESS'!$D$7:$AW$7, 'GEN-BESS'!$D$51:$AW$51), 0), IF($B11='Project List References'!$B$6, _xlfn.IFNA(_xlfn.XLOOKUP(M$2-$C11, 'GEN-CARBON'!$D$7:$AW$7, 'GEN-CARBON'!$D$51:$AW$51), 0), IF($B11='Project List References'!$B$7, _xlfn.IFNA(_xlfn.XLOOKUP(M$2-$C11, 'SENS Coal'!$D$7:$AW$7, 'SENS Coal'!$D$51:$AW$51), 0), IF($B11='Project List References'!$B$8, _xlfn.IFNA(_xlfn.XLOOKUP(M$2-$C11,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N11" s="743" t="e">
        <f>IF($B11='Project List References'!$B$3, _xlfn.IFNA(_xlfn.XLOOKUP(N$2-$C11, 'GEN-CCGT'!$D$7:$AW$7, 'GEN-CCGT'!$D$51:$AW$51), 0), IF($B11='Project List References'!$B$4, _xlfn.IFNA(_xlfn.XLOOKUP(N$2-$C11, 'GEN-SOLAR'!$D$7:$AW$7, 'GEN-SOLAR'!$D$51:$AW$51), 0), IF($B11='Project List References'!$B$5, _xlfn.IFNA(_xlfn.XLOOKUP(N$2-$C11, 'GEN-BESS'!$D$7:$AW$7, 'GEN-BESS'!$D$51:$AW$51), 0), IF($B11='Project List References'!$B$6, _xlfn.IFNA(_xlfn.XLOOKUP(N$2-$C11, 'GEN-CARBON'!$D$7:$AW$7, 'GEN-CARBON'!$D$51:$AW$51), 0), IF($B11='Project List References'!$B$7, _xlfn.IFNA(_xlfn.XLOOKUP(N$2-$C11, 'SENS Coal'!$D$7:$AW$7, 'SENS Coal'!$D$51:$AW$51), 0), IF($B11='Project List References'!$B$8, _xlfn.IFNA(_xlfn.XLOOKUP(N$2-$C11,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O11" s="743" t="e">
        <f>IF($B11='Project List References'!$B$3, _xlfn.IFNA(_xlfn.XLOOKUP(O$2-$C11, 'GEN-CCGT'!$D$7:$AW$7, 'GEN-CCGT'!$D$51:$AW$51), 0), IF($B11='Project List References'!$B$4, _xlfn.IFNA(_xlfn.XLOOKUP(O$2-$C11, 'GEN-SOLAR'!$D$7:$AW$7, 'GEN-SOLAR'!$D$51:$AW$51), 0), IF($B11='Project List References'!$B$5, _xlfn.IFNA(_xlfn.XLOOKUP(O$2-$C11, 'GEN-BESS'!$D$7:$AW$7, 'GEN-BESS'!$D$51:$AW$51), 0), IF($B11='Project List References'!$B$6, _xlfn.IFNA(_xlfn.XLOOKUP(O$2-$C11, 'GEN-CARBON'!$D$7:$AW$7, 'GEN-CARBON'!$D$51:$AW$51), 0), IF($B11='Project List References'!$B$7, _xlfn.IFNA(_xlfn.XLOOKUP(O$2-$C11, 'SENS Coal'!$D$7:$AW$7, 'SENS Coal'!$D$51:$AW$51), 0), IF($B11='Project List References'!$B$8, _xlfn.IFNA(_xlfn.XLOOKUP(O$2-$C11,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P11" s="743" t="e">
        <f>IF($B11='Project List References'!$B$3, _xlfn.IFNA(_xlfn.XLOOKUP(P$2-$C11, 'GEN-CCGT'!$D$7:$AW$7, 'GEN-CCGT'!$D$51:$AW$51), 0), IF($B11='Project List References'!$B$4, _xlfn.IFNA(_xlfn.XLOOKUP(P$2-$C11, 'GEN-SOLAR'!$D$7:$AW$7, 'GEN-SOLAR'!$D$51:$AW$51), 0), IF($B11='Project List References'!$B$5, _xlfn.IFNA(_xlfn.XLOOKUP(P$2-$C11, 'GEN-BESS'!$D$7:$AW$7, 'GEN-BESS'!$D$51:$AW$51), 0), IF($B11='Project List References'!$B$6, _xlfn.IFNA(_xlfn.XLOOKUP(P$2-$C11, 'GEN-CARBON'!$D$7:$AW$7, 'GEN-CARBON'!$D$51:$AW$51), 0), IF($B11='Project List References'!$B$7, _xlfn.IFNA(_xlfn.XLOOKUP(P$2-$C11, 'SENS Coal'!$D$7:$AW$7, 'SENS Coal'!$D$51:$AW$51), 0), IF($B11='Project List References'!$B$8, _xlfn.IFNA(_xlfn.XLOOKUP(P$2-$C11,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Q11" s="743" t="e">
        <f>IF($B11='Project List References'!$B$3, _xlfn.IFNA(_xlfn.XLOOKUP(Q$2-$C11, 'GEN-CCGT'!$D$7:$AW$7, 'GEN-CCGT'!$D$51:$AW$51), 0), IF($B11='Project List References'!$B$4, _xlfn.IFNA(_xlfn.XLOOKUP(Q$2-$C11, 'GEN-SOLAR'!$D$7:$AW$7, 'GEN-SOLAR'!$D$51:$AW$51), 0), IF($B11='Project List References'!$B$5, _xlfn.IFNA(_xlfn.XLOOKUP(Q$2-$C11, 'GEN-BESS'!$D$7:$AW$7, 'GEN-BESS'!$D$51:$AW$51), 0), IF($B11='Project List References'!$B$6, _xlfn.IFNA(_xlfn.XLOOKUP(Q$2-$C11, 'GEN-CARBON'!$D$7:$AW$7, 'GEN-CARBON'!$D$51:$AW$51), 0), IF($B11='Project List References'!$B$7, _xlfn.IFNA(_xlfn.XLOOKUP(Q$2-$C11, 'SENS Coal'!$D$7:$AW$7, 'SENS Coal'!$D$51:$AW$51), 0), IF($B11='Project List References'!$B$8, _xlfn.IFNA(_xlfn.XLOOKUP(Q$2-$C11,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R11" s="743" t="e">
        <f>IF($B11='Project List References'!$B$3, _xlfn.IFNA(_xlfn.XLOOKUP(R$2-$C11, 'GEN-CCGT'!$D$7:$AW$7, 'GEN-CCGT'!$D$51:$AW$51), 0), IF($B11='Project List References'!$B$4, _xlfn.IFNA(_xlfn.XLOOKUP(R$2-$C11, 'GEN-SOLAR'!$D$7:$AW$7, 'GEN-SOLAR'!$D$51:$AW$51), 0), IF($B11='Project List References'!$B$5, _xlfn.IFNA(_xlfn.XLOOKUP(R$2-$C11, 'GEN-BESS'!$D$7:$AW$7, 'GEN-BESS'!$D$51:$AW$51), 0), IF($B11='Project List References'!$B$6, _xlfn.IFNA(_xlfn.XLOOKUP(R$2-$C11, 'GEN-CARBON'!$D$7:$AW$7, 'GEN-CARBON'!$D$51:$AW$51), 0), IF($B11='Project List References'!$B$7, _xlfn.IFNA(_xlfn.XLOOKUP(R$2-$C11, 'SENS Coal'!$D$7:$AW$7, 'SENS Coal'!$D$51:$AW$51), 0), IF($B11='Project List References'!$B$8, _xlfn.IFNA(_xlfn.XLOOKUP(R$2-$C11,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S11" s="743" t="e">
        <f>IF($B11='Project List References'!$B$3, _xlfn.IFNA(_xlfn.XLOOKUP(S$2-$C11, 'GEN-CCGT'!$D$7:$AW$7, 'GEN-CCGT'!$D$51:$AW$51), 0), IF($B11='Project List References'!$B$4, _xlfn.IFNA(_xlfn.XLOOKUP(S$2-$C11, 'GEN-SOLAR'!$D$7:$AW$7, 'GEN-SOLAR'!$D$51:$AW$51), 0), IF($B11='Project List References'!$B$5, _xlfn.IFNA(_xlfn.XLOOKUP(S$2-$C11, 'GEN-BESS'!$D$7:$AW$7, 'GEN-BESS'!$D$51:$AW$51), 0), IF($B11='Project List References'!$B$6, _xlfn.IFNA(_xlfn.XLOOKUP(S$2-$C11, 'GEN-CARBON'!$D$7:$AW$7, 'GEN-CARBON'!$D$51:$AW$51), 0), IF($B11='Project List References'!$B$7, _xlfn.IFNA(_xlfn.XLOOKUP(S$2-$C11, 'SENS Coal'!$D$7:$AW$7, 'SENS Coal'!$D$51:$AW$51), 0), IF($B11='Project List References'!$B$8, _xlfn.IFNA(_xlfn.XLOOKUP(S$2-$C11,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T11" s="743" t="e">
        <f>IF($B11='Project List References'!$B$3, _xlfn.IFNA(_xlfn.XLOOKUP(T$2-$C11, 'GEN-CCGT'!$D$7:$AW$7, 'GEN-CCGT'!$D$51:$AW$51), 0), IF($B11='Project List References'!$B$4, _xlfn.IFNA(_xlfn.XLOOKUP(T$2-$C11, 'GEN-SOLAR'!$D$7:$AW$7, 'GEN-SOLAR'!$D$51:$AW$51), 0), IF($B11='Project List References'!$B$5, _xlfn.IFNA(_xlfn.XLOOKUP(T$2-$C11, 'GEN-BESS'!$D$7:$AW$7, 'GEN-BESS'!$D$51:$AW$51), 0), IF($B11='Project List References'!$B$6, _xlfn.IFNA(_xlfn.XLOOKUP(T$2-$C11, 'GEN-CARBON'!$D$7:$AW$7, 'GEN-CARBON'!$D$51:$AW$51), 0), IF($B11='Project List References'!$B$7, _xlfn.IFNA(_xlfn.XLOOKUP(T$2-$C11, 'SENS Coal'!$D$7:$AW$7, 'SENS Coal'!$D$51:$AW$51), 0), IF($B11='Project List References'!$B$8, _xlfn.IFNA(_xlfn.XLOOKUP(T$2-$C11, 'SENS Tires'!$D$7:$AW$7, 'SENS Tires'!$D$51:$AW$51), 0)))))))/_xlfn.XLOOKUP($B11,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</row>
    <row r="12" spans="1:111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_xlfn.XLOOKUP('Project OPEX'!A12, 'Project Master Sheet'!A:A, 'Project Master Sheet'!I:I)</f>
        <v>#N/A</v>
      </c>
      <c r="E12" s="743" t="e">
        <f>IF($B12='Project List References'!$B$3, _xlfn.IFNA(_xlfn.XLOOKUP(E$2-$C12, 'GEN-CCGT'!$D$7:$AW$7, 'GEN-CCGT'!$D$51:$AW$51), 0), IF($B12='Project List References'!$B$4, _xlfn.IFNA(_xlfn.XLOOKUP(E$2-$C12, 'GEN-SOLAR'!$D$7:$AW$7, 'GEN-SOLAR'!$D$51:$AW$51), 0), IF($B12='Project List References'!$B$5, _xlfn.IFNA(_xlfn.XLOOKUP(E$2-$C12, 'GEN-BESS'!$D$7:$AW$7, 'GEN-BESS'!$D$51:$AW$51), 0), IF($B12='Project List References'!$B$6, _xlfn.IFNA(_xlfn.XLOOKUP(E$2-$C12, 'GEN-CARBON'!$D$7:$AW$7, 'GEN-CARBON'!$D$51:$AW$51), 0), IF($B12='Project List References'!$B$7, _xlfn.IFNA(_xlfn.XLOOKUP(E$2-$C12, 'SENS Coal'!$D$7:$AW$7, 'SENS Coal'!$D$51:$AW$51), 0), IF($B12='Project List References'!$B$8, _xlfn.IFNA(_xlfn.XLOOKUP(E$2-$C12,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F12" s="743" t="e">
        <f>IF($B12='Project List References'!$B$3, _xlfn.IFNA(_xlfn.XLOOKUP(F$2-$C12, 'GEN-CCGT'!$D$7:$AW$7, 'GEN-CCGT'!$D$51:$AW$51), 0), IF($B12='Project List References'!$B$4, _xlfn.IFNA(_xlfn.XLOOKUP(F$2-$C12, 'GEN-SOLAR'!$D$7:$AW$7, 'GEN-SOLAR'!$D$51:$AW$51), 0), IF($B12='Project List References'!$B$5, _xlfn.IFNA(_xlfn.XLOOKUP(F$2-$C12, 'GEN-BESS'!$D$7:$AW$7, 'GEN-BESS'!$D$51:$AW$51), 0), IF($B12='Project List References'!$B$6, _xlfn.IFNA(_xlfn.XLOOKUP(F$2-$C12, 'GEN-CARBON'!$D$7:$AW$7, 'GEN-CARBON'!$D$51:$AW$51), 0), IF($B12='Project List References'!$B$7, _xlfn.IFNA(_xlfn.XLOOKUP(F$2-$C12, 'SENS Coal'!$D$7:$AW$7, 'SENS Coal'!$D$51:$AW$51), 0), IF($B12='Project List References'!$B$8, _xlfn.IFNA(_xlfn.XLOOKUP(F$2-$C12,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G12" s="743" t="e">
        <f>IF($B12='Project List References'!$B$3, _xlfn.IFNA(_xlfn.XLOOKUP(G$2-$C12, 'GEN-CCGT'!$D$7:$AW$7, 'GEN-CCGT'!$D$51:$AW$51), 0), IF($B12='Project List References'!$B$4, _xlfn.IFNA(_xlfn.XLOOKUP(G$2-$C12, 'GEN-SOLAR'!$D$7:$AW$7, 'GEN-SOLAR'!$D$51:$AW$51), 0), IF($B12='Project List References'!$B$5, _xlfn.IFNA(_xlfn.XLOOKUP(G$2-$C12, 'GEN-BESS'!$D$7:$AW$7, 'GEN-BESS'!$D$51:$AW$51), 0), IF($B12='Project List References'!$B$6, _xlfn.IFNA(_xlfn.XLOOKUP(G$2-$C12, 'GEN-CARBON'!$D$7:$AW$7, 'GEN-CARBON'!$D$51:$AW$51), 0), IF($B12='Project List References'!$B$7, _xlfn.IFNA(_xlfn.XLOOKUP(G$2-$C12, 'SENS Coal'!$D$7:$AW$7, 'SENS Coal'!$D$51:$AW$51), 0), IF($B12='Project List References'!$B$8, _xlfn.IFNA(_xlfn.XLOOKUP(G$2-$C12,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H12" s="743" t="e">
        <f>IF($B12='Project List References'!$B$3, _xlfn.IFNA(_xlfn.XLOOKUP(H$2-$C12, 'GEN-CCGT'!$D$7:$AW$7, 'GEN-CCGT'!$D$51:$AW$51), 0), IF($B12='Project List References'!$B$4, _xlfn.IFNA(_xlfn.XLOOKUP(H$2-$C12, 'GEN-SOLAR'!$D$7:$AW$7, 'GEN-SOLAR'!$D$51:$AW$51), 0), IF($B12='Project List References'!$B$5, _xlfn.IFNA(_xlfn.XLOOKUP(H$2-$C12, 'GEN-BESS'!$D$7:$AW$7, 'GEN-BESS'!$D$51:$AW$51), 0), IF($B12='Project List References'!$B$6, _xlfn.IFNA(_xlfn.XLOOKUP(H$2-$C12, 'GEN-CARBON'!$D$7:$AW$7, 'GEN-CARBON'!$D$51:$AW$51), 0), IF($B12='Project List References'!$B$7, _xlfn.IFNA(_xlfn.XLOOKUP(H$2-$C12, 'SENS Coal'!$D$7:$AW$7, 'SENS Coal'!$D$51:$AW$51), 0), IF($B12='Project List References'!$B$8, _xlfn.IFNA(_xlfn.XLOOKUP(H$2-$C12,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I12" s="743" t="e">
        <f>IF($B12='Project List References'!$B$3, _xlfn.IFNA(_xlfn.XLOOKUP(I$2-$C12, 'GEN-CCGT'!$D$7:$AW$7, 'GEN-CCGT'!$D$51:$AW$51), 0), IF($B12='Project List References'!$B$4, _xlfn.IFNA(_xlfn.XLOOKUP(I$2-$C12, 'GEN-SOLAR'!$D$7:$AW$7, 'GEN-SOLAR'!$D$51:$AW$51), 0), IF($B12='Project List References'!$B$5, _xlfn.IFNA(_xlfn.XLOOKUP(I$2-$C12, 'GEN-BESS'!$D$7:$AW$7, 'GEN-BESS'!$D$51:$AW$51), 0), IF($B12='Project List References'!$B$6, _xlfn.IFNA(_xlfn.XLOOKUP(I$2-$C12, 'GEN-CARBON'!$D$7:$AW$7, 'GEN-CARBON'!$D$51:$AW$51), 0), IF($B12='Project List References'!$B$7, _xlfn.IFNA(_xlfn.XLOOKUP(I$2-$C12, 'SENS Coal'!$D$7:$AW$7, 'SENS Coal'!$D$51:$AW$51), 0), IF($B12='Project List References'!$B$8, _xlfn.IFNA(_xlfn.XLOOKUP(I$2-$C12,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J12" s="743" t="e">
        <f>IF($B12='Project List References'!$B$3, _xlfn.IFNA(_xlfn.XLOOKUP(J$2-$C12, 'GEN-CCGT'!$D$7:$AW$7, 'GEN-CCGT'!$D$51:$AW$51), 0), IF($B12='Project List References'!$B$4, _xlfn.IFNA(_xlfn.XLOOKUP(J$2-$C12, 'GEN-SOLAR'!$D$7:$AW$7, 'GEN-SOLAR'!$D$51:$AW$51), 0), IF($B12='Project List References'!$B$5, _xlfn.IFNA(_xlfn.XLOOKUP(J$2-$C12, 'GEN-BESS'!$D$7:$AW$7, 'GEN-BESS'!$D$51:$AW$51), 0), IF($B12='Project List References'!$B$6, _xlfn.IFNA(_xlfn.XLOOKUP(J$2-$C12, 'GEN-CARBON'!$D$7:$AW$7, 'GEN-CARBON'!$D$51:$AW$51), 0), IF($B12='Project List References'!$B$7, _xlfn.IFNA(_xlfn.XLOOKUP(J$2-$C12, 'SENS Coal'!$D$7:$AW$7, 'SENS Coal'!$D$51:$AW$51), 0), IF($B12='Project List References'!$B$8, _xlfn.IFNA(_xlfn.XLOOKUP(J$2-$C12,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K12" s="743" t="e">
        <f>IF($B12='Project List References'!$B$3, _xlfn.IFNA(_xlfn.XLOOKUP(K$2-$C12, 'GEN-CCGT'!$D$7:$AW$7, 'GEN-CCGT'!$D$51:$AW$51), 0), IF($B12='Project List References'!$B$4, _xlfn.IFNA(_xlfn.XLOOKUP(K$2-$C12, 'GEN-SOLAR'!$D$7:$AW$7, 'GEN-SOLAR'!$D$51:$AW$51), 0), IF($B12='Project List References'!$B$5, _xlfn.IFNA(_xlfn.XLOOKUP(K$2-$C12, 'GEN-BESS'!$D$7:$AW$7, 'GEN-BESS'!$D$51:$AW$51), 0), IF($B12='Project List References'!$B$6, _xlfn.IFNA(_xlfn.XLOOKUP(K$2-$C12, 'GEN-CARBON'!$D$7:$AW$7, 'GEN-CARBON'!$D$51:$AW$51), 0), IF($B12='Project List References'!$B$7, _xlfn.IFNA(_xlfn.XLOOKUP(K$2-$C12, 'SENS Coal'!$D$7:$AW$7, 'SENS Coal'!$D$51:$AW$51), 0), IF($B12='Project List References'!$B$8, _xlfn.IFNA(_xlfn.XLOOKUP(K$2-$C12,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L12" s="743" t="e">
        <f>IF($B12='Project List References'!$B$3, _xlfn.IFNA(_xlfn.XLOOKUP(L$2-$C12, 'GEN-CCGT'!$D$7:$AW$7, 'GEN-CCGT'!$D$51:$AW$51), 0), IF($B12='Project List References'!$B$4, _xlfn.IFNA(_xlfn.XLOOKUP(L$2-$C12, 'GEN-SOLAR'!$D$7:$AW$7, 'GEN-SOLAR'!$D$51:$AW$51), 0), IF($B12='Project List References'!$B$5, _xlfn.IFNA(_xlfn.XLOOKUP(L$2-$C12, 'GEN-BESS'!$D$7:$AW$7, 'GEN-BESS'!$D$51:$AW$51), 0), IF($B12='Project List References'!$B$6, _xlfn.IFNA(_xlfn.XLOOKUP(L$2-$C12, 'GEN-CARBON'!$D$7:$AW$7, 'GEN-CARBON'!$D$51:$AW$51), 0), IF($B12='Project List References'!$B$7, _xlfn.IFNA(_xlfn.XLOOKUP(L$2-$C12, 'SENS Coal'!$D$7:$AW$7, 'SENS Coal'!$D$51:$AW$51), 0), IF($B12='Project List References'!$B$8, _xlfn.IFNA(_xlfn.XLOOKUP(L$2-$C12,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M12" s="743" t="e">
        <f>IF($B12='Project List References'!$B$3, _xlfn.IFNA(_xlfn.XLOOKUP(M$2-$C12, 'GEN-CCGT'!$D$7:$AW$7, 'GEN-CCGT'!$D$51:$AW$51), 0), IF($B12='Project List References'!$B$4, _xlfn.IFNA(_xlfn.XLOOKUP(M$2-$C12, 'GEN-SOLAR'!$D$7:$AW$7, 'GEN-SOLAR'!$D$51:$AW$51), 0), IF($B12='Project List References'!$B$5, _xlfn.IFNA(_xlfn.XLOOKUP(M$2-$C12, 'GEN-BESS'!$D$7:$AW$7, 'GEN-BESS'!$D$51:$AW$51), 0), IF($B12='Project List References'!$B$6, _xlfn.IFNA(_xlfn.XLOOKUP(M$2-$C12, 'GEN-CARBON'!$D$7:$AW$7, 'GEN-CARBON'!$D$51:$AW$51), 0), IF($B12='Project List References'!$B$7, _xlfn.IFNA(_xlfn.XLOOKUP(M$2-$C12, 'SENS Coal'!$D$7:$AW$7, 'SENS Coal'!$D$51:$AW$51), 0), IF($B12='Project List References'!$B$8, _xlfn.IFNA(_xlfn.XLOOKUP(M$2-$C12,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N12" s="743" t="e">
        <f>IF($B12='Project List References'!$B$3, _xlfn.IFNA(_xlfn.XLOOKUP(N$2-$C12, 'GEN-CCGT'!$D$7:$AW$7, 'GEN-CCGT'!$D$51:$AW$51), 0), IF($B12='Project List References'!$B$4, _xlfn.IFNA(_xlfn.XLOOKUP(N$2-$C12, 'GEN-SOLAR'!$D$7:$AW$7, 'GEN-SOLAR'!$D$51:$AW$51), 0), IF($B12='Project List References'!$B$5, _xlfn.IFNA(_xlfn.XLOOKUP(N$2-$C12, 'GEN-BESS'!$D$7:$AW$7, 'GEN-BESS'!$D$51:$AW$51), 0), IF($B12='Project List References'!$B$6, _xlfn.IFNA(_xlfn.XLOOKUP(N$2-$C12, 'GEN-CARBON'!$D$7:$AW$7, 'GEN-CARBON'!$D$51:$AW$51), 0), IF($B12='Project List References'!$B$7, _xlfn.IFNA(_xlfn.XLOOKUP(N$2-$C12, 'SENS Coal'!$D$7:$AW$7, 'SENS Coal'!$D$51:$AW$51), 0), IF($B12='Project List References'!$B$8, _xlfn.IFNA(_xlfn.XLOOKUP(N$2-$C12,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O12" s="743" t="e">
        <f>IF($B12='Project List References'!$B$3, _xlfn.IFNA(_xlfn.XLOOKUP(O$2-$C12, 'GEN-CCGT'!$D$7:$AW$7, 'GEN-CCGT'!$D$51:$AW$51), 0), IF($B12='Project List References'!$B$4, _xlfn.IFNA(_xlfn.XLOOKUP(O$2-$C12, 'GEN-SOLAR'!$D$7:$AW$7, 'GEN-SOLAR'!$D$51:$AW$51), 0), IF($B12='Project List References'!$B$5, _xlfn.IFNA(_xlfn.XLOOKUP(O$2-$C12, 'GEN-BESS'!$D$7:$AW$7, 'GEN-BESS'!$D$51:$AW$51), 0), IF($B12='Project List References'!$B$6, _xlfn.IFNA(_xlfn.XLOOKUP(O$2-$C12, 'GEN-CARBON'!$D$7:$AW$7, 'GEN-CARBON'!$D$51:$AW$51), 0), IF($B12='Project List References'!$B$7, _xlfn.IFNA(_xlfn.XLOOKUP(O$2-$C12, 'SENS Coal'!$D$7:$AW$7, 'SENS Coal'!$D$51:$AW$51), 0), IF($B12='Project List References'!$B$8, _xlfn.IFNA(_xlfn.XLOOKUP(O$2-$C12,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P12" s="743" t="e">
        <f>IF($B12='Project List References'!$B$3, _xlfn.IFNA(_xlfn.XLOOKUP(P$2-$C12, 'GEN-CCGT'!$D$7:$AW$7, 'GEN-CCGT'!$D$51:$AW$51), 0), IF($B12='Project List References'!$B$4, _xlfn.IFNA(_xlfn.XLOOKUP(P$2-$C12, 'GEN-SOLAR'!$D$7:$AW$7, 'GEN-SOLAR'!$D$51:$AW$51), 0), IF($B12='Project List References'!$B$5, _xlfn.IFNA(_xlfn.XLOOKUP(P$2-$C12, 'GEN-BESS'!$D$7:$AW$7, 'GEN-BESS'!$D$51:$AW$51), 0), IF($B12='Project List References'!$B$6, _xlfn.IFNA(_xlfn.XLOOKUP(P$2-$C12, 'GEN-CARBON'!$D$7:$AW$7, 'GEN-CARBON'!$D$51:$AW$51), 0), IF($B12='Project List References'!$B$7, _xlfn.IFNA(_xlfn.XLOOKUP(P$2-$C12, 'SENS Coal'!$D$7:$AW$7, 'SENS Coal'!$D$51:$AW$51), 0), IF($B12='Project List References'!$B$8, _xlfn.IFNA(_xlfn.XLOOKUP(P$2-$C12,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Q12" s="743" t="e">
        <f>IF($B12='Project List References'!$B$3, _xlfn.IFNA(_xlfn.XLOOKUP(Q$2-$C12, 'GEN-CCGT'!$D$7:$AW$7, 'GEN-CCGT'!$D$51:$AW$51), 0), IF($B12='Project List References'!$B$4, _xlfn.IFNA(_xlfn.XLOOKUP(Q$2-$C12, 'GEN-SOLAR'!$D$7:$AW$7, 'GEN-SOLAR'!$D$51:$AW$51), 0), IF($B12='Project List References'!$B$5, _xlfn.IFNA(_xlfn.XLOOKUP(Q$2-$C12, 'GEN-BESS'!$D$7:$AW$7, 'GEN-BESS'!$D$51:$AW$51), 0), IF($B12='Project List References'!$B$6, _xlfn.IFNA(_xlfn.XLOOKUP(Q$2-$C12, 'GEN-CARBON'!$D$7:$AW$7, 'GEN-CARBON'!$D$51:$AW$51), 0), IF($B12='Project List References'!$B$7, _xlfn.IFNA(_xlfn.XLOOKUP(Q$2-$C12, 'SENS Coal'!$D$7:$AW$7, 'SENS Coal'!$D$51:$AW$51), 0), IF($B12='Project List References'!$B$8, _xlfn.IFNA(_xlfn.XLOOKUP(Q$2-$C12,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R12" s="743" t="e">
        <f>IF($B12='Project List References'!$B$3, _xlfn.IFNA(_xlfn.XLOOKUP(R$2-$C12, 'GEN-CCGT'!$D$7:$AW$7, 'GEN-CCGT'!$D$51:$AW$51), 0), IF($B12='Project List References'!$B$4, _xlfn.IFNA(_xlfn.XLOOKUP(R$2-$C12, 'GEN-SOLAR'!$D$7:$AW$7, 'GEN-SOLAR'!$D$51:$AW$51), 0), IF($B12='Project List References'!$B$5, _xlfn.IFNA(_xlfn.XLOOKUP(R$2-$C12, 'GEN-BESS'!$D$7:$AW$7, 'GEN-BESS'!$D$51:$AW$51), 0), IF($B12='Project List References'!$B$6, _xlfn.IFNA(_xlfn.XLOOKUP(R$2-$C12, 'GEN-CARBON'!$D$7:$AW$7, 'GEN-CARBON'!$D$51:$AW$51), 0), IF($B12='Project List References'!$B$7, _xlfn.IFNA(_xlfn.XLOOKUP(R$2-$C12, 'SENS Coal'!$D$7:$AW$7, 'SENS Coal'!$D$51:$AW$51), 0), IF($B12='Project List References'!$B$8, _xlfn.IFNA(_xlfn.XLOOKUP(R$2-$C12,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S12" s="743" t="e">
        <f>IF($B12='Project List References'!$B$3, _xlfn.IFNA(_xlfn.XLOOKUP(S$2-$C12, 'GEN-CCGT'!$D$7:$AW$7, 'GEN-CCGT'!$D$51:$AW$51), 0), IF($B12='Project List References'!$B$4, _xlfn.IFNA(_xlfn.XLOOKUP(S$2-$C12, 'GEN-SOLAR'!$D$7:$AW$7, 'GEN-SOLAR'!$D$51:$AW$51), 0), IF($B12='Project List References'!$B$5, _xlfn.IFNA(_xlfn.XLOOKUP(S$2-$C12, 'GEN-BESS'!$D$7:$AW$7, 'GEN-BESS'!$D$51:$AW$51), 0), IF($B12='Project List References'!$B$6, _xlfn.IFNA(_xlfn.XLOOKUP(S$2-$C12, 'GEN-CARBON'!$D$7:$AW$7, 'GEN-CARBON'!$D$51:$AW$51), 0), IF($B12='Project List References'!$B$7, _xlfn.IFNA(_xlfn.XLOOKUP(S$2-$C12, 'SENS Coal'!$D$7:$AW$7, 'SENS Coal'!$D$51:$AW$51), 0), IF($B12='Project List References'!$B$8, _xlfn.IFNA(_xlfn.XLOOKUP(S$2-$C12,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T12" s="743" t="e">
        <f>IF($B12='Project List References'!$B$3, _xlfn.IFNA(_xlfn.XLOOKUP(T$2-$C12, 'GEN-CCGT'!$D$7:$AW$7, 'GEN-CCGT'!$D$51:$AW$51), 0), IF($B12='Project List References'!$B$4, _xlfn.IFNA(_xlfn.XLOOKUP(T$2-$C12, 'GEN-SOLAR'!$D$7:$AW$7, 'GEN-SOLAR'!$D$51:$AW$51), 0), IF($B12='Project List References'!$B$5, _xlfn.IFNA(_xlfn.XLOOKUP(T$2-$C12, 'GEN-BESS'!$D$7:$AW$7, 'GEN-BESS'!$D$51:$AW$51), 0), IF($B12='Project List References'!$B$6, _xlfn.IFNA(_xlfn.XLOOKUP(T$2-$C12, 'GEN-CARBON'!$D$7:$AW$7, 'GEN-CARBON'!$D$51:$AW$51), 0), IF($B12='Project List References'!$B$7, _xlfn.IFNA(_xlfn.XLOOKUP(T$2-$C12, 'SENS Coal'!$D$7:$AW$7, 'SENS Coal'!$D$51:$AW$51), 0), IF($B12='Project List References'!$B$8, _xlfn.IFNA(_xlfn.XLOOKUP(T$2-$C12, 'SENS Tires'!$D$7:$AW$7, 'SENS Tires'!$D$51:$AW$51), 0)))))))/_xlfn.XLOOKUP($B12,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</row>
    <row r="13" spans="1:111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_xlfn.XLOOKUP('Project OPEX'!A13, 'Project Master Sheet'!A:A, 'Project Master Sheet'!I:I)</f>
        <v>#N/A</v>
      </c>
      <c r="E13" s="743" t="e">
        <f>IF($B13='Project List References'!$B$3, _xlfn.IFNA(_xlfn.XLOOKUP(E$2-$C13, 'GEN-CCGT'!$D$7:$AW$7, 'GEN-CCGT'!$D$51:$AW$51), 0), IF($B13='Project List References'!$B$4, _xlfn.IFNA(_xlfn.XLOOKUP(E$2-$C13, 'GEN-SOLAR'!$D$7:$AW$7, 'GEN-SOLAR'!$D$51:$AW$51), 0), IF($B13='Project List References'!$B$5, _xlfn.IFNA(_xlfn.XLOOKUP(E$2-$C13, 'GEN-BESS'!$D$7:$AW$7, 'GEN-BESS'!$D$51:$AW$51), 0), IF($B13='Project List References'!$B$6, _xlfn.IFNA(_xlfn.XLOOKUP(E$2-$C13, 'GEN-CARBON'!$D$7:$AW$7, 'GEN-CARBON'!$D$51:$AW$51), 0), IF($B13='Project List References'!$B$7, _xlfn.IFNA(_xlfn.XLOOKUP(E$2-$C13, 'SENS Coal'!$D$7:$AW$7, 'SENS Coal'!$D$51:$AW$51), 0), IF($B13='Project List References'!$B$8, _xlfn.IFNA(_xlfn.XLOOKUP(E$2-$C13,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F13" s="743" t="e">
        <f>IF($B13='Project List References'!$B$3, _xlfn.IFNA(_xlfn.XLOOKUP(F$2-$C13, 'GEN-CCGT'!$D$7:$AW$7, 'GEN-CCGT'!$D$51:$AW$51), 0), IF($B13='Project List References'!$B$4, _xlfn.IFNA(_xlfn.XLOOKUP(F$2-$C13, 'GEN-SOLAR'!$D$7:$AW$7, 'GEN-SOLAR'!$D$51:$AW$51), 0), IF($B13='Project List References'!$B$5, _xlfn.IFNA(_xlfn.XLOOKUP(F$2-$C13, 'GEN-BESS'!$D$7:$AW$7, 'GEN-BESS'!$D$51:$AW$51), 0), IF($B13='Project List References'!$B$6, _xlfn.IFNA(_xlfn.XLOOKUP(F$2-$C13, 'GEN-CARBON'!$D$7:$AW$7, 'GEN-CARBON'!$D$51:$AW$51), 0), IF($B13='Project List References'!$B$7, _xlfn.IFNA(_xlfn.XLOOKUP(F$2-$C13, 'SENS Coal'!$D$7:$AW$7, 'SENS Coal'!$D$51:$AW$51), 0), IF($B13='Project List References'!$B$8, _xlfn.IFNA(_xlfn.XLOOKUP(F$2-$C13,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G13" s="743" t="e">
        <f>IF($B13='Project List References'!$B$3, _xlfn.IFNA(_xlfn.XLOOKUP(G$2-$C13, 'GEN-CCGT'!$D$7:$AW$7, 'GEN-CCGT'!$D$51:$AW$51), 0), IF($B13='Project List References'!$B$4, _xlfn.IFNA(_xlfn.XLOOKUP(G$2-$C13, 'GEN-SOLAR'!$D$7:$AW$7, 'GEN-SOLAR'!$D$51:$AW$51), 0), IF($B13='Project List References'!$B$5, _xlfn.IFNA(_xlfn.XLOOKUP(G$2-$C13, 'GEN-BESS'!$D$7:$AW$7, 'GEN-BESS'!$D$51:$AW$51), 0), IF($B13='Project List References'!$B$6, _xlfn.IFNA(_xlfn.XLOOKUP(G$2-$C13, 'GEN-CARBON'!$D$7:$AW$7, 'GEN-CARBON'!$D$51:$AW$51), 0), IF($B13='Project List References'!$B$7, _xlfn.IFNA(_xlfn.XLOOKUP(G$2-$C13, 'SENS Coal'!$D$7:$AW$7, 'SENS Coal'!$D$51:$AW$51), 0), IF($B13='Project List References'!$B$8, _xlfn.IFNA(_xlfn.XLOOKUP(G$2-$C13,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H13" s="743" t="e">
        <f>IF($B13='Project List References'!$B$3, _xlfn.IFNA(_xlfn.XLOOKUP(H$2-$C13, 'GEN-CCGT'!$D$7:$AW$7, 'GEN-CCGT'!$D$51:$AW$51), 0), IF($B13='Project List References'!$B$4, _xlfn.IFNA(_xlfn.XLOOKUP(H$2-$C13, 'GEN-SOLAR'!$D$7:$AW$7, 'GEN-SOLAR'!$D$51:$AW$51), 0), IF($B13='Project List References'!$B$5, _xlfn.IFNA(_xlfn.XLOOKUP(H$2-$C13, 'GEN-BESS'!$D$7:$AW$7, 'GEN-BESS'!$D$51:$AW$51), 0), IF($B13='Project List References'!$B$6, _xlfn.IFNA(_xlfn.XLOOKUP(H$2-$C13, 'GEN-CARBON'!$D$7:$AW$7, 'GEN-CARBON'!$D$51:$AW$51), 0), IF($B13='Project List References'!$B$7, _xlfn.IFNA(_xlfn.XLOOKUP(H$2-$C13, 'SENS Coal'!$D$7:$AW$7, 'SENS Coal'!$D$51:$AW$51), 0), IF($B13='Project List References'!$B$8, _xlfn.IFNA(_xlfn.XLOOKUP(H$2-$C13,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I13" s="743" t="e">
        <f>IF($B13='Project List References'!$B$3, _xlfn.IFNA(_xlfn.XLOOKUP(I$2-$C13, 'GEN-CCGT'!$D$7:$AW$7, 'GEN-CCGT'!$D$51:$AW$51), 0), IF($B13='Project List References'!$B$4, _xlfn.IFNA(_xlfn.XLOOKUP(I$2-$C13, 'GEN-SOLAR'!$D$7:$AW$7, 'GEN-SOLAR'!$D$51:$AW$51), 0), IF($B13='Project List References'!$B$5, _xlfn.IFNA(_xlfn.XLOOKUP(I$2-$C13, 'GEN-BESS'!$D$7:$AW$7, 'GEN-BESS'!$D$51:$AW$51), 0), IF($B13='Project List References'!$B$6, _xlfn.IFNA(_xlfn.XLOOKUP(I$2-$C13, 'GEN-CARBON'!$D$7:$AW$7, 'GEN-CARBON'!$D$51:$AW$51), 0), IF($B13='Project List References'!$B$7, _xlfn.IFNA(_xlfn.XLOOKUP(I$2-$C13, 'SENS Coal'!$D$7:$AW$7, 'SENS Coal'!$D$51:$AW$51), 0), IF($B13='Project List References'!$B$8, _xlfn.IFNA(_xlfn.XLOOKUP(I$2-$C13,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J13" s="743" t="e">
        <f>IF($B13='Project List References'!$B$3, _xlfn.IFNA(_xlfn.XLOOKUP(J$2-$C13, 'GEN-CCGT'!$D$7:$AW$7, 'GEN-CCGT'!$D$51:$AW$51), 0), IF($B13='Project List References'!$B$4, _xlfn.IFNA(_xlfn.XLOOKUP(J$2-$C13, 'GEN-SOLAR'!$D$7:$AW$7, 'GEN-SOLAR'!$D$51:$AW$51), 0), IF($B13='Project List References'!$B$5, _xlfn.IFNA(_xlfn.XLOOKUP(J$2-$C13, 'GEN-BESS'!$D$7:$AW$7, 'GEN-BESS'!$D$51:$AW$51), 0), IF($B13='Project List References'!$B$6, _xlfn.IFNA(_xlfn.XLOOKUP(J$2-$C13, 'GEN-CARBON'!$D$7:$AW$7, 'GEN-CARBON'!$D$51:$AW$51), 0), IF($B13='Project List References'!$B$7, _xlfn.IFNA(_xlfn.XLOOKUP(J$2-$C13, 'SENS Coal'!$D$7:$AW$7, 'SENS Coal'!$D$51:$AW$51), 0), IF($B13='Project List References'!$B$8, _xlfn.IFNA(_xlfn.XLOOKUP(J$2-$C13,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K13" s="743" t="e">
        <f>IF($B13='Project List References'!$B$3, _xlfn.IFNA(_xlfn.XLOOKUP(K$2-$C13, 'GEN-CCGT'!$D$7:$AW$7, 'GEN-CCGT'!$D$51:$AW$51), 0), IF($B13='Project List References'!$B$4, _xlfn.IFNA(_xlfn.XLOOKUP(K$2-$C13, 'GEN-SOLAR'!$D$7:$AW$7, 'GEN-SOLAR'!$D$51:$AW$51), 0), IF($B13='Project List References'!$B$5, _xlfn.IFNA(_xlfn.XLOOKUP(K$2-$C13, 'GEN-BESS'!$D$7:$AW$7, 'GEN-BESS'!$D$51:$AW$51), 0), IF($B13='Project List References'!$B$6, _xlfn.IFNA(_xlfn.XLOOKUP(K$2-$C13, 'GEN-CARBON'!$D$7:$AW$7, 'GEN-CARBON'!$D$51:$AW$51), 0), IF($B13='Project List References'!$B$7, _xlfn.IFNA(_xlfn.XLOOKUP(K$2-$C13, 'SENS Coal'!$D$7:$AW$7, 'SENS Coal'!$D$51:$AW$51), 0), IF($B13='Project List References'!$B$8, _xlfn.IFNA(_xlfn.XLOOKUP(K$2-$C13,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L13" s="743" t="e">
        <f>IF($B13='Project List References'!$B$3, _xlfn.IFNA(_xlfn.XLOOKUP(L$2-$C13, 'GEN-CCGT'!$D$7:$AW$7, 'GEN-CCGT'!$D$51:$AW$51), 0), IF($B13='Project List References'!$B$4, _xlfn.IFNA(_xlfn.XLOOKUP(L$2-$C13, 'GEN-SOLAR'!$D$7:$AW$7, 'GEN-SOLAR'!$D$51:$AW$51), 0), IF($B13='Project List References'!$B$5, _xlfn.IFNA(_xlfn.XLOOKUP(L$2-$C13, 'GEN-BESS'!$D$7:$AW$7, 'GEN-BESS'!$D$51:$AW$51), 0), IF($B13='Project List References'!$B$6, _xlfn.IFNA(_xlfn.XLOOKUP(L$2-$C13, 'GEN-CARBON'!$D$7:$AW$7, 'GEN-CARBON'!$D$51:$AW$51), 0), IF($B13='Project List References'!$B$7, _xlfn.IFNA(_xlfn.XLOOKUP(L$2-$C13, 'SENS Coal'!$D$7:$AW$7, 'SENS Coal'!$D$51:$AW$51), 0), IF($B13='Project List References'!$B$8, _xlfn.IFNA(_xlfn.XLOOKUP(L$2-$C13,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M13" s="743" t="e">
        <f>IF($B13='Project List References'!$B$3, _xlfn.IFNA(_xlfn.XLOOKUP(M$2-$C13, 'GEN-CCGT'!$D$7:$AW$7, 'GEN-CCGT'!$D$51:$AW$51), 0), IF($B13='Project List References'!$B$4, _xlfn.IFNA(_xlfn.XLOOKUP(M$2-$C13, 'GEN-SOLAR'!$D$7:$AW$7, 'GEN-SOLAR'!$D$51:$AW$51), 0), IF($B13='Project List References'!$B$5, _xlfn.IFNA(_xlfn.XLOOKUP(M$2-$C13, 'GEN-BESS'!$D$7:$AW$7, 'GEN-BESS'!$D$51:$AW$51), 0), IF($B13='Project List References'!$B$6, _xlfn.IFNA(_xlfn.XLOOKUP(M$2-$C13, 'GEN-CARBON'!$D$7:$AW$7, 'GEN-CARBON'!$D$51:$AW$51), 0), IF($B13='Project List References'!$B$7, _xlfn.IFNA(_xlfn.XLOOKUP(M$2-$C13, 'SENS Coal'!$D$7:$AW$7, 'SENS Coal'!$D$51:$AW$51), 0), IF($B13='Project List References'!$B$8, _xlfn.IFNA(_xlfn.XLOOKUP(M$2-$C13,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N13" s="743" t="e">
        <f>IF($B13='Project List References'!$B$3, _xlfn.IFNA(_xlfn.XLOOKUP(N$2-$C13, 'GEN-CCGT'!$D$7:$AW$7, 'GEN-CCGT'!$D$51:$AW$51), 0), IF($B13='Project List References'!$B$4, _xlfn.IFNA(_xlfn.XLOOKUP(N$2-$C13, 'GEN-SOLAR'!$D$7:$AW$7, 'GEN-SOLAR'!$D$51:$AW$51), 0), IF($B13='Project List References'!$B$5, _xlfn.IFNA(_xlfn.XLOOKUP(N$2-$C13, 'GEN-BESS'!$D$7:$AW$7, 'GEN-BESS'!$D$51:$AW$51), 0), IF($B13='Project List References'!$B$6, _xlfn.IFNA(_xlfn.XLOOKUP(N$2-$C13, 'GEN-CARBON'!$D$7:$AW$7, 'GEN-CARBON'!$D$51:$AW$51), 0), IF($B13='Project List References'!$B$7, _xlfn.IFNA(_xlfn.XLOOKUP(N$2-$C13, 'SENS Coal'!$D$7:$AW$7, 'SENS Coal'!$D$51:$AW$51), 0), IF($B13='Project List References'!$B$8, _xlfn.IFNA(_xlfn.XLOOKUP(N$2-$C13,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O13" s="743" t="e">
        <f>IF($B13='Project List References'!$B$3, _xlfn.IFNA(_xlfn.XLOOKUP(O$2-$C13, 'GEN-CCGT'!$D$7:$AW$7, 'GEN-CCGT'!$D$51:$AW$51), 0), IF($B13='Project List References'!$B$4, _xlfn.IFNA(_xlfn.XLOOKUP(O$2-$C13, 'GEN-SOLAR'!$D$7:$AW$7, 'GEN-SOLAR'!$D$51:$AW$51), 0), IF($B13='Project List References'!$B$5, _xlfn.IFNA(_xlfn.XLOOKUP(O$2-$C13, 'GEN-BESS'!$D$7:$AW$7, 'GEN-BESS'!$D$51:$AW$51), 0), IF($B13='Project List References'!$B$6, _xlfn.IFNA(_xlfn.XLOOKUP(O$2-$C13, 'GEN-CARBON'!$D$7:$AW$7, 'GEN-CARBON'!$D$51:$AW$51), 0), IF($B13='Project List References'!$B$7, _xlfn.IFNA(_xlfn.XLOOKUP(O$2-$C13, 'SENS Coal'!$D$7:$AW$7, 'SENS Coal'!$D$51:$AW$51), 0), IF($B13='Project List References'!$B$8, _xlfn.IFNA(_xlfn.XLOOKUP(O$2-$C13,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P13" s="743" t="e">
        <f>IF($B13='Project List References'!$B$3, _xlfn.IFNA(_xlfn.XLOOKUP(P$2-$C13, 'GEN-CCGT'!$D$7:$AW$7, 'GEN-CCGT'!$D$51:$AW$51), 0), IF($B13='Project List References'!$B$4, _xlfn.IFNA(_xlfn.XLOOKUP(P$2-$C13, 'GEN-SOLAR'!$D$7:$AW$7, 'GEN-SOLAR'!$D$51:$AW$51), 0), IF($B13='Project List References'!$B$5, _xlfn.IFNA(_xlfn.XLOOKUP(P$2-$C13, 'GEN-BESS'!$D$7:$AW$7, 'GEN-BESS'!$D$51:$AW$51), 0), IF($B13='Project List References'!$B$6, _xlfn.IFNA(_xlfn.XLOOKUP(P$2-$C13, 'GEN-CARBON'!$D$7:$AW$7, 'GEN-CARBON'!$D$51:$AW$51), 0), IF($B13='Project List References'!$B$7, _xlfn.IFNA(_xlfn.XLOOKUP(P$2-$C13, 'SENS Coal'!$D$7:$AW$7, 'SENS Coal'!$D$51:$AW$51), 0), IF($B13='Project List References'!$B$8, _xlfn.IFNA(_xlfn.XLOOKUP(P$2-$C13,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Q13" s="743" t="e">
        <f>IF($B13='Project List References'!$B$3, _xlfn.IFNA(_xlfn.XLOOKUP(Q$2-$C13, 'GEN-CCGT'!$D$7:$AW$7, 'GEN-CCGT'!$D$51:$AW$51), 0), IF($B13='Project List References'!$B$4, _xlfn.IFNA(_xlfn.XLOOKUP(Q$2-$C13, 'GEN-SOLAR'!$D$7:$AW$7, 'GEN-SOLAR'!$D$51:$AW$51), 0), IF($B13='Project List References'!$B$5, _xlfn.IFNA(_xlfn.XLOOKUP(Q$2-$C13, 'GEN-BESS'!$D$7:$AW$7, 'GEN-BESS'!$D$51:$AW$51), 0), IF($B13='Project List References'!$B$6, _xlfn.IFNA(_xlfn.XLOOKUP(Q$2-$C13, 'GEN-CARBON'!$D$7:$AW$7, 'GEN-CARBON'!$D$51:$AW$51), 0), IF($B13='Project List References'!$B$7, _xlfn.IFNA(_xlfn.XLOOKUP(Q$2-$C13, 'SENS Coal'!$D$7:$AW$7, 'SENS Coal'!$D$51:$AW$51), 0), IF($B13='Project List References'!$B$8, _xlfn.IFNA(_xlfn.XLOOKUP(Q$2-$C13,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R13" s="743" t="e">
        <f>IF($B13='Project List References'!$B$3, _xlfn.IFNA(_xlfn.XLOOKUP(R$2-$C13, 'GEN-CCGT'!$D$7:$AW$7, 'GEN-CCGT'!$D$51:$AW$51), 0), IF($B13='Project List References'!$B$4, _xlfn.IFNA(_xlfn.XLOOKUP(R$2-$C13, 'GEN-SOLAR'!$D$7:$AW$7, 'GEN-SOLAR'!$D$51:$AW$51), 0), IF($B13='Project List References'!$B$5, _xlfn.IFNA(_xlfn.XLOOKUP(R$2-$C13, 'GEN-BESS'!$D$7:$AW$7, 'GEN-BESS'!$D$51:$AW$51), 0), IF($B13='Project List References'!$B$6, _xlfn.IFNA(_xlfn.XLOOKUP(R$2-$C13, 'GEN-CARBON'!$D$7:$AW$7, 'GEN-CARBON'!$D$51:$AW$51), 0), IF($B13='Project List References'!$B$7, _xlfn.IFNA(_xlfn.XLOOKUP(R$2-$C13, 'SENS Coal'!$D$7:$AW$7, 'SENS Coal'!$D$51:$AW$51), 0), IF($B13='Project List References'!$B$8, _xlfn.IFNA(_xlfn.XLOOKUP(R$2-$C13,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S13" s="743" t="e">
        <f>IF($B13='Project List References'!$B$3, _xlfn.IFNA(_xlfn.XLOOKUP(S$2-$C13, 'GEN-CCGT'!$D$7:$AW$7, 'GEN-CCGT'!$D$51:$AW$51), 0), IF($B13='Project List References'!$B$4, _xlfn.IFNA(_xlfn.XLOOKUP(S$2-$C13, 'GEN-SOLAR'!$D$7:$AW$7, 'GEN-SOLAR'!$D$51:$AW$51), 0), IF($B13='Project List References'!$B$5, _xlfn.IFNA(_xlfn.XLOOKUP(S$2-$C13, 'GEN-BESS'!$D$7:$AW$7, 'GEN-BESS'!$D$51:$AW$51), 0), IF($B13='Project List References'!$B$6, _xlfn.IFNA(_xlfn.XLOOKUP(S$2-$C13, 'GEN-CARBON'!$D$7:$AW$7, 'GEN-CARBON'!$D$51:$AW$51), 0), IF($B13='Project List References'!$B$7, _xlfn.IFNA(_xlfn.XLOOKUP(S$2-$C13, 'SENS Coal'!$D$7:$AW$7, 'SENS Coal'!$D$51:$AW$51), 0), IF($B13='Project List References'!$B$8, _xlfn.IFNA(_xlfn.XLOOKUP(S$2-$C13,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T13" s="743" t="e">
        <f>IF($B13='Project List References'!$B$3, _xlfn.IFNA(_xlfn.XLOOKUP(T$2-$C13, 'GEN-CCGT'!$D$7:$AW$7, 'GEN-CCGT'!$D$51:$AW$51), 0), IF($B13='Project List References'!$B$4, _xlfn.IFNA(_xlfn.XLOOKUP(T$2-$C13, 'GEN-SOLAR'!$D$7:$AW$7, 'GEN-SOLAR'!$D$51:$AW$51), 0), IF($B13='Project List References'!$B$5, _xlfn.IFNA(_xlfn.XLOOKUP(T$2-$C13, 'GEN-BESS'!$D$7:$AW$7, 'GEN-BESS'!$D$51:$AW$51), 0), IF($B13='Project List References'!$B$6, _xlfn.IFNA(_xlfn.XLOOKUP(T$2-$C13, 'GEN-CARBON'!$D$7:$AW$7, 'GEN-CARBON'!$D$51:$AW$51), 0), IF($B13='Project List References'!$B$7, _xlfn.IFNA(_xlfn.XLOOKUP(T$2-$C13, 'SENS Coal'!$D$7:$AW$7, 'SENS Coal'!$D$51:$AW$51), 0), IF($B13='Project List References'!$B$8, _xlfn.IFNA(_xlfn.XLOOKUP(T$2-$C13, 'SENS Tires'!$D$7:$AW$7, 'SENS Tires'!$D$51:$AW$51), 0)))))))/_xlfn.XLOOKUP($B13,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</row>
    <row r="14" spans="1:111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_xlfn.XLOOKUP('Project OPEX'!A14, 'Project Master Sheet'!A:A, 'Project Master Sheet'!I:I)</f>
        <v>#N/A</v>
      </c>
      <c r="E14" s="743" t="e">
        <f>IF($B14='Project List References'!$B$3, _xlfn.IFNA(_xlfn.XLOOKUP(E$2-$C14, 'GEN-CCGT'!$D$7:$AW$7, 'GEN-CCGT'!$D$51:$AW$51), 0), IF($B14='Project List References'!$B$4, _xlfn.IFNA(_xlfn.XLOOKUP(E$2-$C14, 'GEN-SOLAR'!$D$7:$AW$7, 'GEN-SOLAR'!$D$51:$AW$51), 0), IF($B14='Project List References'!$B$5, _xlfn.IFNA(_xlfn.XLOOKUP(E$2-$C14, 'GEN-BESS'!$D$7:$AW$7, 'GEN-BESS'!$D$51:$AW$51), 0), IF($B14='Project List References'!$B$6, _xlfn.IFNA(_xlfn.XLOOKUP(E$2-$C14, 'GEN-CARBON'!$D$7:$AW$7, 'GEN-CARBON'!$D$51:$AW$51), 0), IF($B14='Project List References'!$B$7, _xlfn.IFNA(_xlfn.XLOOKUP(E$2-$C14, 'SENS Coal'!$D$7:$AW$7, 'SENS Coal'!$D$51:$AW$51), 0), IF($B14='Project List References'!$B$8, _xlfn.IFNA(_xlfn.XLOOKUP(E$2-$C14,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F14" s="743" t="e">
        <f>IF($B14='Project List References'!$B$3, _xlfn.IFNA(_xlfn.XLOOKUP(F$2-$C14, 'GEN-CCGT'!$D$7:$AW$7, 'GEN-CCGT'!$D$51:$AW$51), 0), IF($B14='Project List References'!$B$4, _xlfn.IFNA(_xlfn.XLOOKUP(F$2-$C14, 'GEN-SOLAR'!$D$7:$AW$7, 'GEN-SOLAR'!$D$51:$AW$51), 0), IF($B14='Project List References'!$B$5, _xlfn.IFNA(_xlfn.XLOOKUP(F$2-$C14, 'GEN-BESS'!$D$7:$AW$7, 'GEN-BESS'!$D$51:$AW$51), 0), IF($B14='Project List References'!$B$6, _xlfn.IFNA(_xlfn.XLOOKUP(F$2-$C14, 'GEN-CARBON'!$D$7:$AW$7, 'GEN-CARBON'!$D$51:$AW$51), 0), IF($B14='Project List References'!$B$7, _xlfn.IFNA(_xlfn.XLOOKUP(F$2-$C14, 'SENS Coal'!$D$7:$AW$7, 'SENS Coal'!$D$51:$AW$51), 0), IF($B14='Project List References'!$B$8, _xlfn.IFNA(_xlfn.XLOOKUP(F$2-$C14,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G14" s="743" t="e">
        <f>IF($B14='Project List References'!$B$3, _xlfn.IFNA(_xlfn.XLOOKUP(G$2-$C14, 'GEN-CCGT'!$D$7:$AW$7, 'GEN-CCGT'!$D$51:$AW$51), 0), IF($B14='Project List References'!$B$4, _xlfn.IFNA(_xlfn.XLOOKUP(G$2-$C14, 'GEN-SOLAR'!$D$7:$AW$7, 'GEN-SOLAR'!$D$51:$AW$51), 0), IF($B14='Project List References'!$B$5, _xlfn.IFNA(_xlfn.XLOOKUP(G$2-$C14, 'GEN-BESS'!$D$7:$AW$7, 'GEN-BESS'!$D$51:$AW$51), 0), IF($B14='Project List References'!$B$6, _xlfn.IFNA(_xlfn.XLOOKUP(G$2-$C14, 'GEN-CARBON'!$D$7:$AW$7, 'GEN-CARBON'!$D$51:$AW$51), 0), IF($B14='Project List References'!$B$7, _xlfn.IFNA(_xlfn.XLOOKUP(G$2-$C14, 'SENS Coal'!$D$7:$AW$7, 'SENS Coal'!$D$51:$AW$51), 0), IF($B14='Project List References'!$B$8, _xlfn.IFNA(_xlfn.XLOOKUP(G$2-$C14,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H14" s="743" t="e">
        <f>IF($B14='Project List References'!$B$3, _xlfn.IFNA(_xlfn.XLOOKUP(H$2-$C14, 'GEN-CCGT'!$D$7:$AW$7, 'GEN-CCGT'!$D$51:$AW$51), 0), IF($B14='Project List References'!$B$4, _xlfn.IFNA(_xlfn.XLOOKUP(H$2-$C14, 'GEN-SOLAR'!$D$7:$AW$7, 'GEN-SOLAR'!$D$51:$AW$51), 0), IF($B14='Project List References'!$B$5, _xlfn.IFNA(_xlfn.XLOOKUP(H$2-$C14, 'GEN-BESS'!$D$7:$AW$7, 'GEN-BESS'!$D$51:$AW$51), 0), IF($B14='Project List References'!$B$6, _xlfn.IFNA(_xlfn.XLOOKUP(H$2-$C14, 'GEN-CARBON'!$D$7:$AW$7, 'GEN-CARBON'!$D$51:$AW$51), 0), IF($B14='Project List References'!$B$7, _xlfn.IFNA(_xlfn.XLOOKUP(H$2-$C14, 'SENS Coal'!$D$7:$AW$7, 'SENS Coal'!$D$51:$AW$51), 0), IF($B14='Project List References'!$B$8, _xlfn.IFNA(_xlfn.XLOOKUP(H$2-$C14,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I14" s="743" t="e">
        <f>IF($B14='Project List References'!$B$3, _xlfn.IFNA(_xlfn.XLOOKUP(I$2-$C14, 'GEN-CCGT'!$D$7:$AW$7, 'GEN-CCGT'!$D$51:$AW$51), 0), IF($B14='Project List References'!$B$4, _xlfn.IFNA(_xlfn.XLOOKUP(I$2-$C14, 'GEN-SOLAR'!$D$7:$AW$7, 'GEN-SOLAR'!$D$51:$AW$51), 0), IF($B14='Project List References'!$B$5, _xlfn.IFNA(_xlfn.XLOOKUP(I$2-$C14, 'GEN-BESS'!$D$7:$AW$7, 'GEN-BESS'!$D$51:$AW$51), 0), IF($B14='Project List References'!$B$6, _xlfn.IFNA(_xlfn.XLOOKUP(I$2-$C14, 'GEN-CARBON'!$D$7:$AW$7, 'GEN-CARBON'!$D$51:$AW$51), 0), IF($B14='Project List References'!$B$7, _xlfn.IFNA(_xlfn.XLOOKUP(I$2-$C14, 'SENS Coal'!$D$7:$AW$7, 'SENS Coal'!$D$51:$AW$51), 0), IF($B14='Project List References'!$B$8, _xlfn.IFNA(_xlfn.XLOOKUP(I$2-$C14,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J14" s="743" t="e">
        <f>IF($B14='Project List References'!$B$3, _xlfn.IFNA(_xlfn.XLOOKUP(J$2-$C14, 'GEN-CCGT'!$D$7:$AW$7, 'GEN-CCGT'!$D$51:$AW$51), 0), IF($B14='Project List References'!$B$4, _xlfn.IFNA(_xlfn.XLOOKUP(J$2-$C14, 'GEN-SOLAR'!$D$7:$AW$7, 'GEN-SOLAR'!$D$51:$AW$51), 0), IF($B14='Project List References'!$B$5, _xlfn.IFNA(_xlfn.XLOOKUP(J$2-$C14, 'GEN-BESS'!$D$7:$AW$7, 'GEN-BESS'!$D$51:$AW$51), 0), IF($B14='Project List References'!$B$6, _xlfn.IFNA(_xlfn.XLOOKUP(J$2-$C14, 'GEN-CARBON'!$D$7:$AW$7, 'GEN-CARBON'!$D$51:$AW$51), 0), IF($B14='Project List References'!$B$7, _xlfn.IFNA(_xlfn.XLOOKUP(J$2-$C14, 'SENS Coal'!$D$7:$AW$7, 'SENS Coal'!$D$51:$AW$51), 0), IF($B14='Project List References'!$B$8, _xlfn.IFNA(_xlfn.XLOOKUP(J$2-$C14,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K14" s="743" t="e">
        <f>IF($B14='Project List References'!$B$3, _xlfn.IFNA(_xlfn.XLOOKUP(K$2-$C14, 'GEN-CCGT'!$D$7:$AW$7, 'GEN-CCGT'!$D$51:$AW$51), 0), IF($B14='Project List References'!$B$4, _xlfn.IFNA(_xlfn.XLOOKUP(K$2-$C14, 'GEN-SOLAR'!$D$7:$AW$7, 'GEN-SOLAR'!$D$51:$AW$51), 0), IF($B14='Project List References'!$B$5, _xlfn.IFNA(_xlfn.XLOOKUP(K$2-$C14, 'GEN-BESS'!$D$7:$AW$7, 'GEN-BESS'!$D$51:$AW$51), 0), IF($B14='Project List References'!$B$6, _xlfn.IFNA(_xlfn.XLOOKUP(K$2-$C14, 'GEN-CARBON'!$D$7:$AW$7, 'GEN-CARBON'!$D$51:$AW$51), 0), IF($B14='Project List References'!$B$7, _xlfn.IFNA(_xlfn.XLOOKUP(K$2-$C14, 'SENS Coal'!$D$7:$AW$7, 'SENS Coal'!$D$51:$AW$51), 0), IF($B14='Project List References'!$B$8, _xlfn.IFNA(_xlfn.XLOOKUP(K$2-$C14,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L14" s="743" t="e">
        <f>IF($B14='Project List References'!$B$3, _xlfn.IFNA(_xlfn.XLOOKUP(L$2-$C14, 'GEN-CCGT'!$D$7:$AW$7, 'GEN-CCGT'!$D$51:$AW$51), 0), IF($B14='Project List References'!$B$4, _xlfn.IFNA(_xlfn.XLOOKUP(L$2-$C14, 'GEN-SOLAR'!$D$7:$AW$7, 'GEN-SOLAR'!$D$51:$AW$51), 0), IF($B14='Project List References'!$B$5, _xlfn.IFNA(_xlfn.XLOOKUP(L$2-$C14, 'GEN-BESS'!$D$7:$AW$7, 'GEN-BESS'!$D$51:$AW$51), 0), IF($B14='Project List References'!$B$6, _xlfn.IFNA(_xlfn.XLOOKUP(L$2-$C14, 'GEN-CARBON'!$D$7:$AW$7, 'GEN-CARBON'!$D$51:$AW$51), 0), IF($B14='Project List References'!$B$7, _xlfn.IFNA(_xlfn.XLOOKUP(L$2-$C14, 'SENS Coal'!$D$7:$AW$7, 'SENS Coal'!$D$51:$AW$51), 0), IF($B14='Project List References'!$B$8, _xlfn.IFNA(_xlfn.XLOOKUP(L$2-$C14,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M14" s="743" t="e">
        <f>IF($B14='Project List References'!$B$3, _xlfn.IFNA(_xlfn.XLOOKUP(M$2-$C14, 'GEN-CCGT'!$D$7:$AW$7, 'GEN-CCGT'!$D$51:$AW$51), 0), IF($B14='Project List References'!$B$4, _xlfn.IFNA(_xlfn.XLOOKUP(M$2-$C14, 'GEN-SOLAR'!$D$7:$AW$7, 'GEN-SOLAR'!$D$51:$AW$51), 0), IF($B14='Project List References'!$B$5, _xlfn.IFNA(_xlfn.XLOOKUP(M$2-$C14, 'GEN-BESS'!$D$7:$AW$7, 'GEN-BESS'!$D$51:$AW$51), 0), IF($B14='Project List References'!$B$6, _xlfn.IFNA(_xlfn.XLOOKUP(M$2-$C14, 'GEN-CARBON'!$D$7:$AW$7, 'GEN-CARBON'!$D$51:$AW$51), 0), IF($B14='Project List References'!$B$7, _xlfn.IFNA(_xlfn.XLOOKUP(M$2-$C14, 'SENS Coal'!$D$7:$AW$7, 'SENS Coal'!$D$51:$AW$51), 0), IF($B14='Project List References'!$B$8, _xlfn.IFNA(_xlfn.XLOOKUP(M$2-$C14,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N14" s="743" t="e">
        <f>IF($B14='Project List References'!$B$3, _xlfn.IFNA(_xlfn.XLOOKUP(N$2-$C14, 'GEN-CCGT'!$D$7:$AW$7, 'GEN-CCGT'!$D$51:$AW$51), 0), IF($B14='Project List References'!$B$4, _xlfn.IFNA(_xlfn.XLOOKUP(N$2-$C14, 'GEN-SOLAR'!$D$7:$AW$7, 'GEN-SOLAR'!$D$51:$AW$51), 0), IF($B14='Project List References'!$B$5, _xlfn.IFNA(_xlfn.XLOOKUP(N$2-$C14, 'GEN-BESS'!$D$7:$AW$7, 'GEN-BESS'!$D$51:$AW$51), 0), IF($B14='Project List References'!$B$6, _xlfn.IFNA(_xlfn.XLOOKUP(N$2-$C14, 'GEN-CARBON'!$D$7:$AW$7, 'GEN-CARBON'!$D$51:$AW$51), 0), IF($B14='Project List References'!$B$7, _xlfn.IFNA(_xlfn.XLOOKUP(N$2-$C14, 'SENS Coal'!$D$7:$AW$7, 'SENS Coal'!$D$51:$AW$51), 0), IF($B14='Project List References'!$B$8, _xlfn.IFNA(_xlfn.XLOOKUP(N$2-$C14,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O14" s="743" t="e">
        <f>IF($B14='Project List References'!$B$3, _xlfn.IFNA(_xlfn.XLOOKUP(O$2-$C14, 'GEN-CCGT'!$D$7:$AW$7, 'GEN-CCGT'!$D$51:$AW$51), 0), IF($B14='Project List References'!$B$4, _xlfn.IFNA(_xlfn.XLOOKUP(O$2-$C14, 'GEN-SOLAR'!$D$7:$AW$7, 'GEN-SOLAR'!$D$51:$AW$51), 0), IF($B14='Project List References'!$B$5, _xlfn.IFNA(_xlfn.XLOOKUP(O$2-$C14, 'GEN-BESS'!$D$7:$AW$7, 'GEN-BESS'!$D$51:$AW$51), 0), IF($B14='Project List References'!$B$6, _xlfn.IFNA(_xlfn.XLOOKUP(O$2-$C14, 'GEN-CARBON'!$D$7:$AW$7, 'GEN-CARBON'!$D$51:$AW$51), 0), IF($B14='Project List References'!$B$7, _xlfn.IFNA(_xlfn.XLOOKUP(O$2-$C14, 'SENS Coal'!$D$7:$AW$7, 'SENS Coal'!$D$51:$AW$51), 0), IF($B14='Project List References'!$B$8, _xlfn.IFNA(_xlfn.XLOOKUP(O$2-$C14,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P14" s="743" t="e">
        <f>IF($B14='Project List References'!$B$3, _xlfn.IFNA(_xlfn.XLOOKUP(P$2-$C14, 'GEN-CCGT'!$D$7:$AW$7, 'GEN-CCGT'!$D$51:$AW$51), 0), IF($B14='Project List References'!$B$4, _xlfn.IFNA(_xlfn.XLOOKUP(P$2-$C14, 'GEN-SOLAR'!$D$7:$AW$7, 'GEN-SOLAR'!$D$51:$AW$51), 0), IF($B14='Project List References'!$B$5, _xlfn.IFNA(_xlfn.XLOOKUP(P$2-$C14, 'GEN-BESS'!$D$7:$AW$7, 'GEN-BESS'!$D$51:$AW$51), 0), IF($B14='Project List References'!$B$6, _xlfn.IFNA(_xlfn.XLOOKUP(P$2-$C14, 'GEN-CARBON'!$D$7:$AW$7, 'GEN-CARBON'!$D$51:$AW$51), 0), IF($B14='Project List References'!$B$7, _xlfn.IFNA(_xlfn.XLOOKUP(P$2-$C14, 'SENS Coal'!$D$7:$AW$7, 'SENS Coal'!$D$51:$AW$51), 0), IF($B14='Project List References'!$B$8, _xlfn.IFNA(_xlfn.XLOOKUP(P$2-$C14,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Q14" s="743" t="e">
        <f>IF($B14='Project List References'!$B$3, _xlfn.IFNA(_xlfn.XLOOKUP(Q$2-$C14, 'GEN-CCGT'!$D$7:$AW$7, 'GEN-CCGT'!$D$51:$AW$51), 0), IF($B14='Project List References'!$B$4, _xlfn.IFNA(_xlfn.XLOOKUP(Q$2-$C14, 'GEN-SOLAR'!$D$7:$AW$7, 'GEN-SOLAR'!$D$51:$AW$51), 0), IF($B14='Project List References'!$B$5, _xlfn.IFNA(_xlfn.XLOOKUP(Q$2-$C14, 'GEN-BESS'!$D$7:$AW$7, 'GEN-BESS'!$D$51:$AW$51), 0), IF($B14='Project List References'!$B$6, _xlfn.IFNA(_xlfn.XLOOKUP(Q$2-$C14, 'GEN-CARBON'!$D$7:$AW$7, 'GEN-CARBON'!$D$51:$AW$51), 0), IF($B14='Project List References'!$B$7, _xlfn.IFNA(_xlfn.XLOOKUP(Q$2-$C14, 'SENS Coal'!$D$7:$AW$7, 'SENS Coal'!$D$51:$AW$51), 0), IF($B14='Project List References'!$B$8, _xlfn.IFNA(_xlfn.XLOOKUP(Q$2-$C14,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R14" s="743" t="e">
        <f>IF($B14='Project List References'!$B$3, _xlfn.IFNA(_xlfn.XLOOKUP(R$2-$C14, 'GEN-CCGT'!$D$7:$AW$7, 'GEN-CCGT'!$D$51:$AW$51), 0), IF($B14='Project List References'!$B$4, _xlfn.IFNA(_xlfn.XLOOKUP(R$2-$C14, 'GEN-SOLAR'!$D$7:$AW$7, 'GEN-SOLAR'!$D$51:$AW$51), 0), IF($B14='Project List References'!$B$5, _xlfn.IFNA(_xlfn.XLOOKUP(R$2-$C14, 'GEN-BESS'!$D$7:$AW$7, 'GEN-BESS'!$D$51:$AW$51), 0), IF($B14='Project List References'!$B$6, _xlfn.IFNA(_xlfn.XLOOKUP(R$2-$C14, 'GEN-CARBON'!$D$7:$AW$7, 'GEN-CARBON'!$D$51:$AW$51), 0), IF($B14='Project List References'!$B$7, _xlfn.IFNA(_xlfn.XLOOKUP(R$2-$C14, 'SENS Coal'!$D$7:$AW$7, 'SENS Coal'!$D$51:$AW$51), 0), IF($B14='Project List References'!$B$8, _xlfn.IFNA(_xlfn.XLOOKUP(R$2-$C14,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S14" s="743" t="e">
        <f>IF($B14='Project List References'!$B$3, _xlfn.IFNA(_xlfn.XLOOKUP(S$2-$C14, 'GEN-CCGT'!$D$7:$AW$7, 'GEN-CCGT'!$D$51:$AW$51), 0), IF($B14='Project List References'!$B$4, _xlfn.IFNA(_xlfn.XLOOKUP(S$2-$C14, 'GEN-SOLAR'!$D$7:$AW$7, 'GEN-SOLAR'!$D$51:$AW$51), 0), IF($B14='Project List References'!$B$5, _xlfn.IFNA(_xlfn.XLOOKUP(S$2-$C14, 'GEN-BESS'!$D$7:$AW$7, 'GEN-BESS'!$D$51:$AW$51), 0), IF($B14='Project List References'!$B$6, _xlfn.IFNA(_xlfn.XLOOKUP(S$2-$C14, 'GEN-CARBON'!$D$7:$AW$7, 'GEN-CARBON'!$D$51:$AW$51), 0), IF($B14='Project List References'!$B$7, _xlfn.IFNA(_xlfn.XLOOKUP(S$2-$C14, 'SENS Coal'!$D$7:$AW$7, 'SENS Coal'!$D$51:$AW$51), 0), IF($B14='Project List References'!$B$8, _xlfn.IFNA(_xlfn.XLOOKUP(S$2-$C14,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T14" s="743" t="e">
        <f>IF($B14='Project List References'!$B$3, _xlfn.IFNA(_xlfn.XLOOKUP(T$2-$C14, 'GEN-CCGT'!$D$7:$AW$7, 'GEN-CCGT'!$D$51:$AW$51), 0), IF($B14='Project List References'!$B$4, _xlfn.IFNA(_xlfn.XLOOKUP(T$2-$C14, 'GEN-SOLAR'!$D$7:$AW$7, 'GEN-SOLAR'!$D$51:$AW$51), 0), IF($B14='Project List References'!$B$5, _xlfn.IFNA(_xlfn.XLOOKUP(T$2-$C14, 'GEN-BESS'!$D$7:$AW$7, 'GEN-BESS'!$D$51:$AW$51), 0), IF($B14='Project List References'!$B$6, _xlfn.IFNA(_xlfn.XLOOKUP(T$2-$C14, 'GEN-CARBON'!$D$7:$AW$7, 'GEN-CARBON'!$D$51:$AW$51), 0), IF($B14='Project List References'!$B$7, _xlfn.IFNA(_xlfn.XLOOKUP(T$2-$C14, 'SENS Coal'!$D$7:$AW$7, 'SENS Coal'!$D$51:$AW$51), 0), IF($B14='Project List References'!$B$8, _xlfn.IFNA(_xlfn.XLOOKUP(T$2-$C14, 'SENS Tires'!$D$7:$AW$7, 'SENS Tires'!$D$51:$AW$51), 0)))))))/_xlfn.XLOOKUP($B14,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</row>
    <row r="15" spans="1:111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_xlfn.XLOOKUP('Project OPEX'!A15, 'Project Master Sheet'!A:A, 'Project Master Sheet'!I:I)</f>
        <v>#N/A</v>
      </c>
      <c r="E15" s="743" t="e">
        <f>IF($B15='Project List References'!$B$3, _xlfn.IFNA(_xlfn.XLOOKUP(E$2-$C15, 'GEN-CCGT'!$D$7:$AW$7, 'GEN-CCGT'!$D$51:$AW$51), 0), IF($B15='Project List References'!$B$4, _xlfn.IFNA(_xlfn.XLOOKUP(E$2-$C15, 'GEN-SOLAR'!$D$7:$AW$7, 'GEN-SOLAR'!$D$51:$AW$51), 0), IF($B15='Project List References'!$B$5, _xlfn.IFNA(_xlfn.XLOOKUP(E$2-$C15, 'GEN-BESS'!$D$7:$AW$7, 'GEN-BESS'!$D$51:$AW$51), 0), IF($B15='Project List References'!$B$6, _xlfn.IFNA(_xlfn.XLOOKUP(E$2-$C15, 'GEN-CARBON'!$D$7:$AW$7, 'GEN-CARBON'!$D$51:$AW$51), 0), IF($B15='Project List References'!$B$7, _xlfn.IFNA(_xlfn.XLOOKUP(E$2-$C15, 'SENS Coal'!$D$7:$AW$7, 'SENS Coal'!$D$51:$AW$51), 0), IF($B15='Project List References'!$B$8, _xlfn.IFNA(_xlfn.XLOOKUP(E$2-$C15,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F15" s="743" t="e">
        <f>IF($B15='Project List References'!$B$3, _xlfn.IFNA(_xlfn.XLOOKUP(F$2-$C15, 'GEN-CCGT'!$D$7:$AW$7, 'GEN-CCGT'!$D$51:$AW$51), 0), IF($B15='Project List References'!$B$4, _xlfn.IFNA(_xlfn.XLOOKUP(F$2-$C15, 'GEN-SOLAR'!$D$7:$AW$7, 'GEN-SOLAR'!$D$51:$AW$51), 0), IF($B15='Project List References'!$B$5, _xlfn.IFNA(_xlfn.XLOOKUP(F$2-$C15, 'GEN-BESS'!$D$7:$AW$7, 'GEN-BESS'!$D$51:$AW$51), 0), IF($B15='Project List References'!$B$6, _xlfn.IFNA(_xlfn.XLOOKUP(F$2-$C15, 'GEN-CARBON'!$D$7:$AW$7, 'GEN-CARBON'!$D$51:$AW$51), 0), IF($B15='Project List References'!$B$7, _xlfn.IFNA(_xlfn.XLOOKUP(F$2-$C15, 'SENS Coal'!$D$7:$AW$7, 'SENS Coal'!$D$51:$AW$51), 0), IF($B15='Project List References'!$B$8, _xlfn.IFNA(_xlfn.XLOOKUP(F$2-$C15,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G15" s="743" t="e">
        <f>IF($B15='Project List References'!$B$3, _xlfn.IFNA(_xlfn.XLOOKUP(G$2-$C15, 'GEN-CCGT'!$D$7:$AW$7, 'GEN-CCGT'!$D$51:$AW$51), 0), IF($B15='Project List References'!$B$4, _xlfn.IFNA(_xlfn.XLOOKUP(G$2-$C15, 'GEN-SOLAR'!$D$7:$AW$7, 'GEN-SOLAR'!$D$51:$AW$51), 0), IF($B15='Project List References'!$B$5, _xlfn.IFNA(_xlfn.XLOOKUP(G$2-$C15, 'GEN-BESS'!$D$7:$AW$7, 'GEN-BESS'!$D$51:$AW$51), 0), IF($B15='Project List References'!$B$6, _xlfn.IFNA(_xlfn.XLOOKUP(G$2-$C15, 'GEN-CARBON'!$D$7:$AW$7, 'GEN-CARBON'!$D$51:$AW$51), 0), IF($B15='Project List References'!$B$7, _xlfn.IFNA(_xlfn.XLOOKUP(G$2-$C15, 'SENS Coal'!$D$7:$AW$7, 'SENS Coal'!$D$51:$AW$51), 0), IF($B15='Project List References'!$B$8, _xlfn.IFNA(_xlfn.XLOOKUP(G$2-$C15,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H15" s="743" t="e">
        <f>IF($B15='Project List References'!$B$3, _xlfn.IFNA(_xlfn.XLOOKUP(H$2-$C15, 'GEN-CCGT'!$D$7:$AW$7, 'GEN-CCGT'!$D$51:$AW$51), 0), IF($B15='Project List References'!$B$4, _xlfn.IFNA(_xlfn.XLOOKUP(H$2-$C15, 'GEN-SOLAR'!$D$7:$AW$7, 'GEN-SOLAR'!$D$51:$AW$51), 0), IF($B15='Project List References'!$B$5, _xlfn.IFNA(_xlfn.XLOOKUP(H$2-$C15, 'GEN-BESS'!$D$7:$AW$7, 'GEN-BESS'!$D$51:$AW$51), 0), IF($B15='Project List References'!$B$6, _xlfn.IFNA(_xlfn.XLOOKUP(H$2-$C15, 'GEN-CARBON'!$D$7:$AW$7, 'GEN-CARBON'!$D$51:$AW$51), 0), IF($B15='Project List References'!$B$7, _xlfn.IFNA(_xlfn.XLOOKUP(H$2-$C15, 'SENS Coal'!$D$7:$AW$7, 'SENS Coal'!$D$51:$AW$51), 0), IF($B15='Project List References'!$B$8, _xlfn.IFNA(_xlfn.XLOOKUP(H$2-$C15,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I15" s="743" t="e">
        <f>IF($B15='Project List References'!$B$3, _xlfn.IFNA(_xlfn.XLOOKUP(I$2-$C15, 'GEN-CCGT'!$D$7:$AW$7, 'GEN-CCGT'!$D$51:$AW$51), 0), IF($B15='Project List References'!$B$4, _xlfn.IFNA(_xlfn.XLOOKUP(I$2-$C15, 'GEN-SOLAR'!$D$7:$AW$7, 'GEN-SOLAR'!$D$51:$AW$51), 0), IF($B15='Project List References'!$B$5, _xlfn.IFNA(_xlfn.XLOOKUP(I$2-$C15, 'GEN-BESS'!$D$7:$AW$7, 'GEN-BESS'!$D$51:$AW$51), 0), IF($B15='Project List References'!$B$6, _xlfn.IFNA(_xlfn.XLOOKUP(I$2-$C15, 'GEN-CARBON'!$D$7:$AW$7, 'GEN-CARBON'!$D$51:$AW$51), 0), IF($B15='Project List References'!$B$7, _xlfn.IFNA(_xlfn.XLOOKUP(I$2-$C15, 'SENS Coal'!$D$7:$AW$7, 'SENS Coal'!$D$51:$AW$51), 0), IF($B15='Project List References'!$B$8, _xlfn.IFNA(_xlfn.XLOOKUP(I$2-$C15,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J15" s="743" t="e">
        <f>IF($B15='Project List References'!$B$3, _xlfn.IFNA(_xlfn.XLOOKUP(J$2-$C15, 'GEN-CCGT'!$D$7:$AW$7, 'GEN-CCGT'!$D$51:$AW$51), 0), IF($B15='Project List References'!$B$4, _xlfn.IFNA(_xlfn.XLOOKUP(J$2-$C15, 'GEN-SOLAR'!$D$7:$AW$7, 'GEN-SOLAR'!$D$51:$AW$51), 0), IF($B15='Project List References'!$B$5, _xlfn.IFNA(_xlfn.XLOOKUP(J$2-$C15, 'GEN-BESS'!$D$7:$AW$7, 'GEN-BESS'!$D$51:$AW$51), 0), IF($B15='Project List References'!$B$6, _xlfn.IFNA(_xlfn.XLOOKUP(J$2-$C15, 'GEN-CARBON'!$D$7:$AW$7, 'GEN-CARBON'!$D$51:$AW$51), 0), IF($B15='Project List References'!$B$7, _xlfn.IFNA(_xlfn.XLOOKUP(J$2-$C15, 'SENS Coal'!$D$7:$AW$7, 'SENS Coal'!$D$51:$AW$51), 0), IF($B15='Project List References'!$B$8, _xlfn.IFNA(_xlfn.XLOOKUP(J$2-$C15,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K15" s="743" t="e">
        <f>IF($B15='Project List References'!$B$3, _xlfn.IFNA(_xlfn.XLOOKUP(K$2-$C15, 'GEN-CCGT'!$D$7:$AW$7, 'GEN-CCGT'!$D$51:$AW$51), 0), IF($B15='Project List References'!$B$4, _xlfn.IFNA(_xlfn.XLOOKUP(K$2-$C15, 'GEN-SOLAR'!$D$7:$AW$7, 'GEN-SOLAR'!$D$51:$AW$51), 0), IF($B15='Project List References'!$B$5, _xlfn.IFNA(_xlfn.XLOOKUP(K$2-$C15, 'GEN-BESS'!$D$7:$AW$7, 'GEN-BESS'!$D$51:$AW$51), 0), IF($B15='Project List References'!$B$6, _xlfn.IFNA(_xlfn.XLOOKUP(K$2-$C15, 'GEN-CARBON'!$D$7:$AW$7, 'GEN-CARBON'!$D$51:$AW$51), 0), IF($B15='Project List References'!$B$7, _xlfn.IFNA(_xlfn.XLOOKUP(K$2-$C15, 'SENS Coal'!$D$7:$AW$7, 'SENS Coal'!$D$51:$AW$51), 0), IF($B15='Project List References'!$B$8, _xlfn.IFNA(_xlfn.XLOOKUP(K$2-$C15,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L15" s="743" t="e">
        <f>IF($B15='Project List References'!$B$3, _xlfn.IFNA(_xlfn.XLOOKUP(L$2-$C15, 'GEN-CCGT'!$D$7:$AW$7, 'GEN-CCGT'!$D$51:$AW$51), 0), IF($B15='Project List References'!$B$4, _xlfn.IFNA(_xlfn.XLOOKUP(L$2-$C15, 'GEN-SOLAR'!$D$7:$AW$7, 'GEN-SOLAR'!$D$51:$AW$51), 0), IF($B15='Project List References'!$B$5, _xlfn.IFNA(_xlfn.XLOOKUP(L$2-$C15, 'GEN-BESS'!$D$7:$AW$7, 'GEN-BESS'!$D$51:$AW$51), 0), IF($B15='Project List References'!$B$6, _xlfn.IFNA(_xlfn.XLOOKUP(L$2-$C15, 'GEN-CARBON'!$D$7:$AW$7, 'GEN-CARBON'!$D$51:$AW$51), 0), IF($B15='Project List References'!$B$7, _xlfn.IFNA(_xlfn.XLOOKUP(L$2-$C15, 'SENS Coal'!$D$7:$AW$7, 'SENS Coal'!$D$51:$AW$51), 0), IF($B15='Project List References'!$B$8, _xlfn.IFNA(_xlfn.XLOOKUP(L$2-$C15,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M15" s="743" t="e">
        <f>IF($B15='Project List References'!$B$3, _xlfn.IFNA(_xlfn.XLOOKUP(M$2-$C15, 'GEN-CCGT'!$D$7:$AW$7, 'GEN-CCGT'!$D$51:$AW$51), 0), IF($B15='Project List References'!$B$4, _xlfn.IFNA(_xlfn.XLOOKUP(M$2-$C15, 'GEN-SOLAR'!$D$7:$AW$7, 'GEN-SOLAR'!$D$51:$AW$51), 0), IF($B15='Project List References'!$B$5, _xlfn.IFNA(_xlfn.XLOOKUP(M$2-$C15, 'GEN-BESS'!$D$7:$AW$7, 'GEN-BESS'!$D$51:$AW$51), 0), IF($B15='Project List References'!$B$6, _xlfn.IFNA(_xlfn.XLOOKUP(M$2-$C15, 'GEN-CARBON'!$D$7:$AW$7, 'GEN-CARBON'!$D$51:$AW$51), 0), IF($B15='Project List References'!$B$7, _xlfn.IFNA(_xlfn.XLOOKUP(M$2-$C15, 'SENS Coal'!$D$7:$AW$7, 'SENS Coal'!$D$51:$AW$51), 0), IF($B15='Project List References'!$B$8, _xlfn.IFNA(_xlfn.XLOOKUP(M$2-$C15,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N15" s="743" t="e">
        <f>IF($B15='Project List References'!$B$3, _xlfn.IFNA(_xlfn.XLOOKUP(N$2-$C15, 'GEN-CCGT'!$D$7:$AW$7, 'GEN-CCGT'!$D$51:$AW$51), 0), IF($B15='Project List References'!$B$4, _xlfn.IFNA(_xlfn.XLOOKUP(N$2-$C15, 'GEN-SOLAR'!$D$7:$AW$7, 'GEN-SOLAR'!$D$51:$AW$51), 0), IF($B15='Project List References'!$B$5, _xlfn.IFNA(_xlfn.XLOOKUP(N$2-$C15, 'GEN-BESS'!$D$7:$AW$7, 'GEN-BESS'!$D$51:$AW$51), 0), IF($B15='Project List References'!$B$6, _xlfn.IFNA(_xlfn.XLOOKUP(N$2-$C15, 'GEN-CARBON'!$D$7:$AW$7, 'GEN-CARBON'!$D$51:$AW$51), 0), IF($B15='Project List References'!$B$7, _xlfn.IFNA(_xlfn.XLOOKUP(N$2-$C15, 'SENS Coal'!$D$7:$AW$7, 'SENS Coal'!$D$51:$AW$51), 0), IF($B15='Project List References'!$B$8, _xlfn.IFNA(_xlfn.XLOOKUP(N$2-$C15,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O15" s="743" t="e">
        <f>IF($B15='Project List References'!$B$3, _xlfn.IFNA(_xlfn.XLOOKUP(O$2-$C15, 'GEN-CCGT'!$D$7:$AW$7, 'GEN-CCGT'!$D$51:$AW$51), 0), IF($B15='Project List References'!$B$4, _xlfn.IFNA(_xlfn.XLOOKUP(O$2-$C15, 'GEN-SOLAR'!$D$7:$AW$7, 'GEN-SOLAR'!$D$51:$AW$51), 0), IF($B15='Project List References'!$B$5, _xlfn.IFNA(_xlfn.XLOOKUP(O$2-$C15, 'GEN-BESS'!$D$7:$AW$7, 'GEN-BESS'!$D$51:$AW$51), 0), IF($B15='Project List References'!$B$6, _xlfn.IFNA(_xlfn.XLOOKUP(O$2-$C15, 'GEN-CARBON'!$D$7:$AW$7, 'GEN-CARBON'!$D$51:$AW$51), 0), IF($B15='Project List References'!$B$7, _xlfn.IFNA(_xlfn.XLOOKUP(O$2-$C15, 'SENS Coal'!$D$7:$AW$7, 'SENS Coal'!$D$51:$AW$51), 0), IF($B15='Project List References'!$B$8, _xlfn.IFNA(_xlfn.XLOOKUP(O$2-$C15,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P15" s="743" t="e">
        <f>IF($B15='Project List References'!$B$3, _xlfn.IFNA(_xlfn.XLOOKUP(P$2-$C15, 'GEN-CCGT'!$D$7:$AW$7, 'GEN-CCGT'!$D$51:$AW$51), 0), IF($B15='Project List References'!$B$4, _xlfn.IFNA(_xlfn.XLOOKUP(P$2-$C15, 'GEN-SOLAR'!$D$7:$AW$7, 'GEN-SOLAR'!$D$51:$AW$51), 0), IF($B15='Project List References'!$B$5, _xlfn.IFNA(_xlfn.XLOOKUP(P$2-$C15, 'GEN-BESS'!$D$7:$AW$7, 'GEN-BESS'!$D$51:$AW$51), 0), IF($B15='Project List References'!$B$6, _xlfn.IFNA(_xlfn.XLOOKUP(P$2-$C15, 'GEN-CARBON'!$D$7:$AW$7, 'GEN-CARBON'!$D$51:$AW$51), 0), IF($B15='Project List References'!$B$7, _xlfn.IFNA(_xlfn.XLOOKUP(P$2-$C15, 'SENS Coal'!$D$7:$AW$7, 'SENS Coal'!$D$51:$AW$51), 0), IF($B15='Project List References'!$B$8, _xlfn.IFNA(_xlfn.XLOOKUP(P$2-$C15,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Q15" s="743" t="e">
        <f>IF($B15='Project List References'!$B$3, _xlfn.IFNA(_xlfn.XLOOKUP(Q$2-$C15, 'GEN-CCGT'!$D$7:$AW$7, 'GEN-CCGT'!$D$51:$AW$51), 0), IF($B15='Project List References'!$B$4, _xlfn.IFNA(_xlfn.XLOOKUP(Q$2-$C15, 'GEN-SOLAR'!$D$7:$AW$7, 'GEN-SOLAR'!$D$51:$AW$51), 0), IF($B15='Project List References'!$B$5, _xlfn.IFNA(_xlfn.XLOOKUP(Q$2-$C15, 'GEN-BESS'!$D$7:$AW$7, 'GEN-BESS'!$D$51:$AW$51), 0), IF($B15='Project List References'!$B$6, _xlfn.IFNA(_xlfn.XLOOKUP(Q$2-$C15, 'GEN-CARBON'!$D$7:$AW$7, 'GEN-CARBON'!$D$51:$AW$51), 0), IF($B15='Project List References'!$B$7, _xlfn.IFNA(_xlfn.XLOOKUP(Q$2-$C15, 'SENS Coal'!$D$7:$AW$7, 'SENS Coal'!$D$51:$AW$51), 0), IF($B15='Project List References'!$B$8, _xlfn.IFNA(_xlfn.XLOOKUP(Q$2-$C15,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R15" s="743" t="e">
        <f>IF($B15='Project List References'!$B$3, _xlfn.IFNA(_xlfn.XLOOKUP(R$2-$C15, 'GEN-CCGT'!$D$7:$AW$7, 'GEN-CCGT'!$D$51:$AW$51), 0), IF($B15='Project List References'!$B$4, _xlfn.IFNA(_xlfn.XLOOKUP(R$2-$C15, 'GEN-SOLAR'!$D$7:$AW$7, 'GEN-SOLAR'!$D$51:$AW$51), 0), IF($B15='Project List References'!$B$5, _xlfn.IFNA(_xlfn.XLOOKUP(R$2-$C15, 'GEN-BESS'!$D$7:$AW$7, 'GEN-BESS'!$D$51:$AW$51), 0), IF($B15='Project List References'!$B$6, _xlfn.IFNA(_xlfn.XLOOKUP(R$2-$C15, 'GEN-CARBON'!$D$7:$AW$7, 'GEN-CARBON'!$D$51:$AW$51), 0), IF($B15='Project List References'!$B$7, _xlfn.IFNA(_xlfn.XLOOKUP(R$2-$C15, 'SENS Coal'!$D$7:$AW$7, 'SENS Coal'!$D$51:$AW$51), 0), IF($B15='Project List References'!$B$8, _xlfn.IFNA(_xlfn.XLOOKUP(R$2-$C15,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S15" s="743" t="e">
        <f>IF($B15='Project List References'!$B$3, _xlfn.IFNA(_xlfn.XLOOKUP(S$2-$C15, 'GEN-CCGT'!$D$7:$AW$7, 'GEN-CCGT'!$D$51:$AW$51), 0), IF($B15='Project List References'!$B$4, _xlfn.IFNA(_xlfn.XLOOKUP(S$2-$C15, 'GEN-SOLAR'!$D$7:$AW$7, 'GEN-SOLAR'!$D$51:$AW$51), 0), IF($B15='Project List References'!$B$5, _xlfn.IFNA(_xlfn.XLOOKUP(S$2-$C15, 'GEN-BESS'!$D$7:$AW$7, 'GEN-BESS'!$D$51:$AW$51), 0), IF($B15='Project List References'!$B$6, _xlfn.IFNA(_xlfn.XLOOKUP(S$2-$C15, 'GEN-CARBON'!$D$7:$AW$7, 'GEN-CARBON'!$D$51:$AW$51), 0), IF($B15='Project List References'!$B$7, _xlfn.IFNA(_xlfn.XLOOKUP(S$2-$C15, 'SENS Coal'!$D$7:$AW$7, 'SENS Coal'!$D$51:$AW$51), 0), IF($B15='Project List References'!$B$8, _xlfn.IFNA(_xlfn.XLOOKUP(S$2-$C15,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T15" s="743" t="e">
        <f>IF($B15='Project List References'!$B$3, _xlfn.IFNA(_xlfn.XLOOKUP(T$2-$C15, 'GEN-CCGT'!$D$7:$AW$7, 'GEN-CCGT'!$D$51:$AW$51), 0), IF($B15='Project List References'!$B$4, _xlfn.IFNA(_xlfn.XLOOKUP(T$2-$C15, 'GEN-SOLAR'!$D$7:$AW$7, 'GEN-SOLAR'!$D$51:$AW$51), 0), IF($B15='Project List References'!$B$5, _xlfn.IFNA(_xlfn.XLOOKUP(T$2-$C15, 'GEN-BESS'!$D$7:$AW$7, 'GEN-BESS'!$D$51:$AW$51), 0), IF($B15='Project List References'!$B$6, _xlfn.IFNA(_xlfn.XLOOKUP(T$2-$C15, 'GEN-CARBON'!$D$7:$AW$7, 'GEN-CARBON'!$D$51:$AW$51), 0), IF($B15='Project List References'!$B$7, _xlfn.IFNA(_xlfn.XLOOKUP(T$2-$C15, 'SENS Coal'!$D$7:$AW$7, 'SENS Coal'!$D$51:$AW$51), 0), IF($B15='Project List References'!$B$8, _xlfn.IFNA(_xlfn.XLOOKUP(T$2-$C15, 'SENS Tires'!$D$7:$AW$7, 'SENS Tires'!$D$51:$AW$51), 0)))))))/_xlfn.XLOOKUP($B15,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</row>
    <row r="16" spans="1:111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_xlfn.XLOOKUP('Project OPEX'!A16, 'Project Master Sheet'!A:A, 'Project Master Sheet'!I:I)</f>
        <v>#N/A</v>
      </c>
      <c r="E16" s="743" t="e">
        <f>IF($B16='Project List References'!$B$3, _xlfn.IFNA(_xlfn.XLOOKUP(E$2-$C16, 'GEN-CCGT'!$D$7:$AW$7, 'GEN-CCGT'!$D$51:$AW$51), 0), IF($B16='Project List References'!$B$4, _xlfn.IFNA(_xlfn.XLOOKUP(E$2-$C16, 'GEN-SOLAR'!$D$7:$AW$7, 'GEN-SOLAR'!$D$51:$AW$51), 0), IF($B16='Project List References'!$B$5, _xlfn.IFNA(_xlfn.XLOOKUP(E$2-$C16, 'GEN-BESS'!$D$7:$AW$7, 'GEN-BESS'!$D$51:$AW$51), 0), IF($B16='Project List References'!$B$6, _xlfn.IFNA(_xlfn.XLOOKUP(E$2-$C16, 'GEN-CARBON'!$D$7:$AW$7, 'GEN-CARBON'!$D$51:$AW$51), 0), IF($B16='Project List References'!$B$7, _xlfn.IFNA(_xlfn.XLOOKUP(E$2-$C16, 'SENS Coal'!$D$7:$AW$7, 'SENS Coal'!$D$51:$AW$51), 0), IF($B16='Project List References'!$B$8, _xlfn.IFNA(_xlfn.XLOOKUP(E$2-$C16,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F16" s="743" t="e">
        <f>IF($B16='Project List References'!$B$3, _xlfn.IFNA(_xlfn.XLOOKUP(F$2-$C16, 'GEN-CCGT'!$D$7:$AW$7, 'GEN-CCGT'!$D$51:$AW$51), 0), IF($B16='Project List References'!$B$4, _xlfn.IFNA(_xlfn.XLOOKUP(F$2-$C16, 'GEN-SOLAR'!$D$7:$AW$7, 'GEN-SOLAR'!$D$51:$AW$51), 0), IF($B16='Project List References'!$B$5, _xlfn.IFNA(_xlfn.XLOOKUP(F$2-$C16, 'GEN-BESS'!$D$7:$AW$7, 'GEN-BESS'!$D$51:$AW$51), 0), IF($B16='Project List References'!$B$6, _xlfn.IFNA(_xlfn.XLOOKUP(F$2-$C16, 'GEN-CARBON'!$D$7:$AW$7, 'GEN-CARBON'!$D$51:$AW$51), 0), IF($B16='Project List References'!$B$7, _xlfn.IFNA(_xlfn.XLOOKUP(F$2-$C16, 'SENS Coal'!$D$7:$AW$7, 'SENS Coal'!$D$51:$AW$51), 0), IF($B16='Project List References'!$B$8, _xlfn.IFNA(_xlfn.XLOOKUP(F$2-$C16,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G16" s="743" t="e">
        <f>IF($B16='Project List References'!$B$3, _xlfn.IFNA(_xlfn.XLOOKUP(G$2-$C16, 'GEN-CCGT'!$D$7:$AW$7, 'GEN-CCGT'!$D$51:$AW$51), 0), IF($B16='Project List References'!$B$4, _xlfn.IFNA(_xlfn.XLOOKUP(G$2-$C16, 'GEN-SOLAR'!$D$7:$AW$7, 'GEN-SOLAR'!$D$51:$AW$51), 0), IF($B16='Project List References'!$B$5, _xlfn.IFNA(_xlfn.XLOOKUP(G$2-$C16, 'GEN-BESS'!$D$7:$AW$7, 'GEN-BESS'!$D$51:$AW$51), 0), IF($B16='Project List References'!$B$6, _xlfn.IFNA(_xlfn.XLOOKUP(G$2-$C16, 'GEN-CARBON'!$D$7:$AW$7, 'GEN-CARBON'!$D$51:$AW$51), 0), IF($B16='Project List References'!$B$7, _xlfn.IFNA(_xlfn.XLOOKUP(G$2-$C16, 'SENS Coal'!$D$7:$AW$7, 'SENS Coal'!$D$51:$AW$51), 0), IF($B16='Project List References'!$B$8, _xlfn.IFNA(_xlfn.XLOOKUP(G$2-$C16,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H16" s="743" t="e">
        <f>IF($B16='Project List References'!$B$3, _xlfn.IFNA(_xlfn.XLOOKUP(H$2-$C16, 'GEN-CCGT'!$D$7:$AW$7, 'GEN-CCGT'!$D$51:$AW$51), 0), IF($B16='Project List References'!$B$4, _xlfn.IFNA(_xlfn.XLOOKUP(H$2-$C16, 'GEN-SOLAR'!$D$7:$AW$7, 'GEN-SOLAR'!$D$51:$AW$51), 0), IF($B16='Project List References'!$B$5, _xlfn.IFNA(_xlfn.XLOOKUP(H$2-$C16, 'GEN-BESS'!$D$7:$AW$7, 'GEN-BESS'!$D$51:$AW$51), 0), IF($B16='Project List References'!$B$6, _xlfn.IFNA(_xlfn.XLOOKUP(H$2-$C16, 'GEN-CARBON'!$D$7:$AW$7, 'GEN-CARBON'!$D$51:$AW$51), 0), IF($B16='Project List References'!$B$7, _xlfn.IFNA(_xlfn.XLOOKUP(H$2-$C16, 'SENS Coal'!$D$7:$AW$7, 'SENS Coal'!$D$51:$AW$51), 0), IF($B16='Project List References'!$B$8, _xlfn.IFNA(_xlfn.XLOOKUP(H$2-$C16,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I16" s="743" t="e">
        <f>IF($B16='Project List References'!$B$3, _xlfn.IFNA(_xlfn.XLOOKUP(I$2-$C16, 'GEN-CCGT'!$D$7:$AW$7, 'GEN-CCGT'!$D$51:$AW$51), 0), IF($B16='Project List References'!$B$4, _xlfn.IFNA(_xlfn.XLOOKUP(I$2-$C16, 'GEN-SOLAR'!$D$7:$AW$7, 'GEN-SOLAR'!$D$51:$AW$51), 0), IF($B16='Project List References'!$B$5, _xlfn.IFNA(_xlfn.XLOOKUP(I$2-$C16, 'GEN-BESS'!$D$7:$AW$7, 'GEN-BESS'!$D$51:$AW$51), 0), IF($B16='Project List References'!$B$6, _xlfn.IFNA(_xlfn.XLOOKUP(I$2-$C16, 'GEN-CARBON'!$D$7:$AW$7, 'GEN-CARBON'!$D$51:$AW$51), 0), IF($B16='Project List References'!$B$7, _xlfn.IFNA(_xlfn.XLOOKUP(I$2-$C16, 'SENS Coal'!$D$7:$AW$7, 'SENS Coal'!$D$51:$AW$51), 0), IF($B16='Project List References'!$B$8, _xlfn.IFNA(_xlfn.XLOOKUP(I$2-$C16,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J16" s="743" t="e">
        <f>IF($B16='Project List References'!$B$3, _xlfn.IFNA(_xlfn.XLOOKUP(J$2-$C16, 'GEN-CCGT'!$D$7:$AW$7, 'GEN-CCGT'!$D$51:$AW$51), 0), IF($B16='Project List References'!$B$4, _xlfn.IFNA(_xlfn.XLOOKUP(J$2-$C16, 'GEN-SOLAR'!$D$7:$AW$7, 'GEN-SOLAR'!$D$51:$AW$51), 0), IF($B16='Project List References'!$B$5, _xlfn.IFNA(_xlfn.XLOOKUP(J$2-$C16, 'GEN-BESS'!$D$7:$AW$7, 'GEN-BESS'!$D$51:$AW$51), 0), IF($B16='Project List References'!$B$6, _xlfn.IFNA(_xlfn.XLOOKUP(J$2-$C16, 'GEN-CARBON'!$D$7:$AW$7, 'GEN-CARBON'!$D$51:$AW$51), 0), IF($B16='Project List References'!$B$7, _xlfn.IFNA(_xlfn.XLOOKUP(J$2-$C16, 'SENS Coal'!$D$7:$AW$7, 'SENS Coal'!$D$51:$AW$51), 0), IF($B16='Project List References'!$B$8, _xlfn.IFNA(_xlfn.XLOOKUP(J$2-$C16,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K16" s="743" t="e">
        <f>IF($B16='Project List References'!$B$3, _xlfn.IFNA(_xlfn.XLOOKUP(K$2-$C16, 'GEN-CCGT'!$D$7:$AW$7, 'GEN-CCGT'!$D$51:$AW$51), 0), IF($B16='Project List References'!$B$4, _xlfn.IFNA(_xlfn.XLOOKUP(K$2-$C16, 'GEN-SOLAR'!$D$7:$AW$7, 'GEN-SOLAR'!$D$51:$AW$51), 0), IF($B16='Project List References'!$B$5, _xlfn.IFNA(_xlfn.XLOOKUP(K$2-$C16, 'GEN-BESS'!$D$7:$AW$7, 'GEN-BESS'!$D$51:$AW$51), 0), IF($B16='Project List References'!$B$6, _xlfn.IFNA(_xlfn.XLOOKUP(K$2-$C16, 'GEN-CARBON'!$D$7:$AW$7, 'GEN-CARBON'!$D$51:$AW$51), 0), IF($B16='Project List References'!$B$7, _xlfn.IFNA(_xlfn.XLOOKUP(K$2-$C16, 'SENS Coal'!$D$7:$AW$7, 'SENS Coal'!$D$51:$AW$51), 0), IF($B16='Project List References'!$B$8, _xlfn.IFNA(_xlfn.XLOOKUP(K$2-$C16,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L16" s="743" t="e">
        <f>IF($B16='Project List References'!$B$3, _xlfn.IFNA(_xlfn.XLOOKUP(L$2-$C16, 'GEN-CCGT'!$D$7:$AW$7, 'GEN-CCGT'!$D$51:$AW$51), 0), IF($B16='Project List References'!$B$4, _xlfn.IFNA(_xlfn.XLOOKUP(L$2-$C16, 'GEN-SOLAR'!$D$7:$AW$7, 'GEN-SOLAR'!$D$51:$AW$51), 0), IF($B16='Project List References'!$B$5, _xlfn.IFNA(_xlfn.XLOOKUP(L$2-$C16, 'GEN-BESS'!$D$7:$AW$7, 'GEN-BESS'!$D$51:$AW$51), 0), IF($B16='Project List References'!$B$6, _xlfn.IFNA(_xlfn.XLOOKUP(L$2-$C16, 'GEN-CARBON'!$D$7:$AW$7, 'GEN-CARBON'!$D$51:$AW$51), 0), IF($B16='Project List References'!$B$7, _xlfn.IFNA(_xlfn.XLOOKUP(L$2-$C16, 'SENS Coal'!$D$7:$AW$7, 'SENS Coal'!$D$51:$AW$51), 0), IF($B16='Project List References'!$B$8, _xlfn.IFNA(_xlfn.XLOOKUP(L$2-$C16,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M16" s="743" t="e">
        <f>IF($B16='Project List References'!$B$3, _xlfn.IFNA(_xlfn.XLOOKUP(M$2-$C16, 'GEN-CCGT'!$D$7:$AW$7, 'GEN-CCGT'!$D$51:$AW$51), 0), IF($B16='Project List References'!$B$4, _xlfn.IFNA(_xlfn.XLOOKUP(M$2-$C16, 'GEN-SOLAR'!$D$7:$AW$7, 'GEN-SOLAR'!$D$51:$AW$51), 0), IF($B16='Project List References'!$B$5, _xlfn.IFNA(_xlfn.XLOOKUP(M$2-$C16, 'GEN-BESS'!$D$7:$AW$7, 'GEN-BESS'!$D$51:$AW$51), 0), IF($B16='Project List References'!$B$6, _xlfn.IFNA(_xlfn.XLOOKUP(M$2-$C16, 'GEN-CARBON'!$D$7:$AW$7, 'GEN-CARBON'!$D$51:$AW$51), 0), IF($B16='Project List References'!$B$7, _xlfn.IFNA(_xlfn.XLOOKUP(M$2-$C16, 'SENS Coal'!$D$7:$AW$7, 'SENS Coal'!$D$51:$AW$51), 0), IF($B16='Project List References'!$B$8, _xlfn.IFNA(_xlfn.XLOOKUP(M$2-$C16,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N16" s="743" t="e">
        <f>IF($B16='Project List References'!$B$3, _xlfn.IFNA(_xlfn.XLOOKUP(N$2-$C16, 'GEN-CCGT'!$D$7:$AW$7, 'GEN-CCGT'!$D$51:$AW$51), 0), IF($B16='Project List References'!$B$4, _xlfn.IFNA(_xlfn.XLOOKUP(N$2-$C16, 'GEN-SOLAR'!$D$7:$AW$7, 'GEN-SOLAR'!$D$51:$AW$51), 0), IF($B16='Project List References'!$B$5, _xlfn.IFNA(_xlfn.XLOOKUP(N$2-$C16, 'GEN-BESS'!$D$7:$AW$7, 'GEN-BESS'!$D$51:$AW$51), 0), IF($B16='Project List References'!$B$6, _xlfn.IFNA(_xlfn.XLOOKUP(N$2-$C16, 'GEN-CARBON'!$D$7:$AW$7, 'GEN-CARBON'!$D$51:$AW$51), 0), IF($B16='Project List References'!$B$7, _xlfn.IFNA(_xlfn.XLOOKUP(N$2-$C16, 'SENS Coal'!$D$7:$AW$7, 'SENS Coal'!$D$51:$AW$51), 0), IF($B16='Project List References'!$B$8, _xlfn.IFNA(_xlfn.XLOOKUP(N$2-$C16,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O16" s="743" t="e">
        <f>IF($B16='Project List References'!$B$3, _xlfn.IFNA(_xlfn.XLOOKUP(O$2-$C16, 'GEN-CCGT'!$D$7:$AW$7, 'GEN-CCGT'!$D$51:$AW$51), 0), IF($B16='Project List References'!$B$4, _xlfn.IFNA(_xlfn.XLOOKUP(O$2-$C16, 'GEN-SOLAR'!$D$7:$AW$7, 'GEN-SOLAR'!$D$51:$AW$51), 0), IF($B16='Project List References'!$B$5, _xlfn.IFNA(_xlfn.XLOOKUP(O$2-$C16, 'GEN-BESS'!$D$7:$AW$7, 'GEN-BESS'!$D$51:$AW$51), 0), IF($B16='Project List References'!$B$6, _xlfn.IFNA(_xlfn.XLOOKUP(O$2-$C16, 'GEN-CARBON'!$D$7:$AW$7, 'GEN-CARBON'!$D$51:$AW$51), 0), IF($B16='Project List References'!$B$7, _xlfn.IFNA(_xlfn.XLOOKUP(O$2-$C16, 'SENS Coal'!$D$7:$AW$7, 'SENS Coal'!$D$51:$AW$51), 0), IF($B16='Project List References'!$B$8, _xlfn.IFNA(_xlfn.XLOOKUP(O$2-$C16,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P16" s="743" t="e">
        <f>IF($B16='Project List References'!$B$3, _xlfn.IFNA(_xlfn.XLOOKUP(P$2-$C16, 'GEN-CCGT'!$D$7:$AW$7, 'GEN-CCGT'!$D$51:$AW$51), 0), IF($B16='Project List References'!$B$4, _xlfn.IFNA(_xlfn.XLOOKUP(P$2-$C16, 'GEN-SOLAR'!$D$7:$AW$7, 'GEN-SOLAR'!$D$51:$AW$51), 0), IF($B16='Project List References'!$B$5, _xlfn.IFNA(_xlfn.XLOOKUP(P$2-$C16, 'GEN-BESS'!$D$7:$AW$7, 'GEN-BESS'!$D$51:$AW$51), 0), IF($B16='Project List References'!$B$6, _xlfn.IFNA(_xlfn.XLOOKUP(P$2-$C16, 'GEN-CARBON'!$D$7:$AW$7, 'GEN-CARBON'!$D$51:$AW$51), 0), IF($B16='Project List References'!$B$7, _xlfn.IFNA(_xlfn.XLOOKUP(P$2-$C16, 'SENS Coal'!$D$7:$AW$7, 'SENS Coal'!$D$51:$AW$51), 0), IF($B16='Project List References'!$B$8, _xlfn.IFNA(_xlfn.XLOOKUP(P$2-$C16,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Q16" s="743" t="e">
        <f>IF($B16='Project List References'!$B$3, _xlfn.IFNA(_xlfn.XLOOKUP(Q$2-$C16, 'GEN-CCGT'!$D$7:$AW$7, 'GEN-CCGT'!$D$51:$AW$51), 0), IF($B16='Project List References'!$B$4, _xlfn.IFNA(_xlfn.XLOOKUP(Q$2-$C16, 'GEN-SOLAR'!$D$7:$AW$7, 'GEN-SOLAR'!$D$51:$AW$51), 0), IF($B16='Project List References'!$B$5, _xlfn.IFNA(_xlfn.XLOOKUP(Q$2-$C16, 'GEN-BESS'!$D$7:$AW$7, 'GEN-BESS'!$D$51:$AW$51), 0), IF($B16='Project List References'!$B$6, _xlfn.IFNA(_xlfn.XLOOKUP(Q$2-$C16, 'GEN-CARBON'!$D$7:$AW$7, 'GEN-CARBON'!$D$51:$AW$51), 0), IF($B16='Project List References'!$B$7, _xlfn.IFNA(_xlfn.XLOOKUP(Q$2-$C16, 'SENS Coal'!$D$7:$AW$7, 'SENS Coal'!$D$51:$AW$51), 0), IF($B16='Project List References'!$B$8, _xlfn.IFNA(_xlfn.XLOOKUP(Q$2-$C16,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R16" s="743" t="e">
        <f>IF($B16='Project List References'!$B$3, _xlfn.IFNA(_xlfn.XLOOKUP(R$2-$C16, 'GEN-CCGT'!$D$7:$AW$7, 'GEN-CCGT'!$D$51:$AW$51), 0), IF($B16='Project List References'!$B$4, _xlfn.IFNA(_xlfn.XLOOKUP(R$2-$C16, 'GEN-SOLAR'!$D$7:$AW$7, 'GEN-SOLAR'!$D$51:$AW$51), 0), IF($B16='Project List References'!$B$5, _xlfn.IFNA(_xlfn.XLOOKUP(R$2-$C16, 'GEN-BESS'!$D$7:$AW$7, 'GEN-BESS'!$D$51:$AW$51), 0), IF($B16='Project List References'!$B$6, _xlfn.IFNA(_xlfn.XLOOKUP(R$2-$C16, 'GEN-CARBON'!$D$7:$AW$7, 'GEN-CARBON'!$D$51:$AW$51), 0), IF($B16='Project List References'!$B$7, _xlfn.IFNA(_xlfn.XLOOKUP(R$2-$C16, 'SENS Coal'!$D$7:$AW$7, 'SENS Coal'!$D$51:$AW$51), 0), IF($B16='Project List References'!$B$8, _xlfn.IFNA(_xlfn.XLOOKUP(R$2-$C16,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S16" s="743" t="e">
        <f>IF($B16='Project List References'!$B$3, _xlfn.IFNA(_xlfn.XLOOKUP(S$2-$C16, 'GEN-CCGT'!$D$7:$AW$7, 'GEN-CCGT'!$D$51:$AW$51), 0), IF($B16='Project List References'!$B$4, _xlfn.IFNA(_xlfn.XLOOKUP(S$2-$C16, 'GEN-SOLAR'!$D$7:$AW$7, 'GEN-SOLAR'!$D$51:$AW$51), 0), IF($B16='Project List References'!$B$5, _xlfn.IFNA(_xlfn.XLOOKUP(S$2-$C16, 'GEN-BESS'!$D$7:$AW$7, 'GEN-BESS'!$D$51:$AW$51), 0), IF($B16='Project List References'!$B$6, _xlfn.IFNA(_xlfn.XLOOKUP(S$2-$C16, 'GEN-CARBON'!$D$7:$AW$7, 'GEN-CARBON'!$D$51:$AW$51), 0), IF($B16='Project List References'!$B$7, _xlfn.IFNA(_xlfn.XLOOKUP(S$2-$C16, 'SENS Coal'!$D$7:$AW$7, 'SENS Coal'!$D$51:$AW$51), 0), IF($B16='Project List References'!$B$8, _xlfn.IFNA(_xlfn.XLOOKUP(S$2-$C16,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T16" s="743" t="e">
        <f>IF($B16='Project List References'!$B$3, _xlfn.IFNA(_xlfn.XLOOKUP(T$2-$C16, 'GEN-CCGT'!$D$7:$AW$7, 'GEN-CCGT'!$D$51:$AW$51), 0), IF($B16='Project List References'!$B$4, _xlfn.IFNA(_xlfn.XLOOKUP(T$2-$C16, 'GEN-SOLAR'!$D$7:$AW$7, 'GEN-SOLAR'!$D$51:$AW$51), 0), IF($B16='Project List References'!$B$5, _xlfn.IFNA(_xlfn.XLOOKUP(T$2-$C16, 'GEN-BESS'!$D$7:$AW$7, 'GEN-BESS'!$D$51:$AW$51), 0), IF($B16='Project List References'!$B$6, _xlfn.IFNA(_xlfn.XLOOKUP(T$2-$C16, 'GEN-CARBON'!$D$7:$AW$7, 'GEN-CARBON'!$D$51:$AW$51), 0), IF($B16='Project List References'!$B$7, _xlfn.IFNA(_xlfn.XLOOKUP(T$2-$C16, 'SENS Coal'!$D$7:$AW$7, 'SENS Coal'!$D$51:$AW$51), 0), IF($B16='Project List References'!$B$8, _xlfn.IFNA(_xlfn.XLOOKUP(T$2-$C16, 'SENS Tires'!$D$7:$AW$7, 'SENS Tires'!$D$51:$AW$51), 0)))))))/_xlfn.XLOOKUP($B16,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_xlfn.XLOOKUP('Project OPEX'!A17, 'Project Master Sheet'!A:A, 'Project Master Sheet'!I:I)</f>
        <v>#N/A</v>
      </c>
      <c r="E17" s="743" t="e">
        <f>IF($B17='Project List References'!$B$3, _xlfn.IFNA(_xlfn.XLOOKUP(E$2-$C17, 'GEN-CCGT'!$D$7:$AW$7, 'GEN-CCGT'!$D$51:$AW$51), 0), IF($B17='Project List References'!$B$4, _xlfn.IFNA(_xlfn.XLOOKUP(E$2-$C17, 'GEN-SOLAR'!$D$7:$AW$7, 'GEN-SOLAR'!$D$51:$AW$51), 0), IF($B17='Project List References'!$B$5, _xlfn.IFNA(_xlfn.XLOOKUP(E$2-$C17, 'GEN-BESS'!$D$7:$AW$7, 'GEN-BESS'!$D$51:$AW$51), 0), IF($B17='Project List References'!$B$6, _xlfn.IFNA(_xlfn.XLOOKUP(E$2-$C17, 'GEN-CARBON'!$D$7:$AW$7, 'GEN-CARBON'!$D$51:$AW$51), 0), IF($B17='Project List References'!$B$7, _xlfn.IFNA(_xlfn.XLOOKUP(E$2-$C17, 'SENS Coal'!$D$7:$AW$7, 'SENS Coal'!$D$51:$AW$51), 0), IF($B17='Project List References'!$B$8, _xlfn.IFNA(_xlfn.XLOOKUP(E$2-$C17,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F17" s="743" t="e">
        <f>IF($B17='Project List References'!$B$3, _xlfn.IFNA(_xlfn.XLOOKUP(F$2-$C17, 'GEN-CCGT'!$D$7:$AW$7, 'GEN-CCGT'!$D$51:$AW$51), 0), IF($B17='Project List References'!$B$4, _xlfn.IFNA(_xlfn.XLOOKUP(F$2-$C17, 'GEN-SOLAR'!$D$7:$AW$7, 'GEN-SOLAR'!$D$51:$AW$51), 0), IF($B17='Project List References'!$B$5, _xlfn.IFNA(_xlfn.XLOOKUP(F$2-$C17, 'GEN-BESS'!$D$7:$AW$7, 'GEN-BESS'!$D$51:$AW$51), 0), IF($B17='Project List References'!$B$6, _xlfn.IFNA(_xlfn.XLOOKUP(F$2-$C17, 'GEN-CARBON'!$D$7:$AW$7, 'GEN-CARBON'!$D$51:$AW$51), 0), IF($B17='Project List References'!$B$7, _xlfn.IFNA(_xlfn.XLOOKUP(F$2-$C17, 'SENS Coal'!$D$7:$AW$7, 'SENS Coal'!$D$51:$AW$51), 0), IF($B17='Project List References'!$B$8, _xlfn.IFNA(_xlfn.XLOOKUP(F$2-$C17,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G17" s="743" t="e">
        <f>IF($B17='Project List References'!$B$3, _xlfn.IFNA(_xlfn.XLOOKUP(G$2-$C17, 'GEN-CCGT'!$D$7:$AW$7, 'GEN-CCGT'!$D$51:$AW$51), 0), IF($B17='Project List References'!$B$4, _xlfn.IFNA(_xlfn.XLOOKUP(G$2-$C17, 'GEN-SOLAR'!$D$7:$AW$7, 'GEN-SOLAR'!$D$51:$AW$51), 0), IF($B17='Project List References'!$B$5, _xlfn.IFNA(_xlfn.XLOOKUP(G$2-$C17, 'GEN-BESS'!$D$7:$AW$7, 'GEN-BESS'!$D$51:$AW$51), 0), IF($B17='Project List References'!$B$6, _xlfn.IFNA(_xlfn.XLOOKUP(G$2-$C17, 'GEN-CARBON'!$D$7:$AW$7, 'GEN-CARBON'!$D$51:$AW$51), 0), IF($B17='Project List References'!$B$7, _xlfn.IFNA(_xlfn.XLOOKUP(G$2-$C17, 'SENS Coal'!$D$7:$AW$7, 'SENS Coal'!$D$51:$AW$51), 0), IF($B17='Project List References'!$B$8, _xlfn.IFNA(_xlfn.XLOOKUP(G$2-$C17,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H17" s="743" t="e">
        <f>IF($B17='Project List References'!$B$3, _xlfn.IFNA(_xlfn.XLOOKUP(H$2-$C17, 'GEN-CCGT'!$D$7:$AW$7, 'GEN-CCGT'!$D$51:$AW$51), 0), IF($B17='Project List References'!$B$4, _xlfn.IFNA(_xlfn.XLOOKUP(H$2-$C17, 'GEN-SOLAR'!$D$7:$AW$7, 'GEN-SOLAR'!$D$51:$AW$51), 0), IF($B17='Project List References'!$B$5, _xlfn.IFNA(_xlfn.XLOOKUP(H$2-$C17, 'GEN-BESS'!$D$7:$AW$7, 'GEN-BESS'!$D$51:$AW$51), 0), IF($B17='Project List References'!$B$6, _xlfn.IFNA(_xlfn.XLOOKUP(H$2-$C17, 'GEN-CARBON'!$D$7:$AW$7, 'GEN-CARBON'!$D$51:$AW$51), 0), IF($B17='Project List References'!$B$7, _xlfn.IFNA(_xlfn.XLOOKUP(H$2-$C17, 'SENS Coal'!$D$7:$AW$7, 'SENS Coal'!$D$51:$AW$51), 0), IF($B17='Project List References'!$B$8, _xlfn.IFNA(_xlfn.XLOOKUP(H$2-$C17,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I17" s="743" t="e">
        <f>IF($B17='Project List References'!$B$3, _xlfn.IFNA(_xlfn.XLOOKUP(I$2-$C17, 'GEN-CCGT'!$D$7:$AW$7, 'GEN-CCGT'!$D$51:$AW$51), 0), IF($B17='Project List References'!$B$4, _xlfn.IFNA(_xlfn.XLOOKUP(I$2-$C17, 'GEN-SOLAR'!$D$7:$AW$7, 'GEN-SOLAR'!$D$51:$AW$51), 0), IF($B17='Project List References'!$B$5, _xlfn.IFNA(_xlfn.XLOOKUP(I$2-$C17, 'GEN-BESS'!$D$7:$AW$7, 'GEN-BESS'!$D$51:$AW$51), 0), IF($B17='Project List References'!$B$6, _xlfn.IFNA(_xlfn.XLOOKUP(I$2-$C17, 'GEN-CARBON'!$D$7:$AW$7, 'GEN-CARBON'!$D$51:$AW$51), 0), IF($B17='Project List References'!$B$7, _xlfn.IFNA(_xlfn.XLOOKUP(I$2-$C17, 'SENS Coal'!$D$7:$AW$7, 'SENS Coal'!$D$51:$AW$51), 0), IF($B17='Project List References'!$B$8, _xlfn.IFNA(_xlfn.XLOOKUP(I$2-$C17,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J17" s="743" t="e">
        <f>IF($B17='Project List References'!$B$3, _xlfn.IFNA(_xlfn.XLOOKUP(J$2-$C17, 'GEN-CCGT'!$D$7:$AW$7, 'GEN-CCGT'!$D$51:$AW$51), 0), IF($B17='Project List References'!$B$4, _xlfn.IFNA(_xlfn.XLOOKUP(J$2-$C17, 'GEN-SOLAR'!$D$7:$AW$7, 'GEN-SOLAR'!$D$51:$AW$51), 0), IF($B17='Project List References'!$B$5, _xlfn.IFNA(_xlfn.XLOOKUP(J$2-$C17, 'GEN-BESS'!$D$7:$AW$7, 'GEN-BESS'!$D$51:$AW$51), 0), IF($B17='Project List References'!$B$6, _xlfn.IFNA(_xlfn.XLOOKUP(J$2-$C17, 'GEN-CARBON'!$D$7:$AW$7, 'GEN-CARBON'!$D$51:$AW$51), 0), IF($B17='Project List References'!$B$7, _xlfn.IFNA(_xlfn.XLOOKUP(J$2-$C17, 'SENS Coal'!$D$7:$AW$7, 'SENS Coal'!$D$51:$AW$51), 0), IF($B17='Project List References'!$B$8, _xlfn.IFNA(_xlfn.XLOOKUP(J$2-$C17,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K17" s="743" t="e">
        <f>IF($B17='Project List References'!$B$3, _xlfn.IFNA(_xlfn.XLOOKUP(K$2-$C17, 'GEN-CCGT'!$D$7:$AW$7, 'GEN-CCGT'!$D$51:$AW$51), 0), IF($B17='Project List References'!$B$4, _xlfn.IFNA(_xlfn.XLOOKUP(K$2-$C17, 'GEN-SOLAR'!$D$7:$AW$7, 'GEN-SOLAR'!$D$51:$AW$51), 0), IF($B17='Project List References'!$B$5, _xlfn.IFNA(_xlfn.XLOOKUP(K$2-$C17, 'GEN-BESS'!$D$7:$AW$7, 'GEN-BESS'!$D$51:$AW$51), 0), IF($B17='Project List References'!$B$6, _xlfn.IFNA(_xlfn.XLOOKUP(K$2-$C17, 'GEN-CARBON'!$D$7:$AW$7, 'GEN-CARBON'!$D$51:$AW$51), 0), IF($B17='Project List References'!$B$7, _xlfn.IFNA(_xlfn.XLOOKUP(K$2-$C17, 'SENS Coal'!$D$7:$AW$7, 'SENS Coal'!$D$51:$AW$51), 0), IF($B17='Project List References'!$B$8, _xlfn.IFNA(_xlfn.XLOOKUP(K$2-$C17,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L17" s="743" t="e">
        <f>IF($B17='Project List References'!$B$3, _xlfn.IFNA(_xlfn.XLOOKUP(L$2-$C17, 'GEN-CCGT'!$D$7:$AW$7, 'GEN-CCGT'!$D$51:$AW$51), 0), IF($B17='Project List References'!$B$4, _xlfn.IFNA(_xlfn.XLOOKUP(L$2-$C17, 'GEN-SOLAR'!$D$7:$AW$7, 'GEN-SOLAR'!$D$51:$AW$51), 0), IF($B17='Project List References'!$B$5, _xlfn.IFNA(_xlfn.XLOOKUP(L$2-$C17, 'GEN-BESS'!$D$7:$AW$7, 'GEN-BESS'!$D$51:$AW$51), 0), IF($B17='Project List References'!$B$6, _xlfn.IFNA(_xlfn.XLOOKUP(L$2-$C17, 'GEN-CARBON'!$D$7:$AW$7, 'GEN-CARBON'!$D$51:$AW$51), 0), IF($B17='Project List References'!$B$7, _xlfn.IFNA(_xlfn.XLOOKUP(L$2-$C17, 'SENS Coal'!$D$7:$AW$7, 'SENS Coal'!$D$51:$AW$51), 0), IF($B17='Project List References'!$B$8, _xlfn.IFNA(_xlfn.XLOOKUP(L$2-$C17,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M17" s="743" t="e">
        <f>IF($B17='Project List References'!$B$3, _xlfn.IFNA(_xlfn.XLOOKUP(M$2-$C17, 'GEN-CCGT'!$D$7:$AW$7, 'GEN-CCGT'!$D$51:$AW$51), 0), IF($B17='Project List References'!$B$4, _xlfn.IFNA(_xlfn.XLOOKUP(M$2-$C17, 'GEN-SOLAR'!$D$7:$AW$7, 'GEN-SOLAR'!$D$51:$AW$51), 0), IF($B17='Project List References'!$B$5, _xlfn.IFNA(_xlfn.XLOOKUP(M$2-$C17, 'GEN-BESS'!$D$7:$AW$7, 'GEN-BESS'!$D$51:$AW$51), 0), IF($B17='Project List References'!$B$6, _xlfn.IFNA(_xlfn.XLOOKUP(M$2-$C17, 'GEN-CARBON'!$D$7:$AW$7, 'GEN-CARBON'!$D$51:$AW$51), 0), IF($B17='Project List References'!$B$7, _xlfn.IFNA(_xlfn.XLOOKUP(M$2-$C17, 'SENS Coal'!$D$7:$AW$7, 'SENS Coal'!$D$51:$AW$51), 0), IF($B17='Project List References'!$B$8, _xlfn.IFNA(_xlfn.XLOOKUP(M$2-$C17,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N17" s="743" t="e">
        <f>IF($B17='Project List References'!$B$3, _xlfn.IFNA(_xlfn.XLOOKUP(N$2-$C17, 'GEN-CCGT'!$D$7:$AW$7, 'GEN-CCGT'!$D$51:$AW$51), 0), IF($B17='Project List References'!$B$4, _xlfn.IFNA(_xlfn.XLOOKUP(N$2-$C17, 'GEN-SOLAR'!$D$7:$AW$7, 'GEN-SOLAR'!$D$51:$AW$51), 0), IF($B17='Project List References'!$B$5, _xlfn.IFNA(_xlfn.XLOOKUP(N$2-$C17, 'GEN-BESS'!$D$7:$AW$7, 'GEN-BESS'!$D$51:$AW$51), 0), IF($B17='Project List References'!$B$6, _xlfn.IFNA(_xlfn.XLOOKUP(N$2-$C17, 'GEN-CARBON'!$D$7:$AW$7, 'GEN-CARBON'!$D$51:$AW$51), 0), IF($B17='Project List References'!$B$7, _xlfn.IFNA(_xlfn.XLOOKUP(N$2-$C17, 'SENS Coal'!$D$7:$AW$7, 'SENS Coal'!$D$51:$AW$51), 0), IF($B17='Project List References'!$B$8, _xlfn.IFNA(_xlfn.XLOOKUP(N$2-$C17,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O17" s="743" t="e">
        <f>IF($B17='Project List References'!$B$3, _xlfn.IFNA(_xlfn.XLOOKUP(O$2-$C17, 'GEN-CCGT'!$D$7:$AW$7, 'GEN-CCGT'!$D$51:$AW$51), 0), IF($B17='Project List References'!$B$4, _xlfn.IFNA(_xlfn.XLOOKUP(O$2-$C17, 'GEN-SOLAR'!$D$7:$AW$7, 'GEN-SOLAR'!$D$51:$AW$51), 0), IF($B17='Project List References'!$B$5, _xlfn.IFNA(_xlfn.XLOOKUP(O$2-$C17, 'GEN-BESS'!$D$7:$AW$7, 'GEN-BESS'!$D$51:$AW$51), 0), IF($B17='Project List References'!$B$6, _xlfn.IFNA(_xlfn.XLOOKUP(O$2-$C17, 'GEN-CARBON'!$D$7:$AW$7, 'GEN-CARBON'!$D$51:$AW$51), 0), IF($B17='Project List References'!$B$7, _xlfn.IFNA(_xlfn.XLOOKUP(O$2-$C17, 'SENS Coal'!$D$7:$AW$7, 'SENS Coal'!$D$51:$AW$51), 0), IF($B17='Project List References'!$B$8, _xlfn.IFNA(_xlfn.XLOOKUP(O$2-$C17,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P17" s="743" t="e">
        <f>IF($B17='Project List References'!$B$3, _xlfn.IFNA(_xlfn.XLOOKUP(P$2-$C17, 'GEN-CCGT'!$D$7:$AW$7, 'GEN-CCGT'!$D$51:$AW$51), 0), IF($B17='Project List References'!$B$4, _xlfn.IFNA(_xlfn.XLOOKUP(P$2-$C17, 'GEN-SOLAR'!$D$7:$AW$7, 'GEN-SOLAR'!$D$51:$AW$51), 0), IF($B17='Project List References'!$B$5, _xlfn.IFNA(_xlfn.XLOOKUP(P$2-$C17, 'GEN-BESS'!$D$7:$AW$7, 'GEN-BESS'!$D$51:$AW$51), 0), IF($B17='Project List References'!$B$6, _xlfn.IFNA(_xlfn.XLOOKUP(P$2-$C17, 'GEN-CARBON'!$D$7:$AW$7, 'GEN-CARBON'!$D$51:$AW$51), 0), IF($B17='Project List References'!$B$7, _xlfn.IFNA(_xlfn.XLOOKUP(P$2-$C17, 'SENS Coal'!$D$7:$AW$7, 'SENS Coal'!$D$51:$AW$51), 0), IF($B17='Project List References'!$B$8, _xlfn.IFNA(_xlfn.XLOOKUP(P$2-$C17,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Q17" s="743" t="e">
        <f>IF($B17='Project List References'!$B$3, _xlfn.IFNA(_xlfn.XLOOKUP(Q$2-$C17, 'GEN-CCGT'!$D$7:$AW$7, 'GEN-CCGT'!$D$51:$AW$51), 0), IF($B17='Project List References'!$B$4, _xlfn.IFNA(_xlfn.XLOOKUP(Q$2-$C17, 'GEN-SOLAR'!$D$7:$AW$7, 'GEN-SOLAR'!$D$51:$AW$51), 0), IF($B17='Project List References'!$B$5, _xlfn.IFNA(_xlfn.XLOOKUP(Q$2-$C17, 'GEN-BESS'!$D$7:$AW$7, 'GEN-BESS'!$D$51:$AW$51), 0), IF($B17='Project List References'!$B$6, _xlfn.IFNA(_xlfn.XLOOKUP(Q$2-$C17, 'GEN-CARBON'!$D$7:$AW$7, 'GEN-CARBON'!$D$51:$AW$51), 0), IF($B17='Project List References'!$B$7, _xlfn.IFNA(_xlfn.XLOOKUP(Q$2-$C17, 'SENS Coal'!$D$7:$AW$7, 'SENS Coal'!$D$51:$AW$51), 0), IF($B17='Project List References'!$B$8, _xlfn.IFNA(_xlfn.XLOOKUP(Q$2-$C17,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R17" s="743" t="e">
        <f>IF($B17='Project List References'!$B$3, _xlfn.IFNA(_xlfn.XLOOKUP(R$2-$C17, 'GEN-CCGT'!$D$7:$AW$7, 'GEN-CCGT'!$D$51:$AW$51), 0), IF($B17='Project List References'!$B$4, _xlfn.IFNA(_xlfn.XLOOKUP(R$2-$C17, 'GEN-SOLAR'!$D$7:$AW$7, 'GEN-SOLAR'!$D$51:$AW$51), 0), IF($B17='Project List References'!$B$5, _xlfn.IFNA(_xlfn.XLOOKUP(R$2-$C17, 'GEN-BESS'!$D$7:$AW$7, 'GEN-BESS'!$D$51:$AW$51), 0), IF($B17='Project List References'!$B$6, _xlfn.IFNA(_xlfn.XLOOKUP(R$2-$C17, 'GEN-CARBON'!$D$7:$AW$7, 'GEN-CARBON'!$D$51:$AW$51), 0), IF($B17='Project List References'!$B$7, _xlfn.IFNA(_xlfn.XLOOKUP(R$2-$C17, 'SENS Coal'!$D$7:$AW$7, 'SENS Coal'!$D$51:$AW$51), 0), IF($B17='Project List References'!$B$8, _xlfn.IFNA(_xlfn.XLOOKUP(R$2-$C17,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S17" s="743" t="e">
        <f>IF($B17='Project List References'!$B$3, _xlfn.IFNA(_xlfn.XLOOKUP(S$2-$C17, 'GEN-CCGT'!$D$7:$AW$7, 'GEN-CCGT'!$D$51:$AW$51), 0), IF($B17='Project List References'!$B$4, _xlfn.IFNA(_xlfn.XLOOKUP(S$2-$C17, 'GEN-SOLAR'!$D$7:$AW$7, 'GEN-SOLAR'!$D$51:$AW$51), 0), IF($B17='Project List References'!$B$5, _xlfn.IFNA(_xlfn.XLOOKUP(S$2-$C17, 'GEN-BESS'!$D$7:$AW$7, 'GEN-BESS'!$D$51:$AW$51), 0), IF($B17='Project List References'!$B$6, _xlfn.IFNA(_xlfn.XLOOKUP(S$2-$C17, 'GEN-CARBON'!$D$7:$AW$7, 'GEN-CARBON'!$D$51:$AW$51), 0), IF($B17='Project List References'!$B$7, _xlfn.IFNA(_xlfn.XLOOKUP(S$2-$C17, 'SENS Coal'!$D$7:$AW$7, 'SENS Coal'!$D$51:$AW$51), 0), IF($B17='Project List References'!$B$8, _xlfn.IFNA(_xlfn.XLOOKUP(S$2-$C17,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T17" s="743" t="e">
        <f>IF($B17='Project List References'!$B$3, _xlfn.IFNA(_xlfn.XLOOKUP(T$2-$C17, 'GEN-CCGT'!$D$7:$AW$7, 'GEN-CCGT'!$D$51:$AW$51), 0), IF($B17='Project List References'!$B$4, _xlfn.IFNA(_xlfn.XLOOKUP(T$2-$C17, 'GEN-SOLAR'!$D$7:$AW$7, 'GEN-SOLAR'!$D$51:$AW$51), 0), IF($B17='Project List References'!$B$5, _xlfn.IFNA(_xlfn.XLOOKUP(T$2-$C17, 'GEN-BESS'!$D$7:$AW$7, 'GEN-BESS'!$D$51:$AW$51), 0), IF($B17='Project List References'!$B$6, _xlfn.IFNA(_xlfn.XLOOKUP(T$2-$C17, 'GEN-CARBON'!$D$7:$AW$7, 'GEN-CARBON'!$D$51:$AW$51), 0), IF($B17='Project List References'!$B$7, _xlfn.IFNA(_xlfn.XLOOKUP(T$2-$C17, 'SENS Coal'!$D$7:$AW$7, 'SENS Coal'!$D$51:$AW$51), 0), IF($B17='Project List References'!$B$8, _xlfn.IFNA(_xlfn.XLOOKUP(T$2-$C17, 'SENS Tires'!$D$7:$AW$7, 'SENS Tires'!$D$51:$AW$51), 0)))))))/_xlfn.XLOOKUP($B17,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</row>
    <row r="18" spans="1:20">
      <c r="A18" s="655" t="str">
        <f>IF(ISBLANK('Project Master Sheet'!A18)=FALSE, 'Project Master Sheet'!A18, "")</f>
        <v/>
      </c>
      <c r="B18" s="655" t="str">
        <f>_xlfn.IFNA(_xlfn.XLOOKUP(A18, 'Project Master Sheet'!A:A, 'Project Master Sheet'!D:D), "")</f>
        <v/>
      </c>
      <c r="C18" s="655" t="e">
        <f>_xlfn.XLOOKUP('Project OPEX'!A18, 'Project Master Sheet'!A:A, 'Project Master Sheet'!I:I)</f>
        <v>#N/A</v>
      </c>
      <c r="E18" s="743" t="e">
        <f>IF($B18='Project List References'!$B$3, _xlfn.IFNA(_xlfn.XLOOKUP(E$2-$C18, 'GEN-CCGT'!$D$7:$AW$7, 'GEN-CCGT'!$D$51:$AW$51), 0), IF($B18='Project List References'!$B$4, _xlfn.IFNA(_xlfn.XLOOKUP(E$2-$C18, 'GEN-SOLAR'!$D$7:$AW$7, 'GEN-SOLAR'!$D$51:$AW$51), 0), IF($B18='Project List References'!$B$5, _xlfn.IFNA(_xlfn.XLOOKUP(E$2-$C18, 'GEN-BESS'!$D$7:$AW$7, 'GEN-BESS'!$D$51:$AW$51), 0), IF($B18='Project List References'!$B$6, _xlfn.IFNA(_xlfn.XLOOKUP(E$2-$C18, 'GEN-CARBON'!$D$7:$AW$7, 'GEN-CARBON'!$D$51:$AW$51), 0), IF($B18='Project List References'!$B$7, _xlfn.IFNA(_xlfn.XLOOKUP(E$2-$C18, 'SENS Coal'!$D$7:$AW$7, 'SENS Coal'!$D$51:$AW$51), 0), IF($B18='Project List References'!$B$8, _xlfn.IFNA(_xlfn.XLOOKUP(E$2-$C18,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F18" s="743" t="e">
        <f>IF($B18='Project List References'!$B$3, _xlfn.IFNA(_xlfn.XLOOKUP(F$2-$C18, 'GEN-CCGT'!$D$7:$AW$7, 'GEN-CCGT'!$D$51:$AW$51), 0), IF($B18='Project List References'!$B$4, _xlfn.IFNA(_xlfn.XLOOKUP(F$2-$C18, 'GEN-SOLAR'!$D$7:$AW$7, 'GEN-SOLAR'!$D$51:$AW$51), 0), IF($B18='Project List References'!$B$5, _xlfn.IFNA(_xlfn.XLOOKUP(F$2-$C18, 'GEN-BESS'!$D$7:$AW$7, 'GEN-BESS'!$D$51:$AW$51), 0), IF($B18='Project List References'!$B$6, _xlfn.IFNA(_xlfn.XLOOKUP(F$2-$C18, 'GEN-CARBON'!$D$7:$AW$7, 'GEN-CARBON'!$D$51:$AW$51), 0), IF($B18='Project List References'!$B$7, _xlfn.IFNA(_xlfn.XLOOKUP(F$2-$C18, 'SENS Coal'!$D$7:$AW$7, 'SENS Coal'!$D$51:$AW$51), 0), IF($B18='Project List References'!$B$8, _xlfn.IFNA(_xlfn.XLOOKUP(F$2-$C18,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G18" s="743" t="e">
        <f>IF($B18='Project List References'!$B$3, _xlfn.IFNA(_xlfn.XLOOKUP(G$2-$C18, 'GEN-CCGT'!$D$7:$AW$7, 'GEN-CCGT'!$D$51:$AW$51), 0), IF($B18='Project List References'!$B$4, _xlfn.IFNA(_xlfn.XLOOKUP(G$2-$C18, 'GEN-SOLAR'!$D$7:$AW$7, 'GEN-SOLAR'!$D$51:$AW$51), 0), IF($B18='Project List References'!$B$5, _xlfn.IFNA(_xlfn.XLOOKUP(G$2-$C18, 'GEN-BESS'!$D$7:$AW$7, 'GEN-BESS'!$D$51:$AW$51), 0), IF($B18='Project List References'!$B$6, _xlfn.IFNA(_xlfn.XLOOKUP(G$2-$C18, 'GEN-CARBON'!$D$7:$AW$7, 'GEN-CARBON'!$D$51:$AW$51), 0), IF($B18='Project List References'!$B$7, _xlfn.IFNA(_xlfn.XLOOKUP(G$2-$C18, 'SENS Coal'!$D$7:$AW$7, 'SENS Coal'!$D$51:$AW$51), 0), IF($B18='Project List References'!$B$8, _xlfn.IFNA(_xlfn.XLOOKUP(G$2-$C18,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H18" s="743" t="e">
        <f>IF($B18='Project List References'!$B$3, _xlfn.IFNA(_xlfn.XLOOKUP(H$2-$C18, 'GEN-CCGT'!$D$7:$AW$7, 'GEN-CCGT'!$D$51:$AW$51), 0), IF($B18='Project List References'!$B$4, _xlfn.IFNA(_xlfn.XLOOKUP(H$2-$C18, 'GEN-SOLAR'!$D$7:$AW$7, 'GEN-SOLAR'!$D$51:$AW$51), 0), IF($B18='Project List References'!$B$5, _xlfn.IFNA(_xlfn.XLOOKUP(H$2-$C18, 'GEN-BESS'!$D$7:$AW$7, 'GEN-BESS'!$D$51:$AW$51), 0), IF($B18='Project List References'!$B$6, _xlfn.IFNA(_xlfn.XLOOKUP(H$2-$C18, 'GEN-CARBON'!$D$7:$AW$7, 'GEN-CARBON'!$D$51:$AW$51), 0), IF($B18='Project List References'!$B$7, _xlfn.IFNA(_xlfn.XLOOKUP(H$2-$C18, 'SENS Coal'!$D$7:$AW$7, 'SENS Coal'!$D$51:$AW$51), 0), IF($B18='Project List References'!$B$8, _xlfn.IFNA(_xlfn.XLOOKUP(H$2-$C18,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I18" s="743" t="e">
        <f>IF($B18='Project List References'!$B$3, _xlfn.IFNA(_xlfn.XLOOKUP(I$2-$C18, 'GEN-CCGT'!$D$7:$AW$7, 'GEN-CCGT'!$D$51:$AW$51), 0), IF($B18='Project List References'!$B$4, _xlfn.IFNA(_xlfn.XLOOKUP(I$2-$C18, 'GEN-SOLAR'!$D$7:$AW$7, 'GEN-SOLAR'!$D$51:$AW$51), 0), IF($B18='Project List References'!$B$5, _xlfn.IFNA(_xlfn.XLOOKUP(I$2-$C18, 'GEN-BESS'!$D$7:$AW$7, 'GEN-BESS'!$D$51:$AW$51), 0), IF($B18='Project List References'!$B$6, _xlfn.IFNA(_xlfn.XLOOKUP(I$2-$C18, 'GEN-CARBON'!$D$7:$AW$7, 'GEN-CARBON'!$D$51:$AW$51), 0), IF($B18='Project List References'!$B$7, _xlfn.IFNA(_xlfn.XLOOKUP(I$2-$C18, 'SENS Coal'!$D$7:$AW$7, 'SENS Coal'!$D$51:$AW$51), 0), IF($B18='Project List References'!$B$8, _xlfn.IFNA(_xlfn.XLOOKUP(I$2-$C18,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J18" s="743" t="e">
        <f>IF($B18='Project List References'!$B$3, _xlfn.IFNA(_xlfn.XLOOKUP(J$2-$C18, 'GEN-CCGT'!$D$7:$AW$7, 'GEN-CCGT'!$D$51:$AW$51), 0), IF($B18='Project List References'!$B$4, _xlfn.IFNA(_xlfn.XLOOKUP(J$2-$C18, 'GEN-SOLAR'!$D$7:$AW$7, 'GEN-SOLAR'!$D$51:$AW$51), 0), IF($B18='Project List References'!$B$5, _xlfn.IFNA(_xlfn.XLOOKUP(J$2-$C18, 'GEN-BESS'!$D$7:$AW$7, 'GEN-BESS'!$D$51:$AW$51), 0), IF($B18='Project List References'!$B$6, _xlfn.IFNA(_xlfn.XLOOKUP(J$2-$C18, 'GEN-CARBON'!$D$7:$AW$7, 'GEN-CARBON'!$D$51:$AW$51), 0), IF($B18='Project List References'!$B$7, _xlfn.IFNA(_xlfn.XLOOKUP(J$2-$C18, 'SENS Coal'!$D$7:$AW$7, 'SENS Coal'!$D$51:$AW$51), 0), IF($B18='Project List References'!$B$8, _xlfn.IFNA(_xlfn.XLOOKUP(J$2-$C18,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K18" s="743" t="e">
        <f>IF($B18='Project List References'!$B$3, _xlfn.IFNA(_xlfn.XLOOKUP(K$2-$C18, 'GEN-CCGT'!$D$7:$AW$7, 'GEN-CCGT'!$D$51:$AW$51), 0), IF($B18='Project List References'!$B$4, _xlfn.IFNA(_xlfn.XLOOKUP(K$2-$C18, 'GEN-SOLAR'!$D$7:$AW$7, 'GEN-SOLAR'!$D$51:$AW$51), 0), IF($B18='Project List References'!$B$5, _xlfn.IFNA(_xlfn.XLOOKUP(K$2-$C18, 'GEN-BESS'!$D$7:$AW$7, 'GEN-BESS'!$D$51:$AW$51), 0), IF($B18='Project List References'!$B$6, _xlfn.IFNA(_xlfn.XLOOKUP(K$2-$C18, 'GEN-CARBON'!$D$7:$AW$7, 'GEN-CARBON'!$D$51:$AW$51), 0), IF($B18='Project List References'!$B$7, _xlfn.IFNA(_xlfn.XLOOKUP(K$2-$C18, 'SENS Coal'!$D$7:$AW$7, 'SENS Coal'!$D$51:$AW$51), 0), IF($B18='Project List References'!$B$8, _xlfn.IFNA(_xlfn.XLOOKUP(K$2-$C18,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L18" s="743" t="e">
        <f>IF($B18='Project List References'!$B$3, _xlfn.IFNA(_xlfn.XLOOKUP(L$2-$C18, 'GEN-CCGT'!$D$7:$AW$7, 'GEN-CCGT'!$D$51:$AW$51), 0), IF($B18='Project List References'!$B$4, _xlfn.IFNA(_xlfn.XLOOKUP(L$2-$C18, 'GEN-SOLAR'!$D$7:$AW$7, 'GEN-SOLAR'!$D$51:$AW$51), 0), IF($B18='Project List References'!$B$5, _xlfn.IFNA(_xlfn.XLOOKUP(L$2-$C18, 'GEN-BESS'!$D$7:$AW$7, 'GEN-BESS'!$D$51:$AW$51), 0), IF($B18='Project List References'!$B$6, _xlfn.IFNA(_xlfn.XLOOKUP(L$2-$C18, 'GEN-CARBON'!$D$7:$AW$7, 'GEN-CARBON'!$D$51:$AW$51), 0), IF($B18='Project List References'!$B$7, _xlfn.IFNA(_xlfn.XLOOKUP(L$2-$C18, 'SENS Coal'!$D$7:$AW$7, 'SENS Coal'!$D$51:$AW$51), 0), IF($B18='Project List References'!$B$8, _xlfn.IFNA(_xlfn.XLOOKUP(L$2-$C18,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M18" s="743" t="e">
        <f>IF($B18='Project List References'!$B$3, _xlfn.IFNA(_xlfn.XLOOKUP(M$2-$C18, 'GEN-CCGT'!$D$7:$AW$7, 'GEN-CCGT'!$D$51:$AW$51), 0), IF($B18='Project List References'!$B$4, _xlfn.IFNA(_xlfn.XLOOKUP(M$2-$C18, 'GEN-SOLAR'!$D$7:$AW$7, 'GEN-SOLAR'!$D$51:$AW$51), 0), IF($B18='Project List References'!$B$5, _xlfn.IFNA(_xlfn.XLOOKUP(M$2-$C18, 'GEN-BESS'!$D$7:$AW$7, 'GEN-BESS'!$D$51:$AW$51), 0), IF($B18='Project List References'!$B$6, _xlfn.IFNA(_xlfn.XLOOKUP(M$2-$C18, 'GEN-CARBON'!$D$7:$AW$7, 'GEN-CARBON'!$D$51:$AW$51), 0), IF($B18='Project List References'!$B$7, _xlfn.IFNA(_xlfn.XLOOKUP(M$2-$C18, 'SENS Coal'!$D$7:$AW$7, 'SENS Coal'!$D$51:$AW$51), 0), IF($B18='Project List References'!$B$8, _xlfn.IFNA(_xlfn.XLOOKUP(M$2-$C18,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N18" s="743" t="e">
        <f>IF($B18='Project List References'!$B$3, _xlfn.IFNA(_xlfn.XLOOKUP(N$2-$C18, 'GEN-CCGT'!$D$7:$AW$7, 'GEN-CCGT'!$D$51:$AW$51), 0), IF($B18='Project List References'!$B$4, _xlfn.IFNA(_xlfn.XLOOKUP(N$2-$C18, 'GEN-SOLAR'!$D$7:$AW$7, 'GEN-SOLAR'!$D$51:$AW$51), 0), IF($B18='Project List References'!$B$5, _xlfn.IFNA(_xlfn.XLOOKUP(N$2-$C18, 'GEN-BESS'!$D$7:$AW$7, 'GEN-BESS'!$D$51:$AW$51), 0), IF($B18='Project List References'!$B$6, _xlfn.IFNA(_xlfn.XLOOKUP(N$2-$C18, 'GEN-CARBON'!$D$7:$AW$7, 'GEN-CARBON'!$D$51:$AW$51), 0), IF($B18='Project List References'!$B$7, _xlfn.IFNA(_xlfn.XLOOKUP(N$2-$C18, 'SENS Coal'!$D$7:$AW$7, 'SENS Coal'!$D$51:$AW$51), 0), IF($B18='Project List References'!$B$8, _xlfn.IFNA(_xlfn.XLOOKUP(N$2-$C18,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O18" s="743" t="e">
        <f>IF($B18='Project List References'!$B$3, _xlfn.IFNA(_xlfn.XLOOKUP(O$2-$C18, 'GEN-CCGT'!$D$7:$AW$7, 'GEN-CCGT'!$D$51:$AW$51), 0), IF($B18='Project List References'!$B$4, _xlfn.IFNA(_xlfn.XLOOKUP(O$2-$C18, 'GEN-SOLAR'!$D$7:$AW$7, 'GEN-SOLAR'!$D$51:$AW$51), 0), IF($B18='Project List References'!$B$5, _xlfn.IFNA(_xlfn.XLOOKUP(O$2-$C18, 'GEN-BESS'!$D$7:$AW$7, 'GEN-BESS'!$D$51:$AW$51), 0), IF($B18='Project List References'!$B$6, _xlfn.IFNA(_xlfn.XLOOKUP(O$2-$C18, 'GEN-CARBON'!$D$7:$AW$7, 'GEN-CARBON'!$D$51:$AW$51), 0), IF($B18='Project List References'!$B$7, _xlfn.IFNA(_xlfn.XLOOKUP(O$2-$C18, 'SENS Coal'!$D$7:$AW$7, 'SENS Coal'!$D$51:$AW$51), 0), IF($B18='Project List References'!$B$8, _xlfn.IFNA(_xlfn.XLOOKUP(O$2-$C18,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P18" s="743" t="e">
        <f>IF($B18='Project List References'!$B$3, _xlfn.IFNA(_xlfn.XLOOKUP(P$2-$C18, 'GEN-CCGT'!$D$7:$AW$7, 'GEN-CCGT'!$D$51:$AW$51), 0), IF($B18='Project List References'!$B$4, _xlfn.IFNA(_xlfn.XLOOKUP(P$2-$C18, 'GEN-SOLAR'!$D$7:$AW$7, 'GEN-SOLAR'!$D$51:$AW$51), 0), IF($B18='Project List References'!$B$5, _xlfn.IFNA(_xlfn.XLOOKUP(P$2-$C18, 'GEN-BESS'!$D$7:$AW$7, 'GEN-BESS'!$D$51:$AW$51), 0), IF($B18='Project List References'!$B$6, _xlfn.IFNA(_xlfn.XLOOKUP(P$2-$C18, 'GEN-CARBON'!$D$7:$AW$7, 'GEN-CARBON'!$D$51:$AW$51), 0), IF($B18='Project List References'!$B$7, _xlfn.IFNA(_xlfn.XLOOKUP(P$2-$C18, 'SENS Coal'!$D$7:$AW$7, 'SENS Coal'!$D$51:$AW$51), 0), IF($B18='Project List References'!$B$8, _xlfn.IFNA(_xlfn.XLOOKUP(P$2-$C18,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Q18" s="743" t="e">
        <f>IF($B18='Project List References'!$B$3, _xlfn.IFNA(_xlfn.XLOOKUP(Q$2-$C18, 'GEN-CCGT'!$D$7:$AW$7, 'GEN-CCGT'!$D$51:$AW$51), 0), IF($B18='Project List References'!$B$4, _xlfn.IFNA(_xlfn.XLOOKUP(Q$2-$C18, 'GEN-SOLAR'!$D$7:$AW$7, 'GEN-SOLAR'!$D$51:$AW$51), 0), IF($B18='Project List References'!$B$5, _xlfn.IFNA(_xlfn.XLOOKUP(Q$2-$C18, 'GEN-BESS'!$D$7:$AW$7, 'GEN-BESS'!$D$51:$AW$51), 0), IF($B18='Project List References'!$B$6, _xlfn.IFNA(_xlfn.XLOOKUP(Q$2-$C18, 'GEN-CARBON'!$D$7:$AW$7, 'GEN-CARBON'!$D$51:$AW$51), 0), IF($B18='Project List References'!$B$7, _xlfn.IFNA(_xlfn.XLOOKUP(Q$2-$C18, 'SENS Coal'!$D$7:$AW$7, 'SENS Coal'!$D$51:$AW$51), 0), IF($B18='Project List References'!$B$8, _xlfn.IFNA(_xlfn.XLOOKUP(Q$2-$C18,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R18" s="743" t="e">
        <f>IF($B18='Project List References'!$B$3, _xlfn.IFNA(_xlfn.XLOOKUP(R$2-$C18, 'GEN-CCGT'!$D$7:$AW$7, 'GEN-CCGT'!$D$51:$AW$51), 0), IF($B18='Project List References'!$B$4, _xlfn.IFNA(_xlfn.XLOOKUP(R$2-$C18, 'GEN-SOLAR'!$D$7:$AW$7, 'GEN-SOLAR'!$D$51:$AW$51), 0), IF($B18='Project List References'!$B$5, _xlfn.IFNA(_xlfn.XLOOKUP(R$2-$C18, 'GEN-BESS'!$D$7:$AW$7, 'GEN-BESS'!$D$51:$AW$51), 0), IF($B18='Project List References'!$B$6, _xlfn.IFNA(_xlfn.XLOOKUP(R$2-$C18, 'GEN-CARBON'!$D$7:$AW$7, 'GEN-CARBON'!$D$51:$AW$51), 0), IF($B18='Project List References'!$B$7, _xlfn.IFNA(_xlfn.XLOOKUP(R$2-$C18, 'SENS Coal'!$D$7:$AW$7, 'SENS Coal'!$D$51:$AW$51), 0), IF($B18='Project List References'!$B$8, _xlfn.IFNA(_xlfn.XLOOKUP(R$2-$C18,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S18" s="743" t="e">
        <f>IF($B18='Project List References'!$B$3, _xlfn.IFNA(_xlfn.XLOOKUP(S$2-$C18, 'GEN-CCGT'!$D$7:$AW$7, 'GEN-CCGT'!$D$51:$AW$51), 0), IF($B18='Project List References'!$B$4, _xlfn.IFNA(_xlfn.XLOOKUP(S$2-$C18, 'GEN-SOLAR'!$D$7:$AW$7, 'GEN-SOLAR'!$D$51:$AW$51), 0), IF($B18='Project List References'!$B$5, _xlfn.IFNA(_xlfn.XLOOKUP(S$2-$C18, 'GEN-BESS'!$D$7:$AW$7, 'GEN-BESS'!$D$51:$AW$51), 0), IF($B18='Project List References'!$B$6, _xlfn.IFNA(_xlfn.XLOOKUP(S$2-$C18, 'GEN-CARBON'!$D$7:$AW$7, 'GEN-CARBON'!$D$51:$AW$51), 0), IF($B18='Project List References'!$B$7, _xlfn.IFNA(_xlfn.XLOOKUP(S$2-$C18, 'SENS Coal'!$D$7:$AW$7, 'SENS Coal'!$D$51:$AW$51), 0), IF($B18='Project List References'!$B$8, _xlfn.IFNA(_xlfn.XLOOKUP(S$2-$C18,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T18" s="743" t="e">
        <f>IF($B18='Project List References'!$B$3, _xlfn.IFNA(_xlfn.XLOOKUP(T$2-$C18, 'GEN-CCGT'!$D$7:$AW$7, 'GEN-CCGT'!$D$51:$AW$51), 0), IF($B18='Project List References'!$B$4, _xlfn.IFNA(_xlfn.XLOOKUP(T$2-$C18, 'GEN-SOLAR'!$D$7:$AW$7, 'GEN-SOLAR'!$D$51:$AW$51), 0), IF($B18='Project List References'!$B$5, _xlfn.IFNA(_xlfn.XLOOKUP(T$2-$C18, 'GEN-BESS'!$D$7:$AW$7, 'GEN-BESS'!$D$51:$AW$51), 0), IF($B18='Project List References'!$B$6, _xlfn.IFNA(_xlfn.XLOOKUP(T$2-$C18, 'GEN-CARBON'!$D$7:$AW$7, 'GEN-CARBON'!$D$51:$AW$51), 0), IF($B18='Project List References'!$B$7, _xlfn.IFNA(_xlfn.XLOOKUP(T$2-$C18, 'SENS Coal'!$D$7:$AW$7, 'SENS Coal'!$D$51:$AW$51), 0), IF($B18='Project List References'!$B$8, _xlfn.IFNA(_xlfn.XLOOKUP(T$2-$C18, 'SENS Tires'!$D$7:$AW$7, 'SENS Tires'!$D$51:$AW$51), 0)))))))/_xlfn.XLOOKUP($B18,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</row>
    <row r="19" spans="1:20">
      <c r="A19" s="655" t="str">
        <f>IF(ISBLANK('Project Master Sheet'!A19)=FALSE, 'Project Master Sheet'!A19, "")</f>
        <v/>
      </c>
      <c r="B19" s="655" t="str">
        <f>_xlfn.IFNA(_xlfn.XLOOKUP(A19, 'Project Master Sheet'!A:A, 'Project Master Sheet'!D:D), "")</f>
        <v/>
      </c>
      <c r="C19" s="655" t="e">
        <f>_xlfn.XLOOKUP('Project OPEX'!A19, 'Project Master Sheet'!A:A, 'Project Master Sheet'!I:I)</f>
        <v>#N/A</v>
      </c>
      <c r="E19" s="743" t="e">
        <f>IF($B19='Project List References'!$B$3, _xlfn.IFNA(_xlfn.XLOOKUP(E$2-$C19, 'GEN-CCGT'!$D$7:$AW$7, 'GEN-CCGT'!$D$51:$AW$51), 0), IF($B19='Project List References'!$B$4, _xlfn.IFNA(_xlfn.XLOOKUP(E$2-$C19, 'GEN-SOLAR'!$D$7:$AW$7, 'GEN-SOLAR'!$D$51:$AW$51), 0), IF($B19='Project List References'!$B$5, _xlfn.IFNA(_xlfn.XLOOKUP(E$2-$C19, 'GEN-BESS'!$D$7:$AW$7, 'GEN-BESS'!$D$51:$AW$51), 0), IF($B19='Project List References'!$B$6, _xlfn.IFNA(_xlfn.XLOOKUP(E$2-$C19, 'GEN-CARBON'!$D$7:$AW$7, 'GEN-CARBON'!$D$51:$AW$51), 0), IF($B19='Project List References'!$B$7, _xlfn.IFNA(_xlfn.XLOOKUP(E$2-$C19, 'SENS Coal'!$D$7:$AW$7, 'SENS Coal'!$D$51:$AW$51), 0), IF($B19='Project List References'!$B$8, _xlfn.IFNA(_xlfn.XLOOKUP(E$2-$C19,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F19" s="743" t="e">
        <f>IF($B19='Project List References'!$B$3, _xlfn.IFNA(_xlfn.XLOOKUP(F$2-$C19, 'GEN-CCGT'!$D$7:$AW$7, 'GEN-CCGT'!$D$51:$AW$51), 0), IF($B19='Project List References'!$B$4, _xlfn.IFNA(_xlfn.XLOOKUP(F$2-$C19, 'GEN-SOLAR'!$D$7:$AW$7, 'GEN-SOLAR'!$D$51:$AW$51), 0), IF($B19='Project List References'!$B$5, _xlfn.IFNA(_xlfn.XLOOKUP(F$2-$C19, 'GEN-BESS'!$D$7:$AW$7, 'GEN-BESS'!$D$51:$AW$51), 0), IF($B19='Project List References'!$B$6, _xlfn.IFNA(_xlfn.XLOOKUP(F$2-$C19, 'GEN-CARBON'!$D$7:$AW$7, 'GEN-CARBON'!$D$51:$AW$51), 0), IF($B19='Project List References'!$B$7, _xlfn.IFNA(_xlfn.XLOOKUP(F$2-$C19, 'SENS Coal'!$D$7:$AW$7, 'SENS Coal'!$D$51:$AW$51), 0), IF($B19='Project List References'!$B$8, _xlfn.IFNA(_xlfn.XLOOKUP(F$2-$C19,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G19" s="743" t="e">
        <f>IF($B19='Project List References'!$B$3, _xlfn.IFNA(_xlfn.XLOOKUP(G$2-$C19, 'GEN-CCGT'!$D$7:$AW$7, 'GEN-CCGT'!$D$51:$AW$51), 0), IF($B19='Project List References'!$B$4, _xlfn.IFNA(_xlfn.XLOOKUP(G$2-$C19, 'GEN-SOLAR'!$D$7:$AW$7, 'GEN-SOLAR'!$D$51:$AW$51), 0), IF($B19='Project List References'!$B$5, _xlfn.IFNA(_xlfn.XLOOKUP(G$2-$C19, 'GEN-BESS'!$D$7:$AW$7, 'GEN-BESS'!$D$51:$AW$51), 0), IF($B19='Project List References'!$B$6, _xlfn.IFNA(_xlfn.XLOOKUP(G$2-$C19, 'GEN-CARBON'!$D$7:$AW$7, 'GEN-CARBON'!$D$51:$AW$51), 0), IF($B19='Project List References'!$B$7, _xlfn.IFNA(_xlfn.XLOOKUP(G$2-$C19, 'SENS Coal'!$D$7:$AW$7, 'SENS Coal'!$D$51:$AW$51), 0), IF($B19='Project List References'!$B$8, _xlfn.IFNA(_xlfn.XLOOKUP(G$2-$C19,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H19" s="743" t="e">
        <f>IF($B19='Project List References'!$B$3, _xlfn.IFNA(_xlfn.XLOOKUP(H$2-$C19, 'GEN-CCGT'!$D$7:$AW$7, 'GEN-CCGT'!$D$51:$AW$51), 0), IF($B19='Project List References'!$B$4, _xlfn.IFNA(_xlfn.XLOOKUP(H$2-$C19, 'GEN-SOLAR'!$D$7:$AW$7, 'GEN-SOLAR'!$D$51:$AW$51), 0), IF($B19='Project List References'!$B$5, _xlfn.IFNA(_xlfn.XLOOKUP(H$2-$C19, 'GEN-BESS'!$D$7:$AW$7, 'GEN-BESS'!$D$51:$AW$51), 0), IF($B19='Project List References'!$B$6, _xlfn.IFNA(_xlfn.XLOOKUP(H$2-$C19, 'GEN-CARBON'!$D$7:$AW$7, 'GEN-CARBON'!$D$51:$AW$51), 0), IF($B19='Project List References'!$B$7, _xlfn.IFNA(_xlfn.XLOOKUP(H$2-$C19, 'SENS Coal'!$D$7:$AW$7, 'SENS Coal'!$D$51:$AW$51), 0), IF($B19='Project List References'!$B$8, _xlfn.IFNA(_xlfn.XLOOKUP(H$2-$C19,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I19" s="743" t="e">
        <f>IF($B19='Project List References'!$B$3, _xlfn.IFNA(_xlfn.XLOOKUP(I$2-$C19, 'GEN-CCGT'!$D$7:$AW$7, 'GEN-CCGT'!$D$51:$AW$51), 0), IF($B19='Project List References'!$B$4, _xlfn.IFNA(_xlfn.XLOOKUP(I$2-$C19, 'GEN-SOLAR'!$D$7:$AW$7, 'GEN-SOLAR'!$D$51:$AW$51), 0), IF($B19='Project List References'!$B$5, _xlfn.IFNA(_xlfn.XLOOKUP(I$2-$C19, 'GEN-BESS'!$D$7:$AW$7, 'GEN-BESS'!$D$51:$AW$51), 0), IF($B19='Project List References'!$B$6, _xlfn.IFNA(_xlfn.XLOOKUP(I$2-$C19, 'GEN-CARBON'!$D$7:$AW$7, 'GEN-CARBON'!$D$51:$AW$51), 0), IF($B19='Project List References'!$B$7, _xlfn.IFNA(_xlfn.XLOOKUP(I$2-$C19, 'SENS Coal'!$D$7:$AW$7, 'SENS Coal'!$D$51:$AW$51), 0), IF($B19='Project List References'!$B$8, _xlfn.IFNA(_xlfn.XLOOKUP(I$2-$C19,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J19" s="743" t="e">
        <f>IF($B19='Project List References'!$B$3, _xlfn.IFNA(_xlfn.XLOOKUP(J$2-$C19, 'GEN-CCGT'!$D$7:$AW$7, 'GEN-CCGT'!$D$51:$AW$51), 0), IF($B19='Project List References'!$B$4, _xlfn.IFNA(_xlfn.XLOOKUP(J$2-$C19, 'GEN-SOLAR'!$D$7:$AW$7, 'GEN-SOLAR'!$D$51:$AW$51), 0), IF($B19='Project List References'!$B$5, _xlfn.IFNA(_xlfn.XLOOKUP(J$2-$C19, 'GEN-BESS'!$D$7:$AW$7, 'GEN-BESS'!$D$51:$AW$51), 0), IF($B19='Project List References'!$B$6, _xlfn.IFNA(_xlfn.XLOOKUP(J$2-$C19, 'GEN-CARBON'!$D$7:$AW$7, 'GEN-CARBON'!$D$51:$AW$51), 0), IF($B19='Project List References'!$B$7, _xlfn.IFNA(_xlfn.XLOOKUP(J$2-$C19, 'SENS Coal'!$D$7:$AW$7, 'SENS Coal'!$D$51:$AW$51), 0), IF($B19='Project List References'!$B$8, _xlfn.IFNA(_xlfn.XLOOKUP(J$2-$C19,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K19" s="743" t="e">
        <f>IF($B19='Project List References'!$B$3, _xlfn.IFNA(_xlfn.XLOOKUP(K$2-$C19, 'GEN-CCGT'!$D$7:$AW$7, 'GEN-CCGT'!$D$51:$AW$51), 0), IF($B19='Project List References'!$B$4, _xlfn.IFNA(_xlfn.XLOOKUP(K$2-$C19, 'GEN-SOLAR'!$D$7:$AW$7, 'GEN-SOLAR'!$D$51:$AW$51), 0), IF($B19='Project List References'!$B$5, _xlfn.IFNA(_xlfn.XLOOKUP(K$2-$C19, 'GEN-BESS'!$D$7:$AW$7, 'GEN-BESS'!$D$51:$AW$51), 0), IF($B19='Project List References'!$B$6, _xlfn.IFNA(_xlfn.XLOOKUP(K$2-$C19, 'GEN-CARBON'!$D$7:$AW$7, 'GEN-CARBON'!$D$51:$AW$51), 0), IF($B19='Project List References'!$B$7, _xlfn.IFNA(_xlfn.XLOOKUP(K$2-$C19, 'SENS Coal'!$D$7:$AW$7, 'SENS Coal'!$D$51:$AW$51), 0), IF($B19='Project List References'!$B$8, _xlfn.IFNA(_xlfn.XLOOKUP(K$2-$C19,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L19" s="743" t="e">
        <f>IF($B19='Project List References'!$B$3, _xlfn.IFNA(_xlfn.XLOOKUP(L$2-$C19, 'GEN-CCGT'!$D$7:$AW$7, 'GEN-CCGT'!$D$51:$AW$51), 0), IF($B19='Project List References'!$B$4, _xlfn.IFNA(_xlfn.XLOOKUP(L$2-$C19, 'GEN-SOLAR'!$D$7:$AW$7, 'GEN-SOLAR'!$D$51:$AW$51), 0), IF($B19='Project List References'!$B$5, _xlfn.IFNA(_xlfn.XLOOKUP(L$2-$C19, 'GEN-BESS'!$D$7:$AW$7, 'GEN-BESS'!$D$51:$AW$51), 0), IF($B19='Project List References'!$B$6, _xlfn.IFNA(_xlfn.XLOOKUP(L$2-$C19, 'GEN-CARBON'!$D$7:$AW$7, 'GEN-CARBON'!$D$51:$AW$51), 0), IF($B19='Project List References'!$B$7, _xlfn.IFNA(_xlfn.XLOOKUP(L$2-$C19, 'SENS Coal'!$D$7:$AW$7, 'SENS Coal'!$D$51:$AW$51), 0), IF($B19='Project List References'!$B$8, _xlfn.IFNA(_xlfn.XLOOKUP(L$2-$C19,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M19" s="743" t="e">
        <f>IF($B19='Project List References'!$B$3, _xlfn.IFNA(_xlfn.XLOOKUP(M$2-$C19, 'GEN-CCGT'!$D$7:$AW$7, 'GEN-CCGT'!$D$51:$AW$51), 0), IF($B19='Project List References'!$B$4, _xlfn.IFNA(_xlfn.XLOOKUP(M$2-$C19, 'GEN-SOLAR'!$D$7:$AW$7, 'GEN-SOLAR'!$D$51:$AW$51), 0), IF($B19='Project List References'!$B$5, _xlfn.IFNA(_xlfn.XLOOKUP(M$2-$C19, 'GEN-BESS'!$D$7:$AW$7, 'GEN-BESS'!$D$51:$AW$51), 0), IF($B19='Project List References'!$B$6, _xlfn.IFNA(_xlfn.XLOOKUP(M$2-$C19, 'GEN-CARBON'!$D$7:$AW$7, 'GEN-CARBON'!$D$51:$AW$51), 0), IF($B19='Project List References'!$B$7, _xlfn.IFNA(_xlfn.XLOOKUP(M$2-$C19, 'SENS Coal'!$D$7:$AW$7, 'SENS Coal'!$D$51:$AW$51), 0), IF($B19='Project List References'!$B$8, _xlfn.IFNA(_xlfn.XLOOKUP(M$2-$C19,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N19" s="743" t="e">
        <f>IF($B19='Project List References'!$B$3, _xlfn.IFNA(_xlfn.XLOOKUP(N$2-$C19, 'GEN-CCGT'!$D$7:$AW$7, 'GEN-CCGT'!$D$51:$AW$51), 0), IF($B19='Project List References'!$B$4, _xlfn.IFNA(_xlfn.XLOOKUP(N$2-$C19, 'GEN-SOLAR'!$D$7:$AW$7, 'GEN-SOLAR'!$D$51:$AW$51), 0), IF($B19='Project List References'!$B$5, _xlfn.IFNA(_xlfn.XLOOKUP(N$2-$C19, 'GEN-BESS'!$D$7:$AW$7, 'GEN-BESS'!$D$51:$AW$51), 0), IF($B19='Project List References'!$B$6, _xlfn.IFNA(_xlfn.XLOOKUP(N$2-$C19, 'GEN-CARBON'!$D$7:$AW$7, 'GEN-CARBON'!$D$51:$AW$51), 0), IF($B19='Project List References'!$B$7, _xlfn.IFNA(_xlfn.XLOOKUP(N$2-$C19, 'SENS Coal'!$D$7:$AW$7, 'SENS Coal'!$D$51:$AW$51), 0), IF($B19='Project List References'!$B$8, _xlfn.IFNA(_xlfn.XLOOKUP(N$2-$C19,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O19" s="743" t="e">
        <f>IF($B19='Project List References'!$B$3, _xlfn.IFNA(_xlfn.XLOOKUP(O$2-$C19, 'GEN-CCGT'!$D$7:$AW$7, 'GEN-CCGT'!$D$51:$AW$51), 0), IF($B19='Project List References'!$B$4, _xlfn.IFNA(_xlfn.XLOOKUP(O$2-$C19, 'GEN-SOLAR'!$D$7:$AW$7, 'GEN-SOLAR'!$D$51:$AW$51), 0), IF($B19='Project List References'!$B$5, _xlfn.IFNA(_xlfn.XLOOKUP(O$2-$C19, 'GEN-BESS'!$D$7:$AW$7, 'GEN-BESS'!$D$51:$AW$51), 0), IF($B19='Project List References'!$B$6, _xlfn.IFNA(_xlfn.XLOOKUP(O$2-$C19, 'GEN-CARBON'!$D$7:$AW$7, 'GEN-CARBON'!$D$51:$AW$51), 0), IF($B19='Project List References'!$B$7, _xlfn.IFNA(_xlfn.XLOOKUP(O$2-$C19, 'SENS Coal'!$D$7:$AW$7, 'SENS Coal'!$D$51:$AW$51), 0), IF($B19='Project List References'!$B$8, _xlfn.IFNA(_xlfn.XLOOKUP(O$2-$C19,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P19" s="743" t="e">
        <f>IF($B19='Project List References'!$B$3, _xlfn.IFNA(_xlfn.XLOOKUP(P$2-$C19, 'GEN-CCGT'!$D$7:$AW$7, 'GEN-CCGT'!$D$51:$AW$51), 0), IF($B19='Project List References'!$B$4, _xlfn.IFNA(_xlfn.XLOOKUP(P$2-$C19, 'GEN-SOLAR'!$D$7:$AW$7, 'GEN-SOLAR'!$D$51:$AW$51), 0), IF($B19='Project List References'!$B$5, _xlfn.IFNA(_xlfn.XLOOKUP(P$2-$C19, 'GEN-BESS'!$D$7:$AW$7, 'GEN-BESS'!$D$51:$AW$51), 0), IF($B19='Project List References'!$B$6, _xlfn.IFNA(_xlfn.XLOOKUP(P$2-$C19, 'GEN-CARBON'!$D$7:$AW$7, 'GEN-CARBON'!$D$51:$AW$51), 0), IF($B19='Project List References'!$B$7, _xlfn.IFNA(_xlfn.XLOOKUP(P$2-$C19, 'SENS Coal'!$D$7:$AW$7, 'SENS Coal'!$D$51:$AW$51), 0), IF($B19='Project List References'!$B$8, _xlfn.IFNA(_xlfn.XLOOKUP(P$2-$C19,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Q19" s="743" t="e">
        <f>IF($B19='Project List References'!$B$3, _xlfn.IFNA(_xlfn.XLOOKUP(Q$2-$C19, 'GEN-CCGT'!$D$7:$AW$7, 'GEN-CCGT'!$D$51:$AW$51), 0), IF($B19='Project List References'!$B$4, _xlfn.IFNA(_xlfn.XLOOKUP(Q$2-$C19, 'GEN-SOLAR'!$D$7:$AW$7, 'GEN-SOLAR'!$D$51:$AW$51), 0), IF($B19='Project List References'!$B$5, _xlfn.IFNA(_xlfn.XLOOKUP(Q$2-$C19, 'GEN-BESS'!$D$7:$AW$7, 'GEN-BESS'!$D$51:$AW$51), 0), IF($B19='Project List References'!$B$6, _xlfn.IFNA(_xlfn.XLOOKUP(Q$2-$C19, 'GEN-CARBON'!$D$7:$AW$7, 'GEN-CARBON'!$D$51:$AW$51), 0), IF($B19='Project List References'!$B$7, _xlfn.IFNA(_xlfn.XLOOKUP(Q$2-$C19, 'SENS Coal'!$D$7:$AW$7, 'SENS Coal'!$D$51:$AW$51), 0), IF($B19='Project List References'!$B$8, _xlfn.IFNA(_xlfn.XLOOKUP(Q$2-$C19,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R19" s="743" t="e">
        <f>IF($B19='Project List References'!$B$3, _xlfn.IFNA(_xlfn.XLOOKUP(R$2-$C19, 'GEN-CCGT'!$D$7:$AW$7, 'GEN-CCGT'!$D$51:$AW$51), 0), IF($B19='Project List References'!$B$4, _xlfn.IFNA(_xlfn.XLOOKUP(R$2-$C19, 'GEN-SOLAR'!$D$7:$AW$7, 'GEN-SOLAR'!$D$51:$AW$51), 0), IF($B19='Project List References'!$B$5, _xlfn.IFNA(_xlfn.XLOOKUP(R$2-$C19, 'GEN-BESS'!$D$7:$AW$7, 'GEN-BESS'!$D$51:$AW$51), 0), IF($B19='Project List References'!$B$6, _xlfn.IFNA(_xlfn.XLOOKUP(R$2-$C19, 'GEN-CARBON'!$D$7:$AW$7, 'GEN-CARBON'!$D$51:$AW$51), 0), IF($B19='Project List References'!$B$7, _xlfn.IFNA(_xlfn.XLOOKUP(R$2-$C19, 'SENS Coal'!$D$7:$AW$7, 'SENS Coal'!$D$51:$AW$51), 0), IF($B19='Project List References'!$B$8, _xlfn.IFNA(_xlfn.XLOOKUP(R$2-$C19,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S19" s="743" t="e">
        <f>IF($B19='Project List References'!$B$3, _xlfn.IFNA(_xlfn.XLOOKUP(S$2-$C19, 'GEN-CCGT'!$D$7:$AW$7, 'GEN-CCGT'!$D$51:$AW$51), 0), IF($B19='Project List References'!$B$4, _xlfn.IFNA(_xlfn.XLOOKUP(S$2-$C19, 'GEN-SOLAR'!$D$7:$AW$7, 'GEN-SOLAR'!$D$51:$AW$51), 0), IF($B19='Project List References'!$B$5, _xlfn.IFNA(_xlfn.XLOOKUP(S$2-$C19, 'GEN-BESS'!$D$7:$AW$7, 'GEN-BESS'!$D$51:$AW$51), 0), IF($B19='Project List References'!$B$6, _xlfn.IFNA(_xlfn.XLOOKUP(S$2-$C19, 'GEN-CARBON'!$D$7:$AW$7, 'GEN-CARBON'!$D$51:$AW$51), 0), IF($B19='Project List References'!$B$7, _xlfn.IFNA(_xlfn.XLOOKUP(S$2-$C19, 'SENS Coal'!$D$7:$AW$7, 'SENS Coal'!$D$51:$AW$51), 0), IF($B19='Project List References'!$B$8, _xlfn.IFNA(_xlfn.XLOOKUP(S$2-$C19,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T19" s="743" t="e">
        <f>IF($B19='Project List References'!$B$3, _xlfn.IFNA(_xlfn.XLOOKUP(T$2-$C19, 'GEN-CCGT'!$D$7:$AW$7, 'GEN-CCGT'!$D$51:$AW$51), 0), IF($B19='Project List References'!$B$4, _xlfn.IFNA(_xlfn.XLOOKUP(T$2-$C19, 'GEN-SOLAR'!$D$7:$AW$7, 'GEN-SOLAR'!$D$51:$AW$51), 0), IF($B19='Project List References'!$B$5, _xlfn.IFNA(_xlfn.XLOOKUP(T$2-$C19, 'GEN-BESS'!$D$7:$AW$7, 'GEN-BESS'!$D$51:$AW$51), 0), IF($B19='Project List References'!$B$6, _xlfn.IFNA(_xlfn.XLOOKUP(T$2-$C19, 'GEN-CARBON'!$D$7:$AW$7, 'GEN-CARBON'!$D$51:$AW$51), 0), IF($B19='Project List References'!$B$7, _xlfn.IFNA(_xlfn.XLOOKUP(T$2-$C19, 'SENS Coal'!$D$7:$AW$7, 'SENS Coal'!$D$51:$AW$51), 0), IF($B19='Project List References'!$B$8, _xlfn.IFNA(_xlfn.XLOOKUP(T$2-$C19, 'SENS Tires'!$D$7:$AW$7, 'SENS Tires'!$D$51:$AW$51), 0)))))))/_xlfn.XLOOKUP($B19,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</row>
    <row r="20" spans="1:20">
      <c r="A20" s="655" t="str">
        <f>IF(ISBLANK('Project Master Sheet'!A20)=FALSE, 'Project Master Sheet'!A20, "")</f>
        <v/>
      </c>
      <c r="B20" s="655" t="str">
        <f>_xlfn.IFNA(_xlfn.XLOOKUP(A20, 'Project Master Sheet'!A:A, 'Project Master Sheet'!D:D), "")</f>
        <v/>
      </c>
      <c r="C20" s="655" t="e">
        <f>_xlfn.XLOOKUP('Project OPEX'!A20, 'Project Master Sheet'!A:A, 'Project Master Sheet'!I:I)</f>
        <v>#N/A</v>
      </c>
      <c r="E20" s="743" t="e">
        <f>IF($B20='Project List References'!$B$3, _xlfn.IFNA(_xlfn.XLOOKUP(E$2-$C20, 'GEN-CCGT'!$D$7:$AW$7, 'GEN-CCGT'!$D$51:$AW$51), 0), IF($B20='Project List References'!$B$4, _xlfn.IFNA(_xlfn.XLOOKUP(E$2-$C20, 'GEN-SOLAR'!$D$7:$AW$7, 'GEN-SOLAR'!$D$51:$AW$51), 0), IF($B20='Project List References'!$B$5, _xlfn.IFNA(_xlfn.XLOOKUP(E$2-$C20, 'GEN-BESS'!$D$7:$AW$7, 'GEN-BESS'!$D$51:$AW$51), 0), IF($B20='Project List References'!$B$6, _xlfn.IFNA(_xlfn.XLOOKUP(E$2-$C20, 'GEN-CARBON'!$D$7:$AW$7, 'GEN-CARBON'!$D$51:$AW$51), 0), IF($B20='Project List References'!$B$7, _xlfn.IFNA(_xlfn.XLOOKUP(E$2-$C20, 'SENS Coal'!$D$7:$AW$7, 'SENS Coal'!$D$51:$AW$51), 0), IF($B20='Project List References'!$B$8, _xlfn.IFNA(_xlfn.XLOOKUP(E$2-$C20,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F20" s="743" t="e">
        <f>IF($B20='Project List References'!$B$3, _xlfn.IFNA(_xlfn.XLOOKUP(F$2-$C20, 'GEN-CCGT'!$D$7:$AW$7, 'GEN-CCGT'!$D$51:$AW$51), 0), IF($B20='Project List References'!$B$4, _xlfn.IFNA(_xlfn.XLOOKUP(F$2-$C20, 'GEN-SOLAR'!$D$7:$AW$7, 'GEN-SOLAR'!$D$51:$AW$51), 0), IF($B20='Project List References'!$B$5, _xlfn.IFNA(_xlfn.XLOOKUP(F$2-$C20, 'GEN-BESS'!$D$7:$AW$7, 'GEN-BESS'!$D$51:$AW$51), 0), IF($B20='Project List References'!$B$6, _xlfn.IFNA(_xlfn.XLOOKUP(F$2-$C20, 'GEN-CARBON'!$D$7:$AW$7, 'GEN-CARBON'!$D$51:$AW$51), 0), IF($B20='Project List References'!$B$7, _xlfn.IFNA(_xlfn.XLOOKUP(F$2-$C20, 'SENS Coal'!$D$7:$AW$7, 'SENS Coal'!$D$51:$AW$51), 0), IF($B20='Project List References'!$B$8, _xlfn.IFNA(_xlfn.XLOOKUP(F$2-$C20,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G20" s="743" t="e">
        <f>IF($B20='Project List References'!$B$3, _xlfn.IFNA(_xlfn.XLOOKUP(G$2-$C20, 'GEN-CCGT'!$D$7:$AW$7, 'GEN-CCGT'!$D$51:$AW$51), 0), IF($B20='Project List References'!$B$4, _xlfn.IFNA(_xlfn.XLOOKUP(G$2-$C20, 'GEN-SOLAR'!$D$7:$AW$7, 'GEN-SOLAR'!$D$51:$AW$51), 0), IF($B20='Project List References'!$B$5, _xlfn.IFNA(_xlfn.XLOOKUP(G$2-$C20, 'GEN-BESS'!$D$7:$AW$7, 'GEN-BESS'!$D$51:$AW$51), 0), IF($B20='Project List References'!$B$6, _xlfn.IFNA(_xlfn.XLOOKUP(G$2-$C20, 'GEN-CARBON'!$D$7:$AW$7, 'GEN-CARBON'!$D$51:$AW$51), 0), IF($B20='Project List References'!$B$7, _xlfn.IFNA(_xlfn.XLOOKUP(G$2-$C20, 'SENS Coal'!$D$7:$AW$7, 'SENS Coal'!$D$51:$AW$51), 0), IF($B20='Project List References'!$B$8, _xlfn.IFNA(_xlfn.XLOOKUP(G$2-$C20,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H20" s="743" t="e">
        <f>IF($B20='Project List References'!$B$3, _xlfn.IFNA(_xlfn.XLOOKUP(H$2-$C20, 'GEN-CCGT'!$D$7:$AW$7, 'GEN-CCGT'!$D$51:$AW$51), 0), IF($B20='Project List References'!$B$4, _xlfn.IFNA(_xlfn.XLOOKUP(H$2-$C20, 'GEN-SOLAR'!$D$7:$AW$7, 'GEN-SOLAR'!$D$51:$AW$51), 0), IF($B20='Project List References'!$B$5, _xlfn.IFNA(_xlfn.XLOOKUP(H$2-$C20, 'GEN-BESS'!$D$7:$AW$7, 'GEN-BESS'!$D$51:$AW$51), 0), IF($B20='Project List References'!$B$6, _xlfn.IFNA(_xlfn.XLOOKUP(H$2-$C20, 'GEN-CARBON'!$D$7:$AW$7, 'GEN-CARBON'!$D$51:$AW$51), 0), IF($B20='Project List References'!$B$7, _xlfn.IFNA(_xlfn.XLOOKUP(H$2-$C20, 'SENS Coal'!$D$7:$AW$7, 'SENS Coal'!$D$51:$AW$51), 0), IF($B20='Project List References'!$B$8, _xlfn.IFNA(_xlfn.XLOOKUP(H$2-$C20,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I20" s="743" t="e">
        <f>IF($B20='Project List References'!$B$3, _xlfn.IFNA(_xlfn.XLOOKUP(I$2-$C20, 'GEN-CCGT'!$D$7:$AW$7, 'GEN-CCGT'!$D$51:$AW$51), 0), IF($B20='Project List References'!$B$4, _xlfn.IFNA(_xlfn.XLOOKUP(I$2-$C20, 'GEN-SOLAR'!$D$7:$AW$7, 'GEN-SOLAR'!$D$51:$AW$51), 0), IF($B20='Project List References'!$B$5, _xlfn.IFNA(_xlfn.XLOOKUP(I$2-$C20, 'GEN-BESS'!$D$7:$AW$7, 'GEN-BESS'!$D$51:$AW$51), 0), IF($B20='Project List References'!$B$6, _xlfn.IFNA(_xlfn.XLOOKUP(I$2-$C20, 'GEN-CARBON'!$D$7:$AW$7, 'GEN-CARBON'!$D$51:$AW$51), 0), IF($B20='Project List References'!$B$7, _xlfn.IFNA(_xlfn.XLOOKUP(I$2-$C20, 'SENS Coal'!$D$7:$AW$7, 'SENS Coal'!$D$51:$AW$51), 0), IF($B20='Project List References'!$B$8, _xlfn.IFNA(_xlfn.XLOOKUP(I$2-$C20,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J20" s="743" t="e">
        <f>IF($B20='Project List References'!$B$3, _xlfn.IFNA(_xlfn.XLOOKUP(J$2-$C20, 'GEN-CCGT'!$D$7:$AW$7, 'GEN-CCGT'!$D$51:$AW$51), 0), IF($B20='Project List References'!$B$4, _xlfn.IFNA(_xlfn.XLOOKUP(J$2-$C20, 'GEN-SOLAR'!$D$7:$AW$7, 'GEN-SOLAR'!$D$51:$AW$51), 0), IF($B20='Project List References'!$B$5, _xlfn.IFNA(_xlfn.XLOOKUP(J$2-$C20, 'GEN-BESS'!$D$7:$AW$7, 'GEN-BESS'!$D$51:$AW$51), 0), IF($B20='Project List References'!$B$6, _xlfn.IFNA(_xlfn.XLOOKUP(J$2-$C20, 'GEN-CARBON'!$D$7:$AW$7, 'GEN-CARBON'!$D$51:$AW$51), 0), IF($B20='Project List References'!$B$7, _xlfn.IFNA(_xlfn.XLOOKUP(J$2-$C20, 'SENS Coal'!$D$7:$AW$7, 'SENS Coal'!$D$51:$AW$51), 0), IF($B20='Project List References'!$B$8, _xlfn.IFNA(_xlfn.XLOOKUP(J$2-$C20,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K20" s="743" t="e">
        <f>IF($B20='Project List References'!$B$3, _xlfn.IFNA(_xlfn.XLOOKUP(K$2-$C20, 'GEN-CCGT'!$D$7:$AW$7, 'GEN-CCGT'!$D$51:$AW$51), 0), IF($B20='Project List References'!$B$4, _xlfn.IFNA(_xlfn.XLOOKUP(K$2-$C20, 'GEN-SOLAR'!$D$7:$AW$7, 'GEN-SOLAR'!$D$51:$AW$51), 0), IF($B20='Project List References'!$B$5, _xlfn.IFNA(_xlfn.XLOOKUP(K$2-$C20, 'GEN-BESS'!$D$7:$AW$7, 'GEN-BESS'!$D$51:$AW$51), 0), IF($B20='Project List References'!$B$6, _xlfn.IFNA(_xlfn.XLOOKUP(K$2-$C20, 'GEN-CARBON'!$D$7:$AW$7, 'GEN-CARBON'!$D$51:$AW$51), 0), IF($B20='Project List References'!$B$7, _xlfn.IFNA(_xlfn.XLOOKUP(K$2-$C20, 'SENS Coal'!$D$7:$AW$7, 'SENS Coal'!$D$51:$AW$51), 0), IF($B20='Project List References'!$B$8, _xlfn.IFNA(_xlfn.XLOOKUP(K$2-$C20,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L20" s="743" t="e">
        <f>IF($B20='Project List References'!$B$3, _xlfn.IFNA(_xlfn.XLOOKUP(L$2-$C20, 'GEN-CCGT'!$D$7:$AW$7, 'GEN-CCGT'!$D$51:$AW$51), 0), IF($B20='Project List References'!$B$4, _xlfn.IFNA(_xlfn.XLOOKUP(L$2-$C20, 'GEN-SOLAR'!$D$7:$AW$7, 'GEN-SOLAR'!$D$51:$AW$51), 0), IF($B20='Project List References'!$B$5, _xlfn.IFNA(_xlfn.XLOOKUP(L$2-$C20, 'GEN-BESS'!$D$7:$AW$7, 'GEN-BESS'!$D$51:$AW$51), 0), IF($B20='Project List References'!$B$6, _xlfn.IFNA(_xlfn.XLOOKUP(L$2-$C20, 'GEN-CARBON'!$D$7:$AW$7, 'GEN-CARBON'!$D$51:$AW$51), 0), IF($B20='Project List References'!$B$7, _xlfn.IFNA(_xlfn.XLOOKUP(L$2-$C20, 'SENS Coal'!$D$7:$AW$7, 'SENS Coal'!$D$51:$AW$51), 0), IF($B20='Project List References'!$B$8, _xlfn.IFNA(_xlfn.XLOOKUP(L$2-$C20,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M20" s="743" t="e">
        <f>IF($B20='Project List References'!$B$3, _xlfn.IFNA(_xlfn.XLOOKUP(M$2-$C20, 'GEN-CCGT'!$D$7:$AW$7, 'GEN-CCGT'!$D$51:$AW$51), 0), IF($B20='Project List References'!$B$4, _xlfn.IFNA(_xlfn.XLOOKUP(M$2-$C20, 'GEN-SOLAR'!$D$7:$AW$7, 'GEN-SOLAR'!$D$51:$AW$51), 0), IF($B20='Project List References'!$B$5, _xlfn.IFNA(_xlfn.XLOOKUP(M$2-$C20, 'GEN-BESS'!$D$7:$AW$7, 'GEN-BESS'!$D$51:$AW$51), 0), IF($B20='Project List References'!$B$6, _xlfn.IFNA(_xlfn.XLOOKUP(M$2-$C20, 'GEN-CARBON'!$D$7:$AW$7, 'GEN-CARBON'!$D$51:$AW$51), 0), IF($B20='Project List References'!$B$7, _xlfn.IFNA(_xlfn.XLOOKUP(M$2-$C20, 'SENS Coal'!$D$7:$AW$7, 'SENS Coal'!$D$51:$AW$51), 0), IF($B20='Project List References'!$B$8, _xlfn.IFNA(_xlfn.XLOOKUP(M$2-$C20,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N20" s="743" t="e">
        <f>IF($B20='Project List References'!$B$3, _xlfn.IFNA(_xlfn.XLOOKUP(N$2-$C20, 'GEN-CCGT'!$D$7:$AW$7, 'GEN-CCGT'!$D$51:$AW$51), 0), IF($B20='Project List References'!$B$4, _xlfn.IFNA(_xlfn.XLOOKUP(N$2-$C20, 'GEN-SOLAR'!$D$7:$AW$7, 'GEN-SOLAR'!$D$51:$AW$51), 0), IF($B20='Project List References'!$B$5, _xlfn.IFNA(_xlfn.XLOOKUP(N$2-$C20, 'GEN-BESS'!$D$7:$AW$7, 'GEN-BESS'!$D$51:$AW$51), 0), IF($B20='Project List References'!$B$6, _xlfn.IFNA(_xlfn.XLOOKUP(N$2-$C20, 'GEN-CARBON'!$D$7:$AW$7, 'GEN-CARBON'!$D$51:$AW$51), 0), IF($B20='Project List References'!$B$7, _xlfn.IFNA(_xlfn.XLOOKUP(N$2-$C20, 'SENS Coal'!$D$7:$AW$7, 'SENS Coal'!$D$51:$AW$51), 0), IF($B20='Project List References'!$B$8, _xlfn.IFNA(_xlfn.XLOOKUP(N$2-$C20,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O20" s="743" t="e">
        <f>IF($B20='Project List References'!$B$3, _xlfn.IFNA(_xlfn.XLOOKUP(O$2-$C20, 'GEN-CCGT'!$D$7:$AW$7, 'GEN-CCGT'!$D$51:$AW$51), 0), IF($B20='Project List References'!$B$4, _xlfn.IFNA(_xlfn.XLOOKUP(O$2-$C20, 'GEN-SOLAR'!$D$7:$AW$7, 'GEN-SOLAR'!$D$51:$AW$51), 0), IF($B20='Project List References'!$B$5, _xlfn.IFNA(_xlfn.XLOOKUP(O$2-$C20, 'GEN-BESS'!$D$7:$AW$7, 'GEN-BESS'!$D$51:$AW$51), 0), IF($B20='Project List References'!$B$6, _xlfn.IFNA(_xlfn.XLOOKUP(O$2-$C20, 'GEN-CARBON'!$D$7:$AW$7, 'GEN-CARBON'!$D$51:$AW$51), 0), IF($B20='Project List References'!$B$7, _xlfn.IFNA(_xlfn.XLOOKUP(O$2-$C20, 'SENS Coal'!$D$7:$AW$7, 'SENS Coal'!$D$51:$AW$51), 0), IF($B20='Project List References'!$B$8, _xlfn.IFNA(_xlfn.XLOOKUP(O$2-$C20,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P20" s="743" t="e">
        <f>IF($B20='Project List References'!$B$3, _xlfn.IFNA(_xlfn.XLOOKUP(P$2-$C20, 'GEN-CCGT'!$D$7:$AW$7, 'GEN-CCGT'!$D$51:$AW$51), 0), IF($B20='Project List References'!$B$4, _xlfn.IFNA(_xlfn.XLOOKUP(P$2-$C20, 'GEN-SOLAR'!$D$7:$AW$7, 'GEN-SOLAR'!$D$51:$AW$51), 0), IF($B20='Project List References'!$B$5, _xlfn.IFNA(_xlfn.XLOOKUP(P$2-$C20, 'GEN-BESS'!$D$7:$AW$7, 'GEN-BESS'!$D$51:$AW$51), 0), IF($B20='Project List References'!$B$6, _xlfn.IFNA(_xlfn.XLOOKUP(P$2-$C20, 'GEN-CARBON'!$D$7:$AW$7, 'GEN-CARBON'!$D$51:$AW$51), 0), IF($B20='Project List References'!$B$7, _xlfn.IFNA(_xlfn.XLOOKUP(P$2-$C20, 'SENS Coal'!$D$7:$AW$7, 'SENS Coal'!$D$51:$AW$51), 0), IF($B20='Project List References'!$B$8, _xlfn.IFNA(_xlfn.XLOOKUP(P$2-$C20,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Q20" s="743" t="e">
        <f>IF($B20='Project List References'!$B$3, _xlfn.IFNA(_xlfn.XLOOKUP(Q$2-$C20, 'GEN-CCGT'!$D$7:$AW$7, 'GEN-CCGT'!$D$51:$AW$51), 0), IF($B20='Project List References'!$B$4, _xlfn.IFNA(_xlfn.XLOOKUP(Q$2-$C20, 'GEN-SOLAR'!$D$7:$AW$7, 'GEN-SOLAR'!$D$51:$AW$51), 0), IF($B20='Project List References'!$B$5, _xlfn.IFNA(_xlfn.XLOOKUP(Q$2-$C20, 'GEN-BESS'!$D$7:$AW$7, 'GEN-BESS'!$D$51:$AW$51), 0), IF($B20='Project List References'!$B$6, _xlfn.IFNA(_xlfn.XLOOKUP(Q$2-$C20, 'GEN-CARBON'!$D$7:$AW$7, 'GEN-CARBON'!$D$51:$AW$51), 0), IF($B20='Project List References'!$B$7, _xlfn.IFNA(_xlfn.XLOOKUP(Q$2-$C20, 'SENS Coal'!$D$7:$AW$7, 'SENS Coal'!$D$51:$AW$51), 0), IF($B20='Project List References'!$B$8, _xlfn.IFNA(_xlfn.XLOOKUP(Q$2-$C20,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R20" s="743" t="e">
        <f>IF($B20='Project List References'!$B$3, _xlfn.IFNA(_xlfn.XLOOKUP(R$2-$C20, 'GEN-CCGT'!$D$7:$AW$7, 'GEN-CCGT'!$D$51:$AW$51), 0), IF($B20='Project List References'!$B$4, _xlfn.IFNA(_xlfn.XLOOKUP(R$2-$C20, 'GEN-SOLAR'!$D$7:$AW$7, 'GEN-SOLAR'!$D$51:$AW$51), 0), IF($B20='Project List References'!$B$5, _xlfn.IFNA(_xlfn.XLOOKUP(R$2-$C20, 'GEN-BESS'!$D$7:$AW$7, 'GEN-BESS'!$D$51:$AW$51), 0), IF($B20='Project List References'!$B$6, _xlfn.IFNA(_xlfn.XLOOKUP(R$2-$C20, 'GEN-CARBON'!$D$7:$AW$7, 'GEN-CARBON'!$D$51:$AW$51), 0), IF($B20='Project List References'!$B$7, _xlfn.IFNA(_xlfn.XLOOKUP(R$2-$C20, 'SENS Coal'!$D$7:$AW$7, 'SENS Coal'!$D$51:$AW$51), 0), IF($B20='Project List References'!$B$8, _xlfn.IFNA(_xlfn.XLOOKUP(R$2-$C20,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S20" s="743" t="e">
        <f>IF($B20='Project List References'!$B$3, _xlfn.IFNA(_xlfn.XLOOKUP(S$2-$C20, 'GEN-CCGT'!$D$7:$AW$7, 'GEN-CCGT'!$D$51:$AW$51), 0), IF($B20='Project List References'!$B$4, _xlfn.IFNA(_xlfn.XLOOKUP(S$2-$C20, 'GEN-SOLAR'!$D$7:$AW$7, 'GEN-SOLAR'!$D$51:$AW$51), 0), IF($B20='Project List References'!$B$5, _xlfn.IFNA(_xlfn.XLOOKUP(S$2-$C20, 'GEN-BESS'!$D$7:$AW$7, 'GEN-BESS'!$D$51:$AW$51), 0), IF($B20='Project List References'!$B$6, _xlfn.IFNA(_xlfn.XLOOKUP(S$2-$C20, 'GEN-CARBON'!$D$7:$AW$7, 'GEN-CARBON'!$D$51:$AW$51), 0), IF($B20='Project List References'!$B$7, _xlfn.IFNA(_xlfn.XLOOKUP(S$2-$C20, 'SENS Coal'!$D$7:$AW$7, 'SENS Coal'!$D$51:$AW$51), 0), IF($B20='Project List References'!$B$8, _xlfn.IFNA(_xlfn.XLOOKUP(S$2-$C20,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T20" s="743" t="e">
        <f>IF($B20='Project List References'!$B$3, _xlfn.IFNA(_xlfn.XLOOKUP(T$2-$C20, 'GEN-CCGT'!$D$7:$AW$7, 'GEN-CCGT'!$D$51:$AW$51), 0), IF($B20='Project List References'!$B$4, _xlfn.IFNA(_xlfn.XLOOKUP(T$2-$C20, 'GEN-SOLAR'!$D$7:$AW$7, 'GEN-SOLAR'!$D$51:$AW$51), 0), IF($B20='Project List References'!$B$5, _xlfn.IFNA(_xlfn.XLOOKUP(T$2-$C20, 'GEN-BESS'!$D$7:$AW$7, 'GEN-BESS'!$D$51:$AW$51), 0), IF($B20='Project List References'!$B$6, _xlfn.IFNA(_xlfn.XLOOKUP(T$2-$C20, 'GEN-CARBON'!$D$7:$AW$7, 'GEN-CARBON'!$D$51:$AW$51), 0), IF($B20='Project List References'!$B$7, _xlfn.IFNA(_xlfn.XLOOKUP(T$2-$C20, 'SENS Coal'!$D$7:$AW$7, 'SENS Coal'!$D$51:$AW$51), 0), IF($B20='Project List References'!$B$8, _xlfn.IFNA(_xlfn.XLOOKUP(T$2-$C20, 'SENS Tires'!$D$7:$AW$7, 'SENS Tires'!$D$51:$AW$51), 0)))))))/_xlfn.XLOOKUP($B20,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</row>
    <row r="21" spans="1:20">
      <c r="A21" s="655" t="str">
        <f>IF(ISBLANK('Project Master Sheet'!A21)=FALSE, 'Project Master Sheet'!A21, "")</f>
        <v/>
      </c>
      <c r="B21" s="655" t="str">
        <f>_xlfn.IFNA(_xlfn.XLOOKUP(A21, 'Project Master Sheet'!A:A, 'Project Master Sheet'!D:D), "")</f>
        <v/>
      </c>
      <c r="C21" s="655" t="e">
        <f>_xlfn.XLOOKUP('Project OPEX'!A21, 'Project Master Sheet'!A:A, 'Project Master Sheet'!I:I)</f>
        <v>#N/A</v>
      </c>
      <c r="E21" s="743" t="e">
        <f>IF($B21='Project List References'!$B$3, _xlfn.IFNA(_xlfn.XLOOKUP(E$2-$C21, 'GEN-CCGT'!$D$7:$AW$7, 'GEN-CCGT'!$D$51:$AW$51), 0), IF($B21='Project List References'!$B$4, _xlfn.IFNA(_xlfn.XLOOKUP(E$2-$C21, 'GEN-SOLAR'!$D$7:$AW$7, 'GEN-SOLAR'!$D$51:$AW$51), 0), IF($B21='Project List References'!$B$5, _xlfn.IFNA(_xlfn.XLOOKUP(E$2-$C21, 'GEN-BESS'!$D$7:$AW$7, 'GEN-BESS'!$D$51:$AW$51), 0), IF($B21='Project List References'!$B$6, _xlfn.IFNA(_xlfn.XLOOKUP(E$2-$C21, 'GEN-CARBON'!$D$7:$AW$7, 'GEN-CARBON'!$D$51:$AW$51), 0), IF($B21='Project List References'!$B$7, _xlfn.IFNA(_xlfn.XLOOKUP(E$2-$C21, 'SENS Coal'!$D$7:$AW$7, 'SENS Coal'!$D$51:$AW$51), 0), IF($B21='Project List References'!$B$8, _xlfn.IFNA(_xlfn.XLOOKUP(E$2-$C21,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F21" s="743" t="e">
        <f>IF($B21='Project List References'!$B$3, _xlfn.IFNA(_xlfn.XLOOKUP(F$2-$C21, 'GEN-CCGT'!$D$7:$AW$7, 'GEN-CCGT'!$D$51:$AW$51), 0), IF($B21='Project List References'!$B$4, _xlfn.IFNA(_xlfn.XLOOKUP(F$2-$C21, 'GEN-SOLAR'!$D$7:$AW$7, 'GEN-SOLAR'!$D$51:$AW$51), 0), IF($B21='Project List References'!$B$5, _xlfn.IFNA(_xlfn.XLOOKUP(F$2-$C21, 'GEN-BESS'!$D$7:$AW$7, 'GEN-BESS'!$D$51:$AW$51), 0), IF($B21='Project List References'!$B$6, _xlfn.IFNA(_xlfn.XLOOKUP(F$2-$C21, 'GEN-CARBON'!$D$7:$AW$7, 'GEN-CARBON'!$D$51:$AW$51), 0), IF($B21='Project List References'!$B$7, _xlfn.IFNA(_xlfn.XLOOKUP(F$2-$C21, 'SENS Coal'!$D$7:$AW$7, 'SENS Coal'!$D$51:$AW$51), 0), IF($B21='Project List References'!$B$8, _xlfn.IFNA(_xlfn.XLOOKUP(F$2-$C21,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G21" s="743" t="e">
        <f>IF($B21='Project List References'!$B$3, _xlfn.IFNA(_xlfn.XLOOKUP(G$2-$C21, 'GEN-CCGT'!$D$7:$AW$7, 'GEN-CCGT'!$D$51:$AW$51), 0), IF($B21='Project List References'!$B$4, _xlfn.IFNA(_xlfn.XLOOKUP(G$2-$C21, 'GEN-SOLAR'!$D$7:$AW$7, 'GEN-SOLAR'!$D$51:$AW$51), 0), IF($B21='Project List References'!$B$5, _xlfn.IFNA(_xlfn.XLOOKUP(G$2-$C21, 'GEN-BESS'!$D$7:$AW$7, 'GEN-BESS'!$D$51:$AW$51), 0), IF($B21='Project List References'!$B$6, _xlfn.IFNA(_xlfn.XLOOKUP(G$2-$C21, 'GEN-CARBON'!$D$7:$AW$7, 'GEN-CARBON'!$D$51:$AW$51), 0), IF($B21='Project List References'!$B$7, _xlfn.IFNA(_xlfn.XLOOKUP(G$2-$C21, 'SENS Coal'!$D$7:$AW$7, 'SENS Coal'!$D$51:$AW$51), 0), IF($B21='Project List References'!$B$8, _xlfn.IFNA(_xlfn.XLOOKUP(G$2-$C21,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H21" s="743" t="e">
        <f>IF($B21='Project List References'!$B$3, _xlfn.IFNA(_xlfn.XLOOKUP(H$2-$C21, 'GEN-CCGT'!$D$7:$AW$7, 'GEN-CCGT'!$D$51:$AW$51), 0), IF($B21='Project List References'!$B$4, _xlfn.IFNA(_xlfn.XLOOKUP(H$2-$C21, 'GEN-SOLAR'!$D$7:$AW$7, 'GEN-SOLAR'!$D$51:$AW$51), 0), IF($B21='Project List References'!$B$5, _xlfn.IFNA(_xlfn.XLOOKUP(H$2-$C21, 'GEN-BESS'!$D$7:$AW$7, 'GEN-BESS'!$D$51:$AW$51), 0), IF($B21='Project List References'!$B$6, _xlfn.IFNA(_xlfn.XLOOKUP(H$2-$C21, 'GEN-CARBON'!$D$7:$AW$7, 'GEN-CARBON'!$D$51:$AW$51), 0), IF($B21='Project List References'!$B$7, _xlfn.IFNA(_xlfn.XLOOKUP(H$2-$C21, 'SENS Coal'!$D$7:$AW$7, 'SENS Coal'!$D$51:$AW$51), 0), IF($B21='Project List References'!$B$8, _xlfn.IFNA(_xlfn.XLOOKUP(H$2-$C21,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I21" s="743" t="e">
        <f>IF($B21='Project List References'!$B$3, _xlfn.IFNA(_xlfn.XLOOKUP(I$2-$C21, 'GEN-CCGT'!$D$7:$AW$7, 'GEN-CCGT'!$D$51:$AW$51), 0), IF($B21='Project List References'!$B$4, _xlfn.IFNA(_xlfn.XLOOKUP(I$2-$C21, 'GEN-SOLAR'!$D$7:$AW$7, 'GEN-SOLAR'!$D$51:$AW$51), 0), IF($B21='Project List References'!$B$5, _xlfn.IFNA(_xlfn.XLOOKUP(I$2-$C21, 'GEN-BESS'!$D$7:$AW$7, 'GEN-BESS'!$D$51:$AW$51), 0), IF($B21='Project List References'!$B$6, _xlfn.IFNA(_xlfn.XLOOKUP(I$2-$C21, 'GEN-CARBON'!$D$7:$AW$7, 'GEN-CARBON'!$D$51:$AW$51), 0), IF($B21='Project List References'!$B$7, _xlfn.IFNA(_xlfn.XLOOKUP(I$2-$C21, 'SENS Coal'!$D$7:$AW$7, 'SENS Coal'!$D$51:$AW$51), 0), IF($B21='Project List References'!$B$8, _xlfn.IFNA(_xlfn.XLOOKUP(I$2-$C21,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J21" s="743" t="e">
        <f>IF($B21='Project List References'!$B$3, _xlfn.IFNA(_xlfn.XLOOKUP(J$2-$C21, 'GEN-CCGT'!$D$7:$AW$7, 'GEN-CCGT'!$D$51:$AW$51), 0), IF($B21='Project List References'!$B$4, _xlfn.IFNA(_xlfn.XLOOKUP(J$2-$C21, 'GEN-SOLAR'!$D$7:$AW$7, 'GEN-SOLAR'!$D$51:$AW$51), 0), IF($B21='Project List References'!$B$5, _xlfn.IFNA(_xlfn.XLOOKUP(J$2-$C21, 'GEN-BESS'!$D$7:$AW$7, 'GEN-BESS'!$D$51:$AW$51), 0), IF($B21='Project List References'!$B$6, _xlfn.IFNA(_xlfn.XLOOKUP(J$2-$C21, 'GEN-CARBON'!$D$7:$AW$7, 'GEN-CARBON'!$D$51:$AW$51), 0), IF($B21='Project List References'!$B$7, _xlfn.IFNA(_xlfn.XLOOKUP(J$2-$C21, 'SENS Coal'!$D$7:$AW$7, 'SENS Coal'!$D$51:$AW$51), 0), IF($B21='Project List References'!$B$8, _xlfn.IFNA(_xlfn.XLOOKUP(J$2-$C21,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K21" s="743" t="e">
        <f>IF($B21='Project List References'!$B$3, _xlfn.IFNA(_xlfn.XLOOKUP(K$2-$C21, 'GEN-CCGT'!$D$7:$AW$7, 'GEN-CCGT'!$D$51:$AW$51), 0), IF($B21='Project List References'!$B$4, _xlfn.IFNA(_xlfn.XLOOKUP(K$2-$C21, 'GEN-SOLAR'!$D$7:$AW$7, 'GEN-SOLAR'!$D$51:$AW$51), 0), IF($B21='Project List References'!$B$5, _xlfn.IFNA(_xlfn.XLOOKUP(K$2-$C21, 'GEN-BESS'!$D$7:$AW$7, 'GEN-BESS'!$D$51:$AW$51), 0), IF($B21='Project List References'!$B$6, _xlfn.IFNA(_xlfn.XLOOKUP(K$2-$C21, 'GEN-CARBON'!$D$7:$AW$7, 'GEN-CARBON'!$D$51:$AW$51), 0), IF($B21='Project List References'!$B$7, _xlfn.IFNA(_xlfn.XLOOKUP(K$2-$C21, 'SENS Coal'!$D$7:$AW$7, 'SENS Coal'!$D$51:$AW$51), 0), IF($B21='Project List References'!$B$8, _xlfn.IFNA(_xlfn.XLOOKUP(K$2-$C21,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L21" s="743" t="e">
        <f>IF($B21='Project List References'!$B$3, _xlfn.IFNA(_xlfn.XLOOKUP(L$2-$C21, 'GEN-CCGT'!$D$7:$AW$7, 'GEN-CCGT'!$D$51:$AW$51), 0), IF($B21='Project List References'!$B$4, _xlfn.IFNA(_xlfn.XLOOKUP(L$2-$C21, 'GEN-SOLAR'!$D$7:$AW$7, 'GEN-SOLAR'!$D$51:$AW$51), 0), IF($B21='Project List References'!$B$5, _xlfn.IFNA(_xlfn.XLOOKUP(L$2-$C21, 'GEN-BESS'!$D$7:$AW$7, 'GEN-BESS'!$D$51:$AW$51), 0), IF($B21='Project List References'!$B$6, _xlfn.IFNA(_xlfn.XLOOKUP(L$2-$C21, 'GEN-CARBON'!$D$7:$AW$7, 'GEN-CARBON'!$D$51:$AW$51), 0), IF($B21='Project List References'!$B$7, _xlfn.IFNA(_xlfn.XLOOKUP(L$2-$C21, 'SENS Coal'!$D$7:$AW$7, 'SENS Coal'!$D$51:$AW$51), 0), IF($B21='Project List References'!$B$8, _xlfn.IFNA(_xlfn.XLOOKUP(L$2-$C21,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M21" s="743" t="e">
        <f>IF($B21='Project List References'!$B$3, _xlfn.IFNA(_xlfn.XLOOKUP(M$2-$C21, 'GEN-CCGT'!$D$7:$AW$7, 'GEN-CCGT'!$D$51:$AW$51), 0), IF($B21='Project List References'!$B$4, _xlfn.IFNA(_xlfn.XLOOKUP(M$2-$C21, 'GEN-SOLAR'!$D$7:$AW$7, 'GEN-SOLAR'!$D$51:$AW$51), 0), IF($B21='Project List References'!$B$5, _xlfn.IFNA(_xlfn.XLOOKUP(M$2-$C21, 'GEN-BESS'!$D$7:$AW$7, 'GEN-BESS'!$D$51:$AW$51), 0), IF($B21='Project List References'!$B$6, _xlfn.IFNA(_xlfn.XLOOKUP(M$2-$C21, 'GEN-CARBON'!$D$7:$AW$7, 'GEN-CARBON'!$D$51:$AW$51), 0), IF($B21='Project List References'!$B$7, _xlfn.IFNA(_xlfn.XLOOKUP(M$2-$C21, 'SENS Coal'!$D$7:$AW$7, 'SENS Coal'!$D$51:$AW$51), 0), IF($B21='Project List References'!$B$8, _xlfn.IFNA(_xlfn.XLOOKUP(M$2-$C21,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N21" s="743" t="e">
        <f>IF($B21='Project List References'!$B$3, _xlfn.IFNA(_xlfn.XLOOKUP(N$2-$C21, 'GEN-CCGT'!$D$7:$AW$7, 'GEN-CCGT'!$D$51:$AW$51), 0), IF($B21='Project List References'!$B$4, _xlfn.IFNA(_xlfn.XLOOKUP(N$2-$C21, 'GEN-SOLAR'!$D$7:$AW$7, 'GEN-SOLAR'!$D$51:$AW$51), 0), IF($B21='Project List References'!$B$5, _xlfn.IFNA(_xlfn.XLOOKUP(N$2-$C21, 'GEN-BESS'!$D$7:$AW$7, 'GEN-BESS'!$D$51:$AW$51), 0), IF($B21='Project List References'!$B$6, _xlfn.IFNA(_xlfn.XLOOKUP(N$2-$C21, 'GEN-CARBON'!$D$7:$AW$7, 'GEN-CARBON'!$D$51:$AW$51), 0), IF($B21='Project List References'!$B$7, _xlfn.IFNA(_xlfn.XLOOKUP(N$2-$C21, 'SENS Coal'!$D$7:$AW$7, 'SENS Coal'!$D$51:$AW$51), 0), IF($B21='Project List References'!$B$8, _xlfn.IFNA(_xlfn.XLOOKUP(N$2-$C21,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O21" s="743" t="e">
        <f>IF($B21='Project List References'!$B$3, _xlfn.IFNA(_xlfn.XLOOKUP(O$2-$C21, 'GEN-CCGT'!$D$7:$AW$7, 'GEN-CCGT'!$D$51:$AW$51), 0), IF($B21='Project List References'!$B$4, _xlfn.IFNA(_xlfn.XLOOKUP(O$2-$C21, 'GEN-SOLAR'!$D$7:$AW$7, 'GEN-SOLAR'!$D$51:$AW$51), 0), IF($B21='Project List References'!$B$5, _xlfn.IFNA(_xlfn.XLOOKUP(O$2-$C21, 'GEN-BESS'!$D$7:$AW$7, 'GEN-BESS'!$D$51:$AW$51), 0), IF($B21='Project List References'!$B$6, _xlfn.IFNA(_xlfn.XLOOKUP(O$2-$C21, 'GEN-CARBON'!$D$7:$AW$7, 'GEN-CARBON'!$D$51:$AW$51), 0), IF($B21='Project List References'!$B$7, _xlfn.IFNA(_xlfn.XLOOKUP(O$2-$C21, 'SENS Coal'!$D$7:$AW$7, 'SENS Coal'!$D$51:$AW$51), 0), IF($B21='Project List References'!$B$8, _xlfn.IFNA(_xlfn.XLOOKUP(O$2-$C21,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P21" s="743" t="e">
        <f>IF($B21='Project List References'!$B$3, _xlfn.IFNA(_xlfn.XLOOKUP(P$2-$C21, 'GEN-CCGT'!$D$7:$AW$7, 'GEN-CCGT'!$D$51:$AW$51), 0), IF($B21='Project List References'!$B$4, _xlfn.IFNA(_xlfn.XLOOKUP(P$2-$C21, 'GEN-SOLAR'!$D$7:$AW$7, 'GEN-SOLAR'!$D$51:$AW$51), 0), IF($B21='Project List References'!$B$5, _xlfn.IFNA(_xlfn.XLOOKUP(P$2-$C21, 'GEN-BESS'!$D$7:$AW$7, 'GEN-BESS'!$D$51:$AW$51), 0), IF($B21='Project List References'!$B$6, _xlfn.IFNA(_xlfn.XLOOKUP(P$2-$C21, 'GEN-CARBON'!$D$7:$AW$7, 'GEN-CARBON'!$D$51:$AW$51), 0), IF($B21='Project List References'!$B$7, _xlfn.IFNA(_xlfn.XLOOKUP(P$2-$C21, 'SENS Coal'!$D$7:$AW$7, 'SENS Coal'!$D$51:$AW$51), 0), IF($B21='Project List References'!$B$8, _xlfn.IFNA(_xlfn.XLOOKUP(P$2-$C21,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Q21" s="743" t="e">
        <f>IF($B21='Project List References'!$B$3, _xlfn.IFNA(_xlfn.XLOOKUP(Q$2-$C21, 'GEN-CCGT'!$D$7:$AW$7, 'GEN-CCGT'!$D$51:$AW$51), 0), IF($B21='Project List References'!$B$4, _xlfn.IFNA(_xlfn.XLOOKUP(Q$2-$C21, 'GEN-SOLAR'!$D$7:$AW$7, 'GEN-SOLAR'!$D$51:$AW$51), 0), IF($B21='Project List References'!$B$5, _xlfn.IFNA(_xlfn.XLOOKUP(Q$2-$C21, 'GEN-BESS'!$D$7:$AW$7, 'GEN-BESS'!$D$51:$AW$51), 0), IF($B21='Project List References'!$B$6, _xlfn.IFNA(_xlfn.XLOOKUP(Q$2-$C21, 'GEN-CARBON'!$D$7:$AW$7, 'GEN-CARBON'!$D$51:$AW$51), 0), IF($B21='Project List References'!$B$7, _xlfn.IFNA(_xlfn.XLOOKUP(Q$2-$C21, 'SENS Coal'!$D$7:$AW$7, 'SENS Coal'!$D$51:$AW$51), 0), IF($B21='Project List References'!$B$8, _xlfn.IFNA(_xlfn.XLOOKUP(Q$2-$C21,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R21" s="743" t="e">
        <f>IF($B21='Project List References'!$B$3, _xlfn.IFNA(_xlfn.XLOOKUP(R$2-$C21, 'GEN-CCGT'!$D$7:$AW$7, 'GEN-CCGT'!$D$51:$AW$51), 0), IF($B21='Project List References'!$B$4, _xlfn.IFNA(_xlfn.XLOOKUP(R$2-$C21, 'GEN-SOLAR'!$D$7:$AW$7, 'GEN-SOLAR'!$D$51:$AW$51), 0), IF($B21='Project List References'!$B$5, _xlfn.IFNA(_xlfn.XLOOKUP(R$2-$C21, 'GEN-BESS'!$D$7:$AW$7, 'GEN-BESS'!$D$51:$AW$51), 0), IF($B21='Project List References'!$B$6, _xlfn.IFNA(_xlfn.XLOOKUP(R$2-$C21, 'GEN-CARBON'!$D$7:$AW$7, 'GEN-CARBON'!$D$51:$AW$51), 0), IF($B21='Project List References'!$B$7, _xlfn.IFNA(_xlfn.XLOOKUP(R$2-$C21, 'SENS Coal'!$D$7:$AW$7, 'SENS Coal'!$D$51:$AW$51), 0), IF($B21='Project List References'!$B$8, _xlfn.IFNA(_xlfn.XLOOKUP(R$2-$C21,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S21" s="743" t="e">
        <f>IF($B21='Project List References'!$B$3, _xlfn.IFNA(_xlfn.XLOOKUP(S$2-$C21, 'GEN-CCGT'!$D$7:$AW$7, 'GEN-CCGT'!$D$51:$AW$51), 0), IF($B21='Project List References'!$B$4, _xlfn.IFNA(_xlfn.XLOOKUP(S$2-$C21, 'GEN-SOLAR'!$D$7:$AW$7, 'GEN-SOLAR'!$D$51:$AW$51), 0), IF($B21='Project List References'!$B$5, _xlfn.IFNA(_xlfn.XLOOKUP(S$2-$C21, 'GEN-BESS'!$D$7:$AW$7, 'GEN-BESS'!$D$51:$AW$51), 0), IF($B21='Project List References'!$B$6, _xlfn.IFNA(_xlfn.XLOOKUP(S$2-$C21, 'GEN-CARBON'!$D$7:$AW$7, 'GEN-CARBON'!$D$51:$AW$51), 0), IF($B21='Project List References'!$B$7, _xlfn.IFNA(_xlfn.XLOOKUP(S$2-$C21, 'SENS Coal'!$D$7:$AW$7, 'SENS Coal'!$D$51:$AW$51), 0), IF($B21='Project List References'!$B$8, _xlfn.IFNA(_xlfn.XLOOKUP(S$2-$C21,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T21" s="743" t="e">
        <f>IF($B21='Project List References'!$B$3, _xlfn.IFNA(_xlfn.XLOOKUP(T$2-$C21, 'GEN-CCGT'!$D$7:$AW$7, 'GEN-CCGT'!$D$51:$AW$51), 0), IF($B21='Project List References'!$B$4, _xlfn.IFNA(_xlfn.XLOOKUP(T$2-$C21, 'GEN-SOLAR'!$D$7:$AW$7, 'GEN-SOLAR'!$D$51:$AW$51), 0), IF($B21='Project List References'!$B$5, _xlfn.IFNA(_xlfn.XLOOKUP(T$2-$C21, 'GEN-BESS'!$D$7:$AW$7, 'GEN-BESS'!$D$51:$AW$51), 0), IF($B21='Project List References'!$B$6, _xlfn.IFNA(_xlfn.XLOOKUP(T$2-$C21, 'GEN-CARBON'!$D$7:$AW$7, 'GEN-CARBON'!$D$51:$AW$51), 0), IF($B21='Project List References'!$B$7, _xlfn.IFNA(_xlfn.XLOOKUP(T$2-$C21, 'SENS Coal'!$D$7:$AW$7, 'SENS Coal'!$D$51:$AW$51), 0), IF($B21='Project List References'!$B$8, _xlfn.IFNA(_xlfn.XLOOKUP(T$2-$C21, 'SENS Tires'!$D$7:$AW$7, 'SENS Tires'!$D$51:$AW$51), 0)))))))/_xlfn.XLOOKUP($B21,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</row>
    <row r="22" spans="1:20">
      <c r="A22" s="655" t="str">
        <f>IF(ISBLANK('Project Master Sheet'!A22)=FALSE, 'Project Master Sheet'!A22, "")</f>
        <v/>
      </c>
      <c r="B22" s="655" t="str">
        <f>_xlfn.IFNA(_xlfn.XLOOKUP(A22, 'Project Master Sheet'!A:A, 'Project Master Sheet'!D:D), "")</f>
        <v/>
      </c>
      <c r="C22" s="655" t="e">
        <f>_xlfn.XLOOKUP('Project OPEX'!A22, 'Project Master Sheet'!A:A, 'Project Master Sheet'!I:I)</f>
        <v>#N/A</v>
      </c>
      <c r="E22" s="743" t="e">
        <f>IF($B22='Project List References'!$B$3, _xlfn.IFNA(_xlfn.XLOOKUP(E$2-$C22, 'GEN-CCGT'!$D$7:$AW$7, 'GEN-CCGT'!$D$51:$AW$51), 0), IF($B22='Project List References'!$B$4, _xlfn.IFNA(_xlfn.XLOOKUP(E$2-$C22, 'GEN-SOLAR'!$D$7:$AW$7, 'GEN-SOLAR'!$D$51:$AW$51), 0), IF($B22='Project List References'!$B$5, _xlfn.IFNA(_xlfn.XLOOKUP(E$2-$C22, 'GEN-BESS'!$D$7:$AW$7, 'GEN-BESS'!$D$51:$AW$51), 0), IF($B22='Project List References'!$B$6, _xlfn.IFNA(_xlfn.XLOOKUP(E$2-$C22, 'GEN-CARBON'!$D$7:$AW$7, 'GEN-CARBON'!$D$51:$AW$51), 0), IF($B22='Project List References'!$B$7, _xlfn.IFNA(_xlfn.XLOOKUP(E$2-$C22, 'SENS Coal'!$D$7:$AW$7, 'SENS Coal'!$D$51:$AW$51), 0), IF($B22='Project List References'!$B$8, _xlfn.IFNA(_xlfn.XLOOKUP(E$2-$C22,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F22" s="743" t="e">
        <f>IF($B22='Project List References'!$B$3, _xlfn.IFNA(_xlfn.XLOOKUP(F$2-$C22, 'GEN-CCGT'!$D$7:$AW$7, 'GEN-CCGT'!$D$51:$AW$51), 0), IF($B22='Project List References'!$B$4, _xlfn.IFNA(_xlfn.XLOOKUP(F$2-$C22, 'GEN-SOLAR'!$D$7:$AW$7, 'GEN-SOLAR'!$D$51:$AW$51), 0), IF($B22='Project List References'!$B$5, _xlfn.IFNA(_xlfn.XLOOKUP(F$2-$C22, 'GEN-BESS'!$D$7:$AW$7, 'GEN-BESS'!$D$51:$AW$51), 0), IF($B22='Project List References'!$B$6, _xlfn.IFNA(_xlfn.XLOOKUP(F$2-$C22, 'GEN-CARBON'!$D$7:$AW$7, 'GEN-CARBON'!$D$51:$AW$51), 0), IF($B22='Project List References'!$B$7, _xlfn.IFNA(_xlfn.XLOOKUP(F$2-$C22, 'SENS Coal'!$D$7:$AW$7, 'SENS Coal'!$D$51:$AW$51), 0), IF($B22='Project List References'!$B$8, _xlfn.IFNA(_xlfn.XLOOKUP(F$2-$C22,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G22" s="743" t="e">
        <f>IF($B22='Project List References'!$B$3, _xlfn.IFNA(_xlfn.XLOOKUP(G$2-$C22, 'GEN-CCGT'!$D$7:$AW$7, 'GEN-CCGT'!$D$51:$AW$51), 0), IF($B22='Project List References'!$B$4, _xlfn.IFNA(_xlfn.XLOOKUP(G$2-$C22, 'GEN-SOLAR'!$D$7:$AW$7, 'GEN-SOLAR'!$D$51:$AW$51), 0), IF($B22='Project List References'!$B$5, _xlfn.IFNA(_xlfn.XLOOKUP(G$2-$C22, 'GEN-BESS'!$D$7:$AW$7, 'GEN-BESS'!$D$51:$AW$51), 0), IF($B22='Project List References'!$B$6, _xlfn.IFNA(_xlfn.XLOOKUP(G$2-$C22, 'GEN-CARBON'!$D$7:$AW$7, 'GEN-CARBON'!$D$51:$AW$51), 0), IF($B22='Project List References'!$B$7, _xlfn.IFNA(_xlfn.XLOOKUP(G$2-$C22, 'SENS Coal'!$D$7:$AW$7, 'SENS Coal'!$D$51:$AW$51), 0), IF($B22='Project List References'!$B$8, _xlfn.IFNA(_xlfn.XLOOKUP(G$2-$C22,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H22" s="743" t="e">
        <f>IF($B22='Project List References'!$B$3, _xlfn.IFNA(_xlfn.XLOOKUP(H$2-$C22, 'GEN-CCGT'!$D$7:$AW$7, 'GEN-CCGT'!$D$51:$AW$51), 0), IF($B22='Project List References'!$B$4, _xlfn.IFNA(_xlfn.XLOOKUP(H$2-$C22, 'GEN-SOLAR'!$D$7:$AW$7, 'GEN-SOLAR'!$D$51:$AW$51), 0), IF($B22='Project List References'!$B$5, _xlfn.IFNA(_xlfn.XLOOKUP(H$2-$C22, 'GEN-BESS'!$D$7:$AW$7, 'GEN-BESS'!$D$51:$AW$51), 0), IF($B22='Project List References'!$B$6, _xlfn.IFNA(_xlfn.XLOOKUP(H$2-$C22, 'GEN-CARBON'!$D$7:$AW$7, 'GEN-CARBON'!$D$51:$AW$51), 0), IF($B22='Project List References'!$B$7, _xlfn.IFNA(_xlfn.XLOOKUP(H$2-$C22, 'SENS Coal'!$D$7:$AW$7, 'SENS Coal'!$D$51:$AW$51), 0), IF($B22='Project List References'!$B$8, _xlfn.IFNA(_xlfn.XLOOKUP(H$2-$C22,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I22" s="743" t="e">
        <f>IF($B22='Project List References'!$B$3, _xlfn.IFNA(_xlfn.XLOOKUP(I$2-$C22, 'GEN-CCGT'!$D$7:$AW$7, 'GEN-CCGT'!$D$51:$AW$51), 0), IF($B22='Project List References'!$B$4, _xlfn.IFNA(_xlfn.XLOOKUP(I$2-$C22, 'GEN-SOLAR'!$D$7:$AW$7, 'GEN-SOLAR'!$D$51:$AW$51), 0), IF($B22='Project List References'!$B$5, _xlfn.IFNA(_xlfn.XLOOKUP(I$2-$C22, 'GEN-BESS'!$D$7:$AW$7, 'GEN-BESS'!$D$51:$AW$51), 0), IF($B22='Project List References'!$B$6, _xlfn.IFNA(_xlfn.XLOOKUP(I$2-$C22, 'GEN-CARBON'!$D$7:$AW$7, 'GEN-CARBON'!$D$51:$AW$51), 0), IF($B22='Project List References'!$B$7, _xlfn.IFNA(_xlfn.XLOOKUP(I$2-$C22, 'SENS Coal'!$D$7:$AW$7, 'SENS Coal'!$D$51:$AW$51), 0), IF($B22='Project List References'!$B$8, _xlfn.IFNA(_xlfn.XLOOKUP(I$2-$C22,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J22" s="743" t="e">
        <f>IF($B22='Project List References'!$B$3, _xlfn.IFNA(_xlfn.XLOOKUP(J$2-$C22, 'GEN-CCGT'!$D$7:$AW$7, 'GEN-CCGT'!$D$51:$AW$51), 0), IF($B22='Project List References'!$B$4, _xlfn.IFNA(_xlfn.XLOOKUP(J$2-$C22, 'GEN-SOLAR'!$D$7:$AW$7, 'GEN-SOLAR'!$D$51:$AW$51), 0), IF($B22='Project List References'!$B$5, _xlfn.IFNA(_xlfn.XLOOKUP(J$2-$C22, 'GEN-BESS'!$D$7:$AW$7, 'GEN-BESS'!$D$51:$AW$51), 0), IF($B22='Project List References'!$B$6, _xlfn.IFNA(_xlfn.XLOOKUP(J$2-$C22, 'GEN-CARBON'!$D$7:$AW$7, 'GEN-CARBON'!$D$51:$AW$51), 0), IF($B22='Project List References'!$B$7, _xlfn.IFNA(_xlfn.XLOOKUP(J$2-$C22, 'SENS Coal'!$D$7:$AW$7, 'SENS Coal'!$D$51:$AW$51), 0), IF($B22='Project List References'!$B$8, _xlfn.IFNA(_xlfn.XLOOKUP(J$2-$C22,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K22" s="743" t="e">
        <f>IF($B22='Project List References'!$B$3, _xlfn.IFNA(_xlfn.XLOOKUP(K$2-$C22, 'GEN-CCGT'!$D$7:$AW$7, 'GEN-CCGT'!$D$51:$AW$51), 0), IF($B22='Project List References'!$B$4, _xlfn.IFNA(_xlfn.XLOOKUP(K$2-$C22, 'GEN-SOLAR'!$D$7:$AW$7, 'GEN-SOLAR'!$D$51:$AW$51), 0), IF($B22='Project List References'!$B$5, _xlfn.IFNA(_xlfn.XLOOKUP(K$2-$C22, 'GEN-BESS'!$D$7:$AW$7, 'GEN-BESS'!$D$51:$AW$51), 0), IF($B22='Project List References'!$B$6, _xlfn.IFNA(_xlfn.XLOOKUP(K$2-$C22, 'GEN-CARBON'!$D$7:$AW$7, 'GEN-CARBON'!$D$51:$AW$51), 0), IF($B22='Project List References'!$B$7, _xlfn.IFNA(_xlfn.XLOOKUP(K$2-$C22, 'SENS Coal'!$D$7:$AW$7, 'SENS Coal'!$D$51:$AW$51), 0), IF($B22='Project List References'!$B$8, _xlfn.IFNA(_xlfn.XLOOKUP(K$2-$C22,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L22" s="743" t="e">
        <f>IF($B22='Project List References'!$B$3, _xlfn.IFNA(_xlfn.XLOOKUP(L$2-$C22, 'GEN-CCGT'!$D$7:$AW$7, 'GEN-CCGT'!$D$51:$AW$51), 0), IF($B22='Project List References'!$B$4, _xlfn.IFNA(_xlfn.XLOOKUP(L$2-$C22, 'GEN-SOLAR'!$D$7:$AW$7, 'GEN-SOLAR'!$D$51:$AW$51), 0), IF($B22='Project List References'!$B$5, _xlfn.IFNA(_xlfn.XLOOKUP(L$2-$C22, 'GEN-BESS'!$D$7:$AW$7, 'GEN-BESS'!$D$51:$AW$51), 0), IF($B22='Project List References'!$B$6, _xlfn.IFNA(_xlfn.XLOOKUP(L$2-$C22, 'GEN-CARBON'!$D$7:$AW$7, 'GEN-CARBON'!$D$51:$AW$51), 0), IF($B22='Project List References'!$B$7, _xlfn.IFNA(_xlfn.XLOOKUP(L$2-$C22, 'SENS Coal'!$D$7:$AW$7, 'SENS Coal'!$D$51:$AW$51), 0), IF($B22='Project List References'!$B$8, _xlfn.IFNA(_xlfn.XLOOKUP(L$2-$C22,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M22" s="743" t="e">
        <f>IF($B22='Project List References'!$B$3, _xlfn.IFNA(_xlfn.XLOOKUP(M$2-$C22, 'GEN-CCGT'!$D$7:$AW$7, 'GEN-CCGT'!$D$51:$AW$51), 0), IF($B22='Project List References'!$B$4, _xlfn.IFNA(_xlfn.XLOOKUP(M$2-$C22, 'GEN-SOLAR'!$D$7:$AW$7, 'GEN-SOLAR'!$D$51:$AW$51), 0), IF($B22='Project List References'!$B$5, _xlfn.IFNA(_xlfn.XLOOKUP(M$2-$C22, 'GEN-BESS'!$D$7:$AW$7, 'GEN-BESS'!$D$51:$AW$51), 0), IF($B22='Project List References'!$B$6, _xlfn.IFNA(_xlfn.XLOOKUP(M$2-$C22, 'GEN-CARBON'!$D$7:$AW$7, 'GEN-CARBON'!$D$51:$AW$51), 0), IF($B22='Project List References'!$B$7, _xlfn.IFNA(_xlfn.XLOOKUP(M$2-$C22, 'SENS Coal'!$D$7:$AW$7, 'SENS Coal'!$D$51:$AW$51), 0), IF($B22='Project List References'!$B$8, _xlfn.IFNA(_xlfn.XLOOKUP(M$2-$C22,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N22" s="743" t="e">
        <f>IF($B22='Project List References'!$B$3, _xlfn.IFNA(_xlfn.XLOOKUP(N$2-$C22, 'GEN-CCGT'!$D$7:$AW$7, 'GEN-CCGT'!$D$51:$AW$51), 0), IF($B22='Project List References'!$B$4, _xlfn.IFNA(_xlfn.XLOOKUP(N$2-$C22, 'GEN-SOLAR'!$D$7:$AW$7, 'GEN-SOLAR'!$D$51:$AW$51), 0), IF($B22='Project List References'!$B$5, _xlfn.IFNA(_xlfn.XLOOKUP(N$2-$C22, 'GEN-BESS'!$D$7:$AW$7, 'GEN-BESS'!$D$51:$AW$51), 0), IF($B22='Project List References'!$B$6, _xlfn.IFNA(_xlfn.XLOOKUP(N$2-$C22, 'GEN-CARBON'!$D$7:$AW$7, 'GEN-CARBON'!$D$51:$AW$51), 0), IF($B22='Project List References'!$B$7, _xlfn.IFNA(_xlfn.XLOOKUP(N$2-$C22, 'SENS Coal'!$D$7:$AW$7, 'SENS Coal'!$D$51:$AW$51), 0), IF($B22='Project List References'!$B$8, _xlfn.IFNA(_xlfn.XLOOKUP(N$2-$C22,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O22" s="743" t="e">
        <f>IF($B22='Project List References'!$B$3, _xlfn.IFNA(_xlfn.XLOOKUP(O$2-$C22, 'GEN-CCGT'!$D$7:$AW$7, 'GEN-CCGT'!$D$51:$AW$51), 0), IF($B22='Project List References'!$B$4, _xlfn.IFNA(_xlfn.XLOOKUP(O$2-$C22, 'GEN-SOLAR'!$D$7:$AW$7, 'GEN-SOLAR'!$D$51:$AW$51), 0), IF($B22='Project List References'!$B$5, _xlfn.IFNA(_xlfn.XLOOKUP(O$2-$C22, 'GEN-BESS'!$D$7:$AW$7, 'GEN-BESS'!$D$51:$AW$51), 0), IF($B22='Project List References'!$B$6, _xlfn.IFNA(_xlfn.XLOOKUP(O$2-$C22, 'GEN-CARBON'!$D$7:$AW$7, 'GEN-CARBON'!$D$51:$AW$51), 0), IF($B22='Project List References'!$B$7, _xlfn.IFNA(_xlfn.XLOOKUP(O$2-$C22, 'SENS Coal'!$D$7:$AW$7, 'SENS Coal'!$D$51:$AW$51), 0), IF($B22='Project List References'!$B$8, _xlfn.IFNA(_xlfn.XLOOKUP(O$2-$C22,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P22" s="743" t="e">
        <f>IF($B22='Project List References'!$B$3, _xlfn.IFNA(_xlfn.XLOOKUP(P$2-$C22, 'GEN-CCGT'!$D$7:$AW$7, 'GEN-CCGT'!$D$51:$AW$51), 0), IF($B22='Project List References'!$B$4, _xlfn.IFNA(_xlfn.XLOOKUP(P$2-$C22, 'GEN-SOLAR'!$D$7:$AW$7, 'GEN-SOLAR'!$D$51:$AW$51), 0), IF($B22='Project List References'!$B$5, _xlfn.IFNA(_xlfn.XLOOKUP(P$2-$C22, 'GEN-BESS'!$D$7:$AW$7, 'GEN-BESS'!$D$51:$AW$51), 0), IF($B22='Project List References'!$B$6, _xlfn.IFNA(_xlfn.XLOOKUP(P$2-$C22, 'GEN-CARBON'!$D$7:$AW$7, 'GEN-CARBON'!$D$51:$AW$51), 0), IF($B22='Project List References'!$B$7, _xlfn.IFNA(_xlfn.XLOOKUP(P$2-$C22, 'SENS Coal'!$D$7:$AW$7, 'SENS Coal'!$D$51:$AW$51), 0), IF($B22='Project List References'!$B$8, _xlfn.IFNA(_xlfn.XLOOKUP(P$2-$C22,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Q22" s="743" t="e">
        <f>IF($B22='Project List References'!$B$3, _xlfn.IFNA(_xlfn.XLOOKUP(Q$2-$C22, 'GEN-CCGT'!$D$7:$AW$7, 'GEN-CCGT'!$D$51:$AW$51), 0), IF($B22='Project List References'!$B$4, _xlfn.IFNA(_xlfn.XLOOKUP(Q$2-$C22, 'GEN-SOLAR'!$D$7:$AW$7, 'GEN-SOLAR'!$D$51:$AW$51), 0), IF($B22='Project List References'!$B$5, _xlfn.IFNA(_xlfn.XLOOKUP(Q$2-$C22, 'GEN-BESS'!$D$7:$AW$7, 'GEN-BESS'!$D$51:$AW$51), 0), IF($B22='Project List References'!$B$6, _xlfn.IFNA(_xlfn.XLOOKUP(Q$2-$C22, 'GEN-CARBON'!$D$7:$AW$7, 'GEN-CARBON'!$D$51:$AW$51), 0), IF($B22='Project List References'!$B$7, _xlfn.IFNA(_xlfn.XLOOKUP(Q$2-$C22, 'SENS Coal'!$D$7:$AW$7, 'SENS Coal'!$D$51:$AW$51), 0), IF($B22='Project List References'!$B$8, _xlfn.IFNA(_xlfn.XLOOKUP(Q$2-$C22,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R22" s="743" t="e">
        <f>IF($B22='Project List References'!$B$3, _xlfn.IFNA(_xlfn.XLOOKUP(R$2-$C22, 'GEN-CCGT'!$D$7:$AW$7, 'GEN-CCGT'!$D$51:$AW$51), 0), IF($B22='Project List References'!$B$4, _xlfn.IFNA(_xlfn.XLOOKUP(R$2-$C22, 'GEN-SOLAR'!$D$7:$AW$7, 'GEN-SOLAR'!$D$51:$AW$51), 0), IF($B22='Project List References'!$B$5, _xlfn.IFNA(_xlfn.XLOOKUP(R$2-$C22, 'GEN-BESS'!$D$7:$AW$7, 'GEN-BESS'!$D$51:$AW$51), 0), IF($B22='Project List References'!$B$6, _xlfn.IFNA(_xlfn.XLOOKUP(R$2-$C22, 'GEN-CARBON'!$D$7:$AW$7, 'GEN-CARBON'!$D$51:$AW$51), 0), IF($B22='Project List References'!$B$7, _xlfn.IFNA(_xlfn.XLOOKUP(R$2-$C22, 'SENS Coal'!$D$7:$AW$7, 'SENS Coal'!$D$51:$AW$51), 0), IF($B22='Project List References'!$B$8, _xlfn.IFNA(_xlfn.XLOOKUP(R$2-$C22,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S22" s="743" t="e">
        <f>IF($B22='Project List References'!$B$3, _xlfn.IFNA(_xlfn.XLOOKUP(S$2-$C22, 'GEN-CCGT'!$D$7:$AW$7, 'GEN-CCGT'!$D$51:$AW$51), 0), IF($B22='Project List References'!$B$4, _xlfn.IFNA(_xlfn.XLOOKUP(S$2-$C22, 'GEN-SOLAR'!$D$7:$AW$7, 'GEN-SOLAR'!$D$51:$AW$51), 0), IF($B22='Project List References'!$B$5, _xlfn.IFNA(_xlfn.XLOOKUP(S$2-$C22, 'GEN-BESS'!$D$7:$AW$7, 'GEN-BESS'!$D$51:$AW$51), 0), IF($B22='Project List References'!$B$6, _xlfn.IFNA(_xlfn.XLOOKUP(S$2-$C22, 'GEN-CARBON'!$D$7:$AW$7, 'GEN-CARBON'!$D$51:$AW$51), 0), IF($B22='Project List References'!$B$7, _xlfn.IFNA(_xlfn.XLOOKUP(S$2-$C22, 'SENS Coal'!$D$7:$AW$7, 'SENS Coal'!$D$51:$AW$51), 0), IF($B22='Project List References'!$B$8, _xlfn.IFNA(_xlfn.XLOOKUP(S$2-$C22,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T22" s="743" t="e">
        <f>IF($B22='Project List References'!$B$3, _xlfn.IFNA(_xlfn.XLOOKUP(T$2-$C22, 'GEN-CCGT'!$D$7:$AW$7, 'GEN-CCGT'!$D$51:$AW$51), 0), IF($B22='Project List References'!$B$4, _xlfn.IFNA(_xlfn.XLOOKUP(T$2-$C22, 'GEN-SOLAR'!$D$7:$AW$7, 'GEN-SOLAR'!$D$51:$AW$51), 0), IF($B22='Project List References'!$B$5, _xlfn.IFNA(_xlfn.XLOOKUP(T$2-$C22, 'GEN-BESS'!$D$7:$AW$7, 'GEN-BESS'!$D$51:$AW$51), 0), IF($B22='Project List References'!$B$6, _xlfn.IFNA(_xlfn.XLOOKUP(T$2-$C22, 'GEN-CARBON'!$D$7:$AW$7, 'GEN-CARBON'!$D$51:$AW$51), 0), IF($B22='Project List References'!$B$7, _xlfn.IFNA(_xlfn.XLOOKUP(T$2-$C22, 'SENS Coal'!$D$7:$AW$7, 'SENS Coal'!$D$51:$AW$51), 0), IF($B22='Project List References'!$B$8, _xlfn.IFNA(_xlfn.XLOOKUP(T$2-$C22, 'SENS Tires'!$D$7:$AW$7, 'SENS Tires'!$D$51:$AW$51), 0)))))))/_xlfn.XLOOKUP($B22,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</row>
    <row r="23" spans="1:20">
      <c r="A23" s="655" t="str">
        <f>IF(ISBLANK('Project Master Sheet'!A23)=FALSE, 'Project Master Sheet'!A23, "")</f>
        <v/>
      </c>
      <c r="B23" s="655" t="str">
        <f>_xlfn.IFNA(_xlfn.XLOOKUP(A23, 'Project Master Sheet'!A:A, 'Project Master Sheet'!D:D), "")</f>
        <v/>
      </c>
      <c r="C23" s="655" t="e">
        <f>_xlfn.XLOOKUP('Project OPEX'!A23, 'Project Master Sheet'!A:A, 'Project Master Sheet'!I:I)</f>
        <v>#N/A</v>
      </c>
      <c r="E23" s="743" t="e">
        <f>IF($B23='Project List References'!$B$3, _xlfn.IFNA(_xlfn.XLOOKUP(E$2-$C23, 'GEN-CCGT'!$D$7:$AW$7, 'GEN-CCGT'!$D$51:$AW$51), 0), IF($B23='Project List References'!$B$4, _xlfn.IFNA(_xlfn.XLOOKUP(E$2-$C23, 'GEN-SOLAR'!$D$7:$AW$7, 'GEN-SOLAR'!$D$51:$AW$51), 0), IF($B23='Project List References'!$B$5, _xlfn.IFNA(_xlfn.XLOOKUP(E$2-$C23, 'GEN-BESS'!$D$7:$AW$7, 'GEN-BESS'!$D$51:$AW$51), 0), IF($B23='Project List References'!$B$6, _xlfn.IFNA(_xlfn.XLOOKUP(E$2-$C23, 'GEN-CARBON'!$D$7:$AW$7, 'GEN-CARBON'!$D$51:$AW$51), 0), IF($B23='Project List References'!$B$7, _xlfn.IFNA(_xlfn.XLOOKUP(E$2-$C23, 'SENS Coal'!$D$7:$AW$7, 'SENS Coal'!$D$51:$AW$51), 0), IF($B23='Project List References'!$B$8, _xlfn.IFNA(_xlfn.XLOOKUP(E$2-$C23,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F23" s="743" t="e">
        <f>IF($B23='Project List References'!$B$3, _xlfn.IFNA(_xlfn.XLOOKUP(F$2-$C23, 'GEN-CCGT'!$D$7:$AW$7, 'GEN-CCGT'!$D$51:$AW$51), 0), IF($B23='Project List References'!$B$4, _xlfn.IFNA(_xlfn.XLOOKUP(F$2-$C23, 'GEN-SOLAR'!$D$7:$AW$7, 'GEN-SOLAR'!$D$51:$AW$51), 0), IF($B23='Project List References'!$B$5, _xlfn.IFNA(_xlfn.XLOOKUP(F$2-$C23, 'GEN-BESS'!$D$7:$AW$7, 'GEN-BESS'!$D$51:$AW$51), 0), IF($B23='Project List References'!$B$6, _xlfn.IFNA(_xlfn.XLOOKUP(F$2-$C23, 'GEN-CARBON'!$D$7:$AW$7, 'GEN-CARBON'!$D$51:$AW$51), 0), IF($B23='Project List References'!$B$7, _xlfn.IFNA(_xlfn.XLOOKUP(F$2-$C23, 'SENS Coal'!$D$7:$AW$7, 'SENS Coal'!$D$51:$AW$51), 0), IF($B23='Project List References'!$B$8, _xlfn.IFNA(_xlfn.XLOOKUP(F$2-$C23,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G23" s="743" t="e">
        <f>IF($B23='Project List References'!$B$3, _xlfn.IFNA(_xlfn.XLOOKUP(G$2-$C23, 'GEN-CCGT'!$D$7:$AW$7, 'GEN-CCGT'!$D$51:$AW$51), 0), IF($B23='Project List References'!$B$4, _xlfn.IFNA(_xlfn.XLOOKUP(G$2-$C23, 'GEN-SOLAR'!$D$7:$AW$7, 'GEN-SOLAR'!$D$51:$AW$51), 0), IF($B23='Project List References'!$B$5, _xlfn.IFNA(_xlfn.XLOOKUP(G$2-$C23, 'GEN-BESS'!$D$7:$AW$7, 'GEN-BESS'!$D$51:$AW$51), 0), IF($B23='Project List References'!$B$6, _xlfn.IFNA(_xlfn.XLOOKUP(G$2-$C23, 'GEN-CARBON'!$D$7:$AW$7, 'GEN-CARBON'!$D$51:$AW$51), 0), IF($B23='Project List References'!$B$7, _xlfn.IFNA(_xlfn.XLOOKUP(G$2-$C23, 'SENS Coal'!$D$7:$AW$7, 'SENS Coal'!$D$51:$AW$51), 0), IF($B23='Project List References'!$B$8, _xlfn.IFNA(_xlfn.XLOOKUP(G$2-$C23,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H23" s="743" t="e">
        <f>IF($B23='Project List References'!$B$3, _xlfn.IFNA(_xlfn.XLOOKUP(H$2-$C23, 'GEN-CCGT'!$D$7:$AW$7, 'GEN-CCGT'!$D$51:$AW$51), 0), IF($B23='Project List References'!$B$4, _xlfn.IFNA(_xlfn.XLOOKUP(H$2-$C23, 'GEN-SOLAR'!$D$7:$AW$7, 'GEN-SOLAR'!$D$51:$AW$51), 0), IF($B23='Project List References'!$B$5, _xlfn.IFNA(_xlfn.XLOOKUP(H$2-$C23, 'GEN-BESS'!$D$7:$AW$7, 'GEN-BESS'!$D$51:$AW$51), 0), IF($B23='Project List References'!$B$6, _xlfn.IFNA(_xlfn.XLOOKUP(H$2-$C23, 'GEN-CARBON'!$D$7:$AW$7, 'GEN-CARBON'!$D$51:$AW$51), 0), IF($B23='Project List References'!$B$7, _xlfn.IFNA(_xlfn.XLOOKUP(H$2-$C23, 'SENS Coal'!$D$7:$AW$7, 'SENS Coal'!$D$51:$AW$51), 0), IF($B23='Project List References'!$B$8, _xlfn.IFNA(_xlfn.XLOOKUP(H$2-$C23,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I23" s="743" t="e">
        <f>IF($B23='Project List References'!$B$3, _xlfn.IFNA(_xlfn.XLOOKUP(I$2-$C23, 'GEN-CCGT'!$D$7:$AW$7, 'GEN-CCGT'!$D$51:$AW$51), 0), IF($B23='Project List References'!$B$4, _xlfn.IFNA(_xlfn.XLOOKUP(I$2-$C23, 'GEN-SOLAR'!$D$7:$AW$7, 'GEN-SOLAR'!$D$51:$AW$51), 0), IF($B23='Project List References'!$B$5, _xlfn.IFNA(_xlfn.XLOOKUP(I$2-$C23, 'GEN-BESS'!$D$7:$AW$7, 'GEN-BESS'!$D$51:$AW$51), 0), IF($B23='Project List References'!$B$6, _xlfn.IFNA(_xlfn.XLOOKUP(I$2-$C23, 'GEN-CARBON'!$D$7:$AW$7, 'GEN-CARBON'!$D$51:$AW$51), 0), IF($B23='Project List References'!$B$7, _xlfn.IFNA(_xlfn.XLOOKUP(I$2-$C23, 'SENS Coal'!$D$7:$AW$7, 'SENS Coal'!$D$51:$AW$51), 0), IF($B23='Project List References'!$B$8, _xlfn.IFNA(_xlfn.XLOOKUP(I$2-$C23,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J23" s="743" t="e">
        <f>IF($B23='Project List References'!$B$3, _xlfn.IFNA(_xlfn.XLOOKUP(J$2-$C23, 'GEN-CCGT'!$D$7:$AW$7, 'GEN-CCGT'!$D$51:$AW$51), 0), IF($B23='Project List References'!$B$4, _xlfn.IFNA(_xlfn.XLOOKUP(J$2-$C23, 'GEN-SOLAR'!$D$7:$AW$7, 'GEN-SOLAR'!$D$51:$AW$51), 0), IF($B23='Project List References'!$B$5, _xlfn.IFNA(_xlfn.XLOOKUP(J$2-$C23, 'GEN-BESS'!$D$7:$AW$7, 'GEN-BESS'!$D$51:$AW$51), 0), IF($B23='Project List References'!$B$6, _xlfn.IFNA(_xlfn.XLOOKUP(J$2-$C23, 'GEN-CARBON'!$D$7:$AW$7, 'GEN-CARBON'!$D$51:$AW$51), 0), IF($B23='Project List References'!$B$7, _xlfn.IFNA(_xlfn.XLOOKUP(J$2-$C23, 'SENS Coal'!$D$7:$AW$7, 'SENS Coal'!$D$51:$AW$51), 0), IF($B23='Project List References'!$B$8, _xlfn.IFNA(_xlfn.XLOOKUP(J$2-$C23,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K23" s="743" t="e">
        <f>IF($B23='Project List References'!$B$3, _xlfn.IFNA(_xlfn.XLOOKUP(K$2-$C23, 'GEN-CCGT'!$D$7:$AW$7, 'GEN-CCGT'!$D$51:$AW$51), 0), IF($B23='Project List References'!$B$4, _xlfn.IFNA(_xlfn.XLOOKUP(K$2-$C23, 'GEN-SOLAR'!$D$7:$AW$7, 'GEN-SOLAR'!$D$51:$AW$51), 0), IF($B23='Project List References'!$B$5, _xlfn.IFNA(_xlfn.XLOOKUP(K$2-$C23, 'GEN-BESS'!$D$7:$AW$7, 'GEN-BESS'!$D$51:$AW$51), 0), IF($B23='Project List References'!$B$6, _xlfn.IFNA(_xlfn.XLOOKUP(K$2-$C23, 'GEN-CARBON'!$D$7:$AW$7, 'GEN-CARBON'!$D$51:$AW$51), 0), IF($B23='Project List References'!$B$7, _xlfn.IFNA(_xlfn.XLOOKUP(K$2-$C23, 'SENS Coal'!$D$7:$AW$7, 'SENS Coal'!$D$51:$AW$51), 0), IF($B23='Project List References'!$B$8, _xlfn.IFNA(_xlfn.XLOOKUP(K$2-$C23,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L23" s="743" t="e">
        <f>IF($B23='Project List References'!$B$3, _xlfn.IFNA(_xlfn.XLOOKUP(L$2-$C23, 'GEN-CCGT'!$D$7:$AW$7, 'GEN-CCGT'!$D$51:$AW$51), 0), IF($B23='Project List References'!$B$4, _xlfn.IFNA(_xlfn.XLOOKUP(L$2-$C23, 'GEN-SOLAR'!$D$7:$AW$7, 'GEN-SOLAR'!$D$51:$AW$51), 0), IF($B23='Project List References'!$B$5, _xlfn.IFNA(_xlfn.XLOOKUP(L$2-$C23, 'GEN-BESS'!$D$7:$AW$7, 'GEN-BESS'!$D$51:$AW$51), 0), IF($B23='Project List References'!$B$6, _xlfn.IFNA(_xlfn.XLOOKUP(L$2-$C23, 'GEN-CARBON'!$D$7:$AW$7, 'GEN-CARBON'!$D$51:$AW$51), 0), IF($B23='Project List References'!$B$7, _xlfn.IFNA(_xlfn.XLOOKUP(L$2-$C23, 'SENS Coal'!$D$7:$AW$7, 'SENS Coal'!$D$51:$AW$51), 0), IF($B23='Project List References'!$B$8, _xlfn.IFNA(_xlfn.XLOOKUP(L$2-$C23,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M23" s="743" t="e">
        <f>IF($B23='Project List References'!$B$3, _xlfn.IFNA(_xlfn.XLOOKUP(M$2-$C23, 'GEN-CCGT'!$D$7:$AW$7, 'GEN-CCGT'!$D$51:$AW$51), 0), IF($B23='Project List References'!$B$4, _xlfn.IFNA(_xlfn.XLOOKUP(M$2-$C23, 'GEN-SOLAR'!$D$7:$AW$7, 'GEN-SOLAR'!$D$51:$AW$51), 0), IF($B23='Project List References'!$B$5, _xlfn.IFNA(_xlfn.XLOOKUP(M$2-$C23, 'GEN-BESS'!$D$7:$AW$7, 'GEN-BESS'!$D$51:$AW$51), 0), IF($B23='Project List References'!$B$6, _xlfn.IFNA(_xlfn.XLOOKUP(M$2-$C23, 'GEN-CARBON'!$D$7:$AW$7, 'GEN-CARBON'!$D$51:$AW$51), 0), IF($B23='Project List References'!$B$7, _xlfn.IFNA(_xlfn.XLOOKUP(M$2-$C23, 'SENS Coal'!$D$7:$AW$7, 'SENS Coal'!$D$51:$AW$51), 0), IF($B23='Project List References'!$B$8, _xlfn.IFNA(_xlfn.XLOOKUP(M$2-$C23,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N23" s="743" t="e">
        <f>IF($B23='Project List References'!$B$3, _xlfn.IFNA(_xlfn.XLOOKUP(N$2-$C23, 'GEN-CCGT'!$D$7:$AW$7, 'GEN-CCGT'!$D$51:$AW$51), 0), IF($B23='Project List References'!$B$4, _xlfn.IFNA(_xlfn.XLOOKUP(N$2-$C23, 'GEN-SOLAR'!$D$7:$AW$7, 'GEN-SOLAR'!$D$51:$AW$51), 0), IF($B23='Project List References'!$B$5, _xlfn.IFNA(_xlfn.XLOOKUP(N$2-$C23, 'GEN-BESS'!$D$7:$AW$7, 'GEN-BESS'!$D$51:$AW$51), 0), IF($B23='Project List References'!$B$6, _xlfn.IFNA(_xlfn.XLOOKUP(N$2-$C23, 'GEN-CARBON'!$D$7:$AW$7, 'GEN-CARBON'!$D$51:$AW$51), 0), IF($B23='Project List References'!$B$7, _xlfn.IFNA(_xlfn.XLOOKUP(N$2-$C23, 'SENS Coal'!$D$7:$AW$7, 'SENS Coal'!$D$51:$AW$51), 0), IF($B23='Project List References'!$B$8, _xlfn.IFNA(_xlfn.XLOOKUP(N$2-$C23,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O23" s="743" t="e">
        <f>IF($B23='Project List References'!$B$3, _xlfn.IFNA(_xlfn.XLOOKUP(O$2-$C23, 'GEN-CCGT'!$D$7:$AW$7, 'GEN-CCGT'!$D$51:$AW$51), 0), IF($B23='Project List References'!$B$4, _xlfn.IFNA(_xlfn.XLOOKUP(O$2-$C23, 'GEN-SOLAR'!$D$7:$AW$7, 'GEN-SOLAR'!$D$51:$AW$51), 0), IF($B23='Project List References'!$B$5, _xlfn.IFNA(_xlfn.XLOOKUP(O$2-$C23, 'GEN-BESS'!$D$7:$AW$7, 'GEN-BESS'!$D$51:$AW$51), 0), IF($B23='Project List References'!$B$6, _xlfn.IFNA(_xlfn.XLOOKUP(O$2-$C23, 'GEN-CARBON'!$D$7:$AW$7, 'GEN-CARBON'!$D$51:$AW$51), 0), IF($B23='Project List References'!$B$7, _xlfn.IFNA(_xlfn.XLOOKUP(O$2-$C23, 'SENS Coal'!$D$7:$AW$7, 'SENS Coal'!$D$51:$AW$51), 0), IF($B23='Project List References'!$B$8, _xlfn.IFNA(_xlfn.XLOOKUP(O$2-$C23,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P23" s="743" t="e">
        <f>IF($B23='Project List References'!$B$3, _xlfn.IFNA(_xlfn.XLOOKUP(P$2-$C23, 'GEN-CCGT'!$D$7:$AW$7, 'GEN-CCGT'!$D$51:$AW$51), 0), IF($B23='Project List References'!$B$4, _xlfn.IFNA(_xlfn.XLOOKUP(P$2-$C23, 'GEN-SOLAR'!$D$7:$AW$7, 'GEN-SOLAR'!$D$51:$AW$51), 0), IF($B23='Project List References'!$B$5, _xlfn.IFNA(_xlfn.XLOOKUP(P$2-$C23, 'GEN-BESS'!$D$7:$AW$7, 'GEN-BESS'!$D$51:$AW$51), 0), IF($B23='Project List References'!$B$6, _xlfn.IFNA(_xlfn.XLOOKUP(P$2-$C23, 'GEN-CARBON'!$D$7:$AW$7, 'GEN-CARBON'!$D$51:$AW$51), 0), IF($B23='Project List References'!$B$7, _xlfn.IFNA(_xlfn.XLOOKUP(P$2-$C23, 'SENS Coal'!$D$7:$AW$7, 'SENS Coal'!$D$51:$AW$51), 0), IF($B23='Project List References'!$B$8, _xlfn.IFNA(_xlfn.XLOOKUP(P$2-$C23,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Q23" s="743" t="e">
        <f>IF($B23='Project List References'!$B$3, _xlfn.IFNA(_xlfn.XLOOKUP(Q$2-$C23, 'GEN-CCGT'!$D$7:$AW$7, 'GEN-CCGT'!$D$51:$AW$51), 0), IF($B23='Project List References'!$B$4, _xlfn.IFNA(_xlfn.XLOOKUP(Q$2-$C23, 'GEN-SOLAR'!$D$7:$AW$7, 'GEN-SOLAR'!$D$51:$AW$51), 0), IF($B23='Project List References'!$B$5, _xlfn.IFNA(_xlfn.XLOOKUP(Q$2-$C23, 'GEN-BESS'!$D$7:$AW$7, 'GEN-BESS'!$D$51:$AW$51), 0), IF($B23='Project List References'!$B$6, _xlfn.IFNA(_xlfn.XLOOKUP(Q$2-$C23, 'GEN-CARBON'!$D$7:$AW$7, 'GEN-CARBON'!$D$51:$AW$51), 0), IF($B23='Project List References'!$B$7, _xlfn.IFNA(_xlfn.XLOOKUP(Q$2-$C23, 'SENS Coal'!$D$7:$AW$7, 'SENS Coal'!$D$51:$AW$51), 0), IF($B23='Project List References'!$B$8, _xlfn.IFNA(_xlfn.XLOOKUP(Q$2-$C23,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R23" s="743" t="e">
        <f>IF($B23='Project List References'!$B$3, _xlfn.IFNA(_xlfn.XLOOKUP(R$2-$C23, 'GEN-CCGT'!$D$7:$AW$7, 'GEN-CCGT'!$D$51:$AW$51), 0), IF($B23='Project List References'!$B$4, _xlfn.IFNA(_xlfn.XLOOKUP(R$2-$C23, 'GEN-SOLAR'!$D$7:$AW$7, 'GEN-SOLAR'!$D$51:$AW$51), 0), IF($B23='Project List References'!$B$5, _xlfn.IFNA(_xlfn.XLOOKUP(R$2-$C23, 'GEN-BESS'!$D$7:$AW$7, 'GEN-BESS'!$D$51:$AW$51), 0), IF($B23='Project List References'!$B$6, _xlfn.IFNA(_xlfn.XLOOKUP(R$2-$C23, 'GEN-CARBON'!$D$7:$AW$7, 'GEN-CARBON'!$D$51:$AW$51), 0), IF($B23='Project List References'!$B$7, _xlfn.IFNA(_xlfn.XLOOKUP(R$2-$C23, 'SENS Coal'!$D$7:$AW$7, 'SENS Coal'!$D$51:$AW$51), 0), IF($B23='Project List References'!$B$8, _xlfn.IFNA(_xlfn.XLOOKUP(R$2-$C23,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S23" s="743" t="e">
        <f>IF($B23='Project List References'!$B$3, _xlfn.IFNA(_xlfn.XLOOKUP(S$2-$C23, 'GEN-CCGT'!$D$7:$AW$7, 'GEN-CCGT'!$D$51:$AW$51), 0), IF($B23='Project List References'!$B$4, _xlfn.IFNA(_xlfn.XLOOKUP(S$2-$C23, 'GEN-SOLAR'!$D$7:$AW$7, 'GEN-SOLAR'!$D$51:$AW$51), 0), IF($B23='Project List References'!$B$5, _xlfn.IFNA(_xlfn.XLOOKUP(S$2-$C23, 'GEN-BESS'!$D$7:$AW$7, 'GEN-BESS'!$D$51:$AW$51), 0), IF($B23='Project List References'!$B$6, _xlfn.IFNA(_xlfn.XLOOKUP(S$2-$C23, 'GEN-CARBON'!$D$7:$AW$7, 'GEN-CARBON'!$D$51:$AW$51), 0), IF($B23='Project List References'!$B$7, _xlfn.IFNA(_xlfn.XLOOKUP(S$2-$C23, 'SENS Coal'!$D$7:$AW$7, 'SENS Coal'!$D$51:$AW$51), 0), IF($B23='Project List References'!$B$8, _xlfn.IFNA(_xlfn.XLOOKUP(S$2-$C23,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T23" s="743" t="e">
        <f>IF($B23='Project List References'!$B$3, _xlfn.IFNA(_xlfn.XLOOKUP(T$2-$C23, 'GEN-CCGT'!$D$7:$AW$7, 'GEN-CCGT'!$D$51:$AW$51), 0), IF($B23='Project List References'!$B$4, _xlfn.IFNA(_xlfn.XLOOKUP(T$2-$C23, 'GEN-SOLAR'!$D$7:$AW$7, 'GEN-SOLAR'!$D$51:$AW$51), 0), IF($B23='Project List References'!$B$5, _xlfn.IFNA(_xlfn.XLOOKUP(T$2-$C23, 'GEN-BESS'!$D$7:$AW$7, 'GEN-BESS'!$D$51:$AW$51), 0), IF($B23='Project List References'!$B$6, _xlfn.IFNA(_xlfn.XLOOKUP(T$2-$C23, 'GEN-CARBON'!$D$7:$AW$7, 'GEN-CARBON'!$D$51:$AW$51), 0), IF($B23='Project List References'!$B$7, _xlfn.IFNA(_xlfn.XLOOKUP(T$2-$C23, 'SENS Coal'!$D$7:$AW$7, 'SENS Coal'!$D$51:$AW$51), 0), IF($B23='Project List References'!$B$8, _xlfn.IFNA(_xlfn.XLOOKUP(T$2-$C23, 'SENS Tires'!$D$7:$AW$7, 'SENS Tires'!$D$51:$AW$51), 0)))))))/_xlfn.XLOOKUP($B23,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</row>
    <row r="24" spans="1:20">
      <c r="A24" s="655" t="str">
        <f>IF(ISBLANK('Project Master Sheet'!A24)=FALSE, 'Project Master Sheet'!A24, "")</f>
        <v/>
      </c>
      <c r="B24" s="655" t="str">
        <f>_xlfn.IFNA(_xlfn.XLOOKUP(A24, 'Project Master Sheet'!A:A, 'Project Master Sheet'!D:D), "")</f>
        <v/>
      </c>
      <c r="C24" s="655" t="e">
        <f>_xlfn.XLOOKUP('Project OPEX'!A24, 'Project Master Sheet'!A:A, 'Project Master Sheet'!I:I)</f>
        <v>#N/A</v>
      </c>
      <c r="E24" s="743" t="e">
        <f>IF($B24='Project List References'!$B$3, _xlfn.IFNA(_xlfn.XLOOKUP(E$2-$C24, 'GEN-CCGT'!$D$7:$AW$7, 'GEN-CCGT'!$D$51:$AW$51), 0), IF($B24='Project List References'!$B$4, _xlfn.IFNA(_xlfn.XLOOKUP(E$2-$C24, 'GEN-SOLAR'!$D$7:$AW$7, 'GEN-SOLAR'!$D$51:$AW$51), 0), IF($B24='Project List References'!$B$5, _xlfn.IFNA(_xlfn.XLOOKUP(E$2-$C24, 'GEN-BESS'!$D$7:$AW$7, 'GEN-BESS'!$D$51:$AW$51), 0), IF($B24='Project List References'!$B$6, _xlfn.IFNA(_xlfn.XLOOKUP(E$2-$C24, 'GEN-CARBON'!$D$7:$AW$7, 'GEN-CARBON'!$D$51:$AW$51), 0), IF($B24='Project List References'!$B$7, _xlfn.IFNA(_xlfn.XLOOKUP(E$2-$C24, 'SENS Coal'!$D$7:$AW$7, 'SENS Coal'!$D$51:$AW$51), 0), IF($B24='Project List References'!$B$8, _xlfn.IFNA(_xlfn.XLOOKUP(E$2-$C24,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F24" s="743" t="e">
        <f>IF($B24='Project List References'!$B$3, _xlfn.IFNA(_xlfn.XLOOKUP(F$2-$C24, 'GEN-CCGT'!$D$7:$AW$7, 'GEN-CCGT'!$D$51:$AW$51), 0), IF($B24='Project List References'!$B$4, _xlfn.IFNA(_xlfn.XLOOKUP(F$2-$C24, 'GEN-SOLAR'!$D$7:$AW$7, 'GEN-SOLAR'!$D$51:$AW$51), 0), IF($B24='Project List References'!$B$5, _xlfn.IFNA(_xlfn.XLOOKUP(F$2-$C24, 'GEN-BESS'!$D$7:$AW$7, 'GEN-BESS'!$D$51:$AW$51), 0), IF($B24='Project List References'!$B$6, _xlfn.IFNA(_xlfn.XLOOKUP(F$2-$C24, 'GEN-CARBON'!$D$7:$AW$7, 'GEN-CARBON'!$D$51:$AW$51), 0), IF($B24='Project List References'!$B$7, _xlfn.IFNA(_xlfn.XLOOKUP(F$2-$C24, 'SENS Coal'!$D$7:$AW$7, 'SENS Coal'!$D$51:$AW$51), 0), IF($B24='Project List References'!$B$8, _xlfn.IFNA(_xlfn.XLOOKUP(F$2-$C24,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G24" s="743" t="e">
        <f>IF($B24='Project List References'!$B$3, _xlfn.IFNA(_xlfn.XLOOKUP(G$2-$C24, 'GEN-CCGT'!$D$7:$AW$7, 'GEN-CCGT'!$D$51:$AW$51), 0), IF($B24='Project List References'!$B$4, _xlfn.IFNA(_xlfn.XLOOKUP(G$2-$C24, 'GEN-SOLAR'!$D$7:$AW$7, 'GEN-SOLAR'!$D$51:$AW$51), 0), IF($B24='Project List References'!$B$5, _xlfn.IFNA(_xlfn.XLOOKUP(G$2-$C24, 'GEN-BESS'!$D$7:$AW$7, 'GEN-BESS'!$D$51:$AW$51), 0), IF($B24='Project List References'!$B$6, _xlfn.IFNA(_xlfn.XLOOKUP(G$2-$C24, 'GEN-CARBON'!$D$7:$AW$7, 'GEN-CARBON'!$D$51:$AW$51), 0), IF($B24='Project List References'!$B$7, _xlfn.IFNA(_xlfn.XLOOKUP(G$2-$C24, 'SENS Coal'!$D$7:$AW$7, 'SENS Coal'!$D$51:$AW$51), 0), IF($B24='Project List References'!$B$8, _xlfn.IFNA(_xlfn.XLOOKUP(G$2-$C24,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H24" s="743" t="e">
        <f>IF($B24='Project List References'!$B$3, _xlfn.IFNA(_xlfn.XLOOKUP(H$2-$C24, 'GEN-CCGT'!$D$7:$AW$7, 'GEN-CCGT'!$D$51:$AW$51), 0), IF($B24='Project List References'!$B$4, _xlfn.IFNA(_xlfn.XLOOKUP(H$2-$C24, 'GEN-SOLAR'!$D$7:$AW$7, 'GEN-SOLAR'!$D$51:$AW$51), 0), IF($B24='Project List References'!$B$5, _xlfn.IFNA(_xlfn.XLOOKUP(H$2-$C24, 'GEN-BESS'!$D$7:$AW$7, 'GEN-BESS'!$D$51:$AW$51), 0), IF($B24='Project List References'!$B$6, _xlfn.IFNA(_xlfn.XLOOKUP(H$2-$C24, 'GEN-CARBON'!$D$7:$AW$7, 'GEN-CARBON'!$D$51:$AW$51), 0), IF($B24='Project List References'!$B$7, _xlfn.IFNA(_xlfn.XLOOKUP(H$2-$C24, 'SENS Coal'!$D$7:$AW$7, 'SENS Coal'!$D$51:$AW$51), 0), IF($B24='Project List References'!$B$8, _xlfn.IFNA(_xlfn.XLOOKUP(H$2-$C24,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I24" s="743" t="e">
        <f>IF($B24='Project List References'!$B$3, _xlfn.IFNA(_xlfn.XLOOKUP(I$2-$C24, 'GEN-CCGT'!$D$7:$AW$7, 'GEN-CCGT'!$D$51:$AW$51), 0), IF($B24='Project List References'!$B$4, _xlfn.IFNA(_xlfn.XLOOKUP(I$2-$C24, 'GEN-SOLAR'!$D$7:$AW$7, 'GEN-SOLAR'!$D$51:$AW$51), 0), IF($B24='Project List References'!$B$5, _xlfn.IFNA(_xlfn.XLOOKUP(I$2-$C24, 'GEN-BESS'!$D$7:$AW$7, 'GEN-BESS'!$D$51:$AW$51), 0), IF($B24='Project List References'!$B$6, _xlfn.IFNA(_xlfn.XLOOKUP(I$2-$C24, 'GEN-CARBON'!$D$7:$AW$7, 'GEN-CARBON'!$D$51:$AW$51), 0), IF($B24='Project List References'!$B$7, _xlfn.IFNA(_xlfn.XLOOKUP(I$2-$C24, 'SENS Coal'!$D$7:$AW$7, 'SENS Coal'!$D$51:$AW$51), 0), IF($B24='Project List References'!$B$8, _xlfn.IFNA(_xlfn.XLOOKUP(I$2-$C24,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J24" s="743" t="e">
        <f>IF($B24='Project List References'!$B$3, _xlfn.IFNA(_xlfn.XLOOKUP(J$2-$C24, 'GEN-CCGT'!$D$7:$AW$7, 'GEN-CCGT'!$D$51:$AW$51), 0), IF($B24='Project List References'!$B$4, _xlfn.IFNA(_xlfn.XLOOKUP(J$2-$C24, 'GEN-SOLAR'!$D$7:$AW$7, 'GEN-SOLAR'!$D$51:$AW$51), 0), IF($B24='Project List References'!$B$5, _xlfn.IFNA(_xlfn.XLOOKUP(J$2-$C24, 'GEN-BESS'!$D$7:$AW$7, 'GEN-BESS'!$D$51:$AW$51), 0), IF($B24='Project List References'!$B$6, _xlfn.IFNA(_xlfn.XLOOKUP(J$2-$C24, 'GEN-CARBON'!$D$7:$AW$7, 'GEN-CARBON'!$D$51:$AW$51), 0), IF($B24='Project List References'!$B$7, _xlfn.IFNA(_xlfn.XLOOKUP(J$2-$C24, 'SENS Coal'!$D$7:$AW$7, 'SENS Coal'!$D$51:$AW$51), 0), IF($B24='Project List References'!$B$8, _xlfn.IFNA(_xlfn.XLOOKUP(J$2-$C24,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K24" s="743" t="e">
        <f>IF($B24='Project List References'!$B$3, _xlfn.IFNA(_xlfn.XLOOKUP(K$2-$C24, 'GEN-CCGT'!$D$7:$AW$7, 'GEN-CCGT'!$D$51:$AW$51), 0), IF($B24='Project List References'!$B$4, _xlfn.IFNA(_xlfn.XLOOKUP(K$2-$C24, 'GEN-SOLAR'!$D$7:$AW$7, 'GEN-SOLAR'!$D$51:$AW$51), 0), IF($B24='Project List References'!$B$5, _xlfn.IFNA(_xlfn.XLOOKUP(K$2-$C24, 'GEN-BESS'!$D$7:$AW$7, 'GEN-BESS'!$D$51:$AW$51), 0), IF($B24='Project List References'!$B$6, _xlfn.IFNA(_xlfn.XLOOKUP(K$2-$C24, 'GEN-CARBON'!$D$7:$AW$7, 'GEN-CARBON'!$D$51:$AW$51), 0), IF($B24='Project List References'!$B$7, _xlfn.IFNA(_xlfn.XLOOKUP(K$2-$C24, 'SENS Coal'!$D$7:$AW$7, 'SENS Coal'!$D$51:$AW$51), 0), IF($B24='Project List References'!$B$8, _xlfn.IFNA(_xlfn.XLOOKUP(K$2-$C24,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L24" s="743" t="e">
        <f>IF($B24='Project List References'!$B$3, _xlfn.IFNA(_xlfn.XLOOKUP(L$2-$C24, 'GEN-CCGT'!$D$7:$AW$7, 'GEN-CCGT'!$D$51:$AW$51), 0), IF($B24='Project List References'!$B$4, _xlfn.IFNA(_xlfn.XLOOKUP(L$2-$C24, 'GEN-SOLAR'!$D$7:$AW$7, 'GEN-SOLAR'!$D$51:$AW$51), 0), IF($B24='Project List References'!$B$5, _xlfn.IFNA(_xlfn.XLOOKUP(L$2-$C24, 'GEN-BESS'!$D$7:$AW$7, 'GEN-BESS'!$D$51:$AW$51), 0), IF($B24='Project List References'!$B$6, _xlfn.IFNA(_xlfn.XLOOKUP(L$2-$C24, 'GEN-CARBON'!$D$7:$AW$7, 'GEN-CARBON'!$D$51:$AW$51), 0), IF($B24='Project List References'!$B$7, _xlfn.IFNA(_xlfn.XLOOKUP(L$2-$C24, 'SENS Coal'!$D$7:$AW$7, 'SENS Coal'!$D$51:$AW$51), 0), IF($B24='Project List References'!$B$8, _xlfn.IFNA(_xlfn.XLOOKUP(L$2-$C24,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M24" s="743" t="e">
        <f>IF($B24='Project List References'!$B$3, _xlfn.IFNA(_xlfn.XLOOKUP(M$2-$C24, 'GEN-CCGT'!$D$7:$AW$7, 'GEN-CCGT'!$D$51:$AW$51), 0), IF($B24='Project List References'!$B$4, _xlfn.IFNA(_xlfn.XLOOKUP(M$2-$C24, 'GEN-SOLAR'!$D$7:$AW$7, 'GEN-SOLAR'!$D$51:$AW$51), 0), IF($B24='Project List References'!$B$5, _xlfn.IFNA(_xlfn.XLOOKUP(M$2-$C24, 'GEN-BESS'!$D$7:$AW$7, 'GEN-BESS'!$D$51:$AW$51), 0), IF($B24='Project List References'!$B$6, _xlfn.IFNA(_xlfn.XLOOKUP(M$2-$C24, 'GEN-CARBON'!$D$7:$AW$7, 'GEN-CARBON'!$D$51:$AW$51), 0), IF($B24='Project List References'!$B$7, _xlfn.IFNA(_xlfn.XLOOKUP(M$2-$C24, 'SENS Coal'!$D$7:$AW$7, 'SENS Coal'!$D$51:$AW$51), 0), IF($B24='Project List References'!$B$8, _xlfn.IFNA(_xlfn.XLOOKUP(M$2-$C24,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N24" s="743" t="e">
        <f>IF($B24='Project List References'!$B$3, _xlfn.IFNA(_xlfn.XLOOKUP(N$2-$C24, 'GEN-CCGT'!$D$7:$AW$7, 'GEN-CCGT'!$D$51:$AW$51), 0), IF($B24='Project List References'!$B$4, _xlfn.IFNA(_xlfn.XLOOKUP(N$2-$C24, 'GEN-SOLAR'!$D$7:$AW$7, 'GEN-SOLAR'!$D$51:$AW$51), 0), IF($B24='Project List References'!$B$5, _xlfn.IFNA(_xlfn.XLOOKUP(N$2-$C24, 'GEN-BESS'!$D$7:$AW$7, 'GEN-BESS'!$D$51:$AW$51), 0), IF($B24='Project List References'!$B$6, _xlfn.IFNA(_xlfn.XLOOKUP(N$2-$C24, 'GEN-CARBON'!$D$7:$AW$7, 'GEN-CARBON'!$D$51:$AW$51), 0), IF($B24='Project List References'!$B$7, _xlfn.IFNA(_xlfn.XLOOKUP(N$2-$C24, 'SENS Coal'!$D$7:$AW$7, 'SENS Coal'!$D$51:$AW$51), 0), IF($B24='Project List References'!$B$8, _xlfn.IFNA(_xlfn.XLOOKUP(N$2-$C24,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O24" s="743" t="e">
        <f>IF($B24='Project List References'!$B$3, _xlfn.IFNA(_xlfn.XLOOKUP(O$2-$C24, 'GEN-CCGT'!$D$7:$AW$7, 'GEN-CCGT'!$D$51:$AW$51), 0), IF($B24='Project List References'!$B$4, _xlfn.IFNA(_xlfn.XLOOKUP(O$2-$C24, 'GEN-SOLAR'!$D$7:$AW$7, 'GEN-SOLAR'!$D$51:$AW$51), 0), IF($B24='Project List References'!$B$5, _xlfn.IFNA(_xlfn.XLOOKUP(O$2-$C24, 'GEN-BESS'!$D$7:$AW$7, 'GEN-BESS'!$D$51:$AW$51), 0), IF($B24='Project List References'!$B$6, _xlfn.IFNA(_xlfn.XLOOKUP(O$2-$C24, 'GEN-CARBON'!$D$7:$AW$7, 'GEN-CARBON'!$D$51:$AW$51), 0), IF($B24='Project List References'!$B$7, _xlfn.IFNA(_xlfn.XLOOKUP(O$2-$C24, 'SENS Coal'!$D$7:$AW$7, 'SENS Coal'!$D$51:$AW$51), 0), IF($B24='Project List References'!$B$8, _xlfn.IFNA(_xlfn.XLOOKUP(O$2-$C24,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P24" s="743" t="e">
        <f>IF($B24='Project List References'!$B$3, _xlfn.IFNA(_xlfn.XLOOKUP(P$2-$C24, 'GEN-CCGT'!$D$7:$AW$7, 'GEN-CCGT'!$D$51:$AW$51), 0), IF($B24='Project List References'!$B$4, _xlfn.IFNA(_xlfn.XLOOKUP(P$2-$C24, 'GEN-SOLAR'!$D$7:$AW$7, 'GEN-SOLAR'!$D$51:$AW$51), 0), IF($B24='Project List References'!$B$5, _xlfn.IFNA(_xlfn.XLOOKUP(P$2-$C24, 'GEN-BESS'!$D$7:$AW$7, 'GEN-BESS'!$D$51:$AW$51), 0), IF($B24='Project List References'!$B$6, _xlfn.IFNA(_xlfn.XLOOKUP(P$2-$C24, 'GEN-CARBON'!$D$7:$AW$7, 'GEN-CARBON'!$D$51:$AW$51), 0), IF($B24='Project List References'!$B$7, _xlfn.IFNA(_xlfn.XLOOKUP(P$2-$C24, 'SENS Coal'!$D$7:$AW$7, 'SENS Coal'!$D$51:$AW$51), 0), IF($B24='Project List References'!$B$8, _xlfn.IFNA(_xlfn.XLOOKUP(P$2-$C24,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Q24" s="743" t="e">
        <f>IF($B24='Project List References'!$B$3, _xlfn.IFNA(_xlfn.XLOOKUP(Q$2-$C24, 'GEN-CCGT'!$D$7:$AW$7, 'GEN-CCGT'!$D$51:$AW$51), 0), IF($B24='Project List References'!$B$4, _xlfn.IFNA(_xlfn.XLOOKUP(Q$2-$C24, 'GEN-SOLAR'!$D$7:$AW$7, 'GEN-SOLAR'!$D$51:$AW$51), 0), IF($B24='Project List References'!$B$5, _xlfn.IFNA(_xlfn.XLOOKUP(Q$2-$C24, 'GEN-BESS'!$D$7:$AW$7, 'GEN-BESS'!$D$51:$AW$51), 0), IF($B24='Project List References'!$B$6, _xlfn.IFNA(_xlfn.XLOOKUP(Q$2-$C24, 'GEN-CARBON'!$D$7:$AW$7, 'GEN-CARBON'!$D$51:$AW$51), 0), IF($B24='Project List References'!$B$7, _xlfn.IFNA(_xlfn.XLOOKUP(Q$2-$C24, 'SENS Coal'!$D$7:$AW$7, 'SENS Coal'!$D$51:$AW$51), 0), IF($B24='Project List References'!$B$8, _xlfn.IFNA(_xlfn.XLOOKUP(Q$2-$C24,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R24" s="743" t="e">
        <f>IF($B24='Project List References'!$B$3, _xlfn.IFNA(_xlfn.XLOOKUP(R$2-$C24, 'GEN-CCGT'!$D$7:$AW$7, 'GEN-CCGT'!$D$51:$AW$51), 0), IF($B24='Project List References'!$B$4, _xlfn.IFNA(_xlfn.XLOOKUP(R$2-$C24, 'GEN-SOLAR'!$D$7:$AW$7, 'GEN-SOLAR'!$D$51:$AW$51), 0), IF($B24='Project List References'!$B$5, _xlfn.IFNA(_xlfn.XLOOKUP(R$2-$C24, 'GEN-BESS'!$D$7:$AW$7, 'GEN-BESS'!$D$51:$AW$51), 0), IF($B24='Project List References'!$B$6, _xlfn.IFNA(_xlfn.XLOOKUP(R$2-$C24, 'GEN-CARBON'!$D$7:$AW$7, 'GEN-CARBON'!$D$51:$AW$51), 0), IF($B24='Project List References'!$B$7, _xlfn.IFNA(_xlfn.XLOOKUP(R$2-$C24, 'SENS Coal'!$D$7:$AW$7, 'SENS Coal'!$D$51:$AW$51), 0), IF($B24='Project List References'!$B$8, _xlfn.IFNA(_xlfn.XLOOKUP(R$2-$C24,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S24" s="743" t="e">
        <f>IF($B24='Project List References'!$B$3, _xlfn.IFNA(_xlfn.XLOOKUP(S$2-$C24, 'GEN-CCGT'!$D$7:$AW$7, 'GEN-CCGT'!$D$51:$AW$51), 0), IF($B24='Project List References'!$B$4, _xlfn.IFNA(_xlfn.XLOOKUP(S$2-$C24, 'GEN-SOLAR'!$D$7:$AW$7, 'GEN-SOLAR'!$D$51:$AW$51), 0), IF($B24='Project List References'!$B$5, _xlfn.IFNA(_xlfn.XLOOKUP(S$2-$C24, 'GEN-BESS'!$D$7:$AW$7, 'GEN-BESS'!$D$51:$AW$51), 0), IF($B24='Project List References'!$B$6, _xlfn.IFNA(_xlfn.XLOOKUP(S$2-$C24, 'GEN-CARBON'!$D$7:$AW$7, 'GEN-CARBON'!$D$51:$AW$51), 0), IF($B24='Project List References'!$B$7, _xlfn.IFNA(_xlfn.XLOOKUP(S$2-$C24, 'SENS Coal'!$D$7:$AW$7, 'SENS Coal'!$D$51:$AW$51), 0), IF($B24='Project List References'!$B$8, _xlfn.IFNA(_xlfn.XLOOKUP(S$2-$C24,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T24" s="743" t="e">
        <f>IF($B24='Project List References'!$B$3, _xlfn.IFNA(_xlfn.XLOOKUP(T$2-$C24, 'GEN-CCGT'!$D$7:$AW$7, 'GEN-CCGT'!$D$51:$AW$51), 0), IF($B24='Project List References'!$B$4, _xlfn.IFNA(_xlfn.XLOOKUP(T$2-$C24, 'GEN-SOLAR'!$D$7:$AW$7, 'GEN-SOLAR'!$D$51:$AW$51), 0), IF($B24='Project List References'!$B$5, _xlfn.IFNA(_xlfn.XLOOKUP(T$2-$C24, 'GEN-BESS'!$D$7:$AW$7, 'GEN-BESS'!$D$51:$AW$51), 0), IF($B24='Project List References'!$B$6, _xlfn.IFNA(_xlfn.XLOOKUP(T$2-$C24, 'GEN-CARBON'!$D$7:$AW$7, 'GEN-CARBON'!$D$51:$AW$51), 0), IF($B24='Project List References'!$B$7, _xlfn.IFNA(_xlfn.XLOOKUP(T$2-$C24, 'SENS Coal'!$D$7:$AW$7, 'SENS Coal'!$D$51:$AW$51), 0), IF($B24='Project List References'!$B$8, _xlfn.IFNA(_xlfn.XLOOKUP(T$2-$C24, 'SENS Tires'!$D$7:$AW$7, 'SENS Tires'!$D$51:$AW$51), 0)))))))/_xlfn.XLOOKUP($B24,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</row>
    <row r="25" spans="1:20">
      <c r="A25" s="655" t="str">
        <f>IF(ISBLANK('Project Master Sheet'!A25)=FALSE, 'Project Master Sheet'!A25, "")</f>
        <v/>
      </c>
      <c r="B25" s="655" t="str">
        <f>_xlfn.IFNA(_xlfn.XLOOKUP(A25, 'Project Master Sheet'!A:A, 'Project Master Sheet'!D:D), "")</f>
        <v/>
      </c>
      <c r="C25" s="655" t="e">
        <f>_xlfn.XLOOKUP('Project OPEX'!A25, 'Project Master Sheet'!A:A, 'Project Master Sheet'!I:I)</f>
        <v>#N/A</v>
      </c>
      <c r="E25" s="743" t="e">
        <f>IF($B25='Project List References'!$B$3, _xlfn.IFNA(_xlfn.XLOOKUP(E$2-$C25, 'GEN-CCGT'!$D$7:$AW$7, 'GEN-CCGT'!$D$51:$AW$51), 0), IF($B25='Project List References'!$B$4, _xlfn.IFNA(_xlfn.XLOOKUP(E$2-$C25, 'GEN-SOLAR'!$D$7:$AW$7, 'GEN-SOLAR'!$D$51:$AW$51), 0), IF($B25='Project List References'!$B$5, _xlfn.IFNA(_xlfn.XLOOKUP(E$2-$C25, 'GEN-BESS'!$D$7:$AW$7, 'GEN-BESS'!$D$51:$AW$51), 0), IF($B25='Project List References'!$B$6, _xlfn.IFNA(_xlfn.XLOOKUP(E$2-$C25, 'GEN-CARBON'!$D$7:$AW$7, 'GEN-CARBON'!$D$51:$AW$51), 0), IF($B25='Project List References'!$B$7, _xlfn.IFNA(_xlfn.XLOOKUP(E$2-$C25, 'SENS Coal'!$D$7:$AW$7, 'SENS Coal'!$D$51:$AW$51), 0), IF($B25='Project List References'!$B$8, _xlfn.IFNA(_xlfn.XLOOKUP(E$2-$C25,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F25" s="743" t="e">
        <f>IF($B25='Project List References'!$B$3, _xlfn.IFNA(_xlfn.XLOOKUP(F$2-$C25, 'GEN-CCGT'!$D$7:$AW$7, 'GEN-CCGT'!$D$51:$AW$51), 0), IF($B25='Project List References'!$B$4, _xlfn.IFNA(_xlfn.XLOOKUP(F$2-$C25, 'GEN-SOLAR'!$D$7:$AW$7, 'GEN-SOLAR'!$D$51:$AW$51), 0), IF($B25='Project List References'!$B$5, _xlfn.IFNA(_xlfn.XLOOKUP(F$2-$C25, 'GEN-BESS'!$D$7:$AW$7, 'GEN-BESS'!$D$51:$AW$51), 0), IF($B25='Project List References'!$B$6, _xlfn.IFNA(_xlfn.XLOOKUP(F$2-$C25, 'GEN-CARBON'!$D$7:$AW$7, 'GEN-CARBON'!$D$51:$AW$51), 0), IF($B25='Project List References'!$B$7, _xlfn.IFNA(_xlfn.XLOOKUP(F$2-$C25, 'SENS Coal'!$D$7:$AW$7, 'SENS Coal'!$D$51:$AW$51), 0), IF($B25='Project List References'!$B$8, _xlfn.IFNA(_xlfn.XLOOKUP(F$2-$C25,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G25" s="743" t="e">
        <f>IF($B25='Project List References'!$B$3, _xlfn.IFNA(_xlfn.XLOOKUP(G$2-$C25, 'GEN-CCGT'!$D$7:$AW$7, 'GEN-CCGT'!$D$51:$AW$51), 0), IF($B25='Project List References'!$B$4, _xlfn.IFNA(_xlfn.XLOOKUP(G$2-$C25, 'GEN-SOLAR'!$D$7:$AW$7, 'GEN-SOLAR'!$D$51:$AW$51), 0), IF($B25='Project List References'!$B$5, _xlfn.IFNA(_xlfn.XLOOKUP(G$2-$C25, 'GEN-BESS'!$D$7:$AW$7, 'GEN-BESS'!$D$51:$AW$51), 0), IF($B25='Project List References'!$B$6, _xlfn.IFNA(_xlfn.XLOOKUP(G$2-$C25, 'GEN-CARBON'!$D$7:$AW$7, 'GEN-CARBON'!$D$51:$AW$51), 0), IF($B25='Project List References'!$B$7, _xlfn.IFNA(_xlfn.XLOOKUP(G$2-$C25, 'SENS Coal'!$D$7:$AW$7, 'SENS Coal'!$D$51:$AW$51), 0), IF($B25='Project List References'!$B$8, _xlfn.IFNA(_xlfn.XLOOKUP(G$2-$C25,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H25" s="743" t="e">
        <f>IF($B25='Project List References'!$B$3, _xlfn.IFNA(_xlfn.XLOOKUP(H$2-$C25, 'GEN-CCGT'!$D$7:$AW$7, 'GEN-CCGT'!$D$51:$AW$51), 0), IF($B25='Project List References'!$B$4, _xlfn.IFNA(_xlfn.XLOOKUP(H$2-$C25, 'GEN-SOLAR'!$D$7:$AW$7, 'GEN-SOLAR'!$D$51:$AW$51), 0), IF($B25='Project List References'!$B$5, _xlfn.IFNA(_xlfn.XLOOKUP(H$2-$C25, 'GEN-BESS'!$D$7:$AW$7, 'GEN-BESS'!$D$51:$AW$51), 0), IF($B25='Project List References'!$B$6, _xlfn.IFNA(_xlfn.XLOOKUP(H$2-$C25, 'GEN-CARBON'!$D$7:$AW$7, 'GEN-CARBON'!$D$51:$AW$51), 0), IF($B25='Project List References'!$B$7, _xlfn.IFNA(_xlfn.XLOOKUP(H$2-$C25, 'SENS Coal'!$D$7:$AW$7, 'SENS Coal'!$D$51:$AW$51), 0), IF($B25='Project List References'!$B$8, _xlfn.IFNA(_xlfn.XLOOKUP(H$2-$C25,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I25" s="743" t="e">
        <f>IF($B25='Project List References'!$B$3, _xlfn.IFNA(_xlfn.XLOOKUP(I$2-$C25, 'GEN-CCGT'!$D$7:$AW$7, 'GEN-CCGT'!$D$51:$AW$51), 0), IF($B25='Project List References'!$B$4, _xlfn.IFNA(_xlfn.XLOOKUP(I$2-$C25, 'GEN-SOLAR'!$D$7:$AW$7, 'GEN-SOLAR'!$D$51:$AW$51), 0), IF($B25='Project List References'!$B$5, _xlfn.IFNA(_xlfn.XLOOKUP(I$2-$C25, 'GEN-BESS'!$D$7:$AW$7, 'GEN-BESS'!$D$51:$AW$51), 0), IF($B25='Project List References'!$B$6, _xlfn.IFNA(_xlfn.XLOOKUP(I$2-$C25, 'GEN-CARBON'!$D$7:$AW$7, 'GEN-CARBON'!$D$51:$AW$51), 0), IF($B25='Project List References'!$B$7, _xlfn.IFNA(_xlfn.XLOOKUP(I$2-$C25, 'SENS Coal'!$D$7:$AW$7, 'SENS Coal'!$D$51:$AW$51), 0), IF($B25='Project List References'!$B$8, _xlfn.IFNA(_xlfn.XLOOKUP(I$2-$C25,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J25" s="743" t="e">
        <f>IF($B25='Project List References'!$B$3, _xlfn.IFNA(_xlfn.XLOOKUP(J$2-$C25, 'GEN-CCGT'!$D$7:$AW$7, 'GEN-CCGT'!$D$51:$AW$51), 0), IF($B25='Project List References'!$B$4, _xlfn.IFNA(_xlfn.XLOOKUP(J$2-$C25, 'GEN-SOLAR'!$D$7:$AW$7, 'GEN-SOLAR'!$D$51:$AW$51), 0), IF($B25='Project List References'!$B$5, _xlfn.IFNA(_xlfn.XLOOKUP(J$2-$C25, 'GEN-BESS'!$D$7:$AW$7, 'GEN-BESS'!$D$51:$AW$51), 0), IF($B25='Project List References'!$B$6, _xlfn.IFNA(_xlfn.XLOOKUP(J$2-$C25, 'GEN-CARBON'!$D$7:$AW$7, 'GEN-CARBON'!$D$51:$AW$51), 0), IF($B25='Project List References'!$B$7, _xlfn.IFNA(_xlfn.XLOOKUP(J$2-$C25, 'SENS Coal'!$D$7:$AW$7, 'SENS Coal'!$D$51:$AW$51), 0), IF($B25='Project List References'!$B$8, _xlfn.IFNA(_xlfn.XLOOKUP(J$2-$C25,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K25" s="743" t="e">
        <f>IF($B25='Project List References'!$B$3, _xlfn.IFNA(_xlfn.XLOOKUP(K$2-$C25, 'GEN-CCGT'!$D$7:$AW$7, 'GEN-CCGT'!$D$51:$AW$51), 0), IF($B25='Project List References'!$B$4, _xlfn.IFNA(_xlfn.XLOOKUP(K$2-$C25, 'GEN-SOLAR'!$D$7:$AW$7, 'GEN-SOLAR'!$D$51:$AW$51), 0), IF($B25='Project List References'!$B$5, _xlfn.IFNA(_xlfn.XLOOKUP(K$2-$C25, 'GEN-BESS'!$D$7:$AW$7, 'GEN-BESS'!$D$51:$AW$51), 0), IF($B25='Project List References'!$B$6, _xlfn.IFNA(_xlfn.XLOOKUP(K$2-$C25, 'GEN-CARBON'!$D$7:$AW$7, 'GEN-CARBON'!$D$51:$AW$51), 0), IF($B25='Project List References'!$B$7, _xlfn.IFNA(_xlfn.XLOOKUP(K$2-$C25, 'SENS Coal'!$D$7:$AW$7, 'SENS Coal'!$D$51:$AW$51), 0), IF($B25='Project List References'!$B$8, _xlfn.IFNA(_xlfn.XLOOKUP(K$2-$C25,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L25" s="743" t="e">
        <f>IF($B25='Project List References'!$B$3, _xlfn.IFNA(_xlfn.XLOOKUP(L$2-$C25, 'GEN-CCGT'!$D$7:$AW$7, 'GEN-CCGT'!$D$51:$AW$51), 0), IF($B25='Project List References'!$B$4, _xlfn.IFNA(_xlfn.XLOOKUP(L$2-$C25, 'GEN-SOLAR'!$D$7:$AW$7, 'GEN-SOLAR'!$D$51:$AW$51), 0), IF($B25='Project List References'!$B$5, _xlfn.IFNA(_xlfn.XLOOKUP(L$2-$C25, 'GEN-BESS'!$D$7:$AW$7, 'GEN-BESS'!$D$51:$AW$51), 0), IF($B25='Project List References'!$B$6, _xlfn.IFNA(_xlfn.XLOOKUP(L$2-$C25, 'GEN-CARBON'!$D$7:$AW$7, 'GEN-CARBON'!$D$51:$AW$51), 0), IF($B25='Project List References'!$B$7, _xlfn.IFNA(_xlfn.XLOOKUP(L$2-$C25, 'SENS Coal'!$D$7:$AW$7, 'SENS Coal'!$D$51:$AW$51), 0), IF($B25='Project List References'!$B$8, _xlfn.IFNA(_xlfn.XLOOKUP(L$2-$C25,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M25" s="743" t="e">
        <f>IF($B25='Project List References'!$B$3, _xlfn.IFNA(_xlfn.XLOOKUP(M$2-$C25, 'GEN-CCGT'!$D$7:$AW$7, 'GEN-CCGT'!$D$51:$AW$51), 0), IF($B25='Project List References'!$B$4, _xlfn.IFNA(_xlfn.XLOOKUP(M$2-$C25, 'GEN-SOLAR'!$D$7:$AW$7, 'GEN-SOLAR'!$D$51:$AW$51), 0), IF($B25='Project List References'!$B$5, _xlfn.IFNA(_xlfn.XLOOKUP(M$2-$C25, 'GEN-BESS'!$D$7:$AW$7, 'GEN-BESS'!$D$51:$AW$51), 0), IF($B25='Project List References'!$B$6, _xlfn.IFNA(_xlfn.XLOOKUP(M$2-$C25, 'GEN-CARBON'!$D$7:$AW$7, 'GEN-CARBON'!$D$51:$AW$51), 0), IF($B25='Project List References'!$B$7, _xlfn.IFNA(_xlfn.XLOOKUP(M$2-$C25, 'SENS Coal'!$D$7:$AW$7, 'SENS Coal'!$D$51:$AW$51), 0), IF($B25='Project List References'!$B$8, _xlfn.IFNA(_xlfn.XLOOKUP(M$2-$C25,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N25" s="743" t="e">
        <f>IF($B25='Project List References'!$B$3, _xlfn.IFNA(_xlfn.XLOOKUP(N$2-$C25, 'GEN-CCGT'!$D$7:$AW$7, 'GEN-CCGT'!$D$51:$AW$51), 0), IF($B25='Project List References'!$B$4, _xlfn.IFNA(_xlfn.XLOOKUP(N$2-$C25, 'GEN-SOLAR'!$D$7:$AW$7, 'GEN-SOLAR'!$D$51:$AW$51), 0), IF($B25='Project List References'!$B$5, _xlfn.IFNA(_xlfn.XLOOKUP(N$2-$C25, 'GEN-BESS'!$D$7:$AW$7, 'GEN-BESS'!$D$51:$AW$51), 0), IF($B25='Project List References'!$B$6, _xlfn.IFNA(_xlfn.XLOOKUP(N$2-$C25, 'GEN-CARBON'!$D$7:$AW$7, 'GEN-CARBON'!$D$51:$AW$51), 0), IF($B25='Project List References'!$B$7, _xlfn.IFNA(_xlfn.XLOOKUP(N$2-$C25, 'SENS Coal'!$D$7:$AW$7, 'SENS Coal'!$D$51:$AW$51), 0), IF($B25='Project List References'!$B$8, _xlfn.IFNA(_xlfn.XLOOKUP(N$2-$C25,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O25" s="743" t="e">
        <f>IF($B25='Project List References'!$B$3, _xlfn.IFNA(_xlfn.XLOOKUP(O$2-$C25, 'GEN-CCGT'!$D$7:$AW$7, 'GEN-CCGT'!$D$51:$AW$51), 0), IF($B25='Project List References'!$B$4, _xlfn.IFNA(_xlfn.XLOOKUP(O$2-$C25, 'GEN-SOLAR'!$D$7:$AW$7, 'GEN-SOLAR'!$D$51:$AW$51), 0), IF($B25='Project List References'!$B$5, _xlfn.IFNA(_xlfn.XLOOKUP(O$2-$C25, 'GEN-BESS'!$D$7:$AW$7, 'GEN-BESS'!$D$51:$AW$51), 0), IF($B25='Project List References'!$B$6, _xlfn.IFNA(_xlfn.XLOOKUP(O$2-$C25, 'GEN-CARBON'!$D$7:$AW$7, 'GEN-CARBON'!$D$51:$AW$51), 0), IF($B25='Project List References'!$B$7, _xlfn.IFNA(_xlfn.XLOOKUP(O$2-$C25, 'SENS Coal'!$D$7:$AW$7, 'SENS Coal'!$D$51:$AW$51), 0), IF($B25='Project List References'!$B$8, _xlfn.IFNA(_xlfn.XLOOKUP(O$2-$C25,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P25" s="743" t="e">
        <f>IF($B25='Project List References'!$B$3, _xlfn.IFNA(_xlfn.XLOOKUP(P$2-$C25, 'GEN-CCGT'!$D$7:$AW$7, 'GEN-CCGT'!$D$51:$AW$51), 0), IF($B25='Project List References'!$B$4, _xlfn.IFNA(_xlfn.XLOOKUP(P$2-$C25, 'GEN-SOLAR'!$D$7:$AW$7, 'GEN-SOLAR'!$D$51:$AW$51), 0), IF($B25='Project List References'!$B$5, _xlfn.IFNA(_xlfn.XLOOKUP(P$2-$C25, 'GEN-BESS'!$D$7:$AW$7, 'GEN-BESS'!$D$51:$AW$51), 0), IF($B25='Project List References'!$B$6, _xlfn.IFNA(_xlfn.XLOOKUP(P$2-$C25, 'GEN-CARBON'!$D$7:$AW$7, 'GEN-CARBON'!$D$51:$AW$51), 0), IF($B25='Project List References'!$B$7, _xlfn.IFNA(_xlfn.XLOOKUP(P$2-$C25, 'SENS Coal'!$D$7:$AW$7, 'SENS Coal'!$D$51:$AW$51), 0), IF($B25='Project List References'!$B$8, _xlfn.IFNA(_xlfn.XLOOKUP(P$2-$C25,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Q25" s="743" t="e">
        <f>IF($B25='Project List References'!$B$3, _xlfn.IFNA(_xlfn.XLOOKUP(Q$2-$C25, 'GEN-CCGT'!$D$7:$AW$7, 'GEN-CCGT'!$D$51:$AW$51), 0), IF($B25='Project List References'!$B$4, _xlfn.IFNA(_xlfn.XLOOKUP(Q$2-$C25, 'GEN-SOLAR'!$D$7:$AW$7, 'GEN-SOLAR'!$D$51:$AW$51), 0), IF($B25='Project List References'!$B$5, _xlfn.IFNA(_xlfn.XLOOKUP(Q$2-$C25, 'GEN-BESS'!$D$7:$AW$7, 'GEN-BESS'!$D$51:$AW$51), 0), IF($B25='Project List References'!$B$6, _xlfn.IFNA(_xlfn.XLOOKUP(Q$2-$C25, 'GEN-CARBON'!$D$7:$AW$7, 'GEN-CARBON'!$D$51:$AW$51), 0), IF($B25='Project List References'!$B$7, _xlfn.IFNA(_xlfn.XLOOKUP(Q$2-$C25, 'SENS Coal'!$D$7:$AW$7, 'SENS Coal'!$D$51:$AW$51), 0), IF($B25='Project List References'!$B$8, _xlfn.IFNA(_xlfn.XLOOKUP(Q$2-$C25,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R25" s="743" t="e">
        <f>IF($B25='Project List References'!$B$3, _xlfn.IFNA(_xlfn.XLOOKUP(R$2-$C25, 'GEN-CCGT'!$D$7:$AW$7, 'GEN-CCGT'!$D$51:$AW$51), 0), IF($B25='Project List References'!$B$4, _xlfn.IFNA(_xlfn.XLOOKUP(R$2-$C25, 'GEN-SOLAR'!$D$7:$AW$7, 'GEN-SOLAR'!$D$51:$AW$51), 0), IF($B25='Project List References'!$B$5, _xlfn.IFNA(_xlfn.XLOOKUP(R$2-$C25, 'GEN-BESS'!$D$7:$AW$7, 'GEN-BESS'!$D$51:$AW$51), 0), IF($B25='Project List References'!$B$6, _xlfn.IFNA(_xlfn.XLOOKUP(R$2-$C25, 'GEN-CARBON'!$D$7:$AW$7, 'GEN-CARBON'!$D$51:$AW$51), 0), IF($B25='Project List References'!$B$7, _xlfn.IFNA(_xlfn.XLOOKUP(R$2-$C25, 'SENS Coal'!$D$7:$AW$7, 'SENS Coal'!$D$51:$AW$51), 0), IF($B25='Project List References'!$B$8, _xlfn.IFNA(_xlfn.XLOOKUP(R$2-$C25,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S25" s="743" t="e">
        <f>IF($B25='Project List References'!$B$3, _xlfn.IFNA(_xlfn.XLOOKUP(S$2-$C25, 'GEN-CCGT'!$D$7:$AW$7, 'GEN-CCGT'!$D$51:$AW$51), 0), IF($B25='Project List References'!$B$4, _xlfn.IFNA(_xlfn.XLOOKUP(S$2-$C25, 'GEN-SOLAR'!$D$7:$AW$7, 'GEN-SOLAR'!$D$51:$AW$51), 0), IF($B25='Project List References'!$B$5, _xlfn.IFNA(_xlfn.XLOOKUP(S$2-$C25, 'GEN-BESS'!$D$7:$AW$7, 'GEN-BESS'!$D$51:$AW$51), 0), IF($B25='Project List References'!$B$6, _xlfn.IFNA(_xlfn.XLOOKUP(S$2-$C25, 'GEN-CARBON'!$D$7:$AW$7, 'GEN-CARBON'!$D$51:$AW$51), 0), IF($B25='Project List References'!$B$7, _xlfn.IFNA(_xlfn.XLOOKUP(S$2-$C25, 'SENS Coal'!$D$7:$AW$7, 'SENS Coal'!$D$51:$AW$51), 0), IF($B25='Project List References'!$B$8, _xlfn.IFNA(_xlfn.XLOOKUP(S$2-$C25,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T25" s="743" t="e">
        <f>IF($B25='Project List References'!$B$3, _xlfn.IFNA(_xlfn.XLOOKUP(T$2-$C25, 'GEN-CCGT'!$D$7:$AW$7, 'GEN-CCGT'!$D$51:$AW$51), 0), IF($B25='Project List References'!$B$4, _xlfn.IFNA(_xlfn.XLOOKUP(T$2-$C25, 'GEN-SOLAR'!$D$7:$AW$7, 'GEN-SOLAR'!$D$51:$AW$51), 0), IF($B25='Project List References'!$B$5, _xlfn.IFNA(_xlfn.XLOOKUP(T$2-$C25, 'GEN-BESS'!$D$7:$AW$7, 'GEN-BESS'!$D$51:$AW$51), 0), IF($B25='Project List References'!$B$6, _xlfn.IFNA(_xlfn.XLOOKUP(T$2-$C25, 'GEN-CARBON'!$D$7:$AW$7, 'GEN-CARBON'!$D$51:$AW$51), 0), IF($B25='Project List References'!$B$7, _xlfn.IFNA(_xlfn.XLOOKUP(T$2-$C25, 'SENS Coal'!$D$7:$AW$7, 'SENS Coal'!$D$51:$AW$51), 0), IF($B25='Project List References'!$B$8, _xlfn.IFNA(_xlfn.XLOOKUP(T$2-$C25, 'SENS Tires'!$D$7:$AW$7, 'SENS Tires'!$D$51:$AW$51), 0)))))))/_xlfn.XLOOKUP($B25,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</row>
    <row r="26" spans="1:20">
      <c r="A26" s="655" t="str">
        <f>IF(ISBLANK('Project Master Sheet'!A26)=FALSE, 'Project Master Sheet'!A26, "")</f>
        <v/>
      </c>
      <c r="B26" s="655" t="str">
        <f>_xlfn.IFNA(_xlfn.XLOOKUP(A26, 'Project Master Sheet'!A:A, 'Project Master Sheet'!D:D), "")</f>
        <v/>
      </c>
      <c r="C26" s="655" t="e">
        <f>_xlfn.XLOOKUP('Project OPEX'!A26, 'Project Master Sheet'!A:A, 'Project Master Sheet'!I:I)</f>
        <v>#N/A</v>
      </c>
      <c r="E26" s="743" t="e">
        <f>IF($B26='Project List References'!$B$3, _xlfn.IFNA(_xlfn.XLOOKUP(E$2-$C26, 'GEN-CCGT'!$D$7:$AW$7, 'GEN-CCGT'!$D$51:$AW$51), 0), IF($B26='Project List References'!$B$4, _xlfn.IFNA(_xlfn.XLOOKUP(E$2-$C26, 'GEN-SOLAR'!$D$7:$AW$7, 'GEN-SOLAR'!$D$51:$AW$51), 0), IF($B26='Project List References'!$B$5, _xlfn.IFNA(_xlfn.XLOOKUP(E$2-$C26, 'GEN-BESS'!$D$7:$AW$7, 'GEN-BESS'!$D$51:$AW$51), 0), IF($B26='Project List References'!$B$6, _xlfn.IFNA(_xlfn.XLOOKUP(E$2-$C26, 'GEN-CARBON'!$D$7:$AW$7, 'GEN-CARBON'!$D$51:$AW$51), 0), IF($B26='Project List References'!$B$7, _xlfn.IFNA(_xlfn.XLOOKUP(E$2-$C26, 'SENS Coal'!$D$7:$AW$7, 'SENS Coal'!$D$51:$AW$51), 0), IF($B26='Project List References'!$B$8, _xlfn.IFNA(_xlfn.XLOOKUP(E$2-$C26,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F26" s="743" t="e">
        <f>IF($B26='Project List References'!$B$3, _xlfn.IFNA(_xlfn.XLOOKUP(F$2-$C26, 'GEN-CCGT'!$D$7:$AW$7, 'GEN-CCGT'!$D$51:$AW$51), 0), IF($B26='Project List References'!$B$4, _xlfn.IFNA(_xlfn.XLOOKUP(F$2-$C26, 'GEN-SOLAR'!$D$7:$AW$7, 'GEN-SOLAR'!$D$51:$AW$51), 0), IF($B26='Project List References'!$B$5, _xlfn.IFNA(_xlfn.XLOOKUP(F$2-$C26, 'GEN-BESS'!$D$7:$AW$7, 'GEN-BESS'!$D$51:$AW$51), 0), IF($B26='Project List References'!$B$6, _xlfn.IFNA(_xlfn.XLOOKUP(F$2-$C26, 'GEN-CARBON'!$D$7:$AW$7, 'GEN-CARBON'!$D$51:$AW$51), 0), IF($B26='Project List References'!$B$7, _xlfn.IFNA(_xlfn.XLOOKUP(F$2-$C26, 'SENS Coal'!$D$7:$AW$7, 'SENS Coal'!$D$51:$AW$51), 0), IF($B26='Project List References'!$B$8, _xlfn.IFNA(_xlfn.XLOOKUP(F$2-$C26,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G26" s="743" t="e">
        <f>IF($B26='Project List References'!$B$3, _xlfn.IFNA(_xlfn.XLOOKUP(G$2-$C26, 'GEN-CCGT'!$D$7:$AW$7, 'GEN-CCGT'!$D$51:$AW$51), 0), IF($B26='Project List References'!$B$4, _xlfn.IFNA(_xlfn.XLOOKUP(G$2-$C26, 'GEN-SOLAR'!$D$7:$AW$7, 'GEN-SOLAR'!$D$51:$AW$51), 0), IF($B26='Project List References'!$B$5, _xlfn.IFNA(_xlfn.XLOOKUP(G$2-$C26, 'GEN-BESS'!$D$7:$AW$7, 'GEN-BESS'!$D$51:$AW$51), 0), IF($B26='Project List References'!$B$6, _xlfn.IFNA(_xlfn.XLOOKUP(G$2-$C26, 'GEN-CARBON'!$D$7:$AW$7, 'GEN-CARBON'!$D$51:$AW$51), 0), IF($B26='Project List References'!$B$7, _xlfn.IFNA(_xlfn.XLOOKUP(G$2-$C26, 'SENS Coal'!$D$7:$AW$7, 'SENS Coal'!$D$51:$AW$51), 0), IF($B26='Project List References'!$B$8, _xlfn.IFNA(_xlfn.XLOOKUP(G$2-$C26,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H26" s="743" t="e">
        <f>IF($B26='Project List References'!$B$3, _xlfn.IFNA(_xlfn.XLOOKUP(H$2-$C26, 'GEN-CCGT'!$D$7:$AW$7, 'GEN-CCGT'!$D$51:$AW$51), 0), IF($B26='Project List References'!$B$4, _xlfn.IFNA(_xlfn.XLOOKUP(H$2-$C26, 'GEN-SOLAR'!$D$7:$AW$7, 'GEN-SOLAR'!$D$51:$AW$51), 0), IF($B26='Project List References'!$B$5, _xlfn.IFNA(_xlfn.XLOOKUP(H$2-$C26, 'GEN-BESS'!$D$7:$AW$7, 'GEN-BESS'!$D$51:$AW$51), 0), IF($B26='Project List References'!$B$6, _xlfn.IFNA(_xlfn.XLOOKUP(H$2-$C26, 'GEN-CARBON'!$D$7:$AW$7, 'GEN-CARBON'!$D$51:$AW$51), 0), IF($B26='Project List References'!$B$7, _xlfn.IFNA(_xlfn.XLOOKUP(H$2-$C26, 'SENS Coal'!$D$7:$AW$7, 'SENS Coal'!$D$51:$AW$51), 0), IF($B26='Project List References'!$B$8, _xlfn.IFNA(_xlfn.XLOOKUP(H$2-$C26,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I26" s="743" t="e">
        <f>IF($B26='Project List References'!$B$3, _xlfn.IFNA(_xlfn.XLOOKUP(I$2-$C26, 'GEN-CCGT'!$D$7:$AW$7, 'GEN-CCGT'!$D$51:$AW$51), 0), IF($B26='Project List References'!$B$4, _xlfn.IFNA(_xlfn.XLOOKUP(I$2-$C26, 'GEN-SOLAR'!$D$7:$AW$7, 'GEN-SOLAR'!$D$51:$AW$51), 0), IF($B26='Project List References'!$B$5, _xlfn.IFNA(_xlfn.XLOOKUP(I$2-$C26, 'GEN-BESS'!$D$7:$AW$7, 'GEN-BESS'!$D$51:$AW$51), 0), IF($B26='Project List References'!$B$6, _xlfn.IFNA(_xlfn.XLOOKUP(I$2-$C26, 'GEN-CARBON'!$D$7:$AW$7, 'GEN-CARBON'!$D$51:$AW$51), 0), IF($B26='Project List References'!$B$7, _xlfn.IFNA(_xlfn.XLOOKUP(I$2-$C26, 'SENS Coal'!$D$7:$AW$7, 'SENS Coal'!$D$51:$AW$51), 0), IF($B26='Project List References'!$B$8, _xlfn.IFNA(_xlfn.XLOOKUP(I$2-$C26,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J26" s="743" t="e">
        <f>IF($B26='Project List References'!$B$3, _xlfn.IFNA(_xlfn.XLOOKUP(J$2-$C26, 'GEN-CCGT'!$D$7:$AW$7, 'GEN-CCGT'!$D$51:$AW$51), 0), IF($B26='Project List References'!$B$4, _xlfn.IFNA(_xlfn.XLOOKUP(J$2-$C26, 'GEN-SOLAR'!$D$7:$AW$7, 'GEN-SOLAR'!$D$51:$AW$51), 0), IF($B26='Project List References'!$B$5, _xlfn.IFNA(_xlfn.XLOOKUP(J$2-$C26, 'GEN-BESS'!$D$7:$AW$7, 'GEN-BESS'!$D$51:$AW$51), 0), IF($B26='Project List References'!$B$6, _xlfn.IFNA(_xlfn.XLOOKUP(J$2-$C26, 'GEN-CARBON'!$D$7:$AW$7, 'GEN-CARBON'!$D$51:$AW$51), 0), IF($B26='Project List References'!$B$7, _xlfn.IFNA(_xlfn.XLOOKUP(J$2-$C26, 'SENS Coal'!$D$7:$AW$7, 'SENS Coal'!$D$51:$AW$51), 0), IF($B26='Project List References'!$B$8, _xlfn.IFNA(_xlfn.XLOOKUP(J$2-$C26,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K26" s="743" t="e">
        <f>IF($B26='Project List References'!$B$3, _xlfn.IFNA(_xlfn.XLOOKUP(K$2-$C26, 'GEN-CCGT'!$D$7:$AW$7, 'GEN-CCGT'!$D$51:$AW$51), 0), IF($B26='Project List References'!$B$4, _xlfn.IFNA(_xlfn.XLOOKUP(K$2-$C26, 'GEN-SOLAR'!$D$7:$AW$7, 'GEN-SOLAR'!$D$51:$AW$51), 0), IF($B26='Project List References'!$B$5, _xlfn.IFNA(_xlfn.XLOOKUP(K$2-$C26, 'GEN-BESS'!$D$7:$AW$7, 'GEN-BESS'!$D$51:$AW$51), 0), IF($B26='Project List References'!$B$6, _xlfn.IFNA(_xlfn.XLOOKUP(K$2-$C26, 'GEN-CARBON'!$D$7:$AW$7, 'GEN-CARBON'!$D$51:$AW$51), 0), IF($B26='Project List References'!$B$7, _xlfn.IFNA(_xlfn.XLOOKUP(K$2-$C26, 'SENS Coal'!$D$7:$AW$7, 'SENS Coal'!$D$51:$AW$51), 0), IF($B26='Project List References'!$B$8, _xlfn.IFNA(_xlfn.XLOOKUP(K$2-$C26,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L26" s="743" t="e">
        <f>IF($B26='Project List References'!$B$3, _xlfn.IFNA(_xlfn.XLOOKUP(L$2-$C26, 'GEN-CCGT'!$D$7:$AW$7, 'GEN-CCGT'!$D$51:$AW$51), 0), IF($B26='Project List References'!$B$4, _xlfn.IFNA(_xlfn.XLOOKUP(L$2-$C26, 'GEN-SOLAR'!$D$7:$AW$7, 'GEN-SOLAR'!$D$51:$AW$51), 0), IF($B26='Project List References'!$B$5, _xlfn.IFNA(_xlfn.XLOOKUP(L$2-$C26, 'GEN-BESS'!$D$7:$AW$7, 'GEN-BESS'!$D$51:$AW$51), 0), IF($B26='Project List References'!$B$6, _xlfn.IFNA(_xlfn.XLOOKUP(L$2-$C26, 'GEN-CARBON'!$D$7:$AW$7, 'GEN-CARBON'!$D$51:$AW$51), 0), IF($B26='Project List References'!$B$7, _xlfn.IFNA(_xlfn.XLOOKUP(L$2-$C26, 'SENS Coal'!$D$7:$AW$7, 'SENS Coal'!$D$51:$AW$51), 0), IF($B26='Project List References'!$B$8, _xlfn.IFNA(_xlfn.XLOOKUP(L$2-$C26,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M26" s="743" t="e">
        <f>IF($B26='Project List References'!$B$3, _xlfn.IFNA(_xlfn.XLOOKUP(M$2-$C26, 'GEN-CCGT'!$D$7:$AW$7, 'GEN-CCGT'!$D$51:$AW$51), 0), IF($B26='Project List References'!$B$4, _xlfn.IFNA(_xlfn.XLOOKUP(M$2-$C26, 'GEN-SOLAR'!$D$7:$AW$7, 'GEN-SOLAR'!$D$51:$AW$51), 0), IF($B26='Project List References'!$B$5, _xlfn.IFNA(_xlfn.XLOOKUP(M$2-$C26, 'GEN-BESS'!$D$7:$AW$7, 'GEN-BESS'!$D$51:$AW$51), 0), IF($B26='Project List References'!$B$6, _xlfn.IFNA(_xlfn.XLOOKUP(M$2-$C26, 'GEN-CARBON'!$D$7:$AW$7, 'GEN-CARBON'!$D$51:$AW$51), 0), IF($B26='Project List References'!$B$7, _xlfn.IFNA(_xlfn.XLOOKUP(M$2-$C26, 'SENS Coal'!$D$7:$AW$7, 'SENS Coal'!$D$51:$AW$51), 0), IF($B26='Project List References'!$B$8, _xlfn.IFNA(_xlfn.XLOOKUP(M$2-$C26,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N26" s="743" t="e">
        <f>IF($B26='Project List References'!$B$3, _xlfn.IFNA(_xlfn.XLOOKUP(N$2-$C26, 'GEN-CCGT'!$D$7:$AW$7, 'GEN-CCGT'!$D$51:$AW$51), 0), IF($B26='Project List References'!$B$4, _xlfn.IFNA(_xlfn.XLOOKUP(N$2-$C26, 'GEN-SOLAR'!$D$7:$AW$7, 'GEN-SOLAR'!$D$51:$AW$51), 0), IF($B26='Project List References'!$B$5, _xlfn.IFNA(_xlfn.XLOOKUP(N$2-$C26, 'GEN-BESS'!$D$7:$AW$7, 'GEN-BESS'!$D$51:$AW$51), 0), IF($B26='Project List References'!$B$6, _xlfn.IFNA(_xlfn.XLOOKUP(N$2-$C26, 'GEN-CARBON'!$D$7:$AW$7, 'GEN-CARBON'!$D$51:$AW$51), 0), IF($B26='Project List References'!$B$7, _xlfn.IFNA(_xlfn.XLOOKUP(N$2-$C26, 'SENS Coal'!$D$7:$AW$7, 'SENS Coal'!$D$51:$AW$51), 0), IF($B26='Project List References'!$B$8, _xlfn.IFNA(_xlfn.XLOOKUP(N$2-$C26,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O26" s="743" t="e">
        <f>IF($B26='Project List References'!$B$3, _xlfn.IFNA(_xlfn.XLOOKUP(O$2-$C26, 'GEN-CCGT'!$D$7:$AW$7, 'GEN-CCGT'!$D$51:$AW$51), 0), IF($B26='Project List References'!$B$4, _xlfn.IFNA(_xlfn.XLOOKUP(O$2-$C26, 'GEN-SOLAR'!$D$7:$AW$7, 'GEN-SOLAR'!$D$51:$AW$51), 0), IF($B26='Project List References'!$B$5, _xlfn.IFNA(_xlfn.XLOOKUP(O$2-$C26, 'GEN-BESS'!$D$7:$AW$7, 'GEN-BESS'!$D$51:$AW$51), 0), IF($B26='Project List References'!$B$6, _xlfn.IFNA(_xlfn.XLOOKUP(O$2-$C26, 'GEN-CARBON'!$D$7:$AW$7, 'GEN-CARBON'!$D$51:$AW$51), 0), IF($B26='Project List References'!$B$7, _xlfn.IFNA(_xlfn.XLOOKUP(O$2-$C26, 'SENS Coal'!$D$7:$AW$7, 'SENS Coal'!$D$51:$AW$51), 0), IF($B26='Project List References'!$B$8, _xlfn.IFNA(_xlfn.XLOOKUP(O$2-$C26,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P26" s="743" t="e">
        <f>IF($B26='Project List References'!$B$3, _xlfn.IFNA(_xlfn.XLOOKUP(P$2-$C26, 'GEN-CCGT'!$D$7:$AW$7, 'GEN-CCGT'!$D$51:$AW$51), 0), IF($B26='Project List References'!$B$4, _xlfn.IFNA(_xlfn.XLOOKUP(P$2-$C26, 'GEN-SOLAR'!$D$7:$AW$7, 'GEN-SOLAR'!$D$51:$AW$51), 0), IF($B26='Project List References'!$B$5, _xlfn.IFNA(_xlfn.XLOOKUP(P$2-$C26, 'GEN-BESS'!$D$7:$AW$7, 'GEN-BESS'!$D$51:$AW$51), 0), IF($B26='Project List References'!$B$6, _xlfn.IFNA(_xlfn.XLOOKUP(P$2-$C26, 'GEN-CARBON'!$D$7:$AW$7, 'GEN-CARBON'!$D$51:$AW$51), 0), IF($B26='Project List References'!$B$7, _xlfn.IFNA(_xlfn.XLOOKUP(P$2-$C26, 'SENS Coal'!$D$7:$AW$7, 'SENS Coal'!$D$51:$AW$51), 0), IF($B26='Project List References'!$B$8, _xlfn.IFNA(_xlfn.XLOOKUP(P$2-$C26,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Q26" s="743" t="e">
        <f>IF($B26='Project List References'!$B$3, _xlfn.IFNA(_xlfn.XLOOKUP(Q$2-$C26, 'GEN-CCGT'!$D$7:$AW$7, 'GEN-CCGT'!$D$51:$AW$51), 0), IF($B26='Project List References'!$B$4, _xlfn.IFNA(_xlfn.XLOOKUP(Q$2-$C26, 'GEN-SOLAR'!$D$7:$AW$7, 'GEN-SOLAR'!$D$51:$AW$51), 0), IF($B26='Project List References'!$B$5, _xlfn.IFNA(_xlfn.XLOOKUP(Q$2-$C26, 'GEN-BESS'!$D$7:$AW$7, 'GEN-BESS'!$D$51:$AW$51), 0), IF($B26='Project List References'!$B$6, _xlfn.IFNA(_xlfn.XLOOKUP(Q$2-$C26, 'GEN-CARBON'!$D$7:$AW$7, 'GEN-CARBON'!$D$51:$AW$51), 0), IF($B26='Project List References'!$B$7, _xlfn.IFNA(_xlfn.XLOOKUP(Q$2-$C26, 'SENS Coal'!$D$7:$AW$7, 'SENS Coal'!$D$51:$AW$51), 0), IF($B26='Project List References'!$B$8, _xlfn.IFNA(_xlfn.XLOOKUP(Q$2-$C26,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R26" s="743" t="e">
        <f>IF($B26='Project List References'!$B$3, _xlfn.IFNA(_xlfn.XLOOKUP(R$2-$C26, 'GEN-CCGT'!$D$7:$AW$7, 'GEN-CCGT'!$D$51:$AW$51), 0), IF($B26='Project List References'!$B$4, _xlfn.IFNA(_xlfn.XLOOKUP(R$2-$C26, 'GEN-SOLAR'!$D$7:$AW$7, 'GEN-SOLAR'!$D$51:$AW$51), 0), IF($B26='Project List References'!$B$5, _xlfn.IFNA(_xlfn.XLOOKUP(R$2-$C26, 'GEN-BESS'!$D$7:$AW$7, 'GEN-BESS'!$D$51:$AW$51), 0), IF($B26='Project List References'!$B$6, _xlfn.IFNA(_xlfn.XLOOKUP(R$2-$C26, 'GEN-CARBON'!$D$7:$AW$7, 'GEN-CARBON'!$D$51:$AW$51), 0), IF($B26='Project List References'!$B$7, _xlfn.IFNA(_xlfn.XLOOKUP(R$2-$C26, 'SENS Coal'!$D$7:$AW$7, 'SENS Coal'!$D$51:$AW$51), 0), IF($B26='Project List References'!$B$8, _xlfn.IFNA(_xlfn.XLOOKUP(R$2-$C26,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S26" s="743" t="e">
        <f>IF($B26='Project List References'!$B$3, _xlfn.IFNA(_xlfn.XLOOKUP(S$2-$C26, 'GEN-CCGT'!$D$7:$AW$7, 'GEN-CCGT'!$D$51:$AW$51), 0), IF($B26='Project List References'!$B$4, _xlfn.IFNA(_xlfn.XLOOKUP(S$2-$C26, 'GEN-SOLAR'!$D$7:$AW$7, 'GEN-SOLAR'!$D$51:$AW$51), 0), IF($B26='Project List References'!$B$5, _xlfn.IFNA(_xlfn.XLOOKUP(S$2-$C26, 'GEN-BESS'!$D$7:$AW$7, 'GEN-BESS'!$D$51:$AW$51), 0), IF($B26='Project List References'!$B$6, _xlfn.IFNA(_xlfn.XLOOKUP(S$2-$C26, 'GEN-CARBON'!$D$7:$AW$7, 'GEN-CARBON'!$D$51:$AW$51), 0), IF($B26='Project List References'!$B$7, _xlfn.IFNA(_xlfn.XLOOKUP(S$2-$C26, 'SENS Coal'!$D$7:$AW$7, 'SENS Coal'!$D$51:$AW$51), 0), IF($B26='Project List References'!$B$8, _xlfn.IFNA(_xlfn.XLOOKUP(S$2-$C26,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T26" s="743" t="e">
        <f>IF($B26='Project List References'!$B$3, _xlfn.IFNA(_xlfn.XLOOKUP(T$2-$C26, 'GEN-CCGT'!$D$7:$AW$7, 'GEN-CCGT'!$D$51:$AW$51), 0), IF($B26='Project List References'!$B$4, _xlfn.IFNA(_xlfn.XLOOKUP(T$2-$C26, 'GEN-SOLAR'!$D$7:$AW$7, 'GEN-SOLAR'!$D$51:$AW$51), 0), IF($B26='Project List References'!$B$5, _xlfn.IFNA(_xlfn.XLOOKUP(T$2-$C26, 'GEN-BESS'!$D$7:$AW$7, 'GEN-BESS'!$D$51:$AW$51), 0), IF($B26='Project List References'!$B$6, _xlfn.IFNA(_xlfn.XLOOKUP(T$2-$C26, 'GEN-CARBON'!$D$7:$AW$7, 'GEN-CARBON'!$D$51:$AW$51), 0), IF($B26='Project List References'!$B$7, _xlfn.IFNA(_xlfn.XLOOKUP(T$2-$C26, 'SENS Coal'!$D$7:$AW$7, 'SENS Coal'!$D$51:$AW$51), 0), IF($B26='Project List References'!$B$8, _xlfn.IFNA(_xlfn.XLOOKUP(T$2-$C26, 'SENS Tires'!$D$7:$AW$7, 'SENS Tires'!$D$51:$AW$51), 0)))))))/_xlfn.XLOOKUP($B26,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</row>
    <row r="27" spans="1:20">
      <c r="A27" s="655" t="str">
        <f>IF(ISBLANK('Project Master Sheet'!A27)=FALSE, 'Project Master Sheet'!A27, "")</f>
        <v/>
      </c>
      <c r="B27" s="655" t="str">
        <f>_xlfn.IFNA(_xlfn.XLOOKUP(A27, 'Project Master Sheet'!A:A, 'Project Master Sheet'!D:D), "")</f>
        <v/>
      </c>
      <c r="C27" s="655" t="e">
        <f>_xlfn.XLOOKUP('Project OPEX'!A27, 'Project Master Sheet'!A:A, 'Project Master Sheet'!I:I)</f>
        <v>#N/A</v>
      </c>
      <c r="E27" s="743" t="e">
        <f>IF($B27='Project List References'!$B$3, _xlfn.IFNA(_xlfn.XLOOKUP(E$2-$C27, 'GEN-CCGT'!$D$7:$AW$7, 'GEN-CCGT'!$D$51:$AW$51), 0), IF($B27='Project List References'!$B$4, _xlfn.IFNA(_xlfn.XLOOKUP(E$2-$C27, 'GEN-SOLAR'!$D$7:$AW$7, 'GEN-SOLAR'!$D$51:$AW$51), 0), IF($B27='Project List References'!$B$5, _xlfn.IFNA(_xlfn.XLOOKUP(E$2-$C27, 'GEN-BESS'!$D$7:$AW$7, 'GEN-BESS'!$D$51:$AW$51), 0), IF($B27='Project List References'!$B$6, _xlfn.IFNA(_xlfn.XLOOKUP(E$2-$C27, 'GEN-CARBON'!$D$7:$AW$7, 'GEN-CARBON'!$D$51:$AW$51), 0), IF($B27='Project List References'!$B$7, _xlfn.IFNA(_xlfn.XLOOKUP(E$2-$C27, 'SENS Coal'!$D$7:$AW$7, 'SENS Coal'!$D$51:$AW$51), 0), IF($B27='Project List References'!$B$8, _xlfn.IFNA(_xlfn.XLOOKUP(E$2-$C27,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F27" s="743" t="e">
        <f>IF($B27='Project List References'!$B$3, _xlfn.IFNA(_xlfn.XLOOKUP(F$2-$C27, 'GEN-CCGT'!$D$7:$AW$7, 'GEN-CCGT'!$D$51:$AW$51), 0), IF($B27='Project List References'!$B$4, _xlfn.IFNA(_xlfn.XLOOKUP(F$2-$C27, 'GEN-SOLAR'!$D$7:$AW$7, 'GEN-SOLAR'!$D$51:$AW$51), 0), IF($B27='Project List References'!$B$5, _xlfn.IFNA(_xlfn.XLOOKUP(F$2-$C27, 'GEN-BESS'!$D$7:$AW$7, 'GEN-BESS'!$D$51:$AW$51), 0), IF($B27='Project List References'!$B$6, _xlfn.IFNA(_xlfn.XLOOKUP(F$2-$C27, 'GEN-CARBON'!$D$7:$AW$7, 'GEN-CARBON'!$D$51:$AW$51), 0), IF($B27='Project List References'!$B$7, _xlfn.IFNA(_xlfn.XLOOKUP(F$2-$C27, 'SENS Coal'!$D$7:$AW$7, 'SENS Coal'!$D$51:$AW$51), 0), IF($B27='Project List References'!$B$8, _xlfn.IFNA(_xlfn.XLOOKUP(F$2-$C27,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G27" s="743" t="e">
        <f>IF($B27='Project List References'!$B$3, _xlfn.IFNA(_xlfn.XLOOKUP(G$2-$C27, 'GEN-CCGT'!$D$7:$AW$7, 'GEN-CCGT'!$D$51:$AW$51), 0), IF($B27='Project List References'!$B$4, _xlfn.IFNA(_xlfn.XLOOKUP(G$2-$C27, 'GEN-SOLAR'!$D$7:$AW$7, 'GEN-SOLAR'!$D$51:$AW$51), 0), IF($B27='Project List References'!$B$5, _xlfn.IFNA(_xlfn.XLOOKUP(G$2-$C27, 'GEN-BESS'!$D$7:$AW$7, 'GEN-BESS'!$D$51:$AW$51), 0), IF($B27='Project List References'!$B$6, _xlfn.IFNA(_xlfn.XLOOKUP(G$2-$C27, 'GEN-CARBON'!$D$7:$AW$7, 'GEN-CARBON'!$D$51:$AW$51), 0), IF($B27='Project List References'!$B$7, _xlfn.IFNA(_xlfn.XLOOKUP(G$2-$C27, 'SENS Coal'!$D$7:$AW$7, 'SENS Coal'!$D$51:$AW$51), 0), IF($B27='Project List References'!$B$8, _xlfn.IFNA(_xlfn.XLOOKUP(G$2-$C27,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H27" s="743" t="e">
        <f>IF($B27='Project List References'!$B$3, _xlfn.IFNA(_xlfn.XLOOKUP(H$2-$C27, 'GEN-CCGT'!$D$7:$AW$7, 'GEN-CCGT'!$D$51:$AW$51), 0), IF($B27='Project List References'!$B$4, _xlfn.IFNA(_xlfn.XLOOKUP(H$2-$C27, 'GEN-SOLAR'!$D$7:$AW$7, 'GEN-SOLAR'!$D$51:$AW$51), 0), IF($B27='Project List References'!$B$5, _xlfn.IFNA(_xlfn.XLOOKUP(H$2-$C27, 'GEN-BESS'!$D$7:$AW$7, 'GEN-BESS'!$D$51:$AW$51), 0), IF($B27='Project List References'!$B$6, _xlfn.IFNA(_xlfn.XLOOKUP(H$2-$C27, 'GEN-CARBON'!$D$7:$AW$7, 'GEN-CARBON'!$D$51:$AW$51), 0), IF($B27='Project List References'!$B$7, _xlfn.IFNA(_xlfn.XLOOKUP(H$2-$C27, 'SENS Coal'!$D$7:$AW$7, 'SENS Coal'!$D$51:$AW$51), 0), IF($B27='Project List References'!$B$8, _xlfn.IFNA(_xlfn.XLOOKUP(H$2-$C27,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I27" s="743" t="e">
        <f>IF($B27='Project List References'!$B$3, _xlfn.IFNA(_xlfn.XLOOKUP(I$2-$C27, 'GEN-CCGT'!$D$7:$AW$7, 'GEN-CCGT'!$D$51:$AW$51), 0), IF($B27='Project List References'!$B$4, _xlfn.IFNA(_xlfn.XLOOKUP(I$2-$C27, 'GEN-SOLAR'!$D$7:$AW$7, 'GEN-SOLAR'!$D$51:$AW$51), 0), IF($B27='Project List References'!$B$5, _xlfn.IFNA(_xlfn.XLOOKUP(I$2-$C27, 'GEN-BESS'!$D$7:$AW$7, 'GEN-BESS'!$D$51:$AW$51), 0), IF($B27='Project List References'!$B$6, _xlfn.IFNA(_xlfn.XLOOKUP(I$2-$C27, 'GEN-CARBON'!$D$7:$AW$7, 'GEN-CARBON'!$D$51:$AW$51), 0), IF($B27='Project List References'!$B$7, _xlfn.IFNA(_xlfn.XLOOKUP(I$2-$C27, 'SENS Coal'!$D$7:$AW$7, 'SENS Coal'!$D$51:$AW$51), 0), IF($B27='Project List References'!$B$8, _xlfn.IFNA(_xlfn.XLOOKUP(I$2-$C27,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J27" s="743" t="e">
        <f>IF($B27='Project List References'!$B$3, _xlfn.IFNA(_xlfn.XLOOKUP(J$2-$C27, 'GEN-CCGT'!$D$7:$AW$7, 'GEN-CCGT'!$D$51:$AW$51), 0), IF($B27='Project List References'!$B$4, _xlfn.IFNA(_xlfn.XLOOKUP(J$2-$C27, 'GEN-SOLAR'!$D$7:$AW$7, 'GEN-SOLAR'!$D$51:$AW$51), 0), IF($B27='Project List References'!$B$5, _xlfn.IFNA(_xlfn.XLOOKUP(J$2-$C27, 'GEN-BESS'!$D$7:$AW$7, 'GEN-BESS'!$D$51:$AW$51), 0), IF($B27='Project List References'!$B$6, _xlfn.IFNA(_xlfn.XLOOKUP(J$2-$C27, 'GEN-CARBON'!$D$7:$AW$7, 'GEN-CARBON'!$D$51:$AW$51), 0), IF($B27='Project List References'!$B$7, _xlfn.IFNA(_xlfn.XLOOKUP(J$2-$C27, 'SENS Coal'!$D$7:$AW$7, 'SENS Coal'!$D$51:$AW$51), 0), IF($B27='Project List References'!$B$8, _xlfn.IFNA(_xlfn.XLOOKUP(J$2-$C27,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K27" s="743" t="e">
        <f>IF($B27='Project List References'!$B$3, _xlfn.IFNA(_xlfn.XLOOKUP(K$2-$C27, 'GEN-CCGT'!$D$7:$AW$7, 'GEN-CCGT'!$D$51:$AW$51), 0), IF($B27='Project List References'!$B$4, _xlfn.IFNA(_xlfn.XLOOKUP(K$2-$C27, 'GEN-SOLAR'!$D$7:$AW$7, 'GEN-SOLAR'!$D$51:$AW$51), 0), IF($B27='Project List References'!$B$5, _xlfn.IFNA(_xlfn.XLOOKUP(K$2-$C27, 'GEN-BESS'!$D$7:$AW$7, 'GEN-BESS'!$D$51:$AW$51), 0), IF($B27='Project List References'!$B$6, _xlfn.IFNA(_xlfn.XLOOKUP(K$2-$C27, 'GEN-CARBON'!$D$7:$AW$7, 'GEN-CARBON'!$D$51:$AW$51), 0), IF($B27='Project List References'!$B$7, _xlfn.IFNA(_xlfn.XLOOKUP(K$2-$C27, 'SENS Coal'!$D$7:$AW$7, 'SENS Coal'!$D$51:$AW$51), 0), IF($B27='Project List References'!$B$8, _xlfn.IFNA(_xlfn.XLOOKUP(K$2-$C27,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L27" s="743" t="e">
        <f>IF($B27='Project List References'!$B$3, _xlfn.IFNA(_xlfn.XLOOKUP(L$2-$C27, 'GEN-CCGT'!$D$7:$AW$7, 'GEN-CCGT'!$D$51:$AW$51), 0), IF($B27='Project List References'!$B$4, _xlfn.IFNA(_xlfn.XLOOKUP(L$2-$C27, 'GEN-SOLAR'!$D$7:$AW$7, 'GEN-SOLAR'!$D$51:$AW$51), 0), IF($B27='Project List References'!$B$5, _xlfn.IFNA(_xlfn.XLOOKUP(L$2-$C27, 'GEN-BESS'!$D$7:$AW$7, 'GEN-BESS'!$D$51:$AW$51), 0), IF($B27='Project List References'!$B$6, _xlfn.IFNA(_xlfn.XLOOKUP(L$2-$C27, 'GEN-CARBON'!$D$7:$AW$7, 'GEN-CARBON'!$D$51:$AW$51), 0), IF($B27='Project List References'!$B$7, _xlfn.IFNA(_xlfn.XLOOKUP(L$2-$C27, 'SENS Coal'!$D$7:$AW$7, 'SENS Coal'!$D$51:$AW$51), 0), IF($B27='Project List References'!$B$8, _xlfn.IFNA(_xlfn.XLOOKUP(L$2-$C27,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M27" s="743" t="e">
        <f>IF($B27='Project List References'!$B$3, _xlfn.IFNA(_xlfn.XLOOKUP(M$2-$C27, 'GEN-CCGT'!$D$7:$AW$7, 'GEN-CCGT'!$D$51:$AW$51), 0), IF($B27='Project List References'!$B$4, _xlfn.IFNA(_xlfn.XLOOKUP(M$2-$C27, 'GEN-SOLAR'!$D$7:$AW$7, 'GEN-SOLAR'!$D$51:$AW$51), 0), IF($B27='Project List References'!$B$5, _xlfn.IFNA(_xlfn.XLOOKUP(M$2-$C27, 'GEN-BESS'!$D$7:$AW$7, 'GEN-BESS'!$D$51:$AW$51), 0), IF($B27='Project List References'!$B$6, _xlfn.IFNA(_xlfn.XLOOKUP(M$2-$C27, 'GEN-CARBON'!$D$7:$AW$7, 'GEN-CARBON'!$D$51:$AW$51), 0), IF($B27='Project List References'!$B$7, _xlfn.IFNA(_xlfn.XLOOKUP(M$2-$C27, 'SENS Coal'!$D$7:$AW$7, 'SENS Coal'!$D$51:$AW$51), 0), IF($B27='Project List References'!$B$8, _xlfn.IFNA(_xlfn.XLOOKUP(M$2-$C27,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N27" s="743" t="e">
        <f>IF($B27='Project List References'!$B$3, _xlfn.IFNA(_xlfn.XLOOKUP(N$2-$C27, 'GEN-CCGT'!$D$7:$AW$7, 'GEN-CCGT'!$D$51:$AW$51), 0), IF($B27='Project List References'!$B$4, _xlfn.IFNA(_xlfn.XLOOKUP(N$2-$C27, 'GEN-SOLAR'!$D$7:$AW$7, 'GEN-SOLAR'!$D$51:$AW$51), 0), IF($B27='Project List References'!$B$5, _xlfn.IFNA(_xlfn.XLOOKUP(N$2-$C27, 'GEN-BESS'!$D$7:$AW$7, 'GEN-BESS'!$D$51:$AW$51), 0), IF($B27='Project List References'!$B$6, _xlfn.IFNA(_xlfn.XLOOKUP(N$2-$C27, 'GEN-CARBON'!$D$7:$AW$7, 'GEN-CARBON'!$D$51:$AW$51), 0), IF($B27='Project List References'!$B$7, _xlfn.IFNA(_xlfn.XLOOKUP(N$2-$C27, 'SENS Coal'!$D$7:$AW$7, 'SENS Coal'!$D$51:$AW$51), 0), IF($B27='Project List References'!$B$8, _xlfn.IFNA(_xlfn.XLOOKUP(N$2-$C27,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O27" s="743" t="e">
        <f>IF($B27='Project List References'!$B$3, _xlfn.IFNA(_xlfn.XLOOKUP(O$2-$C27, 'GEN-CCGT'!$D$7:$AW$7, 'GEN-CCGT'!$D$51:$AW$51), 0), IF($B27='Project List References'!$B$4, _xlfn.IFNA(_xlfn.XLOOKUP(O$2-$C27, 'GEN-SOLAR'!$D$7:$AW$7, 'GEN-SOLAR'!$D$51:$AW$51), 0), IF($B27='Project List References'!$B$5, _xlfn.IFNA(_xlfn.XLOOKUP(O$2-$C27, 'GEN-BESS'!$D$7:$AW$7, 'GEN-BESS'!$D$51:$AW$51), 0), IF($B27='Project List References'!$B$6, _xlfn.IFNA(_xlfn.XLOOKUP(O$2-$C27, 'GEN-CARBON'!$D$7:$AW$7, 'GEN-CARBON'!$D$51:$AW$51), 0), IF($B27='Project List References'!$B$7, _xlfn.IFNA(_xlfn.XLOOKUP(O$2-$C27, 'SENS Coal'!$D$7:$AW$7, 'SENS Coal'!$D$51:$AW$51), 0), IF($B27='Project List References'!$B$8, _xlfn.IFNA(_xlfn.XLOOKUP(O$2-$C27,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P27" s="743" t="e">
        <f>IF($B27='Project List References'!$B$3, _xlfn.IFNA(_xlfn.XLOOKUP(P$2-$C27, 'GEN-CCGT'!$D$7:$AW$7, 'GEN-CCGT'!$D$51:$AW$51), 0), IF($B27='Project List References'!$B$4, _xlfn.IFNA(_xlfn.XLOOKUP(P$2-$C27, 'GEN-SOLAR'!$D$7:$AW$7, 'GEN-SOLAR'!$D$51:$AW$51), 0), IF($B27='Project List References'!$B$5, _xlfn.IFNA(_xlfn.XLOOKUP(P$2-$C27, 'GEN-BESS'!$D$7:$AW$7, 'GEN-BESS'!$D$51:$AW$51), 0), IF($B27='Project List References'!$B$6, _xlfn.IFNA(_xlfn.XLOOKUP(P$2-$C27, 'GEN-CARBON'!$D$7:$AW$7, 'GEN-CARBON'!$D$51:$AW$51), 0), IF($B27='Project List References'!$B$7, _xlfn.IFNA(_xlfn.XLOOKUP(P$2-$C27, 'SENS Coal'!$D$7:$AW$7, 'SENS Coal'!$D$51:$AW$51), 0), IF($B27='Project List References'!$B$8, _xlfn.IFNA(_xlfn.XLOOKUP(P$2-$C27,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Q27" s="743" t="e">
        <f>IF($B27='Project List References'!$B$3, _xlfn.IFNA(_xlfn.XLOOKUP(Q$2-$C27, 'GEN-CCGT'!$D$7:$AW$7, 'GEN-CCGT'!$D$51:$AW$51), 0), IF($B27='Project List References'!$B$4, _xlfn.IFNA(_xlfn.XLOOKUP(Q$2-$C27, 'GEN-SOLAR'!$D$7:$AW$7, 'GEN-SOLAR'!$D$51:$AW$51), 0), IF($B27='Project List References'!$B$5, _xlfn.IFNA(_xlfn.XLOOKUP(Q$2-$C27, 'GEN-BESS'!$D$7:$AW$7, 'GEN-BESS'!$D$51:$AW$51), 0), IF($B27='Project List References'!$B$6, _xlfn.IFNA(_xlfn.XLOOKUP(Q$2-$C27, 'GEN-CARBON'!$D$7:$AW$7, 'GEN-CARBON'!$D$51:$AW$51), 0), IF($B27='Project List References'!$B$7, _xlfn.IFNA(_xlfn.XLOOKUP(Q$2-$C27, 'SENS Coal'!$D$7:$AW$7, 'SENS Coal'!$D$51:$AW$51), 0), IF($B27='Project List References'!$B$8, _xlfn.IFNA(_xlfn.XLOOKUP(Q$2-$C27,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R27" s="743" t="e">
        <f>IF($B27='Project List References'!$B$3, _xlfn.IFNA(_xlfn.XLOOKUP(R$2-$C27, 'GEN-CCGT'!$D$7:$AW$7, 'GEN-CCGT'!$D$51:$AW$51), 0), IF($B27='Project List References'!$B$4, _xlfn.IFNA(_xlfn.XLOOKUP(R$2-$C27, 'GEN-SOLAR'!$D$7:$AW$7, 'GEN-SOLAR'!$D$51:$AW$51), 0), IF($B27='Project List References'!$B$5, _xlfn.IFNA(_xlfn.XLOOKUP(R$2-$C27, 'GEN-BESS'!$D$7:$AW$7, 'GEN-BESS'!$D$51:$AW$51), 0), IF($B27='Project List References'!$B$6, _xlfn.IFNA(_xlfn.XLOOKUP(R$2-$C27, 'GEN-CARBON'!$D$7:$AW$7, 'GEN-CARBON'!$D$51:$AW$51), 0), IF($B27='Project List References'!$B$7, _xlfn.IFNA(_xlfn.XLOOKUP(R$2-$C27, 'SENS Coal'!$D$7:$AW$7, 'SENS Coal'!$D$51:$AW$51), 0), IF($B27='Project List References'!$B$8, _xlfn.IFNA(_xlfn.XLOOKUP(R$2-$C27,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S27" s="743" t="e">
        <f>IF($B27='Project List References'!$B$3, _xlfn.IFNA(_xlfn.XLOOKUP(S$2-$C27, 'GEN-CCGT'!$D$7:$AW$7, 'GEN-CCGT'!$D$51:$AW$51), 0), IF($B27='Project List References'!$B$4, _xlfn.IFNA(_xlfn.XLOOKUP(S$2-$C27, 'GEN-SOLAR'!$D$7:$AW$7, 'GEN-SOLAR'!$D$51:$AW$51), 0), IF($B27='Project List References'!$B$5, _xlfn.IFNA(_xlfn.XLOOKUP(S$2-$C27, 'GEN-BESS'!$D$7:$AW$7, 'GEN-BESS'!$D$51:$AW$51), 0), IF($B27='Project List References'!$B$6, _xlfn.IFNA(_xlfn.XLOOKUP(S$2-$C27, 'GEN-CARBON'!$D$7:$AW$7, 'GEN-CARBON'!$D$51:$AW$51), 0), IF($B27='Project List References'!$B$7, _xlfn.IFNA(_xlfn.XLOOKUP(S$2-$C27, 'SENS Coal'!$D$7:$AW$7, 'SENS Coal'!$D$51:$AW$51), 0), IF($B27='Project List References'!$B$8, _xlfn.IFNA(_xlfn.XLOOKUP(S$2-$C27,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T27" s="743" t="e">
        <f>IF($B27='Project List References'!$B$3, _xlfn.IFNA(_xlfn.XLOOKUP(T$2-$C27, 'GEN-CCGT'!$D$7:$AW$7, 'GEN-CCGT'!$D$51:$AW$51), 0), IF($B27='Project List References'!$B$4, _xlfn.IFNA(_xlfn.XLOOKUP(T$2-$C27, 'GEN-SOLAR'!$D$7:$AW$7, 'GEN-SOLAR'!$D$51:$AW$51), 0), IF($B27='Project List References'!$B$5, _xlfn.IFNA(_xlfn.XLOOKUP(T$2-$C27, 'GEN-BESS'!$D$7:$AW$7, 'GEN-BESS'!$D$51:$AW$51), 0), IF($B27='Project List References'!$B$6, _xlfn.IFNA(_xlfn.XLOOKUP(T$2-$C27, 'GEN-CARBON'!$D$7:$AW$7, 'GEN-CARBON'!$D$51:$AW$51), 0), IF($B27='Project List References'!$B$7, _xlfn.IFNA(_xlfn.XLOOKUP(T$2-$C27, 'SENS Coal'!$D$7:$AW$7, 'SENS Coal'!$D$51:$AW$51), 0), IF($B27='Project List References'!$B$8, _xlfn.IFNA(_xlfn.XLOOKUP(T$2-$C27, 'SENS Tires'!$D$7:$AW$7, 'SENS Tires'!$D$51:$AW$51), 0)))))))/_xlfn.XLOOKUP($B27,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</row>
    <row r="28" spans="1:20">
      <c r="A28" s="655" t="str">
        <f>IF(ISBLANK('Project Master Sheet'!A28)=FALSE, 'Project Master Sheet'!A28, "")</f>
        <v/>
      </c>
      <c r="B28" s="655" t="str">
        <f>_xlfn.IFNA(_xlfn.XLOOKUP(A28, 'Project Master Sheet'!A:A, 'Project Master Sheet'!D:D), "")</f>
        <v/>
      </c>
      <c r="C28" s="655" t="e">
        <f>_xlfn.XLOOKUP('Project OPEX'!A28, 'Project Master Sheet'!A:A, 'Project Master Sheet'!I:I)</f>
        <v>#N/A</v>
      </c>
      <c r="E28" s="743" t="e">
        <f>IF($B28='Project List References'!$B$3, _xlfn.IFNA(_xlfn.XLOOKUP(E$2-$C28, 'GEN-CCGT'!$D$7:$AW$7, 'GEN-CCGT'!$D$51:$AW$51), 0), IF($B28='Project List References'!$B$4, _xlfn.IFNA(_xlfn.XLOOKUP(E$2-$C28, 'GEN-SOLAR'!$D$7:$AW$7, 'GEN-SOLAR'!$D$51:$AW$51), 0), IF($B28='Project List References'!$B$5, _xlfn.IFNA(_xlfn.XLOOKUP(E$2-$C28, 'GEN-BESS'!$D$7:$AW$7, 'GEN-BESS'!$D$51:$AW$51), 0), IF($B28='Project List References'!$B$6, _xlfn.IFNA(_xlfn.XLOOKUP(E$2-$C28, 'GEN-CARBON'!$D$7:$AW$7, 'GEN-CARBON'!$D$51:$AW$51), 0), IF($B28='Project List References'!$B$7, _xlfn.IFNA(_xlfn.XLOOKUP(E$2-$C28, 'SENS Coal'!$D$7:$AW$7, 'SENS Coal'!$D$51:$AW$51), 0), IF($B28='Project List References'!$B$8, _xlfn.IFNA(_xlfn.XLOOKUP(E$2-$C28,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F28" s="743" t="e">
        <f>IF($B28='Project List References'!$B$3, _xlfn.IFNA(_xlfn.XLOOKUP(F$2-$C28, 'GEN-CCGT'!$D$7:$AW$7, 'GEN-CCGT'!$D$51:$AW$51), 0), IF($B28='Project List References'!$B$4, _xlfn.IFNA(_xlfn.XLOOKUP(F$2-$C28, 'GEN-SOLAR'!$D$7:$AW$7, 'GEN-SOLAR'!$D$51:$AW$51), 0), IF($B28='Project List References'!$B$5, _xlfn.IFNA(_xlfn.XLOOKUP(F$2-$C28, 'GEN-BESS'!$D$7:$AW$7, 'GEN-BESS'!$D$51:$AW$51), 0), IF($B28='Project List References'!$B$6, _xlfn.IFNA(_xlfn.XLOOKUP(F$2-$C28, 'GEN-CARBON'!$D$7:$AW$7, 'GEN-CARBON'!$D$51:$AW$51), 0), IF($B28='Project List References'!$B$7, _xlfn.IFNA(_xlfn.XLOOKUP(F$2-$C28, 'SENS Coal'!$D$7:$AW$7, 'SENS Coal'!$D$51:$AW$51), 0), IF($B28='Project List References'!$B$8, _xlfn.IFNA(_xlfn.XLOOKUP(F$2-$C28,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G28" s="743" t="e">
        <f>IF($B28='Project List References'!$B$3, _xlfn.IFNA(_xlfn.XLOOKUP(G$2-$C28, 'GEN-CCGT'!$D$7:$AW$7, 'GEN-CCGT'!$D$51:$AW$51), 0), IF($B28='Project List References'!$B$4, _xlfn.IFNA(_xlfn.XLOOKUP(G$2-$C28, 'GEN-SOLAR'!$D$7:$AW$7, 'GEN-SOLAR'!$D$51:$AW$51), 0), IF($B28='Project List References'!$B$5, _xlfn.IFNA(_xlfn.XLOOKUP(G$2-$C28, 'GEN-BESS'!$D$7:$AW$7, 'GEN-BESS'!$D$51:$AW$51), 0), IF($B28='Project List References'!$B$6, _xlfn.IFNA(_xlfn.XLOOKUP(G$2-$C28, 'GEN-CARBON'!$D$7:$AW$7, 'GEN-CARBON'!$D$51:$AW$51), 0), IF($B28='Project List References'!$B$7, _xlfn.IFNA(_xlfn.XLOOKUP(G$2-$C28, 'SENS Coal'!$D$7:$AW$7, 'SENS Coal'!$D$51:$AW$51), 0), IF($B28='Project List References'!$B$8, _xlfn.IFNA(_xlfn.XLOOKUP(G$2-$C28,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H28" s="743" t="e">
        <f>IF($B28='Project List References'!$B$3, _xlfn.IFNA(_xlfn.XLOOKUP(H$2-$C28, 'GEN-CCGT'!$D$7:$AW$7, 'GEN-CCGT'!$D$51:$AW$51), 0), IF($B28='Project List References'!$B$4, _xlfn.IFNA(_xlfn.XLOOKUP(H$2-$C28, 'GEN-SOLAR'!$D$7:$AW$7, 'GEN-SOLAR'!$D$51:$AW$51), 0), IF($B28='Project List References'!$B$5, _xlfn.IFNA(_xlfn.XLOOKUP(H$2-$C28, 'GEN-BESS'!$D$7:$AW$7, 'GEN-BESS'!$D$51:$AW$51), 0), IF($B28='Project List References'!$B$6, _xlfn.IFNA(_xlfn.XLOOKUP(H$2-$C28, 'GEN-CARBON'!$D$7:$AW$7, 'GEN-CARBON'!$D$51:$AW$51), 0), IF($B28='Project List References'!$B$7, _xlfn.IFNA(_xlfn.XLOOKUP(H$2-$C28, 'SENS Coal'!$D$7:$AW$7, 'SENS Coal'!$D$51:$AW$51), 0), IF($B28='Project List References'!$B$8, _xlfn.IFNA(_xlfn.XLOOKUP(H$2-$C28,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I28" s="743" t="e">
        <f>IF($B28='Project List References'!$B$3, _xlfn.IFNA(_xlfn.XLOOKUP(I$2-$C28, 'GEN-CCGT'!$D$7:$AW$7, 'GEN-CCGT'!$D$51:$AW$51), 0), IF($B28='Project List References'!$B$4, _xlfn.IFNA(_xlfn.XLOOKUP(I$2-$C28, 'GEN-SOLAR'!$D$7:$AW$7, 'GEN-SOLAR'!$D$51:$AW$51), 0), IF($B28='Project List References'!$B$5, _xlfn.IFNA(_xlfn.XLOOKUP(I$2-$C28, 'GEN-BESS'!$D$7:$AW$7, 'GEN-BESS'!$D$51:$AW$51), 0), IF($B28='Project List References'!$B$6, _xlfn.IFNA(_xlfn.XLOOKUP(I$2-$C28, 'GEN-CARBON'!$D$7:$AW$7, 'GEN-CARBON'!$D$51:$AW$51), 0), IF($B28='Project List References'!$B$7, _xlfn.IFNA(_xlfn.XLOOKUP(I$2-$C28, 'SENS Coal'!$D$7:$AW$7, 'SENS Coal'!$D$51:$AW$51), 0), IF($B28='Project List References'!$B$8, _xlfn.IFNA(_xlfn.XLOOKUP(I$2-$C28,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J28" s="743" t="e">
        <f>IF($B28='Project List References'!$B$3, _xlfn.IFNA(_xlfn.XLOOKUP(J$2-$C28, 'GEN-CCGT'!$D$7:$AW$7, 'GEN-CCGT'!$D$51:$AW$51), 0), IF($B28='Project List References'!$B$4, _xlfn.IFNA(_xlfn.XLOOKUP(J$2-$C28, 'GEN-SOLAR'!$D$7:$AW$7, 'GEN-SOLAR'!$D$51:$AW$51), 0), IF($B28='Project List References'!$B$5, _xlfn.IFNA(_xlfn.XLOOKUP(J$2-$C28, 'GEN-BESS'!$D$7:$AW$7, 'GEN-BESS'!$D$51:$AW$51), 0), IF($B28='Project List References'!$B$6, _xlfn.IFNA(_xlfn.XLOOKUP(J$2-$C28, 'GEN-CARBON'!$D$7:$AW$7, 'GEN-CARBON'!$D$51:$AW$51), 0), IF($B28='Project List References'!$B$7, _xlfn.IFNA(_xlfn.XLOOKUP(J$2-$C28, 'SENS Coal'!$D$7:$AW$7, 'SENS Coal'!$D$51:$AW$51), 0), IF($B28='Project List References'!$B$8, _xlfn.IFNA(_xlfn.XLOOKUP(J$2-$C28,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K28" s="743" t="e">
        <f>IF($B28='Project List References'!$B$3, _xlfn.IFNA(_xlfn.XLOOKUP(K$2-$C28, 'GEN-CCGT'!$D$7:$AW$7, 'GEN-CCGT'!$D$51:$AW$51), 0), IF($B28='Project List References'!$B$4, _xlfn.IFNA(_xlfn.XLOOKUP(K$2-$C28, 'GEN-SOLAR'!$D$7:$AW$7, 'GEN-SOLAR'!$D$51:$AW$51), 0), IF($B28='Project List References'!$B$5, _xlfn.IFNA(_xlfn.XLOOKUP(K$2-$C28, 'GEN-BESS'!$D$7:$AW$7, 'GEN-BESS'!$D$51:$AW$51), 0), IF($B28='Project List References'!$B$6, _xlfn.IFNA(_xlfn.XLOOKUP(K$2-$C28, 'GEN-CARBON'!$D$7:$AW$7, 'GEN-CARBON'!$D$51:$AW$51), 0), IF($B28='Project List References'!$B$7, _xlfn.IFNA(_xlfn.XLOOKUP(K$2-$C28, 'SENS Coal'!$D$7:$AW$7, 'SENS Coal'!$D$51:$AW$51), 0), IF($B28='Project List References'!$B$8, _xlfn.IFNA(_xlfn.XLOOKUP(K$2-$C28,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L28" s="743" t="e">
        <f>IF($B28='Project List References'!$B$3, _xlfn.IFNA(_xlfn.XLOOKUP(L$2-$C28, 'GEN-CCGT'!$D$7:$AW$7, 'GEN-CCGT'!$D$51:$AW$51), 0), IF($B28='Project List References'!$B$4, _xlfn.IFNA(_xlfn.XLOOKUP(L$2-$C28, 'GEN-SOLAR'!$D$7:$AW$7, 'GEN-SOLAR'!$D$51:$AW$51), 0), IF($B28='Project List References'!$B$5, _xlfn.IFNA(_xlfn.XLOOKUP(L$2-$C28, 'GEN-BESS'!$D$7:$AW$7, 'GEN-BESS'!$D$51:$AW$51), 0), IF($B28='Project List References'!$B$6, _xlfn.IFNA(_xlfn.XLOOKUP(L$2-$C28, 'GEN-CARBON'!$D$7:$AW$7, 'GEN-CARBON'!$D$51:$AW$51), 0), IF($B28='Project List References'!$B$7, _xlfn.IFNA(_xlfn.XLOOKUP(L$2-$C28, 'SENS Coal'!$D$7:$AW$7, 'SENS Coal'!$D$51:$AW$51), 0), IF($B28='Project List References'!$B$8, _xlfn.IFNA(_xlfn.XLOOKUP(L$2-$C28,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M28" s="743" t="e">
        <f>IF($B28='Project List References'!$B$3, _xlfn.IFNA(_xlfn.XLOOKUP(M$2-$C28, 'GEN-CCGT'!$D$7:$AW$7, 'GEN-CCGT'!$D$51:$AW$51), 0), IF($B28='Project List References'!$B$4, _xlfn.IFNA(_xlfn.XLOOKUP(M$2-$C28, 'GEN-SOLAR'!$D$7:$AW$7, 'GEN-SOLAR'!$D$51:$AW$51), 0), IF($B28='Project List References'!$B$5, _xlfn.IFNA(_xlfn.XLOOKUP(M$2-$C28, 'GEN-BESS'!$D$7:$AW$7, 'GEN-BESS'!$D$51:$AW$51), 0), IF($B28='Project List References'!$B$6, _xlfn.IFNA(_xlfn.XLOOKUP(M$2-$C28, 'GEN-CARBON'!$D$7:$AW$7, 'GEN-CARBON'!$D$51:$AW$51), 0), IF($B28='Project List References'!$B$7, _xlfn.IFNA(_xlfn.XLOOKUP(M$2-$C28, 'SENS Coal'!$D$7:$AW$7, 'SENS Coal'!$D$51:$AW$51), 0), IF($B28='Project List References'!$B$8, _xlfn.IFNA(_xlfn.XLOOKUP(M$2-$C28,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N28" s="743" t="e">
        <f>IF($B28='Project List References'!$B$3, _xlfn.IFNA(_xlfn.XLOOKUP(N$2-$C28, 'GEN-CCGT'!$D$7:$AW$7, 'GEN-CCGT'!$D$51:$AW$51), 0), IF($B28='Project List References'!$B$4, _xlfn.IFNA(_xlfn.XLOOKUP(N$2-$C28, 'GEN-SOLAR'!$D$7:$AW$7, 'GEN-SOLAR'!$D$51:$AW$51), 0), IF($B28='Project List References'!$B$5, _xlfn.IFNA(_xlfn.XLOOKUP(N$2-$C28, 'GEN-BESS'!$D$7:$AW$7, 'GEN-BESS'!$D$51:$AW$51), 0), IF($B28='Project List References'!$B$6, _xlfn.IFNA(_xlfn.XLOOKUP(N$2-$C28, 'GEN-CARBON'!$D$7:$AW$7, 'GEN-CARBON'!$D$51:$AW$51), 0), IF($B28='Project List References'!$B$7, _xlfn.IFNA(_xlfn.XLOOKUP(N$2-$C28, 'SENS Coal'!$D$7:$AW$7, 'SENS Coal'!$D$51:$AW$51), 0), IF($B28='Project List References'!$B$8, _xlfn.IFNA(_xlfn.XLOOKUP(N$2-$C28,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O28" s="743" t="e">
        <f>IF($B28='Project List References'!$B$3, _xlfn.IFNA(_xlfn.XLOOKUP(O$2-$C28, 'GEN-CCGT'!$D$7:$AW$7, 'GEN-CCGT'!$D$51:$AW$51), 0), IF($B28='Project List References'!$B$4, _xlfn.IFNA(_xlfn.XLOOKUP(O$2-$C28, 'GEN-SOLAR'!$D$7:$AW$7, 'GEN-SOLAR'!$D$51:$AW$51), 0), IF($B28='Project List References'!$B$5, _xlfn.IFNA(_xlfn.XLOOKUP(O$2-$C28, 'GEN-BESS'!$D$7:$AW$7, 'GEN-BESS'!$D$51:$AW$51), 0), IF($B28='Project List References'!$B$6, _xlfn.IFNA(_xlfn.XLOOKUP(O$2-$C28, 'GEN-CARBON'!$D$7:$AW$7, 'GEN-CARBON'!$D$51:$AW$51), 0), IF($B28='Project List References'!$B$7, _xlfn.IFNA(_xlfn.XLOOKUP(O$2-$C28, 'SENS Coal'!$D$7:$AW$7, 'SENS Coal'!$D$51:$AW$51), 0), IF($B28='Project List References'!$B$8, _xlfn.IFNA(_xlfn.XLOOKUP(O$2-$C28,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P28" s="743" t="e">
        <f>IF($B28='Project List References'!$B$3, _xlfn.IFNA(_xlfn.XLOOKUP(P$2-$C28, 'GEN-CCGT'!$D$7:$AW$7, 'GEN-CCGT'!$D$51:$AW$51), 0), IF($B28='Project List References'!$B$4, _xlfn.IFNA(_xlfn.XLOOKUP(P$2-$C28, 'GEN-SOLAR'!$D$7:$AW$7, 'GEN-SOLAR'!$D$51:$AW$51), 0), IF($B28='Project List References'!$B$5, _xlfn.IFNA(_xlfn.XLOOKUP(P$2-$C28, 'GEN-BESS'!$D$7:$AW$7, 'GEN-BESS'!$D$51:$AW$51), 0), IF($B28='Project List References'!$B$6, _xlfn.IFNA(_xlfn.XLOOKUP(P$2-$C28, 'GEN-CARBON'!$D$7:$AW$7, 'GEN-CARBON'!$D$51:$AW$51), 0), IF($B28='Project List References'!$B$7, _xlfn.IFNA(_xlfn.XLOOKUP(P$2-$C28, 'SENS Coal'!$D$7:$AW$7, 'SENS Coal'!$D$51:$AW$51), 0), IF($B28='Project List References'!$B$8, _xlfn.IFNA(_xlfn.XLOOKUP(P$2-$C28,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Q28" s="743" t="e">
        <f>IF($B28='Project List References'!$B$3, _xlfn.IFNA(_xlfn.XLOOKUP(Q$2-$C28, 'GEN-CCGT'!$D$7:$AW$7, 'GEN-CCGT'!$D$51:$AW$51), 0), IF($B28='Project List References'!$B$4, _xlfn.IFNA(_xlfn.XLOOKUP(Q$2-$C28, 'GEN-SOLAR'!$D$7:$AW$7, 'GEN-SOLAR'!$D$51:$AW$51), 0), IF($B28='Project List References'!$B$5, _xlfn.IFNA(_xlfn.XLOOKUP(Q$2-$C28, 'GEN-BESS'!$D$7:$AW$7, 'GEN-BESS'!$D$51:$AW$51), 0), IF($B28='Project List References'!$B$6, _xlfn.IFNA(_xlfn.XLOOKUP(Q$2-$C28, 'GEN-CARBON'!$D$7:$AW$7, 'GEN-CARBON'!$D$51:$AW$51), 0), IF($B28='Project List References'!$B$7, _xlfn.IFNA(_xlfn.XLOOKUP(Q$2-$C28, 'SENS Coal'!$D$7:$AW$7, 'SENS Coal'!$D$51:$AW$51), 0), IF($B28='Project List References'!$B$8, _xlfn.IFNA(_xlfn.XLOOKUP(Q$2-$C28,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R28" s="743" t="e">
        <f>IF($B28='Project List References'!$B$3, _xlfn.IFNA(_xlfn.XLOOKUP(R$2-$C28, 'GEN-CCGT'!$D$7:$AW$7, 'GEN-CCGT'!$D$51:$AW$51), 0), IF($B28='Project List References'!$B$4, _xlfn.IFNA(_xlfn.XLOOKUP(R$2-$C28, 'GEN-SOLAR'!$D$7:$AW$7, 'GEN-SOLAR'!$D$51:$AW$51), 0), IF($B28='Project List References'!$B$5, _xlfn.IFNA(_xlfn.XLOOKUP(R$2-$C28, 'GEN-BESS'!$D$7:$AW$7, 'GEN-BESS'!$D$51:$AW$51), 0), IF($B28='Project List References'!$B$6, _xlfn.IFNA(_xlfn.XLOOKUP(R$2-$C28, 'GEN-CARBON'!$D$7:$AW$7, 'GEN-CARBON'!$D$51:$AW$51), 0), IF($B28='Project List References'!$B$7, _xlfn.IFNA(_xlfn.XLOOKUP(R$2-$C28, 'SENS Coal'!$D$7:$AW$7, 'SENS Coal'!$D$51:$AW$51), 0), IF($B28='Project List References'!$B$8, _xlfn.IFNA(_xlfn.XLOOKUP(R$2-$C28,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S28" s="743" t="e">
        <f>IF($B28='Project List References'!$B$3, _xlfn.IFNA(_xlfn.XLOOKUP(S$2-$C28, 'GEN-CCGT'!$D$7:$AW$7, 'GEN-CCGT'!$D$51:$AW$51), 0), IF($B28='Project List References'!$B$4, _xlfn.IFNA(_xlfn.XLOOKUP(S$2-$C28, 'GEN-SOLAR'!$D$7:$AW$7, 'GEN-SOLAR'!$D$51:$AW$51), 0), IF($B28='Project List References'!$B$5, _xlfn.IFNA(_xlfn.XLOOKUP(S$2-$C28, 'GEN-BESS'!$D$7:$AW$7, 'GEN-BESS'!$D$51:$AW$51), 0), IF($B28='Project List References'!$B$6, _xlfn.IFNA(_xlfn.XLOOKUP(S$2-$C28, 'GEN-CARBON'!$D$7:$AW$7, 'GEN-CARBON'!$D$51:$AW$51), 0), IF($B28='Project List References'!$B$7, _xlfn.IFNA(_xlfn.XLOOKUP(S$2-$C28, 'SENS Coal'!$D$7:$AW$7, 'SENS Coal'!$D$51:$AW$51), 0), IF($B28='Project List References'!$B$8, _xlfn.IFNA(_xlfn.XLOOKUP(S$2-$C28,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T28" s="743" t="e">
        <f>IF($B28='Project List References'!$B$3, _xlfn.IFNA(_xlfn.XLOOKUP(T$2-$C28, 'GEN-CCGT'!$D$7:$AW$7, 'GEN-CCGT'!$D$51:$AW$51), 0), IF($B28='Project List References'!$B$4, _xlfn.IFNA(_xlfn.XLOOKUP(T$2-$C28, 'GEN-SOLAR'!$D$7:$AW$7, 'GEN-SOLAR'!$D$51:$AW$51), 0), IF($B28='Project List References'!$B$5, _xlfn.IFNA(_xlfn.XLOOKUP(T$2-$C28, 'GEN-BESS'!$D$7:$AW$7, 'GEN-BESS'!$D$51:$AW$51), 0), IF($B28='Project List References'!$B$6, _xlfn.IFNA(_xlfn.XLOOKUP(T$2-$C28, 'GEN-CARBON'!$D$7:$AW$7, 'GEN-CARBON'!$D$51:$AW$51), 0), IF($B28='Project List References'!$B$7, _xlfn.IFNA(_xlfn.XLOOKUP(T$2-$C28, 'SENS Coal'!$D$7:$AW$7, 'SENS Coal'!$D$51:$AW$51), 0), IF($B28='Project List References'!$B$8, _xlfn.IFNA(_xlfn.XLOOKUP(T$2-$C28, 'SENS Tires'!$D$7:$AW$7, 'SENS Tires'!$D$51:$AW$51), 0)))))))/_xlfn.XLOOKUP($B28,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</row>
    <row r="29" spans="1:20">
      <c r="A29" s="655" t="str">
        <f>IF(ISBLANK('Project Master Sheet'!A29)=FALSE, 'Project Master Sheet'!A29, "")</f>
        <v/>
      </c>
      <c r="B29" s="655" t="str">
        <f>_xlfn.IFNA(_xlfn.XLOOKUP(A29, 'Project Master Sheet'!A:A, 'Project Master Sheet'!D:D), "")</f>
        <v/>
      </c>
      <c r="C29" s="655" t="e">
        <f>_xlfn.XLOOKUP('Project OPEX'!A29, 'Project Master Sheet'!A:A, 'Project Master Sheet'!I:I)</f>
        <v>#N/A</v>
      </c>
      <c r="E29" s="743" t="e">
        <f>IF($B29='Project List References'!$B$3, _xlfn.IFNA(_xlfn.XLOOKUP(E$2-$C29, 'GEN-CCGT'!$D$7:$AW$7, 'GEN-CCGT'!$D$51:$AW$51), 0), IF($B29='Project List References'!$B$4, _xlfn.IFNA(_xlfn.XLOOKUP(E$2-$C29, 'GEN-SOLAR'!$D$7:$AW$7, 'GEN-SOLAR'!$D$51:$AW$51), 0), IF($B29='Project List References'!$B$5, _xlfn.IFNA(_xlfn.XLOOKUP(E$2-$C29, 'GEN-BESS'!$D$7:$AW$7, 'GEN-BESS'!$D$51:$AW$51), 0), IF($B29='Project List References'!$B$6, _xlfn.IFNA(_xlfn.XLOOKUP(E$2-$C29, 'GEN-CARBON'!$D$7:$AW$7, 'GEN-CARBON'!$D$51:$AW$51), 0), IF($B29='Project List References'!$B$7, _xlfn.IFNA(_xlfn.XLOOKUP(E$2-$C29, 'SENS Coal'!$D$7:$AW$7, 'SENS Coal'!$D$51:$AW$51), 0), IF($B29='Project List References'!$B$8, _xlfn.IFNA(_xlfn.XLOOKUP(E$2-$C29,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F29" s="743" t="e">
        <f>IF($B29='Project List References'!$B$3, _xlfn.IFNA(_xlfn.XLOOKUP(F$2-$C29, 'GEN-CCGT'!$D$7:$AW$7, 'GEN-CCGT'!$D$51:$AW$51), 0), IF($B29='Project List References'!$B$4, _xlfn.IFNA(_xlfn.XLOOKUP(F$2-$C29, 'GEN-SOLAR'!$D$7:$AW$7, 'GEN-SOLAR'!$D$51:$AW$51), 0), IF($B29='Project List References'!$B$5, _xlfn.IFNA(_xlfn.XLOOKUP(F$2-$C29, 'GEN-BESS'!$D$7:$AW$7, 'GEN-BESS'!$D$51:$AW$51), 0), IF($B29='Project List References'!$B$6, _xlfn.IFNA(_xlfn.XLOOKUP(F$2-$C29, 'GEN-CARBON'!$D$7:$AW$7, 'GEN-CARBON'!$D$51:$AW$51), 0), IF($B29='Project List References'!$B$7, _xlfn.IFNA(_xlfn.XLOOKUP(F$2-$C29, 'SENS Coal'!$D$7:$AW$7, 'SENS Coal'!$D$51:$AW$51), 0), IF($B29='Project List References'!$B$8, _xlfn.IFNA(_xlfn.XLOOKUP(F$2-$C29,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G29" s="743" t="e">
        <f>IF($B29='Project List References'!$B$3, _xlfn.IFNA(_xlfn.XLOOKUP(G$2-$C29, 'GEN-CCGT'!$D$7:$AW$7, 'GEN-CCGT'!$D$51:$AW$51), 0), IF($B29='Project List References'!$B$4, _xlfn.IFNA(_xlfn.XLOOKUP(G$2-$C29, 'GEN-SOLAR'!$D$7:$AW$7, 'GEN-SOLAR'!$D$51:$AW$51), 0), IF($B29='Project List References'!$B$5, _xlfn.IFNA(_xlfn.XLOOKUP(G$2-$C29, 'GEN-BESS'!$D$7:$AW$7, 'GEN-BESS'!$D$51:$AW$51), 0), IF($B29='Project List References'!$B$6, _xlfn.IFNA(_xlfn.XLOOKUP(G$2-$C29, 'GEN-CARBON'!$D$7:$AW$7, 'GEN-CARBON'!$D$51:$AW$51), 0), IF($B29='Project List References'!$B$7, _xlfn.IFNA(_xlfn.XLOOKUP(G$2-$C29, 'SENS Coal'!$D$7:$AW$7, 'SENS Coal'!$D$51:$AW$51), 0), IF($B29='Project List References'!$B$8, _xlfn.IFNA(_xlfn.XLOOKUP(G$2-$C29,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H29" s="743" t="e">
        <f>IF($B29='Project List References'!$B$3, _xlfn.IFNA(_xlfn.XLOOKUP(H$2-$C29, 'GEN-CCGT'!$D$7:$AW$7, 'GEN-CCGT'!$D$51:$AW$51), 0), IF($B29='Project List References'!$B$4, _xlfn.IFNA(_xlfn.XLOOKUP(H$2-$C29, 'GEN-SOLAR'!$D$7:$AW$7, 'GEN-SOLAR'!$D$51:$AW$51), 0), IF($B29='Project List References'!$B$5, _xlfn.IFNA(_xlfn.XLOOKUP(H$2-$C29, 'GEN-BESS'!$D$7:$AW$7, 'GEN-BESS'!$D$51:$AW$51), 0), IF($B29='Project List References'!$B$6, _xlfn.IFNA(_xlfn.XLOOKUP(H$2-$C29, 'GEN-CARBON'!$D$7:$AW$7, 'GEN-CARBON'!$D$51:$AW$51), 0), IF($B29='Project List References'!$B$7, _xlfn.IFNA(_xlfn.XLOOKUP(H$2-$C29, 'SENS Coal'!$D$7:$AW$7, 'SENS Coal'!$D$51:$AW$51), 0), IF($B29='Project List References'!$B$8, _xlfn.IFNA(_xlfn.XLOOKUP(H$2-$C29,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I29" s="743" t="e">
        <f>IF($B29='Project List References'!$B$3, _xlfn.IFNA(_xlfn.XLOOKUP(I$2-$C29, 'GEN-CCGT'!$D$7:$AW$7, 'GEN-CCGT'!$D$51:$AW$51), 0), IF($B29='Project List References'!$B$4, _xlfn.IFNA(_xlfn.XLOOKUP(I$2-$C29, 'GEN-SOLAR'!$D$7:$AW$7, 'GEN-SOLAR'!$D$51:$AW$51), 0), IF($B29='Project List References'!$B$5, _xlfn.IFNA(_xlfn.XLOOKUP(I$2-$C29, 'GEN-BESS'!$D$7:$AW$7, 'GEN-BESS'!$D$51:$AW$51), 0), IF($B29='Project List References'!$B$6, _xlfn.IFNA(_xlfn.XLOOKUP(I$2-$C29, 'GEN-CARBON'!$D$7:$AW$7, 'GEN-CARBON'!$D$51:$AW$51), 0), IF($B29='Project List References'!$B$7, _xlfn.IFNA(_xlfn.XLOOKUP(I$2-$C29, 'SENS Coal'!$D$7:$AW$7, 'SENS Coal'!$D$51:$AW$51), 0), IF($B29='Project List References'!$B$8, _xlfn.IFNA(_xlfn.XLOOKUP(I$2-$C29,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J29" s="743" t="e">
        <f>IF($B29='Project List References'!$B$3, _xlfn.IFNA(_xlfn.XLOOKUP(J$2-$C29, 'GEN-CCGT'!$D$7:$AW$7, 'GEN-CCGT'!$D$51:$AW$51), 0), IF($B29='Project List References'!$B$4, _xlfn.IFNA(_xlfn.XLOOKUP(J$2-$C29, 'GEN-SOLAR'!$D$7:$AW$7, 'GEN-SOLAR'!$D$51:$AW$51), 0), IF($B29='Project List References'!$B$5, _xlfn.IFNA(_xlfn.XLOOKUP(J$2-$C29, 'GEN-BESS'!$D$7:$AW$7, 'GEN-BESS'!$D$51:$AW$51), 0), IF($B29='Project List References'!$B$6, _xlfn.IFNA(_xlfn.XLOOKUP(J$2-$C29, 'GEN-CARBON'!$D$7:$AW$7, 'GEN-CARBON'!$D$51:$AW$51), 0), IF($B29='Project List References'!$B$7, _xlfn.IFNA(_xlfn.XLOOKUP(J$2-$C29, 'SENS Coal'!$D$7:$AW$7, 'SENS Coal'!$D$51:$AW$51), 0), IF($B29='Project List References'!$B$8, _xlfn.IFNA(_xlfn.XLOOKUP(J$2-$C29,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K29" s="743" t="e">
        <f>IF($B29='Project List References'!$B$3, _xlfn.IFNA(_xlfn.XLOOKUP(K$2-$C29, 'GEN-CCGT'!$D$7:$AW$7, 'GEN-CCGT'!$D$51:$AW$51), 0), IF($B29='Project List References'!$B$4, _xlfn.IFNA(_xlfn.XLOOKUP(K$2-$C29, 'GEN-SOLAR'!$D$7:$AW$7, 'GEN-SOLAR'!$D$51:$AW$51), 0), IF($B29='Project List References'!$B$5, _xlfn.IFNA(_xlfn.XLOOKUP(K$2-$C29, 'GEN-BESS'!$D$7:$AW$7, 'GEN-BESS'!$D$51:$AW$51), 0), IF($B29='Project List References'!$B$6, _xlfn.IFNA(_xlfn.XLOOKUP(K$2-$C29, 'GEN-CARBON'!$D$7:$AW$7, 'GEN-CARBON'!$D$51:$AW$51), 0), IF($B29='Project List References'!$B$7, _xlfn.IFNA(_xlfn.XLOOKUP(K$2-$C29, 'SENS Coal'!$D$7:$AW$7, 'SENS Coal'!$D$51:$AW$51), 0), IF($B29='Project List References'!$B$8, _xlfn.IFNA(_xlfn.XLOOKUP(K$2-$C29,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L29" s="743" t="e">
        <f>IF($B29='Project List References'!$B$3, _xlfn.IFNA(_xlfn.XLOOKUP(L$2-$C29, 'GEN-CCGT'!$D$7:$AW$7, 'GEN-CCGT'!$D$51:$AW$51), 0), IF($B29='Project List References'!$B$4, _xlfn.IFNA(_xlfn.XLOOKUP(L$2-$C29, 'GEN-SOLAR'!$D$7:$AW$7, 'GEN-SOLAR'!$D$51:$AW$51), 0), IF($B29='Project List References'!$B$5, _xlfn.IFNA(_xlfn.XLOOKUP(L$2-$C29, 'GEN-BESS'!$D$7:$AW$7, 'GEN-BESS'!$D$51:$AW$51), 0), IF($B29='Project List References'!$B$6, _xlfn.IFNA(_xlfn.XLOOKUP(L$2-$C29, 'GEN-CARBON'!$D$7:$AW$7, 'GEN-CARBON'!$D$51:$AW$51), 0), IF($B29='Project List References'!$B$7, _xlfn.IFNA(_xlfn.XLOOKUP(L$2-$C29, 'SENS Coal'!$D$7:$AW$7, 'SENS Coal'!$D$51:$AW$51), 0), IF($B29='Project List References'!$B$8, _xlfn.IFNA(_xlfn.XLOOKUP(L$2-$C29,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M29" s="743" t="e">
        <f>IF($B29='Project List References'!$B$3, _xlfn.IFNA(_xlfn.XLOOKUP(M$2-$C29, 'GEN-CCGT'!$D$7:$AW$7, 'GEN-CCGT'!$D$51:$AW$51), 0), IF($B29='Project List References'!$B$4, _xlfn.IFNA(_xlfn.XLOOKUP(M$2-$C29, 'GEN-SOLAR'!$D$7:$AW$7, 'GEN-SOLAR'!$D$51:$AW$51), 0), IF($B29='Project List References'!$B$5, _xlfn.IFNA(_xlfn.XLOOKUP(M$2-$C29, 'GEN-BESS'!$D$7:$AW$7, 'GEN-BESS'!$D$51:$AW$51), 0), IF($B29='Project List References'!$B$6, _xlfn.IFNA(_xlfn.XLOOKUP(M$2-$C29, 'GEN-CARBON'!$D$7:$AW$7, 'GEN-CARBON'!$D$51:$AW$51), 0), IF($B29='Project List References'!$B$7, _xlfn.IFNA(_xlfn.XLOOKUP(M$2-$C29, 'SENS Coal'!$D$7:$AW$7, 'SENS Coal'!$D$51:$AW$51), 0), IF($B29='Project List References'!$B$8, _xlfn.IFNA(_xlfn.XLOOKUP(M$2-$C29,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N29" s="743" t="e">
        <f>IF($B29='Project List References'!$B$3, _xlfn.IFNA(_xlfn.XLOOKUP(N$2-$C29, 'GEN-CCGT'!$D$7:$AW$7, 'GEN-CCGT'!$D$51:$AW$51), 0), IF($B29='Project List References'!$B$4, _xlfn.IFNA(_xlfn.XLOOKUP(N$2-$C29, 'GEN-SOLAR'!$D$7:$AW$7, 'GEN-SOLAR'!$D$51:$AW$51), 0), IF($B29='Project List References'!$B$5, _xlfn.IFNA(_xlfn.XLOOKUP(N$2-$C29, 'GEN-BESS'!$D$7:$AW$7, 'GEN-BESS'!$D$51:$AW$51), 0), IF($B29='Project List References'!$B$6, _xlfn.IFNA(_xlfn.XLOOKUP(N$2-$C29, 'GEN-CARBON'!$D$7:$AW$7, 'GEN-CARBON'!$D$51:$AW$51), 0), IF($B29='Project List References'!$B$7, _xlfn.IFNA(_xlfn.XLOOKUP(N$2-$C29, 'SENS Coal'!$D$7:$AW$7, 'SENS Coal'!$D$51:$AW$51), 0), IF($B29='Project List References'!$B$8, _xlfn.IFNA(_xlfn.XLOOKUP(N$2-$C29,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O29" s="743" t="e">
        <f>IF($B29='Project List References'!$B$3, _xlfn.IFNA(_xlfn.XLOOKUP(O$2-$C29, 'GEN-CCGT'!$D$7:$AW$7, 'GEN-CCGT'!$D$51:$AW$51), 0), IF($B29='Project List References'!$B$4, _xlfn.IFNA(_xlfn.XLOOKUP(O$2-$C29, 'GEN-SOLAR'!$D$7:$AW$7, 'GEN-SOLAR'!$D$51:$AW$51), 0), IF($B29='Project List References'!$B$5, _xlfn.IFNA(_xlfn.XLOOKUP(O$2-$C29, 'GEN-BESS'!$D$7:$AW$7, 'GEN-BESS'!$D$51:$AW$51), 0), IF($B29='Project List References'!$B$6, _xlfn.IFNA(_xlfn.XLOOKUP(O$2-$C29, 'GEN-CARBON'!$D$7:$AW$7, 'GEN-CARBON'!$D$51:$AW$51), 0), IF($B29='Project List References'!$B$7, _xlfn.IFNA(_xlfn.XLOOKUP(O$2-$C29, 'SENS Coal'!$D$7:$AW$7, 'SENS Coal'!$D$51:$AW$51), 0), IF($B29='Project List References'!$B$8, _xlfn.IFNA(_xlfn.XLOOKUP(O$2-$C29,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P29" s="743" t="e">
        <f>IF($B29='Project List References'!$B$3, _xlfn.IFNA(_xlfn.XLOOKUP(P$2-$C29, 'GEN-CCGT'!$D$7:$AW$7, 'GEN-CCGT'!$D$51:$AW$51), 0), IF($B29='Project List References'!$B$4, _xlfn.IFNA(_xlfn.XLOOKUP(P$2-$C29, 'GEN-SOLAR'!$D$7:$AW$7, 'GEN-SOLAR'!$D$51:$AW$51), 0), IF($B29='Project List References'!$B$5, _xlfn.IFNA(_xlfn.XLOOKUP(P$2-$C29, 'GEN-BESS'!$D$7:$AW$7, 'GEN-BESS'!$D$51:$AW$51), 0), IF($B29='Project List References'!$B$6, _xlfn.IFNA(_xlfn.XLOOKUP(P$2-$C29, 'GEN-CARBON'!$D$7:$AW$7, 'GEN-CARBON'!$D$51:$AW$51), 0), IF($B29='Project List References'!$B$7, _xlfn.IFNA(_xlfn.XLOOKUP(P$2-$C29, 'SENS Coal'!$D$7:$AW$7, 'SENS Coal'!$D$51:$AW$51), 0), IF($B29='Project List References'!$B$8, _xlfn.IFNA(_xlfn.XLOOKUP(P$2-$C29,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Q29" s="743" t="e">
        <f>IF($B29='Project List References'!$B$3, _xlfn.IFNA(_xlfn.XLOOKUP(Q$2-$C29, 'GEN-CCGT'!$D$7:$AW$7, 'GEN-CCGT'!$D$51:$AW$51), 0), IF($B29='Project List References'!$B$4, _xlfn.IFNA(_xlfn.XLOOKUP(Q$2-$C29, 'GEN-SOLAR'!$D$7:$AW$7, 'GEN-SOLAR'!$D$51:$AW$51), 0), IF($B29='Project List References'!$B$5, _xlfn.IFNA(_xlfn.XLOOKUP(Q$2-$C29, 'GEN-BESS'!$D$7:$AW$7, 'GEN-BESS'!$D$51:$AW$51), 0), IF($B29='Project List References'!$B$6, _xlfn.IFNA(_xlfn.XLOOKUP(Q$2-$C29, 'GEN-CARBON'!$D$7:$AW$7, 'GEN-CARBON'!$D$51:$AW$51), 0), IF($B29='Project List References'!$B$7, _xlfn.IFNA(_xlfn.XLOOKUP(Q$2-$C29, 'SENS Coal'!$D$7:$AW$7, 'SENS Coal'!$D$51:$AW$51), 0), IF($B29='Project List References'!$B$8, _xlfn.IFNA(_xlfn.XLOOKUP(Q$2-$C29,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R29" s="743" t="e">
        <f>IF($B29='Project List References'!$B$3, _xlfn.IFNA(_xlfn.XLOOKUP(R$2-$C29, 'GEN-CCGT'!$D$7:$AW$7, 'GEN-CCGT'!$D$51:$AW$51), 0), IF($B29='Project List References'!$B$4, _xlfn.IFNA(_xlfn.XLOOKUP(R$2-$C29, 'GEN-SOLAR'!$D$7:$AW$7, 'GEN-SOLAR'!$D$51:$AW$51), 0), IF($B29='Project List References'!$B$5, _xlfn.IFNA(_xlfn.XLOOKUP(R$2-$C29, 'GEN-BESS'!$D$7:$AW$7, 'GEN-BESS'!$D$51:$AW$51), 0), IF($B29='Project List References'!$B$6, _xlfn.IFNA(_xlfn.XLOOKUP(R$2-$C29, 'GEN-CARBON'!$D$7:$AW$7, 'GEN-CARBON'!$D$51:$AW$51), 0), IF($B29='Project List References'!$B$7, _xlfn.IFNA(_xlfn.XLOOKUP(R$2-$C29, 'SENS Coal'!$D$7:$AW$7, 'SENS Coal'!$D$51:$AW$51), 0), IF($B29='Project List References'!$B$8, _xlfn.IFNA(_xlfn.XLOOKUP(R$2-$C29,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S29" s="743" t="e">
        <f>IF($B29='Project List References'!$B$3, _xlfn.IFNA(_xlfn.XLOOKUP(S$2-$C29, 'GEN-CCGT'!$D$7:$AW$7, 'GEN-CCGT'!$D$51:$AW$51), 0), IF($B29='Project List References'!$B$4, _xlfn.IFNA(_xlfn.XLOOKUP(S$2-$C29, 'GEN-SOLAR'!$D$7:$AW$7, 'GEN-SOLAR'!$D$51:$AW$51), 0), IF($B29='Project List References'!$B$5, _xlfn.IFNA(_xlfn.XLOOKUP(S$2-$C29, 'GEN-BESS'!$D$7:$AW$7, 'GEN-BESS'!$D$51:$AW$51), 0), IF($B29='Project List References'!$B$6, _xlfn.IFNA(_xlfn.XLOOKUP(S$2-$C29, 'GEN-CARBON'!$D$7:$AW$7, 'GEN-CARBON'!$D$51:$AW$51), 0), IF($B29='Project List References'!$B$7, _xlfn.IFNA(_xlfn.XLOOKUP(S$2-$C29, 'SENS Coal'!$D$7:$AW$7, 'SENS Coal'!$D$51:$AW$51), 0), IF($B29='Project List References'!$B$8, _xlfn.IFNA(_xlfn.XLOOKUP(S$2-$C29,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T29" s="743" t="e">
        <f>IF($B29='Project List References'!$B$3, _xlfn.IFNA(_xlfn.XLOOKUP(T$2-$C29, 'GEN-CCGT'!$D$7:$AW$7, 'GEN-CCGT'!$D$51:$AW$51), 0), IF($B29='Project List References'!$B$4, _xlfn.IFNA(_xlfn.XLOOKUP(T$2-$C29, 'GEN-SOLAR'!$D$7:$AW$7, 'GEN-SOLAR'!$D$51:$AW$51), 0), IF($B29='Project List References'!$B$5, _xlfn.IFNA(_xlfn.XLOOKUP(T$2-$C29, 'GEN-BESS'!$D$7:$AW$7, 'GEN-BESS'!$D$51:$AW$51), 0), IF($B29='Project List References'!$B$6, _xlfn.IFNA(_xlfn.XLOOKUP(T$2-$C29, 'GEN-CARBON'!$D$7:$AW$7, 'GEN-CARBON'!$D$51:$AW$51), 0), IF($B29='Project List References'!$B$7, _xlfn.IFNA(_xlfn.XLOOKUP(T$2-$C29, 'SENS Coal'!$D$7:$AW$7, 'SENS Coal'!$D$51:$AW$51), 0), IF($B29='Project List References'!$B$8, _xlfn.IFNA(_xlfn.XLOOKUP(T$2-$C29, 'SENS Tires'!$D$7:$AW$7, 'SENS Tires'!$D$51:$AW$51), 0)))))))/_xlfn.XLOOKUP($B29,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</row>
    <row r="30" spans="1:20">
      <c r="A30" s="655" t="str">
        <f>IF(ISBLANK('Project Master Sheet'!A30)=FALSE, 'Project Master Sheet'!A30, "")</f>
        <v/>
      </c>
      <c r="B30" s="655" t="str">
        <f>_xlfn.IFNA(_xlfn.XLOOKUP(A30, 'Project Master Sheet'!A:A, 'Project Master Sheet'!D:D), "")</f>
        <v/>
      </c>
      <c r="C30" s="655" t="e">
        <f>_xlfn.XLOOKUP('Project OPEX'!A30, 'Project Master Sheet'!A:A, 'Project Master Sheet'!I:I)</f>
        <v>#N/A</v>
      </c>
      <c r="E30" s="743" t="e">
        <f>IF($B30='Project List References'!$B$3, _xlfn.IFNA(_xlfn.XLOOKUP(E$2-$C30, 'GEN-CCGT'!$D$7:$AW$7, 'GEN-CCGT'!$D$51:$AW$51), 0), IF($B30='Project List References'!$B$4, _xlfn.IFNA(_xlfn.XLOOKUP(E$2-$C30, 'GEN-SOLAR'!$D$7:$AW$7, 'GEN-SOLAR'!$D$51:$AW$51), 0), IF($B30='Project List References'!$B$5, _xlfn.IFNA(_xlfn.XLOOKUP(E$2-$C30, 'GEN-BESS'!$D$7:$AW$7, 'GEN-BESS'!$D$51:$AW$51), 0), IF($B30='Project List References'!$B$6, _xlfn.IFNA(_xlfn.XLOOKUP(E$2-$C30, 'GEN-CARBON'!$D$7:$AW$7, 'GEN-CARBON'!$D$51:$AW$51), 0), IF($B30='Project List References'!$B$7, _xlfn.IFNA(_xlfn.XLOOKUP(E$2-$C30, 'SENS Coal'!$D$7:$AW$7, 'SENS Coal'!$D$51:$AW$51), 0), IF($B30='Project List References'!$B$8, _xlfn.IFNA(_xlfn.XLOOKUP(E$2-$C30,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F30" s="743" t="e">
        <f>IF($B30='Project List References'!$B$3, _xlfn.IFNA(_xlfn.XLOOKUP(F$2-$C30, 'GEN-CCGT'!$D$7:$AW$7, 'GEN-CCGT'!$D$51:$AW$51), 0), IF($B30='Project List References'!$B$4, _xlfn.IFNA(_xlfn.XLOOKUP(F$2-$C30, 'GEN-SOLAR'!$D$7:$AW$7, 'GEN-SOLAR'!$D$51:$AW$51), 0), IF($B30='Project List References'!$B$5, _xlfn.IFNA(_xlfn.XLOOKUP(F$2-$C30, 'GEN-BESS'!$D$7:$AW$7, 'GEN-BESS'!$D$51:$AW$51), 0), IF($B30='Project List References'!$B$6, _xlfn.IFNA(_xlfn.XLOOKUP(F$2-$C30, 'GEN-CARBON'!$D$7:$AW$7, 'GEN-CARBON'!$D$51:$AW$51), 0), IF($B30='Project List References'!$B$7, _xlfn.IFNA(_xlfn.XLOOKUP(F$2-$C30, 'SENS Coal'!$D$7:$AW$7, 'SENS Coal'!$D$51:$AW$51), 0), IF($B30='Project List References'!$B$8, _xlfn.IFNA(_xlfn.XLOOKUP(F$2-$C30,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G30" s="743" t="e">
        <f>IF($B30='Project List References'!$B$3, _xlfn.IFNA(_xlfn.XLOOKUP(G$2-$C30, 'GEN-CCGT'!$D$7:$AW$7, 'GEN-CCGT'!$D$51:$AW$51), 0), IF($B30='Project List References'!$B$4, _xlfn.IFNA(_xlfn.XLOOKUP(G$2-$C30, 'GEN-SOLAR'!$D$7:$AW$7, 'GEN-SOLAR'!$D$51:$AW$51), 0), IF($B30='Project List References'!$B$5, _xlfn.IFNA(_xlfn.XLOOKUP(G$2-$C30, 'GEN-BESS'!$D$7:$AW$7, 'GEN-BESS'!$D$51:$AW$51), 0), IF($B30='Project List References'!$B$6, _xlfn.IFNA(_xlfn.XLOOKUP(G$2-$C30, 'GEN-CARBON'!$D$7:$AW$7, 'GEN-CARBON'!$D$51:$AW$51), 0), IF($B30='Project List References'!$B$7, _xlfn.IFNA(_xlfn.XLOOKUP(G$2-$C30, 'SENS Coal'!$D$7:$AW$7, 'SENS Coal'!$D$51:$AW$51), 0), IF($B30='Project List References'!$B$8, _xlfn.IFNA(_xlfn.XLOOKUP(G$2-$C30,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H30" s="743" t="e">
        <f>IF($B30='Project List References'!$B$3, _xlfn.IFNA(_xlfn.XLOOKUP(H$2-$C30, 'GEN-CCGT'!$D$7:$AW$7, 'GEN-CCGT'!$D$51:$AW$51), 0), IF($B30='Project List References'!$B$4, _xlfn.IFNA(_xlfn.XLOOKUP(H$2-$C30, 'GEN-SOLAR'!$D$7:$AW$7, 'GEN-SOLAR'!$D$51:$AW$51), 0), IF($B30='Project List References'!$B$5, _xlfn.IFNA(_xlfn.XLOOKUP(H$2-$C30, 'GEN-BESS'!$D$7:$AW$7, 'GEN-BESS'!$D$51:$AW$51), 0), IF($B30='Project List References'!$B$6, _xlfn.IFNA(_xlfn.XLOOKUP(H$2-$C30, 'GEN-CARBON'!$D$7:$AW$7, 'GEN-CARBON'!$D$51:$AW$51), 0), IF($B30='Project List References'!$B$7, _xlfn.IFNA(_xlfn.XLOOKUP(H$2-$C30, 'SENS Coal'!$D$7:$AW$7, 'SENS Coal'!$D$51:$AW$51), 0), IF($B30='Project List References'!$B$8, _xlfn.IFNA(_xlfn.XLOOKUP(H$2-$C30,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I30" s="743" t="e">
        <f>IF($B30='Project List References'!$B$3, _xlfn.IFNA(_xlfn.XLOOKUP(I$2-$C30, 'GEN-CCGT'!$D$7:$AW$7, 'GEN-CCGT'!$D$51:$AW$51), 0), IF($B30='Project List References'!$B$4, _xlfn.IFNA(_xlfn.XLOOKUP(I$2-$C30, 'GEN-SOLAR'!$D$7:$AW$7, 'GEN-SOLAR'!$D$51:$AW$51), 0), IF($B30='Project List References'!$B$5, _xlfn.IFNA(_xlfn.XLOOKUP(I$2-$C30, 'GEN-BESS'!$D$7:$AW$7, 'GEN-BESS'!$D$51:$AW$51), 0), IF($B30='Project List References'!$B$6, _xlfn.IFNA(_xlfn.XLOOKUP(I$2-$C30, 'GEN-CARBON'!$D$7:$AW$7, 'GEN-CARBON'!$D$51:$AW$51), 0), IF($B30='Project List References'!$B$7, _xlfn.IFNA(_xlfn.XLOOKUP(I$2-$C30, 'SENS Coal'!$D$7:$AW$7, 'SENS Coal'!$D$51:$AW$51), 0), IF($B30='Project List References'!$B$8, _xlfn.IFNA(_xlfn.XLOOKUP(I$2-$C30,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J30" s="743" t="e">
        <f>IF($B30='Project List References'!$B$3, _xlfn.IFNA(_xlfn.XLOOKUP(J$2-$C30, 'GEN-CCGT'!$D$7:$AW$7, 'GEN-CCGT'!$D$51:$AW$51), 0), IF($B30='Project List References'!$B$4, _xlfn.IFNA(_xlfn.XLOOKUP(J$2-$C30, 'GEN-SOLAR'!$D$7:$AW$7, 'GEN-SOLAR'!$D$51:$AW$51), 0), IF($B30='Project List References'!$B$5, _xlfn.IFNA(_xlfn.XLOOKUP(J$2-$C30, 'GEN-BESS'!$D$7:$AW$7, 'GEN-BESS'!$D$51:$AW$51), 0), IF($B30='Project List References'!$B$6, _xlfn.IFNA(_xlfn.XLOOKUP(J$2-$C30, 'GEN-CARBON'!$D$7:$AW$7, 'GEN-CARBON'!$D$51:$AW$51), 0), IF($B30='Project List References'!$B$7, _xlfn.IFNA(_xlfn.XLOOKUP(J$2-$C30, 'SENS Coal'!$D$7:$AW$7, 'SENS Coal'!$D$51:$AW$51), 0), IF($B30='Project List References'!$B$8, _xlfn.IFNA(_xlfn.XLOOKUP(J$2-$C30,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K30" s="743" t="e">
        <f>IF($B30='Project List References'!$B$3, _xlfn.IFNA(_xlfn.XLOOKUP(K$2-$C30, 'GEN-CCGT'!$D$7:$AW$7, 'GEN-CCGT'!$D$51:$AW$51), 0), IF($B30='Project List References'!$B$4, _xlfn.IFNA(_xlfn.XLOOKUP(K$2-$C30, 'GEN-SOLAR'!$D$7:$AW$7, 'GEN-SOLAR'!$D$51:$AW$51), 0), IF($B30='Project List References'!$B$5, _xlfn.IFNA(_xlfn.XLOOKUP(K$2-$C30, 'GEN-BESS'!$D$7:$AW$7, 'GEN-BESS'!$D$51:$AW$51), 0), IF($B30='Project List References'!$B$6, _xlfn.IFNA(_xlfn.XLOOKUP(K$2-$C30, 'GEN-CARBON'!$D$7:$AW$7, 'GEN-CARBON'!$D$51:$AW$51), 0), IF($B30='Project List References'!$B$7, _xlfn.IFNA(_xlfn.XLOOKUP(K$2-$C30, 'SENS Coal'!$D$7:$AW$7, 'SENS Coal'!$D$51:$AW$51), 0), IF($B30='Project List References'!$B$8, _xlfn.IFNA(_xlfn.XLOOKUP(K$2-$C30,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L30" s="743" t="e">
        <f>IF($B30='Project List References'!$B$3, _xlfn.IFNA(_xlfn.XLOOKUP(L$2-$C30, 'GEN-CCGT'!$D$7:$AW$7, 'GEN-CCGT'!$D$51:$AW$51), 0), IF($B30='Project List References'!$B$4, _xlfn.IFNA(_xlfn.XLOOKUP(L$2-$C30, 'GEN-SOLAR'!$D$7:$AW$7, 'GEN-SOLAR'!$D$51:$AW$51), 0), IF($B30='Project List References'!$B$5, _xlfn.IFNA(_xlfn.XLOOKUP(L$2-$C30, 'GEN-BESS'!$D$7:$AW$7, 'GEN-BESS'!$D$51:$AW$51), 0), IF($B30='Project List References'!$B$6, _xlfn.IFNA(_xlfn.XLOOKUP(L$2-$C30, 'GEN-CARBON'!$D$7:$AW$7, 'GEN-CARBON'!$D$51:$AW$51), 0), IF($B30='Project List References'!$B$7, _xlfn.IFNA(_xlfn.XLOOKUP(L$2-$C30, 'SENS Coal'!$D$7:$AW$7, 'SENS Coal'!$D$51:$AW$51), 0), IF($B30='Project List References'!$B$8, _xlfn.IFNA(_xlfn.XLOOKUP(L$2-$C30,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M30" s="743" t="e">
        <f>IF($B30='Project List References'!$B$3, _xlfn.IFNA(_xlfn.XLOOKUP(M$2-$C30, 'GEN-CCGT'!$D$7:$AW$7, 'GEN-CCGT'!$D$51:$AW$51), 0), IF($B30='Project List References'!$B$4, _xlfn.IFNA(_xlfn.XLOOKUP(M$2-$C30, 'GEN-SOLAR'!$D$7:$AW$7, 'GEN-SOLAR'!$D$51:$AW$51), 0), IF($B30='Project List References'!$B$5, _xlfn.IFNA(_xlfn.XLOOKUP(M$2-$C30, 'GEN-BESS'!$D$7:$AW$7, 'GEN-BESS'!$D$51:$AW$51), 0), IF($B30='Project List References'!$B$6, _xlfn.IFNA(_xlfn.XLOOKUP(M$2-$C30, 'GEN-CARBON'!$D$7:$AW$7, 'GEN-CARBON'!$D$51:$AW$51), 0), IF($B30='Project List References'!$B$7, _xlfn.IFNA(_xlfn.XLOOKUP(M$2-$C30, 'SENS Coal'!$D$7:$AW$7, 'SENS Coal'!$D$51:$AW$51), 0), IF($B30='Project List References'!$B$8, _xlfn.IFNA(_xlfn.XLOOKUP(M$2-$C30,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N30" s="743" t="e">
        <f>IF($B30='Project List References'!$B$3, _xlfn.IFNA(_xlfn.XLOOKUP(N$2-$C30, 'GEN-CCGT'!$D$7:$AW$7, 'GEN-CCGT'!$D$51:$AW$51), 0), IF($B30='Project List References'!$B$4, _xlfn.IFNA(_xlfn.XLOOKUP(N$2-$C30, 'GEN-SOLAR'!$D$7:$AW$7, 'GEN-SOLAR'!$D$51:$AW$51), 0), IF($B30='Project List References'!$B$5, _xlfn.IFNA(_xlfn.XLOOKUP(N$2-$C30, 'GEN-BESS'!$D$7:$AW$7, 'GEN-BESS'!$D$51:$AW$51), 0), IF($B30='Project List References'!$B$6, _xlfn.IFNA(_xlfn.XLOOKUP(N$2-$C30, 'GEN-CARBON'!$D$7:$AW$7, 'GEN-CARBON'!$D$51:$AW$51), 0), IF($B30='Project List References'!$B$7, _xlfn.IFNA(_xlfn.XLOOKUP(N$2-$C30, 'SENS Coal'!$D$7:$AW$7, 'SENS Coal'!$D$51:$AW$51), 0), IF($B30='Project List References'!$B$8, _xlfn.IFNA(_xlfn.XLOOKUP(N$2-$C30,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O30" s="743" t="e">
        <f>IF($B30='Project List References'!$B$3, _xlfn.IFNA(_xlfn.XLOOKUP(O$2-$C30, 'GEN-CCGT'!$D$7:$AW$7, 'GEN-CCGT'!$D$51:$AW$51), 0), IF($B30='Project List References'!$B$4, _xlfn.IFNA(_xlfn.XLOOKUP(O$2-$C30, 'GEN-SOLAR'!$D$7:$AW$7, 'GEN-SOLAR'!$D$51:$AW$51), 0), IF($B30='Project List References'!$B$5, _xlfn.IFNA(_xlfn.XLOOKUP(O$2-$C30, 'GEN-BESS'!$D$7:$AW$7, 'GEN-BESS'!$D$51:$AW$51), 0), IF($B30='Project List References'!$B$6, _xlfn.IFNA(_xlfn.XLOOKUP(O$2-$C30, 'GEN-CARBON'!$D$7:$AW$7, 'GEN-CARBON'!$D$51:$AW$51), 0), IF($B30='Project List References'!$B$7, _xlfn.IFNA(_xlfn.XLOOKUP(O$2-$C30, 'SENS Coal'!$D$7:$AW$7, 'SENS Coal'!$D$51:$AW$51), 0), IF($B30='Project List References'!$B$8, _xlfn.IFNA(_xlfn.XLOOKUP(O$2-$C30,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P30" s="743" t="e">
        <f>IF($B30='Project List References'!$B$3, _xlfn.IFNA(_xlfn.XLOOKUP(P$2-$C30, 'GEN-CCGT'!$D$7:$AW$7, 'GEN-CCGT'!$D$51:$AW$51), 0), IF($B30='Project List References'!$B$4, _xlfn.IFNA(_xlfn.XLOOKUP(P$2-$C30, 'GEN-SOLAR'!$D$7:$AW$7, 'GEN-SOLAR'!$D$51:$AW$51), 0), IF($B30='Project List References'!$B$5, _xlfn.IFNA(_xlfn.XLOOKUP(P$2-$C30, 'GEN-BESS'!$D$7:$AW$7, 'GEN-BESS'!$D$51:$AW$51), 0), IF($B30='Project List References'!$B$6, _xlfn.IFNA(_xlfn.XLOOKUP(P$2-$C30, 'GEN-CARBON'!$D$7:$AW$7, 'GEN-CARBON'!$D$51:$AW$51), 0), IF($B30='Project List References'!$B$7, _xlfn.IFNA(_xlfn.XLOOKUP(P$2-$C30, 'SENS Coal'!$D$7:$AW$7, 'SENS Coal'!$D$51:$AW$51), 0), IF($B30='Project List References'!$B$8, _xlfn.IFNA(_xlfn.XLOOKUP(P$2-$C30,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Q30" s="743" t="e">
        <f>IF($B30='Project List References'!$B$3, _xlfn.IFNA(_xlfn.XLOOKUP(Q$2-$C30, 'GEN-CCGT'!$D$7:$AW$7, 'GEN-CCGT'!$D$51:$AW$51), 0), IF($B30='Project List References'!$B$4, _xlfn.IFNA(_xlfn.XLOOKUP(Q$2-$C30, 'GEN-SOLAR'!$D$7:$AW$7, 'GEN-SOLAR'!$D$51:$AW$51), 0), IF($B30='Project List References'!$B$5, _xlfn.IFNA(_xlfn.XLOOKUP(Q$2-$C30, 'GEN-BESS'!$D$7:$AW$7, 'GEN-BESS'!$D$51:$AW$51), 0), IF($B30='Project List References'!$B$6, _xlfn.IFNA(_xlfn.XLOOKUP(Q$2-$C30, 'GEN-CARBON'!$D$7:$AW$7, 'GEN-CARBON'!$D$51:$AW$51), 0), IF($B30='Project List References'!$B$7, _xlfn.IFNA(_xlfn.XLOOKUP(Q$2-$C30, 'SENS Coal'!$D$7:$AW$7, 'SENS Coal'!$D$51:$AW$51), 0), IF($B30='Project List References'!$B$8, _xlfn.IFNA(_xlfn.XLOOKUP(Q$2-$C30,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R30" s="743" t="e">
        <f>IF($B30='Project List References'!$B$3, _xlfn.IFNA(_xlfn.XLOOKUP(R$2-$C30, 'GEN-CCGT'!$D$7:$AW$7, 'GEN-CCGT'!$D$51:$AW$51), 0), IF($B30='Project List References'!$B$4, _xlfn.IFNA(_xlfn.XLOOKUP(R$2-$C30, 'GEN-SOLAR'!$D$7:$AW$7, 'GEN-SOLAR'!$D$51:$AW$51), 0), IF($B30='Project List References'!$B$5, _xlfn.IFNA(_xlfn.XLOOKUP(R$2-$C30, 'GEN-BESS'!$D$7:$AW$7, 'GEN-BESS'!$D$51:$AW$51), 0), IF($B30='Project List References'!$B$6, _xlfn.IFNA(_xlfn.XLOOKUP(R$2-$C30, 'GEN-CARBON'!$D$7:$AW$7, 'GEN-CARBON'!$D$51:$AW$51), 0), IF($B30='Project List References'!$B$7, _xlfn.IFNA(_xlfn.XLOOKUP(R$2-$C30, 'SENS Coal'!$D$7:$AW$7, 'SENS Coal'!$D$51:$AW$51), 0), IF($B30='Project List References'!$B$8, _xlfn.IFNA(_xlfn.XLOOKUP(R$2-$C30,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S30" s="743" t="e">
        <f>IF($B30='Project List References'!$B$3, _xlfn.IFNA(_xlfn.XLOOKUP(S$2-$C30, 'GEN-CCGT'!$D$7:$AW$7, 'GEN-CCGT'!$D$51:$AW$51), 0), IF($B30='Project List References'!$B$4, _xlfn.IFNA(_xlfn.XLOOKUP(S$2-$C30, 'GEN-SOLAR'!$D$7:$AW$7, 'GEN-SOLAR'!$D$51:$AW$51), 0), IF($B30='Project List References'!$B$5, _xlfn.IFNA(_xlfn.XLOOKUP(S$2-$C30, 'GEN-BESS'!$D$7:$AW$7, 'GEN-BESS'!$D$51:$AW$51), 0), IF($B30='Project List References'!$B$6, _xlfn.IFNA(_xlfn.XLOOKUP(S$2-$C30, 'GEN-CARBON'!$D$7:$AW$7, 'GEN-CARBON'!$D$51:$AW$51), 0), IF($B30='Project List References'!$B$7, _xlfn.IFNA(_xlfn.XLOOKUP(S$2-$C30, 'SENS Coal'!$D$7:$AW$7, 'SENS Coal'!$D$51:$AW$51), 0), IF($B30='Project List References'!$B$8, _xlfn.IFNA(_xlfn.XLOOKUP(S$2-$C30,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T30" s="743" t="e">
        <f>IF($B30='Project List References'!$B$3, _xlfn.IFNA(_xlfn.XLOOKUP(T$2-$C30, 'GEN-CCGT'!$D$7:$AW$7, 'GEN-CCGT'!$D$51:$AW$51), 0), IF($B30='Project List References'!$B$4, _xlfn.IFNA(_xlfn.XLOOKUP(T$2-$C30, 'GEN-SOLAR'!$D$7:$AW$7, 'GEN-SOLAR'!$D$51:$AW$51), 0), IF($B30='Project List References'!$B$5, _xlfn.IFNA(_xlfn.XLOOKUP(T$2-$C30, 'GEN-BESS'!$D$7:$AW$7, 'GEN-BESS'!$D$51:$AW$51), 0), IF($B30='Project List References'!$B$6, _xlfn.IFNA(_xlfn.XLOOKUP(T$2-$C30, 'GEN-CARBON'!$D$7:$AW$7, 'GEN-CARBON'!$D$51:$AW$51), 0), IF($B30='Project List References'!$B$7, _xlfn.IFNA(_xlfn.XLOOKUP(T$2-$C30, 'SENS Coal'!$D$7:$AW$7, 'SENS Coal'!$D$51:$AW$51), 0), IF($B30='Project List References'!$B$8, _xlfn.IFNA(_xlfn.XLOOKUP(T$2-$C30, 'SENS Tires'!$D$7:$AW$7, 'SENS Tires'!$D$51:$AW$51), 0)))))))/_xlfn.XLOOKUP($B30,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</row>
    <row r="31" spans="1:20">
      <c r="A31" s="655" t="str">
        <f>IF(ISBLANK('Project Master Sheet'!A31)=FALSE, 'Project Master Sheet'!A31, "")</f>
        <v/>
      </c>
      <c r="B31" s="655" t="str">
        <f>_xlfn.IFNA(_xlfn.XLOOKUP(A31, 'Project Master Sheet'!A:A, 'Project Master Sheet'!D:D), "")</f>
        <v/>
      </c>
      <c r="C31" s="655" t="e">
        <f>_xlfn.XLOOKUP('Project OPEX'!A31, 'Project Master Sheet'!A:A, 'Project Master Sheet'!I:I)</f>
        <v>#N/A</v>
      </c>
      <c r="E31" s="743" t="e">
        <f>IF($B31='Project List References'!$B$3, _xlfn.IFNA(_xlfn.XLOOKUP(E$2-$C31, 'GEN-CCGT'!$D$7:$AW$7, 'GEN-CCGT'!$D$51:$AW$51), 0), IF($B31='Project List References'!$B$4, _xlfn.IFNA(_xlfn.XLOOKUP(E$2-$C31, 'GEN-SOLAR'!$D$7:$AW$7, 'GEN-SOLAR'!$D$51:$AW$51), 0), IF($B31='Project List References'!$B$5, _xlfn.IFNA(_xlfn.XLOOKUP(E$2-$C31, 'GEN-BESS'!$D$7:$AW$7, 'GEN-BESS'!$D$51:$AW$51), 0), IF($B31='Project List References'!$B$6, _xlfn.IFNA(_xlfn.XLOOKUP(E$2-$C31, 'GEN-CARBON'!$D$7:$AW$7, 'GEN-CARBON'!$D$51:$AW$51), 0), IF($B31='Project List References'!$B$7, _xlfn.IFNA(_xlfn.XLOOKUP(E$2-$C31, 'SENS Coal'!$D$7:$AW$7, 'SENS Coal'!$D$51:$AW$51), 0), IF($B31='Project List References'!$B$8, _xlfn.IFNA(_xlfn.XLOOKUP(E$2-$C31,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F31" s="743" t="e">
        <f>IF($B31='Project List References'!$B$3, _xlfn.IFNA(_xlfn.XLOOKUP(F$2-$C31, 'GEN-CCGT'!$D$7:$AW$7, 'GEN-CCGT'!$D$51:$AW$51), 0), IF($B31='Project List References'!$B$4, _xlfn.IFNA(_xlfn.XLOOKUP(F$2-$C31, 'GEN-SOLAR'!$D$7:$AW$7, 'GEN-SOLAR'!$D$51:$AW$51), 0), IF($B31='Project List References'!$B$5, _xlfn.IFNA(_xlfn.XLOOKUP(F$2-$C31, 'GEN-BESS'!$D$7:$AW$7, 'GEN-BESS'!$D$51:$AW$51), 0), IF($B31='Project List References'!$B$6, _xlfn.IFNA(_xlfn.XLOOKUP(F$2-$C31, 'GEN-CARBON'!$D$7:$AW$7, 'GEN-CARBON'!$D$51:$AW$51), 0), IF($B31='Project List References'!$B$7, _xlfn.IFNA(_xlfn.XLOOKUP(F$2-$C31, 'SENS Coal'!$D$7:$AW$7, 'SENS Coal'!$D$51:$AW$51), 0), IF($B31='Project List References'!$B$8, _xlfn.IFNA(_xlfn.XLOOKUP(F$2-$C31,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G31" s="743" t="e">
        <f>IF($B31='Project List References'!$B$3, _xlfn.IFNA(_xlfn.XLOOKUP(G$2-$C31, 'GEN-CCGT'!$D$7:$AW$7, 'GEN-CCGT'!$D$51:$AW$51), 0), IF($B31='Project List References'!$B$4, _xlfn.IFNA(_xlfn.XLOOKUP(G$2-$C31, 'GEN-SOLAR'!$D$7:$AW$7, 'GEN-SOLAR'!$D$51:$AW$51), 0), IF($B31='Project List References'!$B$5, _xlfn.IFNA(_xlfn.XLOOKUP(G$2-$C31, 'GEN-BESS'!$D$7:$AW$7, 'GEN-BESS'!$D$51:$AW$51), 0), IF($B31='Project List References'!$B$6, _xlfn.IFNA(_xlfn.XLOOKUP(G$2-$C31, 'GEN-CARBON'!$D$7:$AW$7, 'GEN-CARBON'!$D$51:$AW$51), 0), IF($B31='Project List References'!$B$7, _xlfn.IFNA(_xlfn.XLOOKUP(G$2-$C31, 'SENS Coal'!$D$7:$AW$7, 'SENS Coal'!$D$51:$AW$51), 0), IF($B31='Project List References'!$B$8, _xlfn.IFNA(_xlfn.XLOOKUP(G$2-$C31,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H31" s="743" t="e">
        <f>IF($B31='Project List References'!$B$3, _xlfn.IFNA(_xlfn.XLOOKUP(H$2-$C31, 'GEN-CCGT'!$D$7:$AW$7, 'GEN-CCGT'!$D$51:$AW$51), 0), IF($B31='Project List References'!$B$4, _xlfn.IFNA(_xlfn.XLOOKUP(H$2-$C31, 'GEN-SOLAR'!$D$7:$AW$7, 'GEN-SOLAR'!$D$51:$AW$51), 0), IF($B31='Project List References'!$B$5, _xlfn.IFNA(_xlfn.XLOOKUP(H$2-$C31, 'GEN-BESS'!$D$7:$AW$7, 'GEN-BESS'!$D$51:$AW$51), 0), IF($B31='Project List References'!$B$6, _xlfn.IFNA(_xlfn.XLOOKUP(H$2-$C31, 'GEN-CARBON'!$D$7:$AW$7, 'GEN-CARBON'!$D$51:$AW$51), 0), IF($B31='Project List References'!$B$7, _xlfn.IFNA(_xlfn.XLOOKUP(H$2-$C31, 'SENS Coal'!$D$7:$AW$7, 'SENS Coal'!$D$51:$AW$51), 0), IF($B31='Project List References'!$B$8, _xlfn.IFNA(_xlfn.XLOOKUP(H$2-$C31,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I31" s="743" t="e">
        <f>IF($B31='Project List References'!$B$3, _xlfn.IFNA(_xlfn.XLOOKUP(I$2-$C31, 'GEN-CCGT'!$D$7:$AW$7, 'GEN-CCGT'!$D$51:$AW$51), 0), IF($B31='Project List References'!$B$4, _xlfn.IFNA(_xlfn.XLOOKUP(I$2-$C31, 'GEN-SOLAR'!$D$7:$AW$7, 'GEN-SOLAR'!$D$51:$AW$51), 0), IF($B31='Project List References'!$B$5, _xlfn.IFNA(_xlfn.XLOOKUP(I$2-$C31, 'GEN-BESS'!$D$7:$AW$7, 'GEN-BESS'!$D$51:$AW$51), 0), IF($B31='Project List References'!$B$6, _xlfn.IFNA(_xlfn.XLOOKUP(I$2-$C31, 'GEN-CARBON'!$D$7:$AW$7, 'GEN-CARBON'!$D$51:$AW$51), 0), IF($B31='Project List References'!$B$7, _xlfn.IFNA(_xlfn.XLOOKUP(I$2-$C31, 'SENS Coal'!$D$7:$AW$7, 'SENS Coal'!$D$51:$AW$51), 0), IF($B31='Project List References'!$B$8, _xlfn.IFNA(_xlfn.XLOOKUP(I$2-$C31,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J31" s="743" t="e">
        <f>IF($B31='Project List References'!$B$3, _xlfn.IFNA(_xlfn.XLOOKUP(J$2-$C31, 'GEN-CCGT'!$D$7:$AW$7, 'GEN-CCGT'!$D$51:$AW$51), 0), IF($B31='Project List References'!$B$4, _xlfn.IFNA(_xlfn.XLOOKUP(J$2-$C31, 'GEN-SOLAR'!$D$7:$AW$7, 'GEN-SOLAR'!$D$51:$AW$51), 0), IF($B31='Project List References'!$B$5, _xlfn.IFNA(_xlfn.XLOOKUP(J$2-$C31, 'GEN-BESS'!$D$7:$AW$7, 'GEN-BESS'!$D$51:$AW$51), 0), IF($B31='Project List References'!$B$6, _xlfn.IFNA(_xlfn.XLOOKUP(J$2-$C31, 'GEN-CARBON'!$D$7:$AW$7, 'GEN-CARBON'!$D$51:$AW$51), 0), IF($B31='Project List References'!$B$7, _xlfn.IFNA(_xlfn.XLOOKUP(J$2-$C31, 'SENS Coal'!$D$7:$AW$7, 'SENS Coal'!$D$51:$AW$51), 0), IF($B31='Project List References'!$B$8, _xlfn.IFNA(_xlfn.XLOOKUP(J$2-$C31,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K31" s="743" t="e">
        <f>IF($B31='Project List References'!$B$3, _xlfn.IFNA(_xlfn.XLOOKUP(K$2-$C31, 'GEN-CCGT'!$D$7:$AW$7, 'GEN-CCGT'!$D$51:$AW$51), 0), IF($B31='Project List References'!$B$4, _xlfn.IFNA(_xlfn.XLOOKUP(K$2-$C31, 'GEN-SOLAR'!$D$7:$AW$7, 'GEN-SOLAR'!$D$51:$AW$51), 0), IF($B31='Project List References'!$B$5, _xlfn.IFNA(_xlfn.XLOOKUP(K$2-$C31, 'GEN-BESS'!$D$7:$AW$7, 'GEN-BESS'!$D$51:$AW$51), 0), IF($B31='Project List References'!$B$6, _xlfn.IFNA(_xlfn.XLOOKUP(K$2-$C31, 'GEN-CARBON'!$D$7:$AW$7, 'GEN-CARBON'!$D$51:$AW$51), 0), IF($B31='Project List References'!$B$7, _xlfn.IFNA(_xlfn.XLOOKUP(K$2-$C31, 'SENS Coal'!$D$7:$AW$7, 'SENS Coal'!$D$51:$AW$51), 0), IF($B31='Project List References'!$B$8, _xlfn.IFNA(_xlfn.XLOOKUP(K$2-$C31,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L31" s="743" t="e">
        <f>IF($B31='Project List References'!$B$3, _xlfn.IFNA(_xlfn.XLOOKUP(L$2-$C31, 'GEN-CCGT'!$D$7:$AW$7, 'GEN-CCGT'!$D$51:$AW$51), 0), IF($B31='Project List References'!$B$4, _xlfn.IFNA(_xlfn.XLOOKUP(L$2-$C31, 'GEN-SOLAR'!$D$7:$AW$7, 'GEN-SOLAR'!$D$51:$AW$51), 0), IF($B31='Project List References'!$B$5, _xlfn.IFNA(_xlfn.XLOOKUP(L$2-$C31, 'GEN-BESS'!$D$7:$AW$7, 'GEN-BESS'!$D$51:$AW$51), 0), IF($B31='Project List References'!$B$6, _xlfn.IFNA(_xlfn.XLOOKUP(L$2-$C31, 'GEN-CARBON'!$D$7:$AW$7, 'GEN-CARBON'!$D$51:$AW$51), 0), IF($B31='Project List References'!$B$7, _xlfn.IFNA(_xlfn.XLOOKUP(L$2-$C31, 'SENS Coal'!$D$7:$AW$7, 'SENS Coal'!$D$51:$AW$51), 0), IF($B31='Project List References'!$B$8, _xlfn.IFNA(_xlfn.XLOOKUP(L$2-$C31,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M31" s="743" t="e">
        <f>IF($B31='Project List References'!$B$3, _xlfn.IFNA(_xlfn.XLOOKUP(M$2-$C31, 'GEN-CCGT'!$D$7:$AW$7, 'GEN-CCGT'!$D$51:$AW$51), 0), IF($B31='Project List References'!$B$4, _xlfn.IFNA(_xlfn.XLOOKUP(M$2-$C31, 'GEN-SOLAR'!$D$7:$AW$7, 'GEN-SOLAR'!$D$51:$AW$51), 0), IF($B31='Project List References'!$B$5, _xlfn.IFNA(_xlfn.XLOOKUP(M$2-$C31, 'GEN-BESS'!$D$7:$AW$7, 'GEN-BESS'!$D$51:$AW$51), 0), IF($B31='Project List References'!$B$6, _xlfn.IFNA(_xlfn.XLOOKUP(M$2-$C31, 'GEN-CARBON'!$D$7:$AW$7, 'GEN-CARBON'!$D$51:$AW$51), 0), IF($B31='Project List References'!$B$7, _xlfn.IFNA(_xlfn.XLOOKUP(M$2-$C31, 'SENS Coal'!$D$7:$AW$7, 'SENS Coal'!$D$51:$AW$51), 0), IF($B31='Project List References'!$B$8, _xlfn.IFNA(_xlfn.XLOOKUP(M$2-$C31,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N31" s="743" t="e">
        <f>IF($B31='Project List References'!$B$3, _xlfn.IFNA(_xlfn.XLOOKUP(N$2-$C31, 'GEN-CCGT'!$D$7:$AW$7, 'GEN-CCGT'!$D$51:$AW$51), 0), IF($B31='Project List References'!$B$4, _xlfn.IFNA(_xlfn.XLOOKUP(N$2-$C31, 'GEN-SOLAR'!$D$7:$AW$7, 'GEN-SOLAR'!$D$51:$AW$51), 0), IF($B31='Project List References'!$B$5, _xlfn.IFNA(_xlfn.XLOOKUP(N$2-$C31, 'GEN-BESS'!$D$7:$AW$7, 'GEN-BESS'!$D$51:$AW$51), 0), IF($B31='Project List References'!$B$6, _xlfn.IFNA(_xlfn.XLOOKUP(N$2-$C31, 'GEN-CARBON'!$D$7:$AW$7, 'GEN-CARBON'!$D$51:$AW$51), 0), IF($B31='Project List References'!$B$7, _xlfn.IFNA(_xlfn.XLOOKUP(N$2-$C31, 'SENS Coal'!$D$7:$AW$7, 'SENS Coal'!$D$51:$AW$51), 0), IF($B31='Project List References'!$B$8, _xlfn.IFNA(_xlfn.XLOOKUP(N$2-$C31,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O31" s="743" t="e">
        <f>IF($B31='Project List References'!$B$3, _xlfn.IFNA(_xlfn.XLOOKUP(O$2-$C31, 'GEN-CCGT'!$D$7:$AW$7, 'GEN-CCGT'!$D$51:$AW$51), 0), IF($B31='Project List References'!$B$4, _xlfn.IFNA(_xlfn.XLOOKUP(O$2-$C31, 'GEN-SOLAR'!$D$7:$AW$7, 'GEN-SOLAR'!$D$51:$AW$51), 0), IF($B31='Project List References'!$B$5, _xlfn.IFNA(_xlfn.XLOOKUP(O$2-$C31, 'GEN-BESS'!$D$7:$AW$7, 'GEN-BESS'!$D$51:$AW$51), 0), IF($B31='Project List References'!$B$6, _xlfn.IFNA(_xlfn.XLOOKUP(O$2-$C31, 'GEN-CARBON'!$D$7:$AW$7, 'GEN-CARBON'!$D$51:$AW$51), 0), IF($B31='Project List References'!$B$7, _xlfn.IFNA(_xlfn.XLOOKUP(O$2-$C31, 'SENS Coal'!$D$7:$AW$7, 'SENS Coal'!$D$51:$AW$51), 0), IF($B31='Project List References'!$B$8, _xlfn.IFNA(_xlfn.XLOOKUP(O$2-$C31,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P31" s="743" t="e">
        <f>IF($B31='Project List References'!$B$3, _xlfn.IFNA(_xlfn.XLOOKUP(P$2-$C31, 'GEN-CCGT'!$D$7:$AW$7, 'GEN-CCGT'!$D$51:$AW$51), 0), IF($B31='Project List References'!$B$4, _xlfn.IFNA(_xlfn.XLOOKUP(P$2-$C31, 'GEN-SOLAR'!$D$7:$AW$7, 'GEN-SOLAR'!$D$51:$AW$51), 0), IF($B31='Project List References'!$B$5, _xlfn.IFNA(_xlfn.XLOOKUP(P$2-$C31, 'GEN-BESS'!$D$7:$AW$7, 'GEN-BESS'!$D$51:$AW$51), 0), IF($B31='Project List References'!$B$6, _xlfn.IFNA(_xlfn.XLOOKUP(P$2-$C31, 'GEN-CARBON'!$D$7:$AW$7, 'GEN-CARBON'!$D$51:$AW$51), 0), IF($B31='Project List References'!$B$7, _xlfn.IFNA(_xlfn.XLOOKUP(P$2-$C31, 'SENS Coal'!$D$7:$AW$7, 'SENS Coal'!$D$51:$AW$51), 0), IF($B31='Project List References'!$B$8, _xlfn.IFNA(_xlfn.XLOOKUP(P$2-$C31,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Q31" s="743" t="e">
        <f>IF($B31='Project List References'!$B$3, _xlfn.IFNA(_xlfn.XLOOKUP(Q$2-$C31, 'GEN-CCGT'!$D$7:$AW$7, 'GEN-CCGT'!$D$51:$AW$51), 0), IF($B31='Project List References'!$B$4, _xlfn.IFNA(_xlfn.XLOOKUP(Q$2-$C31, 'GEN-SOLAR'!$D$7:$AW$7, 'GEN-SOLAR'!$D$51:$AW$51), 0), IF($B31='Project List References'!$B$5, _xlfn.IFNA(_xlfn.XLOOKUP(Q$2-$C31, 'GEN-BESS'!$D$7:$AW$7, 'GEN-BESS'!$D$51:$AW$51), 0), IF($B31='Project List References'!$B$6, _xlfn.IFNA(_xlfn.XLOOKUP(Q$2-$C31, 'GEN-CARBON'!$D$7:$AW$7, 'GEN-CARBON'!$D$51:$AW$51), 0), IF($B31='Project List References'!$B$7, _xlfn.IFNA(_xlfn.XLOOKUP(Q$2-$C31, 'SENS Coal'!$D$7:$AW$7, 'SENS Coal'!$D$51:$AW$51), 0), IF($B31='Project List References'!$B$8, _xlfn.IFNA(_xlfn.XLOOKUP(Q$2-$C31,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R31" s="743" t="e">
        <f>IF($B31='Project List References'!$B$3, _xlfn.IFNA(_xlfn.XLOOKUP(R$2-$C31, 'GEN-CCGT'!$D$7:$AW$7, 'GEN-CCGT'!$D$51:$AW$51), 0), IF($B31='Project List References'!$B$4, _xlfn.IFNA(_xlfn.XLOOKUP(R$2-$C31, 'GEN-SOLAR'!$D$7:$AW$7, 'GEN-SOLAR'!$D$51:$AW$51), 0), IF($B31='Project List References'!$B$5, _xlfn.IFNA(_xlfn.XLOOKUP(R$2-$C31, 'GEN-BESS'!$D$7:$AW$7, 'GEN-BESS'!$D$51:$AW$51), 0), IF($B31='Project List References'!$B$6, _xlfn.IFNA(_xlfn.XLOOKUP(R$2-$C31, 'GEN-CARBON'!$D$7:$AW$7, 'GEN-CARBON'!$D$51:$AW$51), 0), IF($B31='Project List References'!$B$7, _xlfn.IFNA(_xlfn.XLOOKUP(R$2-$C31, 'SENS Coal'!$D$7:$AW$7, 'SENS Coal'!$D$51:$AW$51), 0), IF($B31='Project List References'!$B$8, _xlfn.IFNA(_xlfn.XLOOKUP(R$2-$C31,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S31" s="743" t="e">
        <f>IF($B31='Project List References'!$B$3, _xlfn.IFNA(_xlfn.XLOOKUP(S$2-$C31, 'GEN-CCGT'!$D$7:$AW$7, 'GEN-CCGT'!$D$51:$AW$51), 0), IF($B31='Project List References'!$B$4, _xlfn.IFNA(_xlfn.XLOOKUP(S$2-$C31, 'GEN-SOLAR'!$D$7:$AW$7, 'GEN-SOLAR'!$D$51:$AW$51), 0), IF($B31='Project List References'!$B$5, _xlfn.IFNA(_xlfn.XLOOKUP(S$2-$C31, 'GEN-BESS'!$D$7:$AW$7, 'GEN-BESS'!$D$51:$AW$51), 0), IF($B31='Project List References'!$B$6, _xlfn.IFNA(_xlfn.XLOOKUP(S$2-$C31, 'GEN-CARBON'!$D$7:$AW$7, 'GEN-CARBON'!$D$51:$AW$51), 0), IF($B31='Project List References'!$B$7, _xlfn.IFNA(_xlfn.XLOOKUP(S$2-$C31, 'SENS Coal'!$D$7:$AW$7, 'SENS Coal'!$D$51:$AW$51), 0), IF($B31='Project List References'!$B$8, _xlfn.IFNA(_xlfn.XLOOKUP(S$2-$C31,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T31" s="743" t="e">
        <f>IF($B31='Project List References'!$B$3, _xlfn.IFNA(_xlfn.XLOOKUP(T$2-$C31, 'GEN-CCGT'!$D$7:$AW$7, 'GEN-CCGT'!$D$51:$AW$51), 0), IF($B31='Project List References'!$B$4, _xlfn.IFNA(_xlfn.XLOOKUP(T$2-$C31, 'GEN-SOLAR'!$D$7:$AW$7, 'GEN-SOLAR'!$D$51:$AW$51), 0), IF($B31='Project List References'!$B$5, _xlfn.IFNA(_xlfn.XLOOKUP(T$2-$C31, 'GEN-BESS'!$D$7:$AW$7, 'GEN-BESS'!$D$51:$AW$51), 0), IF($B31='Project List References'!$B$6, _xlfn.IFNA(_xlfn.XLOOKUP(T$2-$C31, 'GEN-CARBON'!$D$7:$AW$7, 'GEN-CARBON'!$D$51:$AW$51), 0), IF($B31='Project List References'!$B$7, _xlfn.IFNA(_xlfn.XLOOKUP(T$2-$C31, 'SENS Coal'!$D$7:$AW$7, 'SENS Coal'!$D$51:$AW$51), 0), IF($B31='Project List References'!$B$8, _xlfn.IFNA(_xlfn.XLOOKUP(T$2-$C31, 'SENS Tires'!$D$7:$AW$7, 'SENS Tires'!$D$51:$AW$51), 0)))))))/_xlfn.XLOOKUP($B31,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</row>
    <row r="32" spans="1:20">
      <c r="A32" s="655" t="str">
        <f>IF(ISBLANK('Project Master Sheet'!A32)=FALSE, 'Project Master Sheet'!A32, "")</f>
        <v/>
      </c>
      <c r="B32" s="655" t="str">
        <f>_xlfn.IFNA(_xlfn.XLOOKUP(A32, 'Project Master Sheet'!A:A, 'Project Master Sheet'!D:D), "")</f>
        <v/>
      </c>
      <c r="C32" s="655" t="e">
        <f>_xlfn.XLOOKUP('Project OPEX'!A32, 'Project Master Sheet'!A:A, 'Project Master Sheet'!I:I)</f>
        <v>#N/A</v>
      </c>
      <c r="E32" s="743" t="e">
        <f>IF($B32='Project List References'!$B$3, _xlfn.IFNA(_xlfn.XLOOKUP(E$2-$C32, 'GEN-CCGT'!$D$7:$AW$7, 'GEN-CCGT'!$D$51:$AW$51), 0), IF($B32='Project List References'!$B$4, _xlfn.IFNA(_xlfn.XLOOKUP(E$2-$C32, 'GEN-SOLAR'!$D$7:$AW$7, 'GEN-SOLAR'!$D$51:$AW$51), 0), IF($B32='Project List References'!$B$5, _xlfn.IFNA(_xlfn.XLOOKUP(E$2-$C32, 'GEN-BESS'!$D$7:$AW$7, 'GEN-BESS'!$D$51:$AW$51), 0), IF($B32='Project List References'!$B$6, _xlfn.IFNA(_xlfn.XLOOKUP(E$2-$C32, 'GEN-CARBON'!$D$7:$AW$7, 'GEN-CARBON'!$D$51:$AW$51), 0), IF($B32='Project List References'!$B$7, _xlfn.IFNA(_xlfn.XLOOKUP(E$2-$C32, 'SENS Coal'!$D$7:$AW$7, 'SENS Coal'!$D$51:$AW$51), 0), IF($B32='Project List References'!$B$8, _xlfn.IFNA(_xlfn.XLOOKUP(E$2-$C32,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F32" s="743" t="e">
        <f>IF($B32='Project List References'!$B$3, _xlfn.IFNA(_xlfn.XLOOKUP(F$2-$C32, 'GEN-CCGT'!$D$7:$AW$7, 'GEN-CCGT'!$D$51:$AW$51), 0), IF($B32='Project List References'!$B$4, _xlfn.IFNA(_xlfn.XLOOKUP(F$2-$C32, 'GEN-SOLAR'!$D$7:$AW$7, 'GEN-SOLAR'!$D$51:$AW$51), 0), IF($B32='Project List References'!$B$5, _xlfn.IFNA(_xlfn.XLOOKUP(F$2-$C32, 'GEN-BESS'!$D$7:$AW$7, 'GEN-BESS'!$D$51:$AW$51), 0), IF($B32='Project List References'!$B$6, _xlfn.IFNA(_xlfn.XLOOKUP(F$2-$C32, 'GEN-CARBON'!$D$7:$AW$7, 'GEN-CARBON'!$D$51:$AW$51), 0), IF($B32='Project List References'!$B$7, _xlfn.IFNA(_xlfn.XLOOKUP(F$2-$C32, 'SENS Coal'!$D$7:$AW$7, 'SENS Coal'!$D$51:$AW$51), 0), IF($B32='Project List References'!$B$8, _xlfn.IFNA(_xlfn.XLOOKUP(F$2-$C32,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G32" s="743" t="e">
        <f>IF($B32='Project List References'!$B$3, _xlfn.IFNA(_xlfn.XLOOKUP(G$2-$C32, 'GEN-CCGT'!$D$7:$AW$7, 'GEN-CCGT'!$D$51:$AW$51), 0), IF($B32='Project List References'!$B$4, _xlfn.IFNA(_xlfn.XLOOKUP(G$2-$C32, 'GEN-SOLAR'!$D$7:$AW$7, 'GEN-SOLAR'!$D$51:$AW$51), 0), IF($B32='Project List References'!$B$5, _xlfn.IFNA(_xlfn.XLOOKUP(G$2-$C32, 'GEN-BESS'!$D$7:$AW$7, 'GEN-BESS'!$D$51:$AW$51), 0), IF($B32='Project List References'!$B$6, _xlfn.IFNA(_xlfn.XLOOKUP(G$2-$C32, 'GEN-CARBON'!$D$7:$AW$7, 'GEN-CARBON'!$D$51:$AW$51), 0), IF($B32='Project List References'!$B$7, _xlfn.IFNA(_xlfn.XLOOKUP(G$2-$C32, 'SENS Coal'!$D$7:$AW$7, 'SENS Coal'!$D$51:$AW$51), 0), IF($B32='Project List References'!$B$8, _xlfn.IFNA(_xlfn.XLOOKUP(G$2-$C32,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H32" s="743" t="e">
        <f>IF($B32='Project List References'!$B$3, _xlfn.IFNA(_xlfn.XLOOKUP(H$2-$C32, 'GEN-CCGT'!$D$7:$AW$7, 'GEN-CCGT'!$D$51:$AW$51), 0), IF($B32='Project List References'!$B$4, _xlfn.IFNA(_xlfn.XLOOKUP(H$2-$C32, 'GEN-SOLAR'!$D$7:$AW$7, 'GEN-SOLAR'!$D$51:$AW$51), 0), IF($B32='Project List References'!$B$5, _xlfn.IFNA(_xlfn.XLOOKUP(H$2-$C32, 'GEN-BESS'!$D$7:$AW$7, 'GEN-BESS'!$D$51:$AW$51), 0), IF($B32='Project List References'!$B$6, _xlfn.IFNA(_xlfn.XLOOKUP(H$2-$C32, 'GEN-CARBON'!$D$7:$AW$7, 'GEN-CARBON'!$D$51:$AW$51), 0), IF($B32='Project List References'!$B$7, _xlfn.IFNA(_xlfn.XLOOKUP(H$2-$C32, 'SENS Coal'!$D$7:$AW$7, 'SENS Coal'!$D$51:$AW$51), 0), IF($B32='Project List References'!$B$8, _xlfn.IFNA(_xlfn.XLOOKUP(H$2-$C32,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I32" s="743" t="e">
        <f>IF($B32='Project List References'!$B$3, _xlfn.IFNA(_xlfn.XLOOKUP(I$2-$C32, 'GEN-CCGT'!$D$7:$AW$7, 'GEN-CCGT'!$D$51:$AW$51), 0), IF($B32='Project List References'!$B$4, _xlfn.IFNA(_xlfn.XLOOKUP(I$2-$C32, 'GEN-SOLAR'!$D$7:$AW$7, 'GEN-SOLAR'!$D$51:$AW$51), 0), IF($B32='Project List References'!$B$5, _xlfn.IFNA(_xlfn.XLOOKUP(I$2-$C32, 'GEN-BESS'!$D$7:$AW$7, 'GEN-BESS'!$D$51:$AW$51), 0), IF($B32='Project List References'!$B$6, _xlfn.IFNA(_xlfn.XLOOKUP(I$2-$C32, 'GEN-CARBON'!$D$7:$AW$7, 'GEN-CARBON'!$D$51:$AW$51), 0), IF($B32='Project List References'!$B$7, _xlfn.IFNA(_xlfn.XLOOKUP(I$2-$C32, 'SENS Coal'!$D$7:$AW$7, 'SENS Coal'!$D$51:$AW$51), 0), IF($B32='Project List References'!$B$8, _xlfn.IFNA(_xlfn.XLOOKUP(I$2-$C32,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J32" s="743" t="e">
        <f>IF($B32='Project List References'!$B$3, _xlfn.IFNA(_xlfn.XLOOKUP(J$2-$C32, 'GEN-CCGT'!$D$7:$AW$7, 'GEN-CCGT'!$D$51:$AW$51), 0), IF($B32='Project List References'!$B$4, _xlfn.IFNA(_xlfn.XLOOKUP(J$2-$C32, 'GEN-SOLAR'!$D$7:$AW$7, 'GEN-SOLAR'!$D$51:$AW$51), 0), IF($B32='Project List References'!$B$5, _xlfn.IFNA(_xlfn.XLOOKUP(J$2-$C32, 'GEN-BESS'!$D$7:$AW$7, 'GEN-BESS'!$D$51:$AW$51), 0), IF($B32='Project List References'!$B$6, _xlfn.IFNA(_xlfn.XLOOKUP(J$2-$C32, 'GEN-CARBON'!$D$7:$AW$7, 'GEN-CARBON'!$D$51:$AW$51), 0), IF($B32='Project List References'!$B$7, _xlfn.IFNA(_xlfn.XLOOKUP(J$2-$C32, 'SENS Coal'!$D$7:$AW$7, 'SENS Coal'!$D$51:$AW$51), 0), IF($B32='Project List References'!$B$8, _xlfn.IFNA(_xlfn.XLOOKUP(J$2-$C32,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K32" s="743" t="e">
        <f>IF($B32='Project List References'!$B$3, _xlfn.IFNA(_xlfn.XLOOKUP(K$2-$C32, 'GEN-CCGT'!$D$7:$AW$7, 'GEN-CCGT'!$D$51:$AW$51), 0), IF($B32='Project List References'!$B$4, _xlfn.IFNA(_xlfn.XLOOKUP(K$2-$C32, 'GEN-SOLAR'!$D$7:$AW$7, 'GEN-SOLAR'!$D$51:$AW$51), 0), IF($B32='Project List References'!$B$5, _xlfn.IFNA(_xlfn.XLOOKUP(K$2-$C32, 'GEN-BESS'!$D$7:$AW$7, 'GEN-BESS'!$D$51:$AW$51), 0), IF($B32='Project List References'!$B$6, _xlfn.IFNA(_xlfn.XLOOKUP(K$2-$C32, 'GEN-CARBON'!$D$7:$AW$7, 'GEN-CARBON'!$D$51:$AW$51), 0), IF($B32='Project List References'!$B$7, _xlfn.IFNA(_xlfn.XLOOKUP(K$2-$C32, 'SENS Coal'!$D$7:$AW$7, 'SENS Coal'!$D$51:$AW$51), 0), IF($B32='Project List References'!$B$8, _xlfn.IFNA(_xlfn.XLOOKUP(K$2-$C32,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L32" s="743" t="e">
        <f>IF($B32='Project List References'!$B$3, _xlfn.IFNA(_xlfn.XLOOKUP(L$2-$C32, 'GEN-CCGT'!$D$7:$AW$7, 'GEN-CCGT'!$D$51:$AW$51), 0), IF($B32='Project List References'!$B$4, _xlfn.IFNA(_xlfn.XLOOKUP(L$2-$C32, 'GEN-SOLAR'!$D$7:$AW$7, 'GEN-SOLAR'!$D$51:$AW$51), 0), IF($B32='Project List References'!$B$5, _xlfn.IFNA(_xlfn.XLOOKUP(L$2-$C32, 'GEN-BESS'!$D$7:$AW$7, 'GEN-BESS'!$D$51:$AW$51), 0), IF($B32='Project List References'!$B$6, _xlfn.IFNA(_xlfn.XLOOKUP(L$2-$C32, 'GEN-CARBON'!$D$7:$AW$7, 'GEN-CARBON'!$D$51:$AW$51), 0), IF($B32='Project List References'!$B$7, _xlfn.IFNA(_xlfn.XLOOKUP(L$2-$C32, 'SENS Coal'!$D$7:$AW$7, 'SENS Coal'!$D$51:$AW$51), 0), IF($B32='Project List References'!$B$8, _xlfn.IFNA(_xlfn.XLOOKUP(L$2-$C32,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M32" s="743" t="e">
        <f>IF($B32='Project List References'!$B$3, _xlfn.IFNA(_xlfn.XLOOKUP(M$2-$C32, 'GEN-CCGT'!$D$7:$AW$7, 'GEN-CCGT'!$D$51:$AW$51), 0), IF($B32='Project List References'!$B$4, _xlfn.IFNA(_xlfn.XLOOKUP(M$2-$C32, 'GEN-SOLAR'!$D$7:$AW$7, 'GEN-SOLAR'!$D$51:$AW$51), 0), IF($B32='Project List References'!$B$5, _xlfn.IFNA(_xlfn.XLOOKUP(M$2-$C32, 'GEN-BESS'!$D$7:$AW$7, 'GEN-BESS'!$D$51:$AW$51), 0), IF($B32='Project List References'!$B$6, _xlfn.IFNA(_xlfn.XLOOKUP(M$2-$C32, 'GEN-CARBON'!$D$7:$AW$7, 'GEN-CARBON'!$D$51:$AW$51), 0), IF($B32='Project List References'!$B$7, _xlfn.IFNA(_xlfn.XLOOKUP(M$2-$C32, 'SENS Coal'!$D$7:$AW$7, 'SENS Coal'!$D$51:$AW$51), 0), IF($B32='Project List References'!$B$8, _xlfn.IFNA(_xlfn.XLOOKUP(M$2-$C32,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N32" s="743" t="e">
        <f>IF($B32='Project List References'!$B$3, _xlfn.IFNA(_xlfn.XLOOKUP(N$2-$C32, 'GEN-CCGT'!$D$7:$AW$7, 'GEN-CCGT'!$D$51:$AW$51), 0), IF($B32='Project List References'!$B$4, _xlfn.IFNA(_xlfn.XLOOKUP(N$2-$C32, 'GEN-SOLAR'!$D$7:$AW$7, 'GEN-SOLAR'!$D$51:$AW$51), 0), IF($B32='Project List References'!$B$5, _xlfn.IFNA(_xlfn.XLOOKUP(N$2-$C32, 'GEN-BESS'!$D$7:$AW$7, 'GEN-BESS'!$D$51:$AW$51), 0), IF($B32='Project List References'!$B$6, _xlfn.IFNA(_xlfn.XLOOKUP(N$2-$C32, 'GEN-CARBON'!$D$7:$AW$7, 'GEN-CARBON'!$D$51:$AW$51), 0), IF($B32='Project List References'!$B$7, _xlfn.IFNA(_xlfn.XLOOKUP(N$2-$C32, 'SENS Coal'!$D$7:$AW$7, 'SENS Coal'!$D$51:$AW$51), 0), IF($B32='Project List References'!$B$8, _xlfn.IFNA(_xlfn.XLOOKUP(N$2-$C32,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O32" s="743" t="e">
        <f>IF($B32='Project List References'!$B$3, _xlfn.IFNA(_xlfn.XLOOKUP(O$2-$C32, 'GEN-CCGT'!$D$7:$AW$7, 'GEN-CCGT'!$D$51:$AW$51), 0), IF($B32='Project List References'!$B$4, _xlfn.IFNA(_xlfn.XLOOKUP(O$2-$C32, 'GEN-SOLAR'!$D$7:$AW$7, 'GEN-SOLAR'!$D$51:$AW$51), 0), IF($B32='Project List References'!$B$5, _xlfn.IFNA(_xlfn.XLOOKUP(O$2-$C32, 'GEN-BESS'!$D$7:$AW$7, 'GEN-BESS'!$D$51:$AW$51), 0), IF($B32='Project List References'!$B$6, _xlfn.IFNA(_xlfn.XLOOKUP(O$2-$C32, 'GEN-CARBON'!$D$7:$AW$7, 'GEN-CARBON'!$D$51:$AW$51), 0), IF($B32='Project List References'!$B$7, _xlfn.IFNA(_xlfn.XLOOKUP(O$2-$C32, 'SENS Coal'!$D$7:$AW$7, 'SENS Coal'!$D$51:$AW$51), 0), IF($B32='Project List References'!$B$8, _xlfn.IFNA(_xlfn.XLOOKUP(O$2-$C32,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P32" s="743" t="e">
        <f>IF($B32='Project List References'!$B$3, _xlfn.IFNA(_xlfn.XLOOKUP(P$2-$C32, 'GEN-CCGT'!$D$7:$AW$7, 'GEN-CCGT'!$D$51:$AW$51), 0), IF($B32='Project List References'!$B$4, _xlfn.IFNA(_xlfn.XLOOKUP(P$2-$C32, 'GEN-SOLAR'!$D$7:$AW$7, 'GEN-SOLAR'!$D$51:$AW$51), 0), IF($B32='Project List References'!$B$5, _xlfn.IFNA(_xlfn.XLOOKUP(P$2-$C32, 'GEN-BESS'!$D$7:$AW$7, 'GEN-BESS'!$D$51:$AW$51), 0), IF($B32='Project List References'!$B$6, _xlfn.IFNA(_xlfn.XLOOKUP(P$2-$C32, 'GEN-CARBON'!$D$7:$AW$7, 'GEN-CARBON'!$D$51:$AW$51), 0), IF($B32='Project List References'!$B$7, _xlfn.IFNA(_xlfn.XLOOKUP(P$2-$C32, 'SENS Coal'!$D$7:$AW$7, 'SENS Coal'!$D$51:$AW$51), 0), IF($B32='Project List References'!$B$8, _xlfn.IFNA(_xlfn.XLOOKUP(P$2-$C32,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Q32" s="743" t="e">
        <f>IF($B32='Project List References'!$B$3, _xlfn.IFNA(_xlfn.XLOOKUP(Q$2-$C32, 'GEN-CCGT'!$D$7:$AW$7, 'GEN-CCGT'!$D$51:$AW$51), 0), IF($B32='Project List References'!$B$4, _xlfn.IFNA(_xlfn.XLOOKUP(Q$2-$C32, 'GEN-SOLAR'!$D$7:$AW$7, 'GEN-SOLAR'!$D$51:$AW$51), 0), IF($B32='Project List References'!$B$5, _xlfn.IFNA(_xlfn.XLOOKUP(Q$2-$C32, 'GEN-BESS'!$D$7:$AW$7, 'GEN-BESS'!$D$51:$AW$51), 0), IF($B32='Project List References'!$B$6, _xlfn.IFNA(_xlfn.XLOOKUP(Q$2-$C32, 'GEN-CARBON'!$D$7:$AW$7, 'GEN-CARBON'!$D$51:$AW$51), 0), IF($B32='Project List References'!$B$7, _xlfn.IFNA(_xlfn.XLOOKUP(Q$2-$C32, 'SENS Coal'!$D$7:$AW$7, 'SENS Coal'!$D$51:$AW$51), 0), IF($B32='Project List References'!$B$8, _xlfn.IFNA(_xlfn.XLOOKUP(Q$2-$C32,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R32" s="743" t="e">
        <f>IF($B32='Project List References'!$B$3, _xlfn.IFNA(_xlfn.XLOOKUP(R$2-$C32, 'GEN-CCGT'!$D$7:$AW$7, 'GEN-CCGT'!$D$51:$AW$51), 0), IF($B32='Project List References'!$B$4, _xlfn.IFNA(_xlfn.XLOOKUP(R$2-$C32, 'GEN-SOLAR'!$D$7:$AW$7, 'GEN-SOLAR'!$D$51:$AW$51), 0), IF($B32='Project List References'!$B$5, _xlfn.IFNA(_xlfn.XLOOKUP(R$2-$C32, 'GEN-BESS'!$D$7:$AW$7, 'GEN-BESS'!$D$51:$AW$51), 0), IF($B32='Project List References'!$B$6, _xlfn.IFNA(_xlfn.XLOOKUP(R$2-$C32, 'GEN-CARBON'!$D$7:$AW$7, 'GEN-CARBON'!$D$51:$AW$51), 0), IF($B32='Project List References'!$B$7, _xlfn.IFNA(_xlfn.XLOOKUP(R$2-$C32, 'SENS Coal'!$D$7:$AW$7, 'SENS Coal'!$D$51:$AW$51), 0), IF($B32='Project List References'!$B$8, _xlfn.IFNA(_xlfn.XLOOKUP(R$2-$C32,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S32" s="743" t="e">
        <f>IF($B32='Project List References'!$B$3, _xlfn.IFNA(_xlfn.XLOOKUP(S$2-$C32, 'GEN-CCGT'!$D$7:$AW$7, 'GEN-CCGT'!$D$51:$AW$51), 0), IF($B32='Project List References'!$B$4, _xlfn.IFNA(_xlfn.XLOOKUP(S$2-$C32, 'GEN-SOLAR'!$D$7:$AW$7, 'GEN-SOLAR'!$D$51:$AW$51), 0), IF($B32='Project List References'!$B$5, _xlfn.IFNA(_xlfn.XLOOKUP(S$2-$C32, 'GEN-BESS'!$D$7:$AW$7, 'GEN-BESS'!$D$51:$AW$51), 0), IF($B32='Project List References'!$B$6, _xlfn.IFNA(_xlfn.XLOOKUP(S$2-$C32, 'GEN-CARBON'!$D$7:$AW$7, 'GEN-CARBON'!$D$51:$AW$51), 0), IF($B32='Project List References'!$B$7, _xlfn.IFNA(_xlfn.XLOOKUP(S$2-$C32, 'SENS Coal'!$D$7:$AW$7, 'SENS Coal'!$D$51:$AW$51), 0), IF($B32='Project List References'!$B$8, _xlfn.IFNA(_xlfn.XLOOKUP(S$2-$C32,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T32" s="743" t="e">
        <f>IF($B32='Project List References'!$B$3, _xlfn.IFNA(_xlfn.XLOOKUP(T$2-$C32, 'GEN-CCGT'!$D$7:$AW$7, 'GEN-CCGT'!$D$51:$AW$51), 0), IF($B32='Project List References'!$B$4, _xlfn.IFNA(_xlfn.XLOOKUP(T$2-$C32, 'GEN-SOLAR'!$D$7:$AW$7, 'GEN-SOLAR'!$D$51:$AW$51), 0), IF($B32='Project List References'!$B$5, _xlfn.IFNA(_xlfn.XLOOKUP(T$2-$C32, 'GEN-BESS'!$D$7:$AW$7, 'GEN-BESS'!$D$51:$AW$51), 0), IF($B32='Project List References'!$B$6, _xlfn.IFNA(_xlfn.XLOOKUP(T$2-$C32, 'GEN-CARBON'!$D$7:$AW$7, 'GEN-CARBON'!$D$51:$AW$51), 0), IF($B32='Project List References'!$B$7, _xlfn.IFNA(_xlfn.XLOOKUP(T$2-$C32, 'SENS Coal'!$D$7:$AW$7, 'SENS Coal'!$D$51:$AW$51), 0), IF($B32='Project List References'!$B$8, _xlfn.IFNA(_xlfn.XLOOKUP(T$2-$C32, 'SENS Tires'!$D$7:$AW$7, 'SENS Tires'!$D$51:$AW$51), 0)))))))/_xlfn.XLOOKUP($B32,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</row>
    <row r="33" spans="1:20">
      <c r="A33" s="655" t="str">
        <f>IF(ISBLANK('Project Master Sheet'!A33)=FALSE, 'Project Master Sheet'!A33, "")</f>
        <v/>
      </c>
      <c r="B33" s="655" t="str">
        <f>_xlfn.IFNA(_xlfn.XLOOKUP(A33, 'Project Master Sheet'!A:A, 'Project Master Sheet'!D:D), "")</f>
        <v/>
      </c>
      <c r="C33" s="655" t="e">
        <f>_xlfn.XLOOKUP('Project OPEX'!A33, 'Project Master Sheet'!A:A, 'Project Master Sheet'!I:I)</f>
        <v>#N/A</v>
      </c>
      <c r="E33" s="743" t="e">
        <f>IF($B33='Project List References'!$B$3, _xlfn.IFNA(_xlfn.XLOOKUP(E$2-$C33, 'GEN-CCGT'!$D$7:$AW$7, 'GEN-CCGT'!$D$51:$AW$51), 0), IF($B33='Project List References'!$B$4, _xlfn.IFNA(_xlfn.XLOOKUP(E$2-$C33, 'GEN-SOLAR'!$D$7:$AW$7, 'GEN-SOLAR'!$D$51:$AW$51), 0), IF($B33='Project List References'!$B$5, _xlfn.IFNA(_xlfn.XLOOKUP(E$2-$C33, 'GEN-BESS'!$D$7:$AW$7, 'GEN-BESS'!$D$51:$AW$51), 0), IF($B33='Project List References'!$B$6, _xlfn.IFNA(_xlfn.XLOOKUP(E$2-$C33, 'GEN-CARBON'!$D$7:$AW$7, 'GEN-CARBON'!$D$51:$AW$51), 0), IF($B33='Project List References'!$B$7, _xlfn.IFNA(_xlfn.XLOOKUP(E$2-$C33, 'SENS Coal'!$D$7:$AW$7, 'SENS Coal'!$D$51:$AW$51), 0), IF($B33='Project List References'!$B$8, _xlfn.IFNA(_xlfn.XLOOKUP(E$2-$C33,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F33" s="743" t="e">
        <f>IF($B33='Project List References'!$B$3, _xlfn.IFNA(_xlfn.XLOOKUP(F$2-$C33, 'GEN-CCGT'!$D$7:$AW$7, 'GEN-CCGT'!$D$51:$AW$51), 0), IF($B33='Project List References'!$B$4, _xlfn.IFNA(_xlfn.XLOOKUP(F$2-$C33, 'GEN-SOLAR'!$D$7:$AW$7, 'GEN-SOLAR'!$D$51:$AW$51), 0), IF($B33='Project List References'!$B$5, _xlfn.IFNA(_xlfn.XLOOKUP(F$2-$C33, 'GEN-BESS'!$D$7:$AW$7, 'GEN-BESS'!$D$51:$AW$51), 0), IF($B33='Project List References'!$B$6, _xlfn.IFNA(_xlfn.XLOOKUP(F$2-$C33, 'GEN-CARBON'!$D$7:$AW$7, 'GEN-CARBON'!$D$51:$AW$51), 0), IF($B33='Project List References'!$B$7, _xlfn.IFNA(_xlfn.XLOOKUP(F$2-$C33, 'SENS Coal'!$D$7:$AW$7, 'SENS Coal'!$D$51:$AW$51), 0), IF($B33='Project List References'!$B$8, _xlfn.IFNA(_xlfn.XLOOKUP(F$2-$C33,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G33" s="743" t="e">
        <f>IF($B33='Project List References'!$B$3, _xlfn.IFNA(_xlfn.XLOOKUP(G$2-$C33, 'GEN-CCGT'!$D$7:$AW$7, 'GEN-CCGT'!$D$51:$AW$51), 0), IF($B33='Project List References'!$B$4, _xlfn.IFNA(_xlfn.XLOOKUP(G$2-$C33, 'GEN-SOLAR'!$D$7:$AW$7, 'GEN-SOLAR'!$D$51:$AW$51), 0), IF($B33='Project List References'!$B$5, _xlfn.IFNA(_xlfn.XLOOKUP(G$2-$C33, 'GEN-BESS'!$D$7:$AW$7, 'GEN-BESS'!$D$51:$AW$51), 0), IF($B33='Project List References'!$B$6, _xlfn.IFNA(_xlfn.XLOOKUP(G$2-$C33, 'GEN-CARBON'!$D$7:$AW$7, 'GEN-CARBON'!$D$51:$AW$51), 0), IF($B33='Project List References'!$B$7, _xlfn.IFNA(_xlfn.XLOOKUP(G$2-$C33, 'SENS Coal'!$D$7:$AW$7, 'SENS Coal'!$D$51:$AW$51), 0), IF($B33='Project List References'!$B$8, _xlfn.IFNA(_xlfn.XLOOKUP(G$2-$C33,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H33" s="743" t="e">
        <f>IF($B33='Project List References'!$B$3, _xlfn.IFNA(_xlfn.XLOOKUP(H$2-$C33, 'GEN-CCGT'!$D$7:$AW$7, 'GEN-CCGT'!$D$51:$AW$51), 0), IF($B33='Project List References'!$B$4, _xlfn.IFNA(_xlfn.XLOOKUP(H$2-$C33, 'GEN-SOLAR'!$D$7:$AW$7, 'GEN-SOLAR'!$D$51:$AW$51), 0), IF($B33='Project List References'!$B$5, _xlfn.IFNA(_xlfn.XLOOKUP(H$2-$C33, 'GEN-BESS'!$D$7:$AW$7, 'GEN-BESS'!$D$51:$AW$51), 0), IF($B33='Project List References'!$B$6, _xlfn.IFNA(_xlfn.XLOOKUP(H$2-$C33, 'GEN-CARBON'!$D$7:$AW$7, 'GEN-CARBON'!$D$51:$AW$51), 0), IF($B33='Project List References'!$B$7, _xlfn.IFNA(_xlfn.XLOOKUP(H$2-$C33, 'SENS Coal'!$D$7:$AW$7, 'SENS Coal'!$D$51:$AW$51), 0), IF($B33='Project List References'!$B$8, _xlfn.IFNA(_xlfn.XLOOKUP(H$2-$C33,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I33" s="743" t="e">
        <f>IF($B33='Project List References'!$B$3, _xlfn.IFNA(_xlfn.XLOOKUP(I$2-$C33, 'GEN-CCGT'!$D$7:$AW$7, 'GEN-CCGT'!$D$51:$AW$51), 0), IF($B33='Project List References'!$B$4, _xlfn.IFNA(_xlfn.XLOOKUP(I$2-$C33, 'GEN-SOLAR'!$D$7:$AW$7, 'GEN-SOLAR'!$D$51:$AW$51), 0), IF($B33='Project List References'!$B$5, _xlfn.IFNA(_xlfn.XLOOKUP(I$2-$C33, 'GEN-BESS'!$D$7:$AW$7, 'GEN-BESS'!$D$51:$AW$51), 0), IF($B33='Project List References'!$B$6, _xlfn.IFNA(_xlfn.XLOOKUP(I$2-$C33, 'GEN-CARBON'!$D$7:$AW$7, 'GEN-CARBON'!$D$51:$AW$51), 0), IF($B33='Project List References'!$B$7, _xlfn.IFNA(_xlfn.XLOOKUP(I$2-$C33, 'SENS Coal'!$D$7:$AW$7, 'SENS Coal'!$D$51:$AW$51), 0), IF($B33='Project List References'!$B$8, _xlfn.IFNA(_xlfn.XLOOKUP(I$2-$C33,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J33" s="743" t="e">
        <f>IF($B33='Project List References'!$B$3, _xlfn.IFNA(_xlfn.XLOOKUP(J$2-$C33, 'GEN-CCGT'!$D$7:$AW$7, 'GEN-CCGT'!$D$51:$AW$51), 0), IF($B33='Project List References'!$B$4, _xlfn.IFNA(_xlfn.XLOOKUP(J$2-$C33, 'GEN-SOLAR'!$D$7:$AW$7, 'GEN-SOLAR'!$D$51:$AW$51), 0), IF($B33='Project List References'!$B$5, _xlfn.IFNA(_xlfn.XLOOKUP(J$2-$C33, 'GEN-BESS'!$D$7:$AW$7, 'GEN-BESS'!$D$51:$AW$51), 0), IF($B33='Project List References'!$B$6, _xlfn.IFNA(_xlfn.XLOOKUP(J$2-$C33, 'GEN-CARBON'!$D$7:$AW$7, 'GEN-CARBON'!$D$51:$AW$51), 0), IF($B33='Project List References'!$B$7, _xlfn.IFNA(_xlfn.XLOOKUP(J$2-$C33, 'SENS Coal'!$D$7:$AW$7, 'SENS Coal'!$D$51:$AW$51), 0), IF($B33='Project List References'!$B$8, _xlfn.IFNA(_xlfn.XLOOKUP(J$2-$C33,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K33" s="743" t="e">
        <f>IF($B33='Project List References'!$B$3, _xlfn.IFNA(_xlfn.XLOOKUP(K$2-$C33, 'GEN-CCGT'!$D$7:$AW$7, 'GEN-CCGT'!$D$51:$AW$51), 0), IF($B33='Project List References'!$B$4, _xlfn.IFNA(_xlfn.XLOOKUP(K$2-$C33, 'GEN-SOLAR'!$D$7:$AW$7, 'GEN-SOLAR'!$D$51:$AW$51), 0), IF($B33='Project List References'!$B$5, _xlfn.IFNA(_xlfn.XLOOKUP(K$2-$C33, 'GEN-BESS'!$D$7:$AW$7, 'GEN-BESS'!$D$51:$AW$51), 0), IF($B33='Project List References'!$B$6, _xlfn.IFNA(_xlfn.XLOOKUP(K$2-$C33, 'GEN-CARBON'!$D$7:$AW$7, 'GEN-CARBON'!$D$51:$AW$51), 0), IF($B33='Project List References'!$B$7, _xlfn.IFNA(_xlfn.XLOOKUP(K$2-$C33, 'SENS Coal'!$D$7:$AW$7, 'SENS Coal'!$D$51:$AW$51), 0), IF($B33='Project List References'!$B$8, _xlfn.IFNA(_xlfn.XLOOKUP(K$2-$C33,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L33" s="743" t="e">
        <f>IF($B33='Project List References'!$B$3, _xlfn.IFNA(_xlfn.XLOOKUP(L$2-$C33, 'GEN-CCGT'!$D$7:$AW$7, 'GEN-CCGT'!$D$51:$AW$51), 0), IF($B33='Project List References'!$B$4, _xlfn.IFNA(_xlfn.XLOOKUP(L$2-$C33, 'GEN-SOLAR'!$D$7:$AW$7, 'GEN-SOLAR'!$D$51:$AW$51), 0), IF($B33='Project List References'!$B$5, _xlfn.IFNA(_xlfn.XLOOKUP(L$2-$C33, 'GEN-BESS'!$D$7:$AW$7, 'GEN-BESS'!$D$51:$AW$51), 0), IF($B33='Project List References'!$B$6, _xlfn.IFNA(_xlfn.XLOOKUP(L$2-$C33, 'GEN-CARBON'!$D$7:$AW$7, 'GEN-CARBON'!$D$51:$AW$51), 0), IF($B33='Project List References'!$B$7, _xlfn.IFNA(_xlfn.XLOOKUP(L$2-$C33, 'SENS Coal'!$D$7:$AW$7, 'SENS Coal'!$D$51:$AW$51), 0), IF($B33='Project List References'!$B$8, _xlfn.IFNA(_xlfn.XLOOKUP(L$2-$C33,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M33" s="743" t="e">
        <f>IF($B33='Project List References'!$B$3, _xlfn.IFNA(_xlfn.XLOOKUP(M$2-$C33, 'GEN-CCGT'!$D$7:$AW$7, 'GEN-CCGT'!$D$51:$AW$51), 0), IF($B33='Project List References'!$B$4, _xlfn.IFNA(_xlfn.XLOOKUP(M$2-$C33, 'GEN-SOLAR'!$D$7:$AW$7, 'GEN-SOLAR'!$D$51:$AW$51), 0), IF($B33='Project List References'!$B$5, _xlfn.IFNA(_xlfn.XLOOKUP(M$2-$C33, 'GEN-BESS'!$D$7:$AW$7, 'GEN-BESS'!$D$51:$AW$51), 0), IF($B33='Project List References'!$B$6, _xlfn.IFNA(_xlfn.XLOOKUP(M$2-$C33, 'GEN-CARBON'!$D$7:$AW$7, 'GEN-CARBON'!$D$51:$AW$51), 0), IF($B33='Project List References'!$B$7, _xlfn.IFNA(_xlfn.XLOOKUP(M$2-$C33, 'SENS Coal'!$D$7:$AW$7, 'SENS Coal'!$D$51:$AW$51), 0), IF($B33='Project List References'!$B$8, _xlfn.IFNA(_xlfn.XLOOKUP(M$2-$C33,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N33" s="743" t="e">
        <f>IF($B33='Project List References'!$B$3, _xlfn.IFNA(_xlfn.XLOOKUP(N$2-$C33, 'GEN-CCGT'!$D$7:$AW$7, 'GEN-CCGT'!$D$51:$AW$51), 0), IF($B33='Project List References'!$B$4, _xlfn.IFNA(_xlfn.XLOOKUP(N$2-$C33, 'GEN-SOLAR'!$D$7:$AW$7, 'GEN-SOLAR'!$D$51:$AW$51), 0), IF($B33='Project List References'!$B$5, _xlfn.IFNA(_xlfn.XLOOKUP(N$2-$C33, 'GEN-BESS'!$D$7:$AW$7, 'GEN-BESS'!$D$51:$AW$51), 0), IF($B33='Project List References'!$B$6, _xlfn.IFNA(_xlfn.XLOOKUP(N$2-$C33, 'GEN-CARBON'!$D$7:$AW$7, 'GEN-CARBON'!$D$51:$AW$51), 0), IF($B33='Project List References'!$B$7, _xlfn.IFNA(_xlfn.XLOOKUP(N$2-$C33, 'SENS Coal'!$D$7:$AW$7, 'SENS Coal'!$D$51:$AW$51), 0), IF($B33='Project List References'!$B$8, _xlfn.IFNA(_xlfn.XLOOKUP(N$2-$C33,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O33" s="743" t="e">
        <f>IF($B33='Project List References'!$B$3, _xlfn.IFNA(_xlfn.XLOOKUP(O$2-$C33, 'GEN-CCGT'!$D$7:$AW$7, 'GEN-CCGT'!$D$51:$AW$51), 0), IF($B33='Project List References'!$B$4, _xlfn.IFNA(_xlfn.XLOOKUP(O$2-$C33, 'GEN-SOLAR'!$D$7:$AW$7, 'GEN-SOLAR'!$D$51:$AW$51), 0), IF($B33='Project List References'!$B$5, _xlfn.IFNA(_xlfn.XLOOKUP(O$2-$C33, 'GEN-BESS'!$D$7:$AW$7, 'GEN-BESS'!$D$51:$AW$51), 0), IF($B33='Project List References'!$B$6, _xlfn.IFNA(_xlfn.XLOOKUP(O$2-$C33, 'GEN-CARBON'!$D$7:$AW$7, 'GEN-CARBON'!$D$51:$AW$51), 0), IF($B33='Project List References'!$B$7, _xlfn.IFNA(_xlfn.XLOOKUP(O$2-$C33, 'SENS Coal'!$D$7:$AW$7, 'SENS Coal'!$D$51:$AW$51), 0), IF($B33='Project List References'!$B$8, _xlfn.IFNA(_xlfn.XLOOKUP(O$2-$C33,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P33" s="743" t="e">
        <f>IF($B33='Project List References'!$B$3, _xlfn.IFNA(_xlfn.XLOOKUP(P$2-$C33, 'GEN-CCGT'!$D$7:$AW$7, 'GEN-CCGT'!$D$51:$AW$51), 0), IF($B33='Project List References'!$B$4, _xlfn.IFNA(_xlfn.XLOOKUP(P$2-$C33, 'GEN-SOLAR'!$D$7:$AW$7, 'GEN-SOLAR'!$D$51:$AW$51), 0), IF($B33='Project List References'!$B$5, _xlfn.IFNA(_xlfn.XLOOKUP(P$2-$C33, 'GEN-BESS'!$D$7:$AW$7, 'GEN-BESS'!$D$51:$AW$51), 0), IF($B33='Project List References'!$B$6, _xlfn.IFNA(_xlfn.XLOOKUP(P$2-$C33, 'GEN-CARBON'!$D$7:$AW$7, 'GEN-CARBON'!$D$51:$AW$51), 0), IF($B33='Project List References'!$B$7, _xlfn.IFNA(_xlfn.XLOOKUP(P$2-$C33, 'SENS Coal'!$D$7:$AW$7, 'SENS Coal'!$D$51:$AW$51), 0), IF($B33='Project List References'!$B$8, _xlfn.IFNA(_xlfn.XLOOKUP(P$2-$C33,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Q33" s="743" t="e">
        <f>IF($B33='Project List References'!$B$3, _xlfn.IFNA(_xlfn.XLOOKUP(Q$2-$C33, 'GEN-CCGT'!$D$7:$AW$7, 'GEN-CCGT'!$D$51:$AW$51), 0), IF($B33='Project List References'!$B$4, _xlfn.IFNA(_xlfn.XLOOKUP(Q$2-$C33, 'GEN-SOLAR'!$D$7:$AW$7, 'GEN-SOLAR'!$D$51:$AW$51), 0), IF($B33='Project List References'!$B$5, _xlfn.IFNA(_xlfn.XLOOKUP(Q$2-$C33, 'GEN-BESS'!$D$7:$AW$7, 'GEN-BESS'!$D$51:$AW$51), 0), IF($B33='Project List References'!$B$6, _xlfn.IFNA(_xlfn.XLOOKUP(Q$2-$C33, 'GEN-CARBON'!$D$7:$AW$7, 'GEN-CARBON'!$D$51:$AW$51), 0), IF($B33='Project List References'!$B$7, _xlfn.IFNA(_xlfn.XLOOKUP(Q$2-$C33, 'SENS Coal'!$D$7:$AW$7, 'SENS Coal'!$D$51:$AW$51), 0), IF($B33='Project List References'!$B$8, _xlfn.IFNA(_xlfn.XLOOKUP(Q$2-$C33,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R33" s="743" t="e">
        <f>IF($B33='Project List References'!$B$3, _xlfn.IFNA(_xlfn.XLOOKUP(R$2-$C33, 'GEN-CCGT'!$D$7:$AW$7, 'GEN-CCGT'!$D$51:$AW$51), 0), IF($B33='Project List References'!$B$4, _xlfn.IFNA(_xlfn.XLOOKUP(R$2-$C33, 'GEN-SOLAR'!$D$7:$AW$7, 'GEN-SOLAR'!$D$51:$AW$51), 0), IF($B33='Project List References'!$B$5, _xlfn.IFNA(_xlfn.XLOOKUP(R$2-$C33, 'GEN-BESS'!$D$7:$AW$7, 'GEN-BESS'!$D$51:$AW$51), 0), IF($B33='Project List References'!$B$6, _xlfn.IFNA(_xlfn.XLOOKUP(R$2-$C33, 'GEN-CARBON'!$D$7:$AW$7, 'GEN-CARBON'!$D$51:$AW$51), 0), IF($B33='Project List References'!$B$7, _xlfn.IFNA(_xlfn.XLOOKUP(R$2-$C33, 'SENS Coal'!$D$7:$AW$7, 'SENS Coal'!$D$51:$AW$51), 0), IF($B33='Project List References'!$B$8, _xlfn.IFNA(_xlfn.XLOOKUP(R$2-$C33,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S33" s="743" t="e">
        <f>IF($B33='Project List References'!$B$3, _xlfn.IFNA(_xlfn.XLOOKUP(S$2-$C33, 'GEN-CCGT'!$D$7:$AW$7, 'GEN-CCGT'!$D$51:$AW$51), 0), IF($B33='Project List References'!$B$4, _xlfn.IFNA(_xlfn.XLOOKUP(S$2-$C33, 'GEN-SOLAR'!$D$7:$AW$7, 'GEN-SOLAR'!$D$51:$AW$51), 0), IF($B33='Project List References'!$B$5, _xlfn.IFNA(_xlfn.XLOOKUP(S$2-$C33, 'GEN-BESS'!$D$7:$AW$7, 'GEN-BESS'!$D$51:$AW$51), 0), IF($B33='Project List References'!$B$6, _xlfn.IFNA(_xlfn.XLOOKUP(S$2-$C33, 'GEN-CARBON'!$D$7:$AW$7, 'GEN-CARBON'!$D$51:$AW$51), 0), IF($B33='Project List References'!$B$7, _xlfn.IFNA(_xlfn.XLOOKUP(S$2-$C33, 'SENS Coal'!$D$7:$AW$7, 'SENS Coal'!$D$51:$AW$51), 0), IF($B33='Project List References'!$B$8, _xlfn.IFNA(_xlfn.XLOOKUP(S$2-$C33,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T33" s="743" t="e">
        <f>IF($B33='Project List References'!$B$3, _xlfn.IFNA(_xlfn.XLOOKUP(T$2-$C33, 'GEN-CCGT'!$D$7:$AW$7, 'GEN-CCGT'!$D$51:$AW$51), 0), IF($B33='Project List References'!$B$4, _xlfn.IFNA(_xlfn.XLOOKUP(T$2-$C33, 'GEN-SOLAR'!$D$7:$AW$7, 'GEN-SOLAR'!$D$51:$AW$51), 0), IF($B33='Project List References'!$B$5, _xlfn.IFNA(_xlfn.XLOOKUP(T$2-$C33, 'GEN-BESS'!$D$7:$AW$7, 'GEN-BESS'!$D$51:$AW$51), 0), IF($B33='Project List References'!$B$6, _xlfn.IFNA(_xlfn.XLOOKUP(T$2-$C33, 'GEN-CARBON'!$D$7:$AW$7, 'GEN-CARBON'!$D$51:$AW$51), 0), IF($B33='Project List References'!$B$7, _xlfn.IFNA(_xlfn.XLOOKUP(T$2-$C33, 'SENS Coal'!$D$7:$AW$7, 'SENS Coal'!$D$51:$AW$51), 0), IF($B33='Project List References'!$B$8, _xlfn.IFNA(_xlfn.XLOOKUP(T$2-$C33, 'SENS Tires'!$D$7:$AW$7, 'SENS Tires'!$D$51:$AW$51), 0)))))))/_xlfn.XLOOKUP($B33,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</row>
    <row r="34" spans="1:20">
      <c r="A34" s="655" t="str">
        <f>IF(ISBLANK('Project Master Sheet'!A34)=FALSE, 'Project Master Sheet'!A34, "")</f>
        <v/>
      </c>
      <c r="B34" s="655" t="str">
        <f>_xlfn.IFNA(_xlfn.XLOOKUP(A34, 'Project Master Sheet'!A:A, 'Project Master Sheet'!D:D), "")</f>
        <v/>
      </c>
      <c r="C34" s="655" t="e">
        <f>_xlfn.XLOOKUP('Project OPEX'!A34, 'Project Master Sheet'!A:A, 'Project Master Sheet'!I:I)</f>
        <v>#N/A</v>
      </c>
      <c r="E34" s="743" t="e">
        <f>IF($B34='Project List References'!$B$3, _xlfn.IFNA(_xlfn.XLOOKUP(E$2-$C34, 'GEN-CCGT'!$D$7:$AW$7, 'GEN-CCGT'!$D$51:$AW$51), 0), IF($B34='Project List References'!$B$4, _xlfn.IFNA(_xlfn.XLOOKUP(E$2-$C34, 'GEN-SOLAR'!$D$7:$AW$7, 'GEN-SOLAR'!$D$51:$AW$51), 0), IF($B34='Project List References'!$B$5, _xlfn.IFNA(_xlfn.XLOOKUP(E$2-$C34, 'GEN-BESS'!$D$7:$AW$7, 'GEN-BESS'!$D$51:$AW$51), 0), IF($B34='Project List References'!$B$6, _xlfn.IFNA(_xlfn.XLOOKUP(E$2-$C34, 'GEN-CARBON'!$D$7:$AW$7, 'GEN-CARBON'!$D$51:$AW$51), 0), IF($B34='Project List References'!$B$7, _xlfn.IFNA(_xlfn.XLOOKUP(E$2-$C34, 'SENS Coal'!$D$7:$AW$7, 'SENS Coal'!$D$51:$AW$51), 0), IF($B34='Project List References'!$B$8, _xlfn.IFNA(_xlfn.XLOOKUP(E$2-$C34,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F34" s="743" t="e">
        <f>IF($B34='Project List References'!$B$3, _xlfn.IFNA(_xlfn.XLOOKUP(F$2-$C34, 'GEN-CCGT'!$D$7:$AW$7, 'GEN-CCGT'!$D$51:$AW$51), 0), IF($B34='Project List References'!$B$4, _xlfn.IFNA(_xlfn.XLOOKUP(F$2-$C34, 'GEN-SOLAR'!$D$7:$AW$7, 'GEN-SOLAR'!$D$51:$AW$51), 0), IF($B34='Project List References'!$B$5, _xlfn.IFNA(_xlfn.XLOOKUP(F$2-$C34, 'GEN-BESS'!$D$7:$AW$7, 'GEN-BESS'!$D$51:$AW$51), 0), IF($B34='Project List References'!$B$6, _xlfn.IFNA(_xlfn.XLOOKUP(F$2-$C34, 'GEN-CARBON'!$D$7:$AW$7, 'GEN-CARBON'!$D$51:$AW$51), 0), IF($B34='Project List References'!$B$7, _xlfn.IFNA(_xlfn.XLOOKUP(F$2-$C34, 'SENS Coal'!$D$7:$AW$7, 'SENS Coal'!$D$51:$AW$51), 0), IF($B34='Project List References'!$B$8, _xlfn.IFNA(_xlfn.XLOOKUP(F$2-$C34,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G34" s="743" t="e">
        <f>IF($B34='Project List References'!$B$3, _xlfn.IFNA(_xlfn.XLOOKUP(G$2-$C34, 'GEN-CCGT'!$D$7:$AW$7, 'GEN-CCGT'!$D$51:$AW$51), 0), IF($B34='Project List References'!$B$4, _xlfn.IFNA(_xlfn.XLOOKUP(G$2-$C34, 'GEN-SOLAR'!$D$7:$AW$7, 'GEN-SOLAR'!$D$51:$AW$51), 0), IF($B34='Project List References'!$B$5, _xlfn.IFNA(_xlfn.XLOOKUP(G$2-$C34, 'GEN-BESS'!$D$7:$AW$7, 'GEN-BESS'!$D$51:$AW$51), 0), IF($B34='Project List References'!$B$6, _xlfn.IFNA(_xlfn.XLOOKUP(G$2-$C34, 'GEN-CARBON'!$D$7:$AW$7, 'GEN-CARBON'!$D$51:$AW$51), 0), IF($B34='Project List References'!$B$7, _xlfn.IFNA(_xlfn.XLOOKUP(G$2-$C34, 'SENS Coal'!$D$7:$AW$7, 'SENS Coal'!$D$51:$AW$51), 0), IF($B34='Project List References'!$B$8, _xlfn.IFNA(_xlfn.XLOOKUP(G$2-$C34,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H34" s="743" t="e">
        <f>IF($B34='Project List References'!$B$3, _xlfn.IFNA(_xlfn.XLOOKUP(H$2-$C34, 'GEN-CCGT'!$D$7:$AW$7, 'GEN-CCGT'!$D$51:$AW$51), 0), IF($B34='Project List References'!$B$4, _xlfn.IFNA(_xlfn.XLOOKUP(H$2-$C34, 'GEN-SOLAR'!$D$7:$AW$7, 'GEN-SOLAR'!$D$51:$AW$51), 0), IF($B34='Project List References'!$B$5, _xlfn.IFNA(_xlfn.XLOOKUP(H$2-$C34, 'GEN-BESS'!$D$7:$AW$7, 'GEN-BESS'!$D$51:$AW$51), 0), IF($B34='Project List References'!$B$6, _xlfn.IFNA(_xlfn.XLOOKUP(H$2-$C34, 'GEN-CARBON'!$D$7:$AW$7, 'GEN-CARBON'!$D$51:$AW$51), 0), IF($B34='Project List References'!$B$7, _xlfn.IFNA(_xlfn.XLOOKUP(H$2-$C34, 'SENS Coal'!$D$7:$AW$7, 'SENS Coal'!$D$51:$AW$51), 0), IF($B34='Project List References'!$B$8, _xlfn.IFNA(_xlfn.XLOOKUP(H$2-$C34,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I34" s="743" t="e">
        <f>IF($B34='Project List References'!$B$3, _xlfn.IFNA(_xlfn.XLOOKUP(I$2-$C34, 'GEN-CCGT'!$D$7:$AW$7, 'GEN-CCGT'!$D$51:$AW$51), 0), IF($B34='Project List References'!$B$4, _xlfn.IFNA(_xlfn.XLOOKUP(I$2-$C34, 'GEN-SOLAR'!$D$7:$AW$7, 'GEN-SOLAR'!$D$51:$AW$51), 0), IF($B34='Project List References'!$B$5, _xlfn.IFNA(_xlfn.XLOOKUP(I$2-$C34, 'GEN-BESS'!$D$7:$AW$7, 'GEN-BESS'!$D$51:$AW$51), 0), IF($B34='Project List References'!$B$6, _xlfn.IFNA(_xlfn.XLOOKUP(I$2-$C34, 'GEN-CARBON'!$D$7:$AW$7, 'GEN-CARBON'!$D$51:$AW$51), 0), IF($B34='Project List References'!$B$7, _xlfn.IFNA(_xlfn.XLOOKUP(I$2-$C34, 'SENS Coal'!$D$7:$AW$7, 'SENS Coal'!$D$51:$AW$51), 0), IF($B34='Project List References'!$B$8, _xlfn.IFNA(_xlfn.XLOOKUP(I$2-$C34,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J34" s="743" t="e">
        <f>IF($B34='Project List References'!$B$3, _xlfn.IFNA(_xlfn.XLOOKUP(J$2-$C34, 'GEN-CCGT'!$D$7:$AW$7, 'GEN-CCGT'!$D$51:$AW$51), 0), IF($B34='Project List References'!$B$4, _xlfn.IFNA(_xlfn.XLOOKUP(J$2-$C34, 'GEN-SOLAR'!$D$7:$AW$7, 'GEN-SOLAR'!$D$51:$AW$51), 0), IF($B34='Project List References'!$B$5, _xlfn.IFNA(_xlfn.XLOOKUP(J$2-$C34, 'GEN-BESS'!$D$7:$AW$7, 'GEN-BESS'!$D$51:$AW$51), 0), IF($B34='Project List References'!$B$6, _xlfn.IFNA(_xlfn.XLOOKUP(J$2-$C34, 'GEN-CARBON'!$D$7:$AW$7, 'GEN-CARBON'!$D$51:$AW$51), 0), IF($B34='Project List References'!$B$7, _xlfn.IFNA(_xlfn.XLOOKUP(J$2-$C34, 'SENS Coal'!$D$7:$AW$7, 'SENS Coal'!$D$51:$AW$51), 0), IF($B34='Project List References'!$B$8, _xlfn.IFNA(_xlfn.XLOOKUP(J$2-$C34,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K34" s="743" t="e">
        <f>IF($B34='Project List References'!$B$3, _xlfn.IFNA(_xlfn.XLOOKUP(K$2-$C34, 'GEN-CCGT'!$D$7:$AW$7, 'GEN-CCGT'!$D$51:$AW$51), 0), IF($B34='Project List References'!$B$4, _xlfn.IFNA(_xlfn.XLOOKUP(K$2-$C34, 'GEN-SOLAR'!$D$7:$AW$7, 'GEN-SOLAR'!$D$51:$AW$51), 0), IF($B34='Project List References'!$B$5, _xlfn.IFNA(_xlfn.XLOOKUP(K$2-$C34, 'GEN-BESS'!$D$7:$AW$7, 'GEN-BESS'!$D$51:$AW$51), 0), IF($B34='Project List References'!$B$6, _xlfn.IFNA(_xlfn.XLOOKUP(K$2-$C34, 'GEN-CARBON'!$D$7:$AW$7, 'GEN-CARBON'!$D$51:$AW$51), 0), IF($B34='Project List References'!$B$7, _xlfn.IFNA(_xlfn.XLOOKUP(K$2-$C34, 'SENS Coal'!$D$7:$AW$7, 'SENS Coal'!$D$51:$AW$51), 0), IF($B34='Project List References'!$B$8, _xlfn.IFNA(_xlfn.XLOOKUP(K$2-$C34,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L34" s="743" t="e">
        <f>IF($B34='Project List References'!$B$3, _xlfn.IFNA(_xlfn.XLOOKUP(L$2-$C34, 'GEN-CCGT'!$D$7:$AW$7, 'GEN-CCGT'!$D$51:$AW$51), 0), IF($B34='Project List References'!$B$4, _xlfn.IFNA(_xlfn.XLOOKUP(L$2-$C34, 'GEN-SOLAR'!$D$7:$AW$7, 'GEN-SOLAR'!$D$51:$AW$51), 0), IF($B34='Project List References'!$B$5, _xlfn.IFNA(_xlfn.XLOOKUP(L$2-$C34, 'GEN-BESS'!$D$7:$AW$7, 'GEN-BESS'!$D$51:$AW$51), 0), IF($B34='Project List References'!$B$6, _xlfn.IFNA(_xlfn.XLOOKUP(L$2-$C34, 'GEN-CARBON'!$D$7:$AW$7, 'GEN-CARBON'!$D$51:$AW$51), 0), IF($B34='Project List References'!$B$7, _xlfn.IFNA(_xlfn.XLOOKUP(L$2-$C34, 'SENS Coal'!$D$7:$AW$7, 'SENS Coal'!$D$51:$AW$51), 0), IF($B34='Project List References'!$B$8, _xlfn.IFNA(_xlfn.XLOOKUP(L$2-$C34,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M34" s="743" t="e">
        <f>IF($B34='Project List References'!$B$3, _xlfn.IFNA(_xlfn.XLOOKUP(M$2-$C34, 'GEN-CCGT'!$D$7:$AW$7, 'GEN-CCGT'!$D$51:$AW$51), 0), IF($B34='Project List References'!$B$4, _xlfn.IFNA(_xlfn.XLOOKUP(M$2-$C34, 'GEN-SOLAR'!$D$7:$AW$7, 'GEN-SOLAR'!$D$51:$AW$51), 0), IF($B34='Project List References'!$B$5, _xlfn.IFNA(_xlfn.XLOOKUP(M$2-$C34, 'GEN-BESS'!$D$7:$AW$7, 'GEN-BESS'!$D$51:$AW$51), 0), IF($B34='Project List References'!$B$6, _xlfn.IFNA(_xlfn.XLOOKUP(M$2-$C34, 'GEN-CARBON'!$D$7:$AW$7, 'GEN-CARBON'!$D$51:$AW$51), 0), IF($B34='Project List References'!$B$7, _xlfn.IFNA(_xlfn.XLOOKUP(M$2-$C34, 'SENS Coal'!$D$7:$AW$7, 'SENS Coal'!$D$51:$AW$51), 0), IF($B34='Project List References'!$B$8, _xlfn.IFNA(_xlfn.XLOOKUP(M$2-$C34,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N34" s="743" t="e">
        <f>IF($B34='Project List References'!$B$3, _xlfn.IFNA(_xlfn.XLOOKUP(N$2-$C34, 'GEN-CCGT'!$D$7:$AW$7, 'GEN-CCGT'!$D$51:$AW$51), 0), IF($B34='Project List References'!$B$4, _xlfn.IFNA(_xlfn.XLOOKUP(N$2-$C34, 'GEN-SOLAR'!$D$7:$AW$7, 'GEN-SOLAR'!$D$51:$AW$51), 0), IF($B34='Project List References'!$B$5, _xlfn.IFNA(_xlfn.XLOOKUP(N$2-$C34, 'GEN-BESS'!$D$7:$AW$7, 'GEN-BESS'!$D$51:$AW$51), 0), IF($B34='Project List References'!$B$6, _xlfn.IFNA(_xlfn.XLOOKUP(N$2-$C34, 'GEN-CARBON'!$D$7:$AW$7, 'GEN-CARBON'!$D$51:$AW$51), 0), IF($B34='Project List References'!$B$7, _xlfn.IFNA(_xlfn.XLOOKUP(N$2-$C34, 'SENS Coal'!$D$7:$AW$7, 'SENS Coal'!$D$51:$AW$51), 0), IF($B34='Project List References'!$B$8, _xlfn.IFNA(_xlfn.XLOOKUP(N$2-$C34,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O34" s="743" t="e">
        <f>IF($B34='Project List References'!$B$3, _xlfn.IFNA(_xlfn.XLOOKUP(O$2-$C34, 'GEN-CCGT'!$D$7:$AW$7, 'GEN-CCGT'!$D$51:$AW$51), 0), IF($B34='Project List References'!$B$4, _xlfn.IFNA(_xlfn.XLOOKUP(O$2-$C34, 'GEN-SOLAR'!$D$7:$AW$7, 'GEN-SOLAR'!$D$51:$AW$51), 0), IF($B34='Project List References'!$B$5, _xlfn.IFNA(_xlfn.XLOOKUP(O$2-$C34, 'GEN-BESS'!$D$7:$AW$7, 'GEN-BESS'!$D$51:$AW$51), 0), IF($B34='Project List References'!$B$6, _xlfn.IFNA(_xlfn.XLOOKUP(O$2-$C34, 'GEN-CARBON'!$D$7:$AW$7, 'GEN-CARBON'!$D$51:$AW$51), 0), IF($B34='Project List References'!$B$7, _xlfn.IFNA(_xlfn.XLOOKUP(O$2-$C34, 'SENS Coal'!$D$7:$AW$7, 'SENS Coal'!$D$51:$AW$51), 0), IF($B34='Project List References'!$B$8, _xlfn.IFNA(_xlfn.XLOOKUP(O$2-$C34,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P34" s="743" t="e">
        <f>IF($B34='Project List References'!$B$3, _xlfn.IFNA(_xlfn.XLOOKUP(P$2-$C34, 'GEN-CCGT'!$D$7:$AW$7, 'GEN-CCGT'!$D$51:$AW$51), 0), IF($B34='Project List References'!$B$4, _xlfn.IFNA(_xlfn.XLOOKUP(P$2-$C34, 'GEN-SOLAR'!$D$7:$AW$7, 'GEN-SOLAR'!$D$51:$AW$51), 0), IF($B34='Project List References'!$B$5, _xlfn.IFNA(_xlfn.XLOOKUP(P$2-$C34, 'GEN-BESS'!$D$7:$AW$7, 'GEN-BESS'!$D$51:$AW$51), 0), IF($B34='Project List References'!$B$6, _xlfn.IFNA(_xlfn.XLOOKUP(P$2-$C34, 'GEN-CARBON'!$D$7:$AW$7, 'GEN-CARBON'!$D$51:$AW$51), 0), IF($B34='Project List References'!$B$7, _xlfn.IFNA(_xlfn.XLOOKUP(P$2-$C34, 'SENS Coal'!$D$7:$AW$7, 'SENS Coal'!$D$51:$AW$51), 0), IF($B34='Project List References'!$B$8, _xlfn.IFNA(_xlfn.XLOOKUP(P$2-$C34,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Q34" s="743" t="e">
        <f>IF($B34='Project List References'!$B$3, _xlfn.IFNA(_xlfn.XLOOKUP(Q$2-$C34, 'GEN-CCGT'!$D$7:$AW$7, 'GEN-CCGT'!$D$51:$AW$51), 0), IF($B34='Project List References'!$B$4, _xlfn.IFNA(_xlfn.XLOOKUP(Q$2-$C34, 'GEN-SOLAR'!$D$7:$AW$7, 'GEN-SOLAR'!$D$51:$AW$51), 0), IF($B34='Project List References'!$B$5, _xlfn.IFNA(_xlfn.XLOOKUP(Q$2-$C34, 'GEN-BESS'!$D$7:$AW$7, 'GEN-BESS'!$D$51:$AW$51), 0), IF($B34='Project List References'!$B$6, _xlfn.IFNA(_xlfn.XLOOKUP(Q$2-$C34, 'GEN-CARBON'!$D$7:$AW$7, 'GEN-CARBON'!$D$51:$AW$51), 0), IF($B34='Project List References'!$B$7, _xlfn.IFNA(_xlfn.XLOOKUP(Q$2-$C34, 'SENS Coal'!$D$7:$AW$7, 'SENS Coal'!$D$51:$AW$51), 0), IF($B34='Project List References'!$B$8, _xlfn.IFNA(_xlfn.XLOOKUP(Q$2-$C34,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R34" s="743" t="e">
        <f>IF($B34='Project List References'!$B$3, _xlfn.IFNA(_xlfn.XLOOKUP(R$2-$C34, 'GEN-CCGT'!$D$7:$AW$7, 'GEN-CCGT'!$D$51:$AW$51), 0), IF($B34='Project List References'!$B$4, _xlfn.IFNA(_xlfn.XLOOKUP(R$2-$C34, 'GEN-SOLAR'!$D$7:$AW$7, 'GEN-SOLAR'!$D$51:$AW$51), 0), IF($B34='Project List References'!$B$5, _xlfn.IFNA(_xlfn.XLOOKUP(R$2-$C34, 'GEN-BESS'!$D$7:$AW$7, 'GEN-BESS'!$D$51:$AW$51), 0), IF($B34='Project List References'!$B$6, _xlfn.IFNA(_xlfn.XLOOKUP(R$2-$C34, 'GEN-CARBON'!$D$7:$AW$7, 'GEN-CARBON'!$D$51:$AW$51), 0), IF($B34='Project List References'!$B$7, _xlfn.IFNA(_xlfn.XLOOKUP(R$2-$C34, 'SENS Coal'!$D$7:$AW$7, 'SENS Coal'!$D$51:$AW$51), 0), IF($B34='Project List References'!$B$8, _xlfn.IFNA(_xlfn.XLOOKUP(R$2-$C34,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S34" s="743" t="e">
        <f>IF($B34='Project List References'!$B$3, _xlfn.IFNA(_xlfn.XLOOKUP(S$2-$C34, 'GEN-CCGT'!$D$7:$AW$7, 'GEN-CCGT'!$D$51:$AW$51), 0), IF($B34='Project List References'!$B$4, _xlfn.IFNA(_xlfn.XLOOKUP(S$2-$C34, 'GEN-SOLAR'!$D$7:$AW$7, 'GEN-SOLAR'!$D$51:$AW$51), 0), IF($B34='Project List References'!$B$5, _xlfn.IFNA(_xlfn.XLOOKUP(S$2-$C34, 'GEN-BESS'!$D$7:$AW$7, 'GEN-BESS'!$D$51:$AW$51), 0), IF($B34='Project List References'!$B$6, _xlfn.IFNA(_xlfn.XLOOKUP(S$2-$C34, 'GEN-CARBON'!$D$7:$AW$7, 'GEN-CARBON'!$D$51:$AW$51), 0), IF($B34='Project List References'!$B$7, _xlfn.IFNA(_xlfn.XLOOKUP(S$2-$C34, 'SENS Coal'!$D$7:$AW$7, 'SENS Coal'!$D$51:$AW$51), 0), IF($B34='Project List References'!$B$8, _xlfn.IFNA(_xlfn.XLOOKUP(S$2-$C34,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T34" s="743" t="e">
        <f>IF($B34='Project List References'!$B$3, _xlfn.IFNA(_xlfn.XLOOKUP(T$2-$C34, 'GEN-CCGT'!$D$7:$AW$7, 'GEN-CCGT'!$D$51:$AW$51), 0), IF($B34='Project List References'!$B$4, _xlfn.IFNA(_xlfn.XLOOKUP(T$2-$C34, 'GEN-SOLAR'!$D$7:$AW$7, 'GEN-SOLAR'!$D$51:$AW$51), 0), IF($B34='Project List References'!$B$5, _xlfn.IFNA(_xlfn.XLOOKUP(T$2-$C34, 'GEN-BESS'!$D$7:$AW$7, 'GEN-BESS'!$D$51:$AW$51), 0), IF($B34='Project List References'!$B$6, _xlfn.IFNA(_xlfn.XLOOKUP(T$2-$C34, 'GEN-CARBON'!$D$7:$AW$7, 'GEN-CARBON'!$D$51:$AW$51), 0), IF($B34='Project List References'!$B$7, _xlfn.IFNA(_xlfn.XLOOKUP(T$2-$C34, 'SENS Coal'!$D$7:$AW$7, 'SENS Coal'!$D$51:$AW$51), 0), IF($B34='Project List References'!$B$8, _xlfn.IFNA(_xlfn.XLOOKUP(T$2-$C34, 'SENS Tires'!$D$7:$AW$7, 'SENS Tires'!$D$51:$AW$51), 0)))))))/_xlfn.XLOOKUP($B34,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</row>
    <row r="35" spans="1:20">
      <c r="A35" s="655" t="str">
        <f>IF(ISBLANK('Project Master Sheet'!A35)=FALSE, 'Project Master Sheet'!A35, "")</f>
        <v/>
      </c>
      <c r="B35" s="655" t="str">
        <f>_xlfn.IFNA(_xlfn.XLOOKUP(A35, 'Project Master Sheet'!A:A, 'Project Master Sheet'!D:D), "")</f>
        <v/>
      </c>
      <c r="C35" s="655" t="e">
        <f>_xlfn.XLOOKUP('Project OPEX'!A35, 'Project Master Sheet'!A:A, 'Project Master Sheet'!I:I)</f>
        <v>#N/A</v>
      </c>
      <c r="E35" s="743" t="e">
        <f>IF($B35='Project List References'!$B$3, _xlfn.IFNA(_xlfn.XLOOKUP(E$2-$C35, 'GEN-CCGT'!$D$7:$AW$7, 'GEN-CCGT'!$D$51:$AW$51), 0), IF($B35='Project List References'!$B$4, _xlfn.IFNA(_xlfn.XLOOKUP(E$2-$C35, 'GEN-SOLAR'!$D$7:$AW$7, 'GEN-SOLAR'!$D$51:$AW$51), 0), IF($B35='Project List References'!$B$5, _xlfn.IFNA(_xlfn.XLOOKUP(E$2-$C35, 'GEN-BESS'!$D$7:$AW$7, 'GEN-BESS'!$D$51:$AW$51), 0), IF($B35='Project List References'!$B$6, _xlfn.IFNA(_xlfn.XLOOKUP(E$2-$C35, 'GEN-CARBON'!$D$7:$AW$7, 'GEN-CARBON'!$D$51:$AW$51), 0), IF($B35='Project List References'!$B$7, _xlfn.IFNA(_xlfn.XLOOKUP(E$2-$C35, 'SENS Coal'!$D$7:$AW$7, 'SENS Coal'!$D$51:$AW$51), 0), IF($B35='Project List References'!$B$8, _xlfn.IFNA(_xlfn.XLOOKUP(E$2-$C35,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F35" s="743" t="e">
        <f>IF($B35='Project List References'!$B$3, _xlfn.IFNA(_xlfn.XLOOKUP(F$2-$C35, 'GEN-CCGT'!$D$7:$AW$7, 'GEN-CCGT'!$D$51:$AW$51), 0), IF($B35='Project List References'!$B$4, _xlfn.IFNA(_xlfn.XLOOKUP(F$2-$C35, 'GEN-SOLAR'!$D$7:$AW$7, 'GEN-SOLAR'!$D$51:$AW$51), 0), IF($B35='Project List References'!$B$5, _xlfn.IFNA(_xlfn.XLOOKUP(F$2-$C35, 'GEN-BESS'!$D$7:$AW$7, 'GEN-BESS'!$D$51:$AW$51), 0), IF($B35='Project List References'!$B$6, _xlfn.IFNA(_xlfn.XLOOKUP(F$2-$C35, 'GEN-CARBON'!$D$7:$AW$7, 'GEN-CARBON'!$D$51:$AW$51), 0), IF($B35='Project List References'!$B$7, _xlfn.IFNA(_xlfn.XLOOKUP(F$2-$C35, 'SENS Coal'!$D$7:$AW$7, 'SENS Coal'!$D$51:$AW$51), 0), IF($B35='Project List References'!$B$8, _xlfn.IFNA(_xlfn.XLOOKUP(F$2-$C35,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G35" s="743" t="e">
        <f>IF($B35='Project List References'!$B$3, _xlfn.IFNA(_xlfn.XLOOKUP(G$2-$C35, 'GEN-CCGT'!$D$7:$AW$7, 'GEN-CCGT'!$D$51:$AW$51), 0), IF($B35='Project List References'!$B$4, _xlfn.IFNA(_xlfn.XLOOKUP(G$2-$C35, 'GEN-SOLAR'!$D$7:$AW$7, 'GEN-SOLAR'!$D$51:$AW$51), 0), IF($B35='Project List References'!$B$5, _xlfn.IFNA(_xlfn.XLOOKUP(G$2-$C35, 'GEN-BESS'!$D$7:$AW$7, 'GEN-BESS'!$D$51:$AW$51), 0), IF($B35='Project List References'!$B$6, _xlfn.IFNA(_xlfn.XLOOKUP(G$2-$C35, 'GEN-CARBON'!$D$7:$AW$7, 'GEN-CARBON'!$D$51:$AW$51), 0), IF($B35='Project List References'!$B$7, _xlfn.IFNA(_xlfn.XLOOKUP(G$2-$C35, 'SENS Coal'!$D$7:$AW$7, 'SENS Coal'!$D$51:$AW$51), 0), IF($B35='Project List References'!$B$8, _xlfn.IFNA(_xlfn.XLOOKUP(G$2-$C35,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H35" s="743" t="e">
        <f>IF($B35='Project List References'!$B$3, _xlfn.IFNA(_xlfn.XLOOKUP(H$2-$C35, 'GEN-CCGT'!$D$7:$AW$7, 'GEN-CCGT'!$D$51:$AW$51), 0), IF($B35='Project List References'!$B$4, _xlfn.IFNA(_xlfn.XLOOKUP(H$2-$C35, 'GEN-SOLAR'!$D$7:$AW$7, 'GEN-SOLAR'!$D$51:$AW$51), 0), IF($B35='Project List References'!$B$5, _xlfn.IFNA(_xlfn.XLOOKUP(H$2-$C35, 'GEN-BESS'!$D$7:$AW$7, 'GEN-BESS'!$D$51:$AW$51), 0), IF($B35='Project List References'!$B$6, _xlfn.IFNA(_xlfn.XLOOKUP(H$2-$C35, 'GEN-CARBON'!$D$7:$AW$7, 'GEN-CARBON'!$D$51:$AW$51), 0), IF($B35='Project List References'!$B$7, _xlfn.IFNA(_xlfn.XLOOKUP(H$2-$C35, 'SENS Coal'!$D$7:$AW$7, 'SENS Coal'!$D$51:$AW$51), 0), IF($B35='Project List References'!$B$8, _xlfn.IFNA(_xlfn.XLOOKUP(H$2-$C35,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I35" s="743" t="e">
        <f>IF($B35='Project List References'!$B$3, _xlfn.IFNA(_xlfn.XLOOKUP(I$2-$C35, 'GEN-CCGT'!$D$7:$AW$7, 'GEN-CCGT'!$D$51:$AW$51), 0), IF($B35='Project List References'!$B$4, _xlfn.IFNA(_xlfn.XLOOKUP(I$2-$C35, 'GEN-SOLAR'!$D$7:$AW$7, 'GEN-SOLAR'!$D$51:$AW$51), 0), IF($B35='Project List References'!$B$5, _xlfn.IFNA(_xlfn.XLOOKUP(I$2-$C35, 'GEN-BESS'!$D$7:$AW$7, 'GEN-BESS'!$D$51:$AW$51), 0), IF($B35='Project List References'!$B$6, _xlfn.IFNA(_xlfn.XLOOKUP(I$2-$C35, 'GEN-CARBON'!$D$7:$AW$7, 'GEN-CARBON'!$D$51:$AW$51), 0), IF($B35='Project List References'!$B$7, _xlfn.IFNA(_xlfn.XLOOKUP(I$2-$C35, 'SENS Coal'!$D$7:$AW$7, 'SENS Coal'!$D$51:$AW$51), 0), IF($B35='Project List References'!$B$8, _xlfn.IFNA(_xlfn.XLOOKUP(I$2-$C35,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J35" s="743" t="e">
        <f>IF($B35='Project List References'!$B$3, _xlfn.IFNA(_xlfn.XLOOKUP(J$2-$C35, 'GEN-CCGT'!$D$7:$AW$7, 'GEN-CCGT'!$D$51:$AW$51), 0), IF($B35='Project List References'!$B$4, _xlfn.IFNA(_xlfn.XLOOKUP(J$2-$C35, 'GEN-SOLAR'!$D$7:$AW$7, 'GEN-SOLAR'!$D$51:$AW$51), 0), IF($B35='Project List References'!$B$5, _xlfn.IFNA(_xlfn.XLOOKUP(J$2-$C35, 'GEN-BESS'!$D$7:$AW$7, 'GEN-BESS'!$D$51:$AW$51), 0), IF($B35='Project List References'!$B$6, _xlfn.IFNA(_xlfn.XLOOKUP(J$2-$C35, 'GEN-CARBON'!$D$7:$AW$7, 'GEN-CARBON'!$D$51:$AW$51), 0), IF($B35='Project List References'!$B$7, _xlfn.IFNA(_xlfn.XLOOKUP(J$2-$C35, 'SENS Coal'!$D$7:$AW$7, 'SENS Coal'!$D$51:$AW$51), 0), IF($B35='Project List References'!$B$8, _xlfn.IFNA(_xlfn.XLOOKUP(J$2-$C35,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K35" s="743" t="e">
        <f>IF($B35='Project List References'!$B$3, _xlfn.IFNA(_xlfn.XLOOKUP(K$2-$C35, 'GEN-CCGT'!$D$7:$AW$7, 'GEN-CCGT'!$D$51:$AW$51), 0), IF($B35='Project List References'!$B$4, _xlfn.IFNA(_xlfn.XLOOKUP(K$2-$C35, 'GEN-SOLAR'!$D$7:$AW$7, 'GEN-SOLAR'!$D$51:$AW$51), 0), IF($B35='Project List References'!$B$5, _xlfn.IFNA(_xlfn.XLOOKUP(K$2-$C35, 'GEN-BESS'!$D$7:$AW$7, 'GEN-BESS'!$D$51:$AW$51), 0), IF($B35='Project List References'!$B$6, _xlfn.IFNA(_xlfn.XLOOKUP(K$2-$C35, 'GEN-CARBON'!$D$7:$AW$7, 'GEN-CARBON'!$D$51:$AW$51), 0), IF($B35='Project List References'!$B$7, _xlfn.IFNA(_xlfn.XLOOKUP(K$2-$C35, 'SENS Coal'!$D$7:$AW$7, 'SENS Coal'!$D$51:$AW$51), 0), IF($B35='Project List References'!$B$8, _xlfn.IFNA(_xlfn.XLOOKUP(K$2-$C35,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L35" s="743" t="e">
        <f>IF($B35='Project List References'!$B$3, _xlfn.IFNA(_xlfn.XLOOKUP(L$2-$C35, 'GEN-CCGT'!$D$7:$AW$7, 'GEN-CCGT'!$D$51:$AW$51), 0), IF($B35='Project List References'!$B$4, _xlfn.IFNA(_xlfn.XLOOKUP(L$2-$C35, 'GEN-SOLAR'!$D$7:$AW$7, 'GEN-SOLAR'!$D$51:$AW$51), 0), IF($B35='Project List References'!$B$5, _xlfn.IFNA(_xlfn.XLOOKUP(L$2-$C35, 'GEN-BESS'!$D$7:$AW$7, 'GEN-BESS'!$D$51:$AW$51), 0), IF($B35='Project List References'!$B$6, _xlfn.IFNA(_xlfn.XLOOKUP(L$2-$C35, 'GEN-CARBON'!$D$7:$AW$7, 'GEN-CARBON'!$D$51:$AW$51), 0), IF($B35='Project List References'!$B$7, _xlfn.IFNA(_xlfn.XLOOKUP(L$2-$C35, 'SENS Coal'!$D$7:$AW$7, 'SENS Coal'!$D$51:$AW$51), 0), IF($B35='Project List References'!$B$8, _xlfn.IFNA(_xlfn.XLOOKUP(L$2-$C35,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M35" s="743" t="e">
        <f>IF($B35='Project List References'!$B$3, _xlfn.IFNA(_xlfn.XLOOKUP(M$2-$C35, 'GEN-CCGT'!$D$7:$AW$7, 'GEN-CCGT'!$D$51:$AW$51), 0), IF($B35='Project List References'!$B$4, _xlfn.IFNA(_xlfn.XLOOKUP(M$2-$C35, 'GEN-SOLAR'!$D$7:$AW$7, 'GEN-SOLAR'!$D$51:$AW$51), 0), IF($B35='Project List References'!$B$5, _xlfn.IFNA(_xlfn.XLOOKUP(M$2-$C35, 'GEN-BESS'!$D$7:$AW$7, 'GEN-BESS'!$D$51:$AW$51), 0), IF($B35='Project List References'!$B$6, _xlfn.IFNA(_xlfn.XLOOKUP(M$2-$C35, 'GEN-CARBON'!$D$7:$AW$7, 'GEN-CARBON'!$D$51:$AW$51), 0), IF($B35='Project List References'!$B$7, _xlfn.IFNA(_xlfn.XLOOKUP(M$2-$C35, 'SENS Coal'!$D$7:$AW$7, 'SENS Coal'!$D$51:$AW$51), 0), IF($B35='Project List References'!$B$8, _xlfn.IFNA(_xlfn.XLOOKUP(M$2-$C35,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N35" s="743" t="e">
        <f>IF($B35='Project List References'!$B$3, _xlfn.IFNA(_xlfn.XLOOKUP(N$2-$C35, 'GEN-CCGT'!$D$7:$AW$7, 'GEN-CCGT'!$D$51:$AW$51), 0), IF($B35='Project List References'!$B$4, _xlfn.IFNA(_xlfn.XLOOKUP(N$2-$C35, 'GEN-SOLAR'!$D$7:$AW$7, 'GEN-SOLAR'!$D$51:$AW$51), 0), IF($B35='Project List References'!$B$5, _xlfn.IFNA(_xlfn.XLOOKUP(N$2-$C35, 'GEN-BESS'!$D$7:$AW$7, 'GEN-BESS'!$D$51:$AW$51), 0), IF($B35='Project List References'!$B$6, _xlfn.IFNA(_xlfn.XLOOKUP(N$2-$C35, 'GEN-CARBON'!$D$7:$AW$7, 'GEN-CARBON'!$D$51:$AW$51), 0), IF($B35='Project List References'!$B$7, _xlfn.IFNA(_xlfn.XLOOKUP(N$2-$C35, 'SENS Coal'!$D$7:$AW$7, 'SENS Coal'!$D$51:$AW$51), 0), IF($B35='Project List References'!$B$8, _xlfn.IFNA(_xlfn.XLOOKUP(N$2-$C35,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O35" s="743" t="e">
        <f>IF($B35='Project List References'!$B$3, _xlfn.IFNA(_xlfn.XLOOKUP(O$2-$C35, 'GEN-CCGT'!$D$7:$AW$7, 'GEN-CCGT'!$D$51:$AW$51), 0), IF($B35='Project List References'!$B$4, _xlfn.IFNA(_xlfn.XLOOKUP(O$2-$C35, 'GEN-SOLAR'!$D$7:$AW$7, 'GEN-SOLAR'!$D$51:$AW$51), 0), IF($B35='Project List References'!$B$5, _xlfn.IFNA(_xlfn.XLOOKUP(O$2-$C35, 'GEN-BESS'!$D$7:$AW$7, 'GEN-BESS'!$D$51:$AW$51), 0), IF($B35='Project List References'!$B$6, _xlfn.IFNA(_xlfn.XLOOKUP(O$2-$C35, 'GEN-CARBON'!$D$7:$AW$7, 'GEN-CARBON'!$D$51:$AW$51), 0), IF($B35='Project List References'!$B$7, _xlfn.IFNA(_xlfn.XLOOKUP(O$2-$C35, 'SENS Coal'!$D$7:$AW$7, 'SENS Coal'!$D$51:$AW$51), 0), IF($B35='Project List References'!$B$8, _xlfn.IFNA(_xlfn.XLOOKUP(O$2-$C35,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P35" s="743" t="e">
        <f>IF($B35='Project List References'!$B$3, _xlfn.IFNA(_xlfn.XLOOKUP(P$2-$C35, 'GEN-CCGT'!$D$7:$AW$7, 'GEN-CCGT'!$D$51:$AW$51), 0), IF($B35='Project List References'!$B$4, _xlfn.IFNA(_xlfn.XLOOKUP(P$2-$C35, 'GEN-SOLAR'!$D$7:$AW$7, 'GEN-SOLAR'!$D$51:$AW$51), 0), IF($B35='Project List References'!$B$5, _xlfn.IFNA(_xlfn.XLOOKUP(P$2-$C35, 'GEN-BESS'!$D$7:$AW$7, 'GEN-BESS'!$D$51:$AW$51), 0), IF($B35='Project List References'!$B$6, _xlfn.IFNA(_xlfn.XLOOKUP(P$2-$C35, 'GEN-CARBON'!$D$7:$AW$7, 'GEN-CARBON'!$D$51:$AW$51), 0), IF($B35='Project List References'!$B$7, _xlfn.IFNA(_xlfn.XLOOKUP(P$2-$C35, 'SENS Coal'!$D$7:$AW$7, 'SENS Coal'!$D$51:$AW$51), 0), IF($B35='Project List References'!$B$8, _xlfn.IFNA(_xlfn.XLOOKUP(P$2-$C35,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Q35" s="743" t="e">
        <f>IF($B35='Project List References'!$B$3, _xlfn.IFNA(_xlfn.XLOOKUP(Q$2-$C35, 'GEN-CCGT'!$D$7:$AW$7, 'GEN-CCGT'!$D$51:$AW$51), 0), IF($B35='Project List References'!$B$4, _xlfn.IFNA(_xlfn.XLOOKUP(Q$2-$C35, 'GEN-SOLAR'!$D$7:$AW$7, 'GEN-SOLAR'!$D$51:$AW$51), 0), IF($B35='Project List References'!$B$5, _xlfn.IFNA(_xlfn.XLOOKUP(Q$2-$C35, 'GEN-BESS'!$D$7:$AW$7, 'GEN-BESS'!$D$51:$AW$51), 0), IF($B35='Project List References'!$B$6, _xlfn.IFNA(_xlfn.XLOOKUP(Q$2-$C35, 'GEN-CARBON'!$D$7:$AW$7, 'GEN-CARBON'!$D$51:$AW$51), 0), IF($B35='Project List References'!$B$7, _xlfn.IFNA(_xlfn.XLOOKUP(Q$2-$C35, 'SENS Coal'!$D$7:$AW$7, 'SENS Coal'!$D$51:$AW$51), 0), IF($B35='Project List References'!$B$8, _xlfn.IFNA(_xlfn.XLOOKUP(Q$2-$C35,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R35" s="743" t="e">
        <f>IF($B35='Project List References'!$B$3, _xlfn.IFNA(_xlfn.XLOOKUP(R$2-$C35, 'GEN-CCGT'!$D$7:$AW$7, 'GEN-CCGT'!$D$51:$AW$51), 0), IF($B35='Project List References'!$B$4, _xlfn.IFNA(_xlfn.XLOOKUP(R$2-$C35, 'GEN-SOLAR'!$D$7:$AW$7, 'GEN-SOLAR'!$D$51:$AW$51), 0), IF($B35='Project List References'!$B$5, _xlfn.IFNA(_xlfn.XLOOKUP(R$2-$C35, 'GEN-BESS'!$D$7:$AW$7, 'GEN-BESS'!$D$51:$AW$51), 0), IF($B35='Project List References'!$B$6, _xlfn.IFNA(_xlfn.XLOOKUP(R$2-$C35, 'GEN-CARBON'!$D$7:$AW$7, 'GEN-CARBON'!$D$51:$AW$51), 0), IF($B35='Project List References'!$B$7, _xlfn.IFNA(_xlfn.XLOOKUP(R$2-$C35, 'SENS Coal'!$D$7:$AW$7, 'SENS Coal'!$D$51:$AW$51), 0), IF($B35='Project List References'!$B$8, _xlfn.IFNA(_xlfn.XLOOKUP(R$2-$C35,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S35" s="743" t="e">
        <f>IF($B35='Project List References'!$B$3, _xlfn.IFNA(_xlfn.XLOOKUP(S$2-$C35, 'GEN-CCGT'!$D$7:$AW$7, 'GEN-CCGT'!$D$51:$AW$51), 0), IF($B35='Project List References'!$B$4, _xlfn.IFNA(_xlfn.XLOOKUP(S$2-$C35, 'GEN-SOLAR'!$D$7:$AW$7, 'GEN-SOLAR'!$D$51:$AW$51), 0), IF($B35='Project List References'!$B$5, _xlfn.IFNA(_xlfn.XLOOKUP(S$2-$C35, 'GEN-BESS'!$D$7:$AW$7, 'GEN-BESS'!$D$51:$AW$51), 0), IF($B35='Project List References'!$B$6, _xlfn.IFNA(_xlfn.XLOOKUP(S$2-$C35, 'GEN-CARBON'!$D$7:$AW$7, 'GEN-CARBON'!$D$51:$AW$51), 0), IF($B35='Project List References'!$B$7, _xlfn.IFNA(_xlfn.XLOOKUP(S$2-$C35, 'SENS Coal'!$D$7:$AW$7, 'SENS Coal'!$D$51:$AW$51), 0), IF($B35='Project List References'!$B$8, _xlfn.IFNA(_xlfn.XLOOKUP(S$2-$C35,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T35" s="743" t="e">
        <f>IF($B35='Project List References'!$B$3, _xlfn.IFNA(_xlfn.XLOOKUP(T$2-$C35, 'GEN-CCGT'!$D$7:$AW$7, 'GEN-CCGT'!$D$51:$AW$51), 0), IF($B35='Project List References'!$B$4, _xlfn.IFNA(_xlfn.XLOOKUP(T$2-$C35, 'GEN-SOLAR'!$D$7:$AW$7, 'GEN-SOLAR'!$D$51:$AW$51), 0), IF($B35='Project List References'!$B$5, _xlfn.IFNA(_xlfn.XLOOKUP(T$2-$C35, 'GEN-BESS'!$D$7:$AW$7, 'GEN-BESS'!$D$51:$AW$51), 0), IF($B35='Project List References'!$B$6, _xlfn.IFNA(_xlfn.XLOOKUP(T$2-$C35, 'GEN-CARBON'!$D$7:$AW$7, 'GEN-CARBON'!$D$51:$AW$51), 0), IF($B35='Project List References'!$B$7, _xlfn.IFNA(_xlfn.XLOOKUP(T$2-$C35, 'SENS Coal'!$D$7:$AW$7, 'SENS Coal'!$D$51:$AW$51), 0), IF($B35='Project List References'!$B$8, _xlfn.IFNA(_xlfn.XLOOKUP(T$2-$C35, 'SENS Tires'!$D$7:$AW$7, 'SENS Tires'!$D$51:$AW$51), 0)))))))/_xlfn.XLOOKUP($B35,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</row>
    <row r="36" spans="1:20">
      <c r="A36" s="655" t="str">
        <f>IF(ISBLANK('Project Master Sheet'!A36)=FALSE, 'Project Master Sheet'!A36, "")</f>
        <v/>
      </c>
      <c r="B36" s="655" t="str">
        <f>_xlfn.IFNA(_xlfn.XLOOKUP(A36, 'Project Master Sheet'!A:A, 'Project Master Sheet'!D:D), "")</f>
        <v/>
      </c>
      <c r="C36" s="655" t="e">
        <f>_xlfn.XLOOKUP('Project OPEX'!A36, 'Project Master Sheet'!A:A, 'Project Master Sheet'!I:I)</f>
        <v>#N/A</v>
      </c>
      <c r="E36" s="743" t="e">
        <f>IF($B36='Project List References'!$B$3, _xlfn.IFNA(_xlfn.XLOOKUP(E$2-$C36, 'GEN-CCGT'!$D$7:$AW$7, 'GEN-CCGT'!$D$51:$AW$51), 0), IF($B36='Project List References'!$B$4, _xlfn.IFNA(_xlfn.XLOOKUP(E$2-$C36, 'GEN-SOLAR'!$D$7:$AW$7, 'GEN-SOLAR'!$D$51:$AW$51), 0), IF($B36='Project List References'!$B$5, _xlfn.IFNA(_xlfn.XLOOKUP(E$2-$C36, 'GEN-BESS'!$D$7:$AW$7, 'GEN-BESS'!$D$51:$AW$51), 0), IF($B36='Project List References'!$B$6, _xlfn.IFNA(_xlfn.XLOOKUP(E$2-$C36, 'GEN-CARBON'!$D$7:$AW$7, 'GEN-CARBON'!$D$51:$AW$51), 0), IF($B36='Project List References'!$B$7, _xlfn.IFNA(_xlfn.XLOOKUP(E$2-$C36, 'SENS Coal'!$D$7:$AW$7, 'SENS Coal'!$D$51:$AW$51), 0), IF($B36='Project List References'!$B$8, _xlfn.IFNA(_xlfn.XLOOKUP(E$2-$C36,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F36" s="743" t="e">
        <f>IF($B36='Project List References'!$B$3, _xlfn.IFNA(_xlfn.XLOOKUP(F$2-$C36, 'GEN-CCGT'!$D$7:$AW$7, 'GEN-CCGT'!$D$51:$AW$51), 0), IF($B36='Project List References'!$B$4, _xlfn.IFNA(_xlfn.XLOOKUP(F$2-$C36, 'GEN-SOLAR'!$D$7:$AW$7, 'GEN-SOLAR'!$D$51:$AW$51), 0), IF($B36='Project List References'!$B$5, _xlfn.IFNA(_xlfn.XLOOKUP(F$2-$C36, 'GEN-BESS'!$D$7:$AW$7, 'GEN-BESS'!$D$51:$AW$51), 0), IF($B36='Project List References'!$B$6, _xlfn.IFNA(_xlfn.XLOOKUP(F$2-$C36, 'GEN-CARBON'!$D$7:$AW$7, 'GEN-CARBON'!$D$51:$AW$51), 0), IF($B36='Project List References'!$B$7, _xlfn.IFNA(_xlfn.XLOOKUP(F$2-$C36, 'SENS Coal'!$D$7:$AW$7, 'SENS Coal'!$D$51:$AW$51), 0), IF($B36='Project List References'!$B$8, _xlfn.IFNA(_xlfn.XLOOKUP(F$2-$C36,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G36" s="743" t="e">
        <f>IF($B36='Project List References'!$B$3, _xlfn.IFNA(_xlfn.XLOOKUP(G$2-$C36, 'GEN-CCGT'!$D$7:$AW$7, 'GEN-CCGT'!$D$51:$AW$51), 0), IF($B36='Project List References'!$B$4, _xlfn.IFNA(_xlfn.XLOOKUP(G$2-$C36, 'GEN-SOLAR'!$D$7:$AW$7, 'GEN-SOLAR'!$D$51:$AW$51), 0), IF($B36='Project List References'!$B$5, _xlfn.IFNA(_xlfn.XLOOKUP(G$2-$C36, 'GEN-BESS'!$D$7:$AW$7, 'GEN-BESS'!$D$51:$AW$51), 0), IF($B36='Project List References'!$B$6, _xlfn.IFNA(_xlfn.XLOOKUP(G$2-$C36, 'GEN-CARBON'!$D$7:$AW$7, 'GEN-CARBON'!$D$51:$AW$51), 0), IF($B36='Project List References'!$B$7, _xlfn.IFNA(_xlfn.XLOOKUP(G$2-$C36, 'SENS Coal'!$D$7:$AW$7, 'SENS Coal'!$D$51:$AW$51), 0), IF($B36='Project List References'!$B$8, _xlfn.IFNA(_xlfn.XLOOKUP(G$2-$C36,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H36" s="743" t="e">
        <f>IF($B36='Project List References'!$B$3, _xlfn.IFNA(_xlfn.XLOOKUP(H$2-$C36, 'GEN-CCGT'!$D$7:$AW$7, 'GEN-CCGT'!$D$51:$AW$51), 0), IF($B36='Project List References'!$B$4, _xlfn.IFNA(_xlfn.XLOOKUP(H$2-$C36, 'GEN-SOLAR'!$D$7:$AW$7, 'GEN-SOLAR'!$D$51:$AW$51), 0), IF($B36='Project List References'!$B$5, _xlfn.IFNA(_xlfn.XLOOKUP(H$2-$C36, 'GEN-BESS'!$D$7:$AW$7, 'GEN-BESS'!$D$51:$AW$51), 0), IF($B36='Project List References'!$B$6, _xlfn.IFNA(_xlfn.XLOOKUP(H$2-$C36, 'GEN-CARBON'!$D$7:$AW$7, 'GEN-CARBON'!$D$51:$AW$51), 0), IF($B36='Project List References'!$B$7, _xlfn.IFNA(_xlfn.XLOOKUP(H$2-$C36, 'SENS Coal'!$D$7:$AW$7, 'SENS Coal'!$D$51:$AW$51), 0), IF($B36='Project List References'!$B$8, _xlfn.IFNA(_xlfn.XLOOKUP(H$2-$C36,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I36" s="743" t="e">
        <f>IF($B36='Project List References'!$B$3, _xlfn.IFNA(_xlfn.XLOOKUP(I$2-$C36, 'GEN-CCGT'!$D$7:$AW$7, 'GEN-CCGT'!$D$51:$AW$51), 0), IF($B36='Project List References'!$B$4, _xlfn.IFNA(_xlfn.XLOOKUP(I$2-$C36, 'GEN-SOLAR'!$D$7:$AW$7, 'GEN-SOLAR'!$D$51:$AW$51), 0), IF($B36='Project List References'!$B$5, _xlfn.IFNA(_xlfn.XLOOKUP(I$2-$C36, 'GEN-BESS'!$D$7:$AW$7, 'GEN-BESS'!$D$51:$AW$51), 0), IF($B36='Project List References'!$B$6, _xlfn.IFNA(_xlfn.XLOOKUP(I$2-$C36, 'GEN-CARBON'!$D$7:$AW$7, 'GEN-CARBON'!$D$51:$AW$51), 0), IF($B36='Project List References'!$B$7, _xlfn.IFNA(_xlfn.XLOOKUP(I$2-$C36, 'SENS Coal'!$D$7:$AW$7, 'SENS Coal'!$D$51:$AW$51), 0), IF($B36='Project List References'!$B$8, _xlfn.IFNA(_xlfn.XLOOKUP(I$2-$C36,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J36" s="743" t="e">
        <f>IF($B36='Project List References'!$B$3, _xlfn.IFNA(_xlfn.XLOOKUP(J$2-$C36, 'GEN-CCGT'!$D$7:$AW$7, 'GEN-CCGT'!$D$51:$AW$51), 0), IF($B36='Project List References'!$B$4, _xlfn.IFNA(_xlfn.XLOOKUP(J$2-$C36, 'GEN-SOLAR'!$D$7:$AW$7, 'GEN-SOLAR'!$D$51:$AW$51), 0), IF($B36='Project List References'!$B$5, _xlfn.IFNA(_xlfn.XLOOKUP(J$2-$C36, 'GEN-BESS'!$D$7:$AW$7, 'GEN-BESS'!$D$51:$AW$51), 0), IF($B36='Project List References'!$B$6, _xlfn.IFNA(_xlfn.XLOOKUP(J$2-$C36, 'GEN-CARBON'!$D$7:$AW$7, 'GEN-CARBON'!$D$51:$AW$51), 0), IF($B36='Project List References'!$B$7, _xlfn.IFNA(_xlfn.XLOOKUP(J$2-$C36, 'SENS Coal'!$D$7:$AW$7, 'SENS Coal'!$D$51:$AW$51), 0), IF($B36='Project List References'!$B$8, _xlfn.IFNA(_xlfn.XLOOKUP(J$2-$C36,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K36" s="743" t="e">
        <f>IF($B36='Project List References'!$B$3, _xlfn.IFNA(_xlfn.XLOOKUP(K$2-$C36, 'GEN-CCGT'!$D$7:$AW$7, 'GEN-CCGT'!$D$51:$AW$51), 0), IF($B36='Project List References'!$B$4, _xlfn.IFNA(_xlfn.XLOOKUP(K$2-$C36, 'GEN-SOLAR'!$D$7:$AW$7, 'GEN-SOLAR'!$D$51:$AW$51), 0), IF($B36='Project List References'!$B$5, _xlfn.IFNA(_xlfn.XLOOKUP(K$2-$C36, 'GEN-BESS'!$D$7:$AW$7, 'GEN-BESS'!$D$51:$AW$51), 0), IF($B36='Project List References'!$B$6, _xlfn.IFNA(_xlfn.XLOOKUP(K$2-$C36, 'GEN-CARBON'!$D$7:$AW$7, 'GEN-CARBON'!$D$51:$AW$51), 0), IF($B36='Project List References'!$B$7, _xlfn.IFNA(_xlfn.XLOOKUP(K$2-$C36, 'SENS Coal'!$D$7:$AW$7, 'SENS Coal'!$D$51:$AW$51), 0), IF($B36='Project List References'!$B$8, _xlfn.IFNA(_xlfn.XLOOKUP(K$2-$C36,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L36" s="743" t="e">
        <f>IF($B36='Project List References'!$B$3, _xlfn.IFNA(_xlfn.XLOOKUP(L$2-$C36, 'GEN-CCGT'!$D$7:$AW$7, 'GEN-CCGT'!$D$51:$AW$51), 0), IF($B36='Project List References'!$B$4, _xlfn.IFNA(_xlfn.XLOOKUP(L$2-$C36, 'GEN-SOLAR'!$D$7:$AW$7, 'GEN-SOLAR'!$D$51:$AW$51), 0), IF($B36='Project List References'!$B$5, _xlfn.IFNA(_xlfn.XLOOKUP(L$2-$C36, 'GEN-BESS'!$D$7:$AW$7, 'GEN-BESS'!$D$51:$AW$51), 0), IF($B36='Project List References'!$B$6, _xlfn.IFNA(_xlfn.XLOOKUP(L$2-$C36, 'GEN-CARBON'!$D$7:$AW$7, 'GEN-CARBON'!$D$51:$AW$51), 0), IF($B36='Project List References'!$B$7, _xlfn.IFNA(_xlfn.XLOOKUP(L$2-$C36, 'SENS Coal'!$D$7:$AW$7, 'SENS Coal'!$D$51:$AW$51), 0), IF($B36='Project List References'!$B$8, _xlfn.IFNA(_xlfn.XLOOKUP(L$2-$C36,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M36" s="743" t="e">
        <f>IF($B36='Project List References'!$B$3, _xlfn.IFNA(_xlfn.XLOOKUP(M$2-$C36, 'GEN-CCGT'!$D$7:$AW$7, 'GEN-CCGT'!$D$51:$AW$51), 0), IF($B36='Project List References'!$B$4, _xlfn.IFNA(_xlfn.XLOOKUP(M$2-$C36, 'GEN-SOLAR'!$D$7:$AW$7, 'GEN-SOLAR'!$D$51:$AW$51), 0), IF($B36='Project List References'!$B$5, _xlfn.IFNA(_xlfn.XLOOKUP(M$2-$C36, 'GEN-BESS'!$D$7:$AW$7, 'GEN-BESS'!$D$51:$AW$51), 0), IF($B36='Project List References'!$B$6, _xlfn.IFNA(_xlfn.XLOOKUP(M$2-$C36, 'GEN-CARBON'!$D$7:$AW$7, 'GEN-CARBON'!$D$51:$AW$51), 0), IF($B36='Project List References'!$B$7, _xlfn.IFNA(_xlfn.XLOOKUP(M$2-$C36, 'SENS Coal'!$D$7:$AW$7, 'SENS Coal'!$D$51:$AW$51), 0), IF($B36='Project List References'!$B$8, _xlfn.IFNA(_xlfn.XLOOKUP(M$2-$C36,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N36" s="743" t="e">
        <f>IF($B36='Project List References'!$B$3, _xlfn.IFNA(_xlfn.XLOOKUP(N$2-$C36, 'GEN-CCGT'!$D$7:$AW$7, 'GEN-CCGT'!$D$51:$AW$51), 0), IF($B36='Project List References'!$B$4, _xlfn.IFNA(_xlfn.XLOOKUP(N$2-$C36, 'GEN-SOLAR'!$D$7:$AW$7, 'GEN-SOLAR'!$D$51:$AW$51), 0), IF($B36='Project List References'!$B$5, _xlfn.IFNA(_xlfn.XLOOKUP(N$2-$C36, 'GEN-BESS'!$D$7:$AW$7, 'GEN-BESS'!$D$51:$AW$51), 0), IF($B36='Project List References'!$B$6, _xlfn.IFNA(_xlfn.XLOOKUP(N$2-$C36, 'GEN-CARBON'!$D$7:$AW$7, 'GEN-CARBON'!$D$51:$AW$51), 0), IF($B36='Project List References'!$B$7, _xlfn.IFNA(_xlfn.XLOOKUP(N$2-$C36, 'SENS Coal'!$D$7:$AW$7, 'SENS Coal'!$D$51:$AW$51), 0), IF($B36='Project List References'!$B$8, _xlfn.IFNA(_xlfn.XLOOKUP(N$2-$C36,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O36" s="743" t="e">
        <f>IF($B36='Project List References'!$B$3, _xlfn.IFNA(_xlfn.XLOOKUP(O$2-$C36, 'GEN-CCGT'!$D$7:$AW$7, 'GEN-CCGT'!$D$51:$AW$51), 0), IF($B36='Project List References'!$B$4, _xlfn.IFNA(_xlfn.XLOOKUP(O$2-$C36, 'GEN-SOLAR'!$D$7:$AW$7, 'GEN-SOLAR'!$D$51:$AW$51), 0), IF($B36='Project List References'!$B$5, _xlfn.IFNA(_xlfn.XLOOKUP(O$2-$C36, 'GEN-BESS'!$D$7:$AW$7, 'GEN-BESS'!$D$51:$AW$51), 0), IF($B36='Project List References'!$B$6, _xlfn.IFNA(_xlfn.XLOOKUP(O$2-$C36, 'GEN-CARBON'!$D$7:$AW$7, 'GEN-CARBON'!$D$51:$AW$51), 0), IF($B36='Project List References'!$B$7, _xlfn.IFNA(_xlfn.XLOOKUP(O$2-$C36, 'SENS Coal'!$D$7:$AW$7, 'SENS Coal'!$D$51:$AW$51), 0), IF($B36='Project List References'!$B$8, _xlfn.IFNA(_xlfn.XLOOKUP(O$2-$C36,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P36" s="743" t="e">
        <f>IF($B36='Project List References'!$B$3, _xlfn.IFNA(_xlfn.XLOOKUP(P$2-$C36, 'GEN-CCGT'!$D$7:$AW$7, 'GEN-CCGT'!$D$51:$AW$51), 0), IF($B36='Project List References'!$B$4, _xlfn.IFNA(_xlfn.XLOOKUP(P$2-$C36, 'GEN-SOLAR'!$D$7:$AW$7, 'GEN-SOLAR'!$D$51:$AW$51), 0), IF($B36='Project List References'!$B$5, _xlfn.IFNA(_xlfn.XLOOKUP(P$2-$C36, 'GEN-BESS'!$D$7:$AW$7, 'GEN-BESS'!$D$51:$AW$51), 0), IF($B36='Project List References'!$B$6, _xlfn.IFNA(_xlfn.XLOOKUP(P$2-$C36, 'GEN-CARBON'!$D$7:$AW$7, 'GEN-CARBON'!$D$51:$AW$51), 0), IF($B36='Project List References'!$B$7, _xlfn.IFNA(_xlfn.XLOOKUP(P$2-$C36, 'SENS Coal'!$D$7:$AW$7, 'SENS Coal'!$D$51:$AW$51), 0), IF($B36='Project List References'!$B$8, _xlfn.IFNA(_xlfn.XLOOKUP(P$2-$C36,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Q36" s="743" t="e">
        <f>IF($B36='Project List References'!$B$3, _xlfn.IFNA(_xlfn.XLOOKUP(Q$2-$C36, 'GEN-CCGT'!$D$7:$AW$7, 'GEN-CCGT'!$D$51:$AW$51), 0), IF($B36='Project List References'!$B$4, _xlfn.IFNA(_xlfn.XLOOKUP(Q$2-$C36, 'GEN-SOLAR'!$D$7:$AW$7, 'GEN-SOLAR'!$D$51:$AW$51), 0), IF($B36='Project List References'!$B$5, _xlfn.IFNA(_xlfn.XLOOKUP(Q$2-$C36, 'GEN-BESS'!$D$7:$AW$7, 'GEN-BESS'!$D$51:$AW$51), 0), IF($B36='Project List References'!$B$6, _xlfn.IFNA(_xlfn.XLOOKUP(Q$2-$C36, 'GEN-CARBON'!$D$7:$AW$7, 'GEN-CARBON'!$D$51:$AW$51), 0), IF($B36='Project List References'!$B$7, _xlfn.IFNA(_xlfn.XLOOKUP(Q$2-$C36, 'SENS Coal'!$D$7:$AW$7, 'SENS Coal'!$D$51:$AW$51), 0), IF($B36='Project List References'!$B$8, _xlfn.IFNA(_xlfn.XLOOKUP(Q$2-$C36,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R36" s="743" t="e">
        <f>IF($B36='Project List References'!$B$3, _xlfn.IFNA(_xlfn.XLOOKUP(R$2-$C36, 'GEN-CCGT'!$D$7:$AW$7, 'GEN-CCGT'!$D$51:$AW$51), 0), IF($B36='Project List References'!$B$4, _xlfn.IFNA(_xlfn.XLOOKUP(R$2-$C36, 'GEN-SOLAR'!$D$7:$AW$7, 'GEN-SOLAR'!$D$51:$AW$51), 0), IF($B36='Project List References'!$B$5, _xlfn.IFNA(_xlfn.XLOOKUP(R$2-$C36, 'GEN-BESS'!$D$7:$AW$7, 'GEN-BESS'!$D$51:$AW$51), 0), IF($B36='Project List References'!$B$6, _xlfn.IFNA(_xlfn.XLOOKUP(R$2-$C36, 'GEN-CARBON'!$D$7:$AW$7, 'GEN-CARBON'!$D$51:$AW$51), 0), IF($B36='Project List References'!$B$7, _xlfn.IFNA(_xlfn.XLOOKUP(R$2-$C36, 'SENS Coal'!$D$7:$AW$7, 'SENS Coal'!$D$51:$AW$51), 0), IF($B36='Project List References'!$B$8, _xlfn.IFNA(_xlfn.XLOOKUP(R$2-$C36,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S36" s="743" t="e">
        <f>IF($B36='Project List References'!$B$3, _xlfn.IFNA(_xlfn.XLOOKUP(S$2-$C36, 'GEN-CCGT'!$D$7:$AW$7, 'GEN-CCGT'!$D$51:$AW$51), 0), IF($B36='Project List References'!$B$4, _xlfn.IFNA(_xlfn.XLOOKUP(S$2-$C36, 'GEN-SOLAR'!$D$7:$AW$7, 'GEN-SOLAR'!$D$51:$AW$51), 0), IF($B36='Project List References'!$B$5, _xlfn.IFNA(_xlfn.XLOOKUP(S$2-$C36, 'GEN-BESS'!$D$7:$AW$7, 'GEN-BESS'!$D$51:$AW$51), 0), IF($B36='Project List References'!$B$6, _xlfn.IFNA(_xlfn.XLOOKUP(S$2-$C36, 'GEN-CARBON'!$D$7:$AW$7, 'GEN-CARBON'!$D$51:$AW$51), 0), IF($B36='Project List References'!$B$7, _xlfn.IFNA(_xlfn.XLOOKUP(S$2-$C36, 'SENS Coal'!$D$7:$AW$7, 'SENS Coal'!$D$51:$AW$51), 0), IF($B36='Project List References'!$B$8, _xlfn.IFNA(_xlfn.XLOOKUP(S$2-$C36,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T36" s="743" t="e">
        <f>IF($B36='Project List References'!$B$3, _xlfn.IFNA(_xlfn.XLOOKUP(T$2-$C36, 'GEN-CCGT'!$D$7:$AW$7, 'GEN-CCGT'!$D$51:$AW$51), 0), IF($B36='Project List References'!$B$4, _xlfn.IFNA(_xlfn.XLOOKUP(T$2-$C36, 'GEN-SOLAR'!$D$7:$AW$7, 'GEN-SOLAR'!$D$51:$AW$51), 0), IF($B36='Project List References'!$B$5, _xlfn.IFNA(_xlfn.XLOOKUP(T$2-$C36, 'GEN-BESS'!$D$7:$AW$7, 'GEN-BESS'!$D$51:$AW$51), 0), IF($B36='Project List References'!$B$6, _xlfn.IFNA(_xlfn.XLOOKUP(T$2-$C36, 'GEN-CARBON'!$D$7:$AW$7, 'GEN-CARBON'!$D$51:$AW$51), 0), IF($B36='Project List References'!$B$7, _xlfn.IFNA(_xlfn.XLOOKUP(T$2-$C36, 'SENS Coal'!$D$7:$AW$7, 'SENS Coal'!$D$51:$AW$51), 0), IF($B36='Project List References'!$B$8, _xlfn.IFNA(_xlfn.XLOOKUP(T$2-$C36, 'SENS Tires'!$D$7:$AW$7, 'SENS Tires'!$D$51:$AW$51), 0)))))))/_xlfn.XLOOKUP($B36,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</row>
    <row r="37" spans="1:20">
      <c r="A37" s="655" t="str">
        <f>IF(ISBLANK('Project Master Sheet'!A37)=FALSE, 'Project Master Sheet'!A37, "")</f>
        <v/>
      </c>
      <c r="B37" s="655" t="str">
        <f>_xlfn.IFNA(_xlfn.XLOOKUP(A37, 'Project Master Sheet'!A:A, 'Project Master Sheet'!D:D), "")</f>
        <v/>
      </c>
      <c r="C37" s="655" t="e">
        <f>_xlfn.XLOOKUP('Project OPEX'!A37, 'Project Master Sheet'!A:A, 'Project Master Sheet'!I:I)</f>
        <v>#N/A</v>
      </c>
      <c r="E37" s="743" t="e">
        <f>IF($B37='Project List References'!$B$3, _xlfn.IFNA(_xlfn.XLOOKUP(E$2-$C37, 'GEN-CCGT'!$D$7:$AW$7, 'GEN-CCGT'!$D$51:$AW$51), 0), IF($B37='Project List References'!$B$4, _xlfn.IFNA(_xlfn.XLOOKUP(E$2-$C37, 'GEN-SOLAR'!$D$7:$AW$7, 'GEN-SOLAR'!$D$51:$AW$51), 0), IF($B37='Project List References'!$B$5, _xlfn.IFNA(_xlfn.XLOOKUP(E$2-$C37, 'GEN-BESS'!$D$7:$AW$7, 'GEN-BESS'!$D$51:$AW$51), 0), IF($B37='Project List References'!$B$6, _xlfn.IFNA(_xlfn.XLOOKUP(E$2-$C37, 'GEN-CARBON'!$D$7:$AW$7, 'GEN-CARBON'!$D$51:$AW$51), 0), IF($B37='Project List References'!$B$7, _xlfn.IFNA(_xlfn.XLOOKUP(E$2-$C37, 'SENS Coal'!$D$7:$AW$7, 'SENS Coal'!$D$51:$AW$51), 0), IF($B37='Project List References'!$B$8, _xlfn.IFNA(_xlfn.XLOOKUP(E$2-$C37,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F37" s="743" t="e">
        <f>IF($B37='Project List References'!$B$3, _xlfn.IFNA(_xlfn.XLOOKUP(F$2-$C37, 'GEN-CCGT'!$D$7:$AW$7, 'GEN-CCGT'!$D$51:$AW$51), 0), IF($B37='Project List References'!$B$4, _xlfn.IFNA(_xlfn.XLOOKUP(F$2-$C37, 'GEN-SOLAR'!$D$7:$AW$7, 'GEN-SOLAR'!$D$51:$AW$51), 0), IF($B37='Project List References'!$B$5, _xlfn.IFNA(_xlfn.XLOOKUP(F$2-$C37, 'GEN-BESS'!$D$7:$AW$7, 'GEN-BESS'!$D$51:$AW$51), 0), IF($B37='Project List References'!$B$6, _xlfn.IFNA(_xlfn.XLOOKUP(F$2-$C37, 'GEN-CARBON'!$D$7:$AW$7, 'GEN-CARBON'!$D$51:$AW$51), 0), IF($B37='Project List References'!$B$7, _xlfn.IFNA(_xlfn.XLOOKUP(F$2-$C37, 'SENS Coal'!$D$7:$AW$7, 'SENS Coal'!$D$51:$AW$51), 0), IF($B37='Project List References'!$B$8, _xlfn.IFNA(_xlfn.XLOOKUP(F$2-$C37,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G37" s="743" t="e">
        <f>IF($B37='Project List References'!$B$3, _xlfn.IFNA(_xlfn.XLOOKUP(G$2-$C37, 'GEN-CCGT'!$D$7:$AW$7, 'GEN-CCGT'!$D$51:$AW$51), 0), IF($B37='Project List References'!$B$4, _xlfn.IFNA(_xlfn.XLOOKUP(G$2-$C37, 'GEN-SOLAR'!$D$7:$AW$7, 'GEN-SOLAR'!$D$51:$AW$51), 0), IF($B37='Project List References'!$B$5, _xlfn.IFNA(_xlfn.XLOOKUP(G$2-$C37, 'GEN-BESS'!$D$7:$AW$7, 'GEN-BESS'!$D$51:$AW$51), 0), IF($B37='Project List References'!$B$6, _xlfn.IFNA(_xlfn.XLOOKUP(G$2-$C37, 'GEN-CARBON'!$D$7:$AW$7, 'GEN-CARBON'!$D$51:$AW$51), 0), IF($B37='Project List References'!$B$7, _xlfn.IFNA(_xlfn.XLOOKUP(G$2-$C37, 'SENS Coal'!$D$7:$AW$7, 'SENS Coal'!$D$51:$AW$51), 0), IF($B37='Project List References'!$B$8, _xlfn.IFNA(_xlfn.XLOOKUP(G$2-$C37,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H37" s="743" t="e">
        <f>IF($B37='Project List References'!$B$3, _xlfn.IFNA(_xlfn.XLOOKUP(H$2-$C37, 'GEN-CCGT'!$D$7:$AW$7, 'GEN-CCGT'!$D$51:$AW$51), 0), IF($B37='Project List References'!$B$4, _xlfn.IFNA(_xlfn.XLOOKUP(H$2-$C37, 'GEN-SOLAR'!$D$7:$AW$7, 'GEN-SOLAR'!$D$51:$AW$51), 0), IF($B37='Project List References'!$B$5, _xlfn.IFNA(_xlfn.XLOOKUP(H$2-$C37, 'GEN-BESS'!$D$7:$AW$7, 'GEN-BESS'!$D$51:$AW$51), 0), IF($B37='Project List References'!$B$6, _xlfn.IFNA(_xlfn.XLOOKUP(H$2-$C37, 'GEN-CARBON'!$D$7:$AW$7, 'GEN-CARBON'!$D$51:$AW$51), 0), IF($B37='Project List References'!$B$7, _xlfn.IFNA(_xlfn.XLOOKUP(H$2-$C37, 'SENS Coal'!$D$7:$AW$7, 'SENS Coal'!$D$51:$AW$51), 0), IF($B37='Project List References'!$B$8, _xlfn.IFNA(_xlfn.XLOOKUP(H$2-$C37,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I37" s="743" t="e">
        <f>IF($B37='Project List References'!$B$3, _xlfn.IFNA(_xlfn.XLOOKUP(I$2-$C37, 'GEN-CCGT'!$D$7:$AW$7, 'GEN-CCGT'!$D$51:$AW$51), 0), IF($B37='Project List References'!$B$4, _xlfn.IFNA(_xlfn.XLOOKUP(I$2-$C37, 'GEN-SOLAR'!$D$7:$AW$7, 'GEN-SOLAR'!$D$51:$AW$51), 0), IF($B37='Project List References'!$B$5, _xlfn.IFNA(_xlfn.XLOOKUP(I$2-$C37, 'GEN-BESS'!$D$7:$AW$7, 'GEN-BESS'!$D$51:$AW$51), 0), IF($B37='Project List References'!$B$6, _xlfn.IFNA(_xlfn.XLOOKUP(I$2-$C37, 'GEN-CARBON'!$D$7:$AW$7, 'GEN-CARBON'!$D$51:$AW$51), 0), IF($B37='Project List References'!$B$7, _xlfn.IFNA(_xlfn.XLOOKUP(I$2-$C37, 'SENS Coal'!$D$7:$AW$7, 'SENS Coal'!$D$51:$AW$51), 0), IF($B37='Project List References'!$B$8, _xlfn.IFNA(_xlfn.XLOOKUP(I$2-$C37,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J37" s="743" t="e">
        <f>IF($B37='Project List References'!$B$3, _xlfn.IFNA(_xlfn.XLOOKUP(J$2-$C37, 'GEN-CCGT'!$D$7:$AW$7, 'GEN-CCGT'!$D$51:$AW$51), 0), IF($B37='Project List References'!$B$4, _xlfn.IFNA(_xlfn.XLOOKUP(J$2-$C37, 'GEN-SOLAR'!$D$7:$AW$7, 'GEN-SOLAR'!$D$51:$AW$51), 0), IF($B37='Project List References'!$B$5, _xlfn.IFNA(_xlfn.XLOOKUP(J$2-$C37, 'GEN-BESS'!$D$7:$AW$7, 'GEN-BESS'!$D$51:$AW$51), 0), IF($B37='Project List References'!$B$6, _xlfn.IFNA(_xlfn.XLOOKUP(J$2-$C37, 'GEN-CARBON'!$D$7:$AW$7, 'GEN-CARBON'!$D$51:$AW$51), 0), IF($B37='Project List References'!$B$7, _xlfn.IFNA(_xlfn.XLOOKUP(J$2-$C37, 'SENS Coal'!$D$7:$AW$7, 'SENS Coal'!$D$51:$AW$51), 0), IF($B37='Project List References'!$B$8, _xlfn.IFNA(_xlfn.XLOOKUP(J$2-$C37,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K37" s="743" t="e">
        <f>IF($B37='Project List References'!$B$3, _xlfn.IFNA(_xlfn.XLOOKUP(K$2-$C37, 'GEN-CCGT'!$D$7:$AW$7, 'GEN-CCGT'!$D$51:$AW$51), 0), IF($B37='Project List References'!$B$4, _xlfn.IFNA(_xlfn.XLOOKUP(K$2-$C37, 'GEN-SOLAR'!$D$7:$AW$7, 'GEN-SOLAR'!$D$51:$AW$51), 0), IF($B37='Project List References'!$B$5, _xlfn.IFNA(_xlfn.XLOOKUP(K$2-$C37, 'GEN-BESS'!$D$7:$AW$7, 'GEN-BESS'!$D$51:$AW$51), 0), IF($B37='Project List References'!$B$6, _xlfn.IFNA(_xlfn.XLOOKUP(K$2-$C37, 'GEN-CARBON'!$D$7:$AW$7, 'GEN-CARBON'!$D$51:$AW$51), 0), IF($B37='Project List References'!$B$7, _xlfn.IFNA(_xlfn.XLOOKUP(K$2-$C37, 'SENS Coal'!$D$7:$AW$7, 'SENS Coal'!$D$51:$AW$51), 0), IF($B37='Project List References'!$B$8, _xlfn.IFNA(_xlfn.XLOOKUP(K$2-$C37,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L37" s="743" t="e">
        <f>IF($B37='Project List References'!$B$3, _xlfn.IFNA(_xlfn.XLOOKUP(L$2-$C37, 'GEN-CCGT'!$D$7:$AW$7, 'GEN-CCGT'!$D$51:$AW$51), 0), IF($B37='Project List References'!$B$4, _xlfn.IFNA(_xlfn.XLOOKUP(L$2-$C37, 'GEN-SOLAR'!$D$7:$AW$7, 'GEN-SOLAR'!$D$51:$AW$51), 0), IF($B37='Project List References'!$B$5, _xlfn.IFNA(_xlfn.XLOOKUP(L$2-$C37, 'GEN-BESS'!$D$7:$AW$7, 'GEN-BESS'!$D$51:$AW$51), 0), IF($B37='Project List References'!$B$6, _xlfn.IFNA(_xlfn.XLOOKUP(L$2-$C37, 'GEN-CARBON'!$D$7:$AW$7, 'GEN-CARBON'!$D$51:$AW$51), 0), IF($B37='Project List References'!$B$7, _xlfn.IFNA(_xlfn.XLOOKUP(L$2-$C37, 'SENS Coal'!$D$7:$AW$7, 'SENS Coal'!$D$51:$AW$51), 0), IF($B37='Project List References'!$B$8, _xlfn.IFNA(_xlfn.XLOOKUP(L$2-$C37,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M37" s="743" t="e">
        <f>IF($B37='Project List References'!$B$3, _xlfn.IFNA(_xlfn.XLOOKUP(M$2-$C37, 'GEN-CCGT'!$D$7:$AW$7, 'GEN-CCGT'!$D$51:$AW$51), 0), IF($B37='Project List References'!$B$4, _xlfn.IFNA(_xlfn.XLOOKUP(M$2-$C37, 'GEN-SOLAR'!$D$7:$AW$7, 'GEN-SOLAR'!$D$51:$AW$51), 0), IF($B37='Project List References'!$B$5, _xlfn.IFNA(_xlfn.XLOOKUP(M$2-$C37, 'GEN-BESS'!$D$7:$AW$7, 'GEN-BESS'!$D$51:$AW$51), 0), IF($B37='Project List References'!$B$6, _xlfn.IFNA(_xlfn.XLOOKUP(M$2-$C37, 'GEN-CARBON'!$D$7:$AW$7, 'GEN-CARBON'!$D$51:$AW$51), 0), IF($B37='Project List References'!$B$7, _xlfn.IFNA(_xlfn.XLOOKUP(M$2-$C37, 'SENS Coal'!$D$7:$AW$7, 'SENS Coal'!$D$51:$AW$51), 0), IF($B37='Project List References'!$B$8, _xlfn.IFNA(_xlfn.XLOOKUP(M$2-$C37,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N37" s="743" t="e">
        <f>IF($B37='Project List References'!$B$3, _xlfn.IFNA(_xlfn.XLOOKUP(N$2-$C37, 'GEN-CCGT'!$D$7:$AW$7, 'GEN-CCGT'!$D$51:$AW$51), 0), IF($B37='Project List References'!$B$4, _xlfn.IFNA(_xlfn.XLOOKUP(N$2-$C37, 'GEN-SOLAR'!$D$7:$AW$7, 'GEN-SOLAR'!$D$51:$AW$51), 0), IF($B37='Project List References'!$B$5, _xlfn.IFNA(_xlfn.XLOOKUP(N$2-$C37, 'GEN-BESS'!$D$7:$AW$7, 'GEN-BESS'!$D$51:$AW$51), 0), IF($B37='Project List References'!$B$6, _xlfn.IFNA(_xlfn.XLOOKUP(N$2-$C37, 'GEN-CARBON'!$D$7:$AW$7, 'GEN-CARBON'!$D$51:$AW$51), 0), IF($B37='Project List References'!$B$7, _xlfn.IFNA(_xlfn.XLOOKUP(N$2-$C37, 'SENS Coal'!$D$7:$AW$7, 'SENS Coal'!$D$51:$AW$51), 0), IF($B37='Project List References'!$B$8, _xlfn.IFNA(_xlfn.XLOOKUP(N$2-$C37,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O37" s="743" t="e">
        <f>IF($B37='Project List References'!$B$3, _xlfn.IFNA(_xlfn.XLOOKUP(O$2-$C37, 'GEN-CCGT'!$D$7:$AW$7, 'GEN-CCGT'!$D$51:$AW$51), 0), IF($B37='Project List References'!$B$4, _xlfn.IFNA(_xlfn.XLOOKUP(O$2-$C37, 'GEN-SOLAR'!$D$7:$AW$7, 'GEN-SOLAR'!$D$51:$AW$51), 0), IF($B37='Project List References'!$B$5, _xlfn.IFNA(_xlfn.XLOOKUP(O$2-$C37, 'GEN-BESS'!$D$7:$AW$7, 'GEN-BESS'!$D$51:$AW$51), 0), IF($B37='Project List References'!$B$6, _xlfn.IFNA(_xlfn.XLOOKUP(O$2-$C37, 'GEN-CARBON'!$D$7:$AW$7, 'GEN-CARBON'!$D$51:$AW$51), 0), IF($B37='Project List References'!$B$7, _xlfn.IFNA(_xlfn.XLOOKUP(O$2-$C37, 'SENS Coal'!$D$7:$AW$7, 'SENS Coal'!$D$51:$AW$51), 0), IF($B37='Project List References'!$B$8, _xlfn.IFNA(_xlfn.XLOOKUP(O$2-$C37,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P37" s="743" t="e">
        <f>IF($B37='Project List References'!$B$3, _xlfn.IFNA(_xlfn.XLOOKUP(P$2-$C37, 'GEN-CCGT'!$D$7:$AW$7, 'GEN-CCGT'!$D$51:$AW$51), 0), IF($B37='Project List References'!$B$4, _xlfn.IFNA(_xlfn.XLOOKUP(P$2-$C37, 'GEN-SOLAR'!$D$7:$AW$7, 'GEN-SOLAR'!$D$51:$AW$51), 0), IF($B37='Project List References'!$B$5, _xlfn.IFNA(_xlfn.XLOOKUP(P$2-$C37, 'GEN-BESS'!$D$7:$AW$7, 'GEN-BESS'!$D$51:$AW$51), 0), IF($B37='Project List References'!$B$6, _xlfn.IFNA(_xlfn.XLOOKUP(P$2-$C37, 'GEN-CARBON'!$D$7:$AW$7, 'GEN-CARBON'!$D$51:$AW$51), 0), IF($B37='Project List References'!$B$7, _xlfn.IFNA(_xlfn.XLOOKUP(P$2-$C37, 'SENS Coal'!$D$7:$AW$7, 'SENS Coal'!$D$51:$AW$51), 0), IF($B37='Project List References'!$B$8, _xlfn.IFNA(_xlfn.XLOOKUP(P$2-$C37,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Q37" s="743" t="e">
        <f>IF($B37='Project List References'!$B$3, _xlfn.IFNA(_xlfn.XLOOKUP(Q$2-$C37, 'GEN-CCGT'!$D$7:$AW$7, 'GEN-CCGT'!$D$51:$AW$51), 0), IF($B37='Project List References'!$B$4, _xlfn.IFNA(_xlfn.XLOOKUP(Q$2-$C37, 'GEN-SOLAR'!$D$7:$AW$7, 'GEN-SOLAR'!$D$51:$AW$51), 0), IF($B37='Project List References'!$B$5, _xlfn.IFNA(_xlfn.XLOOKUP(Q$2-$C37, 'GEN-BESS'!$D$7:$AW$7, 'GEN-BESS'!$D$51:$AW$51), 0), IF($B37='Project List References'!$B$6, _xlfn.IFNA(_xlfn.XLOOKUP(Q$2-$C37, 'GEN-CARBON'!$D$7:$AW$7, 'GEN-CARBON'!$D$51:$AW$51), 0), IF($B37='Project List References'!$B$7, _xlfn.IFNA(_xlfn.XLOOKUP(Q$2-$C37, 'SENS Coal'!$D$7:$AW$7, 'SENS Coal'!$D$51:$AW$51), 0), IF($B37='Project List References'!$B$8, _xlfn.IFNA(_xlfn.XLOOKUP(Q$2-$C37,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R37" s="743" t="e">
        <f>IF($B37='Project List References'!$B$3, _xlfn.IFNA(_xlfn.XLOOKUP(R$2-$C37, 'GEN-CCGT'!$D$7:$AW$7, 'GEN-CCGT'!$D$51:$AW$51), 0), IF($B37='Project List References'!$B$4, _xlfn.IFNA(_xlfn.XLOOKUP(R$2-$C37, 'GEN-SOLAR'!$D$7:$AW$7, 'GEN-SOLAR'!$D$51:$AW$51), 0), IF($B37='Project List References'!$B$5, _xlfn.IFNA(_xlfn.XLOOKUP(R$2-$C37, 'GEN-BESS'!$D$7:$AW$7, 'GEN-BESS'!$D$51:$AW$51), 0), IF($B37='Project List References'!$B$6, _xlfn.IFNA(_xlfn.XLOOKUP(R$2-$C37, 'GEN-CARBON'!$D$7:$AW$7, 'GEN-CARBON'!$D$51:$AW$51), 0), IF($B37='Project List References'!$B$7, _xlfn.IFNA(_xlfn.XLOOKUP(R$2-$C37, 'SENS Coal'!$D$7:$AW$7, 'SENS Coal'!$D$51:$AW$51), 0), IF($B37='Project List References'!$B$8, _xlfn.IFNA(_xlfn.XLOOKUP(R$2-$C37,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S37" s="743" t="e">
        <f>IF($B37='Project List References'!$B$3, _xlfn.IFNA(_xlfn.XLOOKUP(S$2-$C37, 'GEN-CCGT'!$D$7:$AW$7, 'GEN-CCGT'!$D$51:$AW$51), 0), IF($B37='Project List References'!$B$4, _xlfn.IFNA(_xlfn.XLOOKUP(S$2-$C37, 'GEN-SOLAR'!$D$7:$AW$7, 'GEN-SOLAR'!$D$51:$AW$51), 0), IF($B37='Project List References'!$B$5, _xlfn.IFNA(_xlfn.XLOOKUP(S$2-$C37, 'GEN-BESS'!$D$7:$AW$7, 'GEN-BESS'!$D$51:$AW$51), 0), IF($B37='Project List References'!$B$6, _xlfn.IFNA(_xlfn.XLOOKUP(S$2-$C37, 'GEN-CARBON'!$D$7:$AW$7, 'GEN-CARBON'!$D$51:$AW$51), 0), IF($B37='Project List References'!$B$7, _xlfn.IFNA(_xlfn.XLOOKUP(S$2-$C37, 'SENS Coal'!$D$7:$AW$7, 'SENS Coal'!$D$51:$AW$51), 0), IF($B37='Project List References'!$B$8, _xlfn.IFNA(_xlfn.XLOOKUP(S$2-$C37,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T37" s="743" t="e">
        <f>IF($B37='Project List References'!$B$3, _xlfn.IFNA(_xlfn.XLOOKUP(T$2-$C37, 'GEN-CCGT'!$D$7:$AW$7, 'GEN-CCGT'!$D$51:$AW$51), 0), IF($B37='Project List References'!$B$4, _xlfn.IFNA(_xlfn.XLOOKUP(T$2-$C37, 'GEN-SOLAR'!$D$7:$AW$7, 'GEN-SOLAR'!$D$51:$AW$51), 0), IF($B37='Project List References'!$B$5, _xlfn.IFNA(_xlfn.XLOOKUP(T$2-$C37, 'GEN-BESS'!$D$7:$AW$7, 'GEN-BESS'!$D$51:$AW$51), 0), IF($B37='Project List References'!$B$6, _xlfn.IFNA(_xlfn.XLOOKUP(T$2-$C37, 'GEN-CARBON'!$D$7:$AW$7, 'GEN-CARBON'!$D$51:$AW$51), 0), IF($B37='Project List References'!$B$7, _xlfn.IFNA(_xlfn.XLOOKUP(T$2-$C37, 'SENS Coal'!$D$7:$AW$7, 'SENS Coal'!$D$51:$AW$51), 0), IF($B37='Project List References'!$B$8, _xlfn.IFNA(_xlfn.XLOOKUP(T$2-$C37, 'SENS Tires'!$D$7:$AW$7, 'SENS Tires'!$D$51:$AW$51), 0)))))))/_xlfn.XLOOKUP($B37,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</row>
    <row r="38" spans="1:20">
      <c r="A38" s="655" t="str">
        <f>IF(ISBLANK('Project Master Sheet'!A38)=FALSE, 'Project Master Sheet'!A38, "")</f>
        <v/>
      </c>
      <c r="B38" s="655" t="str">
        <f>_xlfn.IFNA(_xlfn.XLOOKUP(A38, 'Project Master Sheet'!A:A, 'Project Master Sheet'!D:D), "")</f>
        <v/>
      </c>
      <c r="C38" s="655" t="e">
        <f>_xlfn.XLOOKUP('Project OPEX'!A38, 'Project Master Sheet'!A:A, 'Project Master Sheet'!I:I)</f>
        <v>#N/A</v>
      </c>
      <c r="E38" s="743" t="e">
        <f>IF($B38='Project List References'!$B$3, _xlfn.IFNA(_xlfn.XLOOKUP(E$2-$C38, 'GEN-CCGT'!$D$7:$AW$7, 'GEN-CCGT'!$D$51:$AW$51), 0), IF($B38='Project List References'!$B$4, _xlfn.IFNA(_xlfn.XLOOKUP(E$2-$C38, 'GEN-SOLAR'!$D$7:$AW$7, 'GEN-SOLAR'!$D$51:$AW$51), 0), IF($B38='Project List References'!$B$5, _xlfn.IFNA(_xlfn.XLOOKUP(E$2-$C38, 'GEN-BESS'!$D$7:$AW$7, 'GEN-BESS'!$D$51:$AW$51), 0), IF($B38='Project List References'!$B$6, _xlfn.IFNA(_xlfn.XLOOKUP(E$2-$C38, 'GEN-CARBON'!$D$7:$AW$7, 'GEN-CARBON'!$D$51:$AW$51), 0), IF($B38='Project List References'!$B$7, _xlfn.IFNA(_xlfn.XLOOKUP(E$2-$C38, 'SENS Coal'!$D$7:$AW$7, 'SENS Coal'!$D$51:$AW$51), 0), IF($B38='Project List References'!$B$8, _xlfn.IFNA(_xlfn.XLOOKUP(E$2-$C38,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F38" s="743" t="e">
        <f>IF($B38='Project List References'!$B$3, _xlfn.IFNA(_xlfn.XLOOKUP(F$2-$C38, 'GEN-CCGT'!$D$7:$AW$7, 'GEN-CCGT'!$D$51:$AW$51), 0), IF($B38='Project List References'!$B$4, _xlfn.IFNA(_xlfn.XLOOKUP(F$2-$C38, 'GEN-SOLAR'!$D$7:$AW$7, 'GEN-SOLAR'!$D$51:$AW$51), 0), IF($B38='Project List References'!$B$5, _xlfn.IFNA(_xlfn.XLOOKUP(F$2-$C38, 'GEN-BESS'!$D$7:$AW$7, 'GEN-BESS'!$D$51:$AW$51), 0), IF($B38='Project List References'!$B$6, _xlfn.IFNA(_xlfn.XLOOKUP(F$2-$C38, 'GEN-CARBON'!$D$7:$AW$7, 'GEN-CARBON'!$D$51:$AW$51), 0), IF($B38='Project List References'!$B$7, _xlfn.IFNA(_xlfn.XLOOKUP(F$2-$C38, 'SENS Coal'!$D$7:$AW$7, 'SENS Coal'!$D$51:$AW$51), 0), IF($B38='Project List References'!$B$8, _xlfn.IFNA(_xlfn.XLOOKUP(F$2-$C38,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G38" s="743" t="e">
        <f>IF($B38='Project List References'!$B$3, _xlfn.IFNA(_xlfn.XLOOKUP(G$2-$C38, 'GEN-CCGT'!$D$7:$AW$7, 'GEN-CCGT'!$D$51:$AW$51), 0), IF($B38='Project List References'!$B$4, _xlfn.IFNA(_xlfn.XLOOKUP(G$2-$C38, 'GEN-SOLAR'!$D$7:$AW$7, 'GEN-SOLAR'!$D$51:$AW$51), 0), IF($B38='Project List References'!$B$5, _xlfn.IFNA(_xlfn.XLOOKUP(G$2-$C38, 'GEN-BESS'!$D$7:$AW$7, 'GEN-BESS'!$D$51:$AW$51), 0), IF($B38='Project List References'!$B$6, _xlfn.IFNA(_xlfn.XLOOKUP(G$2-$C38, 'GEN-CARBON'!$D$7:$AW$7, 'GEN-CARBON'!$D$51:$AW$51), 0), IF($B38='Project List References'!$B$7, _xlfn.IFNA(_xlfn.XLOOKUP(G$2-$C38, 'SENS Coal'!$D$7:$AW$7, 'SENS Coal'!$D$51:$AW$51), 0), IF($B38='Project List References'!$B$8, _xlfn.IFNA(_xlfn.XLOOKUP(G$2-$C38,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H38" s="743" t="e">
        <f>IF($B38='Project List References'!$B$3, _xlfn.IFNA(_xlfn.XLOOKUP(H$2-$C38, 'GEN-CCGT'!$D$7:$AW$7, 'GEN-CCGT'!$D$51:$AW$51), 0), IF($B38='Project List References'!$B$4, _xlfn.IFNA(_xlfn.XLOOKUP(H$2-$C38, 'GEN-SOLAR'!$D$7:$AW$7, 'GEN-SOLAR'!$D$51:$AW$51), 0), IF($B38='Project List References'!$B$5, _xlfn.IFNA(_xlfn.XLOOKUP(H$2-$C38, 'GEN-BESS'!$D$7:$AW$7, 'GEN-BESS'!$D$51:$AW$51), 0), IF($B38='Project List References'!$B$6, _xlfn.IFNA(_xlfn.XLOOKUP(H$2-$C38, 'GEN-CARBON'!$D$7:$AW$7, 'GEN-CARBON'!$D$51:$AW$51), 0), IF($B38='Project List References'!$B$7, _xlfn.IFNA(_xlfn.XLOOKUP(H$2-$C38, 'SENS Coal'!$D$7:$AW$7, 'SENS Coal'!$D$51:$AW$51), 0), IF($B38='Project List References'!$B$8, _xlfn.IFNA(_xlfn.XLOOKUP(H$2-$C38,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I38" s="743" t="e">
        <f>IF($B38='Project List References'!$B$3, _xlfn.IFNA(_xlfn.XLOOKUP(I$2-$C38, 'GEN-CCGT'!$D$7:$AW$7, 'GEN-CCGT'!$D$51:$AW$51), 0), IF($B38='Project List References'!$B$4, _xlfn.IFNA(_xlfn.XLOOKUP(I$2-$C38, 'GEN-SOLAR'!$D$7:$AW$7, 'GEN-SOLAR'!$D$51:$AW$51), 0), IF($B38='Project List References'!$B$5, _xlfn.IFNA(_xlfn.XLOOKUP(I$2-$C38, 'GEN-BESS'!$D$7:$AW$7, 'GEN-BESS'!$D$51:$AW$51), 0), IF($B38='Project List References'!$B$6, _xlfn.IFNA(_xlfn.XLOOKUP(I$2-$C38, 'GEN-CARBON'!$D$7:$AW$7, 'GEN-CARBON'!$D$51:$AW$51), 0), IF($B38='Project List References'!$B$7, _xlfn.IFNA(_xlfn.XLOOKUP(I$2-$C38, 'SENS Coal'!$D$7:$AW$7, 'SENS Coal'!$D$51:$AW$51), 0), IF($B38='Project List References'!$B$8, _xlfn.IFNA(_xlfn.XLOOKUP(I$2-$C38,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J38" s="743" t="e">
        <f>IF($B38='Project List References'!$B$3, _xlfn.IFNA(_xlfn.XLOOKUP(J$2-$C38, 'GEN-CCGT'!$D$7:$AW$7, 'GEN-CCGT'!$D$51:$AW$51), 0), IF($B38='Project List References'!$B$4, _xlfn.IFNA(_xlfn.XLOOKUP(J$2-$C38, 'GEN-SOLAR'!$D$7:$AW$7, 'GEN-SOLAR'!$D$51:$AW$51), 0), IF($B38='Project List References'!$B$5, _xlfn.IFNA(_xlfn.XLOOKUP(J$2-$C38, 'GEN-BESS'!$D$7:$AW$7, 'GEN-BESS'!$D$51:$AW$51), 0), IF($B38='Project List References'!$B$6, _xlfn.IFNA(_xlfn.XLOOKUP(J$2-$C38, 'GEN-CARBON'!$D$7:$AW$7, 'GEN-CARBON'!$D$51:$AW$51), 0), IF($B38='Project List References'!$B$7, _xlfn.IFNA(_xlfn.XLOOKUP(J$2-$C38, 'SENS Coal'!$D$7:$AW$7, 'SENS Coal'!$D$51:$AW$51), 0), IF($B38='Project List References'!$B$8, _xlfn.IFNA(_xlfn.XLOOKUP(J$2-$C38,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K38" s="743" t="e">
        <f>IF($B38='Project List References'!$B$3, _xlfn.IFNA(_xlfn.XLOOKUP(K$2-$C38, 'GEN-CCGT'!$D$7:$AW$7, 'GEN-CCGT'!$D$51:$AW$51), 0), IF($B38='Project List References'!$B$4, _xlfn.IFNA(_xlfn.XLOOKUP(K$2-$C38, 'GEN-SOLAR'!$D$7:$AW$7, 'GEN-SOLAR'!$D$51:$AW$51), 0), IF($B38='Project List References'!$B$5, _xlfn.IFNA(_xlfn.XLOOKUP(K$2-$C38, 'GEN-BESS'!$D$7:$AW$7, 'GEN-BESS'!$D$51:$AW$51), 0), IF($B38='Project List References'!$B$6, _xlfn.IFNA(_xlfn.XLOOKUP(K$2-$C38, 'GEN-CARBON'!$D$7:$AW$7, 'GEN-CARBON'!$D$51:$AW$51), 0), IF($B38='Project List References'!$B$7, _xlfn.IFNA(_xlfn.XLOOKUP(K$2-$C38, 'SENS Coal'!$D$7:$AW$7, 'SENS Coal'!$D$51:$AW$51), 0), IF($B38='Project List References'!$B$8, _xlfn.IFNA(_xlfn.XLOOKUP(K$2-$C38,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L38" s="743" t="e">
        <f>IF($B38='Project List References'!$B$3, _xlfn.IFNA(_xlfn.XLOOKUP(L$2-$C38, 'GEN-CCGT'!$D$7:$AW$7, 'GEN-CCGT'!$D$51:$AW$51), 0), IF($B38='Project List References'!$B$4, _xlfn.IFNA(_xlfn.XLOOKUP(L$2-$C38, 'GEN-SOLAR'!$D$7:$AW$7, 'GEN-SOLAR'!$D$51:$AW$51), 0), IF($B38='Project List References'!$B$5, _xlfn.IFNA(_xlfn.XLOOKUP(L$2-$C38, 'GEN-BESS'!$D$7:$AW$7, 'GEN-BESS'!$D$51:$AW$51), 0), IF($B38='Project List References'!$B$6, _xlfn.IFNA(_xlfn.XLOOKUP(L$2-$C38, 'GEN-CARBON'!$D$7:$AW$7, 'GEN-CARBON'!$D$51:$AW$51), 0), IF($B38='Project List References'!$B$7, _xlfn.IFNA(_xlfn.XLOOKUP(L$2-$C38, 'SENS Coal'!$D$7:$AW$7, 'SENS Coal'!$D$51:$AW$51), 0), IF($B38='Project List References'!$B$8, _xlfn.IFNA(_xlfn.XLOOKUP(L$2-$C38,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M38" s="743" t="e">
        <f>IF($B38='Project List References'!$B$3, _xlfn.IFNA(_xlfn.XLOOKUP(M$2-$C38, 'GEN-CCGT'!$D$7:$AW$7, 'GEN-CCGT'!$D$51:$AW$51), 0), IF($B38='Project List References'!$B$4, _xlfn.IFNA(_xlfn.XLOOKUP(M$2-$C38, 'GEN-SOLAR'!$D$7:$AW$7, 'GEN-SOLAR'!$D$51:$AW$51), 0), IF($B38='Project List References'!$B$5, _xlfn.IFNA(_xlfn.XLOOKUP(M$2-$C38, 'GEN-BESS'!$D$7:$AW$7, 'GEN-BESS'!$D$51:$AW$51), 0), IF($B38='Project List References'!$B$6, _xlfn.IFNA(_xlfn.XLOOKUP(M$2-$C38, 'GEN-CARBON'!$D$7:$AW$7, 'GEN-CARBON'!$D$51:$AW$51), 0), IF($B38='Project List References'!$B$7, _xlfn.IFNA(_xlfn.XLOOKUP(M$2-$C38, 'SENS Coal'!$D$7:$AW$7, 'SENS Coal'!$D$51:$AW$51), 0), IF($B38='Project List References'!$B$8, _xlfn.IFNA(_xlfn.XLOOKUP(M$2-$C38,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N38" s="743" t="e">
        <f>IF($B38='Project List References'!$B$3, _xlfn.IFNA(_xlfn.XLOOKUP(N$2-$C38, 'GEN-CCGT'!$D$7:$AW$7, 'GEN-CCGT'!$D$51:$AW$51), 0), IF($B38='Project List References'!$B$4, _xlfn.IFNA(_xlfn.XLOOKUP(N$2-$C38, 'GEN-SOLAR'!$D$7:$AW$7, 'GEN-SOLAR'!$D$51:$AW$51), 0), IF($B38='Project List References'!$B$5, _xlfn.IFNA(_xlfn.XLOOKUP(N$2-$C38, 'GEN-BESS'!$D$7:$AW$7, 'GEN-BESS'!$D$51:$AW$51), 0), IF($B38='Project List References'!$B$6, _xlfn.IFNA(_xlfn.XLOOKUP(N$2-$C38, 'GEN-CARBON'!$D$7:$AW$7, 'GEN-CARBON'!$D$51:$AW$51), 0), IF($B38='Project List References'!$B$7, _xlfn.IFNA(_xlfn.XLOOKUP(N$2-$C38, 'SENS Coal'!$D$7:$AW$7, 'SENS Coal'!$D$51:$AW$51), 0), IF($B38='Project List References'!$B$8, _xlfn.IFNA(_xlfn.XLOOKUP(N$2-$C38,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O38" s="743" t="e">
        <f>IF($B38='Project List References'!$B$3, _xlfn.IFNA(_xlfn.XLOOKUP(O$2-$C38, 'GEN-CCGT'!$D$7:$AW$7, 'GEN-CCGT'!$D$51:$AW$51), 0), IF($B38='Project List References'!$B$4, _xlfn.IFNA(_xlfn.XLOOKUP(O$2-$C38, 'GEN-SOLAR'!$D$7:$AW$7, 'GEN-SOLAR'!$D$51:$AW$51), 0), IF($B38='Project List References'!$B$5, _xlfn.IFNA(_xlfn.XLOOKUP(O$2-$C38, 'GEN-BESS'!$D$7:$AW$7, 'GEN-BESS'!$D$51:$AW$51), 0), IF($B38='Project List References'!$B$6, _xlfn.IFNA(_xlfn.XLOOKUP(O$2-$C38, 'GEN-CARBON'!$D$7:$AW$7, 'GEN-CARBON'!$D$51:$AW$51), 0), IF($B38='Project List References'!$B$7, _xlfn.IFNA(_xlfn.XLOOKUP(O$2-$C38, 'SENS Coal'!$D$7:$AW$7, 'SENS Coal'!$D$51:$AW$51), 0), IF($B38='Project List References'!$B$8, _xlfn.IFNA(_xlfn.XLOOKUP(O$2-$C38,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P38" s="743" t="e">
        <f>IF($B38='Project List References'!$B$3, _xlfn.IFNA(_xlfn.XLOOKUP(P$2-$C38, 'GEN-CCGT'!$D$7:$AW$7, 'GEN-CCGT'!$D$51:$AW$51), 0), IF($B38='Project List References'!$B$4, _xlfn.IFNA(_xlfn.XLOOKUP(P$2-$C38, 'GEN-SOLAR'!$D$7:$AW$7, 'GEN-SOLAR'!$D$51:$AW$51), 0), IF($B38='Project List References'!$B$5, _xlfn.IFNA(_xlfn.XLOOKUP(P$2-$C38, 'GEN-BESS'!$D$7:$AW$7, 'GEN-BESS'!$D$51:$AW$51), 0), IF($B38='Project List References'!$B$6, _xlfn.IFNA(_xlfn.XLOOKUP(P$2-$C38, 'GEN-CARBON'!$D$7:$AW$7, 'GEN-CARBON'!$D$51:$AW$51), 0), IF($B38='Project List References'!$B$7, _xlfn.IFNA(_xlfn.XLOOKUP(P$2-$C38, 'SENS Coal'!$D$7:$AW$7, 'SENS Coal'!$D$51:$AW$51), 0), IF($B38='Project List References'!$B$8, _xlfn.IFNA(_xlfn.XLOOKUP(P$2-$C38,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Q38" s="743" t="e">
        <f>IF($B38='Project List References'!$B$3, _xlfn.IFNA(_xlfn.XLOOKUP(Q$2-$C38, 'GEN-CCGT'!$D$7:$AW$7, 'GEN-CCGT'!$D$51:$AW$51), 0), IF($B38='Project List References'!$B$4, _xlfn.IFNA(_xlfn.XLOOKUP(Q$2-$C38, 'GEN-SOLAR'!$D$7:$AW$7, 'GEN-SOLAR'!$D$51:$AW$51), 0), IF($B38='Project List References'!$B$5, _xlfn.IFNA(_xlfn.XLOOKUP(Q$2-$C38, 'GEN-BESS'!$D$7:$AW$7, 'GEN-BESS'!$D$51:$AW$51), 0), IF($B38='Project List References'!$B$6, _xlfn.IFNA(_xlfn.XLOOKUP(Q$2-$C38, 'GEN-CARBON'!$D$7:$AW$7, 'GEN-CARBON'!$D$51:$AW$51), 0), IF($B38='Project List References'!$B$7, _xlfn.IFNA(_xlfn.XLOOKUP(Q$2-$C38, 'SENS Coal'!$D$7:$AW$7, 'SENS Coal'!$D$51:$AW$51), 0), IF($B38='Project List References'!$B$8, _xlfn.IFNA(_xlfn.XLOOKUP(Q$2-$C38,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R38" s="743" t="e">
        <f>IF($B38='Project List References'!$B$3, _xlfn.IFNA(_xlfn.XLOOKUP(R$2-$C38, 'GEN-CCGT'!$D$7:$AW$7, 'GEN-CCGT'!$D$51:$AW$51), 0), IF($B38='Project List References'!$B$4, _xlfn.IFNA(_xlfn.XLOOKUP(R$2-$C38, 'GEN-SOLAR'!$D$7:$AW$7, 'GEN-SOLAR'!$D$51:$AW$51), 0), IF($B38='Project List References'!$B$5, _xlfn.IFNA(_xlfn.XLOOKUP(R$2-$C38, 'GEN-BESS'!$D$7:$AW$7, 'GEN-BESS'!$D$51:$AW$51), 0), IF($B38='Project List References'!$B$6, _xlfn.IFNA(_xlfn.XLOOKUP(R$2-$C38, 'GEN-CARBON'!$D$7:$AW$7, 'GEN-CARBON'!$D$51:$AW$51), 0), IF($B38='Project List References'!$B$7, _xlfn.IFNA(_xlfn.XLOOKUP(R$2-$C38, 'SENS Coal'!$D$7:$AW$7, 'SENS Coal'!$D$51:$AW$51), 0), IF($B38='Project List References'!$B$8, _xlfn.IFNA(_xlfn.XLOOKUP(R$2-$C38,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S38" s="743" t="e">
        <f>IF($B38='Project List References'!$B$3, _xlfn.IFNA(_xlfn.XLOOKUP(S$2-$C38, 'GEN-CCGT'!$D$7:$AW$7, 'GEN-CCGT'!$D$51:$AW$51), 0), IF($B38='Project List References'!$B$4, _xlfn.IFNA(_xlfn.XLOOKUP(S$2-$C38, 'GEN-SOLAR'!$D$7:$AW$7, 'GEN-SOLAR'!$D$51:$AW$51), 0), IF($B38='Project List References'!$B$5, _xlfn.IFNA(_xlfn.XLOOKUP(S$2-$C38, 'GEN-BESS'!$D$7:$AW$7, 'GEN-BESS'!$D$51:$AW$51), 0), IF($B38='Project List References'!$B$6, _xlfn.IFNA(_xlfn.XLOOKUP(S$2-$C38, 'GEN-CARBON'!$D$7:$AW$7, 'GEN-CARBON'!$D$51:$AW$51), 0), IF($B38='Project List References'!$B$7, _xlfn.IFNA(_xlfn.XLOOKUP(S$2-$C38, 'SENS Coal'!$D$7:$AW$7, 'SENS Coal'!$D$51:$AW$51), 0), IF($B38='Project List References'!$B$8, _xlfn.IFNA(_xlfn.XLOOKUP(S$2-$C38,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  <c r="T38" s="743" t="e">
        <f>IF($B38='Project List References'!$B$3, _xlfn.IFNA(_xlfn.XLOOKUP(T$2-$C38, 'GEN-CCGT'!$D$7:$AW$7, 'GEN-CCGT'!$D$51:$AW$51), 0), IF($B38='Project List References'!$B$4, _xlfn.IFNA(_xlfn.XLOOKUP(T$2-$C38, 'GEN-SOLAR'!$D$7:$AW$7, 'GEN-SOLAR'!$D$51:$AW$51), 0), IF($B38='Project List References'!$B$5, _xlfn.IFNA(_xlfn.XLOOKUP(T$2-$C38, 'GEN-BESS'!$D$7:$AW$7, 'GEN-BESS'!$D$51:$AW$51), 0), IF($B38='Project List References'!$B$6, _xlfn.IFNA(_xlfn.XLOOKUP(T$2-$C38, 'GEN-CARBON'!$D$7:$AW$7, 'GEN-CARBON'!$D$51:$AW$51), 0), IF($B38='Project List References'!$B$7, _xlfn.IFNA(_xlfn.XLOOKUP(T$2-$C38, 'SENS Coal'!$D$7:$AW$7, 'SENS Coal'!$D$51:$AW$51), 0), IF($B38='Project List References'!$B$8, _xlfn.IFNA(_xlfn.XLOOKUP(T$2-$C38, 'SENS Tires'!$D$7:$AW$7, 'SENS Tires'!$D$51:$AW$51), 0)))))))/_xlfn.XLOOKUP($B38, 'Assumptions &amp; Inputs'!$F$76:$L$76, 'Assumptions &amp; Inputs'!$F$77:$L$77)*IF(OR($B38='Project List References'!$B$3, $B38='Project List References'!$B$4, $B38='Project List References'!$B$5, $B38='Project List References'!$B$6), 'Project Master Sheet'!$E38, 'Project Master Sheet'!$F38)</f>
        <v>#N/A</v>
      </c>
    </row>
    <row r="39" spans="1:20">
      <c r="A39" s="655" t="str">
        <f>IF(ISBLANK('Project Master Sheet'!A39)=FALSE, 'Project Master Sheet'!A39, "")</f>
        <v/>
      </c>
      <c r="B39" s="655" t="str">
        <f>_xlfn.IFNA(_xlfn.XLOOKUP(A39, 'Project Master Sheet'!A:A, 'Project Master Sheet'!D:D), "")</f>
        <v/>
      </c>
      <c r="C39" s="655" t="e">
        <f>_xlfn.XLOOKUP('Project OPEX'!A39, 'Project Master Sheet'!A:A, 'Project Master Sheet'!I:I)</f>
        <v>#N/A</v>
      </c>
      <c r="E39" s="743" t="e">
        <f>IF($B39='Project List References'!$B$3, _xlfn.IFNA(_xlfn.XLOOKUP(E$2-$C39, 'GEN-CCGT'!$D$7:$AW$7, 'GEN-CCGT'!$D$51:$AW$51), 0), IF($B39='Project List References'!$B$4, _xlfn.IFNA(_xlfn.XLOOKUP(E$2-$C39, 'GEN-SOLAR'!$D$7:$AW$7, 'GEN-SOLAR'!$D$51:$AW$51), 0), IF($B39='Project List References'!$B$5, _xlfn.IFNA(_xlfn.XLOOKUP(E$2-$C39, 'GEN-BESS'!$D$7:$AW$7, 'GEN-BESS'!$D$51:$AW$51), 0), IF($B39='Project List References'!$B$6, _xlfn.IFNA(_xlfn.XLOOKUP(E$2-$C39, 'GEN-CARBON'!$D$7:$AW$7, 'GEN-CARBON'!$D$51:$AW$51), 0), IF($B39='Project List References'!$B$7, _xlfn.IFNA(_xlfn.XLOOKUP(E$2-$C39, 'SENS Coal'!$D$7:$AW$7, 'SENS Coal'!$D$51:$AW$51), 0), IF($B39='Project List References'!$B$8, _xlfn.IFNA(_xlfn.XLOOKUP(E$2-$C39,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F39" s="743" t="e">
        <f>IF($B39='Project List References'!$B$3, _xlfn.IFNA(_xlfn.XLOOKUP(F$2-$C39, 'GEN-CCGT'!$D$7:$AW$7, 'GEN-CCGT'!$D$51:$AW$51), 0), IF($B39='Project List References'!$B$4, _xlfn.IFNA(_xlfn.XLOOKUP(F$2-$C39, 'GEN-SOLAR'!$D$7:$AW$7, 'GEN-SOLAR'!$D$51:$AW$51), 0), IF($B39='Project List References'!$B$5, _xlfn.IFNA(_xlfn.XLOOKUP(F$2-$C39, 'GEN-BESS'!$D$7:$AW$7, 'GEN-BESS'!$D$51:$AW$51), 0), IF($B39='Project List References'!$B$6, _xlfn.IFNA(_xlfn.XLOOKUP(F$2-$C39, 'GEN-CARBON'!$D$7:$AW$7, 'GEN-CARBON'!$D$51:$AW$51), 0), IF($B39='Project List References'!$B$7, _xlfn.IFNA(_xlfn.XLOOKUP(F$2-$C39, 'SENS Coal'!$D$7:$AW$7, 'SENS Coal'!$D$51:$AW$51), 0), IF($B39='Project List References'!$B$8, _xlfn.IFNA(_xlfn.XLOOKUP(F$2-$C39,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G39" s="743" t="e">
        <f>IF($B39='Project List References'!$B$3, _xlfn.IFNA(_xlfn.XLOOKUP(G$2-$C39, 'GEN-CCGT'!$D$7:$AW$7, 'GEN-CCGT'!$D$51:$AW$51), 0), IF($B39='Project List References'!$B$4, _xlfn.IFNA(_xlfn.XLOOKUP(G$2-$C39, 'GEN-SOLAR'!$D$7:$AW$7, 'GEN-SOLAR'!$D$51:$AW$51), 0), IF($B39='Project List References'!$B$5, _xlfn.IFNA(_xlfn.XLOOKUP(G$2-$C39, 'GEN-BESS'!$D$7:$AW$7, 'GEN-BESS'!$D$51:$AW$51), 0), IF($B39='Project List References'!$B$6, _xlfn.IFNA(_xlfn.XLOOKUP(G$2-$C39, 'GEN-CARBON'!$D$7:$AW$7, 'GEN-CARBON'!$D$51:$AW$51), 0), IF($B39='Project List References'!$B$7, _xlfn.IFNA(_xlfn.XLOOKUP(G$2-$C39, 'SENS Coal'!$D$7:$AW$7, 'SENS Coal'!$D$51:$AW$51), 0), IF($B39='Project List References'!$B$8, _xlfn.IFNA(_xlfn.XLOOKUP(G$2-$C39,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H39" s="743" t="e">
        <f>IF($B39='Project List References'!$B$3, _xlfn.IFNA(_xlfn.XLOOKUP(H$2-$C39, 'GEN-CCGT'!$D$7:$AW$7, 'GEN-CCGT'!$D$51:$AW$51), 0), IF($B39='Project List References'!$B$4, _xlfn.IFNA(_xlfn.XLOOKUP(H$2-$C39, 'GEN-SOLAR'!$D$7:$AW$7, 'GEN-SOLAR'!$D$51:$AW$51), 0), IF($B39='Project List References'!$B$5, _xlfn.IFNA(_xlfn.XLOOKUP(H$2-$C39, 'GEN-BESS'!$D$7:$AW$7, 'GEN-BESS'!$D$51:$AW$51), 0), IF($B39='Project List References'!$B$6, _xlfn.IFNA(_xlfn.XLOOKUP(H$2-$C39, 'GEN-CARBON'!$D$7:$AW$7, 'GEN-CARBON'!$D$51:$AW$51), 0), IF($B39='Project List References'!$B$7, _xlfn.IFNA(_xlfn.XLOOKUP(H$2-$C39, 'SENS Coal'!$D$7:$AW$7, 'SENS Coal'!$D$51:$AW$51), 0), IF($B39='Project List References'!$B$8, _xlfn.IFNA(_xlfn.XLOOKUP(H$2-$C39,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I39" s="743" t="e">
        <f>IF($B39='Project List References'!$B$3, _xlfn.IFNA(_xlfn.XLOOKUP(I$2-$C39, 'GEN-CCGT'!$D$7:$AW$7, 'GEN-CCGT'!$D$51:$AW$51), 0), IF($B39='Project List References'!$B$4, _xlfn.IFNA(_xlfn.XLOOKUP(I$2-$C39, 'GEN-SOLAR'!$D$7:$AW$7, 'GEN-SOLAR'!$D$51:$AW$51), 0), IF($B39='Project List References'!$B$5, _xlfn.IFNA(_xlfn.XLOOKUP(I$2-$C39, 'GEN-BESS'!$D$7:$AW$7, 'GEN-BESS'!$D$51:$AW$51), 0), IF($B39='Project List References'!$B$6, _xlfn.IFNA(_xlfn.XLOOKUP(I$2-$C39, 'GEN-CARBON'!$D$7:$AW$7, 'GEN-CARBON'!$D$51:$AW$51), 0), IF($B39='Project List References'!$B$7, _xlfn.IFNA(_xlfn.XLOOKUP(I$2-$C39, 'SENS Coal'!$D$7:$AW$7, 'SENS Coal'!$D$51:$AW$51), 0), IF($B39='Project List References'!$B$8, _xlfn.IFNA(_xlfn.XLOOKUP(I$2-$C39,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J39" s="743" t="e">
        <f>IF($B39='Project List References'!$B$3, _xlfn.IFNA(_xlfn.XLOOKUP(J$2-$C39, 'GEN-CCGT'!$D$7:$AW$7, 'GEN-CCGT'!$D$51:$AW$51), 0), IF($B39='Project List References'!$B$4, _xlfn.IFNA(_xlfn.XLOOKUP(J$2-$C39, 'GEN-SOLAR'!$D$7:$AW$7, 'GEN-SOLAR'!$D$51:$AW$51), 0), IF($B39='Project List References'!$B$5, _xlfn.IFNA(_xlfn.XLOOKUP(J$2-$C39, 'GEN-BESS'!$D$7:$AW$7, 'GEN-BESS'!$D$51:$AW$51), 0), IF($B39='Project List References'!$B$6, _xlfn.IFNA(_xlfn.XLOOKUP(J$2-$C39, 'GEN-CARBON'!$D$7:$AW$7, 'GEN-CARBON'!$D$51:$AW$51), 0), IF($B39='Project List References'!$B$7, _xlfn.IFNA(_xlfn.XLOOKUP(J$2-$C39, 'SENS Coal'!$D$7:$AW$7, 'SENS Coal'!$D$51:$AW$51), 0), IF($B39='Project List References'!$B$8, _xlfn.IFNA(_xlfn.XLOOKUP(J$2-$C39,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K39" s="743" t="e">
        <f>IF($B39='Project List References'!$B$3, _xlfn.IFNA(_xlfn.XLOOKUP(K$2-$C39, 'GEN-CCGT'!$D$7:$AW$7, 'GEN-CCGT'!$D$51:$AW$51), 0), IF($B39='Project List References'!$B$4, _xlfn.IFNA(_xlfn.XLOOKUP(K$2-$C39, 'GEN-SOLAR'!$D$7:$AW$7, 'GEN-SOLAR'!$D$51:$AW$51), 0), IF($B39='Project List References'!$B$5, _xlfn.IFNA(_xlfn.XLOOKUP(K$2-$C39, 'GEN-BESS'!$D$7:$AW$7, 'GEN-BESS'!$D$51:$AW$51), 0), IF($B39='Project List References'!$B$6, _xlfn.IFNA(_xlfn.XLOOKUP(K$2-$C39, 'GEN-CARBON'!$D$7:$AW$7, 'GEN-CARBON'!$D$51:$AW$51), 0), IF($B39='Project List References'!$B$7, _xlfn.IFNA(_xlfn.XLOOKUP(K$2-$C39, 'SENS Coal'!$D$7:$AW$7, 'SENS Coal'!$D$51:$AW$51), 0), IF($B39='Project List References'!$B$8, _xlfn.IFNA(_xlfn.XLOOKUP(K$2-$C39,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L39" s="743" t="e">
        <f>IF($B39='Project List References'!$B$3, _xlfn.IFNA(_xlfn.XLOOKUP(L$2-$C39, 'GEN-CCGT'!$D$7:$AW$7, 'GEN-CCGT'!$D$51:$AW$51), 0), IF($B39='Project List References'!$B$4, _xlfn.IFNA(_xlfn.XLOOKUP(L$2-$C39, 'GEN-SOLAR'!$D$7:$AW$7, 'GEN-SOLAR'!$D$51:$AW$51), 0), IF($B39='Project List References'!$B$5, _xlfn.IFNA(_xlfn.XLOOKUP(L$2-$C39, 'GEN-BESS'!$D$7:$AW$7, 'GEN-BESS'!$D$51:$AW$51), 0), IF($B39='Project List References'!$B$6, _xlfn.IFNA(_xlfn.XLOOKUP(L$2-$C39, 'GEN-CARBON'!$D$7:$AW$7, 'GEN-CARBON'!$D$51:$AW$51), 0), IF($B39='Project List References'!$B$7, _xlfn.IFNA(_xlfn.XLOOKUP(L$2-$C39, 'SENS Coal'!$D$7:$AW$7, 'SENS Coal'!$D$51:$AW$51), 0), IF($B39='Project List References'!$B$8, _xlfn.IFNA(_xlfn.XLOOKUP(L$2-$C39,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M39" s="743" t="e">
        <f>IF($B39='Project List References'!$B$3, _xlfn.IFNA(_xlfn.XLOOKUP(M$2-$C39, 'GEN-CCGT'!$D$7:$AW$7, 'GEN-CCGT'!$D$51:$AW$51), 0), IF($B39='Project List References'!$B$4, _xlfn.IFNA(_xlfn.XLOOKUP(M$2-$C39, 'GEN-SOLAR'!$D$7:$AW$7, 'GEN-SOLAR'!$D$51:$AW$51), 0), IF($B39='Project List References'!$B$5, _xlfn.IFNA(_xlfn.XLOOKUP(M$2-$C39, 'GEN-BESS'!$D$7:$AW$7, 'GEN-BESS'!$D$51:$AW$51), 0), IF($B39='Project List References'!$B$6, _xlfn.IFNA(_xlfn.XLOOKUP(M$2-$C39, 'GEN-CARBON'!$D$7:$AW$7, 'GEN-CARBON'!$D$51:$AW$51), 0), IF($B39='Project List References'!$B$7, _xlfn.IFNA(_xlfn.XLOOKUP(M$2-$C39, 'SENS Coal'!$D$7:$AW$7, 'SENS Coal'!$D$51:$AW$51), 0), IF($B39='Project List References'!$B$8, _xlfn.IFNA(_xlfn.XLOOKUP(M$2-$C39,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N39" s="743" t="e">
        <f>IF($B39='Project List References'!$B$3, _xlfn.IFNA(_xlfn.XLOOKUP(N$2-$C39, 'GEN-CCGT'!$D$7:$AW$7, 'GEN-CCGT'!$D$51:$AW$51), 0), IF($B39='Project List References'!$B$4, _xlfn.IFNA(_xlfn.XLOOKUP(N$2-$C39, 'GEN-SOLAR'!$D$7:$AW$7, 'GEN-SOLAR'!$D$51:$AW$51), 0), IF($B39='Project List References'!$B$5, _xlfn.IFNA(_xlfn.XLOOKUP(N$2-$C39, 'GEN-BESS'!$D$7:$AW$7, 'GEN-BESS'!$D$51:$AW$51), 0), IF($B39='Project List References'!$B$6, _xlfn.IFNA(_xlfn.XLOOKUP(N$2-$C39, 'GEN-CARBON'!$D$7:$AW$7, 'GEN-CARBON'!$D$51:$AW$51), 0), IF($B39='Project List References'!$B$7, _xlfn.IFNA(_xlfn.XLOOKUP(N$2-$C39, 'SENS Coal'!$D$7:$AW$7, 'SENS Coal'!$D$51:$AW$51), 0), IF($B39='Project List References'!$B$8, _xlfn.IFNA(_xlfn.XLOOKUP(N$2-$C39,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O39" s="743" t="e">
        <f>IF($B39='Project List References'!$B$3, _xlfn.IFNA(_xlfn.XLOOKUP(O$2-$C39, 'GEN-CCGT'!$D$7:$AW$7, 'GEN-CCGT'!$D$51:$AW$51), 0), IF($B39='Project List References'!$B$4, _xlfn.IFNA(_xlfn.XLOOKUP(O$2-$C39, 'GEN-SOLAR'!$D$7:$AW$7, 'GEN-SOLAR'!$D$51:$AW$51), 0), IF($B39='Project List References'!$B$5, _xlfn.IFNA(_xlfn.XLOOKUP(O$2-$C39, 'GEN-BESS'!$D$7:$AW$7, 'GEN-BESS'!$D$51:$AW$51), 0), IF($B39='Project List References'!$B$6, _xlfn.IFNA(_xlfn.XLOOKUP(O$2-$C39, 'GEN-CARBON'!$D$7:$AW$7, 'GEN-CARBON'!$D$51:$AW$51), 0), IF($B39='Project List References'!$B$7, _xlfn.IFNA(_xlfn.XLOOKUP(O$2-$C39, 'SENS Coal'!$D$7:$AW$7, 'SENS Coal'!$D$51:$AW$51), 0), IF($B39='Project List References'!$B$8, _xlfn.IFNA(_xlfn.XLOOKUP(O$2-$C39,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P39" s="743" t="e">
        <f>IF($B39='Project List References'!$B$3, _xlfn.IFNA(_xlfn.XLOOKUP(P$2-$C39, 'GEN-CCGT'!$D$7:$AW$7, 'GEN-CCGT'!$D$51:$AW$51), 0), IF($B39='Project List References'!$B$4, _xlfn.IFNA(_xlfn.XLOOKUP(P$2-$C39, 'GEN-SOLAR'!$D$7:$AW$7, 'GEN-SOLAR'!$D$51:$AW$51), 0), IF($B39='Project List References'!$B$5, _xlfn.IFNA(_xlfn.XLOOKUP(P$2-$C39, 'GEN-BESS'!$D$7:$AW$7, 'GEN-BESS'!$D$51:$AW$51), 0), IF($B39='Project List References'!$B$6, _xlfn.IFNA(_xlfn.XLOOKUP(P$2-$C39, 'GEN-CARBON'!$D$7:$AW$7, 'GEN-CARBON'!$D$51:$AW$51), 0), IF($B39='Project List References'!$B$7, _xlfn.IFNA(_xlfn.XLOOKUP(P$2-$C39, 'SENS Coal'!$D$7:$AW$7, 'SENS Coal'!$D$51:$AW$51), 0), IF($B39='Project List References'!$B$8, _xlfn.IFNA(_xlfn.XLOOKUP(P$2-$C39,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Q39" s="743" t="e">
        <f>IF($B39='Project List References'!$B$3, _xlfn.IFNA(_xlfn.XLOOKUP(Q$2-$C39, 'GEN-CCGT'!$D$7:$AW$7, 'GEN-CCGT'!$D$51:$AW$51), 0), IF($B39='Project List References'!$B$4, _xlfn.IFNA(_xlfn.XLOOKUP(Q$2-$C39, 'GEN-SOLAR'!$D$7:$AW$7, 'GEN-SOLAR'!$D$51:$AW$51), 0), IF($B39='Project List References'!$B$5, _xlfn.IFNA(_xlfn.XLOOKUP(Q$2-$C39, 'GEN-BESS'!$D$7:$AW$7, 'GEN-BESS'!$D$51:$AW$51), 0), IF($B39='Project List References'!$B$6, _xlfn.IFNA(_xlfn.XLOOKUP(Q$2-$C39, 'GEN-CARBON'!$D$7:$AW$7, 'GEN-CARBON'!$D$51:$AW$51), 0), IF($B39='Project List References'!$B$7, _xlfn.IFNA(_xlfn.XLOOKUP(Q$2-$C39, 'SENS Coal'!$D$7:$AW$7, 'SENS Coal'!$D$51:$AW$51), 0), IF($B39='Project List References'!$B$8, _xlfn.IFNA(_xlfn.XLOOKUP(Q$2-$C39,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R39" s="743" t="e">
        <f>IF($B39='Project List References'!$B$3, _xlfn.IFNA(_xlfn.XLOOKUP(R$2-$C39, 'GEN-CCGT'!$D$7:$AW$7, 'GEN-CCGT'!$D$51:$AW$51), 0), IF($B39='Project List References'!$B$4, _xlfn.IFNA(_xlfn.XLOOKUP(R$2-$C39, 'GEN-SOLAR'!$D$7:$AW$7, 'GEN-SOLAR'!$D$51:$AW$51), 0), IF($B39='Project List References'!$B$5, _xlfn.IFNA(_xlfn.XLOOKUP(R$2-$C39, 'GEN-BESS'!$D$7:$AW$7, 'GEN-BESS'!$D$51:$AW$51), 0), IF($B39='Project List References'!$B$6, _xlfn.IFNA(_xlfn.XLOOKUP(R$2-$C39, 'GEN-CARBON'!$D$7:$AW$7, 'GEN-CARBON'!$D$51:$AW$51), 0), IF($B39='Project List References'!$B$7, _xlfn.IFNA(_xlfn.XLOOKUP(R$2-$C39, 'SENS Coal'!$D$7:$AW$7, 'SENS Coal'!$D$51:$AW$51), 0), IF($B39='Project List References'!$B$8, _xlfn.IFNA(_xlfn.XLOOKUP(R$2-$C39,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S39" s="743" t="e">
        <f>IF($B39='Project List References'!$B$3, _xlfn.IFNA(_xlfn.XLOOKUP(S$2-$C39, 'GEN-CCGT'!$D$7:$AW$7, 'GEN-CCGT'!$D$51:$AW$51), 0), IF($B39='Project List References'!$B$4, _xlfn.IFNA(_xlfn.XLOOKUP(S$2-$C39, 'GEN-SOLAR'!$D$7:$AW$7, 'GEN-SOLAR'!$D$51:$AW$51), 0), IF($B39='Project List References'!$B$5, _xlfn.IFNA(_xlfn.XLOOKUP(S$2-$C39, 'GEN-BESS'!$D$7:$AW$7, 'GEN-BESS'!$D$51:$AW$51), 0), IF($B39='Project List References'!$B$6, _xlfn.IFNA(_xlfn.XLOOKUP(S$2-$C39, 'GEN-CARBON'!$D$7:$AW$7, 'GEN-CARBON'!$D$51:$AW$51), 0), IF($B39='Project List References'!$B$7, _xlfn.IFNA(_xlfn.XLOOKUP(S$2-$C39, 'SENS Coal'!$D$7:$AW$7, 'SENS Coal'!$D$51:$AW$51), 0), IF($B39='Project List References'!$B$8, _xlfn.IFNA(_xlfn.XLOOKUP(S$2-$C39,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  <c r="T39" s="743" t="e">
        <f>IF($B39='Project List References'!$B$3, _xlfn.IFNA(_xlfn.XLOOKUP(T$2-$C39, 'GEN-CCGT'!$D$7:$AW$7, 'GEN-CCGT'!$D$51:$AW$51), 0), IF($B39='Project List References'!$B$4, _xlfn.IFNA(_xlfn.XLOOKUP(T$2-$C39, 'GEN-SOLAR'!$D$7:$AW$7, 'GEN-SOLAR'!$D$51:$AW$51), 0), IF($B39='Project List References'!$B$5, _xlfn.IFNA(_xlfn.XLOOKUP(T$2-$C39, 'GEN-BESS'!$D$7:$AW$7, 'GEN-BESS'!$D$51:$AW$51), 0), IF($B39='Project List References'!$B$6, _xlfn.IFNA(_xlfn.XLOOKUP(T$2-$C39, 'GEN-CARBON'!$D$7:$AW$7, 'GEN-CARBON'!$D$51:$AW$51), 0), IF($B39='Project List References'!$B$7, _xlfn.IFNA(_xlfn.XLOOKUP(T$2-$C39, 'SENS Coal'!$D$7:$AW$7, 'SENS Coal'!$D$51:$AW$51), 0), IF($B39='Project List References'!$B$8, _xlfn.IFNA(_xlfn.XLOOKUP(T$2-$C39, 'SENS Tires'!$D$7:$AW$7, 'SENS Tires'!$D$51:$AW$51), 0)))))))/_xlfn.XLOOKUP($B39, 'Assumptions &amp; Inputs'!$F$76:$L$76, 'Assumptions &amp; Inputs'!$F$77:$L$77)*IF(OR($B39='Project List References'!$B$3, $B39='Project List References'!$B$4, $B39='Project List References'!$B$5, $B39='Project List References'!$B$6), 'Project Master Sheet'!$E39, 'Project Master Sheet'!$F39)</f>
        <v>#N/A</v>
      </c>
    </row>
    <row r="40" spans="1:20">
      <c r="A40" s="655" t="str">
        <f>IF(ISBLANK('Project Master Sheet'!A40)=FALSE, 'Project Master Sheet'!A40, "")</f>
        <v/>
      </c>
      <c r="B40" s="655" t="str">
        <f>_xlfn.IFNA(_xlfn.XLOOKUP(A40, 'Project Master Sheet'!A:A, 'Project Master Sheet'!D:D), "")</f>
        <v/>
      </c>
      <c r="C40" s="655" t="e">
        <f>_xlfn.XLOOKUP('Project OPEX'!A40, 'Project Master Sheet'!A:A, 'Project Master Sheet'!I:I)</f>
        <v>#N/A</v>
      </c>
      <c r="E40" s="743" t="e">
        <f>IF($B40='Project List References'!$B$3, _xlfn.IFNA(_xlfn.XLOOKUP(E$2-$C40, 'GEN-CCGT'!$D$7:$AW$7, 'GEN-CCGT'!$D$51:$AW$51), 0), IF($B40='Project List References'!$B$4, _xlfn.IFNA(_xlfn.XLOOKUP(E$2-$C40, 'GEN-SOLAR'!$D$7:$AW$7, 'GEN-SOLAR'!$D$51:$AW$51), 0), IF($B40='Project List References'!$B$5, _xlfn.IFNA(_xlfn.XLOOKUP(E$2-$C40, 'GEN-BESS'!$D$7:$AW$7, 'GEN-BESS'!$D$51:$AW$51), 0), IF($B40='Project List References'!$B$6, _xlfn.IFNA(_xlfn.XLOOKUP(E$2-$C40, 'GEN-CARBON'!$D$7:$AW$7, 'GEN-CARBON'!$D$51:$AW$51), 0), IF($B40='Project List References'!$B$7, _xlfn.IFNA(_xlfn.XLOOKUP(E$2-$C40, 'SENS Coal'!$D$7:$AW$7, 'SENS Coal'!$D$51:$AW$51), 0), IF($B40='Project List References'!$B$8, _xlfn.IFNA(_xlfn.XLOOKUP(E$2-$C40,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F40" s="743" t="e">
        <f>IF($B40='Project List References'!$B$3, _xlfn.IFNA(_xlfn.XLOOKUP(F$2-$C40, 'GEN-CCGT'!$D$7:$AW$7, 'GEN-CCGT'!$D$51:$AW$51), 0), IF($B40='Project List References'!$B$4, _xlfn.IFNA(_xlfn.XLOOKUP(F$2-$C40, 'GEN-SOLAR'!$D$7:$AW$7, 'GEN-SOLAR'!$D$51:$AW$51), 0), IF($B40='Project List References'!$B$5, _xlfn.IFNA(_xlfn.XLOOKUP(F$2-$C40, 'GEN-BESS'!$D$7:$AW$7, 'GEN-BESS'!$D$51:$AW$51), 0), IF($B40='Project List References'!$B$6, _xlfn.IFNA(_xlfn.XLOOKUP(F$2-$C40, 'GEN-CARBON'!$D$7:$AW$7, 'GEN-CARBON'!$D$51:$AW$51), 0), IF($B40='Project List References'!$B$7, _xlfn.IFNA(_xlfn.XLOOKUP(F$2-$C40, 'SENS Coal'!$D$7:$AW$7, 'SENS Coal'!$D$51:$AW$51), 0), IF($B40='Project List References'!$B$8, _xlfn.IFNA(_xlfn.XLOOKUP(F$2-$C40,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G40" s="743" t="e">
        <f>IF($B40='Project List References'!$B$3, _xlfn.IFNA(_xlfn.XLOOKUP(G$2-$C40, 'GEN-CCGT'!$D$7:$AW$7, 'GEN-CCGT'!$D$51:$AW$51), 0), IF($B40='Project List References'!$B$4, _xlfn.IFNA(_xlfn.XLOOKUP(G$2-$C40, 'GEN-SOLAR'!$D$7:$AW$7, 'GEN-SOLAR'!$D$51:$AW$51), 0), IF($B40='Project List References'!$B$5, _xlfn.IFNA(_xlfn.XLOOKUP(G$2-$C40, 'GEN-BESS'!$D$7:$AW$7, 'GEN-BESS'!$D$51:$AW$51), 0), IF($B40='Project List References'!$B$6, _xlfn.IFNA(_xlfn.XLOOKUP(G$2-$C40, 'GEN-CARBON'!$D$7:$AW$7, 'GEN-CARBON'!$D$51:$AW$51), 0), IF($B40='Project List References'!$B$7, _xlfn.IFNA(_xlfn.XLOOKUP(G$2-$C40, 'SENS Coal'!$D$7:$AW$7, 'SENS Coal'!$D$51:$AW$51), 0), IF($B40='Project List References'!$B$8, _xlfn.IFNA(_xlfn.XLOOKUP(G$2-$C40,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H40" s="743" t="e">
        <f>IF($B40='Project List References'!$B$3, _xlfn.IFNA(_xlfn.XLOOKUP(H$2-$C40, 'GEN-CCGT'!$D$7:$AW$7, 'GEN-CCGT'!$D$51:$AW$51), 0), IF($B40='Project List References'!$B$4, _xlfn.IFNA(_xlfn.XLOOKUP(H$2-$C40, 'GEN-SOLAR'!$D$7:$AW$7, 'GEN-SOLAR'!$D$51:$AW$51), 0), IF($B40='Project List References'!$B$5, _xlfn.IFNA(_xlfn.XLOOKUP(H$2-$C40, 'GEN-BESS'!$D$7:$AW$7, 'GEN-BESS'!$D$51:$AW$51), 0), IF($B40='Project List References'!$B$6, _xlfn.IFNA(_xlfn.XLOOKUP(H$2-$C40, 'GEN-CARBON'!$D$7:$AW$7, 'GEN-CARBON'!$D$51:$AW$51), 0), IF($B40='Project List References'!$B$7, _xlfn.IFNA(_xlfn.XLOOKUP(H$2-$C40, 'SENS Coal'!$D$7:$AW$7, 'SENS Coal'!$D$51:$AW$51), 0), IF($B40='Project List References'!$B$8, _xlfn.IFNA(_xlfn.XLOOKUP(H$2-$C40,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I40" s="743" t="e">
        <f>IF($B40='Project List References'!$B$3, _xlfn.IFNA(_xlfn.XLOOKUP(I$2-$C40, 'GEN-CCGT'!$D$7:$AW$7, 'GEN-CCGT'!$D$51:$AW$51), 0), IF($B40='Project List References'!$B$4, _xlfn.IFNA(_xlfn.XLOOKUP(I$2-$C40, 'GEN-SOLAR'!$D$7:$AW$7, 'GEN-SOLAR'!$D$51:$AW$51), 0), IF($B40='Project List References'!$B$5, _xlfn.IFNA(_xlfn.XLOOKUP(I$2-$C40, 'GEN-BESS'!$D$7:$AW$7, 'GEN-BESS'!$D$51:$AW$51), 0), IF($B40='Project List References'!$B$6, _xlfn.IFNA(_xlfn.XLOOKUP(I$2-$C40, 'GEN-CARBON'!$D$7:$AW$7, 'GEN-CARBON'!$D$51:$AW$51), 0), IF($B40='Project List References'!$B$7, _xlfn.IFNA(_xlfn.XLOOKUP(I$2-$C40, 'SENS Coal'!$D$7:$AW$7, 'SENS Coal'!$D$51:$AW$51), 0), IF($B40='Project List References'!$B$8, _xlfn.IFNA(_xlfn.XLOOKUP(I$2-$C40,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J40" s="743" t="e">
        <f>IF($B40='Project List References'!$B$3, _xlfn.IFNA(_xlfn.XLOOKUP(J$2-$C40, 'GEN-CCGT'!$D$7:$AW$7, 'GEN-CCGT'!$D$51:$AW$51), 0), IF($B40='Project List References'!$B$4, _xlfn.IFNA(_xlfn.XLOOKUP(J$2-$C40, 'GEN-SOLAR'!$D$7:$AW$7, 'GEN-SOLAR'!$D$51:$AW$51), 0), IF($B40='Project List References'!$B$5, _xlfn.IFNA(_xlfn.XLOOKUP(J$2-$C40, 'GEN-BESS'!$D$7:$AW$7, 'GEN-BESS'!$D$51:$AW$51), 0), IF($B40='Project List References'!$B$6, _xlfn.IFNA(_xlfn.XLOOKUP(J$2-$C40, 'GEN-CARBON'!$D$7:$AW$7, 'GEN-CARBON'!$D$51:$AW$51), 0), IF($B40='Project List References'!$B$7, _xlfn.IFNA(_xlfn.XLOOKUP(J$2-$C40, 'SENS Coal'!$D$7:$AW$7, 'SENS Coal'!$D$51:$AW$51), 0), IF($B40='Project List References'!$B$8, _xlfn.IFNA(_xlfn.XLOOKUP(J$2-$C40,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K40" s="743" t="e">
        <f>IF($B40='Project List References'!$B$3, _xlfn.IFNA(_xlfn.XLOOKUP(K$2-$C40, 'GEN-CCGT'!$D$7:$AW$7, 'GEN-CCGT'!$D$51:$AW$51), 0), IF($B40='Project List References'!$B$4, _xlfn.IFNA(_xlfn.XLOOKUP(K$2-$C40, 'GEN-SOLAR'!$D$7:$AW$7, 'GEN-SOLAR'!$D$51:$AW$51), 0), IF($B40='Project List References'!$B$5, _xlfn.IFNA(_xlfn.XLOOKUP(K$2-$C40, 'GEN-BESS'!$D$7:$AW$7, 'GEN-BESS'!$D$51:$AW$51), 0), IF($B40='Project List References'!$B$6, _xlfn.IFNA(_xlfn.XLOOKUP(K$2-$C40, 'GEN-CARBON'!$D$7:$AW$7, 'GEN-CARBON'!$D$51:$AW$51), 0), IF($B40='Project List References'!$B$7, _xlfn.IFNA(_xlfn.XLOOKUP(K$2-$C40, 'SENS Coal'!$D$7:$AW$7, 'SENS Coal'!$D$51:$AW$51), 0), IF($B40='Project List References'!$B$8, _xlfn.IFNA(_xlfn.XLOOKUP(K$2-$C40,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L40" s="743" t="e">
        <f>IF($B40='Project List References'!$B$3, _xlfn.IFNA(_xlfn.XLOOKUP(L$2-$C40, 'GEN-CCGT'!$D$7:$AW$7, 'GEN-CCGT'!$D$51:$AW$51), 0), IF($B40='Project List References'!$B$4, _xlfn.IFNA(_xlfn.XLOOKUP(L$2-$C40, 'GEN-SOLAR'!$D$7:$AW$7, 'GEN-SOLAR'!$D$51:$AW$51), 0), IF($B40='Project List References'!$B$5, _xlfn.IFNA(_xlfn.XLOOKUP(L$2-$C40, 'GEN-BESS'!$D$7:$AW$7, 'GEN-BESS'!$D$51:$AW$51), 0), IF($B40='Project List References'!$B$6, _xlfn.IFNA(_xlfn.XLOOKUP(L$2-$C40, 'GEN-CARBON'!$D$7:$AW$7, 'GEN-CARBON'!$D$51:$AW$51), 0), IF($B40='Project List References'!$B$7, _xlfn.IFNA(_xlfn.XLOOKUP(L$2-$C40, 'SENS Coal'!$D$7:$AW$7, 'SENS Coal'!$D$51:$AW$51), 0), IF($B40='Project List References'!$B$8, _xlfn.IFNA(_xlfn.XLOOKUP(L$2-$C40,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M40" s="743" t="e">
        <f>IF($B40='Project List References'!$B$3, _xlfn.IFNA(_xlfn.XLOOKUP(M$2-$C40, 'GEN-CCGT'!$D$7:$AW$7, 'GEN-CCGT'!$D$51:$AW$51), 0), IF($B40='Project List References'!$B$4, _xlfn.IFNA(_xlfn.XLOOKUP(M$2-$C40, 'GEN-SOLAR'!$D$7:$AW$7, 'GEN-SOLAR'!$D$51:$AW$51), 0), IF($B40='Project List References'!$B$5, _xlfn.IFNA(_xlfn.XLOOKUP(M$2-$C40, 'GEN-BESS'!$D$7:$AW$7, 'GEN-BESS'!$D$51:$AW$51), 0), IF($B40='Project List References'!$B$6, _xlfn.IFNA(_xlfn.XLOOKUP(M$2-$C40, 'GEN-CARBON'!$D$7:$AW$7, 'GEN-CARBON'!$D$51:$AW$51), 0), IF($B40='Project List References'!$B$7, _xlfn.IFNA(_xlfn.XLOOKUP(M$2-$C40, 'SENS Coal'!$D$7:$AW$7, 'SENS Coal'!$D$51:$AW$51), 0), IF($B40='Project List References'!$B$8, _xlfn.IFNA(_xlfn.XLOOKUP(M$2-$C40,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N40" s="743" t="e">
        <f>IF($B40='Project List References'!$B$3, _xlfn.IFNA(_xlfn.XLOOKUP(N$2-$C40, 'GEN-CCGT'!$D$7:$AW$7, 'GEN-CCGT'!$D$51:$AW$51), 0), IF($B40='Project List References'!$B$4, _xlfn.IFNA(_xlfn.XLOOKUP(N$2-$C40, 'GEN-SOLAR'!$D$7:$AW$7, 'GEN-SOLAR'!$D$51:$AW$51), 0), IF($B40='Project List References'!$B$5, _xlfn.IFNA(_xlfn.XLOOKUP(N$2-$C40, 'GEN-BESS'!$D$7:$AW$7, 'GEN-BESS'!$D$51:$AW$51), 0), IF($B40='Project List References'!$B$6, _xlfn.IFNA(_xlfn.XLOOKUP(N$2-$C40, 'GEN-CARBON'!$D$7:$AW$7, 'GEN-CARBON'!$D$51:$AW$51), 0), IF($B40='Project List References'!$B$7, _xlfn.IFNA(_xlfn.XLOOKUP(N$2-$C40, 'SENS Coal'!$D$7:$AW$7, 'SENS Coal'!$D$51:$AW$51), 0), IF($B40='Project List References'!$B$8, _xlfn.IFNA(_xlfn.XLOOKUP(N$2-$C40,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O40" s="743" t="e">
        <f>IF($B40='Project List References'!$B$3, _xlfn.IFNA(_xlfn.XLOOKUP(O$2-$C40, 'GEN-CCGT'!$D$7:$AW$7, 'GEN-CCGT'!$D$51:$AW$51), 0), IF($B40='Project List References'!$B$4, _xlfn.IFNA(_xlfn.XLOOKUP(O$2-$C40, 'GEN-SOLAR'!$D$7:$AW$7, 'GEN-SOLAR'!$D$51:$AW$51), 0), IF($B40='Project List References'!$B$5, _xlfn.IFNA(_xlfn.XLOOKUP(O$2-$C40, 'GEN-BESS'!$D$7:$AW$7, 'GEN-BESS'!$D$51:$AW$51), 0), IF($B40='Project List References'!$B$6, _xlfn.IFNA(_xlfn.XLOOKUP(O$2-$C40, 'GEN-CARBON'!$D$7:$AW$7, 'GEN-CARBON'!$D$51:$AW$51), 0), IF($B40='Project List References'!$B$7, _xlfn.IFNA(_xlfn.XLOOKUP(O$2-$C40, 'SENS Coal'!$D$7:$AW$7, 'SENS Coal'!$D$51:$AW$51), 0), IF($B40='Project List References'!$B$8, _xlfn.IFNA(_xlfn.XLOOKUP(O$2-$C40,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P40" s="743" t="e">
        <f>IF($B40='Project List References'!$B$3, _xlfn.IFNA(_xlfn.XLOOKUP(P$2-$C40, 'GEN-CCGT'!$D$7:$AW$7, 'GEN-CCGT'!$D$51:$AW$51), 0), IF($B40='Project List References'!$B$4, _xlfn.IFNA(_xlfn.XLOOKUP(P$2-$C40, 'GEN-SOLAR'!$D$7:$AW$7, 'GEN-SOLAR'!$D$51:$AW$51), 0), IF($B40='Project List References'!$B$5, _xlfn.IFNA(_xlfn.XLOOKUP(P$2-$C40, 'GEN-BESS'!$D$7:$AW$7, 'GEN-BESS'!$D$51:$AW$51), 0), IF($B40='Project List References'!$B$6, _xlfn.IFNA(_xlfn.XLOOKUP(P$2-$C40, 'GEN-CARBON'!$D$7:$AW$7, 'GEN-CARBON'!$D$51:$AW$51), 0), IF($B40='Project List References'!$B$7, _xlfn.IFNA(_xlfn.XLOOKUP(P$2-$C40, 'SENS Coal'!$D$7:$AW$7, 'SENS Coal'!$D$51:$AW$51), 0), IF($B40='Project List References'!$B$8, _xlfn.IFNA(_xlfn.XLOOKUP(P$2-$C40,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Q40" s="743" t="e">
        <f>IF($B40='Project List References'!$B$3, _xlfn.IFNA(_xlfn.XLOOKUP(Q$2-$C40, 'GEN-CCGT'!$D$7:$AW$7, 'GEN-CCGT'!$D$51:$AW$51), 0), IF($B40='Project List References'!$B$4, _xlfn.IFNA(_xlfn.XLOOKUP(Q$2-$C40, 'GEN-SOLAR'!$D$7:$AW$7, 'GEN-SOLAR'!$D$51:$AW$51), 0), IF($B40='Project List References'!$B$5, _xlfn.IFNA(_xlfn.XLOOKUP(Q$2-$C40, 'GEN-BESS'!$D$7:$AW$7, 'GEN-BESS'!$D$51:$AW$51), 0), IF($B40='Project List References'!$B$6, _xlfn.IFNA(_xlfn.XLOOKUP(Q$2-$C40, 'GEN-CARBON'!$D$7:$AW$7, 'GEN-CARBON'!$D$51:$AW$51), 0), IF($B40='Project List References'!$B$7, _xlfn.IFNA(_xlfn.XLOOKUP(Q$2-$C40, 'SENS Coal'!$D$7:$AW$7, 'SENS Coal'!$D$51:$AW$51), 0), IF($B40='Project List References'!$B$8, _xlfn.IFNA(_xlfn.XLOOKUP(Q$2-$C40,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R40" s="743" t="e">
        <f>IF($B40='Project List References'!$B$3, _xlfn.IFNA(_xlfn.XLOOKUP(R$2-$C40, 'GEN-CCGT'!$D$7:$AW$7, 'GEN-CCGT'!$D$51:$AW$51), 0), IF($B40='Project List References'!$B$4, _xlfn.IFNA(_xlfn.XLOOKUP(R$2-$C40, 'GEN-SOLAR'!$D$7:$AW$7, 'GEN-SOLAR'!$D$51:$AW$51), 0), IF($B40='Project List References'!$B$5, _xlfn.IFNA(_xlfn.XLOOKUP(R$2-$C40, 'GEN-BESS'!$D$7:$AW$7, 'GEN-BESS'!$D$51:$AW$51), 0), IF($B40='Project List References'!$B$6, _xlfn.IFNA(_xlfn.XLOOKUP(R$2-$C40, 'GEN-CARBON'!$D$7:$AW$7, 'GEN-CARBON'!$D$51:$AW$51), 0), IF($B40='Project List References'!$B$7, _xlfn.IFNA(_xlfn.XLOOKUP(R$2-$C40, 'SENS Coal'!$D$7:$AW$7, 'SENS Coal'!$D$51:$AW$51), 0), IF($B40='Project List References'!$B$8, _xlfn.IFNA(_xlfn.XLOOKUP(R$2-$C40,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S40" s="743" t="e">
        <f>IF($B40='Project List References'!$B$3, _xlfn.IFNA(_xlfn.XLOOKUP(S$2-$C40, 'GEN-CCGT'!$D$7:$AW$7, 'GEN-CCGT'!$D$51:$AW$51), 0), IF($B40='Project List References'!$B$4, _xlfn.IFNA(_xlfn.XLOOKUP(S$2-$C40, 'GEN-SOLAR'!$D$7:$AW$7, 'GEN-SOLAR'!$D$51:$AW$51), 0), IF($B40='Project List References'!$B$5, _xlfn.IFNA(_xlfn.XLOOKUP(S$2-$C40, 'GEN-BESS'!$D$7:$AW$7, 'GEN-BESS'!$D$51:$AW$51), 0), IF($B40='Project List References'!$B$6, _xlfn.IFNA(_xlfn.XLOOKUP(S$2-$C40, 'GEN-CARBON'!$D$7:$AW$7, 'GEN-CARBON'!$D$51:$AW$51), 0), IF($B40='Project List References'!$B$7, _xlfn.IFNA(_xlfn.XLOOKUP(S$2-$C40, 'SENS Coal'!$D$7:$AW$7, 'SENS Coal'!$D$51:$AW$51), 0), IF($B40='Project List References'!$B$8, _xlfn.IFNA(_xlfn.XLOOKUP(S$2-$C40,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  <c r="T40" s="743" t="e">
        <f>IF($B40='Project List References'!$B$3, _xlfn.IFNA(_xlfn.XLOOKUP(T$2-$C40, 'GEN-CCGT'!$D$7:$AW$7, 'GEN-CCGT'!$D$51:$AW$51), 0), IF($B40='Project List References'!$B$4, _xlfn.IFNA(_xlfn.XLOOKUP(T$2-$C40, 'GEN-SOLAR'!$D$7:$AW$7, 'GEN-SOLAR'!$D$51:$AW$51), 0), IF($B40='Project List References'!$B$5, _xlfn.IFNA(_xlfn.XLOOKUP(T$2-$C40, 'GEN-BESS'!$D$7:$AW$7, 'GEN-BESS'!$D$51:$AW$51), 0), IF($B40='Project List References'!$B$6, _xlfn.IFNA(_xlfn.XLOOKUP(T$2-$C40, 'GEN-CARBON'!$D$7:$AW$7, 'GEN-CARBON'!$D$51:$AW$51), 0), IF($B40='Project List References'!$B$7, _xlfn.IFNA(_xlfn.XLOOKUP(T$2-$C40, 'SENS Coal'!$D$7:$AW$7, 'SENS Coal'!$D$51:$AW$51), 0), IF($B40='Project List References'!$B$8, _xlfn.IFNA(_xlfn.XLOOKUP(T$2-$C40, 'SENS Tires'!$D$7:$AW$7, 'SENS Tires'!$D$51:$AW$51), 0)))))))/_xlfn.XLOOKUP($B40, 'Assumptions &amp; Inputs'!$F$76:$L$76, 'Assumptions &amp; Inputs'!$F$77:$L$77)*IF(OR($B40='Project List References'!$B$3, $B40='Project List References'!$B$4, $B40='Project List References'!$B$5, $B40='Project List References'!$B$6), 'Project Master Sheet'!$E40, 'Project Master Sheet'!$F40)</f>
        <v>#N/A</v>
      </c>
    </row>
    <row r="41" spans="1:20">
      <c r="A41" s="655" t="str">
        <f>IF(ISBLANK('Project Master Sheet'!A41)=FALSE, 'Project Master Sheet'!A41, "")</f>
        <v/>
      </c>
      <c r="B41" s="655" t="str">
        <f>_xlfn.IFNA(_xlfn.XLOOKUP(A41, 'Project Master Sheet'!A:A, 'Project Master Sheet'!D:D), "")</f>
        <v/>
      </c>
      <c r="C41" s="655" t="e">
        <f>_xlfn.XLOOKUP('Project OPEX'!A41, 'Project Master Sheet'!A:A, 'Project Master Sheet'!I:I)</f>
        <v>#N/A</v>
      </c>
      <c r="E41" s="743" t="e">
        <f>IF($B41='Project List References'!$B$3, _xlfn.IFNA(_xlfn.XLOOKUP(E$2-$C41, 'GEN-CCGT'!$D$7:$AW$7, 'GEN-CCGT'!$D$51:$AW$51), 0), IF($B41='Project List References'!$B$4, _xlfn.IFNA(_xlfn.XLOOKUP(E$2-$C41, 'GEN-SOLAR'!$D$7:$AW$7, 'GEN-SOLAR'!$D$51:$AW$51), 0), IF($B41='Project List References'!$B$5, _xlfn.IFNA(_xlfn.XLOOKUP(E$2-$C41, 'GEN-BESS'!$D$7:$AW$7, 'GEN-BESS'!$D$51:$AW$51), 0), IF($B41='Project List References'!$B$6, _xlfn.IFNA(_xlfn.XLOOKUP(E$2-$C41, 'GEN-CARBON'!$D$7:$AW$7, 'GEN-CARBON'!$D$51:$AW$51), 0), IF($B41='Project List References'!$B$7, _xlfn.IFNA(_xlfn.XLOOKUP(E$2-$C41, 'SENS Coal'!$D$7:$AW$7, 'SENS Coal'!$D$51:$AW$51), 0), IF($B41='Project List References'!$B$8, _xlfn.IFNA(_xlfn.XLOOKUP(E$2-$C41,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F41" s="743" t="e">
        <f>IF($B41='Project List References'!$B$3, _xlfn.IFNA(_xlfn.XLOOKUP(F$2-$C41, 'GEN-CCGT'!$D$7:$AW$7, 'GEN-CCGT'!$D$51:$AW$51), 0), IF($B41='Project List References'!$B$4, _xlfn.IFNA(_xlfn.XLOOKUP(F$2-$C41, 'GEN-SOLAR'!$D$7:$AW$7, 'GEN-SOLAR'!$D$51:$AW$51), 0), IF($B41='Project List References'!$B$5, _xlfn.IFNA(_xlfn.XLOOKUP(F$2-$C41, 'GEN-BESS'!$D$7:$AW$7, 'GEN-BESS'!$D$51:$AW$51), 0), IF($B41='Project List References'!$B$6, _xlfn.IFNA(_xlfn.XLOOKUP(F$2-$C41, 'GEN-CARBON'!$D$7:$AW$7, 'GEN-CARBON'!$D$51:$AW$51), 0), IF($B41='Project List References'!$B$7, _xlfn.IFNA(_xlfn.XLOOKUP(F$2-$C41, 'SENS Coal'!$D$7:$AW$7, 'SENS Coal'!$D$51:$AW$51), 0), IF($B41='Project List References'!$B$8, _xlfn.IFNA(_xlfn.XLOOKUP(F$2-$C41,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G41" s="743" t="e">
        <f>IF($B41='Project List References'!$B$3, _xlfn.IFNA(_xlfn.XLOOKUP(G$2-$C41, 'GEN-CCGT'!$D$7:$AW$7, 'GEN-CCGT'!$D$51:$AW$51), 0), IF($B41='Project List References'!$B$4, _xlfn.IFNA(_xlfn.XLOOKUP(G$2-$C41, 'GEN-SOLAR'!$D$7:$AW$7, 'GEN-SOLAR'!$D$51:$AW$51), 0), IF($B41='Project List References'!$B$5, _xlfn.IFNA(_xlfn.XLOOKUP(G$2-$C41, 'GEN-BESS'!$D$7:$AW$7, 'GEN-BESS'!$D$51:$AW$51), 0), IF($B41='Project List References'!$B$6, _xlfn.IFNA(_xlfn.XLOOKUP(G$2-$C41, 'GEN-CARBON'!$D$7:$AW$7, 'GEN-CARBON'!$D$51:$AW$51), 0), IF($B41='Project List References'!$B$7, _xlfn.IFNA(_xlfn.XLOOKUP(G$2-$C41, 'SENS Coal'!$D$7:$AW$7, 'SENS Coal'!$D$51:$AW$51), 0), IF($B41='Project List References'!$B$8, _xlfn.IFNA(_xlfn.XLOOKUP(G$2-$C41,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H41" s="743" t="e">
        <f>IF($B41='Project List References'!$B$3, _xlfn.IFNA(_xlfn.XLOOKUP(H$2-$C41, 'GEN-CCGT'!$D$7:$AW$7, 'GEN-CCGT'!$D$51:$AW$51), 0), IF($B41='Project List References'!$B$4, _xlfn.IFNA(_xlfn.XLOOKUP(H$2-$C41, 'GEN-SOLAR'!$D$7:$AW$7, 'GEN-SOLAR'!$D$51:$AW$51), 0), IF($B41='Project List References'!$B$5, _xlfn.IFNA(_xlfn.XLOOKUP(H$2-$C41, 'GEN-BESS'!$D$7:$AW$7, 'GEN-BESS'!$D$51:$AW$51), 0), IF($B41='Project List References'!$B$6, _xlfn.IFNA(_xlfn.XLOOKUP(H$2-$C41, 'GEN-CARBON'!$D$7:$AW$7, 'GEN-CARBON'!$D$51:$AW$51), 0), IF($B41='Project List References'!$B$7, _xlfn.IFNA(_xlfn.XLOOKUP(H$2-$C41, 'SENS Coal'!$D$7:$AW$7, 'SENS Coal'!$D$51:$AW$51), 0), IF($B41='Project List References'!$B$8, _xlfn.IFNA(_xlfn.XLOOKUP(H$2-$C41,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I41" s="743" t="e">
        <f>IF($B41='Project List References'!$B$3, _xlfn.IFNA(_xlfn.XLOOKUP(I$2-$C41, 'GEN-CCGT'!$D$7:$AW$7, 'GEN-CCGT'!$D$51:$AW$51), 0), IF($B41='Project List References'!$B$4, _xlfn.IFNA(_xlfn.XLOOKUP(I$2-$C41, 'GEN-SOLAR'!$D$7:$AW$7, 'GEN-SOLAR'!$D$51:$AW$51), 0), IF($B41='Project List References'!$B$5, _xlfn.IFNA(_xlfn.XLOOKUP(I$2-$C41, 'GEN-BESS'!$D$7:$AW$7, 'GEN-BESS'!$D$51:$AW$51), 0), IF($B41='Project List References'!$B$6, _xlfn.IFNA(_xlfn.XLOOKUP(I$2-$C41, 'GEN-CARBON'!$D$7:$AW$7, 'GEN-CARBON'!$D$51:$AW$51), 0), IF($B41='Project List References'!$B$7, _xlfn.IFNA(_xlfn.XLOOKUP(I$2-$C41, 'SENS Coal'!$D$7:$AW$7, 'SENS Coal'!$D$51:$AW$51), 0), IF($B41='Project List References'!$B$8, _xlfn.IFNA(_xlfn.XLOOKUP(I$2-$C41,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J41" s="743" t="e">
        <f>IF($B41='Project List References'!$B$3, _xlfn.IFNA(_xlfn.XLOOKUP(J$2-$C41, 'GEN-CCGT'!$D$7:$AW$7, 'GEN-CCGT'!$D$51:$AW$51), 0), IF($B41='Project List References'!$B$4, _xlfn.IFNA(_xlfn.XLOOKUP(J$2-$C41, 'GEN-SOLAR'!$D$7:$AW$7, 'GEN-SOLAR'!$D$51:$AW$51), 0), IF($B41='Project List References'!$B$5, _xlfn.IFNA(_xlfn.XLOOKUP(J$2-$C41, 'GEN-BESS'!$D$7:$AW$7, 'GEN-BESS'!$D$51:$AW$51), 0), IF($B41='Project List References'!$B$6, _xlfn.IFNA(_xlfn.XLOOKUP(J$2-$C41, 'GEN-CARBON'!$D$7:$AW$7, 'GEN-CARBON'!$D$51:$AW$51), 0), IF($B41='Project List References'!$B$7, _xlfn.IFNA(_xlfn.XLOOKUP(J$2-$C41, 'SENS Coal'!$D$7:$AW$7, 'SENS Coal'!$D$51:$AW$51), 0), IF($B41='Project List References'!$B$8, _xlfn.IFNA(_xlfn.XLOOKUP(J$2-$C41,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K41" s="743" t="e">
        <f>IF($B41='Project List References'!$B$3, _xlfn.IFNA(_xlfn.XLOOKUP(K$2-$C41, 'GEN-CCGT'!$D$7:$AW$7, 'GEN-CCGT'!$D$51:$AW$51), 0), IF($B41='Project List References'!$B$4, _xlfn.IFNA(_xlfn.XLOOKUP(K$2-$C41, 'GEN-SOLAR'!$D$7:$AW$7, 'GEN-SOLAR'!$D$51:$AW$51), 0), IF($B41='Project List References'!$B$5, _xlfn.IFNA(_xlfn.XLOOKUP(K$2-$C41, 'GEN-BESS'!$D$7:$AW$7, 'GEN-BESS'!$D$51:$AW$51), 0), IF($B41='Project List References'!$B$6, _xlfn.IFNA(_xlfn.XLOOKUP(K$2-$C41, 'GEN-CARBON'!$D$7:$AW$7, 'GEN-CARBON'!$D$51:$AW$51), 0), IF($B41='Project List References'!$B$7, _xlfn.IFNA(_xlfn.XLOOKUP(K$2-$C41, 'SENS Coal'!$D$7:$AW$7, 'SENS Coal'!$D$51:$AW$51), 0), IF($B41='Project List References'!$B$8, _xlfn.IFNA(_xlfn.XLOOKUP(K$2-$C41,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L41" s="743" t="e">
        <f>IF($B41='Project List References'!$B$3, _xlfn.IFNA(_xlfn.XLOOKUP(L$2-$C41, 'GEN-CCGT'!$D$7:$AW$7, 'GEN-CCGT'!$D$51:$AW$51), 0), IF($B41='Project List References'!$B$4, _xlfn.IFNA(_xlfn.XLOOKUP(L$2-$C41, 'GEN-SOLAR'!$D$7:$AW$7, 'GEN-SOLAR'!$D$51:$AW$51), 0), IF($B41='Project List References'!$B$5, _xlfn.IFNA(_xlfn.XLOOKUP(L$2-$C41, 'GEN-BESS'!$D$7:$AW$7, 'GEN-BESS'!$D$51:$AW$51), 0), IF($B41='Project List References'!$B$6, _xlfn.IFNA(_xlfn.XLOOKUP(L$2-$C41, 'GEN-CARBON'!$D$7:$AW$7, 'GEN-CARBON'!$D$51:$AW$51), 0), IF($B41='Project List References'!$B$7, _xlfn.IFNA(_xlfn.XLOOKUP(L$2-$C41, 'SENS Coal'!$D$7:$AW$7, 'SENS Coal'!$D$51:$AW$51), 0), IF($B41='Project List References'!$B$8, _xlfn.IFNA(_xlfn.XLOOKUP(L$2-$C41,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M41" s="743" t="e">
        <f>IF($B41='Project List References'!$B$3, _xlfn.IFNA(_xlfn.XLOOKUP(M$2-$C41, 'GEN-CCGT'!$D$7:$AW$7, 'GEN-CCGT'!$D$51:$AW$51), 0), IF($B41='Project List References'!$B$4, _xlfn.IFNA(_xlfn.XLOOKUP(M$2-$C41, 'GEN-SOLAR'!$D$7:$AW$7, 'GEN-SOLAR'!$D$51:$AW$51), 0), IF($B41='Project List References'!$B$5, _xlfn.IFNA(_xlfn.XLOOKUP(M$2-$C41, 'GEN-BESS'!$D$7:$AW$7, 'GEN-BESS'!$D$51:$AW$51), 0), IF($B41='Project List References'!$B$6, _xlfn.IFNA(_xlfn.XLOOKUP(M$2-$C41, 'GEN-CARBON'!$D$7:$AW$7, 'GEN-CARBON'!$D$51:$AW$51), 0), IF($B41='Project List References'!$B$7, _xlfn.IFNA(_xlfn.XLOOKUP(M$2-$C41, 'SENS Coal'!$D$7:$AW$7, 'SENS Coal'!$D$51:$AW$51), 0), IF($B41='Project List References'!$B$8, _xlfn.IFNA(_xlfn.XLOOKUP(M$2-$C41,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N41" s="743" t="e">
        <f>IF($B41='Project List References'!$B$3, _xlfn.IFNA(_xlfn.XLOOKUP(N$2-$C41, 'GEN-CCGT'!$D$7:$AW$7, 'GEN-CCGT'!$D$51:$AW$51), 0), IF($B41='Project List References'!$B$4, _xlfn.IFNA(_xlfn.XLOOKUP(N$2-$C41, 'GEN-SOLAR'!$D$7:$AW$7, 'GEN-SOLAR'!$D$51:$AW$51), 0), IF($B41='Project List References'!$B$5, _xlfn.IFNA(_xlfn.XLOOKUP(N$2-$C41, 'GEN-BESS'!$D$7:$AW$7, 'GEN-BESS'!$D$51:$AW$51), 0), IF($B41='Project List References'!$B$6, _xlfn.IFNA(_xlfn.XLOOKUP(N$2-$C41, 'GEN-CARBON'!$D$7:$AW$7, 'GEN-CARBON'!$D$51:$AW$51), 0), IF($B41='Project List References'!$B$7, _xlfn.IFNA(_xlfn.XLOOKUP(N$2-$C41, 'SENS Coal'!$D$7:$AW$7, 'SENS Coal'!$D$51:$AW$51), 0), IF($B41='Project List References'!$B$8, _xlfn.IFNA(_xlfn.XLOOKUP(N$2-$C41,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O41" s="743" t="e">
        <f>IF($B41='Project List References'!$B$3, _xlfn.IFNA(_xlfn.XLOOKUP(O$2-$C41, 'GEN-CCGT'!$D$7:$AW$7, 'GEN-CCGT'!$D$51:$AW$51), 0), IF($B41='Project List References'!$B$4, _xlfn.IFNA(_xlfn.XLOOKUP(O$2-$C41, 'GEN-SOLAR'!$D$7:$AW$7, 'GEN-SOLAR'!$D$51:$AW$51), 0), IF($B41='Project List References'!$B$5, _xlfn.IFNA(_xlfn.XLOOKUP(O$2-$C41, 'GEN-BESS'!$D$7:$AW$7, 'GEN-BESS'!$D$51:$AW$51), 0), IF($B41='Project List References'!$B$6, _xlfn.IFNA(_xlfn.XLOOKUP(O$2-$C41, 'GEN-CARBON'!$D$7:$AW$7, 'GEN-CARBON'!$D$51:$AW$51), 0), IF($B41='Project List References'!$B$7, _xlfn.IFNA(_xlfn.XLOOKUP(O$2-$C41, 'SENS Coal'!$D$7:$AW$7, 'SENS Coal'!$D$51:$AW$51), 0), IF($B41='Project List References'!$B$8, _xlfn.IFNA(_xlfn.XLOOKUP(O$2-$C41,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P41" s="743" t="e">
        <f>IF($B41='Project List References'!$B$3, _xlfn.IFNA(_xlfn.XLOOKUP(P$2-$C41, 'GEN-CCGT'!$D$7:$AW$7, 'GEN-CCGT'!$D$51:$AW$51), 0), IF($B41='Project List References'!$B$4, _xlfn.IFNA(_xlfn.XLOOKUP(P$2-$C41, 'GEN-SOLAR'!$D$7:$AW$7, 'GEN-SOLAR'!$D$51:$AW$51), 0), IF($B41='Project List References'!$B$5, _xlfn.IFNA(_xlfn.XLOOKUP(P$2-$C41, 'GEN-BESS'!$D$7:$AW$7, 'GEN-BESS'!$D$51:$AW$51), 0), IF($B41='Project List References'!$B$6, _xlfn.IFNA(_xlfn.XLOOKUP(P$2-$C41, 'GEN-CARBON'!$D$7:$AW$7, 'GEN-CARBON'!$D$51:$AW$51), 0), IF($B41='Project List References'!$B$7, _xlfn.IFNA(_xlfn.XLOOKUP(P$2-$C41, 'SENS Coal'!$D$7:$AW$7, 'SENS Coal'!$D$51:$AW$51), 0), IF($B41='Project List References'!$B$8, _xlfn.IFNA(_xlfn.XLOOKUP(P$2-$C41,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Q41" s="743" t="e">
        <f>IF($B41='Project List References'!$B$3, _xlfn.IFNA(_xlfn.XLOOKUP(Q$2-$C41, 'GEN-CCGT'!$D$7:$AW$7, 'GEN-CCGT'!$D$51:$AW$51), 0), IF($B41='Project List References'!$B$4, _xlfn.IFNA(_xlfn.XLOOKUP(Q$2-$C41, 'GEN-SOLAR'!$D$7:$AW$7, 'GEN-SOLAR'!$D$51:$AW$51), 0), IF($B41='Project List References'!$B$5, _xlfn.IFNA(_xlfn.XLOOKUP(Q$2-$C41, 'GEN-BESS'!$D$7:$AW$7, 'GEN-BESS'!$D$51:$AW$51), 0), IF($B41='Project List References'!$B$6, _xlfn.IFNA(_xlfn.XLOOKUP(Q$2-$C41, 'GEN-CARBON'!$D$7:$AW$7, 'GEN-CARBON'!$D$51:$AW$51), 0), IF($B41='Project List References'!$B$7, _xlfn.IFNA(_xlfn.XLOOKUP(Q$2-$C41, 'SENS Coal'!$D$7:$AW$7, 'SENS Coal'!$D$51:$AW$51), 0), IF($B41='Project List References'!$B$8, _xlfn.IFNA(_xlfn.XLOOKUP(Q$2-$C41,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R41" s="743" t="e">
        <f>IF($B41='Project List References'!$B$3, _xlfn.IFNA(_xlfn.XLOOKUP(R$2-$C41, 'GEN-CCGT'!$D$7:$AW$7, 'GEN-CCGT'!$D$51:$AW$51), 0), IF($B41='Project List References'!$B$4, _xlfn.IFNA(_xlfn.XLOOKUP(R$2-$C41, 'GEN-SOLAR'!$D$7:$AW$7, 'GEN-SOLAR'!$D$51:$AW$51), 0), IF($B41='Project List References'!$B$5, _xlfn.IFNA(_xlfn.XLOOKUP(R$2-$C41, 'GEN-BESS'!$D$7:$AW$7, 'GEN-BESS'!$D$51:$AW$51), 0), IF($B41='Project List References'!$B$6, _xlfn.IFNA(_xlfn.XLOOKUP(R$2-$C41, 'GEN-CARBON'!$D$7:$AW$7, 'GEN-CARBON'!$D$51:$AW$51), 0), IF($B41='Project List References'!$B$7, _xlfn.IFNA(_xlfn.XLOOKUP(R$2-$C41, 'SENS Coal'!$D$7:$AW$7, 'SENS Coal'!$D$51:$AW$51), 0), IF($B41='Project List References'!$B$8, _xlfn.IFNA(_xlfn.XLOOKUP(R$2-$C41,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S41" s="743" t="e">
        <f>IF($B41='Project List References'!$B$3, _xlfn.IFNA(_xlfn.XLOOKUP(S$2-$C41, 'GEN-CCGT'!$D$7:$AW$7, 'GEN-CCGT'!$D$51:$AW$51), 0), IF($B41='Project List References'!$B$4, _xlfn.IFNA(_xlfn.XLOOKUP(S$2-$C41, 'GEN-SOLAR'!$D$7:$AW$7, 'GEN-SOLAR'!$D$51:$AW$51), 0), IF($B41='Project List References'!$B$5, _xlfn.IFNA(_xlfn.XLOOKUP(S$2-$C41, 'GEN-BESS'!$D$7:$AW$7, 'GEN-BESS'!$D$51:$AW$51), 0), IF($B41='Project List References'!$B$6, _xlfn.IFNA(_xlfn.XLOOKUP(S$2-$C41, 'GEN-CARBON'!$D$7:$AW$7, 'GEN-CARBON'!$D$51:$AW$51), 0), IF($B41='Project List References'!$B$7, _xlfn.IFNA(_xlfn.XLOOKUP(S$2-$C41, 'SENS Coal'!$D$7:$AW$7, 'SENS Coal'!$D$51:$AW$51), 0), IF($B41='Project List References'!$B$8, _xlfn.IFNA(_xlfn.XLOOKUP(S$2-$C41,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  <c r="T41" s="743" t="e">
        <f>IF($B41='Project List References'!$B$3, _xlfn.IFNA(_xlfn.XLOOKUP(T$2-$C41, 'GEN-CCGT'!$D$7:$AW$7, 'GEN-CCGT'!$D$51:$AW$51), 0), IF($B41='Project List References'!$B$4, _xlfn.IFNA(_xlfn.XLOOKUP(T$2-$C41, 'GEN-SOLAR'!$D$7:$AW$7, 'GEN-SOLAR'!$D$51:$AW$51), 0), IF($B41='Project List References'!$B$5, _xlfn.IFNA(_xlfn.XLOOKUP(T$2-$C41, 'GEN-BESS'!$D$7:$AW$7, 'GEN-BESS'!$D$51:$AW$51), 0), IF($B41='Project List References'!$B$6, _xlfn.IFNA(_xlfn.XLOOKUP(T$2-$C41, 'GEN-CARBON'!$D$7:$AW$7, 'GEN-CARBON'!$D$51:$AW$51), 0), IF($B41='Project List References'!$B$7, _xlfn.IFNA(_xlfn.XLOOKUP(T$2-$C41, 'SENS Coal'!$D$7:$AW$7, 'SENS Coal'!$D$51:$AW$51), 0), IF($B41='Project List References'!$B$8, _xlfn.IFNA(_xlfn.XLOOKUP(T$2-$C41, 'SENS Tires'!$D$7:$AW$7, 'SENS Tires'!$D$51:$AW$51), 0)))))))/_xlfn.XLOOKUP($B41, 'Assumptions &amp; Inputs'!$F$76:$L$76, 'Assumptions &amp; Inputs'!$F$77:$L$77)*IF(OR($B41='Project List References'!$B$3, $B41='Project List References'!$B$4, $B41='Project List References'!$B$5, $B41='Project List References'!$B$6), 'Project Master Sheet'!$E41, 'Project Master Sheet'!$F41)</f>
        <v>#N/A</v>
      </c>
    </row>
    <row r="42" spans="1:20">
      <c r="A42" s="655" t="str">
        <f>IF(ISBLANK('Project Master Sheet'!A42)=FALSE, 'Project Master Sheet'!A42, "")</f>
        <v/>
      </c>
      <c r="B42" s="655" t="str">
        <f>_xlfn.IFNA(_xlfn.XLOOKUP(A42, 'Project Master Sheet'!A:A, 'Project Master Sheet'!D:D), "")</f>
        <v/>
      </c>
      <c r="C42" s="655" t="e">
        <f>_xlfn.XLOOKUP('Project OPEX'!A42, 'Project Master Sheet'!A:A, 'Project Master Sheet'!I:I)</f>
        <v>#N/A</v>
      </c>
      <c r="E42" s="743" t="e">
        <f>IF($B42='Project List References'!$B$3, _xlfn.IFNA(_xlfn.XLOOKUP(E$2-$C42, 'GEN-CCGT'!$D$7:$AW$7, 'GEN-CCGT'!$D$51:$AW$51), 0), IF($B42='Project List References'!$B$4, _xlfn.IFNA(_xlfn.XLOOKUP(E$2-$C42, 'GEN-SOLAR'!$D$7:$AW$7, 'GEN-SOLAR'!$D$51:$AW$51), 0), IF($B42='Project List References'!$B$5, _xlfn.IFNA(_xlfn.XLOOKUP(E$2-$C42, 'GEN-BESS'!$D$7:$AW$7, 'GEN-BESS'!$D$51:$AW$51), 0), IF($B42='Project List References'!$B$6, _xlfn.IFNA(_xlfn.XLOOKUP(E$2-$C42, 'GEN-CARBON'!$D$7:$AW$7, 'GEN-CARBON'!$D$51:$AW$51), 0), IF($B42='Project List References'!$B$7, _xlfn.IFNA(_xlfn.XLOOKUP(E$2-$C42, 'SENS Coal'!$D$7:$AW$7, 'SENS Coal'!$D$51:$AW$51), 0), IF($B42='Project List References'!$B$8, _xlfn.IFNA(_xlfn.XLOOKUP(E$2-$C42,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F42" s="743" t="e">
        <f>IF($B42='Project List References'!$B$3, _xlfn.IFNA(_xlfn.XLOOKUP(F$2-$C42, 'GEN-CCGT'!$D$7:$AW$7, 'GEN-CCGT'!$D$51:$AW$51), 0), IF($B42='Project List References'!$B$4, _xlfn.IFNA(_xlfn.XLOOKUP(F$2-$C42, 'GEN-SOLAR'!$D$7:$AW$7, 'GEN-SOLAR'!$D$51:$AW$51), 0), IF($B42='Project List References'!$B$5, _xlfn.IFNA(_xlfn.XLOOKUP(F$2-$C42, 'GEN-BESS'!$D$7:$AW$7, 'GEN-BESS'!$D$51:$AW$51), 0), IF($B42='Project List References'!$B$6, _xlfn.IFNA(_xlfn.XLOOKUP(F$2-$C42, 'GEN-CARBON'!$D$7:$AW$7, 'GEN-CARBON'!$D$51:$AW$51), 0), IF($B42='Project List References'!$B$7, _xlfn.IFNA(_xlfn.XLOOKUP(F$2-$C42, 'SENS Coal'!$D$7:$AW$7, 'SENS Coal'!$D$51:$AW$51), 0), IF($B42='Project List References'!$B$8, _xlfn.IFNA(_xlfn.XLOOKUP(F$2-$C42,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G42" s="743" t="e">
        <f>IF($B42='Project List References'!$B$3, _xlfn.IFNA(_xlfn.XLOOKUP(G$2-$C42, 'GEN-CCGT'!$D$7:$AW$7, 'GEN-CCGT'!$D$51:$AW$51), 0), IF($B42='Project List References'!$B$4, _xlfn.IFNA(_xlfn.XLOOKUP(G$2-$C42, 'GEN-SOLAR'!$D$7:$AW$7, 'GEN-SOLAR'!$D$51:$AW$51), 0), IF($B42='Project List References'!$B$5, _xlfn.IFNA(_xlfn.XLOOKUP(G$2-$C42, 'GEN-BESS'!$D$7:$AW$7, 'GEN-BESS'!$D$51:$AW$51), 0), IF($B42='Project List References'!$B$6, _xlfn.IFNA(_xlfn.XLOOKUP(G$2-$C42, 'GEN-CARBON'!$D$7:$AW$7, 'GEN-CARBON'!$D$51:$AW$51), 0), IF($B42='Project List References'!$B$7, _xlfn.IFNA(_xlfn.XLOOKUP(G$2-$C42, 'SENS Coal'!$D$7:$AW$7, 'SENS Coal'!$D$51:$AW$51), 0), IF($B42='Project List References'!$B$8, _xlfn.IFNA(_xlfn.XLOOKUP(G$2-$C42,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H42" s="743" t="e">
        <f>IF($B42='Project List References'!$B$3, _xlfn.IFNA(_xlfn.XLOOKUP(H$2-$C42, 'GEN-CCGT'!$D$7:$AW$7, 'GEN-CCGT'!$D$51:$AW$51), 0), IF($B42='Project List References'!$B$4, _xlfn.IFNA(_xlfn.XLOOKUP(H$2-$C42, 'GEN-SOLAR'!$D$7:$AW$7, 'GEN-SOLAR'!$D$51:$AW$51), 0), IF($B42='Project List References'!$B$5, _xlfn.IFNA(_xlfn.XLOOKUP(H$2-$C42, 'GEN-BESS'!$D$7:$AW$7, 'GEN-BESS'!$D$51:$AW$51), 0), IF($B42='Project List References'!$B$6, _xlfn.IFNA(_xlfn.XLOOKUP(H$2-$C42, 'GEN-CARBON'!$D$7:$AW$7, 'GEN-CARBON'!$D$51:$AW$51), 0), IF($B42='Project List References'!$B$7, _xlfn.IFNA(_xlfn.XLOOKUP(H$2-$C42, 'SENS Coal'!$D$7:$AW$7, 'SENS Coal'!$D$51:$AW$51), 0), IF($B42='Project List References'!$B$8, _xlfn.IFNA(_xlfn.XLOOKUP(H$2-$C42,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I42" s="743" t="e">
        <f>IF($B42='Project List References'!$B$3, _xlfn.IFNA(_xlfn.XLOOKUP(I$2-$C42, 'GEN-CCGT'!$D$7:$AW$7, 'GEN-CCGT'!$D$51:$AW$51), 0), IF($B42='Project List References'!$B$4, _xlfn.IFNA(_xlfn.XLOOKUP(I$2-$C42, 'GEN-SOLAR'!$D$7:$AW$7, 'GEN-SOLAR'!$D$51:$AW$51), 0), IF($B42='Project List References'!$B$5, _xlfn.IFNA(_xlfn.XLOOKUP(I$2-$C42, 'GEN-BESS'!$D$7:$AW$7, 'GEN-BESS'!$D$51:$AW$51), 0), IF($B42='Project List References'!$B$6, _xlfn.IFNA(_xlfn.XLOOKUP(I$2-$C42, 'GEN-CARBON'!$D$7:$AW$7, 'GEN-CARBON'!$D$51:$AW$51), 0), IF($B42='Project List References'!$B$7, _xlfn.IFNA(_xlfn.XLOOKUP(I$2-$C42, 'SENS Coal'!$D$7:$AW$7, 'SENS Coal'!$D$51:$AW$51), 0), IF($B42='Project List References'!$B$8, _xlfn.IFNA(_xlfn.XLOOKUP(I$2-$C42,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J42" s="743" t="e">
        <f>IF($B42='Project List References'!$B$3, _xlfn.IFNA(_xlfn.XLOOKUP(J$2-$C42, 'GEN-CCGT'!$D$7:$AW$7, 'GEN-CCGT'!$D$51:$AW$51), 0), IF($B42='Project List References'!$B$4, _xlfn.IFNA(_xlfn.XLOOKUP(J$2-$C42, 'GEN-SOLAR'!$D$7:$AW$7, 'GEN-SOLAR'!$D$51:$AW$51), 0), IF($B42='Project List References'!$B$5, _xlfn.IFNA(_xlfn.XLOOKUP(J$2-$C42, 'GEN-BESS'!$D$7:$AW$7, 'GEN-BESS'!$D$51:$AW$51), 0), IF($B42='Project List References'!$B$6, _xlfn.IFNA(_xlfn.XLOOKUP(J$2-$C42, 'GEN-CARBON'!$D$7:$AW$7, 'GEN-CARBON'!$D$51:$AW$51), 0), IF($B42='Project List References'!$B$7, _xlfn.IFNA(_xlfn.XLOOKUP(J$2-$C42, 'SENS Coal'!$D$7:$AW$7, 'SENS Coal'!$D$51:$AW$51), 0), IF($B42='Project List References'!$B$8, _xlfn.IFNA(_xlfn.XLOOKUP(J$2-$C42,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K42" s="743" t="e">
        <f>IF($B42='Project List References'!$B$3, _xlfn.IFNA(_xlfn.XLOOKUP(K$2-$C42, 'GEN-CCGT'!$D$7:$AW$7, 'GEN-CCGT'!$D$51:$AW$51), 0), IF($B42='Project List References'!$B$4, _xlfn.IFNA(_xlfn.XLOOKUP(K$2-$C42, 'GEN-SOLAR'!$D$7:$AW$7, 'GEN-SOLAR'!$D$51:$AW$51), 0), IF($B42='Project List References'!$B$5, _xlfn.IFNA(_xlfn.XLOOKUP(K$2-$C42, 'GEN-BESS'!$D$7:$AW$7, 'GEN-BESS'!$D$51:$AW$51), 0), IF($B42='Project List References'!$B$6, _xlfn.IFNA(_xlfn.XLOOKUP(K$2-$C42, 'GEN-CARBON'!$D$7:$AW$7, 'GEN-CARBON'!$D$51:$AW$51), 0), IF($B42='Project List References'!$B$7, _xlfn.IFNA(_xlfn.XLOOKUP(K$2-$C42, 'SENS Coal'!$D$7:$AW$7, 'SENS Coal'!$D$51:$AW$51), 0), IF($B42='Project List References'!$B$8, _xlfn.IFNA(_xlfn.XLOOKUP(K$2-$C42,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L42" s="743" t="e">
        <f>IF($B42='Project List References'!$B$3, _xlfn.IFNA(_xlfn.XLOOKUP(L$2-$C42, 'GEN-CCGT'!$D$7:$AW$7, 'GEN-CCGT'!$D$51:$AW$51), 0), IF($B42='Project List References'!$B$4, _xlfn.IFNA(_xlfn.XLOOKUP(L$2-$C42, 'GEN-SOLAR'!$D$7:$AW$7, 'GEN-SOLAR'!$D$51:$AW$51), 0), IF($B42='Project List References'!$B$5, _xlfn.IFNA(_xlfn.XLOOKUP(L$2-$C42, 'GEN-BESS'!$D$7:$AW$7, 'GEN-BESS'!$D$51:$AW$51), 0), IF($B42='Project List References'!$B$6, _xlfn.IFNA(_xlfn.XLOOKUP(L$2-$C42, 'GEN-CARBON'!$D$7:$AW$7, 'GEN-CARBON'!$D$51:$AW$51), 0), IF($B42='Project List References'!$B$7, _xlfn.IFNA(_xlfn.XLOOKUP(L$2-$C42, 'SENS Coal'!$D$7:$AW$7, 'SENS Coal'!$D$51:$AW$51), 0), IF($B42='Project List References'!$B$8, _xlfn.IFNA(_xlfn.XLOOKUP(L$2-$C42,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M42" s="743" t="e">
        <f>IF($B42='Project List References'!$B$3, _xlfn.IFNA(_xlfn.XLOOKUP(M$2-$C42, 'GEN-CCGT'!$D$7:$AW$7, 'GEN-CCGT'!$D$51:$AW$51), 0), IF($B42='Project List References'!$B$4, _xlfn.IFNA(_xlfn.XLOOKUP(M$2-$C42, 'GEN-SOLAR'!$D$7:$AW$7, 'GEN-SOLAR'!$D$51:$AW$51), 0), IF($B42='Project List References'!$B$5, _xlfn.IFNA(_xlfn.XLOOKUP(M$2-$C42, 'GEN-BESS'!$D$7:$AW$7, 'GEN-BESS'!$D$51:$AW$51), 0), IF($B42='Project List References'!$B$6, _xlfn.IFNA(_xlfn.XLOOKUP(M$2-$C42, 'GEN-CARBON'!$D$7:$AW$7, 'GEN-CARBON'!$D$51:$AW$51), 0), IF($B42='Project List References'!$B$7, _xlfn.IFNA(_xlfn.XLOOKUP(M$2-$C42, 'SENS Coal'!$D$7:$AW$7, 'SENS Coal'!$D$51:$AW$51), 0), IF($B42='Project List References'!$B$8, _xlfn.IFNA(_xlfn.XLOOKUP(M$2-$C42,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N42" s="743" t="e">
        <f>IF($B42='Project List References'!$B$3, _xlfn.IFNA(_xlfn.XLOOKUP(N$2-$C42, 'GEN-CCGT'!$D$7:$AW$7, 'GEN-CCGT'!$D$51:$AW$51), 0), IF($B42='Project List References'!$B$4, _xlfn.IFNA(_xlfn.XLOOKUP(N$2-$C42, 'GEN-SOLAR'!$D$7:$AW$7, 'GEN-SOLAR'!$D$51:$AW$51), 0), IF($B42='Project List References'!$B$5, _xlfn.IFNA(_xlfn.XLOOKUP(N$2-$C42, 'GEN-BESS'!$D$7:$AW$7, 'GEN-BESS'!$D$51:$AW$51), 0), IF($B42='Project List References'!$B$6, _xlfn.IFNA(_xlfn.XLOOKUP(N$2-$C42, 'GEN-CARBON'!$D$7:$AW$7, 'GEN-CARBON'!$D$51:$AW$51), 0), IF($B42='Project List References'!$B$7, _xlfn.IFNA(_xlfn.XLOOKUP(N$2-$C42, 'SENS Coal'!$D$7:$AW$7, 'SENS Coal'!$D$51:$AW$51), 0), IF($B42='Project List References'!$B$8, _xlfn.IFNA(_xlfn.XLOOKUP(N$2-$C42,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O42" s="743" t="e">
        <f>IF($B42='Project List References'!$B$3, _xlfn.IFNA(_xlfn.XLOOKUP(O$2-$C42, 'GEN-CCGT'!$D$7:$AW$7, 'GEN-CCGT'!$D$51:$AW$51), 0), IF($B42='Project List References'!$B$4, _xlfn.IFNA(_xlfn.XLOOKUP(O$2-$C42, 'GEN-SOLAR'!$D$7:$AW$7, 'GEN-SOLAR'!$D$51:$AW$51), 0), IF($B42='Project List References'!$B$5, _xlfn.IFNA(_xlfn.XLOOKUP(O$2-$C42, 'GEN-BESS'!$D$7:$AW$7, 'GEN-BESS'!$D$51:$AW$51), 0), IF($B42='Project List References'!$B$6, _xlfn.IFNA(_xlfn.XLOOKUP(O$2-$C42, 'GEN-CARBON'!$D$7:$AW$7, 'GEN-CARBON'!$D$51:$AW$51), 0), IF($B42='Project List References'!$B$7, _xlfn.IFNA(_xlfn.XLOOKUP(O$2-$C42, 'SENS Coal'!$D$7:$AW$7, 'SENS Coal'!$D$51:$AW$51), 0), IF($B42='Project List References'!$B$8, _xlfn.IFNA(_xlfn.XLOOKUP(O$2-$C42,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P42" s="743" t="e">
        <f>IF($B42='Project List References'!$B$3, _xlfn.IFNA(_xlfn.XLOOKUP(P$2-$C42, 'GEN-CCGT'!$D$7:$AW$7, 'GEN-CCGT'!$D$51:$AW$51), 0), IF($B42='Project List References'!$B$4, _xlfn.IFNA(_xlfn.XLOOKUP(P$2-$C42, 'GEN-SOLAR'!$D$7:$AW$7, 'GEN-SOLAR'!$D$51:$AW$51), 0), IF($B42='Project List References'!$B$5, _xlfn.IFNA(_xlfn.XLOOKUP(P$2-$C42, 'GEN-BESS'!$D$7:$AW$7, 'GEN-BESS'!$D$51:$AW$51), 0), IF($B42='Project List References'!$B$6, _xlfn.IFNA(_xlfn.XLOOKUP(P$2-$C42, 'GEN-CARBON'!$D$7:$AW$7, 'GEN-CARBON'!$D$51:$AW$51), 0), IF($B42='Project List References'!$B$7, _xlfn.IFNA(_xlfn.XLOOKUP(P$2-$C42, 'SENS Coal'!$D$7:$AW$7, 'SENS Coal'!$D$51:$AW$51), 0), IF($B42='Project List References'!$B$8, _xlfn.IFNA(_xlfn.XLOOKUP(P$2-$C42,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Q42" s="743" t="e">
        <f>IF($B42='Project List References'!$B$3, _xlfn.IFNA(_xlfn.XLOOKUP(Q$2-$C42, 'GEN-CCGT'!$D$7:$AW$7, 'GEN-CCGT'!$D$51:$AW$51), 0), IF($B42='Project List References'!$B$4, _xlfn.IFNA(_xlfn.XLOOKUP(Q$2-$C42, 'GEN-SOLAR'!$D$7:$AW$7, 'GEN-SOLAR'!$D$51:$AW$51), 0), IF($B42='Project List References'!$B$5, _xlfn.IFNA(_xlfn.XLOOKUP(Q$2-$C42, 'GEN-BESS'!$D$7:$AW$7, 'GEN-BESS'!$D$51:$AW$51), 0), IF($B42='Project List References'!$B$6, _xlfn.IFNA(_xlfn.XLOOKUP(Q$2-$C42, 'GEN-CARBON'!$D$7:$AW$7, 'GEN-CARBON'!$D$51:$AW$51), 0), IF($B42='Project List References'!$B$7, _xlfn.IFNA(_xlfn.XLOOKUP(Q$2-$C42, 'SENS Coal'!$D$7:$AW$7, 'SENS Coal'!$D$51:$AW$51), 0), IF($B42='Project List References'!$B$8, _xlfn.IFNA(_xlfn.XLOOKUP(Q$2-$C42,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R42" s="743" t="e">
        <f>IF($B42='Project List References'!$B$3, _xlfn.IFNA(_xlfn.XLOOKUP(R$2-$C42, 'GEN-CCGT'!$D$7:$AW$7, 'GEN-CCGT'!$D$51:$AW$51), 0), IF($B42='Project List References'!$B$4, _xlfn.IFNA(_xlfn.XLOOKUP(R$2-$C42, 'GEN-SOLAR'!$D$7:$AW$7, 'GEN-SOLAR'!$D$51:$AW$51), 0), IF($B42='Project List References'!$B$5, _xlfn.IFNA(_xlfn.XLOOKUP(R$2-$C42, 'GEN-BESS'!$D$7:$AW$7, 'GEN-BESS'!$D$51:$AW$51), 0), IF($B42='Project List References'!$B$6, _xlfn.IFNA(_xlfn.XLOOKUP(R$2-$C42, 'GEN-CARBON'!$D$7:$AW$7, 'GEN-CARBON'!$D$51:$AW$51), 0), IF($B42='Project List References'!$B$7, _xlfn.IFNA(_xlfn.XLOOKUP(R$2-$C42, 'SENS Coal'!$D$7:$AW$7, 'SENS Coal'!$D$51:$AW$51), 0), IF($B42='Project List References'!$B$8, _xlfn.IFNA(_xlfn.XLOOKUP(R$2-$C42,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S42" s="743" t="e">
        <f>IF($B42='Project List References'!$B$3, _xlfn.IFNA(_xlfn.XLOOKUP(S$2-$C42, 'GEN-CCGT'!$D$7:$AW$7, 'GEN-CCGT'!$D$51:$AW$51), 0), IF($B42='Project List References'!$B$4, _xlfn.IFNA(_xlfn.XLOOKUP(S$2-$C42, 'GEN-SOLAR'!$D$7:$AW$7, 'GEN-SOLAR'!$D$51:$AW$51), 0), IF($B42='Project List References'!$B$5, _xlfn.IFNA(_xlfn.XLOOKUP(S$2-$C42, 'GEN-BESS'!$D$7:$AW$7, 'GEN-BESS'!$D$51:$AW$51), 0), IF($B42='Project List References'!$B$6, _xlfn.IFNA(_xlfn.XLOOKUP(S$2-$C42, 'GEN-CARBON'!$D$7:$AW$7, 'GEN-CARBON'!$D$51:$AW$51), 0), IF($B42='Project List References'!$B$7, _xlfn.IFNA(_xlfn.XLOOKUP(S$2-$C42, 'SENS Coal'!$D$7:$AW$7, 'SENS Coal'!$D$51:$AW$51), 0), IF($B42='Project List References'!$B$8, _xlfn.IFNA(_xlfn.XLOOKUP(S$2-$C42,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  <c r="T42" s="743" t="e">
        <f>IF($B42='Project List References'!$B$3, _xlfn.IFNA(_xlfn.XLOOKUP(T$2-$C42, 'GEN-CCGT'!$D$7:$AW$7, 'GEN-CCGT'!$D$51:$AW$51), 0), IF($B42='Project List References'!$B$4, _xlfn.IFNA(_xlfn.XLOOKUP(T$2-$C42, 'GEN-SOLAR'!$D$7:$AW$7, 'GEN-SOLAR'!$D$51:$AW$51), 0), IF($B42='Project List References'!$B$5, _xlfn.IFNA(_xlfn.XLOOKUP(T$2-$C42, 'GEN-BESS'!$D$7:$AW$7, 'GEN-BESS'!$D$51:$AW$51), 0), IF($B42='Project List References'!$B$6, _xlfn.IFNA(_xlfn.XLOOKUP(T$2-$C42, 'GEN-CARBON'!$D$7:$AW$7, 'GEN-CARBON'!$D$51:$AW$51), 0), IF($B42='Project List References'!$B$7, _xlfn.IFNA(_xlfn.XLOOKUP(T$2-$C42, 'SENS Coal'!$D$7:$AW$7, 'SENS Coal'!$D$51:$AW$51), 0), IF($B42='Project List References'!$B$8, _xlfn.IFNA(_xlfn.XLOOKUP(T$2-$C42, 'SENS Tires'!$D$7:$AW$7, 'SENS Tires'!$D$51:$AW$51), 0)))))))/_xlfn.XLOOKUP($B42, 'Assumptions &amp; Inputs'!$F$76:$L$76, 'Assumptions &amp; Inputs'!$F$77:$L$77)*IF(OR($B42='Project List References'!$B$3, $B42='Project List References'!$B$4, $B42='Project List References'!$B$5, $B42='Project List References'!$B$6), 'Project Master Sheet'!$E42, 'Project Master Sheet'!$F42)</f>
        <v>#N/A</v>
      </c>
    </row>
    <row r="43" spans="1:20">
      <c r="A43" s="655" t="str">
        <f>IF(ISBLANK('Project Master Sheet'!A43)=FALSE, 'Project Master Sheet'!A43, "")</f>
        <v/>
      </c>
      <c r="B43" s="655" t="str">
        <f>_xlfn.IFNA(_xlfn.XLOOKUP(A43, 'Project Master Sheet'!A:A, 'Project Master Sheet'!D:D), "")</f>
        <v/>
      </c>
      <c r="C43" s="655" t="e">
        <f>_xlfn.XLOOKUP('Project OPEX'!A43, 'Project Master Sheet'!A:A, 'Project Master Sheet'!I:I)</f>
        <v>#N/A</v>
      </c>
      <c r="E43" s="743" t="e">
        <f>IF($B43='Project List References'!$B$3, _xlfn.IFNA(_xlfn.XLOOKUP(E$2-$C43, 'GEN-CCGT'!$D$7:$AW$7, 'GEN-CCGT'!$D$51:$AW$51), 0), IF($B43='Project List References'!$B$4, _xlfn.IFNA(_xlfn.XLOOKUP(E$2-$C43, 'GEN-SOLAR'!$D$7:$AW$7, 'GEN-SOLAR'!$D$51:$AW$51), 0), IF($B43='Project List References'!$B$5, _xlfn.IFNA(_xlfn.XLOOKUP(E$2-$C43, 'GEN-BESS'!$D$7:$AW$7, 'GEN-BESS'!$D$51:$AW$51), 0), IF($B43='Project List References'!$B$6, _xlfn.IFNA(_xlfn.XLOOKUP(E$2-$C43, 'GEN-CARBON'!$D$7:$AW$7, 'GEN-CARBON'!$D$51:$AW$51), 0), IF($B43='Project List References'!$B$7, _xlfn.IFNA(_xlfn.XLOOKUP(E$2-$C43, 'SENS Coal'!$D$7:$AW$7, 'SENS Coal'!$D$51:$AW$51), 0), IF($B43='Project List References'!$B$8, _xlfn.IFNA(_xlfn.XLOOKUP(E$2-$C43,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F43" s="743" t="e">
        <f>IF($B43='Project List References'!$B$3, _xlfn.IFNA(_xlfn.XLOOKUP(F$2-$C43, 'GEN-CCGT'!$D$7:$AW$7, 'GEN-CCGT'!$D$51:$AW$51), 0), IF($B43='Project List References'!$B$4, _xlfn.IFNA(_xlfn.XLOOKUP(F$2-$C43, 'GEN-SOLAR'!$D$7:$AW$7, 'GEN-SOLAR'!$D$51:$AW$51), 0), IF($B43='Project List References'!$B$5, _xlfn.IFNA(_xlfn.XLOOKUP(F$2-$C43, 'GEN-BESS'!$D$7:$AW$7, 'GEN-BESS'!$D$51:$AW$51), 0), IF($B43='Project List References'!$B$6, _xlfn.IFNA(_xlfn.XLOOKUP(F$2-$C43, 'GEN-CARBON'!$D$7:$AW$7, 'GEN-CARBON'!$D$51:$AW$51), 0), IF($B43='Project List References'!$B$7, _xlfn.IFNA(_xlfn.XLOOKUP(F$2-$C43, 'SENS Coal'!$D$7:$AW$7, 'SENS Coal'!$D$51:$AW$51), 0), IF($B43='Project List References'!$B$8, _xlfn.IFNA(_xlfn.XLOOKUP(F$2-$C43,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G43" s="743" t="e">
        <f>IF($B43='Project List References'!$B$3, _xlfn.IFNA(_xlfn.XLOOKUP(G$2-$C43, 'GEN-CCGT'!$D$7:$AW$7, 'GEN-CCGT'!$D$51:$AW$51), 0), IF($B43='Project List References'!$B$4, _xlfn.IFNA(_xlfn.XLOOKUP(G$2-$C43, 'GEN-SOLAR'!$D$7:$AW$7, 'GEN-SOLAR'!$D$51:$AW$51), 0), IF($B43='Project List References'!$B$5, _xlfn.IFNA(_xlfn.XLOOKUP(G$2-$C43, 'GEN-BESS'!$D$7:$AW$7, 'GEN-BESS'!$D$51:$AW$51), 0), IF($B43='Project List References'!$B$6, _xlfn.IFNA(_xlfn.XLOOKUP(G$2-$C43, 'GEN-CARBON'!$D$7:$AW$7, 'GEN-CARBON'!$D$51:$AW$51), 0), IF($B43='Project List References'!$B$7, _xlfn.IFNA(_xlfn.XLOOKUP(G$2-$C43, 'SENS Coal'!$D$7:$AW$7, 'SENS Coal'!$D$51:$AW$51), 0), IF($B43='Project List References'!$B$8, _xlfn.IFNA(_xlfn.XLOOKUP(G$2-$C43,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H43" s="743" t="e">
        <f>IF($B43='Project List References'!$B$3, _xlfn.IFNA(_xlfn.XLOOKUP(H$2-$C43, 'GEN-CCGT'!$D$7:$AW$7, 'GEN-CCGT'!$D$51:$AW$51), 0), IF($B43='Project List References'!$B$4, _xlfn.IFNA(_xlfn.XLOOKUP(H$2-$C43, 'GEN-SOLAR'!$D$7:$AW$7, 'GEN-SOLAR'!$D$51:$AW$51), 0), IF($B43='Project List References'!$B$5, _xlfn.IFNA(_xlfn.XLOOKUP(H$2-$C43, 'GEN-BESS'!$D$7:$AW$7, 'GEN-BESS'!$D$51:$AW$51), 0), IF($B43='Project List References'!$B$6, _xlfn.IFNA(_xlfn.XLOOKUP(H$2-$C43, 'GEN-CARBON'!$D$7:$AW$7, 'GEN-CARBON'!$D$51:$AW$51), 0), IF($B43='Project List References'!$B$7, _xlfn.IFNA(_xlfn.XLOOKUP(H$2-$C43, 'SENS Coal'!$D$7:$AW$7, 'SENS Coal'!$D$51:$AW$51), 0), IF($B43='Project List References'!$B$8, _xlfn.IFNA(_xlfn.XLOOKUP(H$2-$C43,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I43" s="743" t="e">
        <f>IF($B43='Project List References'!$B$3, _xlfn.IFNA(_xlfn.XLOOKUP(I$2-$C43, 'GEN-CCGT'!$D$7:$AW$7, 'GEN-CCGT'!$D$51:$AW$51), 0), IF($B43='Project List References'!$B$4, _xlfn.IFNA(_xlfn.XLOOKUP(I$2-$C43, 'GEN-SOLAR'!$D$7:$AW$7, 'GEN-SOLAR'!$D$51:$AW$51), 0), IF($B43='Project List References'!$B$5, _xlfn.IFNA(_xlfn.XLOOKUP(I$2-$C43, 'GEN-BESS'!$D$7:$AW$7, 'GEN-BESS'!$D$51:$AW$51), 0), IF($B43='Project List References'!$B$6, _xlfn.IFNA(_xlfn.XLOOKUP(I$2-$C43, 'GEN-CARBON'!$D$7:$AW$7, 'GEN-CARBON'!$D$51:$AW$51), 0), IF($B43='Project List References'!$B$7, _xlfn.IFNA(_xlfn.XLOOKUP(I$2-$C43, 'SENS Coal'!$D$7:$AW$7, 'SENS Coal'!$D$51:$AW$51), 0), IF($B43='Project List References'!$B$8, _xlfn.IFNA(_xlfn.XLOOKUP(I$2-$C43,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J43" s="743" t="e">
        <f>IF($B43='Project List References'!$B$3, _xlfn.IFNA(_xlfn.XLOOKUP(J$2-$C43, 'GEN-CCGT'!$D$7:$AW$7, 'GEN-CCGT'!$D$51:$AW$51), 0), IF($B43='Project List References'!$B$4, _xlfn.IFNA(_xlfn.XLOOKUP(J$2-$C43, 'GEN-SOLAR'!$D$7:$AW$7, 'GEN-SOLAR'!$D$51:$AW$51), 0), IF($B43='Project List References'!$B$5, _xlfn.IFNA(_xlfn.XLOOKUP(J$2-$C43, 'GEN-BESS'!$D$7:$AW$7, 'GEN-BESS'!$D$51:$AW$51), 0), IF($B43='Project List References'!$B$6, _xlfn.IFNA(_xlfn.XLOOKUP(J$2-$C43, 'GEN-CARBON'!$D$7:$AW$7, 'GEN-CARBON'!$D$51:$AW$51), 0), IF($B43='Project List References'!$B$7, _xlfn.IFNA(_xlfn.XLOOKUP(J$2-$C43, 'SENS Coal'!$D$7:$AW$7, 'SENS Coal'!$D$51:$AW$51), 0), IF($B43='Project List References'!$B$8, _xlfn.IFNA(_xlfn.XLOOKUP(J$2-$C43,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K43" s="743" t="e">
        <f>IF($B43='Project List References'!$B$3, _xlfn.IFNA(_xlfn.XLOOKUP(K$2-$C43, 'GEN-CCGT'!$D$7:$AW$7, 'GEN-CCGT'!$D$51:$AW$51), 0), IF($B43='Project List References'!$B$4, _xlfn.IFNA(_xlfn.XLOOKUP(K$2-$C43, 'GEN-SOLAR'!$D$7:$AW$7, 'GEN-SOLAR'!$D$51:$AW$51), 0), IF($B43='Project List References'!$B$5, _xlfn.IFNA(_xlfn.XLOOKUP(K$2-$C43, 'GEN-BESS'!$D$7:$AW$7, 'GEN-BESS'!$D$51:$AW$51), 0), IF($B43='Project List References'!$B$6, _xlfn.IFNA(_xlfn.XLOOKUP(K$2-$C43, 'GEN-CARBON'!$D$7:$AW$7, 'GEN-CARBON'!$D$51:$AW$51), 0), IF($B43='Project List References'!$B$7, _xlfn.IFNA(_xlfn.XLOOKUP(K$2-$C43, 'SENS Coal'!$D$7:$AW$7, 'SENS Coal'!$D$51:$AW$51), 0), IF($B43='Project List References'!$B$8, _xlfn.IFNA(_xlfn.XLOOKUP(K$2-$C43,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L43" s="743" t="e">
        <f>IF($B43='Project List References'!$B$3, _xlfn.IFNA(_xlfn.XLOOKUP(L$2-$C43, 'GEN-CCGT'!$D$7:$AW$7, 'GEN-CCGT'!$D$51:$AW$51), 0), IF($B43='Project List References'!$B$4, _xlfn.IFNA(_xlfn.XLOOKUP(L$2-$C43, 'GEN-SOLAR'!$D$7:$AW$7, 'GEN-SOLAR'!$D$51:$AW$51), 0), IF($B43='Project List References'!$B$5, _xlfn.IFNA(_xlfn.XLOOKUP(L$2-$C43, 'GEN-BESS'!$D$7:$AW$7, 'GEN-BESS'!$D$51:$AW$51), 0), IF($B43='Project List References'!$B$6, _xlfn.IFNA(_xlfn.XLOOKUP(L$2-$C43, 'GEN-CARBON'!$D$7:$AW$7, 'GEN-CARBON'!$D$51:$AW$51), 0), IF($B43='Project List References'!$B$7, _xlfn.IFNA(_xlfn.XLOOKUP(L$2-$C43, 'SENS Coal'!$D$7:$AW$7, 'SENS Coal'!$D$51:$AW$51), 0), IF($B43='Project List References'!$B$8, _xlfn.IFNA(_xlfn.XLOOKUP(L$2-$C43,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M43" s="743" t="e">
        <f>IF($B43='Project List References'!$B$3, _xlfn.IFNA(_xlfn.XLOOKUP(M$2-$C43, 'GEN-CCGT'!$D$7:$AW$7, 'GEN-CCGT'!$D$51:$AW$51), 0), IF($B43='Project List References'!$B$4, _xlfn.IFNA(_xlfn.XLOOKUP(M$2-$C43, 'GEN-SOLAR'!$D$7:$AW$7, 'GEN-SOLAR'!$D$51:$AW$51), 0), IF($B43='Project List References'!$B$5, _xlfn.IFNA(_xlfn.XLOOKUP(M$2-$C43, 'GEN-BESS'!$D$7:$AW$7, 'GEN-BESS'!$D$51:$AW$51), 0), IF($B43='Project List References'!$B$6, _xlfn.IFNA(_xlfn.XLOOKUP(M$2-$C43, 'GEN-CARBON'!$D$7:$AW$7, 'GEN-CARBON'!$D$51:$AW$51), 0), IF($B43='Project List References'!$B$7, _xlfn.IFNA(_xlfn.XLOOKUP(M$2-$C43, 'SENS Coal'!$D$7:$AW$7, 'SENS Coal'!$D$51:$AW$51), 0), IF($B43='Project List References'!$B$8, _xlfn.IFNA(_xlfn.XLOOKUP(M$2-$C43,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N43" s="743" t="e">
        <f>IF($B43='Project List References'!$B$3, _xlfn.IFNA(_xlfn.XLOOKUP(N$2-$C43, 'GEN-CCGT'!$D$7:$AW$7, 'GEN-CCGT'!$D$51:$AW$51), 0), IF($B43='Project List References'!$B$4, _xlfn.IFNA(_xlfn.XLOOKUP(N$2-$C43, 'GEN-SOLAR'!$D$7:$AW$7, 'GEN-SOLAR'!$D$51:$AW$51), 0), IF($B43='Project List References'!$B$5, _xlfn.IFNA(_xlfn.XLOOKUP(N$2-$C43, 'GEN-BESS'!$D$7:$AW$7, 'GEN-BESS'!$D$51:$AW$51), 0), IF($B43='Project List References'!$B$6, _xlfn.IFNA(_xlfn.XLOOKUP(N$2-$C43, 'GEN-CARBON'!$D$7:$AW$7, 'GEN-CARBON'!$D$51:$AW$51), 0), IF($B43='Project List References'!$B$7, _xlfn.IFNA(_xlfn.XLOOKUP(N$2-$C43, 'SENS Coal'!$D$7:$AW$7, 'SENS Coal'!$D$51:$AW$51), 0), IF($B43='Project List References'!$B$8, _xlfn.IFNA(_xlfn.XLOOKUP(N$2-$C43,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O43" s="743" t="e">
        <f>IF($B43='Project List References'!$B$3, _xlfn.IFNA(_xlfn.XLOOKUP(O$2-$C43, 'GEN-CCGT'!$D$7:$AW$7, 'GEN-CCGT'!$D$51:$AW$51), 0), IF($B43='Project List References'!$B$4, _xlfn.IFNA(_xlfn.XLOOKUP(O$2-$C43, 'GEN-SOLAR'!$D$7:$AW$7, 'GEN-SOLAR'!$D$51:$AW$51), 0), IF($B43='Project List References'!$B$5, _xlfn.IFNA(_xlfn.XLOOKUP(O$2-$C43, 'GEN-BESS'!$D$7:$AW$7, 'GEN-BESS'!$D$51:$AW$51), 0), IF($B43='Project List References'!$B$6, _xlfn.IFNA(_xlfn.XLOOKUP(O$2-$C43, 'GEN-CARBON'!$D$7:$AW$7, 'GEN-CARBON'!$D$51:$AW$51), 0), IF($B43='Project List References'!$B$7, _xlfn.IFNA(_xlfn.XLOOKUP(O$2-$C43, 'SENS Coal'!$D$7:$AW$7, 'SENS Coal'!$D$51:$AW$51), 0), IF($B43='Project List References'!$B$8, _xlfn.IFNA(_xlfn.XLOOKUP(O$2-$C43,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P43" s="743" t="e">
        <f>IF($B43='Project List References'!$B$3, _xlfn.IFNA(_xlfn.XLOOKUP(P$2-$C43, 'GEN-CCGT'!$D$7:$AW$7, 'GEN-CCGT'!$D$51:$AW$51), 0), IF($B43='Project List References'!$B$4, _xlfn.IFNA(_xlfn.XLOOKUP(P$2-$C43, 'GEN-SOLAR'!$D$7:$AW$7, 'GEN-SOLAR'!$D$51:$AW$51), 0), IF($B43='Project List References'!$B$5, _xlfn.IFNA(_xlfn.XLOOKUP(P$2-$C43, 'GEN-BESS'!$D$7:$AW$7, 'GEN-BESS'!$D$51:$AW$51), 0), IF($B43='Project List References'!$B$6, _xlfn.IFNA(_xlfn.XLOOKUP(P$2-$C43, 'GEN-CARBON'!$D$7:$AW$7, 'GEN-CARBON'!$D$51:$AW$51), 0), IF($B43='Project List References'!$B$7, _xlfn.IFNA(_xlfn.XLOOKUP(P$2-$C43, 'SENS Coal'!$D$7:$AW$7, 'SENS Coal'!$D$51:$AW$51), 0), IF($B43='Project List References'!$B$8, _xlfn.IFNA(_xlfn.XLOOKUP(P$2-$C43,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Q43" s="743" t="e">
        <f>IF($B43='Project List References'!$B$3, _xlfn.IFNA(_xlfn.XLOOKUP(Q$2-$C43, 'GEN-CCGT'!$D$7:$AW$7, 'GEN-CCGT'!$D$51:$AW$51), 0), IF($B43='Project List References'!$B$4, _xlfn.IFNA(_xlfn.XLOOKUP(Q$2-$C43, 'GEN-SOLAR'!$D$7:$AW$7, 'GEN-SOLAR'!$D$51:$AW$51), 0), IF($B43='Project List References'!$B$5, _xlfn.IFNA(_xlfn.XLOOKUP(Q$2-$C43, 'GEN-BESS'!$D$7:$AW$7, 'GEN-BESS'!$D$51:$AW$51), 0), IF($B43='Project List References'!$B$6, _xlfn.IFNA(_xlfn.XLOOKUP(Q$2-$C43, 'GEN-CARBON'!$D$7:$AW$7, 'GEN-CARBON'!$D$51:$AW$51), 0), IF($B43='Project List References'!$B$7, _xlfn.IFNA(_xlfn.XLOOKUP(Q$2-$C43, 'SENS Coal'!$D$7:$AW$7, 'SENS Coal'!$D$51:$AW$51), 0), IF($B43='Project List References'!$B$8, _xlfn.IFNA(_xlfn.XLOOKUP(Q$2-$C43,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R43" s="743" t="e">
        <f>IF($B43='Project List References'!$B$3, _xlfn.IFNA(_xlfn.XLOOKUP(R$2-$C43, 'GEN-CCGT'!$D$7:$AW$7, 'GEN-CCGT'!$D$51:$AW$51), 0), IF($B43='Project List References'!$B$4, _xlfn.IFNA(_xlfn.XLOOKUP(R$2-$C43, 'GEN-SOLAR'!$D$7:$AW$7, 'GEN-SOLAR'!$D$51:$AW$51), 0), IF($B43='Project List References'!$B$5, _xlfn.IFNA(_xlfn.XLOOKUP(R$2-$C43, 'GEN-BESS'!$D$7:$AW$7, 'GEN-BESS'!$D$51:$AW$51), 0), IF($B43='Project List References'!$B$6, _xlfn.IFNA(_xlfn.XLOOKUP(R$2-$C43, 'GEN-CARBON'!$D$7:$AW$7, 'GEN-CARBON'!$D$51:$AW$51), 0), IF($B43='Project List References'!$B$7, _xlfn.IFNA(_xlfn.XLOOKUP(R$2-$C43, 'SENS Coal'!$D$7:$AW$7, 'SENS Coal'!$D$51:$AW$51), 0), IF($B43='Project List References'!$B$8, _xlfn.IFNA(_xlfn.XLOOKUP(R$2-$C43,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S43" s="743" t="e">
        <f>IF($B43='Project List References'!$B$3, _xlfn.IFNA(_xlfn.XLOOKUP(S$2-$C43, 'GEN-CCGT'!$D$7:$AW$7, 'GEN-CCGT'!$D$51:$AW$51), 0), IF($B43='Project List References'!$B$4, _xlfn.IFNA(_xlfn.XLOOKUP(S$2-$C43, 'GEN-SOLAR'!$D$7:$AW$7, 'GEN-SOLAR'!$D$51:$AW$51), 0), IF($B43='Project List References'!$B$5, _xlfn.IFNA(_xlfn.XLOOKUP(S$2-$C43, 'GEN-BESS'!$D$7:$AW$7, 'GEN-BESS'!$D$51:$AW$51), 0), IF($B43='Project List References'!$B$6, _xlfn.IFNA(_xlfn.XLOOKUP(S$2-$C43, 'GEN-CARBON'!$D$7:$AW$7, 'GEN-CARBON'!$D$51:$AW$51), 0), IF($B43='Project List References'!$B$7, _xlfn.IFNA(_xlfn.XLOOKUP(S$2-$C43, 'SENS Coal'!$D$7:$AW$7, 'SENS Coal'!$D$51:$AW$51), 0), IF($B43='Project List References'!$B$8, _xlfn.IFNA(_xlfn.XLOOKUP(S$2-$C43,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  <c r="T43" s="743" t="e">
        <f>IF($B43='Project List References'!$B$3, _xlfn.IFNA(_xlfn.XLOOKUP(T$2-$C43, 'GEN-CCGT'!$D$7:$AW$7, 'GEN-CCGT'!$D$51:$AW$51), 0), IF($B43='Project List References'!$B$4, _xlfn.IFNA(_xlfn.XLOOKUP(T$2-$C43, 'GEN-SOLAR'!$D$7:$AW$7, 'GEN-SOLAR'!$D$51:$AW$51), 0), IF($B43='Project List References'!$B$5, _xlfn.IFNA(_xlfn.XLOOKUP(T$2-$C43, 'GEN-BESS'!$D$7:$AW$7, 'GEN-BESS'!$D$51:$AW$51), 0), IF($B43='Project List References'!$B$6, _xlfn.IFNA(_xlfn.XLOOKUP(T$2-$C43, 'GEN-CARBON'!$D$7:$AW$7, 'GEN-CARBON'!$D$51:$AW$51), 0), IF($B43='Project List References'!$B$7, _xlfn.IFNA(_xlfn.XLOOKUP(T$2-$C43, 'SENS Coal'!$D$7:$AW$7, 'SENS Coal'!$D$51:$AW$51), 0), IF($B43='Project List References'!$B$8, _xlfn.IFNA(_xlfn.XLOOKUP(T$2-$C43, 'SENS Tires'!$D$7:$AW$7, 'SENS Tires'!$D$51:$AW$51), 0)))))))/_xlfn.XLOOKUP($B43, 'Assumptions &amp; Inputs'!$F$76:$L$76, 'Assumptions &amp; Inputs'!$F$77:$L$77)*IF(OR($B43='Project List References'!$B$3, $B43='Project List References'!$B$4, $B43='Project List References'!$B$5, $B43='Project List References'!$B$6), 'Project Master Sheet'!$E43, 'Project Master Sheet'!$F43)</f>
        <v>#N/A</v>
      </c>
    </row>
    <row r="44" spans="1:20">
      <c r="A44" s="655" t="str">
        <f>IF(ISBLANK('Project Master Sheet'!A44)=FALSE, 'Project Master Sheet'!A44, "")</f>
        <v/>
      </c>
      <c r="B44" s="655" t="str">
        <f>_xlfn.IFNA(_xlfn.XLOOKUP(A44, 'Project Master Sheet'!A:A, 'Project Master Sheet'!D:D), "")</f>
        <v/>
      </c>
      <c r="C44" s="655" t="e">
        <f>_xlfn.XLOOKUP('Project OPEX'!A44, 'Project Master Sheet'!A:A, 'Project Master Sheet'!I:I)</f>
        <v>#N/A</v>
      </c>
      <c r="E44" s="743" t="e">
        <f>IF($B44='Project List References'!$B$3, _xlfn.IFNA(_xlfn.XLOOKUP(E$2-$C44, 'GEN-CCGT'!$D$7:$AW$7, 'GEN-CCGT'!$D$51:$AW$51), 0), IF($B44='Project List References'!$B$4, _xlfn.IFNA(_xlfn.XLOOKUP(E$2-$C44, 'GEN-SOLAR'!$D$7:$AW$7, 'GEN-SOLAR'!$D$51:$AW$51), 0), IF($B44='Project List References'!$B$5, _xlfn.IFNA(_xlfn.XLOOKUP(E$2-$C44, 'GEN-BESS'!$D$7:$AW$7, 'GEN-BESS'!$D$51:$AW$51), 0), IF($B44='Project List References'!$B$6, _xlfn.IFNA(_xlfn.XLOOKUP(E$2-$C44, 'GEN-CARBON'!$D$7:$AW$7, 'GEN-CARBON'!$D$51:$AW$51), 0), IF($B44='Project List References'!$B$7, _xlfn.IFNA(_xlfn.XLOOKUP(E$2-$C44, 'SENS Coal'!$D$7:$AW$7, 'SENS Coal'!$D$51:$AW$51), 0), IF($B44='Project List References'!$B$8, _xlfn.IFNA(_xlfn.XLOOKUP(E$2-$C44,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F44" s="743" t="e">
        <f>IF($B44='Project List References'!$B$3, _xlfn.IFNA(_xlfn.XLOOKUP(F$2-$C44, 'GEN-CCGT'!$D$7:$AW$7, 'GEN-CCGT'!$D$51:$AW$51), 0), IF($B44='Project List References'!$B$4, _xlfn.IFNA(_xlfn.XLOOKUP(F$2-$C44, 'GEN-SOLAR'!$D$7:$AW$7, 'GEN-SOLAR'!$D$51:$AW$51), 0), IF($B44='Project List References'!$B$5, _xlfn.IFNA(_xlfn.XLOOKUP(F$2-$C44, 'GEN-BESS'!$D$7:$AW$7, 'GEN-BESS'!$D$51:$AW$51), 0), IF($B44='Project List References'!$B$6, _xlfn.IFNA(_xlfn.XLOOKUP(F$2-$C44, 'GEN-CARBON'!$D$7:$AW$7, 'GEN-CARBON'!$D$51:$AW$51), 0), IF($B44='Project List References'!$B$7, _xlfn.IFNA(_xlfn.XLOOKUP(F$2-$C44, 'SENS Coal'!$D$7:$AW$7, 'SENS Coal'!$D$51:$AW$51), 0), IF($B44='Project List References'!$B$8, _xlfn.IFNA(_xlfn.XLOOKUP(F$2-$C44,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G44" s="743" t="e">
        <f>IF($B44='Project List References'!$B$3, _xlfn.IFNA(_xlfn.XLOOKUP(G$2-$C44, 'GEN-CCGT'!$D$7:$AW$7, 'GEN-CCGT'!$D$51:$AW$51), 0), IF($B44='Project List References'!$B$4, _xlfn.IFNA(_xlfn.XLOOKUP(G$2-$C44, 'GEN-SOLAR'!$D$7:$AW$7, 'GEN-SOLAR'!$D$51:$AW$51), 0), IF($B44='Project List References'!$B$5, _xlfn.IFNA(_xlfn.XLOOKUP(G$2-$C44, 'GEN-BESS'!$D$7:$AW$7, 'GEN-BESS'!$D$51:$AW$51), 0), IF($B44='Project List References'!$B$6, _xlfn.IFNA(_xlfn.XLOOKUP(G$2-$C44, 'GEN-CARBON'!$D$7:$AW$7, 'GEN-CARBON'!$D$51:$AW$51), 0), IF($B44='Project List References'!$B$7, _xlfn.IFNA(_xlfn.XLOOKUP(G$2-$C44, 'SENS Coal'!$D$7:$AW$7, 'SENS Coal'!$D$51:$AW$51), 0), IF($B44='Project List References'!$B$8, _xlfn.IFNA(_xlfn.XLOOKUP(G$2-$C44,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H44" s="743" t="e">
        <f>IF($B44='Project List References'!$B$3, _xlfn.IFNA(_xlfn.XLOOKUP(H$2-$C44, 'GEN-CCGT'!$D$7:$AW$7, 'GEN-CCGT'!$D$51:$AW$51), 0), IF($B44='Project List References'!$B$4, _xlfn.IFNA(_xlfn.XLOOKUP(H$2-$C44, 'GEN-SOLAR'!$D$7:$AW$7, 'GEN-SOLAR'!$D$51:$AW$51), 0), IF($B44='Project List References'!$B$5, _xlfn.IFNA(_xlfn.XLOOKUP(H$2-$C44, 'GEN-BESS'!$D$7:$AW$7, 'GEN-BESS'!$D$51:$AW$51), 0), IF($B44='Project List References'!$B$6, _xlfn.IFNA(_xlfn.XLOOKUP(H$2-$C44, 'GEN-CARBON'!$D$7:$AW$7, 'GEN-CARBON'!$D$51:$AW$51), 0), IF($B44='Project List References'!$B$7, _xlfn.IFNA(_xlfn.XLOOKUP(H$2-$C44, 'SENS Coal'!$D$7:$AW$7, 'SENS Coal'!$D$51:$AW$51), 0), IF($B44='Project List References'!$B$8, _xlfn.IFNA(_xlfn.XLOOKUP(H$2-$C44,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I44" s="743" t="e">
        <f>IF($B44='Project List References'!$B$3, _xlfn.IFNA(_xlfn.XLOOKUP(I$2-$C44, 'GEN-CCGT'!$D$7:$AW$7, 'GEN-CCGT'!$D$51:$AW$51), 0), IF($B44='Project List References'!$B$4, _xlfn.IFNA(_xlfn.XLOOKUP(I$2-$C44, 'GEN-SOLAR'!$D$7:$AW$7, 'GEN-SOLAR'!$D$51:$AW$51), 0), IF($B44='Project List References'!$B$5, _xlfn.IFNA(_xlfn.XLOOKUP(I$2-$C44, 'GEN-BESS'!$D$7:$AW$7, 'GEN-BESS'!$D$51:$AW$51), 0), IF($B44='Project List References'!$B$6, _xlfn.IFNA(_xlfn.XLOOKUP(I$2-$C44, 'GEN-CARBON'!$D$7:$AW$7, 'GEN-CARBON'!$D$51:$AW$51), 0), IF($B44='Project List References'!$B$7, _xlfn.IFNA(_xlfn.XLOOKUP(I$2-$C44, 'SENS Coal'!$D$7:$AW$7, 'SENS Coal'!$D$51:$AW$51), 0), IF($B44='Project List References'!$B$8, _xlfn.IFNA(_xlfn.XLOOKUP(I$2-$C44,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J44" s="743" t="e">
        <f>IF($B44='Project List References'!$B$3, _xlfn.IFNA(_xlfn.XLOOKUP(J$2-$C44, 'GEN-CCGT'!$D$7:$AW$7, 'GEN-CCGT'!$D$51:$AW$51), 0), IF($B44='Project List References'!$B$4, _xlfn.IFNA(_xlfn.XLOOKUP(J$2-$C44, 'GEN-SOLAR'!$D$7:$AW$7, 'GEN-SOLAR'!$D$51:$AW$51), 0), IF($B44='Project List References'!$B$5, _xlfn.IFNA(_xlfn.XLOOKUP(J$2-$C44, 'GEN-BESS'!$D$7:$AW$7, 'GEN-BESS'!$D$51:$AW$51), 0), IF($B44='Project List References'!$B$6, _xlfn.IFNA(_xlfn.XLOOKUP(J$2-$C44, 'GEN-CARBON'!$D$7:$AW$7, 'GEN-CARBON'!$D$51:$AW$51), 0), IF($B44='Project List References'!$B$7, _xlfn.IFNA(_xlfn.XLOOKUP(J$2-$C44, 'SENS Coal'!$D$7:$AW$7, 'SENS Coal'!$D$51:$AW$51), 0), IF($B44='Project List References'!$B$8, _xlfn.IFNA(_xlfn.XLOOKUP(J$2-$C44,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K44" s="743" t="e">
        <f>IF($B44='Project List References'!$B$3, _xlfn.IFNA(_xlfn.XLOOKUP(K$2-$C44, 'GEN-CCGT'!$D$7:$AW$7, 'GEN-CCGT'!$D$51:$AW$51), 0), IF($B44='Project List References'!$B$4, _xlfn.IFNA(_xlfn.XLOOKUP(K$2-$C44, 'GEN-SOLAR'!$D$7:$AW$7, 'GEN-SOLAR'!$D$51:$AW$51), 0), IF($B44='Project List References'!$B$5, _xlfn.IFNA(_xlfn.XLOOKUP(K$2-$C44, 'GEN-BESS'!$D$7:$AW$7, 'GEN-BESS'!$D$51:$AW$51), 0), IF($B44='Project List References'!$B$6, _xlfn.IFNA(_xlfn.XLOOKUP(K$2-$C44, 'GEN-CARBON'!$D$7:$AW$7, 'GEN-CARBON'!$D$51:$AW$51), 0), IF($B44='Project List References'!$B$7, _xlfn.IFNA(_xlfn.XLOOKUP(K$2-$C44, 'SENS Coal'!$D$7:$AW$7, 'SENS Coal'!$D$51:$AW$51), 0), IF($B44='Project List References'!$B$8, _xlfn.IFNA(_xlfn.XLOOKUP(K$2-$C44,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L44" s="743" t="e">
        <f>IF($B44='Project List References'!$B$3, _xlfn.IFNA(_xlfn.XLOOKUP(L$2-$C44, 'GEN-CCGT'!$D$7:$AW$7, 'GEN-CCGT'!$D$51:$AW$51), 0), IF($B44='Project List References'!$B$4, _xlfn.IFNA(_xlfn.XLOOKUP(L$2-$C44, 'GEN-SOLAR'!$D$7:$AW$7, 'GEN-SOLAR'!$D$51:$AW$51), 0), IF($B44='Project List References'!$B$5, _xlfn.IFNA(_xlfn.XLOOKUP(L$2-$C44, 'GEN-BESS'!$D$7:$AW$7, 'GEN-BESS'!$D$51:$AW$51), 0), IF($B44='Project List References'!$B$6, _xlfn.IFNA(_xlfn.XLOOKUP(L$2-$C44, 'GEN-CARBON'!$D$7:$AW$7, 'GEN-CARBON'!$D$51:$AW$51), 0), IF($B44='Project List References'!$B$7, _xlfn.IFNA(_xlfn.XLOOKUP(L$2-$C44, 'SENS Coal'!$D$7:$AW$7, 'SENS Coal'!$D$51:$AW$51), 0), IF($B44='Project List References'!$B$8, _xlfn.IFNA(_xlfn.XLOOKUP(L$2-$C44,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M44" s="743" t="e">
        <f>IF($B44='Project List References'!$B$3, _xlfn.IFNA(_xlfn.XLOOKUP(M$2-$C44, 'GEN-CCGT'!$D$7:$AW$7, 'GEN-CCGT'!$D$51:$AW$51), 0), IF($B44='Project List References'!$B$4, _xlfn.IFNA(_xlfn.XLOOKUP(M$2-$C44, 'GEN-SOLAR'!$D$7:$AW$7, 'GEN-SOLAR'!$D$51:$AW$51), 0), IF($B44='Project List References'!$B$5, _xlfn.IFNA(_xlfn.XLOOKUP(M$2-$C44, 'GEN-BESS'!$D$7:$AW$7, 'GEN-BESS'!$D$51:$AW$51), 0), IF($B44='Project List References'!$B$6, _xlfn.IFNA(_xlfn.XLOOKUP(M$2-$C44, 'GEN-CARBON'!$D$7:$AW$7, 'GEN-CARBON'!$D$51:$AW$51), 0), IF($B44='Project List References'!$B$7, _xlfn.IFNA(_xlfn.XLOOKUP(M$2-$C44, 'SENS Coal'!$D$7:$AW$7, 'SENS Coal'!$D$51:$AW$51), 0), IF($B44='Project List References'!$B$8, _xlfn.IFNA(_xlfn.XLOOKUP(M$2-$C44,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N44" s="743" t="e">
        <f>IF($B44='Project List References'!$B$3, _xlfn.IFNA(_xlfn.XLOOKUP(N$2-$C44, 'GEN-CCGT'!$D$7:$AW$7, 'GEN-CCGT'!$D$51:$AW$51), 0), IF($B44='Project List References'!$B$4, _xlfn.IFNA(_xlfn.XLOOKUP(N$2-$C44, 'GEN-SOLAR'!$D$7:$AW$7, 'GEN-SOLAR'!$D$51:$AW$51), 0), IF($B44='Project List References'!$B$5, _xlfn.IFNA(_xlfn.XLOOKUP(N$2-$C44, 'GEN-BESS'!$D$7:$AW$7, 'GEN-BESS'!$D$51:$AW$51), 0), IF($B44='Project List References'!$B$6, _xlfn.IFNA(_xlfn.XLOOKUP(N$2-$C44, 'GEN-CARBON'!$D$7:$AW$7, 'GEN-CARBON'!$D$51:$AW$51), 0), IF($B44='Project List References'!$B$7, _xlfn.IFNA(_xlfn.XLOOKUP(N$2-$C44, 'SENS Coal'!$D$7:$AW$7, 'SENS Coal'!$D$51:$AW$51), 0), IF($B44='Project List References'!$B$8, _xlfn.IFNA(_xlfn.XLOOKUP(N$2-$C44,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O44" s="743" t="e">
        <f>IF($B44='Project List References'!$B$3, _xlfn.IFNA(_xlfn.XLOOKUP(O$2-$C44, 'GEN-CCGT'!$D$7:$AW$7, 'GEN-CCGT'!$D$51:$AW$51), 0), IF($B44='Project List References'!$B$4, _xlfn.IFNA(_xlfn.XLOOKUP(O$2-$C44, 'GEN-SOLAR'!$D$7:$AW$7, 'GEN-SOLAR'!$D$51:$AW$51), 0), IF($B44='Project List References'!$B$5, _xlfn.IFNA(_xlfn.XLOOKUP(O$2-$C44, 'GEN-BESS'!$D$7:$AW$7, 'GEN-BESS'!$D$51:$AW$51), 0), IF($B44='Project List References'!$B$6, _xlfn.IFNA(_xlfn.XLOOKUP(O$2-$C44, 'GEN-CARBON'!$D$7:$AW$7, 'GEN-CARBON'!$D$51:$AW$51), 0), IF($B44='Project List References'!$B$7, _xlfn.IFNA(_xlfn.XLOOKUP(O$2-$C44, 'SENS Coal'!$D$7:$AW$7, 'SENS Coal'!$D$51:$AW$51), 0), IF($B44='Project List References'!$B$8, _xlfn.IFNA(_xlfn.XLOOKUP(O$2-$C44,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P44" s="743" t="e">
        <f>IF($B44='Project List References'!$B$3, _xlfn.IFNA(_xlfn.XLOOKUP(P$2-$C44, 'GEN-CCGT'!$D$7:$AW$7, 'GEN-CCGT'!$D$51:$AW$51), 0), IF($B44='Project List References'!$B$4, _xlfn.IFNA(_xlfn.XLOOKUP(P$2-$C44, 'GEN-SOLAR'!$D$7:$AW$7, 'GEN-SOLAR'!$D$51:$AW$51), 0), IF($B44='Project List References'!$B$5, _xlfn.IFNA(_xlfn.XLOOKUP(P$2-$C44, 'GEN-BESS'!$D$7:$AW$7, 'GEN-BESS'!$D$51:$AW$51), 0), IF($B44='Project List References'!$B$6, _xlfn.IFNA(_xlfn.XLOOKUP(P$2-$C44, 'GEN-CARBON'!$D$7:$AW$7, 'GEN-CARBON'!$D$51:$AW$51), 0), IF($B44='Project List References'!$B$7, _xlfn.IFNA(_xlfn.XLOOKUP(P$2-$C44, 'SENS Coal'!$D$7:$AW$7, 'SENS Coal'!$D$51:$AW$51), 0), IF($B44='Project List References'!$B$8, _xlfn.IFNA(_xlfn.XLOOKUP(P$2-$C44,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Q44" s="743" t="e">
        <f>IF($B44='Project List References'!$B$3, _xlfn.IFNA(_xlfn.XLOOKUP(Q$2-$C44, 'GEN-CCGT'!$D$7:$AW$7, 'GEN-CCGT'!$D$51:$AW$51), 0), IF($B44='Project List References'!$B$4, _xlfn.IFNA(_xlfn.XLOOKUP(Q$2-$C44, 'GEN-SOLAR'!$D$7:$AW$7, 'GEN-SOLAR'!$D$51:$AW$51), 0), IF($B44='Project List References'!$B$5, _xlfn.IFNA(_xlfn.XLOOKUP(Q$2-$C44, 'GEN-BESS'!$D$7:$AW$7, 'GEN-BESS'!$D$51:$AW$51), 0), IF($B44='Project List References'!$B$6, _xlfn.IFNA(_xlfn.XLOOKUP(Q$2-$C44, 'GEN-CARBON'!$D$7:$AW$7, 'GEN-CARBON'!$D$51:$AW$51), 0), IF($B44='Project List References'!$B$7, _xlfn.IFNA(_xlfn.XLOOKUP(Q$2-$C44, 'SENS Coal'!$D$7:$AW$7, 'SENS Coal'!$D$51:$AW$51), 0), IF($B44='Project List References'!$B$8, _xlfn.IFNA(_xlfn.XLOOKUP(Q$2-$C44,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R44" s="743" t="e">
        <f>IF($B44='Project List References'!$B$3, _xlfn.IFNA(_xlfn.XLOOKUP(R$2-$C44, 'GEN-CCGT'!$D$7:$AW$7, 'GEN-CCGT'!$D$51:$AW$51), 0), IF($B44='Project List References'!$B$4, _xlfn.IFNA(_xlfn.XLOOKUP(R$2-$C44, 'GEN-SOLAR'!$D$7:$AW$7, 'GEN-SOLAR'!$D$51:$AW$51), 0), IF($B44='Project List References'!$B$5, _xlfn.IFNA(_xlfn.XLOOKUP(R$2-$C44, 'GEN-BESS'!$D$7:$AW$7, 'GEN-BESS'!$D$51:$AW$51), 0), IF($B44='Project List References'!$B$6, _xlfn.IFNA(_xlfn.XLOOKUP(R$2-$C44, 'GEN-CARBON'!$D$7:$AW$7, 'GEN-CARBON'!$D$51:$AW$51), 0), IF($B44='Project List References'!$B$7, _xlfn.IFNA(_xlfn.XLOOKUP(R$2-$C44, 'SENS Coal'!$D$7:$AW$7, 'SENS Coal'!$D$51:$AW$51), 0), IF($B44='Project List References'!$B$8, _xlfn.IFNA(_xlfn.XLOOKUP(R$2-$C44,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S44" s="743" t="e">
        <f>IF($B44='Project List References'!$B$3, _xlfn.IFNA(_xlfn.XLOOKUP(S$2-$C44, 'GEN-CCGT'!$D$7:$AW$7, 'GEN-CCGT'!$D$51:$AW$51), 0), IF($B44='Project List References'!$B$4, _xlfn.IFNA(_xlfn.XLOOKUP(S$2-$C44, 'GEN-SOLAR'!$D$7:$AW$7, 'GEN-SOLAR'!$D$51:$AW$51), 0), IF($B44='Project List References'!$B$5, _xlfn.IFNA(_xlfn.XLOOKUP(S$2-$C44, 'GEN-BESS'!$D$7:$AW$7, 'GEN-BESS'!$D$51:$AW$51), 0), IF($B44='Project List References'!$B$6, _xlfn.IFNA(_xlfn.XLOOKUP(S$2-$C44, 'GEN-CARBON'!$D$7:$AW$7, 'GEN-CARBON'!$D$51:$AW$51), 0), IF($B44='Project List References'!$B$7, _xlfn.IFNA(_xlfn.XLOOKUP(S$2-$C44, 'SENS Coal'!$D$7:$AW$7, 'SENS Coal'!$D$51:$AW$51), 0), IF($B44='Project List References'!$B$8, _xlfn.IFNA(_xlfn.XLOOKUP(S$2-$C44,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  <c r="T44" s="743" t="e">
        <f>IF($B44='Project List References'!$B$3, _xlfn.IFNA(_xlfn.XLOOKUP(T$2-$C44, 'GEN-CCGT'!$D$7:$AW$7, 'GEN-CCGT'!$D$51:$AW$51), 0), IF($B44='Project List References'!$B$4, _xlfn.IFNA(_xlfn.XLOOKUP(T$2-$C44, 'GEN-SOLAR'!$D$7:$AW$7, 'GEN-SOLAR'!$D$51:$AW$51), 0), IF($B44='Project List References'!$B$5, _xlfn.IFNA(_xlfn.XLOOKUP(T$2-$C44, 'GEN-BESS'!$D$7:$AW$7, 'GEN-BESS'!$D$51:$AW$51), 0), IF($B44='Project List References'!$B$6, _xlfn.IFNA(_xlfn.XLOOKUP(T$2-$C44, 'GEN-CARBON'!$D$7:$AW$7, 'GEN-CARBON'!$D$51:$AW$51), 0), IF($B44='Project List References'!$B$7, _xlfn.IFNA(_xlfn.XLOOKUP(T$2-$C44, 'SENS Coal'!$D$7:$AW$7, 'SENS Coal'!$D$51:$AW$51), 0), IF($B44='Project List References'!$B$8, _xlfn.IFNA(_xlfn.XLOOKUP(T$2-$C44, 'SENS Tires'!$D$7:$AW$7, 'SENS Tires'!$D$51:$AW$51), 0)))))))/_xlfn.XLOOKUP($B44, 'Assumptions &amp; Inputs'!$F$76:$L$76, 'Assumptions &amp; Inputs'!$F$77:$L$77)*IF(OR($B44='Project List References'!$B$3, $B44='Project List References'!$B$4, $B44='Project List References'!$B$5, $B44='Project List References'!$B$6), 'Project Master Sheet'!$E44, 'Project Master Sheet'!$F44)</f>
        <v>#N/A</v>
      </c>
    </row>
  </sheetData>
  <mergeCells count="1">
    <mergeCell ref="E1:T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FDD8-D845-4A62-A983-91E05D20CC94}">
  <dimension ref="A1:DG37"/>
  <sheetViews>
    <sheetView workbookViewId="0">
      <selection activeCell="A10" sqref="A10"/>
    </sheetView>
  </sheetViews>
  <sheetFormatPr baseColWidth="10" defaultColWidth="9.1640625" defaultRowHeight="15"/>
  <cols>
    <col min="1" max="1" width="30.1640625" style="655" customWidth="1"/>
    <col min="2" max="2" width="23" style="655" customWidth="1"/>
    <col min="3" max="3" width="18.1640625" style="655" customWidth="1"/>
    <col min="4" max="4" width="5.6640625" style="655" customWidth="1"/>
    <col min="5" max="20" width="12.6640625" style="655" customWidth="1"/>
    <col min="21" max="16384" width="9.1640625" style="655"/>
  </cols>
  <sheetData>
    <row r="1" spans="1:111" ht="27">
      <c r="A1" s="656" t="s">
        <v>40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8"/>
      <c r="AI1" s="658"/>
      <c r="AJ1" s="658"/>
      <c r="AK1" s="658"/>
      <c r="AL1" s="658"/>
      <c r="AM1" s="658"/>
      <c r="AN1" s="658"/>
      <c r="AO1" s="658"/>
      <c r="AP1" s="658"/>
      <c r="AQ1" s="658"/>
      <c r="AR1" s="658"/>
      <c r="AS1" s="658"/>
      <c r="AT1" s="658"/>
      <c r="AU1" s="658"/>
      <c r="AV1" s="658"/>
      <c r="AW1" s="658"/>
      <c r="AX1" s="658"/>
      <c r="AY1" s="658"/>
      <c r="AZ1" s="658"/>
      <c r="BA1" s="658"/>
      <c r="BB1" s="658"/>
      <c r="BC1" s="658"/>
      <c r="BD1" s="658"/>
      <c r="BE1" s="658"/>
      <c r="BF1" s="658"/>
      <c r="BG1" s="658"/>
      <c r="BH1" s="658"/>
      <c r="BI1" s="658"/>
      <c r="BJ1" s="658"/>
      <c r="BK1" s="658"/>
      <c r="BL1" s="658"/>
      <c r="BM1" s="658"/>
      <c r="BN1" s="658"/>
      <c r="BO1" s="658"/>
      <c r="BP1" s="658"/>
      <c r="BQ1" s="658"/>
      <c r="BR1" s="658"/>
      <c r="BS1" s="658"/>
      <c r="BT1" s="658"/>
      <c r="BU1" s="658"/>
      <c r="BV1" s="658"/>
      <c r="BW1" s="658"/>
      <c r="BX1" s="658"/>
      <c r="BY1" s="658"/>
      <c r="BZ1" s="658"/>
      <c r="CA1" s="658"/>
      <c r="CB1" s="658"/>
      <c r="CC1" s="658"/>
      <c r="CD1" s="658"/>
      <c r="CE1" s="658"/>
      <c r="CF1" s="658"/>
      <c r="CG1" s="658"/>
      <c r="CH1" s="658"/>
      <c r="CI1" s="658"/>
      <c r="CJ1" s="658"/>
      <c r="CK1" s="658"/>
      <c r="CL1" s="658"/>
      <c r="CM1" s="658"/>
      <c r="CN1" s="658"/>
      <c r="CO1" s="658"/>
      <c r="CP1" s="658"/>
      <c r="CQ1" s="658"/>
      <c r="CR1" s="658"/>
      <c r="CS1" s="658"/>
      <c r="CT1" s="658"/>
      <c r="CU1" s="658"/>
      <c r="CV1" s="658"/>
      <c r="CW1" s="658"/>
      <c r="CX1" s="658"/>
      <c r="CY1" s="658"/>
      <c r="CZ1" s="658"/>
      <c r="DA1" s="658"/>
      <c r="DB1" s="658"/>
      <c r="DC1" s="658"/>
      <c r="DD1" s="658"/>
      <c r="DE1" s="658"/>
      <c r="DF1" s="658"/>
      <c r="DG1" s="658"/>
    </row>
    <row r="2" spans="1:111">
      <c r="A2" s="655" t="s">
        <v>52</v>
      </c>
      <c r="B2" s="655" t="s">
        <v>45</v>
      </c>
      <c r="C2" s="655" t="s">
        <v>53</v>
      </c>
      <c r="E2" s="655">
        <v>0</v>
      </c>
      <c r="F2" s="655">
        <f>E2+1</f>
        <v>1</v>
      </c>
      <c r="G2" s="655">
        <f t="shared" ref="G2:T2" si="0">F2+1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111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_xlfn.XLOOKUP('Project OPEX'!A3, 'Project Master Sheet'!A:A, 'Project Master Sheet'!I:I)</f>
        <v>1</v>
      </c>
      <c r="E3" s="663">
        <f>IF($B3='Project List References'!$B$6, IF('Project PGEN'!E3&gt;0, 'Assumptions &amp; Inputs'!$L$117, 0), IF($B3='Project List References'!$B$7, _xlfn.IFNA(_xlfn.XLOOKUP(E$2-$C3, 'SENS Coal'!$D$7:$AW$7, 'SENS Coal'!$D$118:$AW$118), 0), IF($B3='Project List References'!$B$8, _xlfn.IFNA(_xlfn.XLOOKUP(E$2-$C3,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F3" s="663">
        <f>IF($B3='Project List References'!$B$6, IF('Project PGEN'!F3&gt;0, 'Assumptions &amp; Inputs'!$L$117, 0), IF($B3='Project List References'!$B$7, _xlfn.IFNA(_xlfn.XLOOKUP(F$2-$C3, 'SENS Coal'!$D$7:$AW$7, 'SENS Coal'!$D$118:$AW$118), 0), IF($B3='Project List References'!$B$8, _xlfn.IFNA(_xlfn.XLOOKUP(F$2-$C3,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G3" s="663">
        <f>IF($B3='Project List References'!$B$6, IF('Project PGEN'!G3&gt;0, 'Assumptions &amp; Inputs'!$L$117, 0), IF($B3='Project List References'!$B$7, _xlfn.IFNA(_xlfn.XLOOKUP(G$2-$C3, 'SENS Coal'!$D$7:$AW$7, 'SENS Coal'!$D$118:$AW$118), 0), IF($B3='Project List References'!$B$8, _xlfn.IFNA(_xlfn.XLOOKUP(G$2-$C3,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H3" s="663">
        <f>IF($B3='Project List References'!$B$6, IF('Project PGEN'!H3&gt;0, 'Assumptions &amp; Inputs'!$L$117, 0), IF($B3='Project List References'!$B$7, _xlfn.IFNA(_xlfn.XLOOKUP(H$2-$C3, 'SENS Coal'!$D$7:$AW$7, 'SENS Coal'!$D$118:$AW$118), 0), IF($B3='Project List References'!$B$8, _xlfn.IFNA(_xlfn.XLOOKUP(H$2-$C3,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I3" s="663">
        <f>IF($B3='Project List References'!$B$6, IF('Project PGEN'!I3&gt;0, 'Assumptions &amp; Inputs'!$L$117, 0), IF($B3='Project List References'!$B$7, _xlfn.IFNA(_xlfn.XLOOKUP(I$2-$C3, 'SENS Coal'!$D$7:$AW$7, 'SENS Coal'!$D$118:$AW$118), 0), IF($B3='Project List References'!$B$8, _xlfn.IFNA(_xlfn.XLOOKUP(I$2-$C3,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J3" s="663">
        <f>IF($B3='Project List References'!$B$6, IF('Project PGEN'!J3&gt;0, 'Assumptions &amp; Inputs'!$L$117, 0), IF($B3='Project List References'!$B$7, _xlfn.IFNA(_xlfn.XLOOKUP(J$2-$C3, 'SENS Coal'!$D$7:$AW$7, 'SENS Coal'!$D$118:$AW$118), 0), IF($B3='Project List References'!$B$8, _xlfn.IFNA(_xlfn.XLOOKUP(J$2-$C3,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5.2257992217794422</v>
      </c>
      <c r="K3" s="663">
        <f>IF($B3='Project List References'!$B$6, IF('Project PGEN'!K3&gt;0, 'Assumptions &amp; Inputs'!$L$117, 0), IF($B3='Project List References'!$B$7, _xlfn.IFNA(_xlfn.XLOOKUP(K$2-$C3, 'SENS Coal'!$D$7:$AW$7, 'SENS Coal'!$D$118:$AW$118), 0), IF($B3='Project List References'!$B$8, _xlfn.IFNA(_xlfn.XLOOKUP(K$2-$C3,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5.2257992217794422</v>
      </c>
      <c r="L3" s="663">
        <f>IF($B3='Project List References'!$B$6, IF('Project PGEN'!L3&gt;0, 'Assumptions &amp; Inputs'!$L$117, 0), IF($B3='Project List References'!$B$7, _xlfn.IFNA(_xlfn.XLOOKUP(L$2-$C3, 'SENS Coal'!$D$7:$AW$7, 'SENS Coal'!$D$118:$AW$118), 0), IF($B3='Project List References'!$B$8, _xlfn.IFNA(_xlfn.XLOOKUP(L$2-$C3,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5.2257992217794422</v>
      </c>
      <c r="M3" s="663">
        <f>IF($B3='Project List References'!$B$6, IF('Project PGEN'!M3&gt;0, 'Assumptions &amp; Inputs'!$L$117, 0), IF($B3='Project List References'!$B$7, _xlfn.IFNA(_xlfn.XLOOKUP(M$2-$C3, 'SENS Coal'!$D$7:$AW$7, 'SENS Coal'!$D$118:$AW$118), 0), IF($B3='Project List References'!$B$8, _xlfn.IFNA(_xlfn.XLOOKUP(M$2-$C3,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5.2257992217794422</v>
      </c>
      <c r="N3" s="663">
        <f>IF($B3='Project List References'!$B$6, IF('Project PGEN'!N3&gt;0, 'Assumptions &amp; Inputs'!$L$117, 0), IF($B3='Project List References'!$B$7, _xlfn.IFNA(_xlfn.XLOOKUP(N$2-$C3, 'SENS Coal'!$D$7:$AW$7, 'SENS Coal'!$D$118:$AW$118), 0), IF($B3='Project List References'!$B$8, _xlfn.IFNA(_xlfn.XLOOKUP(N$2-$C3,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5.2257992217794422</v>
      </c>
      <c r="O3" s="663">
        <f>IF($B3='Project List References'!$B$6, IF('Project PGEN'!O3&gt;0, 'Assumptions &amp; Inputs'!$L$117, 0), IF($B3='Project List References'!$B$7, _xlfn.IFNA(_xlfn.XLOOKUP(O$2-$C3, 'SENS Coal'!$D$7:$AW$7, 'SENS Coal'!$D$118:$AW$118), 0), IF($B3='Project List References'!$B$8, _xlfn.IFNA(_xlfn.XLOOKUP(O$2-$C3,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5.2257992217794422</v>
      </c>
      <c r="P3" s="663">
        <f>IF($B3='Project List References'!$B$6, IF('Project PGEN'!P3&gt;0, 'Assumptions &amp; Inputs'!$L$117, 0), IF($B3='Project List References'!$B$7, _xlfn.IFNA(_xlfn.XLOOKUP(P$2-$C3, 'SENS Coal'!$D$7:$AW$7, 'SENS Coal'!$D$118:$AW$118), 0), IF($B3='Project List References'!$B$8, _xlfn.IFNA(_xlfn.XLOOKUP(P$2-$C3,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5.2257992217794422</v>
      </c>
      <c r="Q3" s="663">
        <f>IF($B3='Project List References'!$B$6, IF('Project PGEN'!Q3&gt;0, 'Assumptions &amp; Inputs'!$L$117, 0), IF($B3='Project List References'!$B$7, _xlfn.IFNA(_xlfn.XLOOKUP(Q$2-$C3, 'SENS Coal'!$D$7:$AW$7, 'SENS Coal'!$D$118:$AW$118), 0), IF($B3='Project List References'!$B$8, _xlfn.IFNA(_xlfn.XLOOKUP(Q$2-$C3,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5.2257992217794422</v>
      </c>
      <c r="R3" s="663">
        <f>IF($B3='Project List References'!$B$6, IF('Project PGEN'!R3&gt;0, 'Assumptions &amp; Inputs'!$L$117, 0), IF($B3='Project List References'!$B$7, _xlfn.IFNA(_xlfn.XLOOKUP(R$2-$C3, 'SENS Coal'!$D$7:$AW$7, 'SENS Coal'!$D$118:$AW$118), 0), IF($B3='Project List References'!$B$8, _xlfn.IFNA(_xlfn.XLOOKUP(R$2-$C3,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5.2257992217794422</v>
      </c>
      <c r="S3" s="663">
        <f>IF($B3='Project List References'!$B$6, IF('Project PGEN'!S3&gt;0, 'Assumptions &amp; Inputs'!$L$117, 0), IF($B3='Project List References'!$B$7, _xlfn.IFNA(_xlfn.XLOOKUP(S$2-$C3, 'SENS Coal'!$D$7:$AW$7, 'SENS Coal'!$D$118:$AW$118), 0), IF($B3='Project List References'!$B$8, _xlfn.IFNA(_xlfn.XLOOKUP(S$2-$C3,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5.2257992217794422</v>
      </c>
      <c r="T3" s="663">
        <f>IF($B3='Project List References'!$B$6, IF('Project PGEN'!T3&gt;0, 'Assumptions &amp; Inputs'!$L$117, 0), IF($B3='Project List References'!$B$7, _xlfn.IFNA(_xlfn.XLOOKUP(T$2-$C3, 'SENS Coal'!$D$7:$AW$7, 'SENS Coal'!$D$118:$AW$118), 0), IF($B3='Project List References'!$B$8, _xlfn.IFNA(_xlfn.XLOOKUP(T$2-$C3, 'SENS Tires'!$D$7:$AW$7, 'SENS Tires'!$D$118:$AW$118),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5.2257992217794422</v>
      </c>
    </row>
    <row r="4" spans="1:111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_xlfn.XLOOKUP('Project OPEX'!A4, 'Project Master Sheet'!A:A, 'Project Master Sheet'!I:I)</f>
        <v>1</v>
      </c>
      <c r="E4" s="663">
        <f>IF($B4='Project List References'!$B$6, IF('Project PGEN'!E4&gt;0, 'Assumptions &amp; Inputs'!$L$117, 0), IF($B4='Project List References'!$B$7, _xlfn.IFNA(_xlfn.XLOOKUP(E$2-$C4, 'SENS Coal'!$D$7:$AW$7, 'SENS Coal'!$D$118:$AW$118), 0), IF($B4='Project List References'!$B$8, _xlfn.IFNA(_xlfn.XLOOKUP(E$2-$C4,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F4" s="663">
        <f>IF($B4='Project List References'!$B$6, IF('Project PGEN'!F4&gt;0, 'Assumptions &amp; Inputs'!$L$117, 0), IF($B4='Project List References'!$B$7, _xlfn.IFNA(_xlfn.XLOOKUP(F$2-$C4, 'SENS Coal'!$D$7:$AW$7, 'SENS Coal'!$D$118:$AW$118), 0), IF($B4='Project List References'!$B$8, _xlfn.IFNA(_xlfn.XLOOKUP(F$2-$C4,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G4" s="663">
        <f>IF($B4='Project List References'!$B$6, IF('Project PGEN'!G4&gt;0, 'Assumptions &amp; Inputs'!$L$117, 0), IF($B4='Project List References'!$B$7, _xlfn.IFNA(_xlfn.XLOOKUP(G$2-$C4, 'SENS Coal'!$D$7:$AW$7, 'SENS Coal'!$D$118:$AW$118), 0), IF($B4='Project List References'!$B$8, _xlfn.IFNA(_xlfn.XLOOKUP(G$2-$C4,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H4" s="663">
        <f>IF($B4='Project List References'!$B$6, IF('Project PGEN'!H4&gt;0, 'Assumptions &amp; Inputs'!$L$117, 0), IF($B4='Project List References'!$B$7, _xlfn.IFNA(_xlfn.XLOOKUP(H$2-$C4, 'SENS Coal'!$D$7:$AW$7, 'SENS Coal'!$D$118:$AW$118), 0), IF($B4='Project List References'!$B$8, _xlfn.IFNA(_xlfn.XLOOKUP(H$2-$C4,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I4" s="663">
        <f>IF($B4='Project List References'!$B$6, IF('Project PGEN'!I4&gt;0, 'Assumptions &amp; Inputs'!$L$117, 0), IF($B4='Project List References'!$B$7, _xlfn.IFNA(_xlfn.XLOOKUP(I$2-$C4, 'SENS Coal'!$D$7:$AW$7, 'SENS Coal'!$D$118:$AW$118), 0), IF($B4='Project List References'!$B$8, _xlfn.IFNA(_xlfn.XLOOKUP(I$2-$C4,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J4" s="663">
        <f>IF($B4='Project List References'!$B$6, IF('Project PGEN'!J4&gt;0, 'Assumptions &amp; Inputs'!$L$117, 0), IF($B4='Project List References'!$B$7, _xlfn.IFNA(_xlfn.XLOOKUP(J$2-$C4, 'SENS Coal'!$D$7:$AW$7, 'SENS Coal'!$D$118:$AW$118), 0), IF($B4='Project List References'!$B$8, _xlfn.IFNA(_xlfn.XLOOKUP(J$2-$C4,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K4" s="663">
        <f>IF($B4='Project List References'!$B$6, IF('Project PGEN'!K4&gt;0, 'Assumptions &amp; Inputs'!$L$117, 0), IF($B4='Project List References'!$B$7, _xlfn.IFNA(_xlfn.XLOOKUP(K$2-$C4, 'SENS Coal'!$D$7:$AW$7, 'SENS Coal'!$D$118:$AW$118), 0), IF($B4='Project List References'!$B$8, _xlfn.IFNA(_xlfn.XLOOKUP(K$2-$C4,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L4" s="663">
        <f>IF($B4='Project List References'!$B$6, IF('Project PGEN'!L4&gt;0, 'Assumptions &amp; Inputs'!$L$117, 0), IF($B4='Project List References'!$B$7, _xlfn.IFNA(_xlfn.XLOOKUP(L$2-$C4, 'SENS Coal'!$D$7:$AW$7, 'SENS Coal'!$D$118:$AW$118), 0), IF($B4='Project List References'!$B$8, _xlfn.IFNA(_xlfn.XLOOKUP(L$2-$C4,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M4" s="663">
        <f>IF($B4='Project List References'!$B$6, IF('Project PGEN'!M4&gt;0, 'Assumptions &amp; Inputs'!$L$117, 0), IF($B4='Project List References'!$B$7, _xlfn.IFNA(_xlfn.XLOOKUP(M$2-$C4, 'SENS Coal'!$D$7:$AW$7, 'SENS Coal'!$D$118:$AW$118), 0), IF($B4='Project List References'!$B$8, _xlfn.IFNA(_xlfn.XLOOKUP(M$2-$C4,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N4" s="663">
        <f>IF($B4='Project List References'!$B$6, IF('Project PGEN'!N4&gt;0, 'Assumptions &amp; Inputs'!$L$117, 0), IF($B4='Project List References'!$B$7, _xlfn.IFNA(_xlfn.XLOOKUP(N$2-$C4, 'SENS Coal'!$D$7:$AW$7, 'SENS Coal'!$D$118:$AW$118), 0), IF($B4='Project List References'!$B$8, _xlfn.IFNA(_xlfn.XLOOKUP(N$2-$C4,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O4" s="663">
        <f>IF($B4='Project List References'!$B$6, IF('Project PGEN'!O4&gt;0, 'Assumptions &amp; Inputs'!$L$117, 0), IF($B4='Project List References'!$B$7, _xlfn.IFNA(_xlfn.XLOOKUP(O$2-$C4, 'SENS Coal'!$D$7:$AW$7, 'SENS Coal'!$D$118:$AW$118), 0), IF($B4='Project List References'!$B$8, _xlfn.IFNA(_xlfn.XLOOKUP(O$2-$C4,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P4" s="663">
        <f>IF($B4='Project List References'!$B$6, IF('Project PGEN'!P4&gt;0, 'Assumptions &amp; Inputs'!$L$117, 0), IF($B4='Project List References'!$B$7, _xlfn.IFNA(_xlfn.XLOOKUP(P$2-$C4, 'SENS Coal'!$D$7:$AW$7, 'SENS Coal'!$D$118:$AW$118), 0), IF($B4='Project List References'!$B$8, _xlfn.IFNA(_xlfn.XLOOKUP(P$2-$C4,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Q4" s="663">
        <f>IF($B4='Project List References'!$B$6, IF('Project PGEN'!Q4&gt;0, 'Assumptions &amp; Inputs'!$L$117, 0), IF($B4='Project List References'!$B$7, _xlfn.IFNA(_xlfn.XLOOKUP(Q$2-$C4, 'SENS Coal'!$D$7:$AW$7, 'SENS Coal'!$D$118:$AW$118), 0), IF($B4='Project List References'!$B$8, _xlfn.IFNA(_xlfn.XLOOKUP(Q$2-$C4,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R4" s="663">
        <f>IF($B4='Project List References'!$B$6, IF('Project PGEN'!R4&gt;0, 'Assumptions &amp; Inputs'!$L$117, 0), IF($B4='Project List References'!$B$7, _xlfn.IFNA(_xlfn.XLOOKUP(R$2-$C4, 'SENS Coal'!$D$7:$AW$7, 'SENS Coal'!$D$118:$AW$118), 0), IF($B4='Project List References'!$B$8, _xlfn.IFNA(_xlfn.XLOOKUP(R$2-$C4,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S4" s="663">
        <f>IF($B4='Project List References'!$B$6, IF('Project PGEN'!S4&gt;0, 'Assumptions &amp; Inputs'!$L$117, 0), IF($B4='Project List References'!$B$7, _xlfn.IFNA(_xlfn.XLOOKUP(S$2-$C4, 'SENS Coal'!$D$7:$AW$7, 'SENS Coal'!$D$118:$AW$118), 0), IF($B4='Project List References'!$B$8, _xlfn.IFNA(_xlfn.XLOOKUP(S$2-$C4,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T4" s="663">
        <f>IF($B4='Project List References'!$B$6, IF('Project PGEN'!T4&gt;0, 'Assumptions &amp; Inputs'!$L$117, 0), IF($B4='Project List References'!$B$7, _xlfn.IFNA(_xlfn.XLOOKUP(T$2-$C4, 'SENS Coal'!$D$7:$AW$7, 'SENS Coal'!$D$118:$AW$118), 0), IF($B4='Project List References'!$B$8, _xlfn.IFNA(_xlfn.XLOOKUP(T$2-$C4, 'SENS Tires'!$D$7:$AW$7, 'SENS Tires'!$D$118:$AW$118),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</row>
    <row r="5" spans="1:111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_xlfn.XLOOKUP('Project OPEX'!A5, 'Project Master Sheet'!A:A, 'Project Master Sheet'!I:I)</f>
        <v>2</v>
      </c>
      <c r="E5" s="663">
        <f>IF($B5='Project List References'!$B$6, IF('Project PGEN'!E5&gt;0, 'Assumptions &amp; Inputs'!$L$117, 0), IF($B5='Project List References'!$B$7, _xlfn.IFNA(_xlfn.XLOOKUP(E$2-$C5, 'SENS Coal'!$D$7:$AW$7, 'SENS Coal'!$D$118:$AW$118), 0), IF($B5='Project List References'!$B$8, _xlfn.IFNA(_xlfn.XLOOKUP(E$2-$C5,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F5" s="663">
        <f>IF($B5='Project List References'!$B$6, IF('Project PGEN'!F5&gt;0, 'Assumptions &amp; Inputs'!$L$117, 0), IF($B5='Project List References'!$B$7, _xlfn.IFNA(_xlfn.XLOOKUP(F$2-$C5, 'SENS Coal'!$D$7:$AW$7, 'SENS Coal'!$D$118:$AW$118), 0), IF($B5='Project List References'!$B$8, _xlfn.IFNA(_xlfn.XLOOKUP(F$2-$C5,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G5" s="663">
        <f>IF($B5='Project List References'!$B$6, IF('Project PGEN'!G5&gt;0, 'Assumptions &amp; Inputs'!$L$117, 0), IF($B5='Project List References'!$B$7, _xlfn.IFNA(_xlfn.XLOOKUP(G$2-$C5, 'SENS Coal'!$D$7:$AW$7, 'SENS Coal'!$D$118:$AW$118), 0), IF($B5='Project List References'!$B$8, _xlfn.IFNA(_xlfn.XLOOKUP(G$2-$C5,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H5" s="663">
        <f>IF($B5='Project List References'!$B$6, IF('Project PGEN'!H5&gt;0, 'Assumptions &amp; Inputs'!$L$117, 0), IF($B5='Project List References'!$B$7, _xlfn.IFNA(_xlfn.XLOOKUP(H$2-$C5, 'SENS Coal'!$D$7:$AW$7, 'SENS Coal'!$D$118:$AW$118), 0), IF($B5='Project List References'!$B$8, _xlfn.IFNA(_xlfn.XLOOKUP(H$2-$C5,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3.9735359999999997</v>
      </c>
      <c r="I5" s="663">
        <f>IF($B5='Project List References'!$B$6, IF('Project PGEN'!I5&gt;0, 'Assumptions &amp; Inputs'!$L$117, 0), IF($B5='Project List References'!$B$7, _xlfn.IFNA(_xlfn.XLOOKUP(I$2-$C5, 'SENS Coal'!$D$7:$AW$7, 'SENS Coal'!$D$118:$AW$118), 0), IF($B5='Project List References'!$B$8, _xlfn.IFNA(_xlfn.XLOOKUP(I$2-$C5,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  <c r="J5" s="663">
        <f>IF($B5='Project List References'!$B$6, IF('Project PGEN'!J5&gt;0, 'Assumptions &amp; Inputs'!$L$117, 0), IF($B5='Project List References'!$B$7, _xlfn.IFNA(_xlfn.XLOOKUP(J$2-$C5, 'SENS Coal'!$D$7:$AW$7, 'SENS Coal'!$D$118:$AW$118), 0), IF($B5='Project List References'!$B$8, _xlfn.IFNA(_xlfn.XLOOKUP(J$2-$C5,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  <c r="K5" s="663">
        <f>IF($B5='Project List References'!$B$6, IF('Project PGEN'!K5&gt;0, 'Assumptions &amp; Inputs'!$L$117, 0), IF($B5='Project List References'!$B$7, _xlfn.IFNA(_xlfn.XLOOKUP(K$2-$C5, 'SENS Coal'!$D$7:$AW$7, 'SENS Coal'!$D$118:$AW$118), 0), IF($B5='Project List References'!$B$8, _xlfn.IFNA(_xlfn.XLOOKUP(K$2-$C5,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  <c r="L5" s="663">
        <f>IF($B5='Project List References'!$B$6, IF('Project PGEN'!L5&gt;0, 'Assumptions &amp; Inputs'!$L$117, 0), IF($B5='Project List References'!$B$7, _xlfn.IFNA(_xlfn.XLOOKUP(L$2-$C5, 'SENS Coal'!$D$7:$AW$7, 'SENS Coal'!$D$118:$AW$118), 0), IF($B5='Project List References'!$B$8, _xlfn.IFNA(_xlfn.XLOOKUP(L$2-$C5,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  <c r="M5" s="663">
        <f>IF($B5='Project List References'!$B$6, IF('Project PGEN'!M5&gt;0, 'Assumptions &amp; Inputs'!$L$117, 0), IF($B5='Project List References'!$B$7, _xlfn.IFNA(_xlfn.XLOOKUP(M$2-$C5, 'SENS Coal'!$D$7:$AW$7, 'SENS Coal'!$D$118:$AW$118), 0), IF($B5='Project List References'!$B$8, _xlfn.IFNA(_xlfn.XLOOKUP(M$2-$C5,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  <c r="N5" s="663">
        <f>IF($B5='Project List References'!$B$6, IF('Project PGEN'!N5&gt;0, 'Assumptions &amp; Inputs'!$L$117, 0), IF($B5='Project List References'!$B$7, _xlfn.IFNA(_xlfn.XLOOKUP(N$2-$C5, 'SENS Coal'!$D$7:$AW$7, 'SENS Coal'!$D$118:$AW$118), 0), IF($B5='Project List References'!$B$8, _xlfn.IFNA(_xlfn.XLOOKUP(N$2-$C5,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  <c r="O5" s="663">
        <f>IF($B5='Project List References'!$B$6, IF('Project PGEN'!O5&gt;0, 'Assumptions &amp; Inputs'!$L$117, 0), IF($B5='Project List References'!$B$7, _xlfn.IFNA(_xlfn.XLOOKUP(O$2-$C5, 'SENS Coal'!$D$7:$AW$7, 'SENS Coal'!$D$118:$AW$118), 0), IF($B5='Project List References'!$B$8, _xlfn.IFNA(_xlfn.XLOOKUP(O$2-$C5,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  <c r="P5" s="663">
        <f>IF($B5='Project List References'!$B$6, IF('Project PGEN'!P5&gt;0, 'Assumptions &amp; Inputs'!$L$117, 0), IF($B5='Project List References'!$B$7, _xlfn.IFNA(_xlfn.XLOOKUP(P$2-$C5, 'SENS Coal'!$D$7:$AW$7, 'SENS Coal'!$D$118:$AW$118), 0), IF($B5='Project List References'!$B$8, _xlfn.IFNA(_xlfn.XLOOKUP(P$2-$C5,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  <c r="Q5" s="663">
        <f>IF($B5='Project List References'!$B$6, IF('Project PGEN'!Q5&gt;0, 'Assumptions &amp; Inputs'!$L$117, 0), IF($B5='Project List References'!$B$7, _xlfn.IFNA(_xlfn.XLOOKUP(Q$2-$C5, 'SENS Coal'!$D$7:$AW$7, 'SENS Coal'!$D$118:$AW$118), 0), IF($B5='Project List References'!$B$8, _xlfn.IFNA(_xlfn.XLOOKUP(Q$2-$C5,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  <c r="R5" s="663">
        <f>IF($B5='Project List References'!$B$6, IF('Project PGEN'!R5&gt;0, 'Assumptions &amp; Inputs'!$L$117, 0), IF($B5='Project List References'!$B$7, _xlfn.IFNA(_xlfn.XLOOKUP(R$2-$C5, 'SENS Coal'!$D$7:$AW$7, 'SENS Coal'!$D$118:$AW$118), 0), IF($B5='Project List References'!$B$8, _xlfn.IFNA(_xlfn.XLOOKUP(R$2-$C5,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  <c r="S5" s="663">
        <f>IF($B5='Project List References'!$B$6, IF('Project PGEN'!S5&gt;0, 'Assumptions &amp; Inputs'!$L$117, 0), IF($B5='Project List References'!$B$7, _xlfn.IFNA(_xlfn.XLOOKUP(S$2-$C5, 'SENS Coal'!$D$7:$AW$7, 'SENS Coal'!$D$118:$AW$118), 0), IF($B5='Project List References'!$B$8, _xlfn.IFNA(_xlfn.XLOOKUP(S$2-$C5,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  <c r="T5" s="663">
        <f>IF($B5='Project List References'!$B$6, IF('Project PGEN'!T5&gt;0, 'Assumptions &amp; Inputs'!$L$117, 0), IF($B5='Project List References'!$B$7, _xlfn.IFNA(_xlfn.XLOOKUP(T$2-$C5, 'SENS Coal'!$D$7:$AW$7, 'SENS Coal'!$D$118:$AW$118), 0), IF($B5='Project List References'!$B$8, _xlfn.IFNA(_xlfn.XLOOKUP(T$2-$C5, 'SENS Tires'!$D$7:$AW$7, 'SENS Tires'!$D$118:$AW$118),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5.2980479999999996</v>
      </c>
    </row>
    <row r="6" spans="1:111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_xlfn.XLOOKUP('Project OPEX'!A6, 'Project Master Sheet'!A:A, 'Project Master Sheet'!I:I)</f>
        <v>0</v>
      </c>
      <c r="E6" s="663">
        <f>IF($B6='Project List References'!$B$6, IF('Project PGEN'!E6&gt;0, 'Assumptions &amp; Inputs'!$L$117, 0), IF($B6='Project List References'!$B$7, _xlfn.IFNA(_xlfn.XLOOKUP(E$2-$C6, 'SENS Coal'!$D$7:$AW$7, 'SENS Coal'!$D$118:$AW$118), 0), IF($B6='Project List References'!$B$8, _xlfn.IFNA(_xlfn.XLOOKUP(E$2-$C6,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F6" s="663">
        <f>IF($B6='Project List References'!$B$6, IF('Project PGEN'!F6&gt;0, 'Assumptions &amp; Inputs'!$L$117, 0), IF($B6='Project List References'!$B$7, _xlfn.IFNA(_xlfn.XLOOKUP(F$2-$C6, 'SENS Coal'!$D$7:$AW$7, 'SENS Coal'!$D$118:$AW$118), 0), IF($B6='Project List References'!$B$8, _xlfn.IFNA(_xlfn.XLOOKUP(F$2-$C6,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6.6225599999999996E-2</v>
      </c>
      <c r="G6" s="663">
        <f>IF($B6='Project List References'!$B$6, IF('Project PGEN'!G6&gt;0, 'Assumptions &amp; Inputs'!$L$117, 0), IF($B6='Project List References'!$B$7, _xlfn.IFNA(_xlfn.XLOOKUP(G$2-$C6, 'SENS Coal'!$D$7:$AW$7, 'SENS Coal'!$D$118:$AW$118), 0), IF($B6='Project List References'!$B$8, _xlfn.IFNA(_xlfn.XLOOKUP(G$2-$C6,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H6" s="663">
        <f>IF($B6='Project List References'!$B$6, IF('Project PGEN'!H6&gt;0, 'Assumptions &amp; Inputs'!$L$117, 0), IF($B6='Project List References'!$B$7, _xlfn.IFNA(_xlfn.XLOOKUP(H$2-$C6, 'SENS Coal'!$D$7:$AW$7, 'SENS Coal'!$D$118:$AW$118), 0), IF($B6='Project List References'!$B$8, _xlfn.IFNA(_xlfn.XLOOKUP(H$2-$C6,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I6" s="663">
        <f>IF($B6='Project List References'!$B$6, IF('Project PGEN'!I6&gt;0, 'Assumptions &amp; Inputs'!$L$117, 0), IF($B6='Project List References'!$B$7, _xlfn.IFNA(_xlfn.XLOOKUP(I$2-$C6, 'SENS Coal'!$D$7:$AW$7, 'SENS Coal'!$D$118:$AW$118), 0), IF($B6='Project List References'!$B$8, _xlfn.IFNA(_xlfn.XLOOKUP(I$2-$C6,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J6" s="663">
        <f>IF($B6='Project List References'!$B$6, IF('Project PGEN'!J6&gt;0, 'Assumptions &amp; Inputs'!$L$117, 0), IF($B6='Project List References'!$B$7, _xlfn.IFNA(_xlfn.XLOOKUP(J$2-$C6, 'SENS Coal'!$D$7:$AW$7, 'SENS Coal'!$D$118:$AW$118), 0), IF($B6='Project List References'!$B$8, _xlfn.IFNA(_xlfn.XLOOKUP(J$2-$C6,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K6" s="663">
        <f>IF($B6='Project List References'!$B$6, IF('Project PGEN'!K6&gt;0, 'Assumptions &amp; Inputs'!$L$117, 0), IF($B6='Project List References'!$B$7, _xlfn.IFNA(_xlfn.XLOOKUP(K$2-$C6, 'SENS Coal'!$D$7:$AW$7, 'SENS Coal'!$D$118:$AW$118), 0), IF($B6='Project List References'!$B$8, _xlfn.IFNA(_xlfn.XLOOKUP(K$2-$C6,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L6" s="663">
        <f>IF($B6='Project List References'!$B$6, IF('Project PGEN'!L6&gt;0, 'Assumptions &amp; Inputs'!$L$117, 0), IF($B6='Project List References'!$B$7, _xlfn.IFNA(_xlfn.XLOOKUP(L$2-$C6, 'SENS Coal'!$D$7:$AW$7, 'SENS Coal'!$D$118:$AW$118), 0), IF($B6='Project List References'!$B$8, _xlfn.IFNA(_xlfn.XLOOKUP(L$2-$C6,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M6" s="663">
        <f>IF($B6='Project List References'!$B$6, IF('Project PGEN'!M6&gt;0, 'Assumptions &amp; Inputs'!$L$117, 0), IF($B6='Project List References'!$B$7, _xlfn.IFNA(_xlfn.XLOOKUP(M$2-$C6, 'SENS Coal'!$D$7:$AW$7, 'SENS Coal'!$D$118:$AW$118), 0), IF($B6='Project List References'!$B$8, _xlfn.IFNA(_xlfn.XLOOKUP(M$2-$C6,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N6" s="663">
        <f>IF($B6='Project List References'!$B$6, IF('Project PGEN'!N6&gt;0, 'Assumptions &amp; Inputs'!$L$117, 0), IF($B6='Project List References'!$B$7, _xlfn.IFNA(_xlfn.XLOOKUP(N$2-$C6, 'SENS Coal'!$D$7:$AW$7, 'SENS Coal'!$D$118:$AW$118), 0), IF($B6='Project List References'!$B$8, _xlfn.IFNA(_xlfn.XLOOKUP(N$2-$C6,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O6" s="663">
        <f>IF($B6='Project List References'!$B$6, IF('Project PGEN'!O6&gt;0, 'Assumptions &amp; Inputs'!$L$117, 0), IF($B6='Project List References'!$B$7, _xlfn.IFNA(_xlfn.XLOOKUP(O$2-$C6, 'SENS Coal'!$D$7:$AW$7, 'SENS Coal'!$D$118:$AW$118), 0), IF($B6='Project List References'!$B$8, _xlfn.IFNA(_xlfn.XLOOKUP(O$2-$C6,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P6" s="663">
        <f>IF($B6='Project List References'!$B$6, IF('Project PGEN'!P6&gt;0, 'Assumptions &amp; Inputs'!$L$117, 0), IF($B6='Project List References'!$B$7, _xlfn.IFNA(_xlfn.XLOOKUP(P$2-$C6, 'SENS Coal'!$D$7:$AW$7, 'SENS Coal'!$D$118:$AW$118), 0), IF($B6='Project List References'!$B$8, _xlfn.IFNA(_xlfn.XLOOKUP(P$2-$C6,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Q6" s="663">
        <f>IF($B6='Project List References'!$B$6, IF('Project PGEN'!Q6&gt;0, 'Assumptions &amp; Inputs'!$L$117, 0), IF($B6='Project List References'!$B$7, _xlfn.IFNA(_xlfn.XLOOKUP(Q$2-$C6, 'SENS Coal'!$D$7:$AW$7, 'SENS Coal'!$D$118:$AW$118), 0), IF($B6='Project List References'!$B$8, _xlfn.IFNA(_xlfn.XLOOKUP(Q$2-$C6,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R6" s="663">
        <f>IF($B6='Project List References'!$B$6, IF('Project PGEN'!R6&gt;0, 'Assumptions &amp; Inputs'!$L$117, 0), IF($B6='Project List References'!$B$7, _xlfn.IFNA(_xlfn.XLOOKUP(R$2-$C6, 'SENS Coal'!$D$7:$AW$7, 'SENS Coal'!$D$118:$AW$118), 0), IF($B6='Project List References'!$B$8, _xlfn.IFNA(_xlfn.XLOOKUP(R$2-$C6,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S6" s="663">
        <f>IF($B6='Project List References'!$B$6, IF('Project PGEN'!S6&gt;0, 'Assumptions &amp; Inputs'!$L$117, 0), IF($B6='Project List References'!$B$7, _xlfn.IFNA(_xlfn.XLOOKUP(S$2-$C6, 'SENS Coal'!$D$7:$AW$7, 'SENS Coal'!$D$118:$AW$118), 0), IF($B6='Project List References'!$B$8, _xlfn.IFNA(_xlfn.XLOOKUP(S$2-$C6,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  <c r="T6" s="663">
        <f>IF($B6='Project List References'!$B$6, IF('Project PGEN'!T6&gt;0, 'Assumptions &amp; Inputs'!$L$117, 0), IF($B6='Project List References'!$B$7, _xlfn.IFNA(_xlfn.XLOOKUP(T$2-$C6, 'SENS Coal'!$D$7:$AW$7, 'SENS Coal'!$D$118:$AW$118), 0), IF($B6='Project List References'!$B$8, _xlfn.IFNA(_xlfn.XLOOKUP(T$2-$C6, 'SENS Tires'!$D$7:$AW$7, 'SENS Tires'!$D$118:$AW$118),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8.8300799999999985E-2</v>
      </c>
    </row>
    <row r="7" spans="1:111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_xlfn.XLOOKUP('Project OPEX'!A7, 'Project Master Sheet'!A:A, 'Project Master Sheet'!I:I)</f>
        <v>0</v>
      </c>
      <c r="E7" s="663">
        <f>IF($B7='Project List References'!$B$6, IF('Project PGEN'!E7&gt;0, 'Assumptions &amp; Inputs'!$L$117, 0), IF($B7='Project List References'!$B$7, _xlfn.IFNA(_xlfn.XLOOKUP(E$2-$C7, 'SENS Coal'!$D$7:$AW$7, 'SENS Coal'!$D$118:$AW$118), 0), IF($B7='Project List References'!$B$8, _xlfn.IFNA(_xlfn.XLOOKUP(E$2-$C7,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F7" s="663">
        <f>IF($B7='Project List References'!$B$6, IF('Project PGEN'!F7&gt;0, 'Assumptions &amp; Inputs'!$L$117, 0), IF($B7='Project List References'!$B$7, _xlfn.IFNA(_xlfn.XLOOKUP(F$2-$C7, 'SENS Coal'!$D$7:$AW$7, 'SENS Coal'!$D$118:$AW$118), 0), IF($B7='Project List References'!$B$8, _xlfn.IFNA(_xlfn.XLOOKUP(F$2-$C7,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G7" s="663">
        <f>IF($B7='Project List References'!$B$6, IF('Project PGEN'!G7&gt;0, 'Assumptions &amp; Inputs'!$L$117, 0), IF($B7='Project List References'!$B$7, _xlfn.IFNA(_xlfn.XLOOKUP(G$2-$C7, 'SENS Coal'!$D$7:$AW$7, 'SENS Coal'!$D$118:$AW$118), 0), IF($B7='Project List References'!$B$8, _xlfn.IFNA(_xlfn.XLOOKUP(G$2-$C7,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H7" s="663">
        <f>IF($B7='Project List References'!$B$6, IF('Project PGEN'!H7&gt;0, 'Assumptions &amp; Inputs'!$L$117, 0), IF($B7='Project List References'!$B$7, _xlfn.IFNA(_xlfn.XLOOKUP(H$2-$C7, 'SENS Coal'!$D$7:$AW$7, 'SENS Coal'!$D$118:$AW$118), 0), IF($B7='Project List References'!$B$8, _xlfn.IFNA(_xlfn.XLOOKUP(H$2-$C7,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I7" s="663">
        <f>IF($B7='Project List References'!$B$6, IF('Project PGEN'!I7&gt;0, 'Assumptions &amp; Inputs'!$L$117, 0), IF($B7='Project List References'!$B$7, _xlfn.IFNA(_xlfn.XLOOKUP(I$2-$C7, 'SENS Coal'!$D$7:$AW$7, 'SENS Coal'!$D$118:$AW$118), 0), IF($B7='Project List References'!$B$8, _xlfn.IFNA(_xlfn.XLOOKUP(I$2-$C7,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J7" s="663">
        <f>IF($B7='Project List References'!$B$6, IF('Project PGEN'!J7&gt;0, 'Assumptions &amp; Inputs'!$L$117, 0), IF($B7='Project List References'!$B$7, _xlfn.IFNA(_xlfn.XLOOKUP(J$2-$C7, 'SENS Coal'!$D$7:$AW$7, 'SENS Coal'!$D$118:$AW$118), 0), IF($B7='Project List References'!$B$8, _xlfn.IFNA(_xlfn.XLOOKUP(J$2-$C7,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K7" s="663">
        <f>IF($B7='Project List References'!$B$6, IF('Project PGEN'!K7&gt;0, 'Assumptions &amp; Inputs'!$L$117, 0), IF($B7='Project List References'!$B$7, _xlfn.IFNA(_xlfn.XLOOKUP(K$2-$C7, 'SENS Coal'!$D$7:$AW$7, 'SENS Coal'!$D$118:$AW$118), 0), IF($B7='Project List References'!$B$8, _xlfn.IFNA(_xlfn.XLOOKUP(K$2-$C7,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L7" s="663">
        <f>IF($B7='Project List References'!$B$6, IF('Project PGEN'!L7&gt;0, 'Assumptions &amp; Inputs'!$L$117, 0), IF($B7='Project List References'!$B$7, _xlfn.IFNA(_xlfn.XLOOKUP(L$2-$C7, 'SENS Coal'!$D$7:$AW$7, 'SENS Coal'!$D$118:$AW$118), 0), IF($B7='Project List References'!$B$8, _xlfn.IFNA(_xlfn.XLOOKUP(L$2-$C7,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M7" s="663">
        <f>IF($B7='Project List References'!$B$6, IF('Project PGEN'!M7&gt;0, 'Assumptions &amp; Inputs'!$L$117, 0), IF($B7='Project List References'!$B$7, _xlfn.IFNA(_xlfn.XLOOKUP(M$2-$C7, 'SENS Coal'!$D$7:$AW$7, 'SENS Coal'!$D$118:$AW$118), 0), IF($B7='Project List References'!$B$8, _xlfn.IFNA(_xlfn.XLOOKUP(M$2-$C7,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N7" s="663">
        <f>IF($B7='Project List References'!$B$6, IF('Project PGEN'!N7&gt;0, 'Assumptions &amp; Inputs'!$L$117, 0), IF($B7='Project List References'!$B$7, _xlfn.IFNA(_xlfn.XLOOKUP(N$2-$C7, 'SENS Coal'!$D$7:$AW$7, 'SENS Coal'!$D$118:$AW$118), 0), IF($B7='Project List References'!$B$8, _xlfn.IFNA(_xlfn.XLOOKUP(N$2-$C7,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O7" s="663">
        <f>IF($B7='Project List References'!$B$6, IF('Project PGEN'!O7&gt;0, 'Assumptions &amp; Inputs'!$L$117, 0), IF($B7='Project List References'!$B$7, _xlfn.IFNA(_xlfn.XLOOKUP(O$2-$C7, 'SENS Coal'!$D$7:$AW$7, 'SENS Coal'!$D$118:$AW$118), 0), IF($B7='Project List References'!$B$8, _xlfn.IFNA(_xlfn.XLOOKUP(O$2-$C7,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P7" s="663">
        <f>IF($B7='Project List References'!$B$6, IF('Project PGEN'!P7&gt;0, 'Assumptions &amp; Inputs'!$L$117, 0), IF($B7='Project List References'!$B$7, _xlfn.IFNA(_xlfn.XLOOKUP(P$2-$C7, 'SENS Coal'!$D$7:$AW$7, 'SENS Coal'!$D$118:$AW$118), 0), IF($B7='Project List References'!$B$8, _xlfn.IFNA(_xlfn.XLOOKUP(P$2-$C7,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Q7" s="663">
        <f>IF($B7='Project List References'!$B$6, IF('Project PGEN'!Q7&gt;0, 'Assumptions &amp; Inputs'!$L$117, 0), IF($B7='Project List References'!$B$7, _xlfn.IFNA(_xlfn.XLOOKUP(Q$2-$C7, 'SENS Coal'!$D$7:$AW$7, 'SENS Coal'!$D$118:$AW$118), 0), IF($B7='Project List References'!$B$8, _xlfn.IFNA(_xlfn.XLOOKUP(Q$2-$C7,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R7" s="663">
        <f>IF($B7='Project List References'!$B$6, IF('Project PGEN'!R7&gt;0, 'Assumptions &amp; Inputs'!$L$117, 0), IF($B7='Project List References'!$B$7, _xlfn.IFNA(_xlfn.XLOOKUP(R$2-$C7, 'SENS Coal'!$D$7:$AW$7, 'SENS Coal'!$D$118:$AW$118), 0), IF($B7='Project List References'!$B$8, _xlfn.IFNA(_xlfn.XLOOKUP(R$2-$C7,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S7" s="663">
        <f>IF($B7='Project List References'!$B$6, IF('Project PGEN'!S7&gt;0, 'Assumptions &amp; Inputs'!$L$117, 0), IF($B7='Project List References'!$B$7, _xlfn.IFNA(_xlfn.XLOOKUP(S$2-$C7, 'SENS Coal'!$D$7:$AW$7, 'SENS Coal'!$D$118:$AW$118), 0), IF($B7='Project List References'!$B$8, _xlfn.IFNA(_xlfn.XLOOKUP(S$2-$C7,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T7" s="663">
        <f>IF($B7='Project List References'!$B$6, IF('Project PGEN'!T7&gt;0, 'Assumptions &amp; Inputs'!$L$117, 0), IF($B7='Project List References'!$B$7, _xlfn.IFNA(_xlfn.XLOOKUP(T$2-$C7, 'SENS Coal'!$D$7:$AW$7, 'SENS Coal'!$D$118:$AW$118), 0), IF($B7='Project List References'!$B$8, _xlfn.IFNA(_xlfn.XLOOKUP(T$2-$C7, 'SENS Tires'!$D$7:$AW$7, 'SENS Tires'!$D$118:$AW$118),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</row>
    <row r="8" spans="1:111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_xlfn.XLOOKUP('Project OPEX'!A8, 'Project Master Sheet'!A:A, 'Project Master Sheet'!I:I)</f>
        <v>#N/A</v>
      </c>
      <c r="E8" s="663" t="e">
        <f>IF($B8='Project List References'!$B$6, IF('Project PGEN'!E8&gt;0, 'Assumptions &amp; Inputs'!$L$117, 0), IF($B8='Project List References'!$B$7, _xlfn.IFNA(_xlfn.XLOOKUP(E$2-$C8, 'SENS Coal'!$D$7:$AW$7, 'SENS Coal'!$D$118:$AW$118), 0), IF($B8='Project List References'!$B$8, _xlfn.IFNA(_xlfn.XLOOKUP(E$2-$C8,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F8" s="663" t="e">
        <f>IF($B8='Project List References'!$B$6, IF('Project PGEN'!F8&gt;0, 'Assumptions &amp; Inputs'!$L$117, 0), IF($B8='Project List References'!$B$7, _xlfn.IFNA(_xlfn.XLOOKUP(F$2-$C8, 'SENS Coal'!$D$7:$AW$7, 'SENS Coal'!$D$118:$AW$118), 0), IF($B8='Project List References'!$B$8, _xlfn.IFNA(_xlfn.XLOOKUP(F$2-$C8,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G8" s="663" t="e">
        <f>IF($B8='Project List References'!$B$6, IF('Project PGEN'!G8&gt;0, 'Assumptions &amp; Inputs'!$L$117, 0), IF($B8='Project List References'!$B$7, _xlfn.IFNA(_xlfn.XLOOKUP(G$2-$C8, 'SENS Coal'!$D$7:$AW$7, 'SENS Coal'!$D$118:$AW$118), 0), IF($B8='Project List References'!$B$8, _xlfn.IFNA(_xlfn.XLOOKUP(G$2-$C8,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H8" s="663" t="e">
        <f>IF($B8='Project List References'!$B$6, IF('Project PGEN'!H8&gt;0, 'Assumptions &amp; Inputs'!$L$117, 0), IF($B8='Project List References'!$B$7, _xlfn.IFNA(_xlfn.XLOOKUP(H$2-$C8, 'SENS Coal'!$D$7:$AW$7, 'SENS Coal'!$D$118:$AW$118), 0), IF($B8='Project List References'!$B$8, _xlfn.IFNA(_xlfn.XLOOKUP(H$2-$C8,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I8" s="663" t="e">
        <f>IF($B8='Project List References'!$B$6, IF('Project PGEN'!I8&gt;0, 'Assumptions &amp; Inputs'!$L$117, 0), IF($B8='Project List References'!$B$7, _xlfn.IFNA(_xlfn.XLOOKUP(I$2-$C8, 'SENS Coal'!$D$7:$AW$7, 'SENS Coal'!$D$118:$AW$118), 0), IF($B8='Project List References'!$B$8, _xlfn.IFNA(_xlfn.XLOOKUP(I$2-$C8,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J8" s="663" t="e">
        <f>IF($B8='Project List References'!$B$6, IF('Project PGEN'!J8&gt;0, 'Assumptions &amp; Inputs'!$L$117, 0), IF($B8='Project List References'!$B$7, _xlfn.IFNA(_xlfn.XLOOKUP(J$2-$C8, 'SENS Coal'!$D$7:$AW$7, 'SENS Coal'!$D$118:$AW$118), 0), IF($B8='Project List References'!$B$8, _xlfn.IFNA(_xlfn.XLOOKUP(J$2-$C8,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K8" s="663" t="e">
        <f>IF($B8='Project List References'!$B$6, IF('Project PGEN'!K8&gt;0, 'Assumptions &amp; Inputs'!$L$117, 0), IF($B8='Project List References'!$B$7, _xlfn.IFNA(_xlfn.XLOOKUP(K$2-$C8, 'SENS Coal'!$D$7:$AW$7, 'SENS Coal'!$D$118:$AW$118), 0), IF($B8='Project List References'!$B$8, _xlfn.IFNA(_xlfn.XLOOKUP(K$2-$C8,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L8" s="663" t="e">
        <f>IF($B8='Project List References'!$B$6, IF('Project PGEN'!L8&gt;0, 'Assumptions &amp; Inputs'!$L$117, 0), IF($B8='Project List References'!$B$7, _xlfn.IFNA(_xlfn.XLOOKUP(L$2-$C8, 'SENS Coal'!$D$7:$AW$7, 'SENS Coal'!$D$118:$AW$118), 0), IF($B8='Project List References'!$B$8, _xlfn.IFNA(_xlfn.XLOOKUP(L$2-$C8,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M8" s="663" t="e">
        <f>IF($B8='Project List References'!$B$6, IF('Project PGEN'!M8&gt;0, 'Assumptions &amp; Inputs'!$L$117, 0), IF($B8='Project List References'!$B$7, _xlfn.IFNA(_xlfn.XLOOKUP(M$2-$C8, 'SENS Coal'!$D$7:$AW$7, 'SENS Coal'!$D$118:$AW$118), 0), IF($B8='Project List References'!$B$8, _xlfn.IFNA(_xlfn.XLOOKUP(M$2-$C8,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N8" s="663" t="e">
        <f>IF($B8='Project List References'!$B$6, IF('Project PGEN'!N8&gt;0, 'Assumptions &amp; Inputs'!$L$117, 0), IF($B8='Project List References'!$B$7, _xlfn.IFNA(_xlfn.XLOOKUP(N$2-$C8, 'SENS Coal'!$D$7:$AW$7, 'SENS Coal'!$D$118:$AW$118), 0), IF($B8='Project List References'!$B$8, _xlfn.IFNA(_xlfn.XLOOKUP(N$2-$C8,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O8" s="663" t="e">
        <f>IF($B8='Project List References'!$B$6, IF('Project PGEN'!O8&gt;0, 'Assumptions &amp; Inputs'!$L$117, 0), IF($B8='Project List References'!$B$7, _xlfn.IFNA(_xlfn.XLOOKUP(O$2-$C8, 'SENS Coal'!$D$7:$AW$7, 'SENS Coal'!$D$118:$AW$118), 0), IF($B8='Project List References'!$B$8, _xlfn.IFNA(_xlfn.XLOOKUP(O$2-$C8,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P8" s="663" t="e">
        <f>IF($B8='Project List References'!$B$6, IF('Project PGEN'!P8&gt;0, 'Assumptions &amp; Inputs'!$L$117, 0), IF($B8='Project List References'!$B$7, _xlfn.IFNA(_xlfn.XLOOKUP(P$2-$C8, 'SENS Coal'!$D$7:$AW$7, 'SENS Coal'!$D$118:$AW$118), 0), IF($B8='Project List References'!$B$8, _xlfn.IFNA(_xlfn.XLOOKUP(P$2-$C8,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Q8" s="663" t="e">
        <f>IF($B8='Project List References'!$B$6, IF('Project PGEN'!Q8&gt;0, 'Assumptions &amp; Inputs'!$L$117, 0), IF($B8='Project List References'!$B$7, _xlfn.IFNA(_xlfn.XLOOKUP(Q$2-$C8, 'SENS Coal'!$D$7:$AW$7, 'SENS Coal'!$D$118:$AW$118), 0), IF($B8='Project List References'!$B$8, _xlfn.IFNA(_xlfn.XLOOKUP(Q$2-$C8,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R8" s="663" t="e">
        <f>IF($B8='Project List References'!$B$6, IF('Project PGEN'!R8&gt;0, 'Assumptions &amp; Inputs'!$L$117, 0), IF($B8='Project List References'!$B$7, _xlfn.IFNA(_xlfn.XLOOKUP(R$2-$C8, 'SENS Coal'!$D$7:$AW$7, 'SENS Coal'!$D$118:$AW$118), 0), IF($B8='Project List References'!$B$8, _xlfn.IFNA(_xlfn.XLOOKUP(R$2-$C8,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S8" s="663" t="e">
        <f>IF($B8='Project List References'!$B$6, IF('Project PGEN'!S8&gt;0, 'Assumptions &amp; Inputs'!$L$117, 0), IF($B8='Project List References'!$B$7, _xlfn.IFNA(_xlfn.XLOOKUP(S$2-$C8, 'SENS Coal'!$D$7:$AW$7, 'SENS Coal'!$D$118:$AW$118), 0), IF($B8='Project List References'!$B$8, _xlfn.IFNA(_xlfn.XLOOKUP(S$2-$C8,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T8" s="663" t="e">
        <f>IF($B8='Project List References'!$B$6, IF('Project PGEN'!T8&gt;0, 'Assumptions &amp; Inputs'!$L$117, 0), IF($B8='Project List References'!$B$7, _xlfn.IFNA(_xlfn.XLOOKUP(T$2-$C8, 'SENS Coal'!$D$7:$AW$7, 'SENS Coal'!$D$118:$AW$118), 0), IF($B8='Project List References'!$B$8, _xlfn.IFNA(_xlfn.XLOOKUP(T$2-$C8, 'SENS Tires'!$D$7:$AW$7, 'SENS Tires'!$D$118:$AW$118),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</row>
    <row r="9" spans="1:111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_xlfn.XLOOKUP('Project OPEX'!A9, 'Project Master Sheet'!A:A, 'Project Master Sheet'!I:I)</f>
        <v>1</v>
      </c>
      <c r="E9" s="663">
        <f>IF($B9='Project List References'!$B$6, IF('Project PGEN'!E9&gt;0, 'Assumptions &amp; Inputs'!$L$117, 0), IF($B9='Project List References'!$B$7, _xlfn.IFNA(_xlfn.XLOOKUP(E$2-$C9, 'SENS Coal'!$D$7:$AW$7, 'SENS Coal'!$D$118:$AW$118), 0), IF($B9='Project List References'!$B$8, _xlfn.IFNA(_xlfn.XLOOKUP(E$2-$C9,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F9" s="663">
        <f>IF($B9='Project List References'!$B$6, IF('Project PGEN'!F9&gt;0, 'Assumptions &amp; Inputs'!$L$117, 0), IF($B9='Project List References'!$B$7, _xlfn.IFNA(_xlfn.XLOOKUP(F$2-$C9, 'SENS Coal'!$D$7:$AW$7, 'SENS Coal'!$D$118:$AW$118), 0), IF($B9='Project List References'!$B$8, _xlfn.IFNA(_xlfn.XLOOKUP(F$2-$C9,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G9" s="663">
        <f>IF($B9='Project List References'!$B$6, IF('Project PGEN'!G9&gt;0, 'Assumptions &amp; Inputs'!$L$117, 0), IF($B9='Project List References'!$B$7, _xlfn.IFNA(_xlfn.XLOOKUP(G$2-$C9, 'SENS Coal'!$D$7:$AW$7, 'SENS Coal'!$D$118:$AW$118), 0), IF($B9='Project List References'!$B$8, _xlfn.IFNA(_xlfn.XLOOKUP(G$2-$C9,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H9" s="663">
        <f>IF($B9='Project List References'!$B$6, IF('Project PGEN'!H9&gt;0, 'Assumptions &amp; Inputs'!$L$117, 0), IF($B9='Project List References'!$B$7, _xlfn.IFNA(_xlfn.XLOOKUP(H$2-$C9, 'SENS Coal'!$D$7:$AW$7, 'SENS Coal'!$D$118:$AW$118), 0), IF($B9='Project List References'!$B$8, _xlfn.IFNA(_xlfn.XLOOKUP(H$2-$C9,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I9" s="663">
        <f>IF($B9='Project List References'!$B$6, IF('Project PGEN'!I9&gt;0, 'Assumptions &amp; Inputs'!$L$117, 0), IF($B9='Project List References'!$B$7, _xlfn.IFNA(_xlfn.XLOOKUP(I$2-$C9, 'SENS Coal'!$D$7:$AW$7, 'SENS Coal'!$D$118:$AW$118), 0), IF($B9='Project List References'!$B$8, _xlfn.IFNA(_xlfn.XLOOKUP(I$2-$C9,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J9" s="663">
        <f>IF($B9='Project List References'!$B$6, IF('Project PGEN'!J9&gt;0, 'Assumptions &amp; Inputs'!$L$117, 0), IF($B9='Project List References'!$B$7, _xlfn.IFNA(_xlfn.XLOOKUP(J$2-$C9, 'SENS Coal'!$D$7:$AW$7, 'SENS Coal'!$D$118:$AW$118), 0), IF($B9='Project List References'!$B$8, _xlfn.IFNA(_xlfn.XLOOKUP(J$2-$C9,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K9" s="663">
        <f>IF($B9='Project List References'!$B$6, IF('Project PGEN'!K9&gt;0, 'Assumptions &amp; Inputs'!$L$117, 0), IF($B9='Project List References'!$B$7, _xlfn.IFNA(_xlfn.XLOOKUP(K$2-$C9, 'SENS Coal'!$D$7:$AW$7, 'SENS Coal'!$D$118:$AW$118), 0), IF($B9='Project List References'!$B$8, _xlfn.IFNA(_xlfn.XLOOKUP(K$2-$C9,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L9" s="663">
        <f>IF($B9='Project List References'!$B$6, IF('Project PGEN'!L9&gt;0, 'Assumptions &amp; Inputs'!$L$117, 0), IF($B9='Project List References'!$B$7, _xlfn.IFNA(_xlfn.XLOOKUP(L$2-$C9, 'SENS Coal'!$D$7:$AW$7, 'SENS Coal'!$D$118:$AW$118), 0), IF($B9='Project List References'!$B$8, _xlfn.IFNA(_xlfn.XLOOKUP(L$2-$C9,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M9" s="663">
        <f>IF($B9='Project List References'!$B$6, IF('Project PGEN'!M9&gt;0, 'Assumptions &amp; Inputs'!$L$117, 0), IF($B9='Project List References'!$B$7, _xlfn.IFNA(_xlfn.XLOOKUP(M$2-$C9, 'SENS Coal'!$D$7:$AW$7, 'SENS Coal'!$D$118:$AW$118), 0), IF($B9='Project List References'!$B$8, _xlfn.IFNA(_xlfn.XLOOKUP(M$2-$C9,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N9" s="663">
        <f>IF($B9='Project List References'!$B$6, IF('Project PGEN'!N9&gt;0, 'Assumptions &amp; Inputs'!$L$117, 0), IF($B9='Project List References'!$B$7, _xlfn.IFNA(_xlfn.XLOOKUP(N$2-$C9, 'SENS Coal'!$D$7:$AW$7, 'SENS Coal'!$D$118:$AW$118), 0), IF($B9='Project List References'!$B$8, _xlfn.IFNA(_xlfn.XLOOKUP(N$2-$C9,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O9" s="663">
        <f>IF($B9='Project List References'!$B$6, IF('Project PGEN'!O9&gt;0, 'Assumptions &amp; Inputs'!$L$117, 0), IF($B9='Project List References'!$B$7, _xlfn.IFNA(_xlfn.XLOOKUP(O$2-$C9, 'SENS Coal'!$D$7:$AW$7, 'SENS Coal'!$D$118:$AW$118), 0), IF($B9='Project List References'!$B$8, _xlfn.IFNA(_xlfn.XLOOKUP(O$2-$C9,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P9" s="663">
        <f>IF($B9='Project List References'!$B$6, IF('Project PGEN'!P9&gt;0, 'Assumptions &amp; Inputs'!$L$117, 0), IF($B9='Project List References'!$B$7, _xlfn.IFNA(_xlfn.XLOOKUP(P$2-$C9, 'SENS Coal'!$D$7:$AW$7, 'SENS Coal'!$D$118:$AW$118), 0), IF($B9='Project List References'!$B$8, _xlfn.IFNA(_xlfn.XLOOKUP(P$2-$C9,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Q9" s="663">
        <f>IF($B9='Project List References'!$B$6, IF('Project PGEN'!Q9&gt;0, 'Assumptions &amp; Inputs'!$L$117, 0), IF($B9='Project List References'!$B$7, _xlfn.IFNA(_xlfn.XLOOKUP(Q$2-$C9, 'SENS Coal'!$D$7:$AW$7, 'SENS Coal'!$D$118:$AW$118), 0), IF($B9='Project List References'!$B$8, _xlfn.IFNA(_xlfn.XLOOKUP(Q$2-$C9,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R9" s="663">
        <f>IF($B9='Project List References'!$B$6, IF('Project PGEN'!R9&gt;0, 'Assumptions &amp; Inputs'!$L$117, 0), IF($B9='Project List References'!$B$7, _xlfn.IFNA(_xlfn.XLOOKUP(R$2-$C9, 'SENS Coal'!$D$7:$AW$7, 'SENS Coal'!$D$118:$AW$118), 0), IF($B9='Project List References'!$B$8, _xlfn.IFNA(_xlfn.XLOOKUP(R$2-$C9,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S9" s="663">
        <f>IF($B9='Project List References'!$B$6, IF('Project PGEN'!S9&gt;0, 'Assumptions &amp; Inputs'!$L$117, 0), IF($B9='Project List References'!$B$7, _xlfn.IFNA(_xlfn.XLOOKUP(S$2-$C9, 'SENS Coal'!$D$7:$AW$7, 'SENS Coal'!$D$118:$AW$118), 0), IF($B9='Project List References'!$B$8, _xlfn.IFNA(_xlfn.XLOOKUP(S$2-$C9,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T9" s="663">
        <f>IF($B9='Project List References'!$B$6, IF('Project PGEN'!T9&gt;0, 'Assumptions &amp; Inputs'!$L$117, 0), IF($B9='Project List References'!$B$7, _xlfn.IFNA(_xlfn.XLOOKUP(T$2-$C9, 'SENS Coal'!$D$7:$AW$7, 'SENS Coal'!$D$118:$AW$118), 0), IF($B9='Project List References'!$B$8, _xlfn.IFNA(_xlfn.XLOOKUP(T$2-$C9, 'SENS Tires'!$D$7:$AW$7, 'SENS Tires'!$D$118:$AW$118),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</row>
    <row r="10" spans="1:111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_xlfn.XLOOKUP('Project OPEX'!A10, 'Project Master Sheet'!A:A, 'Project Master Sheet'!I:I)</f>
        <v>#N/A</v>
      </c>
      <c r="E10" s="663" t="e">
        <f>IF($B10='Project List References'!$B$6, IF('Project PGEN'!E10&gt;0, 'Assumptions &amp; Inputs'!$L$117, 0), IF($B10='Project List References'!$B$7, _xlfn.IFNA(_xlfn.XLOOKUP(E$2-$C10, 'SENS Coal'!$D$7:$AW$7, 'SENS Coal'!$D$118:$AW$118), 0), IF($B10='Project List References'!$B$8, _xlfn.IFNA(_xlfn.XLOOKUP(E$2-$C10,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F10" s="663" t="e">
        <f>IF($B10='Project List References'!$B$6, IF('Project PGEN'!F10&gt;0, 'Assumptions &amp; Inputs'!$L$117, 0), IF($B10='Project List References'!$B$7, _xlfn.IFNA(_xlfn.XLOOKUP(F$2-$C10, 'SENS Coal'!$D$7:$AW$7, 'SENS Coal'!$D$118:$AW$118), 0), IF($B10='Project List References'!$B$8, _xlfn.IFNA(_xlfn.XLOOKUP(F$2-$C10,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G10" s="663" t="e">
        <f>IF($B10='Project List References'!$B$6, IF('Project PGEN'!G10&gt;0, 'Assumptions &amp; Inputs'!$L$117, 0), IF($B10='Project List References'!$B$7, _xlfn.IFNA(_xlfn.XLOOKUP(G$2-$C10, 'SENS Coal'!$D$7:$AW$7, 'SENS Coal'!$D$118:$AW$118), 0), IF($B10='Project List References'!$B$8, _xlfn.IFNA(_xlfn.XLOOKUP(G$2-$C10,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H10" s="663" t="e">
        <f>IF($B10='Project List References'!$B$6, IF('Project PGEN'!H10&gt;0, 'Assumptions &amp; Inputs'!$L$117, 0), IF($B10='Project List References'!$B$7, _xlfn.IFNA(_xlfn.XLOOKUP(H$2-$C10, 'SENS Coal'!$D$7:$AW$7, 'SENS Coal'!$D$118:$AW$118), 0), IF($B10='Project List References'!$B$8, _xlfn.IFNA(_xlfn.XLOOKUP(H$2-$C10,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I10" s="663" t="e">
        <f>IF($B10='Project List References'!$B$6, IF('Project PGEN'!I10&gt;0, 'Assumptions &amp; Inputs'!$L$117, 0), IF($B10='Project List References'!$B$7, _xlfn.IFNA(_xlfn.XLOOKUP(I$2-$C10, 'SENS Coal'!$D$7:$AW$7, 'SENS Coal'!$D$118:$AW$118), 0), IF($B10='Project List References'!$B$8, _xlfn.IFNA(_xlfn.XLOOKUP(I$2-$C10,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J10" s="663" t="e">
        <f>IF($B10='Project List References'!$B$6, IF('Project PGEN'!J10&gt;0, 'Assumptions &amp; Inputs'!$L$117, 0), IF($B10='Project List References'!$B$7, _xlfn.IFNA(_xlfn.XLOOKUP(J$2-$C10, 'SENS Coal'!$D$7:$AW$7, 'SENS Coal'!$D$118:$AW$118), 0), IF($B10='Project List References'!$B$8, _xlfn.IFNA(_xlfn.XLOOKUP(J$2-$C10,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K10" s="663" t="e">
        <f>IF($B10='Project List References'!$B$6, IF('Project PGEN'!K10&gt;0, 'Assumptions &amp; Inputs'!$L$117, 0), IF($B10='Project List References'!$B$7, _xlfn.IFNA(_xlfn.XLOOKUP(K$2-$C10, 'SENS Coal'!$D$7:$AW$7, 'SENS Coal'!$D$118:$AW$118), 0), IF($B10='Project List References'!$B$8, _xlfn.IFNA(_xlfn.XLOOKUP(K$2-$C10,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L10" s="663" t="e">
        <f>IF($B10='Project List References'!$B$6, IF('Project PGEN'!L10&gt;0, 'Assumptions &amp; Inputs'!$L$117, 0), IF($B10='Project List References'!$B$7, _xlfn.IFNA(_xlfn.XLOOKUP(L$2-$C10, 'SENS Coal'!$D$7:$AW$7, 'SENS Coal'!$D$118:$AW$118), 0), IF($B10='Project List References'!$B$8, _xlfn.IFNA(_xlfn.XLOOKUP(L$2-$C10,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M10" s="663" t="e">
        <f>IF($B10='Project List References'!$B$6, IF('Project PGEN'!M10&gt;0, 'Assumptions &amp; Inputs'!$L$117, 0), IF($B10='Project List References'!$B$7, _xlfn.IFNA(_xlfn.XLOOKUP(M$2-$C10, 'SENS Coal'!$D$7:$AW$7, 'SENS Coal'!$D$118:$AW$118), 0), IF($B10='Project List References'!$B$8, _xlfn.IFNA(_xlfn.XLOOKUP(M$2-$C10,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N10" s="663" t="e">
        <f>IF($B10='Project List References'!$B$6, IF('Project PGEN'!N10&gt;0, 'Assumptions &amp; Inputs'!$L$117, 0), IF($B10='Project List References'!$B$7, _xlfn.IFNA(_xlfn.XLOOKUP(N$2-$C10, 'SENS Coal'!$D$7:$AW$7, 'SENS Coal'!$D$118:$AW$118), 0), IF($B10='Project List References'!$B$8, _xlfn.IFNA(_xlfn.XLOOKUP(N$2-$C10,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O10" s="663" t="e">
        <f>IF($B10='Project List References'!$B$6, IF('Project PGEN'!O10&gt;0, 'Assumptions &amp; Inputs'!$L$117, 0), IF($B10='Project List References'!$B$7, _xlfn.IFNA(_xlfn.XLOOKUP(O$2-$C10, 'SENS Coal'!$D$7:$AW$7, 'SENS Coal'!$D$118:$AW$118), 0), IF($B10='Project List References'!$B$8, _xlfn.IFNA(_xlfn.XLOOKUP(O$2-$C10,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P10" s="663" t="e">
        <f>IF($B10='Project List References'!$B$6, IF('Project PGEN'!P10&gt;0, 'Assumptions &amp; Inputs'!$L$117, 0), IF($B10='Project List References'!$B$7, _xlfn.IFNA(_xlfn.XLOOKUP(P$2-$C10, 'SENS Coal'!$D$7:$AW$7, 'SENS Coal'!$D$118:$AW$118), 0), IF($B10='Project List References'!$B$8, _xlfn.IFNA(_xlfn.XLOOKUP(P$2-$C10,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Q10" s="663" t="e">
        <f>IF($B10='Project List References'!$B$6, IF('Project PGEN'!Q10&gt;0, 'Assumptions &amp; Inputs'!$L$117, 0), IF($B10='Project List References'!$B$7, _xlfn.IFNA(_xlfn.XLOOKUP(Q$2-$C10, 'SENS Coal'!$D$7:$AW$7, 'SENS Coal'!$D$118:$AW$118), 0), IF($B10='Project List References'!$B$8, _xlfn.IFNA(_xlfn.XLOOKUP(Q$2-$C10,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R10" s="663" t="e">
        <f>IF($B10='Project List References'!$B$6, IF('Project PGEN'!R10&gt;0, 'Assumptions &amp; Inputs'!$L$117, 0), IF($B10='Project List References'!$B$7, _xlfn.IFNA(_xlfn.XLOOKUP(R$2-$C10, 'SENS Coal'!$D$7:$AW$7, 'SENS Coal'!$D$118:$AW$118), 0), IF($B10='Project List References'!$B$8, _xlfn.IFNA(_xlfn.XLOOKUP(R$2-$C10,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S10" s="663" t="e">
        <f>IF($B10='Project List References'!$B$6, IF('Project PGEN'!S10&gt;0, 'Assumptions &amp; Inputs'!$L$117, 0), IF($B10='Project List References'!$B$7, _xlfn.IFNA(_xlfn.XLOOKUP(S$2-$C10, 'SENS Coal'!$D$7:$AW$7, 'SENS Coal'!$D$118:$AW$118), 0), IF($B10='Project List References'!$B$8, _xlfn.IFNA(_xlfn.XLOOKUP(S$2-$C10,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T10" s="663" t="e">
        <f>IF($B10='Project List References'!$B$6, IF('Project PGEN'!T10&gt;0, 'Assumptions &amp; Inputs'!$L$117, 0), IF($B10='Project List References'!$B$7, _xlfn.IFNA(_xlfn.XLOOKUP(T$2-$C10, 'SENS Coal'!$D$7:$AW$7, 'SENS Coal'!$D$118:$AW$118), 0), IF($B10='Project List References'!$B$8, _xlfn.IFNA(_xlfn.XLOOKUP(T$2-$C10, 'SENS Tires'!$D$7:$AW$7, 'SENS Tires'!$D$118:$AW$118),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</row>
    <row r="11" spans="1:111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_xlfn.XLOOKUP('Project OPEX'!A11, 'Project Master Sheet'!A:A, 'Project Master Sheet'!I:I)</f>
        <v>#N/A</v>
      </c>
      <c r="E11" s="663" t="e">
        <f>IF($B11='Project List References'!$B$6, IF('Project PGEN'!E11&gt;0, 'Assumptions &amp; Inputs'!$L$117, 0), IF($B11='Project List References'!$B$7, _xlfn.IFNA(_xlfn.XLOOKUP(E$2-$C11, 'SENS Coal'!$D$7:$AW$7, 'SENS Coal'!$D$118:$AW$118), 0), IF($B11='Project List References'!$B$8, _xlfn.IFNA(_xlfn.XLOOKUP(E$2-$C11,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F11" s="663" t="e">
        <f>IF($B11='Project List References'!$B$6, IF('Project PGEN'!F11&gt;0, 'Assumptions &amp; Inputs'!$L$117, 0), IF($B11='Project List References'!$B$7, _xlfn.IFNA(_xlfn.XLOOKUP(F$2-$C11, 'SENS Coal'!$D$7:$AW$7, 'SENS Coal'!$D$118:$AW$118), 0), IF($B11='Project List References'!$B$8, _xlfn.IFNA(_xlfn.XLOOKUP(F$2-$C11,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G11" s="663" t="e">
        <f>IF($B11='Project List References'!$B$6, IF('Project PGEN'!G11&gt;0, 'Assumptions &amp; Inputs'!$L$117, 0), IF($B11='Project List References'!$B$7, _xlfn.IFNA(_xlfn.XLOOKUP(G$2-$C11, 'SENS Coal'!$D$7:$AW$7, 'SENS Coal'!$D$118:$AW$118), 0), IF($B11='Project List References'!$B$8, _xlfn.IFNA(_xlfn.XLOOKUP(G$2-$C11,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H11" s="663" t="e">
        <f>IF($B11='Project List References'!$B$6, IF('Project PGEN'!H11&gt;0, 'Assumptions &amp; Inputs'!$L$117, 0), IF($B11='Project List References'!$B$7, _xlfn.IFNA(_xlfn.XLOOKUP(H$2-$C11, 'SENS Coal'!$D$7:$AW$7, 'SENS Coal'!$D$118:$AW$118), 0), IF($B11='Project List References'!$B$8, _xlfn.IFNA(_xlfn.XLOOKUP(H$2-$C11,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I11" s="663" t="e">
        <f>IF($B11='Project List References'!$B$6, IF('Project PGEN'!I11&gt;0, 'Assumptions &amp; Inputs'!$L$117, 0), IF($B11='Project List References'!$B$7, _xlfn.IFNA(_xlfn.XLOOKUP(I$2-$C11, 'SENS Coal'!$D$7:$AW$7, 'SENS Coal'!$D$118:$AW$118), 0), IF($B11='Project List References'!$B$8, _xlfn.IFNA(_xlfn.XLOOKUP(I$2-$C11,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J11" s="663" t="e">
        <f>IF($B11='Project List References'!$B$6, IF('Project PGEN'!J11&gt;0, 'Assumptions &amp; Inputs'!$L$117, 0), IF($B11='Project List References'!$B$7, _xlfn.IFNA(_xlfn.XLOOKUP(J$2-$C11, 'SENS Coal'!$D$7:$AW$7, 'SENS Coal'!$D$118:$AW$118), 0), IF($B11='Project List References'!$B$8, _xlfn.IFNA(_xlfn.XLOOKUP(J$2-$C11,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K11" s="663" t="e">
        <f>IF($B11='Project List References'!$B$6, IF('Project PGEN'!K11&gt;0, 'Assumptions &amp; Inputs'!$L$117, 0), IF($B11='Project List References'!$B$7, _xlfn.IFNA(_xlfn.XLOOKUP(K$2-$C11, 'SENS Coal'!$D$7:$AW$7, 'SENS Coal'!$D$118:$AW$118), 0), IF($B11='Project List References'!$B$8, _xlfn.IFNA(_xlfn.XLOOKUP(K$2-$C11,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L11" s="663" t="e">
        <f>IF($B11='Project List References'!$B$6, IF('Project PGEN'!L11&gt;0, 'Assumptions &amp; Inputs'!$L$117, 0), IF($B11='Project List References'!$B$7, _xlfn.IFNA(_xlfn.XLOOKUP(L$2-$C11, 'SENS Coal'!$D$7:$AW$7, 'SENS Coal'!$D$118:$AW$118), 0), IF($B11='Project List References'!$B$8, _xlfn.IFNA(_xlfn.XLOOKUP(L$2-$C11,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M11" s="663" t="e">
        <f>IF($B11='Project List References'!$B$6, IF('Project PGEN'!M11&gt;0, 'Assumptions &amp; Inputs'!$L$117, 0), IF($B11='Project List References'!$B$7, _xlfn.IFNA(_xlfn.XLOOKUP(M$2-$C11, 'SENS Coal'!$D$7:$AW$7, 'SENS Coal'!$D$118:$AW$118), 0), IF($B11='Project List References'!$B$8, _xlfn.IFNA(_xlfn.XLOOKUP(M$2-$C11,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N11" s="663" t="e">
        <f>IF($B11='Project List References'!$B$6, IF('Project PGEN'!N11&gt;0, 'Assumptions &amp; Inputs'!$L$117, 0), IF($B11='Project List References'!$B$7, _xlfn.IFNA(_xlfn.XLOOKUP(N$2-$C11, 'SENS Coal'!$D$7:$AW$7, 'SENS Coal'!$D$118:$AW$118), 0), IF($B11='Project List References'!$B$8, _xlfn.IFNA(_xlfn.XLOOKUP(N$2-$C11,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O11" s="663" t="e">
        <f>IF($B11='Project List References'!$B$6, IF('Project PGEN'!O11&gt;0, 'Assumptions &amp; Inputs'!$L$117, 0), IF($B11='Project List References'!$B$7, _xlfn.IFNA(_xlfn.XLOOKUP(O$2-$C11, 'SENS Coal'!$D$7:$AW$7, 'SENS Coal'!$D$118:$AW$118), 0), IF($B11='Project List References'!$B$8, _xlfn.IFNA(_xlfn.XLOOKUP(O$2-$C11,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P11" s="663" t="e">
        <f>IF($B11='Project List References'!$B$6, IF('Project PGEN'!P11&gt;0, 'Assumptions &amp; Inputs'!$L$117, 0), IF($B11='Project List References'!$B$7, _xlfn.IFNA(_xlfn.XLOOKUP(P$2-$C11, 'SENS Coal'!$D$7:$AW$7, 'SENS Coal'!$D$118:$AW$118), 0), IF($B11='Project List References'!$B$8, _xlfn.IFNA(_xlfn.XLOOKUP(P$2-$C11,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Q11" s="663" t="e">
        <f>IF($B11='Project List References'!$B$6, IF('Project PGEN'!Q11&gt;0, 'Assumptions &amp; Inputs'!$L$117, 0), IF($B11='Project List References'!$B$7, _xlfn.IFNA(_xlfn.XLOOKUP(Q$2-$C11, 'SENS Coal'!$D$7:$AW$7, 'SENS Coal'!$D$118:$AW$118), 0), IF($B11='Project List References'!$B$8, _xlfn.IFNA(_xlfn.XLOOKUP(Q$2-$C11,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R11" s="663" t="e">
        <f>IF($B11='Project List References'!$B$6, IF('Project PGEN'!R11&gt;0, 'Assumptions &amp; Inputs'!$L$117, 0), IF($B11='Project List References'!$B$7, _xlfn.IFNA(_xlfn.XLOOKUP(R$2-$C11, 'SENS Coal'!$D$7:$AW$7, 'SENS Coal'!$D$118:$AW$118), 0), IF($B11='Project List References'!$B$8, _xlfn.IFNA(_xlfn.XLOOKUP(R$2-$C11,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S11" s="663" t="e">
        <f>IF($B11='Project List References'!$B$6, IF('Project PGEN'!S11&gt;0, 'Assumptions &amp; Inputs'!$L$117, 0), IF($B11='Project List References'!$B$7, _xlfn.IFNA(_xlfn.XLOOKUP(S$2-$C11, 'SENS Coal'!$D$7:$AW$7, 'SENS Coal'!$D$118:$AW$118), 0), IF($B11='Project List References'!$B$8, _xlfn.IFNA(_xlfn.XLOOKUP(S$2-$C11,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T11" s="663" t="e">
        <f>IF($B11='Project List References'!$B$6, IF('Project PGEN'!T11&gt;0, 'Assumptions &amp; Inputs'!$L$117, 0), IF($B11='Project List References'!$B$7, _xlfn.IFNA(_xlfn.XLOOKUP(T$2-$C11, 'SENS Coal'!$D$7:$AW$7, 'SENS Coal'!$D$118:$AW$118), 0), IF($B11='Project List References'!$B$8, _xlfn.IFNA(_xlfn.XLOOKUP(T$2-$C11, 'SENS Tires'!$D$7:$AW$7, 'SENS Tires'!$D$118:$AW$118),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</row>
    <row r="12" spans="1:111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_xlfn.XLOOKUP('Project OPEX'!A12, 'Project Master Sheet'!A:A, 'Project Master Sheet'!I:I)</f>
        <v>#N/A</v>
      </c>
      <c r="E12" s="663" t="e">
        <f>IF($B12='Project List References'!$B$6, IF('Project PGEN'!E12&gt;0, 'Assumptions &amp; Inputs'!$L$117, 0), IF($B12='Project List References'!$B$7, _xlfn.IFNA(_xlfn.XLOOKUP(E$2-$C12, 'SENS Coal'!$D$7:$AW$7, 'SENS Coal'!$D$118:$AW$118), 0), IF($B12='Project List References'!$B$8, _xlfn.IFNA(_xlfn.XLOOKUP(E$2-$C12,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F12" s="663" t="e">
        <f>IF($B12='Project List References'!$B$6, IF('Project PGEN'!F12&gt;0, 'Assumptions &amp; Inputs'!$L$117, 0), IF($B12='Project List References'!$B$7, _xlfn.IFNA(_xlfn.XLOOKUP(F$2-$C12, 'SENS Coal'!$D$7:$AW$7, 'SENS Coal'!$D$118:$AW$118), 0), IF($B12='Project List References'!$B$8, _xlfn.IFNA(_xlfn.XLOOKUP(F$2-$C12,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G12" s="663" t="e">
        <f>IF($B12='Project List References'!$B$6, IF('Project PGEN'!G12&gt;0, 'Assumptions &amp; Inputs'!$L$117, 0), IF($B12='Project List References'!$B$7, _xlfn.IFNA(_xlfn.XLOOKUP(G$2-$C12, 'SENS Coal'!$D$7:$AW$7, 'SENS Coal'!$D$118:$AW$118), 0), IF($B12='Project List References'!$B$8, _xlfn.IFNA(_xlfn.XLOOKUP(G$2-$C12,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H12" s="663" t="e">
        <f>IF($B12='Project List References'!$B$6, IF('Project PGEN'!H12&gt;0, 'Assumptions &amp; Inputs'!$L$117, 0), IF($B12='Project List References'!$B$7, _xlfn.IFNA(_xlfn.XLOOKUP(H$2-$C12, 'SENS Coal'!$D$7:$AW$7, 'SENS Coal'!$D$118:$AW$118), 0), IF($B12='Project List References'!$B$8, _xlfn.IFNA(_xlfn.XLOOKUP(H$2-$C12,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I12" s="663" t="e">
        <f>IF($B12='Project List References'!$B$6, IF('Project PGEN'!I12&gt;0, 'Assumptions &amp; Inputs'!$L$117, 0), IF($B12='Project List References'!$B$7, _xlfn.IFNA(_xlfn.XLOOKUP(I$2-$C12, 'SENS Coal'!$D$7:$AW$7, 'SENS Coal'!$D$118:$AW$118), 0), IF($B12='Project List References'!$B$8, _xlfn.IFNA(_xlfn.XLOOKUP(I$2-$C12,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J12" s="663" t="e">
        <f>IF($B12='Project List References'!$B$6, IF('Project PGEN'!J12&gt;0, 'Assumptions &amp; Inputs'!$L$117, 0), IF($B12='Project List References'!$B$7, _xlfn.IFNA(_xlfn.XLOOKUP(J$2-$C12, 'SENS Coal'!$D$7:$AW$7, 'SENS Coal'!$D$118:$AW$118), 0), IF($B12='Project List References'!$B$8, _xlfn.IFNA(_xlfn.XLOOKUP(J$2-$C12,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K12" s="663" t="e">
        <f>IF($B12='Project List References'!$B$6, IF('Project PGEN'!K12&gt;0, 'Assumptions &amp; Inputs'!$L$117, 0), IF($B12='Project List References'!$B$7, _xlfn.IFNA(_xlfn.XLOOKUP(K$2-$C12, 'SENS Coal'!$D$7:$AW$7, 'SENS Coal'!$D$118:$AW$118), 0), IF($B12='Project List References'!$B$8, _xlfn.IFNA(_xlfn.XLOOKUP(K$2-$C12,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L12" s="663" t="e">
        <f>IF($B12='Project List References'!$B$6, IF('Project PGEN'!L12&gt;0, 'Assumptions &amp; Inputs'!$L$117, 0), IF($B12='Project List References'!$B$7, _xlfn.IFNA(_xlfn.XLOOKUP(L$2-$C12, 'SENS Coal'!$D$7:$AW$7, 'SENS Coal'!$D$118:$AW$118), 0), IF($B12='Project List References'!$B$8, _xlfn.IFNA(_xlfn.XLOOKUP(L$2-$C12,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M12" s="663" t="e">
        <f>IF($B12='Project List References'!$B$6, IF('Project PGEN'!M12&gt;0, 'Assumptions &amp; Inputs'!$L$117, 0), IF($B12='Project List References'!$B$7, _xlfn.IFNA(_xlfn.XLOOKUP(M$2-$C12, 'SENS Coal'!$D$7:$AW$7, 'SENS Coal'!$D$118:$AW$118), 0), IF($B12='Project List References'!$B$8, _xlfn.IFNA(_xlfn.XLOOKUP(M$2-$C12,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N12" s="663" t="e">
        <f>IF($B12='Project List References'!$B$6, IF('Project PGEN'!N12&gt;0, 'Assumptions &amp; Inputs'!$L$117, 0), IF($B12='Project List References'!$B$7, _xlfn.IFNA(_xlfn.XLOOKUP(N$2-$C12, 'SENS Coal'!$D$7:$AW$7, 'SENS Coal'!$D$118:$AW$118), 0), IF($B12='Project List References'!$B$8, _xlfn.IFNA(_xlfn.XLOOKUP(N$2-$C12,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O12" s="663" t="e">
        <f>IF($B12='Project List References'!$B$6, IF('Project PGEN'!O12&gt;0, 'Assumptions &amp; Inputs'!$L$117, 0), IF($B12='Project List References'!$B$7, _xlfn.IFNA(_xlfn.XLOOKUP(O$2-$C12, 'SENS Coal'!$D$7:$AW$7, 'SENS Coal'!$D$118:$AW$118), 0), IF($B12='Project List References'!$B$8, _xlfn.IFNA(_xlfn.XLOOKUP(O$2-$C12,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P12" s="663" t="e">
        <f>IF($B12='Project List References'!$B$6, IF('Project PGEN'!P12&gt;0, 'Assumptions &amp; Inputs'!$L$117, 0), IF($B12='Project List References'!$B$7, _xlfn.IFNA(_xlfn.XLOOKUP(P$2-$C12, 'SENS Coal'!$D$7:$AW$7, 'SENS Coal'!$D$118:$AW$118), 0), IF($B12='Project List References'!$B$8, _xlfn.IFNA(_xlfn.XLOOKUP(P$2-$C12,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Q12" s="663" t="e">
        <f>IF($B12='Project List References'!$B$6, IF('Project PGEN'!Q12&gt;0, 'Assumptions &amp; Inputs'!$L$117, 0), IF($B12='Project List References'!$B$7, _xlfn.IFNA(_xlfn.XLOOKUP(Q$2-$C12, 'SENS Coal'!$D$7:$AW$7, 'SENS Coal'!$D$118:$AW$118), 0), IF($B12='Project List References'!$B$8, _xlfn.IFNA(_xlfn.XLOOKUP(Q$2-$C12,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R12" s="663" t="e">
        <f>IF($B12='Project List References'!$B$6, IF('Project PGEN'!R12&gt;0, 'Assumptions &amp; Inputs'!$L$117, 0), IF($B12='Project List References'!$B$7, _xlfn.IFNA(_xlfn.XLOOKUP(R$2-$C12, 'SENS Coal'!$D$7:$AW$7, 'SENS Coal'!$D$118:$AW$118), 0), IF($B12='Project List References'!$B$8, _xlfn.IFNA(_xlfn.XLOOKUP(R$2-$C12,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S12" s="663" t="e">
        <f>IF($B12='Project List References'!$B$6, IF('Project PGEN'!S12&gt;0, 'Assumptions &amp; Inputs'!$L$117, 0), IF($B12='Project List References'!$B$7, _xlfn.IFNA(_xlfn.XLOOKUP(S$2-$C12, 'SENS Coal'!$D$7:$AW$7, 'SENS Coal'!$D$118:$AW$118), 0), IF($B12='Project List References'!$B$8, _xlfn.IFNA(_xlfn.XLOOKUP(S$2-$C12,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T12" s="663" t="e">
        <f>IF($B12='Project List References'!$B$6, IF('Project PGEN'!T12&gt;0, 'Assumptions &amp; Inputs'!$L$117, 0), IF($B12='Project List References'!$B$7, _xlfn.IFNA(_xlfn.XLOOKUP(T$2-$C12, 'SENS Coal'!$D$7:$AW$7, 'SENS Coal'!$D$118:$AW$118), 0), IF($B12='Project List References'!$B$8, _xlfn.IFNA(_xlfn.XLOOKUP(T$2-$C12, 'SENS Tires'!$D$7:$AW$7, 'SENS Tires'!$D$118:$AW$118),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</row>
    <row r="13" spans="1:111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_xlfn.XLOOKUP('Project OPEX'!A13, 'Project Master Sheet'!A:A, 'Project Master Sheet'!I:I)</f>
        <v>#N/A</v>
      </c>
      <c r="E13" s="663" t="e">
        <f>IF($B13='Project List References'!$B$6, IF('Project PGEN'!E13&gt;0, 'Assumptions &amp; Inputs'!$L$117, 0), IF($B13='Project List References'!$B$7, _xlfn.IFNA(_xlfn.XLOOKUP(E$2-$C13, 'SENS Coal'!$D$7:$AW$7, 'SENS Coal'!$D$118:$AW$118), 0), IF($B13='Project List References'!$B$8, _xlfn.IFNA(_xlfn.XLOOKUP(E$2-$C13,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F13" s="663" t="e">
        <f>IF($B13='Project List References'!$B$6, IF('Project PGEN'!F13&gt;0, 'Assumptions &amp; Inputs'!$L$117, 0), IF($B13='Project List References'!$B$7, _xlfn.IFNA(_xlfn.XLOOKUP(F$2-$C13, 'SENS Coal'!$D$7:$AW$7, 'SENS Coal'!$D$118:$AW$118), 0), IF($B13='Project List References'!$B$8, _xlfn.IFNA(_xlfn.XLOOKUP(F$2-$C13,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G13" s="663" t="e">
        <f>IF($B13='Project List References'!$B$6, IF('Project PGEN'!G13&gt;0, 'Assumptions &amp; Inputs'!$L$117, 0), IF($B13='Project List References'!$B$7, _xlfn.IFNA(_xlfn.XLOOKUP(G$2-$C13, 'SENS Coal'!$D$7:$AW$7, 'SENS Coal'!$D$118:$AW$118), 0), IF($B13='Project List References'!$B$8, _xlfn.IFNA(_xlfn.XLOOKUP(G$2-$C13,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H13" s="663" t="e">
        <f>IF($B13='Project List References'!$B$6, IF('Project PGEN'!H13&gt;0, 'Assumptions &amp; Inputs'!$L$117, 0), IF($B13='Project List References'!$B$7, _xlfn.IFNA(_xlfn.XLOOKUP(H$2-$C13, 'SENS Coal'!$D$7:$AW$7, 'SENS Coal'!$D$118:$AW$118), 0), IF($B13='Project List References'!$B$8, _xlfn.IFNA(_xlfn.XLOOKUP(H$2-$C13,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I13" s="663" t="e">
        <f>IF($B13='Project List References'!$B$6, IF('Project PGEN'!I13&gt;0, 'Assumptions &amp; Inputs'!$L$117, 0), IF($B13='Project List References'!$B$7, _xlfn.IFNA(_xlfn.XLOOKUP(I$2-$C13, 'SENS Coal'!$D$7:$AW$7, 'SENS Coal'!$D$118:$AW$118), 0), IF($B13='Project List References'!$B$8, _xlfn.IFNA(_xlfn.XLOOKUP(I$2-$C13,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J13" s="663" t="e">
        <f>IF($B13='Project List References'!$B$6, IF('Project PGEN'!J13&gt;0, 'Assumptions &amp; Inputs'!$L$117, 0), IF($B13='Project List References'!$B$7, _xlfn.IFNA(_xlfn.XLOOKUP(J$2-$C13, 'SENS Coal'!$D$7:$AW$7, 'SENS Coal'!$D$118:$AW$118), 0), IF($B13='Project List References'!$B$8, _xlfn.IFNA(_xlfn.XLOOKUP(J$2-$C13,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K13" s="663" t="e">
        <f>IF($B13='Project List References'!$B$6, IF('Project PGEN'!K13&gt;0, 'Assumptions &amp; Inputs'!$L$117, 0), IF($B13='Project List References'!$B$7, _xlfn.IFNA(_xlfn.XLOOKUP(K$2-$C13, 'SENS Coal'!$D$7:$AW$7, 'SENS Coal'!$D$118:$AW$118), 0), IF($B13='Project List References'!$B$8, _xlfn.IFNA(_xlfn.XLOOKUP(K$2-$C13,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L13" s="663" t="e">
        <f>IF($B13='Project List References'!$B$6, IF('Project PGEN'!L13&gt;0, 'Assumptions &amp; Inputs'!$L$117, 0), IF($B13='Project List References'!$B$7, _xlfn.IFNA(_xlfn.XLOOKUP(L$2-$C13, 'SENS Coal'!$D$7:$AW$7, 'SENS Coal'!$D$118:$AW$118), 0), IF($B13='Project List References'!$B$8, _xlfn.IFNA(_xlfn.XLOOKUP(L$2-$C13,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M13" s="663" t="e">
        <f>IF($B13='Project List References'!$B$6, IF('Project PGEN'!M13&gt;0, 'Assumptions &amp; Inputs'!$L$117, 0), IF($B13='Project List References'!$B$7, _xlfn.IFNA(_xlfn.XLOOKUP(M$2-$C13, 'SENS Coal'!$D$7:$AW$7, 'SENS Coal'!$D$118:$AW$118), 0), IF($B13='Project List References'!$B$8, _xlfn.IFNA(_xlfn.XLOOKUP(M$2-$C13,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N13" s="663" t="e">
        <f>IF($B13='Project List References'!$B$6, IF('Project PGEN'!N13&gt;0, 'Assumptions &amp; Inputs'!$L$117, 0), IF($B13='Project List References'!$B$7, _xlfn.IFNA(_xlfn.XLOOKUP(N$2-$C13, 'SENS Coal'!$D$7:$AW$7, 'SENS Coal'!$D$118:$AW$118), 0), IF($B13='Project List References'!$B$8, _xlfn.IFNA(_xlfn.XLOOKUP(N$2-$C13,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O13" s="663" t="e">
        <f>IF($B13='Project List References'!$B$6, IF('Project PGEN'!O13&gt;0, 'Assumptions &amp; Inputs'!$L$117, 0), IF($B13='Project List References'!$B$7, _xlfn.IFNA(_xlfn.XLOOKUP(O$2-$C13, 'SENS Coal'!$D$7:$AW$7, 'SENS Coal'!$D$118:$AW$118), 0), IF($B13='Project List References'!$B$8, _xlfn.IFNA(_xlfn.XLOOKUP(O$2-$C13,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P13" s="663" t="e">
        <f>IF($B13='Project List References'!$B$6, IF('Project PGEN'!P13&gt;0, 'Assumptions &amp; Inputs'!$L$117, 0), IF($B13='Project List References'!$B$7, _xlfn.IFNA(_xlfn.XLOOKUP(P$2-$C13, 'SENS Coal'!$D$7:$AW$7, 'SENS Coal'!$D$118:$AW$118), 0), IF($B13='Project List References'!$B$8, _xlfn.IFNA(_xlfn.XLOOKUP(P$2-$C13,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Q13" s="663" t="e">
        <f>IF($B13='Project List References'!$B$6, IF('Project PGEN'!Q13&gt;0, 'Assumptions &amp; Inputs'!$L$117, 0), IF($B13='Project List References'!$B$7, _xlfn.IFNA(_xlfn.XLOOKUP(Q$2-$C13, 'SENS Coal'!$D$7:$AW$7, 'SENS Coal'!$D$118:$AW$118), 0), IF($B13='Project List References'!$B$8, _xlfn.IFNA(_xlfn.XLOOKUP(Q$2-$C13,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R13" s="663" t="e">
        <f>IF($B13='Project List References'!$B$6, IF('Project PGEN'!R13&gt;0, 'Assumptions &amp; Inputs'!$L$117, 0), IF($B13='Project List References'!$B$7, _xlfn.IFNA(_xlfn.XLOOKUP(R$2-$C13, 'SENS Coal'!$D$7:$AW$7, 'SENS Coal'!$D$118:$AW$118), 0), IF($B13='Project List References'!$B$8, _xlfn.IFNA(_xlfn.XLOOKUP(R$2-$C13,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S13" s="663" t="e">
        <f>IF($B13='Project List References'!$B$6, IF('Project PGEN'!S13&gt;0, 'Assumptions &amp; Inputs'!$L$117, 0), IF($B13='Project List References'!$B$7, _xlfn.IFNA(_xlfn.XLOOKUP(S$2-$C13, 'SENS Coal'!$D$7:$AW$7, 'SENS Coal'!$D$118:$AW$118), 0), IF($B13='Project List References'!$B$8, _xlfn.IFNA(_xlfn.XLOOKUP(S$2-$C13,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T13" s="663" t="e">
        <f>IF($B13='Project List References'!$B$6, IF('Project PGEN'!T13&gt;0, 'Assumptions &amp; Inputs'!$L$117, 0), IF($B13='Project List References'!$B$7, _xlfn.IFNA(_xlfn.XLOOKUP(T$2-$C13, 'SENS Coal'!$D$7:$AW$7, 'SENS Coal'!$D$118:$AW$118), 0), IF($B13='Project List References'!$B$8, _xlfn.IFNA(_xlfn.XLOOKUP(T$2-$C13, 'SENS Tires'!$D$7:$AW$7, 'SENS Tires'!$D$118:$AW$118),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</row>
    <row r="14" spans="1:111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_xlfn.XLOOKUP('Project OPEX'!A14, 'Project Master Sheet'!A:A, 'Project Master Sheet'!I:I)</f>
        <v>#N/A</v>
      </c>
      <c r="E14" s="663" t="e">
        <f>IF($B14='Project List References'!$B$6, IF('Project PGEN'!E14&gt;0, 'Assumptions &amp; Inputs'!$L$117, 0), IF($B14='Project List References'!$B$7, _xlfn.IFNA(_xlfn.XLOOKUP(E$2-$C14, 'SENS Coal'!$D$7:$AW$7, 'SENS Coal'!$D$118:$AW$118), 0), IF($B14='Project List References'!$B$8, _xlfn.IFNA(_xlfn.XLOOKUP(E$2-$C14,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F14" s="663" t="e">
        <f>IF($B14='Project List References'!$B$6, IF('Project PGEN'!F14&gt;0, 'Assumptions &amp; Inputs'!$L$117, 0), IF($B14='Project List References'!$B$7, _xlfn.IFNA(_xlfn.XLOOKUP(F$2-$C14, 'SENS Coal'!$D$7:$AW$7, 'SENS Coal'!$D$118:$AW$118), 0), IF($B14='Project List References'!$B$8, _xlfn.IFNA(_xlfn.XLOOKUP(F$2-$C14,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G14" s="663" t="e">
        <f>IF($B14='Project List References'!$B$6, IF('Project PGEN'!G14&gt;0, 'Assumptions &amp; Inputs'!$L$117, 0), IF($B14='Project List References'!$B$7, _xlfn.IFNA(_xlfn.XLOOKUP(G$2-$C14, 'SENS Coal'!$D$7:$AW$7, 'SENS Coal'!$D$118:$AW$118), 0), IF($B14='Project List References'!$B$8, _xlfn.IFNA(_xlfn.XLOOKUP(G$2-$C14,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H14" s="663" t="e">
        <f>IF($B14='Project List References'!$B$6, IF('Project PGEN'!H14&gt;0, 'Assumptions &amp; Inputs'!$L$117, 0), IF($B14='Project List References'!$B$7, _xlfn.IFNA(_xlfn.XLOOKUP(H$2-$C14, 'SENS Coal'!$D$7:$AW$7, 'SENS Coal'!$D$118:$AW$118), 0), IF($B14='Project List References'!$B$8, _xlfn.IFNA(_xlfn.XLOOKUP(H$2-$C14,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I14" s="663" t="e">
        <f>IF($B14='Project List References'!$B$6, IF('Project PGEN'!I14&gt;0, 'Assumptions &amp; Inputs'!$L$117, 0), IF($B14='Project List References'!$B$7, _xlfn.IFNA(_xlfn.XLOOKUP(I$2-$C14, 'SENS Coal'!$D$7:$AW$7, 'SENS Coal'!$D$118:$AW$118), 0), IF($B14='Project List References'!$B$8, _xlfn.IFNA(_xlfn.XLOOKUP(I$2-$C14,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J14" s="663" t="e">
        <f>IF($B14='Project List References'!$B$6, IF('Project PGEN'!J14&gt;0, 'Assumptions &amp; Inputs'!$L$117, 0), IF($B14='Project List References'!$B$7, _xlfn.IFNA(_xlfn.XLOOKUP(J$2-$C14, 'SENS Coal'!$D$7:$AW$7, 'SENS Coal'!$D$118:$AW$118), 0), IF($B14='Project List References'!$B$8, _xlfn.IFNA(_xlfn.XLOOKUP(J$2-$C14,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K14" s="663" t="e">
        <f>IF($B14='Project List References'!$B$6, IF('Project PGEN'!K14&gt;0, 'Assumptions &amp; Inputs'!$L$117, 0), IF($B14='Project List References'!$B$7, _xlfn.IFNA(_xlfn.XLOOKUP(K$2-$C14, 'SENS Coal'!$D$7:$AW$7, 'SENS Coal'!$D$118:$AW$118), 0), IF($B14='Project List References'!$B$8, _xlfn.IFNA(_xlfn.XLOOKUP(K$2-$C14,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L14" s="663" t="e">
        <f>IF($B14='Project List References'!$B$6, IF('Project PGEN'!L14&gt;0, 'Assumptions &amp; Inputs'!$L$117, 0), IF($B14='Project List References'!$B$7, _xlfn.IFNA(_xlfn.XLOOKUP(L$2-$C14, 'SENS Coal'!$D$7:$AW$7, 'SENS Coal'!$D$118:$AW$118), 0), IF($B14='Project List References'!$B$8, _xlfn.IFNA(_xlfn.XLOOKUP(L$2-$C14,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M14" s="663" t="e">
        <f>IF($B14='Project List References'!$B$6, IF('Project PGEN'!M14&gt;0, 'Assumptions &amp; Inputs'!$L$117, 0), IF($B14='Project List References'!$B$7, _xlfn.IFNA(_xlfn.XLOOKUP(M$2-$C14, 'SENS Coal'!$D$7:$AW$7, 'SENS Coal'!$D$118:$AW$118), 0), IF($B14='Project List References'!$B$8, _xlfn.IFNA(_xlfn.XLOOKUP(M$2-$C14,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N14" s="663" t="e">
        <f>IF($B14='Project List References'!$B$6, IF('Project PGEN'!N14&gt;0, 'Assumptions &amp; Inputs'!$L$117, 0), IF($B14='Project List References'!$B$7, _xlfn.IFNA(_xlfn.XLOOKUP(N$2-$C14, 'SENS Coal'!$D$7:$AW$7, 'SENS Coal'!$D$118:$AW$118), 0), IF($B14='Project List References'!$B$8, _xlfn.IFNA(_xlfn.XLOOKUP(N$2-$C14,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O14" s="663" t="e">
        <f>IF($B14='Project List References'!$B$6, IF('Project PGEN'!O14&gt;0, 'Assumptions &amp; Inputs'!$L$117, 0), IF($B14='Project List References'!$B$7, _xlfn.IFNA(_xlfn.XLOOKUP(O$2-$C14, 'SENS Coal'!$D$7:$AW$7, 'SENS Coal'!$D$118:$AW$118), 0), IF($B14='Project List References'!$B$8, _xlfn.IFNA(_xlfn.XLOOKUP(O$2-$C14,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P14" s="663" t="e">
        <f>IF($B14='Project List References'!$B$6, IF('Project PGEN'!P14&gt;0, 'Assumptions &amp; Inputs'!$L$117, 0), IF($B14='Project List References'!$B$7, _xlfn.IFNA(_xlfn.XLOOKUP(P$2-$C14, 'SENS Coal'!$D$7:$AW$7, 'SENS Coal'!$D$118:$AW$118), 0), IF($B14='Project List References'!$B$8, _xlfn.IFNA(_xlfn.XLOOKUP(P$2-$C14,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Q14" s="663" t="e">
        <f>IF($B14='Project List References'!$B$6, IF('Project PGEN'!Q14&gt;0, 'Assumptions &amp; Inputs'!$L$117, 0), IF($B14='Project List References'!$B$7, _xlfn.IFNA(_xlfn.XLOOKUP(Q$2-$C14, 'SENS Coal'!$D$7:$AW$7, 'SENS Coal'!$D$118:$AW$118), 0), IF($B14='Project List References'!$B$8, _xlfn.IFNA(_xlfn.XLOOKUP(Q$2-$C14,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R14" s="663" t="e">
        <f>IF($B14='Project List References'!$B$6, IF('Project PGEN'!R14&gt;0, 'Assumptions &amp; Inputs'!$L$117, 0), IF($B14='Project List References'!$B$7, _xlfn.IFNA(_xlfn.XLOOKUP(R$2-$C14, 'SENS Coal'!$D$7:$AW$7, 'SENS Coal'!$D$118:$AW$118), 0), IF($B14='Project List References'!$B$8, _xlfn.IFNA(_xlfn.XLOOKUP(R$2-$C14,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S14" s="663" t="e">
        <f>IF($B14='Project List References'!$B$6, IF('Project PGEN'!S14&gt;0, 'Assumptions &amp; Inputs'!$L$117, 0), IF($B14='Project List References'!$B$7, _xlfn.IFNA(_xlfn.XLOOKUP(S$2-$C14, 'SENS Coal'!$D$7:$AW$7, 'SENS Coal'!$D$118:$AW$118), 0), IF($B14='Project List References'!$B$8, _xlfn.IFNA(_xlfn.XLOOKUP(S$2-$C14,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T14" s="663" t="e">
        <f>IF($B14='Project List References'!$B$6, IF('Project PGEN'!T14&gt;0, 'Assumptions &amp; Inputs'!$L$117, 0), IF($B14='Project List References'!$B$7, _xlfn.IFNA(_xlfn.XLOOKUP(T$2-$C14, 'SENS Coal'!$D$7:$AW$7, 'SENS Coal'!$D$118:$AW$118), 0), IF($B14='Project List References'!$B$8, _xlfn.IFNA(_xlfn.XLOOKUP(T$2-$C14, 'SENS Tires'!$D$7:$AW$7, 'SENS Tires'!$D$118:$AW$118),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</row>
    <row r="15" spans="1:111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_xlfn.XLOOKUP('Project OPEX'!A15, 'Project Master Sheet'!A:A, 'Project Master Sheet'!I:I)</f>
        <v>#N/A</v>
      </c>
      <c r="E15" s="663" t="e">
        <f>IF($B15='Project List References'!$B$6, IF('Project PGEN'!E15&gt;0, 'Assumptions &amp; Inputs'!$L$117, 0), IF($B15='Project List References'!$B$7, _xlfn.IFNA(_xlfn.XLOOKUP(E$2-$C15, 'SENS Coal'!$D$7:$AW$7, 'SENS Coal'!$D$118:$AW$118), 0), IF($B15='Project List References'!$B$8, _xlfn.IFNA(_xlfn.XLOOKUP(E$2-$C15,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F15" s="663" t="e">
        <f>IF($B15='Project List References'!$B$6, IF('Project PGEN'!F15&gt;0, 'Assumptions &amp; Inputs'!$L$117, 0), IF($B15='Project List References'!$B$7, _xlfn.IFNA(_xlfn.XLOOKUP(F$2-$C15, 'SENS Coal'!$D$7:$AW$7, 'SENS Coal'!$D$118:$AW$118), 0), IF($B15='Project List References'!$B$8, _xlfn.IFNA(_xlfn.XLOOKUP(F$2-$C15,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G15" s="663" t="e">
        <f>IF($B15='Project List References'!$B$6, IF('Project PGEN'!G15&gt;0, 'Assumptions &amp; Inputs'!$L$117, 0), IF($B15='Project List References'!$B$7, _xlfn.IFNA(_xlfn.XLOOKUP(G$2-$C15, 'SENS Coal'!$D$7:$AW$7, 'SENS Coal'!$D$118:$AW$118), 0), IF($B15='Project List References'!$B$8, _xlfn.IFNA(_xlfn.XLOOKUP(G$2-$C15,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H15" s="663" t="e">
        <f>IF($B15='Project List References'!$B$6, IF('Project PGEN'!H15&gt;0, 'Assumptions &amp; Inputs'!$L$117, 0), IF($B15='Project List References'!$B$7, _xlfn.IFNA(_xlfn.XLOOKUP(H$2-$C15, 'SENS Coal'!$D$7:$AW$7, 'SENS Coal'!$D$118:$AW$118), 0), IF($B15='Project List References'!$B$8, _xlfn.IFNA(_xlfn.XLOOKUP(H$2-$C15,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I15" s="663" t="e">
        <f>IF($B15='Project List References'!$B$6, IF('Project PGEN'!I15&gt;0, 'Assumptions &amp; Inputs'!$L$117, 0), IF($B15='Project List References'!$B$7, _xlfn.IFNA(_xlfn.XLOOKUP(I$2-$C15, 'SENS Coal'!$D$7:$AW$7, 'SENS Coal'!$D$118:$AW$118), 0), IF($B15='Project List References'!$B$8, _xlfn.IFNA(_xlfn.XLOOKUP(I$2-$C15,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J15" s="663" t="e">
        <f>IF($B15='Project List References'!$B$6, IF('Project PGEN'!J15&gt;0, 'Assumptions &amp; Inputs'!$L$117, 0), IF($B15='Project List References'!$B$7, _xlfn.IFNA(_xlfn.XLOOKUP(J$2-$C15, 'SENS Coal'!$D$7:$AW$7, 'SENS Coal'!$D$118:$AW$118), 0), IF($B15='Project List References'!$B$8, _xlfn.IFNA(_xlfn.XLOOKUP(J$2-$C15,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K15" s="663" t="e">
        <f>IF($B15='Project List References'!$B$6, IF('Project PGEN'!K15&gt;0, 'Assumptions &amp; Inputs'!$L$117, 0), IF($B15='Project List References'!$B$7, _xlfn.IFNA(_xlfn.XLOOKUP(K$2-$C15, 'SENS Coal'!$D$7:$AW$7, 'SENS Coal'!$D$118:$AW$118), 0), IF($B15='Project List References'!$B$8, _xlfn.IFNA(_xlfn.XLOOKUP(K$2-$C15,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L15" s="663" t="e">
        <f>IF($B15='Project List References'!$B$6, IF('Project PGEN'!L15&gt;0, 'Assumptions &amp; Inputs'!$L$117, 0), IF($B15='Project List References'!$B$7, _xlfn.IFNA(_xlfn.XLOOKUP(L$2-$C15, 'SENS Coal'!$D$7:$AW$7, 'SENS Coal'!$D$118:$AW$118), 0), IF($B15='Project List References'!$B$8, _xlfn.IFNA(_xlfn.XLOOKUP(L$2-$C15,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M15" s="663" t="e">
        <f>IF($B15='Project List References'!$B$6, IF('Project PGEN'!M15&gt;0, 'Assumptions &amp; Inputs'!$L$117, 0), IF($B15='Project List References'!$B$7, _xlfn.IFNA(_xlfn.XLOOKUP(M$2-$C15, 'SENS Coal'!$D$7:$AW$7, 'SENS Coal'!$D$118:$AW$118), 0), IF($B15='Project List References'!$B$8, _xlfn.IFNA(_xlfn.XLOOKUP(M$2-$C15,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N15" s="663" t="e">
        <f>IF($B15='Project List References'!$B$6, IF('Project PGEN'!N15&gt;0, 'Assumptions &amp; Inputs'!$L$117, 0), IF($B15='Project List References'!$B$7, _xlfn.IFNA(_xlfn.XLOOKUP(N$2-$C15, 'SENS Coal'!$D$7:$AW$7, 'SENS Coal'!$D$118:$AW$118), 0), IF($B15='Project List References'!$B$8, _xlfn.IFNA(_xlfn.XLOOKUP(N$2-$C15,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O15" s="663" t="e">
        <f>IF($B15='Project List References'!$B$6, IF('Project PGEN'!O15&gt;0, 'Assumptions &amp; Inputs'!$L$117, 0), IF($B15='Project List References'!$B$7, _xlfn.IFNA(_xlfn.XLOOKUP(O$2-$C15, 'SENS Coal'!$D$7:$AW$7, 'SENS Coal'!$D$118:$AW$118), 0), IF($B15='Project List References'!$B$8, _xlfn.IFNA(_xlfn.XLOOKUP(O$2-$C15,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P15" s="663" t="e">
        <f>IF($B15='Project List References'!$B$6, IF('Project PGEN'!P15&gt;0, 'Assumptions &amp; Inputs'!$L$117, 0), IF($B15='Project List References'!$B$7, _xlfn.IFNA(_xlfn.XLOOKUP(P$2-$C15, 'SENS Coal'!$D$7:$AW$7, 'SENS Coal'!$D$118:$AW$118), 0), IF($B15='Project List References'!$B$8, _xlfn.IFNA(_xlfn.XLOOKUP(P$2-$C15,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Q15" s="663" t="e">
        <f>IF($B15='Project List References'!$B$6, IF('Project PGEN'!Q15&gt;0, 'Assumptions &amp; Inputs'!$L$117, 0), IF($B15='Project List References'!$B$7, _xlfn.IFNA(_xlfn.XLOOKUP(Q$2-$C15, 'SENS Coal'!$D$7:$AW$7, 'SENS Coal'!$D$118:$AW$118), 0), IF($B15='Project List References'!$B$8, _xlfn.IFNA(_xlfn.XLOOKUP(Q$2-$C15,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R15" s="663" t="e">
        <f>IF($B15='Project List References'!$B$6, IF('Project PGEN'!R15&gt;0, 'Assumptions &amp; Inputs'!$L$117, 0), IF($B15='Project List References'!$B$7, _xlfn.IFNA(_xlfn.XLOOKUP(R$2-$C15, 'SENS Coal'!$D$7:$AW$7, 'SENS Coal'!$D$118:$AW$118), 0), IF($B15='Project List References'!$B$8, _xlfn.IFNA(_xlfn.XLOOKUP(R$2-$C15,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S15" s="663" t="e">
        <f>IF($B15='Project List References'!$B$6, IF('Project PGEN'!S15&gt;0, 'Assumptions &amp; Inputs'!$L$117, 0), IF($B15='Project List References'!$B$7, _xlfn.IFNA(_xlfn.XLOOKUP(S$2-$C15, 'SENS Coal'!$D$7:$AW$7, 'SENS Coal'!$D$118:$AW$118), 0), IF($B15='Project List References'!$B$8, _xlfn.IFNA(_xlfn.XLOOKUP(S$2-$C15,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T15" s="663" t="e">
        <f>IF($B15='Project List References'!$B$6, IF('Project PGEN'!T15&gt;0, 'Assumptions &amp; Inputs'!$L$117, 0), IF($B15='Project List References'!$B$7, _xlfn.IFNA(_xlfn.XLOOKUP(T$2-$C15, 'SENS Coal'!$D$7:$AW$7, 'SENS Coal'!$D$118:$AW$118), 0), IF($B15='Project List References'!$B$8, _xlfn.IFNA(_xlfn.XLOOKUP(T$2-$C15, 'SENS Tires'!$D$7:$AW$7, 'SENS Tires'!$D$118:$AW$118),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</row>
    <row r="16" spans="1:111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_xlfn.XLOOKUP('Project OPEX'!A16, 'Project Master Sheet'!A:A, 'Project Master Sheet'!I:I)</f>
        <v>#N/A</v>
      </c>
      <c r="E16" s="663" t="e">
        <f>IF($B16='Project List References'!$B$6, IF('Project PGEN'!E16&gt;0, 'Assumptions &amp; Inputs'!$L$117, 0), IF($B16='Project List References'!$B$7, _xlfn.IFNA(_xlfn.XLOOKUP(E$2-$C16, 'SENS Coal'!$D$7:$AW$7, 'SENS Coal'!$D$118:$AW$118), 0), IF($B16='Project List References'!$B$8, _xlfn.IFNA(_xlfn.XLOOKUP(E$2-$C16,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F16" s="663" t="e">
        <f>IF($B16='Project List References'!$B$6, IF('Project PGEN'!F16&gt;0, 'Assumptions &amp; Inputs'!$L$117, 0), IF($B16='Project List References'!$B$7, _xlfn.IFNA(_xlfn.XLOOKUP(F$2-$C16, 'SENS Coal'!$D$7:$AW$7, 'SENS Coal'!$D$118:$AW$118), 0), IF($B16='Project List References'!$B$8, _xlfn.IFNA(_xlfn.XLOOKUP(F$2-$C16,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G16" s="663" t="e">
        <f>IF($B16='Project List References'!$B$6, IF('Project PGEN'!G16&gt;0, 'Assumptions &amp; Inputs'!$L$117, 0), IF($B16='Project List References'!$B$7, _xlfn.IFNA(_xlfn.XLOOKUP(G$2-$C16, 'SENS Coal'!$D$7:$AW$7, 'SENS Coal'!$D$118:$AW$118), 0), IF($B16='Project List References'!$B$8, _xlfn.IFNA(_xlfn.XLOOKUP(G$2-$C16,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H16" s="663" t="e">
        <f>IF($B16='Project List References'!$B$6, IF('Project PGEN'!H16&gt;0, 'Assumptions &amp; Inputs'!$L$117, 0), IF($B16='Project List References'!$B$7, _xlfn.IFNA(_xlfn.XLOOKUP(H$2-$C16, 'SENS Coal'!$D$7:$AW$7, 'SENS Coal'!$D$118:$AW$118), 0), IF($B16='Project List References'!$B$8, _xlfn.IFNA(_xlfn.XLOOKUP(H$2-$C16,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I16" s="663" t="e">
        <f>IF($B16='Project List References'!$B$6, IF('Project PGEN'!I16&gt;0, 'Assumptions &amp; Inputs'!$L$117, 0), IF($B16='Project List References'!$B$7, _xlfn.IFNA(_xlfn.XLOOKUP(I$2-$C16, 'SENS Coal'!$D$7:$AW$7, 'SENS Coal'!$D$118:$AW$118), 0), IF($B16='Project List References'!$B$8, _xlfn.IFNA(_xlfn.XLOOKUP(I$2-$C16,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J16" s="663" t="e">
        <f>IF($B16='Project List References'!$B$6, IF('Project PGEN'!J16&gt;0, 'Assumptions &amp; Inputs'!$L$117, 0), IF($B16='Project List References'!$B$7, _xlfn.IFNA(_xlfn.XLOOKUP(J$2-$C16, 'SENS Coal'!$D$7:$AW$7, 'SENS Coal'!$D$118:$AW$118), 0), IF($B16='Project List References'!$B$8, _xlfn.IFNA(_xlfn.XLOOKUP(J$2-$C16,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K16" s="663" t="e">
        <f>IF($B16='Project List References'!$B$6, IF('Project PGEN'!K16&gt;0, 'Assumptions &amp; Inputs'!$L$117, 0), IF($B16='Project List References'!$B$7, _xlfn.IFNA(_xlfn.XLOOKUP(K$2-$C16, 'SENS Coal'!$D$7:$AW$7, 'SENS Coal'!$D$118:$AW$118), 0), IF($B16='Project List References'!$B$8, _xlfn.IFNA(_xlfn.XLOOKUP(K$2-$C16,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L16" s="663" t="e">
        <f>IF($B16='Project List References'!$B$6, IF('Project PGEN'!L16&gt;0, 'Assumptions &amp; Inputs'!$L$117, 0), IF($B16='Project List References'!$B$7, _xlfn.IFNA(_xlfn.XLOOKUP(L$2-$C16, 'SENS Coal'!$D$7:$AW$7, 'SENS Coal'!$D$118:$AW$118), 0), IF($B16='Project List References'!$B$8, _xlfn.IFNA(_xlfn.XLOOKUP(L$2-$C16,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M16" s="663" t="e">
        <f>IF($B16='Project List References'!$B$6, IF('Project PGEN'!M16&gt;0, 'Assumptions &amp; Inputs'!$L$117, 0), IF($B16='Project List References'!$B$7, _xlfn.IFNA(_xlfn.XLOOKUP(M$2-$C16, 'SENS Coal'!$D$7:$AW$7, 'SENS Coal'!$D$118:$AW$118), 0), IF($B16='Project List References'!$B$8, _xlfn.IFNA(_xlfn.XLOOKUP(M$2-$C16,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N16" s="663" t="e">
        <f>IF($B16='Project List References'!$B$6, IF('Project PGEN'!N16&gt;0, 'Assumptions &amp; Inputs'!$L$117, 0), IF($B16='Project List References'!$B$7, _xlfn.IFNA(_xlfn.XLOOKUP(N$2-$C16, 'SENS Coal'!$D$7:$AW$7, 'SENS Coal'!$D$118:$AW$118), 0), IF($B16='Project List References'!$B$8, _xlfn.IFNA(_xlfn.XLOOKUP(N$2-$C16,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O16" s="663" t="e">
        <f>IF($B16='Project List References'!$B$6, IF('Project PGEN'!O16&gt;0, 'Assumptions &amp; Inputs'!$L$117, 0), IF($B16='Project List References'!$B$7, _xlfn.IFNA(_xlfn.XLOOKUP(O$2-$C16, 'SENS Coal'!$D$7:$AW$7, 'SENS Coal'!$D$118:$AW$118), 0), IF($B16='Project List References'!$B$8, _xlfn.IFNA(_xlfn.XLOOKUP(O$2-$C16,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P16" s="663" t="e">
        <f>IF($B16='Project List References'!$B$6, IF('Project PGEN'!P16&gt;0, 'Assumptions &amp; Inputs'!$L$117, 0), IF($B16='Project List References'!$B$7, _xlfn.IFNA(_xlfn.XLOOKUP(P$2-$C16, 'SENS Coal'!$D$7:$AW$7, 'SENS Coal'!$D$118:$AW$118), 0), IF($B16='Project List References'!$B$8, _xlfn.IFNA(_xlfn.XLOOKUP(P$2-$C16,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Q16" s="663" t="e">
        <f>IF($B16='Project List References'!$B$6, IF('Project PGEN'!Q16&gt;0, 'Assumptions &amp; Inputs'!$L$117, 0), IF($B16='Project List References'!$B$7, _xlfn.IFNA(_xlfn.XLOOKUP(Q$2-$C16, 'SENS Coal'!$D$7:$AW$7, 'SENS Coal'!$D$118:$AW$118), 0), IF($B16='Project List References'!$B$8, _xlfn.IFNA(_xlfn.XLOOKUP(Q$2-$C16,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R16" s="663" t="e">
        <f>IF($B16='Project List References'!$B$6, IF('Project PGEN'!R16&gt;0, 'Assumptions &amp; Inputs'!$L$117, 0), IF($B16='Project List References'!$B$7, _xlfn.IFNA(_xlfn.XLOOKUP(R$2-$C16, 'SENS Coal'!$D$7:$AW$7, 'SENS Coal'!$D$118:$AW$118), 0), IF($B16='Project List References'!$B$8, _xlfn.IFNA(_xlfn.XLOOKUP(R$2-$C16,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S16" s="663" t="e">
        <f>IF($B16='Project List References'!$B$6, IF('Project PGEN'!S16&gt;0, 'Assumptions &amp; Inputs'!$L$117, 0), IF($B16='Project List References'!$B$7, _xlfn.IFNA(_xlfn.XLOOKUP(S$2-$C16, 'SENS Coal'!$D$7:$AW$7, 'SENS Coal'!$D$118:$AW$118), 0), IF($B16='Project List References'!$B$8, _xlfn.IFNA(_xlfn.XLOOKUP(S$2-$C16,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T16" s="663" t="e">
        <f>IF($B16='Project List References'!$B$6, IF('Project PGEN'!T16&gt;0, 'Assumptions &amp; Inputs'!$L$117, 0), IF($B16='Project List References'!$B$7, _xlfn.IFNA(_xlfn.XLOOKUP(T$2-$C16, 'SENS Coal'!$D$7:$AW$7, 'SENS Coal'!$D$118:$AW$118), 0), IF($B16='Project List References'!$B$8, _xlfn.IFNA(_xlfn.XLOOKUP(T$2-$C16, 'SENS Tires'!$D$7:$AW$7, 'SENS Tires'!$D$118:$AW$118),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_xlfn.XLOOKUP('Project OPEX'!A17, 'Project Master Sheet'!A:A, 'Project Master Sheet'!I:I)</f>
        <v>#N/A</v>
      </c>
      <c r="E17" s="663" t="e">
        <f>IF($B17='Project List References'!$B$6, IF('Project PGEN'!E17&gt;0, 'Assumptions &amp; Inputs'!$L$117, 0), IF($B17='Project List References'!$B$7, _xlfn.IFNA(_xlfn.XLOOKUP(E$2-$C17, 'SENS Coal'!$D$7:$AW$7, 'SENS Coal'!$D$118:$AW$118), 0), IF($B17='Project List References'!$B$8, _xlfn.IFNA(_xlfn.XLOOKUP(E$2-$C17,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F17" s="663" t="e">
        <f>IF($B17='Project List References'!$B$6, IF('Project PGEN'!F17&gt;0, 'Assumptions &amp; Inputs'!$L$117, 0), IF($B17='Project List References'!$B$7, _xlfn.IFNA(_xlfn.XLOOKUP(F$2-$C17, 'SENS Coal'!$D$7:$AW$7, 'SENS Coal'!$D$118:$AW$118), 0), IF($B17='Project List References'!$B$8, _xlfn.IFNA(_xlfn.XLOOKUP(F$2-$C17,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G17" s="663" t="e">
        <f>IF($B17='Project List References'!$B$6, IF('Project PGEN'!G17&gt;0, 'Assumptions &amp; Inputs'!$L$117, 0), IF($B17='Project List References'!$B$7, _xlfn.IFNA(_xlfn.XLOOKUP(G$2-$C17, 'SENS Coal'!$D$7:$AW$7, 'SENS Coal'!$D$118:$AW$118), 0), IF($B17='Project List References'!$B$8, _xlfn.IFNA(_xlfn.XLOOKUP(G$2-$C17,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H17" s="663" t="e">
        <f>IF($B17='Project List References'!$B$6, IF('Project PGEN'!H17&gt;0, 'Assumptions &amp; Inputs'!$L$117, 0), IF($B17='Project List References'!$B$7, _xlfn.IFNA(_xlfn.XLOOKUP(H$2-$C17, 'SENS Coal'!$D$7:$AW$7, 'SENS Coal'!$D$118:$AW$118), 0), IF($B17='Project List References'!$B$8, _xlfn.IFNA(_xlfn.XLOOKUP(H$2-$C17,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I17" s="663" t="e">
        <f>IF($B17='Project List References'!$B$6, IF('Project PGEN'!I17&gt;0, 'Assumptions &amp; Inputs'!$L$117, 0), IF($B17='Project List References'!$B$7, _xlfn.IFNA(_xlfn.XLOOKUP(I$2-$C17, 'SENS Coal'!$D$7:$AW$7, 'SENS Coal'!$D$118:$AW$118), 0), IF($B17='Project List References'!$B$8, _xlfn.IFNA(_xlfn.XLOOKUP(I$2-$C17,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J17" s="663" t="e">
        <f>IF($B17='Project List References'!$B$6, IF('Project PGEN'!J17&gt;0, 'Assumptions &amp; Inputs'!$L$117, 0), IF($B17='Project List References'!$B$7, _xlfn.IFNA(_xlfn.XLOOKUP(J$2-$C17, 'SENS Coal'!$D$7:$AW$7, 'SENS Coal'!$D$118:$AW$118), 0), IF($B17='Project List References'!$B$8, _xlfn.IFNA(_xlfn.XLOOKUP(J$2-$C17,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K17" s="663" t="e">
        <f>IF($B17='Project List References'!$B$6, IF('Project PGEN'!K17&gt;0, 'Assumptions &amp; Inputs'!$L$117, 0), IF($B17='Project List References'!$B$7, _xlfn.IFNA(_xlfn.XLOOKUP(K$2-$C17, 'SENS Coal'!$D$7:$AW$7, 'SENS Coal'!$D$118:$AW$118), 0), IF($B17='Project List References'!$B$8, _xlfn.IFNA(_xlfn.XLOOKUP(K$2-$C17,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L17" s="663" t="e">
        <f>IF($B17='Project List References'!$B$6, IF('Project PGEN'!L17&gt;0, 'Assumptions &amp; Inputs'!$L$117, 0), IF($B17='Project List References'!$B$7, _xlfn.IFNA(_xlfn.XLOOKUP(L$2-$C17, 'SENS Coal'!$D$7:$AW$7, 'SENS Coal'!$D$118:$AW$118), 0), IF($B17='Project List References'!$B$8, _xlfn.IFNA(_xlfn.XLOOKUP(L$2-$C17,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M17" s="663" t="e">
        <f>IF($B17='Project List References'!$B$6, IF('Project PGEN'!M17&gt;0, 'Assumptions &amp; Inputs'!$L$117, 0), IF($B17='Project List References'!$B$7, _xlfn.IFNA(_xlfn.XLOOKUP(M$2-$C17, 'SENS Coal'!$D$7:$AW$7, 'SENS Coal'!$D$118:$AW$118), 0), IF($B17='Project List References'!$B$8, _xlfn.IFNA(_xlfn.XLOOKUP(M$2-$C17,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N17" s="663" t="e">
        <f>IF($B17='Project List References'!$B$6, IF('Project PGEN'!N17&gt;0, 'Assumptions &amp; Inputs'!$L$117, 0), IF($B17='Project List References'!$B$7, _xlfn.IFNA(_xlfn.XLOOKUP(N$2-$C17, 'SENS Coal'!$D$7:$AW$7, 'SENS Coal'!$D$118:$AW$118), 0), IF($B17='Project List References'!$B$8, _xlfn.IFNA(_xlfn.XLOOKUP(N$2-$C17,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O17" s="663" t="e">
        <f>IF($B17='Project List References'!$B$6, IF('Project PGEN'!O17&gt;0, 'Assumptions &amp; Inputs'!$L$117, 0), IF($B17='Project List References'!$B$7, _xlfn.IFNA(_xlfn.XLOOKUP(O$2-$C17, 'SENS Coal'!$D$7:$AW$7, 'SENS Coal'!$D$118:$AW$118), 0), IF($B17='Project List References'!$B$8, _xlfn.IFNA(_xlfn.XLOOKUP(O$2-$C17,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P17" s="663" t="e">
        <f>IF($B17='Project List References'!$B$6, IF('Project PGEN'!P17&gt;0, 'Assumptions &amp; Inputs'!$L$117, 0), IF($B17='Project List References'!$B$7, _xlfn.IFNA(_xlfn.XLOOKUP(P$2-$C17, 'SENS Coal'!$D$7:$AW$7, 'SENS Coal'!$D$118:$AW$118), 0), IF($B17='Project List References'!$B$8, _xlfn.IFNA(_xlfn.XLOOKUP(P$2-$C17,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Q17" s="663" t="e">
        <f>IF($B17='Project List References'!$B$6, IF('Project PGEN'!Q17&gt;0, 'Assumptions &amp; Inputs'!$L$117, 0), IF($B17='Project List References'!$B$7, _xlfn.IFNA(_xlfn.XLOOKUP(Q$2-$C17, 'SENS Coal'!$D$7:$AW$7, 'SENS Coal'!$D$118:$AW$118), 0), IF($B17='Project List References'!$B$8, _xlfn.IFNA(_xlfn.XLOOKUP(Q$2-$C17,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R17" s="663" t="e">
        <f>IF($B17='Project List References'!$B$6, IF('Project PGEN'!R17&gt;0, 'Assumptions &amp; Inputs'!$L$117, 0), IF($B17='Project List References'!$B$7, _xlfn.IFNA(_xlfn.XLOOKUP(R$2-$C17, 'SENS Coal'!$D$7:$AW$7, 'SENS Coal'!$D$118:$AW$118), 0), IF($B17='Project List References'!$B$8, _xlfn.IFNA(_xlfn.XLOOKUP(R$2-$C17,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S17" s="663" t="e">
        <f>IF($B17='Project List References'!$B$6, IF('Project PGEN'!S17&gt;0, 'Assumptions &amp; Inputs'!$L$117, 0), IF($B17='Project List References'!$B$7, _xlfn.IFNA(_xlfn.XLOOKUP(S$2-$C17, 'SENS Coal'!$D$7:$AW$7, 'SENS Coal'!$D$118:$AW$118), 0), IF($B17='Project List References'!$B$8, _xlfn.IFNA(_xlfn.XLOOKUP(S$2-$C17,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T17" s="663" t="e">
        <f>IF($B17='Project List References'!$B$6, IF('Project PGEN'!T17&gt;0, 'Assumptions &amp; Inputs'!$L$117, 0), IF($B17='Project List References'!$B$7, _xlfn.IFNA(_xlfn.XLOOKUP(T$2-$C17, 'SENS Coal'!$D$7:$AW$7, 'SENS Coal'!$D$118:$AW$118), 0), IF($B17='Project List References'!$B$8, _xlfn.IFNA(_xlfn.XLOOKUP(T$2-$C17, 'SENS Tires'!$D$7:$AW$7, 'SENS Tires'!$D$118:$AW$118),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</row>
    <row r="18" spans="1:20">
      <c r="A18" s="655" t="str">
        <f>IF(ISBLANK('Project Master Sheet'!A18)=FALSE, 'Project Master Sheet'!A18, "")</f>
        <v/>
      </c>
      <c r="B18" s="655" t="str">
        <f>_xlfn.IFNA(_xlfn.XLOOKUP(A18, 'Project Master Sheet'!A:A, 'Project Master Sheet'!D:D), "")</f>
        <v/>
      </c>
      <c r="C18" s="655" t="e">
        <f>_xlfn.XLOOKUP('Project OPEX'!A18, 'Project Master Sheet'!A:A, 'Project Master Sheet'!I:I)</f>
        <v>#N/A</v>
      </c>
      <c r="E18" s="663" t="e">
        <f>IF($B18='Project List References'!$B$6, IF('Project PGEN'!E18&gt;0, 'Assumptions &amp; Inputs'!$L$117, 0), IF($B18='Project List References'!$B$7, _xlfn.IFNA(_xlfn.XLOOKUP(E$2-$C18, 'SENS Coal'!$D$7:$AW$7, 'SENS Coal'!$D$118:$AW$118), 0), IF($B18='Project List References'!$B$8, _xlfn.IFNA(_xlfn.XLOOKUP(E$2-$C18,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F18" s="663" t="e">
        <f>IF($B18='Project List References'!$B$6, IF('Project PGEN'!F18&gt;0, 'Assumptions &amp; Inputs'!$L$117, 0), IF($B18='Project List References'!$B$7, _xlfn.IFNA(_xlfn.XLOOKUP(F$2-$C18, 'SENS Coal'!$D$7:$AW$7, 'SENS Coal'!$D$118:$AW$118), 0), IF($B18='Project List References'!$B$8, _xlfn.IFNA(_xlfn.XLOOKUP(F$2-$C18,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G18" s="663" t="e">
        <f>IF($B18='Project List References'!$B$6, IF('Project PGEN'!G18&gt;0, 'Assumptions &amp; Inputs'!$L$117, 0), IF($B18='Project List References'!$B$7, _xlfn.IFNA(_xlfn.XLOOKUP(G$2-$C18, 'SENS Coal'!$D$7:$AW$7, 'SENS Coal'!$D$118:$AW$118), 0), IF($B18='Project List References'!$B$8, _xlfn.IFNA(_xlfn.XLOOKUP(G$2-$C18,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H18" s="663" t="e">
        <f>IF($B18='Project List References'!$B$6, IF('Project PGEN'!H18&gt;0, 'Assumptions &amp; Inputs'!$L$117, 0), IF($B18='Project List References'!$B$7, _xlfn.IFNA(_xlfn.XLOOKUP(H$2-$C18, 'SENS Coal'!$D$7:$AW$7, 'SENS Coal'!$D$118:$AW$118), 0), IF($B18='Project List References'!$B$8, _xlfn.IFNA(_xlfn.XLOOKUP(H$2-$C18,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I18" s="663" t="e">
        <f>IF($B18='Project List References'!$B$6, IF('Project PGEN'!I18&gt;0, 'Assumptions &amp; Inputs'!$L$117, 0), IF($B18='Project List References'!$B$7, _xlfn.IFNA(_xlfn.XLOOKUP(I$2-$C18, 'SENS Coal'!$D$7:$AW$7, 'SENS Coal'!$D$118:$AW$118), 0), IF($B18='Project List References'!$B$8, _xlfn.IFNA(_xlfn.XLOOKUP(I$2-$C18,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J18" s="663" t="e">
        <f>IF($B18='Project List References'!$B$6, IF('Project PGEN'!J18&gt;0, 'Assumptions &amp; Inputs'!$L$117, 0), IF($B18='Project List References'!$B$7, _xlfn.IFNA(_xlfn.XLOOKUP(J$2-$C18, 'SENS Coal'!$D$7:$AW$7, 'SENS Coal'!$D$118:$AW$118), 0), IF($B18='Project List References'!$B$8, _xlfn.IFNA(_xlfn.XLOOKUP(J$2-$C18,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K18" s="663" t="e">
        <f>IF($B18='Project List References'!$B$6, IF('Project PGEN'!K18&gt;0, 'Assumptions &amp; Inputs'!$L$117, 0), IF($B18='Project List References'!$B$7, _xlfn.IFNA(_xlfn.XLOOKUP(K$2-$C18, 'SENS Coal'!$D$7:$AW$7, 'SENS Coal'!$D$118:$AW$118), 0), IF($B18='Project List References'!$B$8, _xlfn.IFNA(_xlfn.XLOOKUP(K$2-$C18,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L18" s="663" t="e">
        <f>IF($B18='Project List References'!$B$6, IF('Project PGEN'!L18&gt;0, 'Assumptions &amp; Inputs'!$L$117, 0), IF($B18='Project List References'!$B$7, _xlfn.IFNA(_xlfn.XLOOKUP(L$2-$C18, 'SENS Coal'!$D$7:$AW$7, 'SENS Coal'!$D$118:$AW$118), 0), IF($B18='Project List References'!$B$8, _xlfn.IFNA(_xlfn.XLOOKUP(L$2-$C18,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M18" s="663" t="e">
        <f>IF($B18='Project List References'!$B$6, IF('Project PGEN'!M18&gt;0, 'Assumptions &amp; Inputs'!$L$117, 0), IF($B18='Project List References'!$B$7, _xlfn.IFNA(_xlfn.XLOOKUP(M$2-$C18, 'SENS Coal'!$D$7:$AW$7, 'SENS Coal'!$D$118:$AW$118), 0), IF($B18='Project List References'!$B$8, _xlfn.IFNA(_xlfn.XLOOKUP(M$2-$C18,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N18" s="663" t="e">
        <f>IF($B18='Project List References'!$B$6, IF('Project PGEN'!N18&gt;0, 'Assumptions &amp; Inputs'!$L$117, 0), IF($B18='Project List References'!$B$7, _xlfn.IFNA(_xlfn.XLOOKUP(N$2-$C18, 'SENS Coal'!$D$7:$AW$7, 'SENS Coal'!$D$118:$AW$118), 0), IF($B18='Project List References'!$B$8, _xlfn.IFNA(_xlfn.XLOOKUP(N$2-$C18,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O18" s="663" t="e">
        <f>IF($B18='Project List References'!$B$6, IF('Project PGEN'!O18&gt;0, 'Assumptions &amp; Inputs'!$L$117, 0), IF($B18='Project List References'!$B$7, _xlfn.IFNA(_xlfn.XLOOKUP(O$2-$C18, 'SENS Coal'!$D$7:$AW$7, 'SENS Coal'!$D$118:$AW$118), 0), IF($B18='Project List References'!$B$8, _xlfn.IFNA(_xlfn.XLOOKUP(O$2-$C18,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P18" s="663" t="e">
        <f>IF($B18='Project List References'!$B$6, IF('Project PGEN'!P18&gt;0, 'Assumptions &amp; Inputs'!$L$117, 0), IF($B18='Project List References'!$B$7, _xlfn.IFNA(_xlfn.XLOOKUP(P$2-$C18, 'SENS Coal'!$D$7:$AW$7, 'SENS Coal'!$D$118:$AW$118), 0), IF($B18='Project List References'!$B$8, _xlfn.IFNA(_xlfn.XLOOKUP(P$2-$C18,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Q18" s="663" t="e">
        <f>IF($B18='Project List References'!$B$6, IF('Project PGEN'!Q18&gt;0, 'Assumptions &amp; Inputs'!$L$117, 0), IF($B18='Project List References'!$B$7, _xlfn.IFNA(_xlfn.XLOOKUP(Q$2-$C18, 'SENS Coal'!$D$7:$AW$7, 'SENS Coal'!$D$118:$AW$118), 0), IF($B18='Project List References'!$B$8, _xlfn.IFNA(_xlfn.XLOOKUP(Q$2-$C18,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R18" s="663" t="e">
        <f>IF($B18='Project List References'!$B$6, IF('Project PGEN'!R18&gt;0, 'Assumptions &amp; Inputs'!$L$117, 0), IF($B18='Project List References'!$B$7, _xlfn.IFNA(_xlfn.XLOOKUP(R$2-$C18, 'SENS Coal'!$D$7:$AW$7, 'SENS Coal'!$D$118:$AW$118), 0), IF($B18='Project List References'!$B$8, _xlfn.IFNA(_xlfn.XLOOKUP(R$2-$C18,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S18" s="663" t="e">
        <f>IF($B18='Project List References'!$B$6, IF('Project PGEN'!S18&gt;0, 'Assumptions &amp; Inputs'!$L$117, 0), IF($B18='Project List References'!$B$7, _xlfn.IFNA(_xlfn.XLOOKUP(S$2-$C18, 'SENS Coal'!$D$7:$AW$7, 'SENS Coal'!$D$118:$AW$118), 0), IF($B18='Project List References'!$B$8, _xlfn.IFNA(_xlfn.XLOOKUP(S$2-$C18,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T18" s="663" t="e">
        <f>IF($B18='Project List References'!$B$6, IF('Project PGEN'!T18&gt;0, 'Assumptions &amp; Inputs'!$L$117, 0), IF($B18='Project List References'!$B$7, _xlfn.IFNA(_xlfn.XLOOKUP(T$2-$C18, 'SENS Coal'!$D$7:$AW$7, 'SENS Coal'!$D$118:$AW$118), 0), IF($B18='Project List References'!$B$8, _xlfn.IFNA(_xlfn.XLOOKUP(T$2-$C18, 'SENS Tires'!$D$7:$AW$7, 'SENS Tires'!$D$118:$AW$118),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</row>
    <row r="19" spans="1:20">
      <c r="A19" s="655" t="str">
        <f>IF(ISBLANK('Project Master Sheet'!A19)=FALSE, 'Project Master Sheet'!A19, "")</f>
        <v/>
      </c>
      <c r="B19" s="655" t="str">
        <f>_xlfn.IFNA(_xlfn.XLOOKUP(A19, 'Project Master Sheet'!A:A, 'Project Master Sheet'!D:D), "")</f>
        <v/>
      </c>
      <c r="C19" s="655" t="e">
        <f>_xlfn.XLOOKUP('Project OPEX'!A19, 'Project Master Sheet'!A:A, 'Project Master Sheet'!I:I)</f>
        <v>#N/A</v>
      </c>
      <c r="E19" s="663" t="e">
        <f>IF($B19='Project List References'!$B$6, IF('Project PGEN'!E19&gt;0, 'Assumptions &amp; Inputs'!$L$117, 0), IF($B19='Project List References'!$B$7, _xlfn.IFNA(_xlfn.XLOOKUP(E$2-$C19, 'SENS Coal'!$D$7:$AW$7, 'SENS Coal'!$D$118:$AW$118), 0), IF($B19='Project List References'!$B$8, _xlfn.IFNA(_xlfn.XLOOKUP(E$2-$C19,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F19" s="663" t="e">
        <f>IF($B19='Project List References'!$B$6, IF('Project PGEN'!F19&gt;0, 'Assumptions &amp; Inputs'!$L$117, 0), IF($B19='Project List References'!$B$7, _xlfn.IFNA(_xlfn.XLOOKUP(F$2-$C19, 'SENS Coal'!$D$7:$AW$7, 'SENS Coal'!$D$118:$AW$118), 0), IF($B19='Project List References'!$B$8, _xlfn.IFNA(_xlfn.XLOOKUP(F$2-$C19,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G19" s="663" t="e">
        <f>IF($B19='Project List References'!$B$6, IF('Project PGEN'!G19&gt;0, 'Assumptions &amp; Inputs'!$L$117, 0), IF($B19='Project List References'!$B$7, _xlfn.IFNA(_xlfn.XLOOKUP(G$2-$C19, 'SENS Coal'!$D$7:$AW$7, 'SENS Coal'!$D$118:$AW$118), 0), IF($B19='Project List References'!$B$8, _xlfn.IFNA(_xlfn.XLOOKUP(G$2-$C19,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H19" s="663" t="e">
        <f>IF($B19='Project List References'!$B$6, IF('Project PGEN'!H19&gt;0, 'Assumptions &amp; Inputs'!$L$117, 0), IF($B19='Project List References'!$B$7, _xlfn.IFNA(_xlfn.XLOOKUP(H$2-$C19, 'SENS Coal'!$D$7:$AW$7, 'SENS Coal'!$D$118:$AW$118), 0), IF($B19='Project List References'!$B$8, _xlfn.IFNA(_xlfn.XLOOKUP(H$2-$C19,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I19" s="663" t="e">
        <f>IF($B19='Project List References'!$B$6, IF('Project PGEN'!I19&gt;0, 'Assumptions &amp; Inputs'!$L$117, 0), IF($B19='Project List References'!$B$7, _xlfn.IFNA(_xlfn.XLOOKUP(I$2-$C19, 'SENS Coal'!$D$7:$AW$7, 'SENS Coal'!$D$118:$AW$118), 0), IF($B19='Project List References'!$B$8, _xlfn.IFNA(_xlfn.XLOOKUP(I$2-$C19,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J19" s="663" t="e">
        <f>IF($B19='Project List References'!$B$6, IF('Project PGEN'!J19&gt;0, 'Assumptions &amp; Inputs'!$L$117, 0), IF($B19='Project List References'!$B$7, _xlfn.IFNA(_xlfn.XLOOKUP(J$2-$C19, 'SENS Coal'!$D$7:$AW$7, 'SENS Coal'!$D$118:$AW$118), 0), IF($B19='Project List References'!$B$8, _xlfn.IFNA(_xlfn.XLOOKUP(J$2-$C19,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K19" s="663" t="e">
        <f>IF($B19='Project List References'!$B$6, IF('Project PGEN'!K19&gt;0, 'Assumptions &amp; Inputs'!$L$117, 0), IF($B19='Project List References'!$B$7, _xlfn.IFNA(_xlfn.XLOOKUP(K$2-$C19, 'SENS Coal'!$D$7:$AW$7, 'SENS Coal'!$D$118:$AW$118), 0), IF($B19='Project List References'!$B$8, _xlfn.IFNA(_xlfn.XLOOKUP(K$2-$C19,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L19" s="663" t="e">
        <f>IF($B19='Project List References'!$B$6, IF('Project PGEN'!L19&gt;0, 'Assumptions &amp; Inputs'!$L$117, 0), IF($B19='Project List References'!$B$7, _xlfn.IFNA(_xlfn.XLOOKUP(L$2-$C19, 'SENS Coal'!$D$7:$AW$7, 'SENS Coal'!$D$118:$AW$118), 0), IF($B19='Project List References'!$B$8, _xlfn.IFNA(_xlfn.XLOOKUP(L$2-$C19,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M19" s="663" t="e">
        <f>IF($B19='Project List References'!$B$6, IF('Project PGEN'!M19&gt;0, 'Assumptions &amp; Inputs'!$L$117, 0), IF($B19='Project List References'!$B$7, _xlfn.IFNA(_xlfn.XLOOKUP(M$2-$C19, 'SENS Coal'!$D$7:$AW$7, 'SENS Coal'!$D$118:$AW$118), 0), IF($B19='Project List References'!$B$8, _xlfn.IFNA(_xlfn.XLOOKUP(M$2-$C19,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N19" s="663" t="e">
        <f>IF($B19='Project List References'!$B$6, IF('Project PGEN'!N19&gt;0, 'Assumptions &amp; Inputs'!$L$117, 0), IF($B19='Project List References'!$B$7, _xlfn.IFNA(_xlfn.XLOOKUP(N$2-$C19, 'SENS Coal'!$D$7:$AW$7, 'SENS Coal'!$D$118:$AW$118), 0), IF($B19='Project List References'!$B$8, _xlfn.IFNA(_xlfn.XLOOKUP(N$2-$C19,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O19" s="663" t="e">
        <f>IF($B19='Project List References'!$B$6, IF('Project PGEN'!O19&gt;0, 'Assumptions &amp; Inputs'!$L$117, 0), IF($B19='Project List References'!$B$7, _xlfn.IFNA(_xlfn.XLOOKUP(O$2-$C19, 'SENS Coal'!$D$7:$AW$7, 'SENS Coal'!$D$118:$AW$118), 0), IF($B19='Project List References'!$B$8, _xlfn.IFNA(_xlfn.XLOOKUP(O$2-$C19,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P19" s="663" t="e">
        <f>IF($B19='Project List References'!$B$6, IF('Project PGEN'!P19&gt;0, 'Assumptions &amp; Inputs'!$L$117, 0), IF($B19='Project List References'!$B$7, _xlfn.IFNA(_xlfn.XLOOKUP(P$2-$C19, 'SENS Coal'!$D$7:$AW$7, 'SENS Coal'!$D$118:$AW$118), 0), IF($B19='Project List References'!$B$8, _xlfn.IFNA(_xlfn.XLOOKUP(P$2-$C19,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Q19" s="663" t="e">
        <f>IF($B19='Project List References'!$B$6, IF('Project PGEN'!Q19&gt;0, 'Assumptions &amp; Inputs'!$L$117, 0), IF($B19='Project List References'!$B$7, _xlfn.IFNA(_xlfn.XLOOKUP(Q$2-$C19, 'SENS Coal'!$D$7:$AW$7, 'SENS Coal'!$D$118:$AW$118), 0), IF($B19='Project List References'!$B$8, _xlfn.IFNA(_xlfn.XLOOKUP(Q$2-$C19,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R19" s="663" t="e">
        <f>IF($B19='Project List References'!$B$6, IF('Project PGEN'!R19&gt;0, 'Assumptions &amp; Inputs'!$L$117, 0), IF($B19='Project List References'!$B$7, _xlfn.IFNA(_xlfn.XLOOKUP(R$2-$C19, 'SENS Coal'!$D$7:$AW$7, 'SENS Coal'!$D$118:$AW$118), 0), IF($B19='Project List References'!$B$8, _xlfn.IFNA(_xlfn.XLOOKUP(R$2-$C19,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S19" s="663" t="e">
        <f>IF($B19='Project List References'!$B$6, IF('Project PGEN'!S19&gt;0, 'Assumptions &amp; Inputs'!$L$117, 0), IF($B19='Project List References'!$B$7, _xlfn.IFNA(_xlfn.XLOOKUP(S$2-$C19, 'SENS Coal'!$D$7:$AW$7, 'SENS Coal'!$D$118:$AW$118), 0), IF($B19='Project List References'!$B$8, _xlfn.IFNA(_xlfn.XLOOKUP(S$2-$C19,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T19" s="663" t="e">
        <f>IF($B19='Project List References'!$B$6, IF('Project PGEN'!T19&gt;0, 'Assumptions &amp; Inputs'!$L$117, 0), IF($B19='Project List References'!$B$7, _xlfn.IFNA(_xlfn.XLOOKUP(T$2-$C19, 'SENS Coal'!$D$7:$AW$7, 'SENS Coal'!$D$118:$AW$118), 0), IF($B19='Project List References'!$B$8, _xlfn.IFNA(_xlfn.XLOOKUP(T$2-$C19, 'SENS Tires'!$D$7:$AW$7, 'SENS Tires'!$D$118:$AW$118),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</row>
    <row r="20" spans="1:20">
      <c r="A20" s="655" t="str">
        <f>IF(ISBLANK('Project Master Sheet'!A20)=FALSE, 'Project Master Sheet'!A20, "")</f>
        <v/>
      </c>
      <c r="B20" s="655" t="str">
        <f>_xlfn.IFNA(_xlfn.XLOOKUP(A20, 'Project Master Sheet'!A:A, 'Project Master Sheet'!D:D), "")</f>
        <v/>
      </c>
      <c r="C20" s="655" t="e">
        <f>_xlfn.XLOOKUP('Project OPEX'!A20, 'Project Master Sheet'!A:A, 'Project Master Sheet'!I:I)</f>
        <v>#N/A</v>
      </c>
      <c r="E20" s="663" t="e">
        <f>IF($B20='Project List References'!$B$6, IF('Project PGEN'!E20&gt;0, 'Assumptions &amp; Inputs'!$L$117, 0), IF($B20='Project List References'!$B$7, _xlfn.IFNA(_xlfn.XLOOKUP(E$2-$C20, 'SENS Coal'!$D$7:$AW$7, 'SENS Coal'!$D$118:$AW$118), 0), IF($B20='Project List References'!$B$8, _xlfn.IFNA(_xlfn.XLOOKUP(E$2-$C20,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F20" s="663" t="e">
        <f>IF($B20='Project List References'!$B$6, IF('Project PGEN'!F20&gt;0, 'Assumptions &amp; Inputs'!$L$117, 0), IF($B20='Project List References'!$B$7, _xlfn.IFNA(_xlfn.XLOOKUP(F$2-$C20, 'SENS Coal'!$D$7:$AW$7, 'SENS Coal'!$D$118:$AW$118), 0), IF($B20='Project List References'!$B$8, _xlfn.IFNA(_xlfn.XLOOKUP(F$2-$C20,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G20" s="663" t="e">
        <f>IF($B20='Project List References'!$B$6, IF('Project PGEN'!G20&gt;0, 'Assumptions &amp; Inputs'!$L$117, 0), IF($B20='Project List References'!$B$7, _xlfn.IFNA(_xlfn.XLOOKUP(G$2-$C20, 'SENS Coal'!$D$7:$AW$7, 'SENS Coal'!$D$118:$AW$118), 0), IF($B20='Project List References'!$B$8, _xlfn.IFNA(_xlfn.XLOOKUP(G$2-$C20,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H20" s="663" t="e">
        <f>IF($B20='Project List References'!$B$6, IF('Project PGEN'!H20&gt;0, 'Assumptions &amp; Inputs'!$L$117, 0), IF($B20='Project List References'!$B$7, _xlfn.IFNA(_xlfn.XLOOKUP(H$2-$C20, 'SENS Coal'!$D$7:$AW$7, 'SENS Coal'!$D$118:$AW$118), 0), IF($B20='Project List References'!$B$8, _xlfn.IFNA(_xlfn.XLOOKUP(H$2-$C20,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I20" s="663" t="e">
        <f>IF($B20='Project List References'!$B$6, IF('Project PGEN'!I20&gt;0, 'Assumptions &amp; Inputs'!$L$117, 0), IF($B20='Project List References'!$B$7, _xlfn.IFNA(_xlfn.XLOOKUP(I$2-$C20, 'SENS Coal'!$D$7:$AW$7, 'SENS Coal'!$D$118:$AW$118), 0), IF($B20='Project List References'!$B$8, _xlfn.IFNA(_xlfn.XLOOKUP(I$2-$C20,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J20" s="663" t="e">
        <f>IF($B20='Project List References'!$B$6, IF('Project PGEN'!J20&gt;0, 'Assumptions &amp; Inputs'!$L$117, 0), IF($B20='Project List References'!$B$7, _xlfn.IFNA(_xlfn.XLOOKUP(J$2-$C20, 'SENS Coal'!$D$7:$AW$7, 'SENS Coal'!$D$118:$AW$118), 0), IF($B20='Project List References'!$B$8, _xlfn.IFNA(_xlfn.XLOOKUP(J$2-$C20,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K20" s="663" t="e">
        <f>IF($B20='Project List References'!$B$6, IF('Project PGEN'!K20&gt;0, 'Assumptions &amp; Inputs'!$L$117, 0), IF($B20='Project List References'!$B$7, _xlfn.IFNA(_xlfn.XLOOKUP(K$2-$C20, 'SENS Coal'!$D$7:$AW$7, 'SENS Coal'!$D$118:$AW$118), 0), IF($B20='Project List References'!$B$8, _xlfn.IFNA(_xlfn.XLOOKUP(K$2-$C20,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L20" s="663" t="e">
        <f>IF($B20='Project List References'!$B$6, IF('Project PGEN'!L20&gt;0, 'Assumptions &amp; Inputs'!$L$117, 0), IF($B20='Project List References'!$B$7, _xlfn.IFNA(_xlfn.XLOOKUP(L$2-$C20, 'SENS Coal'!$D$7:$AW$7, 'SENS Coal'!$D$118:$AW$118), 0), IF($B20='Project List References'!$B$8, _xlfn.IFNA(_xlfn.XLOOKUP(L$2-$C20,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M20" s="663" t="e">
        <f>IF($B20='Project List References'!$B$6, IF('Project PGEN'!M20&gt;0, 'Assumptions &amp; Inputs'!$L$117, 0), IF($B20='Project List References'!$B$7, _xlfn.IFNA(_xlfn.XLOOKUP(M$2-$C20, 'SENS Coal'!$D$7:$AW$7, 'SENS Coal'!$D$118:$AW$118), 0), IF($B20='Project List References'!$B$8, _xlfn.IFNA(_xlfn.XLOOKUP(M$2-$C20,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N20" s="663" t="e">
        <f>IF($B20='Project List References'!$B$6, IF('Project PGEN'!N20&gt;0, 'Assumptions &amp; Inputs'!$L$117, 0), IF($B20='Project List References'!$B$7, _xlfn.IFNA(_xlfn.XLOOKUP(N$2-$C20, 'SENS Coal'!$D$7:$AW$7, 'SENS Coal'!$D$118:$AW$118), 0), IF($B20='Project List References'!$B$8, _xlfn.IFNA(_xlfn.XLOOKUP(N$2-$C20,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O20" s="663" t="e">
        <f>IF($B20='Project List References'!$B$6, IF('Project PGEN'!O20&gt;0, 'Assumptions &amp; Inputs'!$L$117, 0), IF($B20='Project List References'!$B$7, _xlfn.IFNA(_xlfn.XLOOKUP(O$2-$C20, 'SENS Coal'!$D$7:$AW$7, 'SENS Coal'!$D$118:$AW$118), 0), IF($B20='Project List References'!$B$8, _xlfn.IFNA(_xlfn.XLOOKUP(O$2-$C20,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P20" s="663" t="e">
        <f>IF($B20='Project List References'!$B$6, IF('Project PGEN'!P20&gt;0, 'Assumptions &amp; Inputs'!$L$117, 0), IF($B20='Project List References'!$B$7, _xlfn.IFNA(_xlfn.XLOOKUP(P$2-$C20, 'SENS Coal'!$D$7:$AW$7, 'SENS Coal'!$D$118:$AW$118), 0), IF($B20='Project List References'!$B$8, _xlfn.IFNA(_xlfn.XLOOKUP(P$2-$C20,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Q20" s="663" t="e">
        <f>IF($B20='Project List References'!$B$6, IF('Project PGEN'!Q20&gt;0, 'Assumptions &amp; Inputs'!$L$117, 0), IF($B20='Project List References'!$B$7, _xlfn.IFNA(_xlfn.XLOOKUP(Q$2-$C20, 'SENS Coal'!$D$7:$AW$7, 'SENS Coal'!$D$118:$AW$118), 0), IF($B20='Project List References'!$B$8, _xlfn.IFNA(_xlfn.XLOOKUP(Q$2-$C20,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R20" s="663" t="e">
        <f>IF($B20='Project List References'!$B$6, IF('Project PGEN'!R20&gt;0, 'Assumptions &amp; Inputs'!$L$117, 0), IF($B20='Project List References'!$B$7, _xlfn.IFNA(_xlfn.XLOOKUP(R$2-$C20, 'SENS Coal'!$D$7:$AW$7, 'SENS Coal'!$D$118:$AW$118), 0), IF($B20='Project List References'!$B$8, _xlfn.IFNA(_xlfn.XLOOKUP(R$2-$C20,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S20" s="663" t="e">
        <f>IF($B20='Project List References'!$B$6, IF('Project PGEN'!S20&gt;0, 'Assumptions &amp; Inputs'!$L$117, 0), IF($B20='Project List References'!$B$7, _xlfn.IFNA(_xlfn.XLOOKUP(S$2-$C20, 'SENS Coal'!$D$7:$AW$7, 'SENS Coal'!$D$118:$AW$118), 0), IF($B20='Project List References'!$B$8, _xlfn.IFNA(_xlfn.XLOOKUP(S$2-$C20,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T20" s="663" t="e">
        <f>IF($B20='Project List References'!$B$6, IF('Project PGEN'!T20&gt;0, 'Assumptions &amp; Inputs'!$L$117, 0), IF($B20='Project List References'!$B$7, _xlfn.IFNA(_xlfn.XLOOKUP(T$2-$C20, 'SENS Coal'!$D$7:$AW$7, 'SENS Coal'!$D$118:$AW$118), 0), IF($B20='Project List References'!$B$8, _xlfn.IFNA(_xlfn.XLOOKUP(T$2-$C20, 'SENS Tires'!$D$7:$AW$7, 'SENS Tires'!$D$118:$AW$118),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</row>
    <row r="21" spans="1:20">
      <c r="A21" s="655" t="str">
        <f>IF(ISBLANK('Project Master Sheet'!A21)=FALSE, 'Project Master Sheet'!A21, "")</f>
        <v/>
      </c>
      <c r="B21" s="655" t="str">
        <f>_xlfn.IFNA(_xlfn.XLOOKUP(A21, 'Project Master Sheet'!A:A, 'Project Master Sheet'!D:D), "")</f>
        <v/>
      </c>
      <c r="C21" s="655" t="e">
        <f>_xlfn.XLOOKUP('Project OPEX'!A21, 'Project Master Sheet'!A:A, 'Project Master Sheet'!I:I)</f>
        <v>#N/A</v>
      </c>
      <c r="E21" s="663" t="e">
        <f>IF($B21='Project List References'!$B$6, IF('Project PGEN'!E21&gt;0, 'Assumptions &amp; Inputs'!$L$117, 0), IF($B21='Project List References'!$B$7, _xlfn.IFNA(_xlfn.XLOOKUP(E$2-$C21, 'SENS Coal'!$D$7:$AW$7, 'SENS Coal'!$D$118:$AW$118), 0), IF($B21='Project List References'!$B$8, _xlfn.IFNA(_xlfn.XLOOKUP(E$2-$C21,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F21" s="663" t="e">
        <f>IF($B21='Project List References'!$B$6, IF('Project PGEN'!F21&gt;0, 'Assumptions &amp; Inputs'!$L$117, 0), IF($B21='Project List References'!$B$7, _xlfn.IFNA(_xlfn.XLOOKUP(F$2-$C21, 'SENS Coal'!$D$7:$AW$7, 'SENS Coal'!$D$118:$AW$118), 0), IF($B21='Project List References'!$B$8, _xlfn.IFNA(_xlfn.XLOOKUP(F$2-$C21,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G21" s="663" t="e">
        <f>IF($B21='Project List References'!$B$6, IF('Project PGEN'!G21&gt;0, 'Assumptions &amp; Inputs'!$L$117, 0), IF($B21='Project List References'!$B$7, _xlfn.IFNA(_xlfn.XLOOKUP(G$2-$C21, 'SENS Coal'!$D$7:$AW$7, 'SENS Coal'!$D$118:$AW$118), 0), IF($B21='Project List References'!$B$8, _xlfn.IFNA(_xlfn.XLOOKUP(G$2-$C21,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H21" s="663" t="e">
        <f>IF($B21='Project List References'!$B$6, IF('Project PGEN'!H21&gt;0, 'Assumptions &amp; Inputs'!$L$117, 0), IF($B21='Project List References'!$B$7, _xlfn.IFNA(_xlfn.XLOOKUP(H$2-$C21, 'SENS Coal'!$D$7:$AW$7, 'SENS Coal'!$D$118:$AW$118), 0), IF($B21='Project List References'!$B$8, _xlfn.IFNA(_xlfn.XLOOKUP(H$2-$C21,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I21" s="663" t="e">
        <f>IF($B21='Project List References'!$B$6, IF('Project PGEN'!I21&gt;0, 'Assumptions &amp; Inputs'!$L$117, 0), IF($B21='Project List References'!$B$7, _xlfn.IFNA(_xlfn.XLOOKUP(I$2-$C21, 'SENS Coal'!$D$7:$AW$7, 'SENS Coal'!$D$118:$AW$118), 0), IF($B21='Project List References'!$B$8, _xlfn.IFNA(_xlfn.XLOOKUP(I$2-$C21,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J21" s="663" t="e">
        <f>IF($B21='Project List References'!$B$6, IF('Project PGEN'!J21&gt;0, 'Assumptions &amp; Inputs'!$L$117, 0), IF($B21='Project List References'!$B$7, _xlfn.IFNA(_xlfn.XLOOKUP(J$2-$C21, 'SENS Coal'!$D$7:$AW$7, 'SENS Coal'!$D$118:$AW$118), 0), IF($B21='Project List References'!$B$8, _xlfn.IFNA(_xlfn.XLOOKUP(J$2-$C21,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K21" s="663" t="e">
        <f>IF($B21='Project List References'!$B$6, IF('Project PGEN'!K21&gt;0, 'Assumptions &amp; Inputs'!$L$117, 0), IF($B21='Project List References'!$B$7, _xlfn.IFNA(_xlfn.XLOOKUP(K$2-$C21, 'SENS Coal'!$D$7:$AW$7, 'SENS Coal'!$D$118:$AW$118), 0), IF($B21='Project List References'!$B$8, _xlfn.IFNA(_xlfn.XLOOKUP(K$2-$C21,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L21" s="663" t="e">
        <f>IF($B21='Project List References'!$B$6, IF('Project PGEN'!L21&gt;0, 'Assumptions &amp; Inputs'!$L$117, 0), IF($B21='Project List References'!$B$7, _xlfn.IFNA(_xlfn.XLOOKUP(L$2-$C21, 'SENS Coal'!$D$7:$AW$7, 'SENS Coal'!$D$118:$AW$118), 0), IF($B21='Project List References'!$B$8, _xlfn.IFNA(_xlfn.XLOOKUP(L$2-$C21,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M21" s="663" t="e">
        <f>IF($B21='Project List References'!$B$6, IF('Project PGEN'!M21&gt;0, 'Assumptions &amp; Inputs'!$L$117, 0), IF($B21='Project List References'!$B$7, _xlfn.IFNA(_xlfn.XLOOKUP(M$2-$C21, 'SENS Coal'!$D$7:$AW$7, 'SENS Coal'!$D$118:$AW$118), 0), IF($B21='Project List References'!$B$8, _xlfn.IFNA(_xlfn.XLOOKUP(M$2-$C21,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N21" s="663" t="e">
        <f>IF($B21='Project List References'!$B$6, IF('Project PGEN'!N21&gt;0, 'Assumptions &amp; Inputs'!$L$117, 0), IF($B21='Project List References'!$B$7, _xlfn.IFNA(_xlfn.XLOOKUP(N$2-$C21, 'SENS Coal'!$D$7:$AW$7, 'SENS Coal'!$D$118:$AW$118), 0), IF($B21='Project List References'!$B$8, _xlfn.IFNA(_xlfn.XLOOKUP(N$2-$C21,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O21" s="663" t="e">
        <f>IF($B21='Project List References'!$B$6, IF('Project PGEN'!O21&gt;0, 'Assumptions &amp; Inputs'!$L$117, 0), IF($B21='Project List References'!$B$7, _xlfn.IFNA(_xlfn.XLOOKUP(O$2-$C21, 'SENS Coal'!$D$7:$AW$7, 'SENS Coal'!$D$118:$AW$118), 0), IF($B21='Project List References'!$B$8, _xlfn.IFNA(_xlfn.XLOOKUP(O$2-$C21,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P21" s="663" t="e">
        <f>IF($B21='Project List References'!$B$6, IF('Project PGEN'!P21&gt;0, 'Assumptions &amp; Inputs'!$L$117, 0), IF($B21='Project List References'!$B$7, _xlfn.IFNA(_xlfn.XLOOKUP(P$2-$C21, 'SENS Coal'!$D$7:$AW$7, 'SENS Coal'!$D$118:$AW$118), 0), IF($B21='Project List References'!$B$8, _xlfn.IFNA(_xlfn.XLOOKUP(P$2-$C21,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Q21" s="663" t="e">
        <f>IF($B21='Project List References'!$B$6, IF('Project PGEN'!Q21&gt;0, 'Assumptions &amp; Inputs'!$L$117, 0), IF($B21='Project List References'!$B$7, _xlfn.IFNA(_xlfn.XLOOKUP(Q$2-$C21, 'SENS Coal'!$D$7:$AW$7, 'SENS Coal'!$D$118:$AW$118), 0), IF($B21='Project List References'!$B$8, _xlfn.IFNA(_xlfn.XLOOKUP(Q$2-$C21,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R21" s="663" t="e">
        <f>IF($B21='Project List References'!$B$6, IF('Project PGEN'!R21&gt;0, 'Assumptions &amp; Inputs'!$L$117, 0), IF($B21='Project List References'!$B$7, _xlfn.IFNA(_xlfn.XLOOKUP(R$2-$C21, 'SENS Coal'!$D$7:$AW$7, 'SENS Coal'!$D$118:$AW$118), 0), IF($B21='Project List References'!$B$8, _xlfn.IFNA(_xlfn.XLOOKUP(R$2-$C21,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S21" s="663" t="e">
        <f>IF($B21='Project List References'!$B$6, IF('Project PGEN'!S21&gt;0, 'Assumptions &amp; Inputs'!$L$117, 0), IF($B21='Project List References'!$B$7, _xlfn.IFNA(_xlfn.XLOOKUP(S$2-$C21, 'SENS Coal'!$D$7:$AW$7, 'SENS Coal'!$D$118:$AW$118), 0), IF($B21='Project List References'!$B$8, _xlfn.IFNA(_xlfn.XLOOKUP(S$2-$C21,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T21" s="663" t="e">
        <f>IF($B21='Project List References'!$B$6, IF('Project PGEN'!T21&gt;0, 'Assumptions &amp; Inputs'!$L$117, 0), IF($B21='Project List References'!$B$7, _xlfn.IFNA(_xlfn.XLOOKUP(T$2-$C21, 'SENS Coal'!$D$7:$AW$7, 'SENS Coal'!$D$118:$AW$118), 0), IF($B21='Project List References'!$B$8, _xlfn.IFNA(_xlfn.XLOOKUP(T$2-$C21, 'SENS Tires'!$D$7:$AW$7, 'SENS Tires'!$D$118:$AW$118),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</row>
    <row r="22" spans="1:20">
      <c r="A22" s="655" t="str">
        <f>IF(ISBLANK('Project Master Sheet'!A22)=FALSE, 'Project Master Sheet'!A22, "")</f>
        <v/>
      </c>
      <c r="B22" s="655" t="str">
        <f>_xlfn.IFNA(_xlfn.XLOOKUP(A22, 'Project Master Sheet'!A:A, 'Project Master Sheet'!D:D), "")</f>
        <v/>
      </c>
      <c r="C22" s="655" t="e">
        <f>_xlfn.XLOOKUP('Project OPEX'!A22, 'Project Master Sheet'!A:A, 'Project Master Sheet'!I:I)</f>
        <v>#N/A</v>
      </c>
      <c r="E22" s="663" t="e">
        <f>IF($B22='Project List References'!$B$6, IF('Project PGEN'!E22&gt;0, 'Assumptions &amp; Inputs'!$L$117, 0), IF($B22='Project List References'!$B$7, _xlfn.IFNA(_xlfn.XLOOKUP(E$2-$C22, 'SENS Coal'!$D$7:$AW$7, 'SENS Coal'!$D$118:$AW$118), 0), IF($B22='Project List References'!$B$8, _xlfn.IFNA(_xlfn.XLOOKUP(E$2-$C22,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F22" s="663" t="e">
        <f>IF($B22='Project List References'!$B$6, IF('Project PGEN'!F22&gt;0, 'Assumptions &amp; Inputs'!$L$117, 0), IF($B22='Project List References'!$B$7, _xlfn.IFNA(_xlfn.XLOOKUP(F$2-$C22, 'SENS Coal'!$D$7:$AW$7, 'SENS Coal'!$D$118:$AW$118), 0), IF($B22='Project List References'!$B$8, _xlfn.IFNA(_xlfn.XLOOKUP(F$2-$C22,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G22" s="663" t="e">
        <f>IF($B22='Project List References'!$B$6, IF('Project PGEN'!G22&gt;0, 'Assumptions &amp; Inputs'!$L$117, 0), IF($B22='Project List References'!$B$7, _xlfn.IFNA(_xlfn.XLOOKUP(G$2-$C22, 'SENS Coal'!$D$7:$AW$7, 'SENS Coal'!$D$118:$AW$118), 0), IF($B22='Project List References'!$B$8, _xlfn.IFNA(_xlfn.XLOOKUP(G$2-$C22,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H22" s="663" t="e">
        <f>IF($B22='Project List References'!$B$6, IF('Project PGEN'!H22&gt;0, 'Assumptions &amp; Inputs'!$L$117, 0), IF($B22='Project List References'!$B$7, _xlfn.IFNA(_xlfn.XLOOKUP(H$2-$C22, 'SENS Coal'!$D$7:$AW$7, 'SENS Coal'!$D$118:$AW$118), 0), IF($B22='Project List References'!$B$8, _xlfn.IFNA(_xlfn.XLOOKUP(H$2-$C22,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I22" s="663" t="e">
        <f>IF($B22='Project List References'!$B$6, IF('Project PGEN'!I22&gt;0, 'Assumptions &amp; Inputs'!$L$117, 0), IF($B22='Project List References'!$B$7, _xlfn.IFNA(_xlfn.XLOOKUP(I$2-$C22, 'SENS Coal'!$D$7:$AW$7, 'SENS Coal'!$D$118:$AW$118), 0), IF($B22='Project List References'!$B$8, _xlfn.IFNA(_xlfn.XLOOKUP(I$2-$C22,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J22" s="663" t="e">
        <f>IF($B22='Project List References'!$B$6, IF('Project PGEN'!J22&gt;0, 'Assumptions &amp; Inputs'!$L$117, 0), IF($B22='Project List References'!$B$7, _xlfn.IFNA(_xlfn.XLOOKUP(J$2-$C22, 'SENS Coal'!$D$7:$AW$7, 'SENS Coal'!$D$118:$AW$118), 0), IF($B22='Project List References'!$B$8, _xlfn.IFNA(_xlfn.XLOOKUP(J$2-$C22,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K22" s="663" t="e">
        <f>IF($B22='Project List References'!$B$6, IF('Project PGEN'!K22&gt;0, 'Assumptions &amp; Inputs'!$L$117, 0), IF($B22='Project List References'!$B$7, _xlfn.IFNA(_xlfn.XLOOKUP(K$2-$C22, 'SENS Coal'!$D$7:$AW$7, 'SENS Coal'!$D$118:$AW$118), 0), IF($B22='Project List References'!$B$8, _xlfn.IFNA(_xlfn.XLOOKUP(K$2-$C22,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L22" s="663" t="e">
        <f>IF($B22='Project List References'!$B$6, IF('Project PGEN'!L22&gt;0, 'Assumptions &amp; Inputs'!$L$117, 0), IF($B22='Project List References'!$B$7, _xlfn.IFNA(_xlfn.XLOOKUP(L$2-$C22, 'SENS Coal'!$D$7:$AW$7, 'SENS Coal'!$D$118:$AW$118), 0), IF($B22='Project List References'!$B$8, _xlfn.IFNA(_xlfn.XLOOKUP(L$2-$C22,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M22" s="663" t="e">
        <f>IF($B22='Project List References'!$B$6, IF('Project PGEN'!M22&gt;0, 'Assumptions &amp; Inputs'!$L$117, 0), IF($B22='Project List References'!$B$7, _xlfn.IFNA(_xlfn.XLOOKUP(M$2-$C22, 'SENS Coal'!$D$7:$AW$7, 'SENS Coal'!$D$118:$AW$118), 0), IF($B22='Project List References'!$B$8, _xlfn.IFNA(_xlfn.XLOOKUP(M$2-$C22,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N22" s="663" t="e">
        <f>IF($B22='Project List References'!$B$6, IF('Project PGEN'!N22&gt;0, 'Assumptions &amp; Inputs'!$L$117, 0), IF($B22='Project List References'!$B$7, _xlfn.IFNA(_xlfn.XLOOKUP(N$2-$C22, 'SENS Coal'!$D$7:$AW$7, 'SENS Coal'!$D$118:$AW$118), 0), IF($B22='Project List References'!$B$8, _xlfn.IFNA(_xlfn.XLOOKUP(N$2-$C22,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O22" s="663" t="e">
        <f>IF($B22='Project List References'!$B$6, IF('Project PGEN'!O22&gt;0, 'Assumptions &amp; Inputs'!$L$117, 0), IF($B22='Project List References'!$B$7, _xlfn.IFNA(_xlfn.XLOOKUP(O$2-$C22, 'SENS Coal'!$D$7:$AW$7, 'SENS Coal'!$D$118:$AW$118), 0), IF($B22='Project List References'!$B$8, _xlfn.IFNA(_xlfn.XLOOKUP(O$2-$C22,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P22" s="663" t="e">
        <f>IF($B22='Project List References'!$B$6, IF('Project PGEN'!P22&gt;0, 'Assumptions &amp; Inputs'!$L$117, 0), IF($B22='Project List References'!$B$7, _xlfn.IFNA(_xlfn.XLOOKUP(P$2-$C22, 'SENS Coal'!$D$7:$AW$7, 'SENS Coal'!$D$118:$AW$118), 0), IF($B22='Project List References'!$B$8, _xlfn.IFNA(_xlfn.XLOOKUP(P$2-$C22,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Q22" s="663" t="e">
        <f>IF($B22='Project List References'!$B$6, IF('Project PGEN'!Q22&gt;0, 'Assumptions &amp; Inputs'!$L$117, 0), IF($B22='Project List References'!$B$7, _xlfn.IFNA(_xlfn.XLOOKUP(Q$2-$C22, 'SENS Coal'!$D$7:$AW$7, 'SENS Coal'!$D$118:$AW$118), 0), IF($B22='Project List References'!$B$8, _xlfn.IFNA(_xlfn.XLOOKUP(Q$2-$C22,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R22" s="663" t="e">
        <f>IF($B22='Project List References'!$B$6, IF('Project PGEN'!R22&gt;0, 'Assumptions &amp; Inputs'!$L$117, 0), IF($B22='Project List References'!$B$7, _xlfn.IFNA(_xlfn.XLOOKUP(R$2-$C22, 'SENS Coal'!$D$7:$AW$7, 'SENS Coal'!$D$118:$AW$118), 0), IF($B22='Project List References'!$B$8, _xlfn.IFNA(_xlfn.XLOOKUP(R$2-$C22,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S22" s="663" t="e">
        <f>IF($B22='Project List References'!$B$6, IF('Project PGEN'!S22&gt;0, 'Assumptions &amp; Inputs'!$L$117, 0), IF($B22='Project List References'!$B$7, _xlfn.IFNA(_xlfn.XLOOKUP(S$2-$C22, 'SENS Coal'!$D$7:$AW$7, 'SENS Coal'!$D$118:$AW$118), 0), IF($B22='Project List References'!$B$8, _xlfn.IFNA(_xlfn.XLOOKUP(S$2-$C22,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T22" s="663" t="e">
        <f>IF($B22='Project List References'!$B$6, IF('Project PGEN'!T22&gt;0, 'Assumptions &amp; Inputs'!$L$117, 0), IF($B22='Project List References'!$B$7, _xlfn.IFNA(_xlfn.XLOOKUP(T$2-$C22, 'SENS Coal'!$D$7:$AW$7, 'SENS Coal'!$D$118:$AW$118), 0), IF($B22='Project List References'!$B$8, _xlfn.IFNA(_xlfn.XLOOKUP(T$2-$C22, 'SENS Tires'!$D$7:$AW$7, 'SENS Tires'!$D$118:$AW$118),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</row>
    <row r="23" spans="1:20">
      <c r="A23" s="655" t="str">
        <f>IF(ISBLANK('Project Master Sheet'!A23)=FALSE, 'Project Master Sheet'!A23, "")</f>
        <v/>
      </c>
      <c r="B23" s="655" t="str">
        <f>_xlfn.IFNA(_xlfn.XLOOKUP(A23, 'Project Master Sheet'!A:A, 'Project Master Sheet'!D:D), "")</f>
        <v/>
      </c>
      <c r="C23" s="655" t="e">
        <f>_xlfn.XLOOKUP('Project OPEX'!A23, 'Project Master Sheet'!A:A, 'Project Master Sheet'!I:I)</f>
        <v>#N/A</v>
      </c>
      <c r="E23" s="663" t="e">
        <f>IF($B23='Project List References'!$B$6, IF('Project PGEN'!E23&gt;0, 'Assumptions &amp; Inputs'!$L$117, 0), IF($B23='Project List References'!$B$7, _xlfn.IFNA(_xlfn.XLOOKUP(E$2-$C23, 'SENS Coal'!$D$7:$AW$7, 'SENS Coal'!$D$118:$AW$118), 0), IF($B23='Project List References'!$B$8, _xlfn.IFNA(_xlfn.XLOOKUP(E$2-$C23,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F23" s="663" t="e">
        <f>IF($B23='Project List References'!$B$6, IF('Project PGEN'!F23&gt;0, 'Assumptions &amp; Inputs'!$L$117, 0), IF($B23='Project List References'!$B$7, _xlfn.IFNA(_xlfn.XLOOKUP(F$2-$C23, 'SENS Coal'!$D$7:$AW$7, 'SENS Coal'!$D$118:$AW$118), 0), IF($B23='Project List References'!$B$8, _xlfn.IFNA(_xlfn.XLOOKUP(F$2-$C23,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G23" s="663" t="e">
        <f>IF($B23='Project List References'!$B$6, IF('Project PGEN'!G23&gt;0, 'Assumptions &amp; Inputs'!$L$117, 0), IF($B23='Project List References'!$B$7, _xlfn.IFNA(_xlfn.XLOOKUP(G$2-$C23, 'SENS Coal'!$D$7:$AW$7, 'SENS Coal'!$D$118:$AW$118), 0), IF($B23='Project List References'!$B$8, _xlfn.IFNA(_xlfn.XLOOKUP(G$2-$C23,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H23" s="663" t="e">
        <f>IF($B23='Project List References'!$B$6, IF('Project PGEN'!H23&gt;0, 'Assumptions &amp; Inputs'!$L$117, 0), IF($B23='Project List References'!$B$7, _xlfn.IFNA(_xlfn.XLOOKUP(H$2-$C23, 'SENS Coal'!$D$7:$AW$7, 'SENS Coal'!$D$118:$AW$118), 0), IF($B23='Project List References'!$B$8, _xlfn.IFNA(_xlfn.XLOOKUP(H$2-$C23,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I23" s="663" t="e">
        <f>IF($B23='Project List References'!$B$6, IF('Project PGEN'!I23&gt;0, 'Assumptions &amp; Inputs'!$L$117, 0), IF($B23='Project List References'!$B$7, _xlfn.IFNA(_xlfn.XLOOKUP(I$2-$C23, 'SENS Coal'!$D$7:$AW$7, 'SENS Coal'!$D$118:$AW$118), 0), IF($B23='Project List References'!$B$8, _xlfn.IFNA(_xlfn.XLOOKUP(I$2-$C23,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J23" s="663" t="e">
        <f>IF($B23='Project List References'!$B$6, IF('Project PGEN'!J23&gt;0, 'Assumptions &amp; Inputs'!$L$117, 0), IF($B23='Project List References'!$B$7, _xlfn.IFNA(_xlfn.XLOOKUP(J$2-$C23, 'SENS Coal'!$D$7:$AW$7, 'SENS Coal'!$D$118:$AW$118), 0), IF($B23='Project List References'!$B$8, _xlfn.IFNA(_xlfn.XLOOKUP(J$2-$C23,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K23" s="663" t="e">
        <f>IF($B23='Project List References'!$B$6, IF('Project PGEN'!K23&gt;0, 'Assumptions &amp; Inputs'!$L$117, 0), IF($B23='Project List References'!$B$7, _xlfn.IFNA(_xlfn.XLOOKUP(K$2-$C23, 'SENS Coal'!$D$7:$AW$7, 'SENS Coal'!$D$118:$AW$118), 0), IF($B23='Project List References'!$B$8, _xlfn.IFNA(_xlfn.XLOOKUP(K$2-$C23,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L23" s="663" t="e">
        <f>IF($B23='Project List References'!$B$6, IF('Project PGEN'!L23&gt;0, 'Assumptions &amp; Inputs'!$L$117, 0), IF($B23='Project List References'!$B$7, _xlfn.IFNA(_xlfn.XLOOKUP(L$2-$C23, 'SENS Coal'!$D$7:$AW$7, 'SENS Coal'!$D$118:$AW$118), 0), IF($B23='Project List References'!$B$8, _xlfn.IFNA(_xlfn.XLOOKUP(L$2-$C23,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M23" s="663" t="e">
        <f>IF($B23='Project List References'!$B$6, IF('Project PGEN'!M23&gt;0, 'Assumptions &amp; Inputs'!$L$117, 0), IF($B23='Project List References'!$B$7, _xlfn.IFNA(_xlfn.XLOOKUP(M$2-$C23, 'SENS Coal'!$D$7:$AW$7, 'SENS Coal'!$D$118:$AW$118), 0), IF($B23='Project List References'!$B$8, _xlfn.IFNA(_xlfn.XLOOKUP(M$2-$C23,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N23" s="663" t="e">
        <f>IF($B23='Project List References'!$B$6, IF('Project PGEN'!N23&gt;0, 'Assumptions &amp; Inputs'!$L$117, 0), IF($B23='Project List References'!$B$7, _xlfn.IFNA(_xlfn.XLOOKUP(N$2-$C23, 'SENS Coal'!$D$7:$AW$7, 'SENS Coal'!$D$118:$AW$118), 0), IF($B23='Project List References'!$B$8, _xlfn.IFNA(_xlfn.XLOOKUP(N$2-$C23,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O23" s="663" t="e">
        <f>IF($B23='Project List References'!$B$6, IF('Project PGEN'!O23&gt;0, 'Assumptions &amp; Inputs'!$L$117, 0), IF($B23='Project List References'!$B$7, _xlfn.IFNA(_xlfn.XLOOKUP(O$2-$C23, 'SENS Coal'!$D$7:$AW$7, 'SENS Coal'!$D$118:$AW$118), 0), IF($B23='Project List References'!$B$8, _xlfn.IFNA(_xlfn.XLOOKUP(O$2-$C23,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P23" s="663" t="e">
        <f>IF($B23='Project List References'!$B$6, IF('Project PGEN'!P23&gt;0, 'Assumptions &amp; Inputs'!$L$117, 0), IF($B23='Project List References'!$B$7, _xlfn.IFNA(_xlfn.XLOOKUP(P$2-$C23, 'SENS Coal'!$D$7:$AW$7, 'SENS Coal'!$D$118:$AW$118), 0), IF($B23='Project List References'!$B$8, _xlfn.IFNA(_xlfn.XLOOKUP(P$2-$C23,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Q23" s="663" t="e">
        <f>IF($B23='Project List References'!$B$6, IF('Project PGEN'!Q23&gt;0, 'Assumptions &amp; Inputs'!$L$117, 0), IF($B23='Project List References'!$B$7, _xlfn.IFNA(_xlfn.XLOOKUP(Q$2-$C23, 'SENS Coal'!$D$7:$AW$7, 'SENS Coal'!$D$118:$AW$118), 0), IF($B23='Project List References'!$B$8, _xlfn.IFNA(_xlfn.XLOOKUP(Q$2-$C23,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R23" s="663" t="e">
        <f>IF($B23='Project List References'!$B$6, IF('Project PGEN'!R23&gt;0, 'Assumptions &amp; Inputs'!$L$117, 0), IF($B23='Project List References'!$B$7, _xlfn.IFNA(_xlfn.XLOOKUP(R$2-$C23, 'SENS Coal'!$D$7:$AW$7, 'SENS Coal'!$D$118:$AW$118), 0), IF($B23='Project List References'!$B$8, _xlfn.IFNA(_xlfn.XLOOKUP(R$2-$C23,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S23" s="663" t="e">
        <f>IF($B23='Project List References'!$B$6, IF('Project PGEN'!S23&gt;0, 'Assumptions &amp; Inputs'!$L$117, 0), IF($B23='Project List References'!$B$7, _xlfn.IFNA(_xlfn.XLOOKUP(S$2-$C23, 'SENS Coal'!$D$7:$AW$7, 'SENS Coal'!$D$118:$AW$118), 0), IF($B23='Project List References'!$B$8, _xlfn.IFNA(_xlfn.XLOOKUP(S$2-$C23,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T23" s="663" t="e">
        <f>IF($B23='Project List References'!$B$6, IF('Project PGEN'!T23&gt;0, 'Assumptions &amp; Inputs'!$L$117, 0), IF($B23='Project List References'!$B$7, _xlfn.IFNA(_xlfn.XLOOKUP(T$2-$C23, 'SENS Coal'!$D$7:$AW$7, 'SENS Coal'!$D$118:$AW$118), 0), IF($B23='Project List References'!$B$8, _xlfn.IFNA(_xlfn.XLOOKUP(T$2-$C23, 'SENS Tires'!$D$7:$AW$7, 'SENS Tires'!$D$118:$AW$118),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</row>
    <row r="24" spans="1:20">
      <c r="A24" s="655" t="str">
        <f>IF(ISBLANK('Project Master Sheet'!A24)=FALSE, 'Project Master Sheet'!A24, "")</f>
        <v/>
      </c>
      <c r="B24" s="655" t="str">
        <f>_xlfn.IFNA(_xlfn.XLOOKUP(A24, 'Project Master Sheet'!A:A, 'Project Master Sheet'!D:D), "")</f>
        <v/>
      </c>
      <c r="C24" s="655" t="e">
        <f>_xlfn.XLOOKUP('Project OPEX'!A24, 'Project Master Sheet'!A:A, 'Project Master Sheet'!I:I)</f>
        <v>#N/A</v>
      </c>
      <c r="E24" s="663" t="e">
        <f>IF($B24='Project List References'!$B$6, IF('Project PGEN'!E24&gt;0, 'Assumptions &amp; Inputs'!$L$117, 0), IF($B24='Project List References'!$B$7, _xlfn.IFNA(_xlfn.XLOOKUP(E$2-$C24, 'SENS Coal'!$D$7:$AW$7, 'SENS Coal'!$D$118:$AW$118), 0), IF($B24='Project List References'!$B$8, _xlfn.IFNA(_xlfn.XLOOKUP(E$2-$C24,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F24" s="663" t="e">
        <f>IF($B24='Project List References'!$B$6, IF('Project PGEN'!F24&gt;0, 'Assumptions &amp; Inputs'!$L$117, 0), IF($B24='Project List References'!$B$7, _xlfn.IFNA(_xlfn.XLOOKUP(F$2-$C24, 'SENS Coal'!$D$7:$AW$7, 'SENS Coal'!$D$118:$AW$118), 0), IF($B24='Project List References'!$B$8, _xlfn.IFNA(_xlfn.XLOOKUP(F$2-$C24,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G24" s="663" t="e">
        <f>IF($B24='Project List References'!$B$6, IF('Project PGEN'!G24&gt;0, 'Assumptions &amp; Inputs'!$L$117, 0), IF($B24='Project List References'!$B$7, _xlfn.IFNA(_xlfn.XLOOKUP(G$2-$C24, 'SENS Coal'!$D$7:$AW$7, 'SENS Coal'!$D$118:$AW$118), 0), IF($B24='Project List References'!$B$8, _xlfn.IFNA(_xlfn.XLOOKUP(G$2-$C24,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H24" s="663" t="e">
        <f>IF($B24='Project List References'!$B$6, IF('Project PGEN'!H24&gt;0, 'Assumptions &amp; Inputs'!$L$117, 0), IF($B24='Project List References'!$B$7, _xlfn.IFNA(_xlfn.XLOOKUP(H$2-$C24, 'SENS Coal'!$D$7:$AW$7, 'SENS Coal'!$D$118:$AW$118), 0), IF($B24='Project List References'!$B$8, _xlfn.IFNA(_xlfn.XLOOKUP(H$2-$C24,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I24" s="663" t="e">
        <f>IF($B24='Project List References'!$B$6, IF('Project PGEN'!I24&gt;0, 'Assumptions &amp; Inputs'!$L$117, 0), IF($B24='Project List References'!$B$7, _xlfn.IFNA(_xlfn.XLOOKUP(I$2-$C24, 'SENS Coal'!$D$7:$AW$7, 'SENS Coal'!$D$118:$AW$118), 0), IF($B24='Project List References'!$B$8, _xlfn.IFNA(_xlfn.XLOOKUP(I$2-$C24,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J24" s="663" t="e">
        <f>IF($B24='Project List References'!$B$6, IF('Project PGEN'!J24&gt;0, 'Assumptions &amp; Inputs'!$L$117, 0), IF($B24='Project List References'!$B$7, _xlfn.IFNA(_xlfn.XLOOKUP(J$2-$C24, 'SENS Coal'!$D$7:$AW$7, 'SENS Coal'!$D$118:$AW$118), 0), IF($B24='Project List References'!$B$8, _xlfn.IFNA(_xlfn.XLOOKUP(J$2-$C24,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K24" s="663" t="e">
        <f>IF($B24='Project List References'!$B$6, IF('Project PGEN'!K24&gt;0, 'Assumptions &amp; Inputs'!$L$117, 0), IF($B24='Project List References'!$B$7, _xlfn.IFNA(_xlfn.XLOOKUP(K$2-$C24, 'SENS Coal'!$D$7:$AW$7, 'SENS Coal'!$D$118:$AW$118), 0), IF($B24='Project List References'!$B$8, _xlfn.IFNA(_xlfn.XLOOKUP(K$2-$C24,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L24" s="663" t="e">
        <f>IF($B24='Project List References'!$B$6, IF('Project PGEN'!L24&gt;0, 'Assumptions &amp; Inputs'!$L$117, 0), IF($B24='Project List References'!$B$7, _xlfn.IFNA(_xlfn.XLOOKUP(L$2-$C24, 'SENS Coal'!$D$7:$AW$7, 'SENS Coal'!$D$118:$AW$118), 0), IF($B24='Project List References'!$B$8, _xlfn.IFNA(_xlfn.XLOOKUP(L$2-$C24,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M24" s="663" t="e">
        <f>IF($B24='Project List References'!$B$6, IF('Project PGEN'!M24&gt;0, 'Assumptions &amp; Inputs'!$L$117, 0), IF($B24='Project List References'!$B$7, _xlfn.IFNA(_xlfn.XLOOKUP(M$2-$C24, 'SENS Coal'!$D$7:$AW$7, 'SENS Coal'!$D$118:$AW$118), 0), IF($B24='Project List References'!$B$8, _xlfn.IFNA(_xlfn.XLOOKUP(M$2-$C24,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N24" s="663" t="e">
        <f>IF($B24='Project List References'!$B$6, IF('Project PGEN'!N24&gt;0, 'Assumptions &amp; Inputs'!$L$117, 0), IF($B24='Project List References'!$B$7, _xlfn.IFNA(_xlfn.XLOOKUP(N$2-$C24, 'SENS Coal'!$D$7:$AW$7, 'SENS Coal'!$D$118:$AW$118), 0), IF($B24='Project List References'!$B$8, _xlfn.IFNA(_xlfn.XLOOKUP(N$2-$C24,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O24" s="663" t="e">
        <f>IF($B24='Project List References'!$B$6, IF('Project PGEN'!O24&gt;0, 'Assumptions &amp; Inputs'!$L$117, 0), IF($B24='Project List References'!$B$7, _xlfn.IFNA(_xlfn.XLOOKUP(O$2-$C24, 'SENS Coal'!$D$7:$AW$7, 'SENS Coal'!$D$118:$AW$118), 0), IF($B24='Project List References'!$B$8, _xlfn.IFNA(_xlfn.XLOOKUP(O$2-$C24,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P24" s="663" t="e">
        <f>IF($B24='Project List References'!$B$6, IF('Project PGEN'!P24&gt;0, 'Assumptions &amp; Inputs'!$L$117, 0), IF($B24='Project List References'!$B$7, _xlfn.IFNA(_xlfn.XLOOKUP(P$2-$C24, 'SENS Coal'!$D$7:$AW$7, 'SENS Coal'!$D$118:$AW$118), 0), IF($B24='Project List References'!$B$8, _xlfn.IFNA(_xlfn.XLOOKUP(P$2-$C24,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Q24" s="663" t="e">
        <f>IF($B24='Project List References'!$B$6, IF('Project PGEN'!Q24&gt;0, 'Assumptions &amp; Inputs'!$L$117, 0), IF($B24='Project List References'!$B$7, _xlfn.IFNA(_xlfn.XLOOKUP(Q$2-$C24, 'SENS Coal'!$D$7:$AW$7, 'SENS Coal'!$D$118:$AW$118), 0), IF($B24='Project List References'!$B$8, _xlfn.IFNA(_xlfn.XLOOKUP(Q$2-$C24,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R24" s="663" t="e">
        <f>IF($B24='Project List References'!$B$6, IF('Project PGEN'!R24&gt;0, 'Assumptions &amp; Inputs'!$L$117, 0), IF($B24='Project List References'!$B$7, _xlfn.IFNA(_xlfn.XLOOKUP(R$2-$C24, 'SENS Coal'!$D$7:$AW$7, 'SENS Coal'!$D$118:$AW$118), 0), IF($B24='Project List References'!$B$8, _xlfn.IFNA(_xlfn.XLOOKUP(R$2-$C24,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S24" s="663" t="e">
        <f>IF($B24='Project List References'!$B$6, IF('Project PGEN'!S24&gt;0, 'Assumptions &amp; Inputs'!$L$117, 0), IF($B24='Project List References'!$B$7, _xlfn.IFNA(_xlfn.XLOOKUP(S$2-$C24, 'SENS Coal'!$D$7:$AW$7, 'SENS Coal'!$D$118:$AW$118), 0), IF($B24='Project List References'!$B$8, _xlfn.IFNA(_xlfn.XLOOKUP(S$2-$C24,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T24" s="663" t="e">
        <f>IF($B24='Project List References'!$B$6, IF('Project PGEN'!T24&gt;0, 'Assumptions &amp; Inputs'!$L$117, 0), IF($B24='Project List References'!$B$7, _xlfn.IFNA(_xlfn.XLOOKUP(T$2-$C24, 'SENS Coal'!$D$7:$AW$7, 'SENS Coal'!$D$118:$AW$118), 0), IF($B24='Project List References'!$B$8, _xlfn.IFNA(_xlfn.XLOOKUP(T$2-$C24, 'SENS Tires'!$D$7:$AW$7, 'SENS Tires'!$D$118:$AW$118),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</row>
    <row r="25" spans="1:20">
      <c r="A25" s="655" t="str">
        <f>IF(ISBLANK('Project Master Sheet'!A25)=FALSE, 'Project Master Sheet'!A25, "")</f>
        <v/>
      </c>
      <c r="B25" s="655" t="str">
        <f>_xlfn.IFNA(_xlfn.XLOOKUP(A25, 'Project Master Sheet'!A:A, 'Project Master Sheet'!D:D), "")</f>
        <v/>
      </c>
      <c r="C25" s="655" t="e">
        <f>_xlfn.XLOOKUP('Project OPEX'!A25, 'Project Master Sheet'!A:A, 'Project Master Sheet'!I:I)</f>
        <v>#N/A</v>
      </c>
      <c r="E25" s="663" t="e">
        <f>IF($B25='Project List References'!$B$6, IF('Project PGEN'!E25&gt;0, 'Assumptions &amp; Inputs'!$L$117, 0), IF($B25='Project List References'!$B$7, _xlfn.IFNA(_xlfn.XLOOKUP(E$2-$C25, 'SENS Coal'!$D$7:$AW$7, 'SENS Coal'!$D$118:$AW$118), 0), IF($B25='Project List References'!$B$8, _xlfn.IFNA(_xlfn.XLOOKUP(E$2-$C25,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F25" s="663" t="e">
        <f>IF($B25='Project List References'!$B$6, IF('Project PGEN'!F25&gt;0, 'Assumptions &amp; Inputs'!$L$117, 0), IF($B25='Project List References'!$B$7, _xlfn.IFNA(_xlfn.XLOOKUP(F$2-$C25, 'SENS Coal'!$D$7:$AW$7, 'SENS Coal'!$D$118:$AW$118), 0), IF($B25='Project List References'!$B$8, _xlfn.IFNA(_xlfn.XLOOKUP(F$2-$C25,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G25" s="663" t="e">
        <f>IF($B25='Project List References'!$B$6, IF('Project PGEN'!G25&gt;0, 'Assumptions &amp; Inputs'!$L$117, 0), IF($B25='Project List References'!$B$7, _xlfn.IFNA(_xlfn.XLOOKUP(G$2-$C25, 'SENS Coal'!$D$7:$AW$7, 'SENS Coal'!$D$118:$AW$118), 0), IF($B25='Project List References'!$B$8, _xlfn.IFNA(_xlfn.XLOOKUP(G$2-$C25,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H25" s="663" t="e">
        <f>IF($B25='Project List References'!$B$6, IF('Project PGEN'!H25&gt;0, 'Assumptions &amp; Inputs'!$L$117, 0), IF($B25='Project List References'!$B$7, _xlfn.IFNA(_xlfn.XLOOKUP(H$2-$C25, 'SENS Coal'!$D$7:$AW$7, 'SENS Coal'!$D$118:$AW$118), 0), IF($B25='Project List References'!$B$8, _xlfn.IFNA(_xlfn.XLOOKUP(H$2-$C25,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I25" s="663" t="e">
        <f>IF($B25='Project List References'!$B$6, IF('Project PGEN'!I25&gt;0, 'Assumptions &amp; Inputs'!$L$117, 0), IF($B25='Project List References'!$B$7, _xlfn.IFNA(_xlfn.XLOOKUP(I$2-$C25, 'SENS Coal'!$D$7:$AW$7, 'SENS Coal'!$D$118:$AW$118), 0), IF($B25='Project List References'!$B$8, _xlfn.IFNA(_xlfn.XLOOKUP(I$2-$C25,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J25" s="663" t="e">
        <f>IF($B25='Project List References'!$B$6, IF('Project PGEN'!J25&gt;0, 'Assumptions &amp; Inputs'!$L$117, 0), IF($B25='Project List References'!$B$7, _xlfn.IFNA(_xlfn.XLOOKUP(J$2-$C25, 'SENS Coal'!$D$7:$AW$7, 'SENS Coal'!$D$118:$AW$118), 0), IF($B25='Project List References'!$B$8, _xlfn.IFNA(_xlfn.XLOOKUP(J$2-$C25,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K25" s="663" t="e">
        <f>IF($B25='Project List References'!$B$6, IF('Project PGEN'!K25&gt;0, 'Assumptions &amp; Inputs'!$L$117, 0), IF($B25='Project List References'!$B$7, _xlfn.IFNA(_xlfn.XLOOKUP(K$2-$C25, 'SENS Coal'!$D$7:$AW$7, 'SENS Coal'!$D$118:$AW$118), 0), IF($B25='Project List References'!$B$8, _xlfn.IFNA(_xlfn.XLOOKUP(K$2-$C25,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L25" s="663" t="e">
        <f>IF($B25='Project List References'!$B$6, IF('Project PGEN'!L25&gt;0, 'Assumptions &amp; Inputs'!$L$117, 0), IF($B25='Project List References'!$B$7, _xlfn.IFNA(_xlfn.XLOOKUP(L$2-$C25, 'SENS Coal'!$D$7:$AW$7, 'SENS Coal'!$D$118:$AW$118), 0), IF($B25='Project List References'!$B$8, _xlfn.IFNA(_xlfn.XLOOKUP(L$2-$C25,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M25" s="663" t="e">
        <f>IF($B25='Project List References'!$B$6, IF('Project PGEN'!M25&gt;0, 'Assumptions &amp; Inputs'!$L$117, 0), IF($B25='Project List References'!$B$7, _xlfn.IFNA(_xlfn.XLOOKUP(M$2-$C25, 'SENS Coal'!$D$7:$AW$7, 'SENS Coal'!$D$118:$AW$118), 0), IF($B25='Project List References'!$B$8, _xlfn.IFNA(_xlfn.XLOOKUP(M$2-$C25,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N25" s="663" t="e">
        <f>IF($B25='Project List References'!$B$6, IF('Project PGEN'!N25&gt;0, 'Assumptions &amp; Inputs'!$L$117, 0), IF($B25='Project List References'!$B$7, _xlfn.IFNA(_xlfn.XLOOKUP(N$2-$C25, 'SENS Coal'!$D$7:$AW$7, 'SENS Coal'!$D$118:$AW$118), 0), IF($B25='Project List References'!$B$8, _xlfn.IFNA(_xlfn.XLOOKUP(N$2-$C25,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O25" s="663" t="e">
        <f>IF($B25='Project List References'!$B$6, IF('Project PGEN'!O25&gt;0, 'Assumptions &amp; Inputs'!$L$117, 0), IF($B25='Project List References'!$B$7, _xlfn.IFNA(_xlfn.XLOOKUP(O$2-$C25, 'SENS Coal'!$D$7:$AW$7, 'SENS Coal'!$D$118:$AW$118), 0), IF($B25='Project List References'!$B$8, _xlfn.IFNA(_xlfn.XLOOKUP(O$2-$C25,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P25" s="663" t="e">
        <f>IF($B25='Project List References'!$B$6, IF('Project PGEN'!P25&gt;0, 'Assumptions &amp; Inputs'!$L$117, 0), IF($B25='Project List References'!$B$7, _xlfn.IFNA(_xlfn.XLOOKUP(P$2-$C25, 'SENS Coal'!$D$7:$AW$7, 'SENS Coal'!$D$118:$AW$118), 0), IF($B25='Project List References'!$B$8, _xlfn.IFNA(_xlfn.XLOOKUP(P$2-$C25,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Q25" s="663" t="e">
        <f>IF($B25='Project List References'!$B$6, IF('Project PGEN'!Q25&gt;0, 'Assumptions &amp; Inputs'!$L$117, 0), IF($B25='Project List References'!$B$7, _xlfn.IFNA(_xlfn.XLOOKUP(Q$2-$C25, 'SENS Coal'!$D$7:$AW$7, 'SENS Coal'!$D$118:$AW$118), 0), IF($B25='Project List References'!$B$8, _xlfn.IFNA(_xlfn.XLOOKUP(Q$2-$C25,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R25" s="663" t="e">
        <f>IF($B25='Project List References'!$B$6, IF('Project PGEN'!R25&gt;0, 'Assumptions &amp; Inputs'!$L$117, 0), IF($B25='Project List References'!$B$7, _xlfn.IFNA(_xlfn.XLOOKUP(R$2-$C25, 'SENS Coal'!$D$7:$AW$7, 'SENS Coal'!$D$118:$AW$118), 0), IF($B25='Project List References'!$B$8, _xlfn.IFNA(_xlfn.XLOOKUP(R$2-$C25,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S25" s="663" t="e">
        <f>IF($B25='Project List References'!$B$6, IF('Project PGEN'!S25&gt;0, 'Assumptions &amp; Inputs'!$L$117, 0), IF($B25='Project List References'!$B$7, _xlfn.IFNA(_xlfn.XLOOKUP(S$2-$C25, 'SENS Coal'!$D$7:$AW$7, 'SENS Coal'!$D$118:$AW$118), 0), IF($B25='Project List References'!$B$8, _xlfn.IFNA(_xlfn.XLOOKUP(S$2-$C25,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T25" s="663" t="e">
        <f>IF($B25='Project List References'!$B$6, IF('Project PGEN'!T25&gt;0, 'Assumptions &amp; Inputs'!$L$117, 0), IF($B25='Project List References'!$B$7, _xlfn.IFNA(_xlfn.XLOOKUP(T$2-$C25, 'SENS Coal'!$D$7:$AW$7, 'SENS Coal'!$D$118:$AW$118), 0), IF($B25='Project List References'!$B$8, _xlfn.IFNA(_xlfn.XLOOKUP(T$2-$C25, 'SENS Tires'!$D$7:$AW$7, 'SENS Tires'!$D$118:$AW$118),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</row>
    <row r="26" spans="1:20">
      <c r="A26" s="655" t="str">
        <f>IF(ISBLANK('Project Master Sheet'!A26)=FALSE, 'Project Master Sheet'!A26, "")</f>
        <v/>
      </c>
      <c r="B26" s="655" t="str">
        <f>_xlfn.IFNA(_xlfn.XLOOKUP(A26, 'Project Master Sheet'!A:A, 'Project Master Sheet'!D:D), "")</f>
        <v/>
      </c>
      <c r="C26" s="655" t="e">
        <f>_xlfn.XLOOKUP('Project OPEX'!A26, 'Project Master Sheet'!A:A, 'Project Master Sheet'!I:I)</f>
        <v>#N/A</v>
      </c>
      <c r="E26" s="663" t="e">
        <f>IF($B26='Project List References'!$B$6, IF('Project PGEN'!E26&gt;0, 'Assumptions &amp; Inputs'!$L$117, 0), IF($B26='Project List References'!$B$7, _xlfn.IFNA(_xlfn.XLOOKUP(E$2-$C26, 'SENS Coal'!$D$7:$AW$7, 'SENS Coal'!$D$118:$AW$118), 0), IF($B26='Project List References'!$B$8, _xlfn.IFNA(_xlfn.XLOOKUP(E$2-$C26,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F26" s="663" t="e">
        <f>IF($B26='Project List References'!$B$6, IF('Project PGEN'!F26&gt;0, 'Assumptions &amp; Inputs'!$L$117, 0), IF($B26='Project List References'!$B$7, _xlfn.IFNA(_xlfn.XLOOKUP(F$2-$C26, 'SENS Coal'!$D$7:$AW$7, 'SENS Coal'!$D$118:$AW$118), 0), IF($B26='Project List References'!$B$8, _xlfn.IFNA(_xlfn.XLOOKUP(F$2-$C26,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G26" s="663" t="e">
        <f>IF($B26='Project List References'!$B$6, IF('Project PGEN'!G26&gt;0, 'Assumptions &amp; Inputs'!$L$117, 0), IF($B26='Project List References'!$B$7, _xlfn.IFNA(_xlfn.XLOOKUP(G$2-$C26, 'SENS Coal'!$D$7:$AW$7, 'SENS Coal'!$D$118:$AW$118), 0), IF($B26='Project List References'!$B$8, _xlfn.IFNA(_xlfn.XLOOKUP(G$2-$C26,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H26" s="663" t="e">
        <f>IF($B26='Project List References'!$B$6, IF('Project PGEN'!H26&gt;0, 'Assumptions &amp; Inputs'!$L$117, 0), IF($B26='Project List References'!$B$7, _xlfn.IFNA(_xlfn.XLOOKUP(H$2-$C26, 'SENS Coal'!$D$7:$AW$7, 'SENS Coal'!$D$118:$AW$118), 0), IF($B26='Project List References'!$B$8, _xlfn.IFNA(_xlfn.XLOOKUP(H$2-$C26,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I26" s="663" t="e">
        <f>IF($B26='Project List References'!$B$6, IF('Project PGEN'!I26&gt;0, 'Assumptions &amp; Inputs'!$L$117, 0), IF($B26='Project List References'!$B$7, _xlfn.IFNA(_xlfn.XLOOKUP(I$2-$C26, 'SENS Coal'!$D$7:$AW$7, 'SENS Coal'!$D$118:$AW$118), 0), IF($B26='Project List References'!$B$8, _xlfn.IFNA(_xlfn.XLOOKUP(I$2-$C26,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J26" s="663" t="e">
        <f>IF($B26='Project List References'!$B$6, IF('Project PGEN'!J26&gt;0, 'Assumptions &amp; Inputs'!$L$117, 0), IF($B26='Project List References'!$B$7, _xlfn.IFNA(_xlfn.XLOOKUP(J$2-$C26, 'SENS Coal'!$D$7:$AW$7, 'SENS Coal'!$D$118:$AW$118), 0), IF($B26='Project List References'!$B$8, _xlfn.IFNA(_xlfn.XLOOKUP(J$2-$C26,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K26" s="663" t="e">
        <f>IF($B26='Project List References'!$B$6, IF('Project PGEN'!K26&gt;0, 'Assumptions &amp; Inputs'!$L$117, 0), IF($B26='Project List References'!$B$7, _xlfn.IFNA(_xlfn.XLOOKUP(K$2-$C26, 'SENS Coal'!$D$7:$AW$7, 'SENS Coal'!$D$118:$AW$118), 0), IF($B26='Project List References'!$B$8, _xlfn.IFNA(_xlfn.XLOOKUP(K$2-$C26,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L26" s="663" t="e">
        <f>IF($B26='Project List References'!$B$6, IF('Project PGEN'!L26&gt;0, 'Assumptions &amp; Inputs'!$L$117, 0), IF($B26='Project List References'!$B$7, _xlfn.IFNA(_xlfn.XLOOKUP(L$2-$C26, 'SENS Coal'!$D$7:$AW$7, 'SENS Coal'!$D$118:$AW$118), 0), IF($B26='Project List References'!$B$8, _xlfn.IFNA(_xlfn.XLOOKUP(L$2-$C26,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M26" s="663" t="e">
        <f>IF($B26='Project List References'!$B$6, IF('Project PGEN'!M26&gt;0, 'Assumptions &amp; Inputs'!$L$117, 0), IF($B26='Project List References'!$B$7, _xlfn.IFNA(_xlfn.XLOOKUP(M$2-$C26, 'SENS Coal'!$D$7:$AW$7, 'SENS Coal'!$D$118:$AW$118), 0), IF($B26='Project List References'!$B$8, _xlfn.IFNA(_xlfn.XLOOKUP(M$2-$C26,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N26" s="663" t="e">
        <f>IF($B26='Project List References'!$B$6, IF('Project PGEN'!N26&gt;0, 'Assumptions &amp; Inputs'!$L$117, 0), IF($B26='Project List References'!$B$7, _xlfn.IFNA(_xlfn.XLOOKUP(N$2-$C26, 'SENS Coal'!$D$7:$AW$7, 'SENS Coal'!$D$118:$AW$118), 0), IF($B26='Project List References'!$B$8, _xlfn.IFNA(_xlfn.XLOOKUP(N$2-$C26,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O26" s="663" t="e">
        <f>IF($B26='Project List References'!$B$6, IF('Project PGEN'!O26&gt;0, 'Assumptions &amp; Inputs'!$L$117, 0), IF($B26='Project List References'!$B$7, _xlfn.IFNA(_xlfn.XLOOKUP(O$2-$C26, 'SENS Coal'!$D$7:$AW$7, 'SENS Coal'!$D$118:$AW$118), 0), IF($B26='Project List References'!$B$8, _xlfn.IFNA(_xlfn.XLOOKUP(O$2-$C26,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P26" s="663" t="e">
        <f>IF($B26='Project List References'!$B$6, IF('Project PGEN'!P26&gt;0, 'Assumptions &amp; Inputs'!$L$117, 0), IF($B26='Project List References'!$B$7, _xlfn.IFNA(_xlfn.XLOOKUP(P$2-$C26, 'SENS Coal'!$D$7:$AW$7, 'SENS Coal'!$D$118:$AW$118), 0), IF($B26='Project List References'!$B$8, _xlfn.IFNA(_xlfn.XLOOKUP(P$2-$C26,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Q26" s="663" t="e">
        <f>IF($B26='Project List References'!$B$6, IF('Project PGEN'!Q26&gt;0, 'Assumptions &amp; Inputs'!$L$117, 0), IF($B26='Project List References'!$B$7, _xlfn.IFNA(_xlfn.XLOOKUP(Q$2-$C26, 'SENS Coal'!$D$7:$AW$7, 'SENS Coal'!$D$118:$AW$118), 0), IF($B26='Project List References'!$B$8, _xlfn.IFNA(_xlfn.XLOOKUP(Q$2-$C26,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R26" s="663" t="e">
        <f>IF($B26='Project List References'!$B$6, IF('Project PGEN'!R26&gt;0, 'Assumptions &amp; Inputs'!$L$117, 0), IF($B26='Project List References'!$B$7, _xlfn.IFNA(_xlfn.XLOOKUP(R$2-$C26, 'SENS Coal'!$D$7:$AW$7, 'SENS Coal'!$D$118:$AW$118), 0), IF($B26='Project List References'!$B$8, _xlfn.IFNA(_xlfn.XLOOKUP(R$2-$C26,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S26" s="663" t="e">
        <f>IF($B26='Project List References'!$B$6, IF('Project PGEN'!S26&gt;0, 'Assumptions &amp; Inputs'!$L$117, 0), IF($B26='Project List References'!$B$7, _xlfn.IFNA(_xlfn.XLOOKUP(S$2-$C26, 'SENS Coal'!$D$7:$AW$7, 'SENS Coal'!$D$118:$AW$118), 0), IF($B26='Project List References'!$B$8, _xlfn.IFNA(_xlfn.XLOOKUP(S$2-$C26,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T26" s="663" t="e">
        <f>IF($B26='Project List References'!$B$6, IF('Project PGEN'!T26&gt;0, 'Assumptions &amp; Inputs'!$L$117, 0), IF($B26='Project List References'!$B$7, _xlfn.IFNA(_xlfn.XLOOKUP(T$2-$C26, 'SENS Coal'!$D$7:$AW$7, 'SENS Coal'!$D$118:$AW$118), 0), IF($B26='Project List References'!$B$8, _xlfn.IFNA(_xlfn.XLOOKUP(T$2-$C26, 'SENS Tires'!$D$7:$AW$7, 'SENS Tires'!$D$118:$AW$118),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</row>
    <row r="27" spans="1:20">
      <c r="A27" s="655" t="str">
        <f>IF(ISBLANK('Project Master Sheet'!A27)=FALSE, 'Project Master Sheet'!A27, "")</f>
        <v/>
      </c>
      <c r="B27" s="655" t="str">
        <f>_xlfn.IFNA(_xlfn.XLOOKUP(A27, 'Project Master Sheet'!A:A, 'Project Master Sheet'!D:D), "")</f>
        <v/>
      </c>
      <c r="C27" s="655" t="e">
        <f>_xlfn.XLOOKUP('Project OPEX'!A27, 'Project Master Sheet'!A:A, 'Project Master Sheet'!I:I)</f>
        <v>#N/A</v>
      </c>
      <c r="E27" s="663" t="e">
        <f>IF($B27='Project List References'!$B$6, IF('Project PGEN'!E27&gt;0, 'Assumptions &amp; Inputs'!$L$117, 0), IF($B27='Project List References'!$B$7, _xlfn.IFNA(_xlfn.XLOOKUP(E$2-$C27, 'SENS Coal'!$D$7:$AW$7, 'SENS Coal'!$D$118:$AW$118), 0), IF($B27='Project List References'!$B$8, _xlfn.IFNA(_xlfn.XLOOKUP(E$2-$C27,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F27" s="663" t="e">
        <f>IF($B27='Project List References'!$B$6, IF('Project PGEN'!F27&gt;0, 'Assumptions &amp; Inputs'!$L$117, 0), IF($B27='Project List References'!$B$7, _xlfn.IFNA(_xlfn.XLOOKUP(F$2-$C27, 'SENS Coal'!$D$7:$AW$7, 'SENS Coal'!$D$118:$AW$118), 0), IF($B27='Project List References'!$B$8, _xlfn.IFNA(_xlfn.XLOOKUP(F$2-$C27,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G27" s="663" t="e">
        <f>IF($B27='Project List References'!$B$6, IF('Project PGEN'!G27&gt;0, 'Assumptions &amp; Inputs'!$L$117, 0), IF($B27='Project List References'!$B$7, _xlfn.IFNA(_xlfn.XLOOKUP(G$2-$C27, 'SENS Coal'!$D$7:$AW$7, 'SENS Coal'!$D$118:$AW$118), 0), IF($B27='Project List References'!$B$8, _xlfn.IFNA(_xlfn.XLOOKUP(G$2-$C27,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H27" s="663" t="e">
        <f>IF($B27='Project List References'!$B$6, IF('Project PGEN'!H27&gt;0, 'Assumptions &amp; Inputs'!$L$117, 0), IF($B27='Project List References'!$B$7, _xlfn.IFNA(_xlfn.XLOOKUP(H$2-$C27, 'SENS Coal'!$D$7:$AW$7, 'SENS Coal'!$D$118:$AW$118), 0), IF($B27='Project List References'!$B$8, _xlfn.IFNA(_xlfn.XLOOKUP(H$2-$C27,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I27" s="663" t="e">
        <f>IF($B27='Project List References'!$B$6, IF('Project PGEN'!I27&gt;0, 'Assumptions &amp; Inputs'!$L$117, 0), IF($B27='Project List References'!$B$7, _xlfn.IFNA(_xlfn.XLOOKUP(I$2-$C27, 'SENS Coal'!$D$7:$AW$7, 'SENS Coal'!$D$118:$AW$118), 0), IF($B27='Project List References'!$B$8, _xlfn.IFNA(_xlfn.XLOOKUP(I$2-$C27,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J27" s="663" t="e">
        <f>IF($B27='Project List References'!$B$6, IF('Project PGEN'!J27&gt;0, 'Assumptions &amp; Inputs'!$L$117, 0), IF($B27='Project List References'!$B$7, _xlfn.IFNA(_xlfn.XLOOKUP(J$2-$C27, 'SENS Coal'!$D$7:$AW$7, 'SENS Coal'!$D$118:$AW$118), 0), IF($B27='Project List References'!$B$8, _xlfn.IFNA(_xlfn.XLOOKUP(J$2-$C27,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K27" s="663" t="e">
        <f>IF($B27='Project List References'!$B$6, IF('Project PGEN'!K27&gt;0, 'Assumptions &amp; Inputs'!$L$117, 0), IF($B27='Project List References'!$B$7, _xlfn.IFNA(_xlfn.XLOOKUP(K$2-$C27, 'SENS Coal'!$D$7:$AW$7, 'SENS Coal'!$D$118:$AW$118), 0), IF($B27='Project List References'!$B$8, _xlfn.IFNA(_xlfn.XLOOKUP(K$2-$C27,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L27" s="663" t="e">
        <f>IF($B27='Project List References'!$B$6, IF('Project PGEN'!L27&gt;0, 'Assumptions &amp; Inputs'!$L$117, 0), IF($B27='Project List References'!$B$7, _xlfn.IFNA(_xlfn.XLOOKUP(L$2-$C27, 'SENS Coal'!$D$7:$AW$7, 'SENS Coal'!$D$118:$AW$118), 0), IF($B27='Project List References'!$B$8, _xlfn.IFNA(_xlfn.XLOOKUP(L$2-$C27,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M27" s="663" t="e">
        <f>IF($B27='Project List References'!$B$6, IF('Project PGEN'!M27&gt;0, 'Assumptions &amp; Inputs'!$L$117, 0), IF($B27='Project List References'!$B$7, _xlfn.IFNA(_xlfn.XLOOKUP(M$2-$C27, 'SENS Coal'!$D$7:$AW$7, 'SENS Coal'!$D$118:$AW$118), 0), IF($B27='Project List References'!$B$8, _xlfn.IFNA(_xlfn.XLOOKUP(M$2-$C27,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N27" s="663" t="e">
        <f>IF($B27='Project List References'!$B$6, IF('Project PGEN'!N27&gt;0, 'Assumptions &amp; Inputs'!$L$117, 0), IF($B27='Project List References'!$B$7, _xlfn.IFNA(_xlfn.XLOOKUP(N$2-$C27, 'SENS Coal'!$D$7:$AW$7, 'SENS Coal'!$D$118:$AW$118), 0), IF($B27='Project List References'!$B$8, _xlfn.IFNA(_xlfn.XLOOKUP(N$2-$C27,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O27" s="663" t="e">
        <f>IF($B27='Project List References'!$B$6, IF('Project PGEN'!O27&gt;0, 'Assumptions &amp; Inputs'!$L$117, 0), IF($B27='Project List References'!$B$7, _xlfn.IFNA(_xlfn.XLOOKUP(O$2-$C27, 'SENS Coal'!$D$7:$AW$7, 'SENS Coal'!$D$118:$AW$118), 0), IF($B27='Project List References'!$B$8, _xlfn.IFNA(_xlfn.XLOOKUP(O$2-$C27,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P27" s="663" t="e">
        <f>IF($B27='Project List References'!$B$6, IF('Project PGEN'!P27&gt;0, 'Assumptions &amp; Inputs'!$L$117, 0), IF($B27='Project List References'!$B$7, _xlfn.IFNA(_xlfn.XLOOKUP(P$2-$C27, 'SENS Coal'!$D$7:$AW$7, 'SENS Coal'!$D$118:$AW$118), 0), IF($B27='Project List References'!$B$8, _xlfn.IFNA(_xlfn.XLOOKUP(P$2-$C27,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Q27" s="663" t="e">
        <f>IF($B27='Project List References'!$B$6, IF('Project PGEN'!Q27&gt;0, 'Assumptions &amp; Inputs'!$L$117, 0), IF($B27='Project List References'!$B$7, _xlfn.IFNA(_xlfn.XLOOKUP(Q$2-$C27, 'SENS Coal'!$D$7:$AW$7, 'SENS Coal'!$D$118:$AW$118), 0), IF($B27='Project List References'!$B$8, _xlfn.IFNA(_xlfn.XLOOKUP(Q$2-$C27,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R27" s="663" t="e">
        <f>IF($B27='Project List References'!$B$6, IF('Project PGEN'!R27&gt;0, 'Assumptions &amp; Inputs'!$L$117, 0), IF($B27='Project List References'!$B$7, _xlfn.IFNA(_xlfn.XLOOKUP(R$2-$C27, 'SENS Coal'!$D$7:$AW$7, 'SENS Coal'!$D$118:$AW$118), 0), IF($B27='Project List References'!$B$8, _xlfn.IFNA(_xlfn.XLOOKUP(R$2-$C27,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S27" s="663" t="e">
        <f>IF($B27='Project List References'!$B$6, IF('Project PGEN'!S27&gt;0, 'Assumptions &amp; Inputs'!$L$117, 0), IF($B27='Project List References'!$B$7, _xlfn.IFNA(_xlfn.XLOOKUP(S$2-$C27, 'SENS Coal'!$D$7:$AW$7, 'SENS Coal'!$D$118:$AW$118), 0), IF($B27='Project List References'!$B$8, _xlfn.IFNA(_xlfn.XLOOKUP(S$2-$C27,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T27" s="663" t="e">
        <f>IF($B27='Project List References'!$B$6, IF('Project PGEN'!T27&gt;0, 'Assumptions &amp; Inputs'!$L$117, 0), IF($B27='Project List References'!$B$7, _xlfn.IFNA(_xlfn.XLOOKUP(T$2-$C27, 'SENS Coal'!$D$7:$AW$7, 'SENS Coal'!$D$118:$AW$118), 0), IF($B27='Project List References'!$B$8, _xlfn.IFNA(_xlfn.XLOOKUP(T$2-$C27, 'SENS Tires'!$D$7:$AW$7, 'SENS Tires'!$D$118:$AW$118),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</row>
    <row r="28" spans="1:20">
      <c r="A28" s="655" t="str">
        <f>IF(ISBLANK('Project Master Sheet'!A28)=FALSE, 'Project Master Sheet'!A28, "")</f>
        <v/>
      </c>
      <c r="B28" s="655" t="str">
        <f>_xlfn.IFNA(_xlfn.XLOOKUP(A28, 'Project Master Sheet'!A:A, 'Project Master Sheet'!D:D), "")</f>
        <v/>
      </c>
      <c r="C28" s="655" t="e">
        <f>_xlfn.XLOOKUP('Project OPEX'!A28, 'Project Master Sheet'!A:A, 'Project Master Sheet'!I:I)</f>
        <v>#N/A</v>
      </c>
      <c r="E28" s="663" t="e">
        <f>IF($B28='Project List References'!$B$6, IF('Project PGEN'!E28&gt;0, 'Assumptions &amp; Inputs'!$L$117, 0), IF($B28='Project List References'!$B$7, _xlfn.IFNA(_xlfn.XLOOKUP(E$2-$C28, 'SENS Coal'!$D$7:$AW$7, 'SENS Coal'!$D$118:$AW$118), 0), IF($B28='Project List References'!$B$8, _xlfn.IFNA(_xlfn.XLOOKUP(E$2-$C28,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F28" s="663" t="e">
        <f>IF($B28='Project List References'!$B$6, IF('Project PGEN'!F28&gt;0, 'Assumptions &amp; Inputs'!$L$117, 0), IF($B28='Project List References'!$B$7, _xlfn.IFNA(_xlfn.XLOOKUP(F$2-$C28, 'SENS Coal'!$D$7:$AW$7, 'SENS Coal'!$D$118:$AW$118), 0), IF($B28='Project List References'!$B$8, _xlfn.IFNA(_xlfn.XLOOKUP(F$2-$C28,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G28" s="663" t="e">
        <f>IF($B28='Project List References'!$B$6, IF('Project PGEN'!G28&gt;0, 'Assumptions &amp; Inputs'!$L$117, 0), IF($B28='Project List References'!$B$7, _xlfn.IFNA(_xlfn.XLOOKUP(G$2-$C28, 'SENS Coal'!$D$7:$AW$7, 'SENS Coal'!$D$118:$AW$118), 0), IF($B28='Project List References'!$B$8, _xlfn.IFNA(_xlfn.XLOOKUP(G$2-$C28,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H28" s="663" t="e">
        <f>IF($B28='Project List References'!$B$6, IF('Project PGEN'!H28&gt;0, 'Assumptions &amp; Inputs'!$L$117, 0), IF($B28='Project List References'!$B$7, _xlfn.IFNA(_xlfn.XLOOKUP(H$2-$C28, 'SENS Coal'!$D$7:$AW$7, 'SENS Coal'!$D$118:$AW$118), 0), IF($B28='Project List References'!$B$8, _xlfn.IFNA(_xlfn.XLOOKUP(H$2-$C28,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I28" s="663" t="e">
        <f>IF($B28='Project List References'!$B$6, IF('Project PGEN'!I28&gt;0, 'Assumptions &amp; Inputs'!$L$117, 0), IF($B28='Project List References'!$B$7, _xlfn.IFNA(_xlfn.XLOOKUP(I$2-$C28, 'SENS Coal'!$D$7:$AW$7, 'SENS Coal'!$D$118:$AW$118), 0), IF($B28='Project List References'!$B$8, _xlfn.IFNA(_xlfn.XLOOKUP(I$2-$C28,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J28" s="663" t="e">
        <f>IF($B28='Project List References'!$B$6, IF('Project PGEN'!J28&gt;0, 'Assumptions &amp; Inputs'!$L$117, 0), IF($B28='Project List References'!$B$7, _xlfn.IFNA(_xlfn.XLOOKUP(J$2-$C28, 'SENS Coal'!$D$7:$AW$7, 'SENS Coal'!$D$118:$AW$118), 0), IF($B28='Project List References'!$B$8, _xlfn.IFNA(_xlfn.XLOOKUP(J$2-$C28,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K28" s="663" t="e">
        <f>IF($B28='Project List References'!$B$6, IF('Project PGEN'!K28&gt;0, 'Assumptions &amp; Inputs'!$L$117, 0), IF($B28='Project List References'!$B$7, _xlfn.IFNA(_xlfn.XLOOKUP(K$2-$C28, 'SENS Coal'!$D$7:$AW$7, 'SENS Coal'!$D$118:$AW$118), 0), IF($B28='Project List References'!$B$8, _xlfn.IFNA(_xlfn.XLOOKUP(K$2-$C28,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L28" s="663" t="e">
        <f>IF($B28='Project List References'!$B$6, IF('Project PGEN'!L28&gt;0, 'Assumptions &amp; Inputs'!$L$117, 0), IF($B28='Project List References'!$B$7, _xlfn.IFNA(_xlfn.XLOOKUP(L$2-$C28, 'SENS Coal'!$D$7:$AW$7, 'SENS Coal'!$D$118:$AW$118), 0), IF($B28='Project List References'!$B$8, _xlfn.IFNA(_xlfn.XLOOKUP(L$2-$C28,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M28" s="663" t="e">
        <f>IF($B28='Project List References'!$B$6, IF('Project PGEN'!M28&gt;0, 'Assumptions &amp; Inputs'!$L$117, 0), IF($B28='Project List References'!$B$7, _xlfn.IFNA(_xlfn.XLOOKUP(M$2-$C28, 'SENS Coal'!$D$7:$AW$7, 'SENS Coal'!$D$118:$AW$118), 0), IF($B28='Project List References'!$B$8, _xlfn.IFNA(_xlfn.XLOOKUP(M$2-$C28,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N28" s="663" t="e">
        <f>IF($B28='Project List References'!$B$6, IF('Project PGEN'!N28&gt;0, 'Assumptions &amp; Inputs'!$L$117, 0), IF($B28='Project List References'!$B$7, _xlfn.IFNA(_xlfn.XLOOKUP(N$2-$C28, 'SENS Coal'!$D$7:$AW$7, 'SENS Coal'!$D$118:$AW$118), 0), IF($B28='Project List References'!$B$8, _xlfn.IFNA(_xlfn.XLOOKUP(N$2-$C28,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O28" s="663" t="e">
        <f>IF($B28='Project List References'!$B$6, IF('Project PGEN'!O28&gt;0, 'Assumptions &amp; Inputs'!$L$117, 0), IF($B28='Project List References'!$B$7, _xlfn.IFNA(_xlfn.XLOOKUP(O$2-$C28, 'SENS Coal'!$D$7:$AW$7, 'SENS Coal'!$D$118:$AW$118), 0), IF($B28='Project List References'!$B$8, _xlfn.IFNA(_xlfn.XLOOKUP(O$2-$C28,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P28" s="663" t="e">
        <f>IF($B28='Project List References'!$B$6, IF('Project PGEN'!P28&gt;0, 'Assumptions &amp; Inputs'!$L$117, 0), IF($B28='Project List References'!$B$7, _xlfn.IFNA(_xlfn.XLOOKUP(P$2-$C28, 'SENS Coal'!$D$7:$AW$7, 'SENS Coal'!$D$118:$AW$118), 0), IF($B28='Project List References'!$B$8, _xlfn.IFNA(_xlfn.XLOOKUP(P$2-$C28,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Q28" s="663" t="e">
        <f>IF($B28='Project List References'!$B$6, IF('Project PGEN'!Q28&gt;0, 'Assumptions &amp; Inputs'!$L$117, 0), IF($B28='Project List References'!$B$7, _xlfn.IFNA(_xlfn.XLOOKUP(Q$2-$C28, 'SENS Coal'!$D$7:$AW$7, 'SENS Coal'!$D$118:$AW$118), 0), IF($B28='Project List References'!$B$8, _xlfn.IFNA(_xlfn.XLOOKUP(Q$2-$C28,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R28" s="663" t="e">
        <f>IF($B28='Project List References'!$B$6, IF('Project PGEN'!R28&gt;0, 'Assumptions &amp; Inputs'!$L$117, 0), IF($B28='Project List References'!$B$7, _xlfn.IFNA(_xlfn.XLOOKUP(R$2-$C28, 'SENS Coal'!$D$7:$AW$7, 'SENS Coal'!$D$118:$AW$118), 0), IF($B28='Project List References'!$B$8, _xlfn.IFNA(_xlfn.XLOOKUP(R$2-$C28,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S28" s="663" t="e">
        <f>IF($B28='Project List References'!$B$6, IF('Project PGEN'!S28&gt;0, 'Assumptions &amp; Inputs'!$L$117, 0), IF($B28='Project List References'!$B$7, _xlfn.IFNA(_xlfn.XLOOKUP(S$2-$C28, 'SENS Coal'!$D$7:$AW$7, 'SENS Coal'!$D$118:$AW$118), 0), IF($B28='Project List References'!$B$8, _xlfn.IFNA(_xlfn.XLOOKUP(S$2-$C28,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  <c r="T28" s="663" t="e">
        <f>IF($B28='Project List References'!$B$6, IF('Project PGEN'!T28&gt;0, 'Assumptions &amp; Inputs'!$L$117, 0), IF($B28='Project List References'!$B$7, _xlfn.IFNA(_xlfn.XLOOKUP(T$2-$C28, 'SENS Coal'!$D$7:$AW$7, 'SENS Coal'!$D$118:$AW$118), 0), IF($B28='Project List References'!$B$8, _xlfn.IFNA(_xlfn.XLOOKUP(T$2-$C28, 'SENS Tires'!$D$7:$AW$7, 'SENS Tires'!$D$118:$AW$118), 0))))/_xlfn.XLOOKUP($B28, 'Assumptions &amp; Inputs'!$F$76:$L$76, 'Assumptions &amp; Inputs'!$F$77:$L$77)*IF(OR($B28='Project List References'!$B$3, $B28='Project List References'!$B$4, $B28='Project List References'!$B$5, $B28='Project List References'!$B$6), 'Project Master Sheet'!$E28, 'Project Master Sheet'!$F28)</f>
        <v>#N/A</v>
      </c>
    </row>
    <row r="29" spans="1:20">
      <c r="A29" s="655" t="str">
        <f>IF(ISBLANK('Project Master Sheet'!A29)=FALSE, 'Project Master Sheet'!A29, "")</f>
        <v/>
      </c>
      <c r="B29" s="655" t="str">
        <f>_xlfn.IFNA(_xlfn.XLOOKUP(A29, 'Project Master Sheet'!A:A, 'Project Master Sheet'!D:D), "")</f>
        <v/>
      </c>
      <c r="C29" s="655" t="e">
        <f>_xlfn.XLOOKUP('Project OPEX'!A29, 'Project Master Sheet'!A:A, 'Project Master Sheet'!I:I)</f>
        <v>#N/A</v>
      </c>
      <c r="E29" s="663" t="e">
        <f>IF($B29='Project List References'!$B$6, IF('Project PGEN'!E29&gt;0, 'Assumptions &amp; Inputs'!$L$117, 0), IF($B29='Project List References'!$B$7, _xlfn.IFNA(_xlfn.XLOOKUP(E$2-$C29, 'SENS Coal'!$D$7:$AW$7, 'SENS Coal'!$D$118:$AW$118), 0), IF($B29='Project List References'!$B$8, _xlfn.IFNA(_xlfn.XLOOKUP(E$2-$C29,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F29" s="663" t="e">
        <f>IF($B29='Project List References'!$B$6, IF('Project PGEN'!F29&gt;0, 'Assumptions &amp; Inputs'!$L$117, 0), IF($B29='Project List References'!$B$7, _xlfn.IFNA(_xlfn.XLOOKUP(F$2-$C29, 'SENS Coal'!$D$7:$AW$7, 'SENS Coal'!$D$118:$AW$118), 0), IF($B29='Project List References'!$B$8, _xlfn.IFNA(_xlfn.XLOOKUP(F$2-$C29,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G29" s="663" t="e">
        <f>IF($B29='Project List References'!$B$6, IF('Project PGEN'!G29&gt;0, 'Assumptions &amp; Inputs'!$L$117, 0), IF($B29='Project List References'!$B$7, _xlfn.IFNA(_xlfn.XLOOKUP(G$2-$C29, 'SENS Coal'!$D$7:$AW$7, 'SENS Coal'!$D$118:$AW$118), 0), IF($B29='Project List References'!$B$8, _xlfn.IFNA(_xlfn.XLOOKUP(G$2-$C29,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H29" s="663" t="e">
        <f>IF($B29='Project List References'!$B$6, IF('Project PGEN'!H29&gt;0, 'Assumptions &amp; Inputs'!$L$117, 0), IF($B29='Project List References'!$B$7, _xlfn.IFNA(_xlfn.XLOOKUP(H$2-$C29, 'SENS Coal'!$D$7:$AW$7, 'SENS Coal'!$D$118:$AW$118), 0), IF($B29='Project List References'!$B$8, _xlfn.IFNA(_xlfn.XLOOKUP(H$2-$C29,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I29" s="663" t="e">
        <f>IF($B29='Project List References'!$B$6, IF('Project PGEN'!I29&gt;0, 'Assumptions &amp; Inputs'!$L$117, 0), IF($B29='Project List References'!$B$7, _xlfn.IFNA(_xlfn.XLOOKUP(I$2-$C29, 'SENS Coal'!$D$7:$AW$7, 'SENS Coal'!$D$118:$AW$118), 0), IF($B29='Project List References'!$B$8, _xlfn.IFNA(_xlfn.XLOOKUP(I$2-$C29,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J29" s="663" t="e">
        <f>IF($B29='Project List References'!$B$6, IF('Project PGEN'!J29&gt;0, 'Assumptions &amp; Inputs'!$L$117, 0), IF($B29='Project List References'!$B$7, _xlfn.IFNA(_xlfn.XLOOKUP(J$2-$C29, 'SENS Coal'!$D$7:$AW$7, 'SENS Coal'!$D$118:$AW$118), 0), IF($B29='Project List References'!$B$8, _xlfn.IFNA(_xlfn.XLOOKUP(J$2-$C29,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K29" s="663" t="e">
        <f>IF($B29='Project List References'!$B$6, IF('Project PGEN'!K29&gt;0, 'Assumptions &amp; Inputs'!$L$117, 0), IF($B29='Project List References'!$B$7, _xlfn.IFNA(_xlfn.XLOOKUP(K$2-$C29, 'SENS Coal'!$D$7:$AW$7, 'SENS Coal'!$D$118:$AW$118), 0), IF($B29='Project List References'!$B$8, _xlfn.IFNA(_xlfn.XLOOKUP(K$2-$C29,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L29" s="663" t="e">
        <f>IF($B29='Project List References'!$B$6, IF('Project PGEN'!L29&gt;0, 'Assumptions &amp; Inputs'!$L$117, 0), IF($B29='Project List References'!$B$7, _xlfn.IFNA(_xlfn.XLOOKUP(L$2-$C29, 'SENS Coal'!$D$7:$AW$7, 'SENS Coal'!$D$118:$AW$118), 0), IF($B29='Project List References'!$B$8, _xlfn.IFNA(_xlfn.XLOOKUP(L$2-$C29,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M29" s="663" t="e">
        <f>IF($B29='Project List References'!$B$6, IF('Project PGEN'!M29&gt;0, 'Assumptions &amp; Inputs'!$L$117, 0), IF($B29='Project List References'!$B$7, _xlfn.IFNA(_xlfn.XLOOKUP(M$2-$C29, 'SENS Coal'!$D$7:$AW$7, 'SENS Coal'!$D$118:$AW$118), 0), IF($B29='Project List References'!$B$8, _xlfn.IFNA(_xlfn.XLOOKUP(M$2-$C29,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N29" s="663" t="e">
        <f>IF($B29='Project List References'!$B$6, IF('Project PGEN'!N29&gt;0, 'Assumptions &amp; Inputs'!$L$117, 0), IF($B29='Project List References'!$B$7, _xlfn.IFNA(_xlfn.XLOOKUP(N$2-$C29, 'SENS Coal'!$D$7:$AW$7, 'SENS Coal'!$D$118:$AW$118), 0), IF($B29='Project List References'!$B$8, _xlfn.IFNA(_xlfn.XLOOKUP(N$2-$C29,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O29" s="663" t="e">
        <f>IF($B29='Project List References'!$B$6, IF('Project PGEN'!O29&gt;0, 'Assumptions &amp; Inputs'!$L$117, 0), IF($B29='Project List References'!$B$7, _xlfn.IFNA(_xlfn.XLOOKUP(O$2-$C29, 'SENS Coal'!$D$7:$AW$7, 'SENS Coal'!$D$118:$AW$118), 0), IF($B29='Project List References'!$B$8, _xlfn.IFNA(_xlfn.XLOOKUP(O$2-$C29,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P29" s="663" t="e">
        <f>IF($B29='Project List References'!$B$6, IF('Project PGEN'!P29&gt;0, 'Assumptions &amp; Inputs'!$L$117, 0), IF($B29='Project List References'!$B$7, _xlfn.IFNA(_xlfn.XLOOKUP(P$2-$C29, 'SENS Coal'!$D$7:$AW$7, 'SENS Coal'!$D$118:$AW$118), 0), IF($B29='Project List References'!$B$8, _xlfn.IFNA(_xlfn.XLOOKUP(P$2-$C29,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Q29" s="663" t="e">
        <f>IF($B29='Project List References'!$B$6, IF('Project PGEN'!Q29&gt;0, 'Assumptions &amp; Inputs'!$L$117, 0), IF($B29='Project List References'!$B$7, _xlfn.IFNA(_xlfn.XLOOKUP(Q$2-$C29, 'SENS Coal'!$D$7:$AW$7, 'SENS Coal'!$D$118:$AW$118), 0), IF($B29='Project List References'!$B$8, _xlfn.IFNA(_xlfn.XLOOKUP(Q$2-$C29,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R29" s="663" t="e">
        <f>IF($B29='Project List References'!$B$6, IF('Project PGEN'!R29&gt;0, 'Assumptions &amp; Inputs'!$L$117, 0), IF($B29='Project List References'!$B$7, _xlfn.IFNA(_xlfn.XLOOKUP(R$2-$C29, 'SENS Coal'!$D$7:$AW$7, 'SENS Coal'!$D$118:$AW$118), 0), IF($B29='Project List References'!$B$8, _xlfn.IFNA(_xlfn.XLOOKUP(R$2-$C29,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S29" s="663" t="e">
        <f>IF($B29='Project List References'!$B$6, IF('Project PGEN'!S29&gt;0, 'Assumptions &amp; Inputs'!$L$117, 0), IF($B29='Project List References'!$B$7, _xlfn.IFNA(_xlfn.XLOOKUP(S$2-$C29, 'SENS Coal'!$D$7:$AW$7, 'SENS Coal'!$D$118:$AW$118), 0), IF($B29='Project List References'!$B$8, _xlfn.IFNA(_xlfn.XLOOKUP(S$2-$C29,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  <c r="T29" s="663" t="e">
        <f>IF($B29='Project List References'!$B$6, IF('Project PGEN'!T29&gt;0, 'Assumptions &amp; Inputs'!$L$117, 0), IF($B29='Project List References'!$B$7, _xlfn.IFNA(_xlfn.XLOOKUP(T$2-$C29, 'SENS Coal'!$D$7:$AW$7, 'SENS Coal'!$D$118:$AW$118), 0), IF($B29='Project List References'!$B$8, _xlfn.IFNA(_xlfn.XLOOKUP(T$2-$C29, 'SENS Tires'!$D$7:$AW$7, 'SENS Tires'!$D$118:$AW$118), 0))))/_xlfn.XLOOKUP($B29, 'Assumptions &amp; Inputs'!$F$76:$L$76, 'Assumptions &amp; Inputs'!$F$77:$L$77)*IF(OR($B29='Project List References'!$B$3, $B29='Project List References'!$B$4, $B29='Project List References'!$B$5, $B29='Project List References'!$B$6), 'Project Master Sheet'!$E29, 'Project Master Sheet'!$F29)</f>
        <v>#N/A</v>
      </c>
    </row>
    <row r="30" spans="1:20">
      <c r="A30" s="655" t="str">
        <f>IF(ISBLANK('Project Master Sheet'!A30)=FALSE, 'Project Master Sheet'!A30, "")</f>
        <v/>
      </c>
      <c r="B30" s="655" t="str">
        <f>_xlfn.IFNA(_xlfn.XLOOKUP(A30, 'Project Master Sheet'!A:A, 'Project Master Sheet'!D:D), "")</f>
        <v/>
      </c>
      <c r="C30" s="655" t="e">
        <f>_xlfn.XLOOKUP('Project OPEX'!A30, 'Project Master Sheet'!A:A, 'Project Master Sheet'!I:I)</f>
        <v>#N/A</v>
      </c>
      <c r="E30" s="663" t="e">
        <f>IF($B30='Project List References'!$B$6, IF('Project PGEN'!E30&gt;0, 'Assumptions &amp; Inputs'!$L$117, 0), IF($B30='Project List References'!$B$7, _xlfn.IFNA(_xlfn.XLOOKUP(E$2-$C30, 'SENS Coal'!$D$7:$AW$7, 'SENS Coal'!$D$118:$AW$118), 0), IF($B30='Project List References'!$B$8, _xlfn.IFNA(_xlfn.XLOOKUP(E$2-$C30,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F30" s="663" t="e">
        <f>IF($B30='Project List References'!$B$6, IF('Project PGEN'!F30&gt;0, 'Assumptions &amp; Inputs'!$L$117, 0), IF($B30='Project List References'!$B$7, _xlfn.IFNA(_xlfn.XLOOKUP(F$2-$C30, 'SENS Coal'!$D$7:$AW$7, 'SENS Coal'!$D$118:$AW$118), 0), IF($B30='Project List References'!$B$8, _xlfn.IFNA(_xlfn.XLOOKUP(F$2-$C30,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G30" s="663" t="e">
        <f>IF($B30='Project List References'!$B$6, IF('Project PGEN'!G30&gt;0, 'Assumptions &amp; Inputs'!$L$117, 0), IF($B30='Project List References'!$B$7, _xlfn.IFNA(_xlfn.XLOOKUP(G$2-$C30, 'SENS Coal'!$D$7:$AW$7, 'SENS Coal'!$D$118:$AW$118), 0), IF($B30='Project List References'!$B$8, _xlfn.IFNA(_xlfn.XLOOKUP(G$2-$C30,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H30" s="663" t="e">
        <f>IF($B30='Project List References'!$B$6, IF('Project PGEN'!H30&gt;0, 'Assumptions &amp; Inputs'!$L$117, 0), IF($B30='Project List References'!$B$7, _xlfn.IFNA(_xlfn.XLOOKUP(H$2-$C30, 'SENS Coal'!$D$7:$AW$7, 'SENS Coal'!$D$118:$AW$118), 0), IF($B30='Project List References'!$B$8, _xlfn.IFNA(_xlfn.XLOOKUP(H$2-$C30,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I30" s="663" t="e">
        <f>IF($B30='Project List References'!$B$6, IF('Project PGEN'!I30&gt;0, 'Assumptions &amp; Inputs'!$L$117, 0), IF($B30='Project List References'!$B$7, _xlfn.IFNA(_xlfn.XLOOKUP(I$2-$C30, 'SENS Coal'!$D$7:$AW$7, 'SENS Coal'!$D$118:$AW$118), 0), IF($B30='Project List References'!$B$8, _xlfn.IFNA(_xlfn.XLOOKUP(I$2-$C30,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J30" s="663" t="e">
        <f>IF($B30='Project List References'!$B$6, IF('Project PGEN'!J30&gt;0, 'Assumptions &amp; Inputs'!$L$117, 0), IF($B30='Project List References'!$B$7, _xlfn.IFNA(_xlfn.XLOOKUP(J$2-$C30, 'SENS Coal'!$D$7:$AW$7, 'SENS Coal'!$D$118:$AW$118), 0), IF($B30='Project List References'!$B$8, _xlfn.IFNA(_xlfn.XLOOKUP(J$2-$C30,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K30" s="663" t="e">
        <f>IF($B30='Project List References'!$B$6, IF('Project PGEN'!K30&gt;0, 'Assumptions &amp; Inputs'!$L$117, 0), IF($B30='Project List References'!$B$7, _xlfn.IFNA(_xlfn.XLOOKUP(K$2-$C30, 'SENS Coal'!$D$7:$AW$7, 'SENS Coal'!$D$118:$AW$118), 0), IF($B30='Project List References'!$B$8, _xlfn.IFNA(_xlfn.XLOOKUP(K$2-$C30,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L30" s="663" t="e">
        <f>IF($B30='Project List References'!$B$6, IF('Project PGEN'!L30&gt;0, 'Assumptions &amp; Inputs'!$L$117, 0), IF($B30='Project List References'!$B$7, _xlfn.IFNA(_xlfn.XLOOKUP(L$2-$C30, 'SENS Coal'!$D$7:$AW$7, 'SENS Coal'!$D$118:$AW$118), 0), IF($B30='Project List References'!$B$8, _xlfn.IFNA(_xlfn.XLOOKUP(L$2-$C30,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M30" s="663" t="e">
        <f>IF($B30='Project List References'!$B$6, IF('Project PGEN'!M30&gt;0, 'Assumptions &amp; Inputs'!$L$117, 0), IF($B30='Project List References'!$B$7, _xlfn.IFNA(_xlfn.XLOOKUP(M$2-$C30, 'SENS Coal'!$D$7:$AW$7, 'SENS Coal'!$D$118:$AW$118), 0), IF($B30='Project List References'!$B$8, _xlfn.IFNA(_xlfn.XLOOKUP(M$2-$C30,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N30" s="663" t="e">
        <f>IF($B30='Project List References'!$B$6, IF('Project PGEN'!N30&gt;0, 'Assumptions &amp; Inputs'!$L$117, 0), IF($B30='Project List References'!$B$7, _xlfn.IFNA(_xlfn.XLOOKUP(N$2-$C30, 'SENS Coal'!$D$7:$AW$7, 'SENS Coal'!$D$118:$AW$118), 0), IF($B30='Project List References'!$B$8, _xlfn.IFNA(_xlfn.XLOOKUP(N$2-$C30,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O30" s="663" t="e">
        <f>IF($B30='Project List References'!$B$6, IF('Project PGEN'!O30&gt;0, 'Assumptions &amp; Inputs'!$L$117, 0), IF($B30='Project List References'!$B$7, _xlfn.IFNA(_xlfn.XLOOKUP(O$2-$C30, 'SENS Coal'!$D$7:$AW$7, 'SENS Coal'!$D$118:$AW$118), 0), IF($B30='Project List References'!$B$8, _xlfn.IFNA(_xlfn.XLOOKUP(O$2-$C30,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P30" s="663" t="e">
        <f>IF($B30='Project List References'!$B$6, IF('Project PGEN'!P30&gt;0, 'Assumptions &amp; Inputs'!$L$117, 0), IF($B30='Project List References'!$B$7, _xlfn.IFNA(_xlfn.XLOOKUP(P$2-$C30, 'SENS Coal'!$D$7:$AW$7, 'SENS Coal'!$D$118:$AW$118), 0), IF($B30='Project List References'!$B$8, _xlfn.IFNA(_xlfn.XLOOKUP(P$2-$C30,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Q30" s="663" t="e">
        <f>IF($B30='Project List References'!$B$6, IF('Project PGEN'!Q30&gt;0, 'Assumptions &amp; Inputs'!$L$117, 0), IF($B30='Project List References'!$B$7, _xlfn.IFNA(_xlfn.XLOOKUP(Q$2-$C30, 'SENS Coal'!$D$7:$AW$7, 'SENS Coal'!$D$118:$AW$118), 0), IF($B30='Project List References'!$B$8, _xlfn.IFNA(_xlfn.XLOOKUP(Q$2-$C30,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R30" s="663" t="e">
        <f>IF($B30='Project List References'!$B$6, IF('Project PGEN'!R30&gt;0, 'Assumptions &amp; Inputs'!$L$117, 0), IF($B30='Project List References'!$B$7, _xlfn.IFNA(_xlfn.XLOOKUP(R$2-$C30, 'SENS Coal'!$D$7:$AW$7, 'SENS Coal'!$D$118:$AW$118), 0), IF($B30='Project List References'!$B$8, _xlfn.IFNA(_xlfn.XLOOKUP(R$2-$C30,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S30" s="663" t="e">
        <f>IF($B30='Project List References'!$B$6, IF('Project PGEN'!S30&gt;0, 'Assumptions &amp; Inputs'!$L$117, 0), IF($B30='Project List References'!$B$7, _xlfn.IFNA(_xlfn.XLOOKUP(S$2-$C30, 'SENS Coal'!$D$7:$AW$7, 'SENS Coal'!$D$118:$AW$118), 0), IF($B30='Project List References'!$B$8, _xlfn.IFNA(_xlfn.XLOOKUP(S$2-$C30,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  <c r="T30" s="663" t="e">
        <f>IF($B30='Project List References'!$B$6, IF('Project PGEN'!T30&gt;0, 'Assumptions &amp; Inputs'!$L$117, 0), IF($B30='Project List References'!$B$7, _xlfn.IFNA(_xlfn.XLOOKUP(T$2-$C30, 'SENS Coal'!$D$7:$AW$7, 'SENS Coal'!$D$118:$AW$118), 0), IF($B30='Project List References'!$B$8, _xlfn.IFNA(_xlfn.XLOOKUP(T$2-$C30, 'SENS Tires'!$D$7:$AW$7, 'SENS Tires'!$D$118:$AW$118), 0))))/_xlfn.XLOOKUP($B30, 'Assumptions &amp; Inputs'!$F$76:$L$76, 'Assumptions &amp; Inputs'!$F$77:$L$77)*IF(OR($B30='Project List References'!$B$3, $B30='Project List References'!$B$4, $B30='Project List References'!$B$5, $B30='Project List References'!$B$6), 'Project Master Sheet'!$E30, 'Project Master Sheet'!$F30)</f>
        <v>#N/A</v>
      </c>
    </row>
    <row r="31" spans="1:20">
      <c r="A31" s="655" t="str">
        <f>IF(ISBLANK('Project Master Sheet'!A31)=FALSE, 'Project Master Sheet'!A31, "")</f>
        <v/>
      </c>
      <c r="B31" s="655" t="str">
        <f>_xlfn.IFNA(_xlfn.XLOOKUP(A31, 'Project Master Sheet'!A:A, 'Project Master Sheet'!D:D), "")</f>
        <v/>
      </c>
      <c r="C31" s="655" t="e">
        <f>_xlfn.XLOOKUP('Project OPEX'!A31, 'Project Master Sheet'!A:A, 'Project Master Sheet'!I:I)</f>
        <v>#N/A</v>
      </c>
      <c r="E31" s="663" t="e">
        <f>IF($B31='Project List References'!$B$6, IF('Project PGEN'!E31&gt;0, 'Assumptions &amp; Inputs'!$L$117, 0), IF($B31='Project List References'!$B$7, _xlfn.IFNA(_xlfn.XLOOKUP(E$2-$C31, 'SENS Coal'!$D$7:$AW$7, 'SENS Coal'!$D$118:$AW$118), 0), IF($B31='Project List References'!$B$8, _xlfn.IFNA(_xlfn.XLOOKUP(E$2-$C31,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F31" s="663" t="e">
        <f>IF($B31='Project List References'!$B$6, IF('Project PGEN'!F31&gt;0, 'Assumptions &amp; Inputs'!$L$117, 0), IF($B31='Project List References'!$B$7, _xlfn.IFNA(_xlfn.XLOOKUP(F$2-$C31, 'SENS Coal'!$D$7:$AW$7, 'SENS Coal'!$D$118:$AW$118), 0), IF($B31='Project List References'!$B$8, _xlfn.IFNA(_xlfn.XLOOKUP(F$2-$C31,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G31" s="663" t="e">
        <f>IF($B31='Project List References'!$B$6, IF('Project PGEN'!G31&gt;0, 'Assumptions &amp; Inputs'!$L$117, 0), IF($B31='Project List References'!$B$7, _xlfn.IFNA(_xlfn.XLOOKUP(G$2-$C31, 'SENS Coal'!$D$7:$AW$7, 'SENS Coal'!$D$118:$AW$118), 0), IF($B31='Project List References'!$B$8, _xlfn.IFNA(_xlfn.XLOOKUP(G$2-$C31,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H31" s="663" t="e">
        <f>IF($B31='Project List References'!$B$6, IF('Project PGEN'!H31&gt;0, 'Assumptions &amp; Inputs'!$L$117, 0), IF($B31='Project List References'!$B$7, _xlfn.IFNA(_xlfn.XLOOKUP(H$2-$C31, 'SENS Coal'!$D$7:$AW$7, 'SENS Coal'!$D$118:$AW$118), 0), IF($B31='Project List References'!$B$8, _xlfn.IFNA(_xlfn.XLOOKUP(H$2-$C31,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I31" s="663" t="e">
        <f>IF($B31='Project List References'!$B$6, IF('Project PGEN'!I31&gt;0, 'Assumptions &amp; Inputs'!$L$117, 0), IF($B31='Project List References'!$B$7, _xlfn.IFNA(_xlfn.XLOOKUP(I$2-$C31, 'SENS Coal'!$D$7:$AW$7, 'SENS Coal'!$D$118:$AW$118), 0), IF($B31='Project List References'!$B$8, _xlfn.IFNA(_xlfn.XLOOKUP(I$2-$C31,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J31" s="663" t="e">
        <f>IF($B31='Project List References'!$B$6, IF('Project PGEN'!J31&gt;0, 'Assumptions &amp; Inputs'!$L$117, 0), IF($B31='Project List References'!$B$7, _xlfn.IFNA(_xlfn.XLOOKUP(J$2-$C31, 'SENS Coal'!$D$7:$AW$7, 'SENS Coal'!$D$118:$AW$118), 0), IF($B31='Project List References'!$B$8, _xlfn.IFNA(_xlfn.XLOOKUP(J$2-$C31,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K31" s="663" t="e">
        <f>IF($B31='Project List References'!$B$6, IF('Project PGEN'!K31&gt;0, 'Assumptions &amp; Inputs'!$L$117, 0), IF($B31='Project List References'!$B$7, _xlfn.IFNA(_xlfn.XLOOKUP(K$2-$C31, 'SENS Coal'!$D$7:$AW$7, 'SENS Coal'!$D$118:$AW$118), 0), IF($B31='Project List References'!$B$8, _xlfn.IFNA(_xlfn.XLOOKUP(K$2-$C31,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L31" s="663" t="e">
        <f>IF($B31='Project List References'!$B$6, IF('Project PGEN'!L31&gt;0, 'Assumptions &amp; Inputs'!$L$117, 0), IF($B31='Project List References'!$B$7, _xlfn.IFNA(_xlfn.XLOOKUP(L$2-$C31, 'SENS Coal'!$D$7:$AW$7, 'SENS Coal'!$D$118:$AW$118), 0), IF($B31='Project List References'!$B$8, _xlfn.IFNA(_xlfn.XLOOKUP(L$2-$C31,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M31" s="663" t="e">
        <f>IF($B31='Project List References'!$B$6, IF('Project PGEN'!M31&gt;0, 'Assumptions &amp; Inputs'!$L$117, 0), IF($B31='Project List References'!$B$7, _xlfn.IFNA(_xlfn.XLOOKUP(M$2-$C31, 'SENS Coal'!$D$7:$AW$7, 'SENS Coal'!$D$118:$AW$118), 0), IF($B31='Project List References'!$B$8, _xlfn.IFNA(_xlfn.XLOOKUP(M$2-$C31,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N31" s="663" t="e">
        <f>IF($B31='Project List References'!$B$6, IF('Project PGEN'!N31&gt;0, 'Assumptions &amp; Inputs'!$L$117, 0), IF($B31='Project List References'!$B$7, _xlfn.IFNA(_xlfn.XLOOKUP(N$2-$C31, 'SENS Coal'!$D$7:$AW$7, 'SENS Coal'!$D$118:$AW$118), 0), IF($B31='Project List References'!$B$8, _xlfn.IFNA(_xlfn.XLOOKUP(N$2-$C31,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O31" s="663" t="e">
        <f>IF($B31='Project List References'!$B$6, IF('Project PGEN'!O31&gt;0, 'Assumptions &amp; Inputs'!$L$117, 0), IF($B31='Project List References'!$B$7, _xlfn.IFNA(_xlfn.XLOOKUP(O$2-$C31, 'SENS Coal'!$D$7:$AW$7, 'SENS Coal'!$D$118:$AW$118), 0), IF($B31='Project List References'!$B$8, _xlfn.IFNA(_xlfn.XLOOKUP(O$2-$C31,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P31" s="663" t="e">
        <f>IF($B31='Project List References'!$B$6, IF('Project PGEN'!P31&gt;0, 'Assumptions &amp; Inputs'!$L$117, 0), IF($B31='Project List References'!$B$7, _xlfn.IFNA(_xlfn.XLOOKUP(P$2-$C31, 'SENS Coal'!$D$7:$AW$7, 'SENS Coal'!$D$118:$AW$118), 0), IF($B31='Project List References'!$B$8, _xlfn.IFNA(_xlfn.XLOOKUP(P$2-$C31,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Q31" s="663" t="e">
        <f>IF($B31='Project List References'!$B$6, IF('Project PGEN'!Q31&gt;0, 'Assumptions &amp; Inputs'!$L$117, 0), IF($B31='Project List References'!$B$7, _xlfn.IFNA(_xlfn.XLOOKUP(Q$2-$C31, 'SENS Coal'!$D$7:$AW$7, 'SENS Coal'!$D$118:$AW$118), 0), IF($B31='Project List References'!$B$8, _xlfn.IFNA(_xlfn.XLOOKUP(Q$2-$C31,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R31" s="663" t="e">
        <f>IF($B31='Project List References'!$B$6, IF('Project PGEN'!R31&gt;0, 'Assumptions &amp; Inputs'!$L$117, 0), IF($B31='Project List References'!$B$7, _xlfn.IFNA(_xlfn.XLOOKUP(R$2-$C31, 'SENS Coal'!$D$7:$AW$7, 'SENS Coal'!$D$118:$AW$118), 0), IF($B31='Project List References'!$B$8, _xlfn.IFNA(_xlfn.XLOOKUP(R$2-$C31,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S31" s="663" t="e">
        <f>IF($B31='Project List References'!$B$6, IF('Project PGEN'!S31&gt;0, 'Assumptions &amp; Inputs'!$L$117, 0), IF($B31='Project List References'!$B$7, _xlfn.IFNA(_xlfn.XLOOKUP(S$2-$C31, 'SENS Coal'!$D$7:$AW$7, 'SENS Coal'!$D$118:$AW$118), 0), IF($B31='Project List References'!$B$8, _xlfn.IFNA(_xlfn.XLOOKUP(S$2-$C31,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  <c r="T31" s="663" t="e">
        <f>IF($B31='Project List References'!$B$6, IF('Project PGEN'!T31&gt;0, 'Assumptions &amp; Inputs'!$L$117, 0), IF($B31='Project List References'!$B$7, _xlfn.IFNA(_xlfn.XLOOKUP(T$2-$C31, 'SENS Coal'!$D$7:$AW$7, 'SENS Coal'!$D$118:$AW$118), 0), IF($B31='Project List References'!$B$8, _xlfn.IFNA(_xlfn.XLOOKUP(T$2-$C31, 'SENS Tires'!$D$7:$AW$7, 'SENS Tires'!$D$118:$AW$118), 0))))/_xlfn.XLOOKUP($B31, 'Assumptions &amp; Inputs'!$F$76:$L$76, 'Assumptions &amp; Inputs'!$F$77:$L$77)*IF(OR($B31='Project List References'!$B$3, $B31='Project List References'!$B$4, $B31='Project List References'!$B$5, $B31='Project List References'!$B$6), 'Project Master Sheet'!$E31, 'Project Master Sheet'!$F31)</f>
        <v>#N/A</v>
      </c>
    </row>
    <row r="32" spans="1:20">
      <c r="A32" s="655" t="str">
        <f>IF(ISBLANK('Project Master Sheet'!A32)=FALSE, 'Project Master Sheet'!A32, "")</f>
        <v/>
      </c>
      <c r="B32" s="655" t="str">
        <f>_xlfn.IFNA(_xlfn.XLOOKUP(A32, 'Project Master Sheet'!A:A, 'Project Master Sheet'!D:D), "")</f>
        <v/>
      </c>
      <c r="C32" s="655" t="e">
        <f>_xlfn.XLOOKUP('Project OPEX'!A32, 'Project Master Sheet'!A:A, 'Project Master Sheet'!I:I)</f>
        <v>#N/A</v>
      </c>
      <c r="E32" s="663" t="e">
        <f>IF($B32='Project List References'!$B$6, IF('Project PGEN'!E32&gt;0, 'Assumptions &amp; Inputs'!$L$117, 0), IF($B32='Project List References'!$B$7, _xlfn.IFNA(_xlfn.XLOOKUP(E$2-$C32, 'SENS Coal'!$D$7:$AW$7, 'SENS Coal'!$D$118:$AW$118), 0), IF($B32='Project List References'!$B$8, _xlfn.IFNA(_xlfn.XLOOKUP(E$2-$C32,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F32" s="663" t="e">
        <f>IF($B32='Project List References'!$B$6, IF('Project PGEN'!F32&gt;0, 'Assumptions &amp; Inputs'!$L$117, 0), IF($B32='Project List References'!$B$7, _xlfn.IFNA(_xlfn.XLOOKUP(F$2-$C32, 'SENS Coal'!$D$7:$AW$7, 'SENS Coal'!$D$118:$AW$118), 0), IF($B32='Project List References'!$B$8, _xlfn.IFNA(_xlfn.XLOOKUP(F$2-$C32,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G32" s="663" t="e">
        <f>IF($B32='Project List References'!$B$6, IF('Project PGEN'!G32&gt;0, 'Assumptions &amp; Inputs'!$L$117, 0), IF($B32='Project List References'!$B$7, _xlfn.IFNA(_xlfn.XLOOKUP(G$2-$C32, 'SENS Coal'!$D$7:$AW$7, 'SENS Coal'!$D$118:$AW$118), 0), IF($B32='Project List References'!$B$8, _xlfn.IFNA(_xlfn.XLOOKUP(G$2-$C32,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H32" s="663" t="e">
        <f>IF($B32='Project List References'!$B$6, IF('Project PGEN'!H32&gt;0, 'Assumptions &amp; Inputs'!$L$117, 0), IF($B32='Project List References'!$B$7, _xlfn.IFNA(_xlfn.XLOOKUP(H$2-$C32, 'SENS Coal'!$D$7:$AW$7, 'SENS Coal'!$D$118:$AW$118), 0), IF($B32='Project List References'!$B$8, _xlfn.IFNA(_xlfn.XLOOKUP(H$2-$C32,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I32" s="663" t="e">
        <f>IF($B32='Project List References'!$B$6, IF('Project PGEN'!I32&gt;0, 'Assumptions &amp; Inputs'!$L$117, 0), IF($B32='Project List References'!$B$7, _xlfn.IFNA(_xlfn.XLOOKUP(I$2-$C32, 'SENS Coal'!$D$7:$AW$7, 'SENS Coal'!$D$118:$AW$118), 0), IF($B32='Project List References'!$B$8, _xlfn.IFNA(_xlfn.XLOOKUP(I$2-$C32,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J32" s="663" t="e">
        <f>IF($B32='Project List References'!$B$6, IF('Project PGEN'!J32&gt;0, 'Assumptions &amp; Inputs'!$L$117, 0), IF($B32='Project List References'!$B$7, _xlfn.IFNA(_xlfn.XLOOKUP(J$2-$C32, 'SENS Coal'!$D$7:$AW$7, 'SENS Coal'!$D$118:$AW$118), 0), IF($B32='Project List References'!$B$8, _xlfn.IFNA(_xlfn.XLOOKUP(J$2-$C32,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K32" s="663" t="e">
        <f>IF($B32='Project List References'!$B$6, IF('Project PGEN'!K32&gt;0, 'Assumptions &amp; Inputs'!$L$117, 0), IF($B32='Project List References'!$B$7, _xlfn.IFNA(_xlfn.XLOOKUP(K$2-$C32, 'SENS Coal'!$D$7:$AW$7, 'SENS Coal'!$D$118:$AW$118), 0), IF($B32='Project List References'!$B$8, _xlfn.IFNA(_xlfn.XLOOKUP(K$2-$C32,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L32" s="663" t="e">
        <f>IF($B32='Project List References'!$B$6, IF('Project PGEN'!L32&gt;0, 'Assumptions &amp; Inputs'!$L$117, 0), IF($B32='Project List References'!$B$7, _xlfn.IFNA(_xlfn.XLOOKUP(L$2-$C32, 'SENS Coal'!$D$7:$AW$7, 'SENS Coal'!$D$118:$AW$118), 0), IF($B32='Project List References'!$B$8, _xlfn.IFNA(_xlfn.XLOOKUP(L$2-$C32,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M32" s="663" t="e">
        <f>IF($B32='Project List References'!$B$6, IF('Project PGEN'!M32&gt;0, 'Assumptions &amp; Inputs'!$L$117, 0), IF($B32='Project List References'!$B$7, _xlfn.IFNA(_xlfn.XLOOKUP(M$2-$C32, 'SENS Coal'!$D$7:$AW$7, 'SENS Coal'!$D$118:$AW$118), 0), IF($B32='Project List References'!$B$8, _xlfn.IFNA(_xlfn.XLOOKUP(M$2-$C32,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N32" s="663" t="e">
        <f>IF($B32='Project List References'!$B$6, IF('Project PGEN'!N32&gt;0, 'Assumptions &amp; Inputs'!$L$117, 0), IF($B32='Project List References'!$B$7, _xlfn.IFNA(_xlfn.XLOOKUP(N$2-$C32, 'SENS Coal'!$D$7:$AW$7, 'SENS Coal'!$D$118:$AW$118), 0), IF($B32='Project List References'!$B$8, _xlfn.IFNA(_xlfn.XLOOKUP(N$2-$C32,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O32" s="663" t="e">
        <f>IF($B32='Project List References'!$B$6, IF('Project PGEN'!O32&gt;0, 'Assumptions &amp; Inputs'!$L$117, 0), IF($B32='Project List References'!$B$7, _xlfn.IFNA(_xlfn.XLOOKUP(O$2-$C32, 'SENS Coal'!$D$7:$AW$7, 'SENS Coal'!$D$118:$AW$118), 0), IF($B32='Project List References'!$B$8, _xlfn.IFNA(_xlfn.XLOOKUP(O$2-$C32,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P32" s="663" t="e">
        <f>IF($B32='Project List References'!$B$6, IF('Project PGEN'!P32&gt;0, 'Assumptions &amp; Inputs'!$L$117, 0), IF($B32='Project List References'!$B$7, _xlfn.IFNA(_xlfn.XLOOKUP(P$2-$C32, 'SENS Coal'!$D$7:$AW$7, 'SENS Coal'!$D$118:$AW$118), 0), IF($B32='Project List References'!$B$8, _xlfn.IFNA(_xlfn.XLOOKUP(P$2-$C32,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Q32" s="663" t="e">
        <f>IF($B32='Project List References'!$B$6, IF('Project PGEN'!Q32&gt;0, 'Assumptions &amp; Inputs'!$L$117, 0), IF($B32='Project List References'!$B$7, _xlfn.IFNA(_xlfn.XLOOKUP(Q$2-$C32, 'SENS Coal'!$D$7:$AW$7, 'SENS Coal'!$D$118:$AW$118), 0), IF($B32='Project List References'!$B$8, _xlfn.IFNA(_xlfn.XLOOKUP(Q$2-$C32,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R32" s="663" t="e">
        <f>IF($B32='Project List References'!$B$6, IF('Project PGEN'!R32&gt;0, 'Assumptions &amp; Inputs'!$L$117, 0), IF($B32='Project List References'!$B$7, _xlfn.IFNA(_xlfn.XLOOKUP(R$2-$C32, 'SENS Coal'!$D$7:$AW$7, 'SENS Coal'!$D$118:$AW$118), 0), IF($B32='Project List References'!$B$8, _xlfn.IFNA(_xlfn.XLOOKUP(R$2-$C32,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S32" s="663" t="e">
        <f>IF($B32='Project List References'!$B$6, IF('Project PGEN'!S32&gt;0, 'Assumptions &amp; Inputs'!$L$117, 0), IF($B32='Project List References'!$B$7, _xlfn.IFNA(_xlfn.XLOOKUP(S$2-$C32, 'SENS Coal'!$D$7:$AW$7, 'SENS Coal'!$D$118:$AW$118), 0), IF($B32='Project List References'!$B$8, _xlfn.IFNA(_xlfn.XLOOKUP(S$2-$C32,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  <c r="T32" s="663" t="e">
        <f>IF($B32='Project List References'!$B$6, IF('Project PGEN'!T32&gt;0, 'Assumptions &amp; Inputs'!$L$117, 0), IF($B32='Project List References'!$B$7, _xlfn.IFNA(_xlfn.XLOOKUP(T$2-$C32, 'SENS Coal'!$D$7:$AW$7, 'SENS Coal'!$D$118:$AW$118), 0), IF($B32='Project List References'!$B$8, _xlfn.IFNA(_xlfn.XLOOKUP(T$2-$C32, 'SENS Tires'!$D$7:$AW$7, 'SENS Tires'!$D$118:$AW$118), 0))))/_xlfn.XLOOKUP($B32, 'Assumptions &amp; Inputs'!$F$76:$L$76, 'Assumptions &amp; Inputs'!$F$77:$L$77)*IF(OR($B32='Project List References'!$B$3, $B32='Project List References'!$B$4, $B32='Project List References'!$B$5, $B32='Project List References'!$B$6), 'Project Master Sheet'!$E32, 'Project Master Sheet'!$F32)</f>
        <v>#N/A</v>
      </c>
    </row>
    <row r="33" spans="1:20">
      <c r="A33" s="655" t="str">
        <f>IF(ISBLANK('Project Master Sheet'!A33)=FALSE, 'Project Master Sheet'!A33, "")</f>
        <v/>
      </c>
      <c r="B33" s="655" t="str">
        <f>_xlfn.IFNA(_xlfn.XLOOKUP(A33, 'Project Master Sheet'!A:A, 'Project Master Sheet'!D:D), "")</f>
        <v/>
      </c>
      <c r="C33" s="655" t="e">
        <f>_xlfn.XLOOKUP('Project OPEX'!A33, 'Project Master Sheet'!A:A, 'Project Master Sheet'!I:I)</f>
        <v>#N/A</v>
      </c>
      <c r="E33" s="663" t="e">
        <f>IF($B33='Project List References'!$B$6, IF('Project PGEN'!E33&gt;0, 'Assumptions &amp; Inputs'!$L$117, 0), IF($B33='Project List References'!$B$7, _xlfn.IFNA(_xlfn.XLOOKUP(E$2-$C33, 'SENS Coal'!$D$7:$AW$7, 'SENS Coal'!$D$118:$AW$118), 0), IF($B33='Project List References'!$B$8, _xlfn.IFNA(_xlfn.XLOOKUP(E$2-$C33,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F33" s="663" t="e">
        <f>IF($B33='Project List References'!$B$6, IF('Project PGEN'!F33&gt;0, 'Assumptions &amp; Inputs'!$L$117, 0), IF($B33='Project List References'!$B$7, _xlfn.IFNA(_xlfn.XLOOKUP(F$2-$C33, 'SENS Coal'!$D$7:$AW$7, 'SENS Coal'!$D$118:$AW$118), 0), IF($B33='Project List References'!$B$8, _xlfn.IFNA(_xlfn.XLOOKUP(F$2-$C33,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G33" s="663" t="e">
        <f>IF($B33='Project List References'!$B$6, IF('Project PGEN'!G33&gt;0, 'Assumptions &amp; Inputs'!$L$117, 0), IF($B33='Project List References'!$B$7, _xlfn.IFNA(_xlfn.XLOOKUP(G$2-$C33, 'SENS Coal'!$D$7:$AW$7, 'SENS Coal'!$D$118:$AW$118), 0), IF($B33='Project List References'!$B$8, _xlfn.IFNA(_xlfn.XLOOKUP(G$2-$C33,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H33" s="663" t="e">
        <f>IF($B33='Project List References'!$B$6, IF('Project PGEN'!H33&gt;0, 'Assumptions &amp; Inputs'!$L$117, 0), IF($B33='Project List References'!$B$7, _xlfn.IFNA(_xlfn.XLOOKUP(H$2-$C33, 'SENS Coal'!$D$7:$AW$7, 'SENS Coal'!$D$118:$AW$118), 0), IF($B33='Project List References'!$B$8, _xlfn.IFNA(_xlfn.XLOOKUP(H$2-$C33,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I33" s="663" t="e">
        <f>IF($B33='Project List References'!$B$6, IF('Project PGEN'!I33&gt;0, 'Assumptions &amp; Inputs'!$L$117, 0), IF($B33='Project List References'!$B$7, _xlfn.IFNA(_xlfn.XLOOKUP(I$2-$C33, 'SENS Coal'!$D$7:$AW$7, 'SENS Coal'!$D$118:$AW$118), 0), IF($B33='Project List References'!$B$8, _xlfn.IFNA(_xlfn.XLOOKUP(I$2-$C33,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J33" s="663" t="e">
        <f>IF($B33='Project List References'!$B$6, IF('Project PGEN'!J33&gt;0, 'Assumptions &amp; Inputs'!$L$117, 0), IF($B33='Project List References'!$B$7, _xlfn.IFNA(_xlfn.XLOOKUP(J$2-$C33, 'SENS Coal'!$D$7:$AW$7, 'SENS Coal'!$D$118:$AW$118), 0), IF($B33='Project List References'!$B$8, _xlfn.IFNA(_xlfn.XLOOKUP(J$2-$C33,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K33" s="663" t="e">
        <f>IF($B33='Project List References'!$B$6, IF('Project PGEN'!K33&gt;0, 'Assumptions &amp; Inputs'!$L$117, 0), IF($B33='Project List References'!$B$7, _xlfn.IFNA(_xlfn.XLOOKUP(K$2-$C33, 'SENS Coal'!$D$7:$AW$7, 'SENS Coal'!$D$118:$AW$118), 0), IF($B33='Project List References'!$B$8, _xlfn.IFNA(_xlfn.XLOOKUP(K$2-$C33,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L33" s="663" t="e">
        <f>IF($B33='Project List References'!$B$6, IF('Project PGEN'!L33&gt;0, 'Assumptions &amp; Inputs'!$L$117, 0), IF($B33='Project List References'!$B$7, _xlfn.IFNA(_xlfn.XLOOKUP(L$2-$C33, 'SENS Coal'!$D$7:$AW$7, 'SENS Coal'!$D$118:$AW$118), 0), IF($B33='Project List References'!$B$8, _xlfn.IFNA(_xlfn.XLOOKUP(L$2-$C33,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M33" s="663" t="e">
        <f>IF($B33='Project List References'!$B$6, IF('Project PGEN'!M33&gt;0, 'Assumptions &amp; Inputs'!$L$117, 0), IF($B33='Project List References'!$B$7, _xlfn.IFNA(_xlfn.XLOOKUP(M$2-$C33, 'SENS Coal'!$D$7:$AW$7, 'SENS Coal'!$D$118:$AW$118), 0), IF($B33='Project List References'!$B$8, _xlfn.IFNA(_xlfn.XLOOKUP(M$2-$C33,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N33" s="663" t="e">
        <f>IF($B33='Project List References'!$B$6, IF('Project PGEN'!N33&gt;0, 'Assumptions &amp; Inputs'!$L$117, 0), IF($B33='Project List References'!$B$7, _xlfn.IFNA(_xlfn.XLOOKUP(N$2-$C33, 'SENS Coal'!$D$7:$AW$7, 'SENS Coal'!$D$118:$AW$118), 0), IF($B33='Project List References'!$B$8, _xlfn.IFNA(_xlfn.XLOOKUP(N$2-$C33,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O33" s="663" t="e">
        <f>IF($B33='Project List References'!$B$6, IF('Project PGEN'!O33&gt;0, 'Assumptions &amp; Inputs'!$L$117, 0), IF($B33='Project List References'!$B$7, _xlfn.IFNA(_xlfn.XLOOKUP(O$2-$C33, 'SENS Coal'!$D$7:$AW$7, 'SENS Coal'!$D$118:$AW$118), 0), IF($B33='Project List References'!$B$8, _xlfn.IFNA(_xlfn.XLOOKUP(O$2-$C33,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P33" s="663" t="e">
        <f>IF($B33='Project List References'!$B$6, IF('Project PGEN'!P33&gt;0, 'Assumptions &amp; Inputs'!$L$117, 0), IF($B33='Project List References'!$B$7, _xlfn.IFNA(_xlfn.XLOOKUP(P$2-$C33, 'SENS Coal'!$D$7:$AW$7, 'SENS Coal'!$D$118:$AW$118), 0), IF($B33='Project List References'!$B$8, _xlfn.IFNA(_xlfn.XLOOKUP(P$2-$C33,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Q33" s="663" t="e">
        <f>IF($B33='Project List References'!$B$6, IF('Project PGEN'!Q33&gt;0, 'Assumptions &amp; Inputs'!$L$117, 0), IF($B33='Project List References'!$B$7, _xlfn.IFNA(_xlfn.XLOOKUP(Q$2-$C33, 'SENS Coal'!$D$7:$AW$7, 'SENS Coal'!$D$118:$AW$118), 0), IF($B33='Project List References'!$B$8, _xlfn.IFNA(_xlfn.XLOOKUP(Q$2-$C33,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R33" s="663" t="e">
        <f>IF($B33='Project List References'!$B$6, IF('Project PGEN'!R33&gt;0, 'Assumptions &amp; Inputs'!$L$117, 0), IF($B33='Project List References'!$B$7, _xlfn.IFNA(_xlfn.XLOOKUP(R$2-$C33, 'SENS Coal'!$D$7:$AW$7, 'SENS Coal'!$D$118:$AW$118), 0), IF($B33='Project List References'!$B$8, _xlfn.IFNA(_xlfn.XLOOKUP(R$2-$C33,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S33" s="663" t="e">
        <f>IF($B33='Project List References'!$B$6, IF('Project PGEN'!S33&gt;0, 'Assumptions &amp; Inputs'!$L$117, 0), IF($B33='Project List References'!$B$7, _xlfn.IFNA(_xlfn.XLOOKUP(S$2-$C33, 'SENS Coal'!$D$7:$AW$7, 'SENS Coal'!$D$118:$AW$118), 0), IF($B33='Project List References'!$B$8, _xlfn.IFNA(_xlfn.XLOOKUP(S$2-$C33,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  <c r="T33" s="663" t="e">
        <f>IF($B33='Project List References'!$B$6, IF('Project PGEN'!T33&gt;0, 'Assumptions &amp; Inputs'!$L$117, 0), IF($B33='Project List References'!$B$7, _xlfn.IFNA(_xlfn.XLOOKUP(T$2-$C33, 'SENS Coal'!$D$7:$AW$7, 'SENS Coal'!$D$118:$AW$118), 0), IF($B33='Project List References'!$B$8, _xlfn.IFNA(_xlfn.XLOOKUP(T$2-$C33, 'SENS Tires'!$D$7:$AW$7, 'SENS Tires'!$D$118:$AW$118), 0))))/_xlfn.XLOOKUP($B33, 'Assumptions &amp; Inputs'!$F$76:$L$76, 'Assumptions &amp; Inputs'!$F$77:$L$77)*IF(OR($B33='Project List References'!$B$3, $B33='Project List References'!$B$4, $B33='Project List References'!$B$5, $B33='Project List References'!$B$6), 'Project Master Sheet'!$E33, 'Project Master Sheet'!$F33)</f>
        <v>#N/A</v>
      </c>
    </row>
    <row r="34" spans="1:20">
      <c r="A34" s="655" t="str">
        <f>IF(ISBLANK('Project Master Sheet'!A34)=FALSE, 'Project Master Sheet'!A34, "")</f>
        <v/>
      </c>
      <c r="B34" s="655" t="str">
        <f>_xlfn.IFNA(_xlfn.XLOOKUP(A34, 'Project Master Sheet'!A:A, 'Project Master Sheet'!D:D), "")</f>
        <v/>
      </c>
      <c r="C34" s="655" t="e">
        <f>_xlfn.XLOOKUP('Project OPEX'!A34, 'Project Master Sheet'!A:A, 'Project Master Sheet'!I:I)</f>
        <v>#N/A</v>
      </c>
      <c r="E34" s="663" t="e">
        <f>IF($B34='Project List References'!$B$6, IF('Project PGEN'!E34&gt;0, 'Assumptions &amp; Inputs'!$L$117, 0), IF($B34='Project List References'!$B$7, _xlfn.IFNA(_xlfn.XLOOKUP(E$2-$C34, 'SENS Coal'!$D$7:$AW$7, 'SENS Coal'!$D$118:$AW$118), 0), IF($B34='Project List References'!$B$8, _xlfn.IFNA(_xlfn.XLOOKUP(E$2-$C34,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F34" s="663" t="e">
        <f>IF($B34='Project List References'!$B$6, IF('Project PGEN'!F34&gt;0, 'Assumptions &amp; Inputs'!$L$117, 0), IF($B34='Project List References'!$B$7, _xlfn.IFNA(_xlfn.XLOOKUP(F$2-$C34, 'SENS Coal'!$D$7:$AW$7, 'SENS Coal'!$D$118:$AW$118), 0), IF($B34='Project List References'!$B$8, _xlfn.IFNA(_xlfn.XLOOKUP(F$2-$C34,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G34" s="663" t="e">
        <f>IF($B34='Project List References'!$B$6, IF('Project PGEN'!G34&gt;0, 'Assumptions &amp; Inputs'!$L$117, 0), IF($B34='Project List References'!$B$7, _xlfn.IFNA(_xlfn.XLOOKUP(G$2-$C34, 'SENS Coal'!$D$7:$AW$7, 'SENS Coal'!$D$118:$AW$118), 0), IF($B34='Project List References'!$B$8, _xlfn.IFNA(_xlfn.XLOOKUP(G$2-$C34,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H34" s="663" t="e">
        <f>IF($B34='Project List References'!$B$6, IF('Project PGEN'!H34&gt;0, 'Assumptions &amp; Inputs'!$L$117, 0), IF($B34='Project List References'!$B$7, _xlfn.IFNA(_xlfn.XLOOKUP(H$2-$C34, 'SENS Coal'!$D$7:$AW$7, 'SENS Coal'!$D$118:$AW$118), 0), IF($B34='Project List References'!$B$8, _xlfn.IFNA(_xlfn.XLOOKUP(H$2-$C34,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I34" s="663" t="e">
        <f>IF($B34='Project List References'!$B$6, IF('Project PGEN'!I34&gt;0, 'Assumptions &amp; Inputs'!$L$117, 0), IF($B34='Project List References'!$B$7, _xlfn.IFNA(_xlfn.XLOOKUP(I$2-$C34, 'SENS Coal'!$D$7:$AW$7, 'SENS Coal'!$D$118:$AW$118), 0), IF($B34='Project List References'!$B$8, _xlfn.IFNA(_xlfn.XLOOKUP(I$2-$C34,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J34" s="663" t="e">
        <f>IF($B34='Project List References'!$B$6, IF('Project PGEN'!J34&gt;0, 'Assumptions &amp; Inputs'!$L$117, 0), IF($B34='Project List References'!$B$7, _xlfn.IFNA(_xlfn.XLOOKUP(J$2-$C34, 'SENS Coal'!$D$7:$AW$7, 'SENS Coal'!$D$118:$AW$118), 0), IF($B34='Project List References'!$B$8, _xlfn.IFNA(_xlfn.XLOOKUP(J$2-$C34,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K34" s="663" t="e">
        <f>IF($B34='Project List References'!$B$6, IF('Project PGEN'!K34&gt;0, 'Assumptions &amp; Inputs'!$L$117, 0), IF($B34='Project List References'!$B$7, _xlfn.IFNA(_xlfn.XLOOKUP(K$2-$C34, 'SENS Coal'!$D$7:$AW$7, 'SENS Coal'!$D$118:$AW$118), 0), IF($B34='Project List References'!$B$8, _xlfn.IFNA(_xlfn.XLOOKUP(K$2-$C34,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L34" s="663" t="e">
        <f>IF($B34='Project List References'!$B$6, IF('Project PGEN'!L34&gt;0, 'Assumptions &amp; Inputs'!$L$117, 0), IF($B34='Project List References'!$B$7, _xlfn.IFNA(_xlfn.XLOOKUP(L$2-$C34, 'SENS Coal'!$D$7:$AW$7, 'SENS Coal'!$D$118:$AW$118), 0), IF($B34='Project List References'!$B$8, _xlfn.IFNA(_xlfn.XLOOKUP(L$2-$C34,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M34" s="663" t="e">
        <f>IF($B34='Project List References'!$B$6, IF('Project PGEN'!M34&gt;0, 'Assumptions &amp; Inputs'!$L$117, 0), IF($B34='Project List References'!$B$7, _xlfn.IFNA(_xlfn.XLOOKUP(M$2-$C34, 'SENS Coal'!$D$7:$AW$7, 'SENS Coal'!$D$118:$AW$118), 0), IF($B34='Project List References'!$B$8, _xlfn.IFNA(_xlfn.XLOOKUP(M$2-$C34,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N34" s="663" t="e">
        <f>IF($B34='Project List References'!$B$6, IF('Project PGEN'!N34&gt;0, 'Assumptions &amp; Inputs'!$L$117, 0), IF($B34='Project List References'!$B$7, _xlfn.IFNA(_xlfn.XLOOKUP(N$2-$C34, 'SENS Coal'!$D$7:$AW$7, 'SENS Coal'!$D$118:$AW$118), 0), IF($B34='Project List References'!$B$8, _xlfn.IFNA(_xlfn.XLOOKUP(N$2-$C34,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O34" s="663" t="e">
        <f>IF($B34='Project List References'!$B$6, IF('Project PGEN'!O34&gt;0, 'Assumptions &amp; Inputs'!$L$117, 0), IF($B34='Project List References'!$B$7, _xlfn.IFNA(_xlfn.XLOOKUP(O$2-$C34, 'SENS Coal'!$D$7:$AW$7, 'SENS Coal'!$D$118:$AW$118), 0), IF($B34='Project List References'!$B$8, _xlfn.IFNA(_xlfn.XLOOKUP(O$2-$C34,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P34" s="663" t="e">
        <f>IF($B34='Project List References'!$B$6, IF('Project PGEN'!P34&gt;0, 'Assumptions &amp; Inputs'!$L$117, 0), IF($B34='Project List References'!$B$7, _xlfn.IFNA(_xlfn.XLOOKUP(P$2-$C34, 'SENS Coal'!$D$7:$AW$7, 'SENS Coal'!$D$118:$AW$118), 0), IF($B34='Project List References'!$B$8, _xlfn.IFNA(_xlfn.XLOOKUP(P$2-$C34,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Q34" s="663" t="e">
        <f>IF($B34='Project List References'!$B$6, IF('Project PGEN'!Q34&gt;0, 'Assumptions &amp; Inputs'!$L$117, 0), IF($B34='Project List References'!$B$7, _xlfn.IFNA(_xlfn.XLOOKUP(Q$2-$C34, 'SENS Coal'!$D$7:$AW$7, 'SENS Coal'!$D$118:$AW$118), 0), IF($B34='Project List References'!$B$8, _xlfn.IFNA(_xlfn.XLOOKUP(Q$2-$C34,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R34" s="663" t="e">
        <f>IF($B34='Project List References'!$B$6, IF('Project PGEN'!R34&gt;0, 'Assumptions &amp; Inputs'!$L$117, 0), IF($B34='Project List References'!$B$7, _xlfn.IFNA(_xlfn.XLOOKUP(R$2-$C34, 'SENS Coal'!$D$7:$AW$7, 'SENS Coal'!$D$118:$AW$118), 0), IF($B34='Project List References'!$B$8, _xlfn.IFNA(_xlfn.XLOOKUP(R$2-$C34,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S34" s="663" t="e">
        <f>IF($B34='Project List References'!$B$6, IF('Project PGEN'!S34&gt;0, 'Assumptions &amp; Inputs'!$L$117, 0), IF($B34='Project List References'!$B$7, _xlfn.IFNA(_xlfn.XLOOKUP(S$2-$C34, 'SENS Coal'!$D$7:$AW$7, 'SENS Coal'!$D$118:$AW$118), 0), IF($B34='Project List References'!$B$8, _xlfn.IFNA(_xlfn.XLOOKUP(S$2-$C34,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  <c r="T34" s="663" t="e">
        <f>IF($B34='Project List References'!$B$6, IF('Project PGEN'!T34&gt;0, 'Assumptions &amp; Inputs'!$L$117, 0), IF($B34='Project List References'!$B$7, _xlfn.IFNA(_xlfn.XLOOKUP(T$2-$C34, 'SENS Coal'!$D$7:$AW$7, 'SENS Coal'!$D$118:$AW$118), 0), IF($B34='Project List References'!$B$8, _xlfn.IFNA(_xlfn.XLOOKUP(T$2-$C34, 'SENS Tires'!$D$7:$AW$7, 'SENS Tires'!$D$118:$AW$118), 0))))/_xlfn.XLOOKUP($B34, 'Assumptions &amp; Inputs'!$F$76:$L$76, 'Assumptions &amp; Inputs'!$F$77:$L$77)*IF(OR($B34='Project List References'!$B$3, $B34='Project List References'!$B$4, $B34='Project List References'!$B$5, $B34='Project List References'!$B$6), 'Project Master Sheet'!$E34, 'Project Master Sheet'!$F34)</f>
        <v>#N/A</v>
      </c>
    </row>
    <row r="35" spans="1:20">
      <c r="A35" s="655" t="str">
        <f>IF(ISBLANK('Project Master Sheet'!A35)=FALSE, 'Project Master Sheet'!A35, "")</f>
        <v/>
      </c>
      <c r="B35" s="655" t="str">
        <f>_xlfn.IFNA(_xlfn.XLOOKUP(A35, 'Project Master Sheet'!A:A, 'Project Master Sheet'!D:D), "")</f>
        <v/>
      </c>
      <c r="C35" s="655" t="e">
        <f>_xlfn.XLOOKUP('Project OPEX'!A35, 'Project Master Sheet'!A:A, 'Project Master Sheet'!I:I)</f>
        <v>#N/A</v>
      </c>
      <c r="E35" s="663" t="e">
        <f>IF($B35='Project List References'!$B$6, IF('Project PGEN'!E35&gt;0, 'Assumptions &amp; Inputs'!$L$117, 0), IF($B35='Project List References'!$B$7, _xlfn.IFNA(_xlfn.XLOOKUP(E$2-$C35, 'SENS Coal'!$D$7:$AW$7, 'SENS Coal'!$D$118:$AW$118), 0), IF($B35='Project List References'!$B$8, _xlfn.IFNA(_xlfn.XLOOKUP(E$2-$C35,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F35" s="663" t="e">
        <f>IF($B35='Project List References'!$B$6, IF('Project PGEN'!F35&gt;0, 'Assumptions &amp; Inputs'!$L$117, 0), IF($B35='Project List References'!$B$7, _xlfn.IFNA(_xlfn.XLOOKUP(F$2-$C35, 'SENS Coal'!$D$7:$AW$7, 'SENS Coal'!$D$118:$AW$118), 0), IF($B35='Project List References'!$B$8, _xlfn.IFNA(_xlfn.XLOOKUP(F$2-$C35,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G35" s="663" t="e">
        <f>IF($B35='Project List References'!$B$6, IF('Project PGEN'!G35&gt;0, 'Assumptions &amp; Inputs'!$L$117, 0), IF($B35='Project List References'!$B$7, _xlfn.IFNA(_xlfn.XLOOKUP(G$2-$C35, 'SENS Coal'!$D$7:$AW$7, 'SENS Coal'!$D$118:$AW$118), 0), IF($B35='Project List References'!$B$8, _xlfn.IFNA(_xlfn.XLOOKUP(G$2-$C35,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H35" s="663" t="e">
        <f>IF($B35='Project List References'!$B$6, IF('Project PGEN'!H35&gt;0, 'Assumptions &amp; Inputs'!$L$117, 0), IF($B35='Project List References'!$B$7, _xlfn.IFNA(_xlfn.XLOOKUP(H$2-$C35, 'SENS Coal'!$D$7:$AW$7, 'SENS Coal'!$D$118:$AW$118), 0), IF($B35='Project List References'!$B$8, _xlfn.IFNA(_xlfn.XLOOKUP(H$2-$C35,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I35" s="663" t="e">
        <f>IF($B35='Project List References'!$B$6, IF('Project PGEN'!I35&gt;0, 'Assumptions &amp; Inputs'!$L$117, 0), IF($B35='Project List References'!$B$7, _xlfn.IFNA(_xlfn.XLOOKUP(I$2-$C35, 'SENS Coal'!$D$7:$AW$7, 'SENS Coal'!$D$118:$AW$118), 0), IF($B35='Project List References'!$B$8, _xlfn.IFNA(_xlfn.XLOOKUP(I$2-$C35,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J35" s="663" t="e">
        <f>IF($B35='Project List References'!$B$6, IF('Project PGEN'!J35&gt;0, 'Assumptions &amp; Inputs'!$L$117, 0), IF($B35='Project List References'!$B$7, _xlfn.IFNA(_xlfn.XLOOKUP(J$2-$C35, 'SENS Coal'!$D$7:$AW$7, 'SENS Coal'!$D$118:$AW$118), 0), IF($B35='Project List References'!$B$8, _xlfn.IFNA(_xlfn.XLOOKUP(J$2-$C35,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K35" s="663" t="e">
        <f>IF($B35='Project List References'!$B$6, IF('Project PGEN'!K35&gt;0, 'Assumptions &amp; Inputs'!$L$117, 0), IF($B35='Project List References'!$B$7, _xlfn.IFNA(_xlfn.XLOOKUP(K$2-$C35, 'SENS Coal'!$D$7:$AW$7, 'SENS Coal'!$D$118:$AW$118), 0), IF($B35='Project List References'!$B$8, _xlfn.IFNA(_xlfn.XLOOKUP(K$2-$C35,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L35" s="663" t="e">
        <f>IF($B35='Project List References'!$B$6, IF('Project PGEN'!L35&gt;0, 'Assumptions &amp; Inputs'!$L$117, 0), IF($B35='Project List References'!$B$7, _xlfn.IFNA(_xlfn.XLOOKUP(L$2-$C35, 'SENS Coal'!$D$7:$AW$7, 'SENS Coal'!$D$118:$AW$118), 0), IF($B35='Project List References'!$B$8, _xlfn.IFNA(_xlfn.XLOOKUP(L$2-$C35,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M35" s="663" t="e">
        <f>IF($B35='Project List References'!$B$6, IF('Project PGEN'!M35&gt;0, 'Assumptions &amp; Inputs'!$L$117, 0), IF($B35='Project List References'!$B$7, _xlfn.IFNA(_xlfn.XLOOKUP(M$2-$C35, 'SENS Coal'!$D$7:$AW$7, 'SENS Coal'!$D$118:$AW$118), 0), IF($B35='Project List References'!$B$8, _xlfn.IFNA(_xlfn.XLOOKUP(M$2-$C35,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N35" s="663" t="e">
        <f>IF($B35='Project List References'!$B$6, IF('Project PGEN'!N35&gt;0, 'Assumptions &amp; Inputs'!$L$117, 0), IF($B35='Project List References'!$B$7, _xlfn.IFNA(_xlfn.XLOOKUP(N$2-$C35, 'SENS Coal'!$D$7:$AW$7, 'SENS Coal'!$D$118:$AW$118), 0), IF($B35='Project List References'!$B$8, _xlfn.IFNA(_xlfn.XLOOKUP(N$2-$C35,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O35" s="663" t="e">
        <f>IF($B35='Project List References'!$B$6, IF('Project PGEN'!O35&gt;0, 'Assumptions &amp; Inputs'!$L$117, 0), IF($B35='Project List References'!$B$7, _xlfn.IFNA(_xlfn.XLOOKUP(O$2-$C35, 'SENS Coal'!$D$7:$AW$7, 'SENS Coal'!$D$118:$AW$118), 0), IF($B35='Project List References'!$B$8, _xlfn.IFNA(_xlfn.XLOOKUP(O$2-$C35,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P35" s="663" t="e">
        <f>IF($B35='Project List References'!$B$6, IF('Project PGEN'!P35&gt;0, 'Assumptions &amp; Inputs'!$L$117, 0), IF($B35='Project List References'!$B$7, _xlfn.IFNA(_xlfn.XLOOKUP(P$2-$C35, 'SENS Coal'!$D$7:$AW$7, 'SENS Coal'!$D$118:$AW$118), 0), IF($B35='Project List References'!$B$8, _xlfn.IFNA(_xlfn.XLOOKUP(P$2-$C35,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Q35" s="663" t="e">
        <f>IF($B35='Project List References'!$B$6, IF('Project PGEN'!Q35&gt;0, 'Assumptions &amp; Inputs'!$L$117, 0), IF($B35='Project List References'!$B$7, _xlfn.IFNA(_xlfn.XLOOKUP(Q$2-$C35, 'SENS Coal'!$D$7:$AW$7, 'SENS Coal'!$D$118:$AW$118), 0), IF($B35='Project List References'!$B$8, _xlfn.IFNA(_xlfn.XLOOKUP(Q$2-$C35,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R35" s="663" t="e">
        <f>IF($B35='Project List References'!$B$6, IF('Project PGEN'!R35&gt;0, 'Assumptions &amp; Inputs'!$L$117, 0), IF($B35='Project List References'!$B$7, _xlfn.IFNA(_xlfn.XLOOKUP(R$2-$C35, 'SENS Coal'!$D$7:$AW$7, 'SENS Coal'!$D$118:$AW$118), 0), IF($B35='Project List References'!$B$8, _xlfn.IFNA(_xlfn.XLOOKUP(R$2-$C35,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S35" s="663" t="e">
        <f>IF($B35='Project List References'!$B$6, IF('Project PGEN'!S35&gt;0, 'Assumptions &amp; Inputs'!$L$117, 0), IF($B35='Project List References'!$B$7, _xlfn.IFNA(_xlfn.XLOOKUP(S$2-$C35, 'SENS Coal'!$D$7:$AW$7, 'SENS Coal'!$D$118:$AW$118), 0), IF($B35='Project List References'!$B$8, _xlfn.IFNA(_xlfn.XLOOKUP(S$2-$C35,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  <c r="T35" s="663" t="e">
        <f>IF($B35='Project List References'!$B$6, IF('Project PGEN'!T35&gt;0, 'Assumptions &amp; Inputs'!$L$117, 0), IF($B35='Project List References'!$B$7, _xlfn.IFNA(_xlfn.XLOOKUP(T$2-$C35, 'SENS Coal'!$D$7:$AW$7, 'SENS Coal'!$D$118:$AW$118), 0), IF($B35='Project List References'!$B$8, _xlfn.IFNA(_xlfn.XLOOKUP(T$2-$C35, 'SENS Tires'!$D$7:$AW$7, 'SENS Tires'!$D$118:$AW$118), 0))))/_xlfn.XLOOKUP($B35, 'Assumptions &amp; Inputs'!$F$76:$L$76, 'Assumptions &amp; Inputs'!$F$77:$L$77)*IF(OR($B35='Project List References'!$B$3, $B35='Project List References'!$B$4, $B35='Project List References'!$B$5, $B35='Project List References'!$B$6), 'Project Master Sheet'!$E35, 'Project Master Sheet'!$F35)</f>
        <v>#N/A</v>
      </c>
    </row>
    <row r="36" spans="1:20">
      <c r="A36" s="655" t="str">
        <f>IF(ISBLANK('Project Master Sheet'!A36)=FALSE, 'Project Master Sheet'!A36, "")</f>
        <v/>
      </c>
      <c r="B36" s="655" t="str">
        <f>_xlfn.IFNA(_xlfn.XLOOKUP(A36, 'Project Master Sheet'!A:A, 'Project Master Sheet'!D:D), "")</f>
        <v/>
      </c>
      <c r="C36" s="655" t="e">
        <f>_xlfn.XLOOKUP('Project OPEX'!A36, 'Project Master Sheet'!A:A, 'Project Master Sheet'!I:I)</f>
        <v>#N/A</v>
      </c>
      <c r="E36" s="663" t="e">
        <f>IF($B36='Project List References'!$B$6, IF('Project PGEN'!E36&gt;0, 'Assumptions &amp; Inputs'!$L$117, 0), IF($B36='Project List References'!$B$7, _xlfn.IFNA(_xlfn.XLOOKUP(E$2-$C36, 'SENS Coal'!$D$7:$AW$7, 'SENS Coal'!$D$118:$AW$118), 0), IF($B36='Project List References'!$B$8, _xlfn.IFNA(_xlfn.XLOOKUP(E$2-$C36,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F36" s="663" t="e">
        <f>IF($B36='Project List References'!$B$6, IF('Project PGEN'!F36&gt;0, 'Assumptions &amp; Inputs'!$L$117, 0), IF($B36='Project List References'!$B$7, _xlfn.IFNA(_xlfn.XLOOKUP(F$2-$C36, 'SENS Coal'!$D$7:$AW$7, 'SENS Coal'!$D$118:$AW$118), 0), IF($B36='Project List References'!$B$8, _xlfn.IFNA(_xlfn.XLOOKUP(F$2-$C36,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G36" s="663" t="e">
        <f>IF($B36='Project List References'!$B$6, IF('Project PGEN'!G36&gt;0, 'Assumptions &amp; Inputs'!$L$117, 0), IF($B36='Project List References'!$B$7, _xlfn.IFNA(_xlfn.XLOOKUP(G$2-$C36, 'SENS Coal'!$D$7:$AW$7, 'SENS Coal'!$D$118:$AW$118), 0), IF($B36='Project List References'!$B$8, _xlfn.IFNA(_xlfn.XLOOKUP(G$2-$C36,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H36" s="663" t="e">
        <f>IF($B36='Project List References'!$B$6, IF('Project PGEN'!H36&gt;0, 'Assumptions &amp; Inputs'!$L$117, 0), IF($B36='Project List References'!$B$7, _xlfn.IFNA(_xlfn.XLOOKUP(H$2-$C36, 'SENS Coal'!$D$7:$AW$7, 'SENS Coal'!$D$118:$AW$118), 0), IF($B36='Project List References'!$B$8, _xlfn.IFNA(_xlfn.XLOOKUP(H$2-$C36,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I36" s="663" t="e">
        <f>IF($B36='Project List References'!$B$6, IF('Project PGEN'!I36&gt;0, 'Assumptions &amp; Inputs'!$L$117, 0), IF($B36='Project List References'!$B$7, _xlfn.IFNA(_xlfn.XLOOKUP(I$2-$C36, 'SENS Coal'!$D$7:$AW$7, 'SENS Coal'!$D$118:$AW$118), 0), IF($B36='Project List References'!$B$8, _xlfn.IFNA(_xlfn.XLOOKUP(I$2-$C36,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J36" s="663" t="e">
        <f>IF($B36='Project List References'!$B$6, IF('Project PGEN'!J36&gt;0, 'Assumptions &amp; Inputs'!$L$117, 0), IF($B36='Project List References'!$B$7, _xlfn.IFNA(_xlfn.XLOOKUP(J$2-$C36, 'SENS Coal'!$D$7:$AW$7, 'SENS Coal'!$D$118:$AW$118), 0), IF($B36='Project List References'!$B$8, _xlfn.IFNA(_xlfn.XLOOKUP(J$2-$C36,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K36" s="663" t="e">
        <f>IF($B36='Project List References'!$B$6, IF('Project PGEN'!K36&gt;0, 'Assumptions &amp; Inputs'!$L$117, 0), IF($B36='Project List References'!$B$7, _xlfn.IFNA(_xlfn.XLOOKUP(K$2-$C36, 'SENS Coal'!$D$7:$AW$7, 'SENS Coal'!$D$118:$AW$118), 0), IF($B36='Project List References'!$B$8, _xlfn.IFNA(_xlfn.XLOOKUP(K$2-$C36,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L36" s="663" t="e">
        <f>IF($B36='Project List References'!$B$6, IF('Project PGEN'!L36&gt;0, 'Assumptions &amp; Inputs'!$L$117, 0), IF($B36='Project List References'!$B$7, _xlfn.IFNA(_xlfn.XLOOKUP(L$2-$C36, 'SENS Coal'!$D$7:$AW$7, 'SENS Coal'!$D$118:$AW$118), 0), IF($B36='Project List References'!$B$8, _xlfn.IFNA(_xlfn.XLOOKUP(L$2-$C36,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M36" s="663" t="e">
        <f>IF($B36='Project List References'!$B$6, IF('Project PGEN'!M36&gt;0, 'Assumptions &amp; Inputs'!$L$117, 0), IF($B36='Project List References'!$B$7, _xlfn.IFNA(_xlfn.XLOOKUP(M$2-$C36, 'SENS Coal'!$D$7:$AW$7, 'SENS Coal'!$D$118:$AW$118), 0), IF($B36='Project List References'!$B$8, _xlfn.IFNA(_xlfn.XLOOKUP(M$2-$C36,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N36" s="663" t="e">
        <f>IF($B36='Project List References'!$B$6, IF('Project PGEN'!N36&gt;0, 'Assumptions &amp; Inputs'!$L$117, 0), IF($B36='Project List References'!$B$7, _xlfn.IFNA(_xlfn.XLOOKUP(N$2-$C36, 'SENS Coal'!$D$7:$AW$7, 'SENS Coal'!$D$118:$AW$118), 0), IF($B36='Project List References'!$B$8, _xlfn.IFNA(_xlfn.XLOOKUP(N$2-$C36,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O36" s="663" t="e">
        <f>IF($B36='Project List References'!$B$6, IF('Project PGEN'!O36&gt;0, 'Assumptions &amp; Inputs'!$L$117, 0), IF($B36='Project List References'!$B$7, _xlfn.IFNA(_xlfn.XLOOKUP(O$2-$C36, 'SENS Coal'!$D$7:$AW$7, 'SENS Coal'!$D$118:$AW$118), 0), IF($B36='Project List References'!$B$8, _xlfn.IFNA(_xlfn.XLOOKUP(O$2-$C36,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P36" s="663" t="e">
        <f>IF($B36='Project List References'!$B$6, IF('Project PGEN'!P36&gt;0, 'Assumptions &amp; Inputs'!$L$117, 0), IF($B36='Project List References'!$B$7, _xlfn.IFNA(_xlfn.XLOOKUP(P$2-$C36, 'SENS Coal'!$D$7:$AW$7, 'SENS Coal'!$D$118:$AW$118), 0), IF($B36='Project List References'!$B$8, _xlfn.IFNA(_xlfn.XLOOKUP(P$2-$C36,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Q36" s="663" t="e">
        <f>IF($B36='Project List References'!$B$6, IF('Project PGEN'!Q36&gt;0, 'Assumptions &amp; Inputs'!$L$117, 0), IF($B36='Project List References'!$B$7, _xlfn.IFNA(_xlfn.XLOOKUP(Q$2-$C36, 'SENS Coal'!$D$7:$AW$7, 'SENS Coal'!$D$118:$AW$118), 0), IF($B36='Project List References'!$B$8, _xlfn.IFNA(_xlfn.XLOOKUP(Q$2-$C36,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R36" s="663" t="e">
        <f>IF($B36='Project List References'!$B$6, IF('Project PGEN'!R36&gt;0, 'Assumptions &amp; Inputs'!$L$117, 0), IF($B36='Project List References'!$B$7, _xlfn.IFNA(_xlfn.XLOOKUP(R$2-$C36, 'SENS Coal'!$D$7:$AW$7, 'SENS Coal'!$D$118:$AW$118), 0), IF($B36='Project List References'!$B$8, _xlfn.IFNA(_xlfn.XLOOKUP(R$2-$C36,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S36" s="663" t="e">
        <f>IF($B36='Project List References'!$B$6, IF('Project PGEN'!S36&gt;0, 'Assumptions &amp; Inputs'!$L$117, 0), IF($B36='Project List References'!$B$7, _xlfn.IFNA(_xlfn.XLOOKUP(S$2-$C36, 'SENS Coal'!$D$7:$AW$7, 'SENS Coal'!$D$118:$AW$118), 0), IF($B36='Project List References'!$B$8, _xlfn.IFNA(_xlfn.XLOOKUP(S$2-$C36,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  <c r="T36" s="663" t="e">
        <f>IF($B36='Project List References'!$B$6, IF('Project PGEN'!T36&gt;0, 'Assumptions &amp; Inputs'!$L$117, 0), IF($B36='Project List References'!$B$7, _xlfn.IFNA(_xlfn.XLOOKUP(T$2-$C36, 'SENS Coal'!$D$7:$AW$7, 'SENS Coal'!$D$118:$AW$118), 0), IF($B36='Project List References'!$B$8, _xlfn.IFNA(_xlfn.XLOOKUP(T$2-$C36, 'SENS Tires'!$D$7:$AW$7, 'SENS Tires'!$D$118:$AW$118), 0))))/_xlfn.XLOOKUP($B36, 'Assumptions &amp; Inputs'!$F$76:$L$76, 'Assumptions &amp; Inputs'!$F$77:$L$77)*IF(OR($B36='Project List References'!$B$3, $B36='Project List References'!$B$4, $B36='Project List References'!$B$5, $B36='Project List References'!$B$6), 'Project Master Sheet'!$E36, 'Project Master Sheet'!$F36)</f>
        <v>#N/A</v>
      </c>
    </row>
    <row r="37" spans="1:20">
      <c r="A37" s="655" t="str">
        <f>IF(ISBLANK('Project Master Sheet'!A37)=FALSE, 'Project Master Sheet'!A37, "")</f>
        <v/>
      </c>
      <c r="B37" s="655" t="str">
        <f>_xlfn.IFNA(_xlfn.XLOOKUP(A37, 'Project Master Sheet'!A:A, 'Project Master Sheet'!D:D), "")</f>
        <v/>
      </c>
      <c r="C37" s="655" t="e">
        <f>_xlfn.XLOOKUP('Project OPEX'!A37, 'Project Master Sheet'!A:A, 'Project Master Sheet'!I:I)</f>
        <v>#N/A</v>
      </c>
      <c r="E37" s="663" t="e">
        <f>IF($B37='Project List References'!$B$6, IF('Project PGEN'!E37&gt;0, 'Assumptions &amp; Inputs'!$L$117, 0), IF($B37='Project List References'!$B$7, _xlfn.IFNA(_xlfn.XLOOKUP(E$2-$C37, 'SENS Coal'!$D$7:$AW$7, 'SENS Coal'!$D$118:$AW$118), 0), IF($B37='Project List References'!$B$8, _xlfn.IFNA(_xlfn.XLOOKUP(E$2-$C37,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F37" s="663" t="e">
        <f>IF($B37='Project List References'!$B$6, IF('Project PGEN'!F37&gt;0, 'Assumptions &amp; Inputs'!$L$117, 0), IF($B37='Project List References'!$B$7, _xlfn.IFNA(_xlfn.XLOOKUP(F$2-$C37, 'SENS Coal'!$D$7:$AW$7, 'SENS Coal'!$D$118:$AW$118), 0), IF($B37='Project List References'!$B$8, _xlfn.IFNA(_xlfn.XLOOKUP(F$2-$C37,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G37" s="663" t="e">
        <f>IF($B37='Project List References'!$B$6, IF('Project PGEN'!G37&gt;0, 'Assumptions &amp; Inputs'!$L$117, 0), IF($B37='Project List References'!$B$7, _xlfn.IFNA(_xlfn.XLOOKUP(G$2-$C37, 'SENS Coal'!$D$7:$AW$7, 'SENS Coal'!$D$118:$AW$118), 0), IF($B37='Project List References'!$B$8, _xlfn.IFNA(_xlfn.XLOOKUP(G$2-$C37,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H37" s="663" t="e">
        <f>IF($B37='Project List References'!$B$6, IF('Project PGEN'!H37&gt;0, 'Assumptions &amp; Inputs'!$L$117, 0), IF($B37='Project List References'!$B$7, _xlfn.IFNA(_xlfn.XLOOKUP(H$2-$C37, 'SENS Coal'!$D$7:$AW$7, 'SENS Coal'!$D$118:$AW$118), 0), IF($B37='Project List References'!$B$8, _xlfn.IFNA(_xlfn.XLOOKUP(H$2-$C37,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I37" s="663" t="e">
        <f>IF($B37='Project List References'!$B$6, IF('Project PGEN'!I37&gt;0, 'Assumptions &amp; Inputs'!$L$117, 0), IF($B37='Project List References'!$B$7, _xlfn.IFNA(_xlfn.XLOOKUP(I$2-$C37, 'SENS Coal'!$D$7:$AW$7, 'SENS Coal'!$D$118:$AW$118), 0), IF($B37='Project List References'!$B$8, _xlfn.IFNA(_xlfn.XLOOKUP(I$2-$C37,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J37" s="663" t="e">
        <f>IF($B37='Project List References'!$B$6, IF('Project PGEN'!J37&gt;0, 'Assumptions &amp; Inputs'!$L$117, 0), IF($B37='Project List References'!$B$7, _xlfn.IFNA(_xlfn.XLOOKUP(J$2-$C37, 'SENS Coal'!$D$7:$AW$7, 'SENS Coal'!$D$118:$AW$118), 0), IF($B37='Project List References'!$B$8, _xlfn.IFNA(_xlfn.XLOOKUP(J$2-$C37,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K37" s="663" t="e">
        <f>IF($B37='Project List References'!$B$6, IF('Project PGEN'!K37&gt;0, 'Assumptions &amp; Inputs'!$L$117, 0), IF($B37='Project List References'!$B$7, _xlfn.IFNA(_xlfn.XLOOKUP(K$2-$C37, 'SENS Coal'!$D$7:$AW$7, 'SENS Coal'!$D$118:$AW$118), 0), IF($B37='Project List References'!$B$8, _xlfn.IFNA(_xlfn.XLOOKUP(K$2-$C37,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L37" s="663" t="e">
        <f>IF($B37='Project List References'!$B$6, IF('Project PGEN'!L37&gt;0, 'Assumptions &amp; Inputs'!$L$117, 0), IF($B37='Project List References'!$B$7, _xlfn.IFNA(_xlfn.XLOOKUP(L$2-$C37, 'SENS Coal'!$D$7:$AW$7, 'SENS Coal'!$D$118:$AW$118), 0), IF($B37='Project List References'!$B$8, _xlfn.IFNA(_xlfn.XLOOKUP(L$2-$C37,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M37" s="663" t="e">
        <f>IF($B37='Project List References'!$B$6, IF('Project PGEN'!M37&gt;0, 'Assumptions &amp; Inputs'!$L$117, 0), IF($B37='Project List References'!$B$7, _xlfn.IFNA(_xlfn.XLOOKUP(M$2-$C37, 'SENS Coal'!$D$7:$AW$7, 'SENS Coal'!$D$118:$AW$118), 0), IF($B37='Project List References'!$B$8, _xlfn.IFNA(_xlfn.XLOOKUP(M$2-$C37,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N37" s="663" t="e">
        <f>IF($B37='Project List References'!$B$6, IF('Project PGEN'!N37&gt;0, 'Assumptions &amp; Inputs'!$L$117, 0), IF($B37='Project List References'!$B$7, _xlfn.IFNA(_xlfn.XLOOKUP(N$2-$C37, 'SENS Coal'!$D$7:$AW$7, 'SENS Coal'!$D$118:$AW$118), 0), IF($B37='Project List References'!$B$8, _xlfn.IFNA(_xlfn.XLOOKUP(N$2-$C37,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O37" s="663" t="e">
        <f>IF($B37='Project List References'!$B$6, IF('Project PGEN'!O37&gt;0, 'Assumptions &amp; Inputs'!$L$117, 0), IF($B37='Project List References'!$B$7, _xlfn.IFNA(_xlfn.XLOOKUP(O$2-$C37, 'SENS Coal'!$D$7:$AW$7, 'SENS Coal'!$D$118:$AW$118), 0), IF($B37='Project List References'!$B$8, _xlfn.IFNA(_xlfn.XLOOKUP(O$2-$C37,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P37" s="663" t="e">
        <f>IF($B37='Project List References'!$B$6, IF('Project PGEN'!P37&gt;0, 'Assumptions &amp; Inputs'!$L$117, 0), IF($B37='Project List References'!$B$7, _xlfn.IFNA(_xlfn.XLOOKUP(P$2-$C37, 'SENS Coal'!$D$7:$AW$7, 'SENS Coal'!$D$118:$AW$118), 0), IF($B37='Project List References'!$B$8, _xlfn.IFNA(_xlfn.XLOOKUP(P$2-$C37,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Q37" s="663" t="e">
        <f>IF($B37='Project List References'!$B$6, IF('Project PGEN'!Q37&gt;0, 'Assumptions &amp; Inputs'!$L$117, 0), IF($B37='Project List References'!$B$7, _xlfn.IFNA(_xlfn.XLOOKUP(Q$2-$C37, 'SENS Coal'!$D$7:$AW$7, 'SENS Coal'!$D$118:$AW$118), 0), IF($B37='Project List References'!$B$8, _xlfn.IFNA(_xlfn.XLOOKUP(Q$2-$C37,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R37" s="663" t="e">
        <f>IF($B37='Project List References'!$B$6, IF('Project PGEN'!R37&gt;0, 'Assumptions &amp; Inputs'!$L$117, 0), IF($B37='Project List References'!$B$7, _xlfn.IFNA(_xlfn.XLOOKUP(R$2-$C37, 'SENS Coal'!$D$7:$AW$7, 'SENS Coal'!$D$118:$AW$118), 0), IF($B37='Project List References'!$B$8, _xlfn.IFNA(_xlfn.XLOOKUP(R$2-$C37,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S37" s="663" t="e">
        <f>IF($B37='Project List References'!$B$6, IF('Project PGEN'!S37&gt;0, 'Assumptions &amp; Inputs'!$L$117, 0), IF($B37='Project List References'!$B$7, _xlfn.IFNA(_xlfn.XLOOKUP(S$2-$C37, 'SENS Coal'!$D$7:$AW$7, 'SENS Coal'!$D$118:$AW$118), 0), IF($B37='Project List References'!$B$8, _xlfn.IFNA(_xlfn.XLOOKUP(S$2-$C37,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  <c r="T37" s="663" t="e">
        <f>IF($B37='Project List References'!$B$6, IF('Project PGEN'!T37&gt;0, 'Assumptions &amp; Inputs'!$L$117, 0), IF($B37='Project List References'!$B$7, _xlfn.IFNA(_xlfn.XLOOKUP(T$2-$C37, 'SENS Coal'!$D$7:$AW$7, 'SENS Coal'!$D$118:$AW$118), 0), IF($B37='Project List References'!$B$8, _xlfn.IFNA(_xlfn.XLOOKUP(T$2-$C37, 'SENS Tires'!$D$7:$AW$7, 'SENS Tires'!$D$118:$AW$118), 0))))/_xlfn.XLOOKUP($B37, 'Assumptions &amp; Inputs'!$F$76:$L$76, 'Assumptions &amp; Inputs'!$F$77:$L$77)*IF(OR($B37='Project List References'!$B$3, $B37='Project List References'!$B$4, $B37='Project List References'!$B$5, $B37='Project List References'!$B$6), 'Project Master Sheet'!$E37, 'Project Master Sheet'!$F37)</f>
        <v>#N/A</v>
      </c>
    </row>
  </sheetData>
  <mergeCells count="1">
    <mergeCell ref="E1:T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1D67-BE07-4656-98EB-CFDA99B9048F}">
  <dimension ref="A1:DH41"/>
  <sheetViews>
    <sheetView workbookViewId="0">
      <selection activeCell="A10" sqref="A10"/>
    </sheetView>
  </sheetViews>
  <sheetFormatPr baseColWidth="10" defaultColWidth="9.1640625" defaultRowHeight="15"/>
  <cols>
    <col min="1" max="1" width="30.1640625" style="655" customWidth="1"/>
    <col min="2" max="2" width="23" style="655" customWidth="1"/>
    <col min="3" max="3" width="18.1640625" style="655" customWidth="1"/>
    <col min="4" max="4" width="5.6640625" style="655" customWidth="1"/>
    <col min="5" max="20" width="12.6640625" style="655" customWidth="1"/>
    <col min="21" max="16384" width="9.1640625" style="655"/>
  </cols>
  <sheetData>
    <row r="1" spans="1:112" ht="27">
      <c r="A1" s="656" t="s">
        <v>40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8"/>
      <c r="AJ1" s="658"/>
      <c r="AK1" s="658"/>
      <c r="AL1" s="658"/>
      <c r="AM1" s="658"/>
      <c r="AN1" s="658"/>
      <c r="AO1" s="658"/>
      <c r="AP1" s="658"/>
      <c r="AQ1" s="658"/>
      <c r="AR1" s="658"/>
      <c r="AS1" s="658"/>
      <c r="AT1" s="658"/>
      <c r="AU1" s="658"/>
      <c r="AV1" s="658"/>
      <c r="AW1" s="658"/>
      <c r="AX1" s="658"/>
      <c r="AY1" s="658"/>
      <c r="AZ1" s="658"/>
      <c r="BA1" s="658"/>
      <c r="BB1" s="658"/>
      <c r="BC1" s="658"/>
      <c r="BD1" s="658"/>
      <c r="BE1" s="658"/>
      <c r="BF1" s="658"/>
      <c r="BG1" s="658"/>
      <c r="BH1" s="658"/>
      <c r="BI1" s="658"/>
      <c r="BJ1" s="658"/>
      <c r="BK1" s="658"/>
      <c r="BL1" s="658"/>
      <c r="BM1" s="658"/>
      <c r="BN1" s="658"/>
      <c r="BO1" s="658"/>
      <c r="BP1" s="658"/>
      <c r="BQ1" s="658"/>
      <c r="BR1" s="658"/>
      <c r="BS1" s="658"/>
      <c r="BT1" s="658"/>
      <c r="BU1" s="658"/>
      <c r="BV1" s="658"/>
      <c r="BW1" s="658"/>
      <c r="BX1" s="658"/>
      <c r="BY1" s="658"/>
      <c r="BZ1" s="658"/>
      <c r="CA1" s="658"/>
      <c r="CB1" s="658"/>
      <c r="CC1" s="658"/>
      <c r="CD1" s="658"/>
      <c r="CE1" s="658"/>
      <c r="CF1" s="658"/>
      <c r="CG1" s="658"/>
      <c r="CH1" s="658"/>
      <c r="CI1" s="658"/>
      <c r="CJ1" s="658"/>
      <c r="CK1" s="658"/>
      <c r="CL1" s="658"/>
      <c r="CM1" s="658"/>
      <c r="CN1" s="658"/>
      <c r="CO1" s="658"/>
      <c r="CP1" s="658"/>
      <c r="CQ1" s="658"/>
      <c r="CR1" s="658"/>
      <c r="CS1" s="658"/>
      <c r="CT1" s="658"/>
      <c r="CU1" s="658"/>
      <c r="CV1" s="658"/>
      <c r="CW1" s="658"/>
      <c r="CX1" s="658"/>
      <c r="CY1" s="658"/>
      <c r="CZ1" s="658"/>
      <c r="DA1" s="658"/>
      <c r="DB1" s="658"/>
      <c r="DC1" s="658"/>
      <c r="DD1" s="658"/>
      <c r="DE1" s="658"/>
      <c r="DF1" s="658"/>
      <c r="DG1" s="658"/>
      <c r="DH1" s="658"/>
    </row>
    <row r="2" spans="1:112">
      <c r="A2" s="655" t="s">
        <v>52</v>
      </c>
      <c r="B2" s="655" t="s">
        <v>45</v>
      </c>
      <c r="C2" s="655" t="s">
        <v>53</v>
      </c>
      <c r="E2" s="655">
        <v>0</v>
      </c>
      <c r="F2" s="655">
        <f>E2+1</f>
        <v>1</v>
      </c>
      <c r="G2" s="655">
        <f t="shared" ref="G2:T2" si="0">F2+1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112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_xlfn.XLOOKUP('Project OPEX'!A3, 'Project Master Sheet'!A:A, 'Project Master Sheet'!I:I)</f>
        <v>1</v>
      </c>
      <c r="E3" s="655">
        <f>IF('Project NET'!E3&lt;&gt;0, 'Project Master Sheet'!$F3, 0)</f>
        <v>0</v>
      </c>
      <c r="F3" s="655">
        <f>IF('Project NET'!F3&lt;&gt;0, 'Project Master Sheet'!$F3, 0)</f>
        <v>0</v>
      </c>
      <c r="G3" s="655">
        <f>IF('Project NET'!G3&lt;&gt;0, 'Project Master Sheet'!$F3, 0)</f>
        <v>0</v>
      </c>
      <c r="H3" s="655">
        <f>IF('Project NET'!H3&lt;&gt;0, 'Project Master Sheet'!$F3, 0)</f>
        <v>0</v>
      </c>
      <c r="I3" s="655">
        <f>IF('Project NET'!I3&lt;&gt;0, 'Project Master Sheet'!$F3, 0)</f>
        <v>0</v>
      </c>
      <c r="J3" s="655">
        <f>IF('Project NET'!J3&lt;&gt;0, 'Project Master Sheet'!$F3, 0)</f>
        <v>0</v>
      </c>
      <c r="K3" s="655">
        <f>IF('Project NET'!K3&lt;&gt;0, 'Project Master Sheet'!$F3, 0)</f>
        <v>0</v>
      </c>
      <c r="L3" s="655">
        <f>IF('Project NET'!L3&lt;&gt;0, 'Project Master Sheet'!$F3, 0)</f>
        <v>0</v>
      </c>
      <c r="M3" s="655">
        <f>IF('Project NET'!M3&lt;&gt;0, 'Project Master Sheet'!$F3, 0)</f>
        <v>0</v>
      </c>
      <c r="N3" s="655">
        <f>IF('Project NET'!N3&lt;&gt;0, 'Project Master Sheet'!$F3, 0)</f>
        <v>0</v>
      </c>
      <c r="O3" s="655">
        <f>IF('Project NET'!O3&lt;&gt;0, 'Project Master Sheet'!$F3, 0)</f>
        <v>0</v>
      </c>
      <c r="P3" s="655">
        <f>IF('Project NET'!P3&lt;&gt;0, 'Project Master Sheet'!$F3, 0)</f>
        <v>0</v>
      </c>
      <c r="Q3" s="655">
        <f>IF('Project NET'!Q3&lt;&gt;0, 'Project Master Sheet'!$F3, 0)</f>
        <v>0</v>
      </c>
      <c r="R3" s="655">
        <f>IF('Project NET'!R3&lt;&gt;0, 'Project Master Sheet'!$F3, 0)</f>
        <v>0</v>
      </c>
      <c r="S3" s="655">
        <f>IF('Project NET'!S3&lt;&gt;0, 'Project Master Sheet'!$F3, 0)</f>
        <v>0</v>
      </c>
      <c r="T3" s="655">
        <f>IF('Project NET'!T3&lt;&gt;0, 'Project Master Sheet'!$F3, 0)</f>
        <v>0</v>
      </c>
    </row>
    <row r="4" spans="1:112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_xlfn.XLOOKUP('Project OPEX'!A4, 'Project Master Sheet'!A:A, 'Project Master Sheet'!I:I)</f>
        <v>1</v>
      </c>
      <c r="E4" s="655">
        <f>IF('Project NET'!E4&lt;&gt;0, 'Project Master Sheet'!$F4, 0)</f>
        <v>0</v>
      </c>
      <c r="F4" s="655">
        <f>IF('Project NET'!F4&lt;&gt;0, 'Project Master Sheet'!$F4, 0)</f>
        <v>0</v>
      </c>
      <c r="G4" s="655">
        <f>IF('Project NET'!G4&lt;&gt;0, 'Project Master Sheet'!$F4, 0)</f>
        <v>0</v>
      </c>
      <c r="H4" s="655">
        <f>IF('Project NET'!H4&lt;&gt;0, 'Project Master Sheet'!$F4, 0)</f>
        <v>0</v>
      </c>
      <c r="I4" s="655">
        <f>IF('Project NET'!I4&lt;&gt;0, 'Project Master Sheet'!$F4, 0)</f>
        <v>0</v>
      </c>
      <c r="J4" s="655">
        <f>IF('Project NET'!J4&lt;&gt;0, 'Project Master Sheet'!$F4, 0)</f>
        <v>0</v>
      </c>
      <c r="K4" s="655">
        <f>IF('Project NET'!K4&lt;&gt;0, 'Project Master Sheet'!$F4, 0)</f>
        <v>0</v>
      </c>
      <c r="L4" s="655">
        <f>IF('Project NET'!L4&lt;&gt;0, 'Project Master Sheet'!$F4, 0)</f>
        <v>0</v>
      </c>
      <c r="M4" s="655">
        <f>IF('Project NET'!M4&lt;&gt;0, 'Project Master Sheet'!$F4, 0)</f>
        <v>0</v>
      </c>
      <c r="N4" s="655">
        <f>IF('Project NET'!N4&lt;&gt;0, 'Project Master Sheet'!$F4, 0)</f>
        <v>0</v>
      </c>
      <c r="O4" s="655">
        <f>IF('Project NET'!O4&lt;&gt;0, 'Project Master Sheet'!$F4, 0)</f>
        <v>0</v>
      </c>
      <c r="P4" s="655">
        <f>IF('Project NET'!P4&lt;&gt;0, 'Project Master Sheet'!$F4, 0)</f>
        <v>0</v>
      </c>
      <c r="Q4" s="655">
        <f>IF('Project NET'!Q4&lt;&gt;0, 'Project Master Sheet'!$F4, 0)</f>
        <v>0</v>
      </c>
      <c r="R4" s="655">
        <f>IF('Project NET'!R4&lt;&gt;0, 'Project Master Sheet'!$F4, 0)</f>
        <v>0</v>
      </c>
      <c r="S4" s="655">
        <f>IF('Project NET'!S4&lt;&gt;0, 'Project Master Sheet'!$F4, 0)</f>
        <v>0</v>
      </c>
      <c r="T4" s="655">
        <f>IF('Project NET'!T4&lt;&gt;0, 'Project Master Sheet'!$F4, 0)</f>
        <v>0</v>
      </c>
    </row>
    <row r="5" spans="1:112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_xlfn.XLOOKUP('Project OPEX'!A5, 'Project Master Sheet'!A:A, 'Project Master Sheet'!I:I)</f>
        <v>2</v>
      </c>
      <c r="E5" s="655">
        <f>IF('Project NET'!E5&lt;&gt;0, 'Project Master Sheet'!$F5, 0)</f>
        <v>0</v>
      </c>
      <c r="F5" s="655">
        <f>IF('Project NET'!F5&lt;&gt;0, 'Project Master Sheet'!$F5, 0)</f>
        <v>0</v>
      </c>
      <c r="G5" s="655">
        <f>IF('Project NET'!G5&lt;&gt;0, 'Project Master Sheet'!$F5, 0)</f>
        <v>0</v>
      </c>
      <c r="H5" s="655">
        <f>IF('Project NET'!H5&lt;&gt;0, 'Project Master Sheet'!$F5, 0)</f>
        <v>36</v>
      </c>
      <c r="I5" s="655">
        <f>IF('Project NET'!I5&lt;&gt;0, 'Project Master Sheet'!$F5, 0)</f>
        <v>36</v>
      </c>
      <c r="J5" s="655">
        <f>IF('Project NET'!J5&lt;&gt;0, 'Project Master Sheet'!$F5, 0)</f>
        <v>36</v>
      </c>
      <c r="K5" s="655">
        <f>IF('Project NET'!K5&lt;&gt;0, 'Project Master Sheet'!$F5, 0)</f>
        <v>36</v>
      </c>
      <c r="L5" s="655">
        <f>IF('Project NET'!L5&lt;&gt;0, 'Project Master Sheet'!$F5, 0)</f>
        <v>36</v>
      </c>
      <c r="M5" s="655">
        <f>IF('Project NET'!M5&lt;&gt;0, 'Project Master Sheet'!$F5, 0)</f>
        <v>36</v>
      </c>
      <c r="N5" s="655">
        <f>IF('Project NET'!N5&lt;&gt;0, 'Project Master Sheet'!$F5, 0)</f>
        <v>36</v>
      </c>
      <c r="O5" s="655">
        <f>IF('Project NET'!O5&lt;&gt;0, 'Project Master Sheet'!$F5, 0)</f>
        <v>36</v>
      </c>
      <c r="P5" s="655">
        <f>IF('Project NET'!P5&lt;&gt;0, 'Project Master Sheet'!$F5, 0)</f>
        <v>36</v>
      </c>
      <c r="Q5" s="655">
        <f>IF('Project NET'!Q5&lt;&gt;0, 'Project Master Sheet'!$F5, 0)</f>
        <v>36</v>
      </c>
      <c r="R5" s="655">
        <f>IF('Project NET'!R5&lt;&gt;0, 'Project Master Sheet'!$F5, 0)</f>
        <v>36</v>
      </c>
      <c r="S5" s="655">
        <f>IF('Project NET'!S5&lt;&gt;0, 'Project Master Sheet'!$F5, 0)</f>
        <v>36</v>
      </c>
      <c r="T5" s="655">
        <f>IF('Project NET'!T5&lt;&gt;0, 'Project Master Sheet'!$F5, 0)</f>
        <v>36</v>
      </c>
    </row>
    <row r="6" spans="1:112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_xlfn.XLOOKUP('Project OPEX'!A6, 'Project Master Sheet'!A:A, 'Project Master Sheet'!I:I)</f>
        <v>0</v>
      </c>
      <c r="E6" s="655">
        <f>IF('Project NET'!E6&lt;&gt;0, 'Project Master Sheet'!$F6, 0)</f>
        <v>0</v>
      </c>
      <c r="F6" s="655">
        <f>IF('Project NET'!F6&lt;&gt;0, 'Project Master Sheet'!$F6, 0)</f>
        <v>6</v>
      </c>
      <c r="G6" s="655">
        <f>IF('Project NET'!G6&lt;&gt;0, 'Project Master Sheet'!$F6, 0)</f>
        <v>6</v>
      </c>
      <c r="H6" s="655">
        <f>IF('Project NET'!H6&lt;&gt;0, 'Project Master Sheet'!$F6, 0)</f>
        <v>6</v>
      </c>
      <c r="I6" s="655">
        <f>IF('Project NET'!I6&lt;&gt;0, 'Project Master Sheet'!$F6, 0)</f>
        <v>6</v>
      </c>
      <c r="J6" s="655">
        <f>IF('Project NET'!J6&lt;&gt;0, 'Project Master Sheet'!$F6, 0)</f>
        <v>6</v>
      </c>
      <c r="K6" s="655">
        <f>IF('Project NET'!K6&lt;&gt;0, 'Project Master Sheet'!$F6, 0)</f>
        <v>6</v>
      </c>
      <c r="L6" s="655">
        <f>IF('Project NET'!L6&lt;&gt;0, 'Project Master Sheet'!$F6, 0)</f>
        <v>6</v>
      </c>
      <c r="M6" s="655">
        <f>IF('Project NET'!M6&lt;&gt;0, 'Project Master Sheet'!$F6, 0)</f>
        <v>6</v>
      </c>
      <c r="N6" s="655">
        <f>IF('Project NET'!N6&lt;&gt;0, 'Project Master Sheet'!$F6, 0)</f>
        <v>6</v>
      </c>
      <c r="O6" s="655">
        <f>IF('Project NET'!O6&lt;&gt;0, 'Project Master Sheet'!$F6, 0)</f>
        <v>6</v>
      </c>
      <c r="P6" s="655">
        <f>IF('Project NET'!P6&lt;&gt;0, 'Project Master Sheet'!$F6, 0)</f>
        <v>6</v>
      </c>
      <c r="Q6" s="655">
        <f>IF('Project NET'!Q6&lt;&gt;0, 'Project Master Sheet'!$F6, 0)</f>
        <v>6</v>
      </c>
      <c r="R6" s="655">
        <f>IF('Project NET'!R6&lt;&gt;0, 'Project Master Sheet'!$F6, 0)</f>
        <v>6</v>
      </c>
      <c r="S6" s="655">
        <f>IF('Project NET'!S6&lt;&gt;0, 'Project Master Sheet'!$F6, 0)</f>
        <v>6</v>
      </c>
      <c r="T6" s="655">
        <f>IF('Project NET'!T6&lt;&gt;0, 'Project Master Sheet'!$F6, 0)</f>
        <v>6</v>
      </c>
    </row>
    <row r="7" spans="1:112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_xlfn.XLOOKUP('Project OPEX'!A7, 'Project Master Sheet'!A:A, 'Project Master Sheet'!I:I)</f>
        <v>0</v>
      </c>
      <c r="E7" s="655">
        <f>IF('Project NET'!E7&lt;&gt;0, 'Project Master Sheet'!$F7, 0)</f>
        <v>0</v>
      </c>
      <c r="F7" s="655">
        <f>IF('Project NET'!F7&lt;&gt;0, 'Project Master Sheet'!$F7, 0)</f>
        <v>0</v>
      </c>
      <c r="G7" s="655">
        <f>IF('Project NET'!G7&lt;&gt;0, 'Project Master Sheet'!$F7, 0)</f>
        <v>0</v>
      </c>
      <c r="H7" s="655">
        <f>IF('Project NET'!H7&lt;&gt;0, 'Project Master Sheet'!$F7, 0)</f>
        <v>0</v>
      </c>
      <c r="I7" s="655">
        <f>IF('Project NET'!I7&lt;&gt;0, 'Project Master Sheet'!$F7, 0)</f>
        <v>0</v>
      </c>
      <c r="J7" s="655">
        <f>IF('Project NET'!J7&lt;&gt;0, 'Project Master Sheet'!$F7, 0)</f>
        <v>0</v>
      </c>
      <c r="K7" s="655">
        <f>IF('Project NET'!K7&lt;&gt;0, 'Project Master Sheet'!$F7, 0)</f>
        <v>0</v>
      </c>
      <c r="L7" s="655">
        <f>IF('Project NET'!L7&lt;&gt;0, 'Project Master Sheet'!$F7, 0)</f>
        <v>0</v>
      </c>
      <c r="M7" s="655">
        <f>IF('Project NET'!M7&lt;&gt;0, 'Project Master Sheet'!$F7, 0)</f>
        <v>0</v>
      </c>
      <c r="N7" s="655">
        <f>IF('Project NET'!N7&lt;&gt;0, 'Project Master Sheet'!$F7, 0)</f>
        <v>0</v>
      </c>
      <c r="O7" s="655">
        <f>IF('Project NET'!O7&lt;&gt;0, 'Project Master Sheet'!$F7, 0)</f>
        <v>0</v>
      </c>
      <c r="P7" s="655">
        <f>IF('Project NET'!P7&lt;&gt;0, 'Project Master Sheet'!$F7, 0)</f>
        <v>0</v>
      </c>
      <c r="Q7" s="655">
        <f>IF('Project NET'!Q7&lt;&gt;0, 'Project Master Sheet'!$F7, 0)</f>
        <v>0</v>
      </c>
      <c r="R7" s="655">
        <f>IF('Project NET'!R7&lt;&gt;0, 'Project Master Sheet'!$F7, 0)</f>
        <v>0</v>
      </c>
      <c r="S7" s="655">
        <f>IF('Project NET'!S7&lt;&gt;0, 'Project Master Sheet'!$F7, 0)</f>
        <v>0</v>
      </c>
      <c r="T7" s="655">
        <f>IF('Project NET'!T7&lt;&gt;0, 'Project Master Sheet'!$F7, 0)</f>
        <v>0</v>
      </c>
    </row>
    <row r="8" spans="1:112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_xlfn.XLOOKUP('Project OPEX'!A8, 'Project Master Sheet'!A:A, 'Project Master Sheet'!I:I)</f>
        <v>#N/A</v>
      </c>
      <c r="E8" s="655" t="e">
        <f>IF('Project NET'!E8&lt;&gt;0, 'Project Master Sheet'!$F8, 0)</f>
        <v>#N/A</v>
      </c>
      <c r="F8" s="655" t="e">
        <f>IF('Project NET'!F8&lt;&gt;0, 'Project Master Sheet'!$F8, 0)</f>
        <v>#N/A</v>
      </c>
      <c r="G8" s="655" t="e">
        <f>IF('Project NET'!G8&lt;&gt;0, 'Project Master Sheet'!$F8, 0)</f>
        <v>#N/A</v>
      </c>
      <c r="H8" s="655" t="e">
        <f>IF('Project NET'!H8&lt;&gt;0, 'Project Master Sheet'!$F8, 0)</f>
        <v>#N/A</v>
      </c>
      <c r="I8" s="655" t="e">
        <f>IF('Project NET'!I8&lt;&gt;0, 'Project Master Sheet'!$F8, 0)</f>
        <v>#N/A</v>
      </c>
      <c r="J8" s="655" t="e">
        <f>IF('Project NET'!J8&lt;&gt;0, 'Project Master Sheet'!$F8, 0)</f>
        <v>#N/A</v>
      </c>
      <c r="K8" s="655" t="e">
        <f>IF('Project NET'!K8&lt;&gt;0, 'Project Master Sheet'!$F8, 0)</f>
        <v>#N/A</v>
      </c>
      <c r="L8" s="655" t="e">
        <f>IF('Project NET'!L8&lt;&gt;0, 'Project Master Sheet'!$F8, 0)</f>
        <v>#N/A</v>
      </c>
      <c r="M8" s="655" t="e">
        <f>IF('Project NET'!M8&lt;&gt;0, 'Project Master Sheet'!$F8, 0)</f>
        <v>#N/A</v>
      </c>
      <c r="N8" s="655" t="e">
        <f>IF('Project NET'!N8&lt;&gt;0, 'Project Master Sheet'!$F8, 0)</f>
        <v>#N/A</v>
      </c>
      <c r="O8" s="655" t="e">
        <f>IF('Project NET'!O8&lt;&gt;0, 'Project Master Sheet'!$F8, 0)</f>
        <v>#N/A</v>
      </c>
      <c r="P8" s="655" t="e">
        <f>IF('Project NET'!P8&lt;&gt;0, 'Project Master Sheet'!$F8, 0)</f>
        <v>#N/A</v>
      </c>
      <c r="Q8" s="655" t="e">
        <f>IF('Project NET'!Q8&lt;&gt;0, 'Project Master Sheet'!$F8, 0)</f>
        <v>#N/A</v>
      </c>
      <c r="R8" s="655" t="e">
        <f>IF('Project NET'!R8&lt;&gt;0, 'Project Master Sheet'!$F8, 0)</f>
        <v>#N/A</v>
      </c>
      <c r="S8" s="655" t="e">
        <f>IF('Project NET'!S8&lt;&gt;0, 'Project Master Sheet'!$F8, 0)</f>
        <v>#N/A</v>
      </c>
      <c r="T8" s="655" t="e">
        <f>IF('Project NET'!T8&lt;&gt;0, 'Project Master Sheet'!$F8, 0)</f>
        <v>#N/A</v>
      </c>
    </row>
    <row r="9" spans="1:112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_xlfn.XLOOKUP('Project OPEX'!A9, 'Project Master Sheet'!A:A, 'Project Master Sheet'!I:I)</f>
        <v>1</v>
      </c>
      <c r="E9" s="655">
        <f>IF('Project NET'!E9&lt;&gt;0, 'Project Master Sheet'!$F9, 0)</f>
        <v>0</v>
      </c>
      <c r="F9" s="655">
        <f>IF('Project NET'!F9&lt;&gt;0, 'Project Master Sheet'!$F9, 0)</f>
        <v>0</v>
      </c>
      <c r="G9" s="655">
        <f>IF('Project NET'!G9&lt;&gt;0, 'Project Master Sheet'!$F9, 0)</f>
        <v>0</v>
      </c>
      <c r="H9" s="655">
        <f>IF('Project NET'!H9&lt;&gt;0, 'Project Master Sheet'!$F9, 0)</f>
        <v>0</v>
      </c>
      <c r="I9" s="655">
        <f>IF('Project NET'!I9&lt;&gt;0, 'Project Master Sheet'!$F9, 0)</f>
        <v>0</v>
      </c>
      <c r="J9" s="655">
        <f>IF('Project NET'!J9&lt;&gt;0, 'Project Master Sheet'!$F9, 0)</f>
        <v>0</v>
      </c>
      <c r="K9" s="655">
        <f>IF('Project NET'!K9&lt;&gt;0, 'Project Master Sheet'!$F9, 0)</f>
        <v>0</v>
      </c>
      <c r="L9" s="655">
        <f>IF('Project NET'!L9&lt;&gt;0, 'Project Master Sheet'!$F9, 0)</f>
        <v>0</v>
      </c>
      <c r="M9" s="655">
        <f>IF('Project NET'!M9&lt;&gt;0, 'Project Master Sheet'!$F9, 0)</f>
        <v>0</v>
      </c>
      <c r="N9" s="655">
        <f>IF('Project NET'!N9&lt;&gt;0, 'Project Master Sheet'!$F9, 0)</f>
        <v>0</v>
      </c>
      <c r="O9" s="655">
        <f>IF('Project NET'!O9&lt;&gt;0, 'Project Master Sheet'!$F9, 0)</f>
        <v>0</v>
      </c>
      <c r="P9" s="655">
        <f>IF('Project NET'!P9&lt;&gt;0, 'Project Master Sheet'!$F9, 0)</f>
        <v>0</v>
      </c>
      <c r="Q9" s="655">
        <f>IF('Project NET'!Q9&lt;&gt;0, 'Project Master Sheet'!$F9, 0)</f>
        <v>0</v>
      </c>
      <c r="R9" s="655">
        <f>IF('Project NET'!R9&lt;&gt;0, 'Project Master Sheet'!$F9, 0)</f>
        <v>0</v>
      </c>
      <c r="S9" s="655">
        <f>IF('Project NET'!S9&lt;&gt;0, 'Project Master Sheet'!$F9, 0)</f>
        <v>0</v>
      </c>
      <c r="T9" s="655">
        <f>IF('Project NET'!T9&lt;&gt;0, 'Project Master Sheet'!$F9, 0)</f>
        <v>0</v>
      </c>
    </row>
    <row r="10" spans="1:112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_xlfn.XLOOKUP('Project OPEX'!A10, 'Project Master Sheet'!A:A, 'Project Master Sheet'!I:I)</f>
        <v>#N/A</v>
      </c>
      <c r="E10" s="655" t="e">
        <f>IF('Project NET'!E10&lt;&gt;0, 'Project Master Sheet'!$F10, 0)</f>
        <v>#N/A</v>
      </c>
      <c r="F10" s="655" t="e">
        <f>IF('Project NET'!F10&lt;&gt;0, 'Project Master Sheet'!$F10, 0)</f>
        <v>#N/A</v>
      </c>
      <c r="G10" s="655" t="e">
        <f>IF('Project NET'!G10&lt;&gt;0, 'Project Master Sheet'!$F10, 0)</f>
        <v>#N/A</v>
      </c>
      <c r="H10" s="655" t="e">
        <f>IF('Project NET'!H10&lt;&gt;0, 'Project Master Sheet'!$F10, 0)</f>
        <v>#N/A</v>
      </c>
      <c r="I10" s="655" t="e">
        <f>IF('Project NET'!I10&lt;&gt;0, 'Project Master Sheet'!$F10, 0)</f>
        <v>#N/A</v>
      </c>
      <c r="J10" s="655" t="e">
        <f>IF('Project NET'!J10&lt;&gt;0, 'Project Master Sheet'!$F10, 0)</f>
        <v>#N/A</v>
      </c>
      <c r="K10" s="655" t="e">
        <f>IF('Project NET'!K10&lt;&gt;0, 'Project Master Sheet'!$F10, 0)</f>
        <v>#N/A</v>
      </c>
      <c r="L10" s="655" t="e">
        <f>IF('Project NET'!L10&lt;&gt;0, 'Project Master Sheet'!$F10, 0)</f>
        <v>#N/A</v>
      </c>
      <c r="M10" s="655" t="e">
        <f>IF('Project NET'!M10&lt;&gt;0, 'Project Master Sheet'!$F10, 0)</f>
        <v>#N/A</v>
      </c>
      <c r="N10" s="655" t="e">
        <f>IF('Project NET'!N10&lt;&gt;0, 'Project Master Sheet'!$F10, 0)</f>
        <v>#N/A</v>
      </c>
      <c r="O10" s="655" t="e">
        <f>IF('Project NET'!O10&lt;&gt;0, 'Project Master Sheet'!$F10, 0)</f>
        <v>#N/A</v>
      </c>
      <c r="P10" s="655" t="e">
        <f>IF('Project NET'!P10&lt;&gt;0, 'Project Master Sheet'!$F10, 0)</f>
        <v>#N/A</v>
      </c>
      <c r="Q10" s="655" t="e">
        <f>IF('Project NET'!Q10&lt;&gt;0, 'Project Master Sheet'!$F10, 0)</f>
        <v>#N/A</v>
      </c>
      <c r="R10" s="655" t="e">
        <f>IF('Project NET'!R10&lt;&gt;0, 'Project Master Sheet'!$F10, 0)</f>
        <v>#N/A</v>
      </c>
      <c r="S10" s="655" t="e">
        <f>IF('Project NET'!S10&lt;&gt;0, 'Project Master Sheet'!$F10, 0)</f>
        <v>#N/A</v>
      </c>
      <c r="T10" s="655" t="e">
        <f>IF('Project NET'!T10&lt;&gt;0, 'Project Master Sheet'!$F10, 0)</f>
        <v>#N/A</v>
      </c>
    </row>
    <row r="11" spans="1:112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_xlfn.XLOOKUP('Project OPEX'!A11, 'Project Master Sheet'!A:A, 'Project Master Sheet'!I:I)</f>
        <v>#N/A</v>
      </c>
      <c r="E11" s="655" t="e">
        <f>IF('Project NET'!E11&lt;&gt;0, 'Project Master Sheet'!$F11, 0)</f>
        <v>#N/A</v>
      </c>
      <c r="F11" s="655" t="e">
        <f>IF('Project NET'!F11&lt;&gt;0, 'Project Master Sheet'!$F11, 0)</f>
        <v>#N/A</v>
      </c>
      <c r="G11" s="655" t="e">
        <f>IF('Project NET'!G11&lt;&gt;0, 'Project Master Sheet'!$F11, 0)</f>
        <v>#N/A</v>
      </c>
      <c r="H11" s="655" t="e">
        <f>IF('Project NET'!H11&lt;&gt;0, 'Project Master Sheet'!$F11, 0)</f>
        <v>#N/A</v>
      </c>
      <c r="I11" s="655" t="e">
        <f>IF('Project NET'!I11&lt;&gt;0, 'Project Master Sheet'!$F11, 0)</f>
        <v>#N/A</v>
      </c>
      <c r="J11" s="655" t="e">
        <f>IF('Project NET'!J11&lt;&gt;0, 'Project Master Sheet'!$F11, 0)</f>
        <v>#N/A</v>
      </c>
      <c r="K11" s="655" t="e">
        <f>IF('Project NET'!K11&lt;&gt;0, 'Project Master Sheet'!$F11, 0)</f>
        <v>#N/A</v>
      </c>
      <c r="L11" s="655" t="e">
        <f>IF('Project NET'!L11&lt;&gt;0, 'Project Master Sheet'!$F11, 0)</f>
        <v>#N/A</v>
      </c>
      <c r="M11" s="655" t="e">
        <f>IF('Project NET'!M11&lt;&gt;0, 'Project Master Sheet'!$F11, 0)</f>
        <v>#N/A</v>
      </c>
      <c r="N11" s="655" t="e">
        <f>IF('Project NET'!N11&lt;&gt;0, 'Project Master Sheet'!$F11, 0)</f>
        <v>#N/A</v>
      </c>
      <c r="O11" s="655" t="e">
        <f>IF('Project NET'!O11&lt;&gt;0, 'Project Master Sheet'!$F11, 0)</f>
        <v>#N/A</v>
      </c>
      <c r="P11" s="655" t="e">
        <f>IF('Project NET'!P11&lt;&gt;0, 'Project Master Sheet'!$F11, 0)</f>
        <v>#N/A</v>
      </c>
      <c r="Q11" s="655" t="e">
        <f>IF('Project NET'!Q11&lt;&gt;0, 'Project Master Sheet'!$F11, 0)</f>
        <v>#N/A</v>
      </c>
      <c r="R11" s="655" t="e">
        <f>IF('Project NET'!R11&lt;&gt;0, 'Project Master Sheet'!$F11, 0)</f>
        <v>#N/A</v>
      </c>
      <c r="S11" s="655" t="e">
        <f>IF('Project NET'!S11&lt;&gt;0, 'Project Master Sheet'!$F11, 0)</f>
        <v>#N/A</v>
      </c>
      <c r="T11" s="655" t="e">
        <f>IF('Project NET'!T11&lt;&gt;0, 'Project Master Sheet'!$F11, 0)</f>
        <v>#N/A</v>
      </c>
    </row>
    <row r="12" spans="1:112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_xlfn.XLOOKUP('Project OPEX'!A12, 'Project Master Sheet'!A:A, 'Project Master Sheet'!I:I)</f>
        <v>#N/A</v>
      </c>
      <c r="E12" s="655" t="e">
        <f>IF('Project NET'!E12&lt;&gt;0, 'Project Master Sheet'!$F12, 0)</f>
        <v>#N/A</v>
      </c>
      <c r="F12" s="655" t="e">
        <f>IF('Project NET'!F12&lt;&gt;0, 'Project Master Sheet'!$F12, 0)</f>
        <v>#N/A</v>
      </c>
      <c r="G12" s="655" t="e">
        <f>IF('Project NET'!G12&lt;&gt;0, 'Project Master Sheet'!$F12, 0)</f>
        <v>#N/A</v>
      </c>
      <c r="H12" s="655" t="e">
        <f>IF('Project NET'!H12&lt;&gt;0, 'Project Master Sheet'!$F12, 0)</f>
        <v>#N/A</v>
      </c>
      <c r="I12" s="655" t="e">
        <f>IF('Project NET'!I12&lt;&gt;0, 'Project Master Sheet'!$F12, 0)</f>
        <v>#N/A</v>
      </c>
      <c r="J12" s="655" t="e">
        <f>IF('Project NET'!J12&lt;&gt;0, 'Project Master Sheet'!$F12, 0)</f>
        <v>#N/A</v>
      </c>
      <c r="K12" s="655" t="e">
        <f>IF('Project NET'!K12&lt;&gt;0, 'Project Master Sheet'!$F12, 0)</f>
        <v>#N/A</v>
      </c>
      <c r="L12" s="655" t="e">
        <f>IF('Project NET'!L12&lt;&gt;0, 'Project Master Sheet'!$F12, 0)</f>
        <v>#N/A</v>
      </c>
      <c r="M12" s="655" t="e">
        <f>IF('Project NET'!M12&lt;&gt;0, 'Project Master Sheet'!$F12, 0)</f>
        <v>#N/A</v>
      </c>
      <c r="N12" s="655" t="e">
        <f>IF('Project NET'!N12&lt;&gt;0, 'Project Master Sheet'!$F12, 0)</f>
        <v>#N/A</v>
      </c>
      <c r="O12" s="655" t="e">
        <f>IF('Project NET'!O12&lt;&gt;0, 'Project Master Sheet'!$F12, 0)</f>
        <v>#N/A</v>
      </c>
      <c r="P12" s="655" t="e">
        <f>IF('Project NET'!P12&lt;&gt;0, 'Project Master Sheet'!$F12, 0)</f>
        <v>#N/A</v>
      </c>
      <c r="Q12" s="655" t="e">
        <f>IF('Project NET'!Q12&lt;&gt;0, 'Project Master Sheet'!$F12, 0)</f>
        <v>#N/A</v>
      </c>
      <c r="R12" s="655" t="e">
        <f>IF('Project NET'!R12&lt;&gt;0, 'Project Master Sheet'!$F12, 0)</f>
        <v>#N/A</v>
      </c>
      <c r="S12" s="655" t="e">
        <f>IF('Project NET'!S12&lt;&gt;0, 'Project Master Sheet'!$F12, 0)</f>
        <v>#N/A</v>
      </c>
      <c r="T12" s="655" t="e">
        <f>IF('Project NET'!T12&lt;&gt;0, 'Project Master Sheet'!$F12, 0)</f>
        <v>#N/A</v>
      </c>
    </row>
    <row r="13" spans="1:112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_xlfn.XLOOKUP('Project OPEX'!A13, 'Project Master Sheet'!A:A, 'Project Master Sheet'!I:I)</f>
        <v>#N/A</v>
      </c>
      <c r="E13" s="655" t="e">
        <f>IF('Project NET'!E13&lt;&gt;0, 'Project Master Sheet'!$F13, 0)</f>
        <v>#N/A</v>
      </c>
      <c r="F13" s="655" t="e">
        <f>IF('Project NET'!F13&lt;&gt;0, 'Project Master Sheet'!$F13, 0)</f>
        <v>#N/A</v>
      </c>
      <c r="G13" s="655" t="e">
        <f>IF('Project NET'!G13&lt;&gt;0, 'Project Master Sheet'!$F13, 0)</f>
        <v>#N/A</v>
      </c>
      <c r="H13" s="655" t="e">
        <f>IF('Project NET'!H13&lt;&gt;0, 'Project Master Sheet'!$F13, 0)</f>
        <v>#N/A</v>
      </c>
      <c r="I13" s="655" t="e">
        <f>IF('Project NET'!I13&lt;&gt;0, 'Project Master Sheet'!$F13, 0)</f>
        <v>#N/A</v>
      </c>
      <c r="J13" s="655" t="e">
        <f>IF('Project NET'!J13&lt;&gt;0, 'Project Master Sheet'!$F13, 0)</f>
        <v>#N/A</v>
      </c>
      <c r="K13" s="655" t="e">
        <f>IF('Project NET'!K13&lt;&gt;0, 'Project Master Sheet'!$F13, 0)</f>
        <v>#N/A</v>
      </c>
      <c r="L13" s="655" t="e">
        <f>IF('Project NET'!L13&lt;&gt;0, 'Project Master Sheet'!$F13, 0)</f>
        <v>#N/A</v>
      </c>
      <c r="M13" s="655" t="e">
        <f>IF('Project NET'!M13&lt;&gt;0, 'Project Master Sheet'!$F13, 0)</f>
        <v>#N/A</v>
      </c>
      <c r="N13" s="655" t="e">
        <f>IF('Project NET'!N13&lt;&gt;0, 'Project Master Sheet'!$F13, 0)</f>
        <v>#N/A</v>
      </c>
      <c r="O13" s="655" t="e">
        <f>IF('Project NET'!O13&lt;&gt;0, 'Project Master Sheet'!$F13, 0)</f>
        <v>#N/A</v>
      </c>
      <c r="P13" s="655" t="e">
        <f>IF('Project NET'!P13&lt;&gt;0, 'Project Master Sheet'!$F13, 0)</f>
        <v>#N/A</v>
      </c>
      <c r="Q13" s="655" t="e">
        <f>IF('Project NET'!Q13&lt;&gt;0, 'Project Master Sheet'!$F13, 0)</f>
        <v>#N/A</v>
      </c>
      <c r="R13" s="655" t="e">
        <f>IF('Project NET'!R13&lt;&gt;0, 'Project Master Sheet'!$F13, 0)</f>
        <v>#N/A</v>
      </c>
      <c r="S13" s="655" t="e">
        <f>IF('Project NET'!S13&lt;&gt;0, 'Project Master Sheet'!$F13, 0)</f>
        <v>#N/A</v>
      </c>
      <c r="T13" s="655" t="e">
        <f>IF('Project NET'!T13&lt;&gt;0, 'Project Master Sheet'!$F13, 0)</f>
        <v>#N/A</v>
      </c>
    </row>
    <row r="14" spans="1:112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_xlfn.XLOOKUP('Project OPEX'!A14, 'Project Master Sheet'!A:A, 'Project Master Sheet'!I:I)</f>
        <v>#N/A</v>
      </c>
      <c r="E14" s="655" t="e">
        <f>IF('Project NET'!E14&lt;&gt;0, 'Project Master Sheet'!$F14, 0)</f>
        <v>#N/A</v>
      </c>
      <c r="F14" s="655" t="e">
        <f>IF('Project NET'!F14&lt;&gt;0, 'Project Master Sheet'!$F14, 0)</f>
        <v>#N/A</v>
      </c>
      <c r="G14" s="655" t="e">
        <f>IF('Project NET'!G14&lt;&gt;0, 'Project Master Sheet'!$F14, 0)</f>
        <v>#N/A</v>
      </c>
      <c r="H14" s="655" t="e">
        <f>IF('Project NET'!H14&lt;&gt;0, 'Project Master Sheet'!$F14, 0)</f>
        <v>#N/A</v>
      </c>
      <c r="I14" s="655" t="e">
        <f>IF('Project NET'!I14&lt;&gt;0, 'Project Master Sheet'!$F14, 0)</f>
        <v>#N/A</v>
      </c>
      <c r="J14" s="655" t="e">
        <f>IF('Project NET'!J14&lt;&gt;0, 'Project Master Sheet'!$F14, 0)</f>
        <v>#N/A</v>
      </c>
      <c r="K14" s="655" t="e">
        <f>IF('Project NET'!K14&lt;&gt;0, 'Project Master Sheet'!$F14, 0)</f>
        <v>#N/A</v>
      </c>
      <c r="L14" s="655" t="e">
        <f>IF('Project NET'!L14&lt;&gt;0, 'Project Master Sheet'!$F14, 0)</f>
        <v>#N/A</v>
      </c>
      <c r="M14" s="655" t="e">
        <f>IF('Project NET'!M14&lt;&gt;0, 'Project Master Sheet'!$F14, 0)</f>
        <v>#N/A</v>
      </c>
      <c r="N14" s="655" t="e">
        <f>IF('Project NET'!N14&lt;&gt;0, 'Project Master Sheet'!$F14, 0)</f>
        <v>#N/A</v>
      </c>
      <c r="O14" s="655" t="e">
        <f>IF('Project NET'!O14&lt;&gt;0, 'Project Master Sheet'!$F14, 0)</f>
        <v>#N/A</v>
      </c>
      <c r="P14" s="655" t="e">
        <f>IF('Project NET'!P14&lt;&gt;0, 'Project Master Sheet'!$F14, 0)</f>
        <v>#N/A</v>
      </c>
      <c r="Q14" s="655" t="e">
        <f>IF('Project NET'!Q14&lt;&gt;0, 'Project Master Sheet'!$F14, 0)</f>
        <v>#N/A</v>
      </c>
      <c r="R14" s="655" t="e">
        <f>IF('Project NET'!R14&lt;&gt;0, 'Project Master Sheet'!$F14, 0)</f>
        <v>#N/A</v>
      </c>
      <c r="S14" s="655" t="e">
        <f>IF('Project NET'!S14&lt;&gt;0, 'Project Master Sheet'!$F14, 0)</f>
        <v>#N/A</v>
      </c>
      <c r="T14" s="655" t="e">
        <f>IF('Project NET'!T14&lt;&gt;0, 'Project Master Sheet'!$F14, 0)</f>
        <v>#N/A</v>
      </c>
    </row>
    <row r="15" spans="1:112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_xlfn.XLOOKUP('Project OPEX'!A15, 'Project Master Sheet'!A:A, 'Project Master Sheet'!I:I)</f>
        <v>#N/A</v>
      </c>
      <c r="E15" s="655" t="e">
        <f>IF('Project NET'!E15&lt;&gt;0, 'Project Master Sheet'!$F15, 0)</f>
        <v>#N/A</v>
      </c>
      <c r="F15" s="655" t="e">
        <f>IF('Project NET'!F15&lt;&gt;0, 'Project Master Sheet'!$F15, 0)</f>
        <v>#N/A</v>
      </c>
      <c r="G15" s="655" t="e">
        <f>IF('Project NET'!G15&lt;&gt;0, 'Project Master Sheet'!$F15, 0)</f>
        <v>#N/A</v>
      </c>
      <c r="H15" s="655" t="e">
        <f>IF('Project NET'!H15&lt;&gt;0, 'Project Master Sheet'!$F15, 0)</f>
        <v>#N/A</v>
      </c>
      <c r="I15" s="655" t="e">
        <f>IF('Project NET'!I15&lt;&gt;0, 'Project Master Sheet'!$F15, 0)</f>
        <v>#N/A</v>
      </c>
      <c r="J15" s="655" t="e">
        <f>IF('Project NET'!J15&lt;&gt;0, 'Project Master Sheet'!$F15, 0)</f>
        <v>#N/A</v>
      </c>
      <c r="K15" s="655" t="e">
        <f>IF('Project NET'!K15&lt;&gt;0, 'Project Master Sheet'!$F15, 0)</f>
        <v>#N/A</v>
      </c>
      <c r="L15" s="655" t="e">
        <f>IF('Project NET'!L15&lt;&gt;0, 'Project Master Sheet'!$F15, 0)</f>
        <v>#N/A</v>
      </c>
      <c r="M15" s="655" t="e">
        <f>IF('Project NET'!M15&lt;&gt;0, 'Project Master Sheet'!$F15, 0)</f>
        <v>#N/A</v>
      </c>
      <c r="N15" s="655" t="e">
        <f>IF('Project NET'!N15&lt;&gt;0, 'Project Master Sheet'!$F15, 0)</f>
        <v>#N/A</v>
      </c>
      <c r="O15" s="655" t="e">
        <f>IF('Project NET'!O15&lt;&gt;0, 'Project Master Sheet'!$F15, 0)</f>
        <v>#N/A</v>
      </c>
      <c r="P15" s="655" t="e">
        <f>IF('Project NET'!P15&lt;&gt;0, 'Project Master Sheet'!$F15, 0)</f>
        <v>#N/A</v>
      </c>
      <c r="Q15" s="655" t="e">
        <f>IF('Project NET'!Q15&lt;&gt;0, 'Project Master Sheet'!$F15, 0)</f>
        <v>#N/A</v>
      </c>
      <c r="R15" s="655" t="e">
        <f>IF('Project NET'!R15&lt;&gt;0, 'Project Master Sheet'!$F15, 0)</f>
        <v>#N/A</v>
      </c>
      <c r="S15" s="655" t="e">
        <f>IF('Project NET'!S15&lt;&gt;0, 'Project Master Sheet'!$F15, 0)</f>
        <v>#N/A</v>
      </c>
      <c r="T15" s="655" t="e">
        <f>IF('Project NET'!T15&lt;&gt;0, 'Project Master Sheet'!$F15, 0)</f>
        <v>#N/A</v>
      </c>
    </row>
    <row r="16" spans="1:112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_xlfn.XLOOKUP('Project OPEX'!A16, 'Project Master Sheet'!A:A, 'Project Master Sheet'!I:I)</f>
        <v>#N/A</v>
      </c>
      <c r="E16" s="655" t="e">
        <f>IF('Project NET'!E16&lt;&gt;0, 'Project Master Sheet'!$F16, 0)</f>
        <v>#N/A</v>
      </c>
      <c r="F16" s="655" t="e">
        <f>IF('Project NET'!F16&lt;&gt;0, 'Project Master Sheet'!$F16, 0)</f>
        <v>#N/A</v>
      </c>
      <c r="G16" s="655" t="e">
        <f>IF('Project NET'!G16&lt;&gt;0, 'Project Master Sheet'!$F16, 0)</f>
        <v>#N/A</v>
      </c>
      <c r="H16" s="655" t="e">
        <f>IF('Project NET'!H16&lt;&gt;0, 'Project Master Sheet'!$F16, 0)</f>
        <v>#N/A</v>
      </c>
      <c r="I16" s="655" t="e">
        <f>IF('Project NET'!I16&lt;&gt;0, 'Project Master Sheet'!$F16, 0)</f>
        <v>#N/A</v>
      </c>
      <c r="J16" s="655" t="e">
        <f>IF('Project NET'!J16&lt;&gt;0, 'Project Master Sheet'!$F16, 0)</f>
        <v>#N/A</v>
      </c>
      <c r="K16" s="655" t="e">
        <f>IF('Project NET'!K16&lt;&gt;0, 'Project Master Sheet'!$F16, 0)</f>
        <v>#N/A</v>
      </c>
      <c r="L16" s="655" t="e">
        <f>IF('Project NET'!L16&lt;&gt;0, 'Project Master Sheet'!$F16, 0)</f>
        <v>#N/A</v>
      </c>
      <c r="M16" s="655" t="e">
        <f>IF('Project NET'!M16&lt;&gt;0, 'Project Master Sheet'!$F16, 0)</f>
        <v>#N/A</v>
      </c>
      <c r="N16" s="655" t="e">
        <f>IF('Project NET'!N16&lt;&gt;0, 'Project Master Sheet'!$F16, 0)</f>
        <v>#N/A</v>
      </c>
      <c r="O16" s="655" t="e">
        <f>IF('Project NET'!O16&lt;&gt;0, 'Project Master Sheet'!$F16, 0)</f>
        <v>#N/A</v>
      </c>
      <c r="P16" s="655" t="e">
        <f>IF('Project NET'!P16&lt;&gt;0, 'Project Master Sheet'!$F16, 0)</f>
        <v>#N/A</v>
      </c>
      <c r="Q16" s="655" t="e">
        <f>IF('Project NET'!Q16&lt;&gt;0, 'Project Master Sheet'!$F16, 0)</f>
        <v>#N/A</v>
      </c>
      <c r="R16" s="655" t="e">
        <f>IF('Project NET'!R16&lt;&gt;0, 'Project Master Sheet'!$F16, 0)</f>
        <v>#N/A</v>
      </c>
      <c r="S16" s="655" t="e">
        <f>IF('Project NET'!S16&lt;&gt;0, 'Project Master Sheet'!$F16, 0)</f>
        <v>#N/A</v>
      </c>
      <c r="T16" s="655" t="e">
        <f>IF('Project NET'!T16&lt;&gt;0, 'Project Master Sheet'!$F16, 0)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_xlfn.XLOOKUP('Project OPEX'!A17, 'Project Master Sheet'!A:A, 'Project Master Sheet'!I:I)</f>
        <v>#N/A</v>
      </c>
      <c r="E17" s="655" t="e">
        <f>IF('Project NET'!E17&lt;&gt;0, 'Project Master Sheet'!$F17, 0)</f>
        <v>#N/A</v>
      </c>
      <c r="F17" s="655" t="e">
        <f>IF('Project NET'!F17&lt;&gt;0, 'Project Master Sheet'!$F17, 0)</f>
        <v>#N/A</v>
      </c>
      <c r="G17" s="655" t="e">
        <f>IF('Project NET'!G17&lt;&gt;0, 'Project Master Sheet'!$F17, 0)</f>
        <v>#N/A</v>
      </c>
      <c r="H17" s="655" t="e">
        <f>IF('Project NET'!H17&lt;&gt;0, 'Project Master Sheet'!$F17, 0)</f>
        <v>#N/A</v>
      </c>
      <c r="I17" s="655" t="e">
        <f>IF('Project NET'!I17&lt;&gt;0, 'Project Master Sheet'!$F17, 0)</f>
        <v>#N/A</v>
      </c>
      <c r="J17" s="655" t="e">
        <f>IF('Project NET'!J17&lt;&gt;0, 'Project Master Sheet'!$F17, 0)</f>
        <v>#N/A</v>
      </c>
      <c r="K17" s="655" t="e">
        <f>IF('Project NET'!K17&lt;&gt;0, 'Project Master Sheet'!$F17, 0)</f>
        <v>#N/A</v>
      </c>
      <c r="L17" s="655" t="e">
        <f>IF('Project NET'!L17&lt;&gt;0, 'Project Master Sheet'!$F17, 0)</f>
        <v>#N/A</v>
      </c>
      <c r="M17" s="655" t="e">
        <f>IF('Project NET'!M17&lt;&gt;0, 'Project Master Sheet'!$F17, 0)</f>
        <v>#N/A</v>
      </c>
      <c r="N17" s="655" t="e">
        <f>IF('Project NET'!N17&lt;&gt;0, 'Project Master Sheet'!$F17, 0)</f>
        <v>#N/A</v>
      </c>
      <c r="O17" s="655" t="e">
        <f>IF('Project NET'!O17&lt;&gt;0, 'Project Master Sheet'!$F17, 0)</f>
        <v>#N/A</v>
      </c>
      <c r="P17" s="655" t="e">
        <f>IF('Project NET'!P17&lt;&gt;0, 'Project Master Sheet'!$F17, 0)</f>
        <v>#N/A</v>
      </c>
      <c r="Q17" s="655" t="e">
        <f>IF('Project NET'!Q17&lt;&gt;0, 'Project Master Sheet'!$F17, 0)</f>
        <v>#N/A</v>
      </c>
      <c r="R17" s="655" t="e">
        <f>IF('Project NET'!R17&lt;&gt;0, 'Project Master Sheet'!$F17, 0)</f>
        <v>#N/A</v>
      </c>
      <c r="S17" s="655" t="e">
        <f>IF('Project NET'!S17&lt;&gt;0, 'Project Master Sheet'!$F17, 0)</f>
        <v>#N/A</v>
      </c>
      <c r="T17" s="655" t="e">
        <f>IF('Project NET'!T17&lt;&gt;0, 'Project Master Sheet'!$F17, 0)</f>
        <v>#N/A</v>
      </c>
    </row>
    <row r="18" spans="1:20">
      <c r="A18" s="655" t="str">
        <f>IF(ISBLANK('Project Master Sheet'!A18)=FALSE, 'Project Master Sheet'!A18, "")</f>
        <v/>
      </c>
      <c r="B18" s="655" t="str">
        <f>_xlfn.IFNA(_xlfn.XLOOKUP(A18, 'Project Master Sheet'!A:A, 'Project Master Sheet'!D:D), "")</f>
        <v/>
      </c>
      <c r="C18" s="655" t="e">
        <f>_xlfn.XLOOKUP('Project OPEX'!A18, 'Project Master Sheet'!A:A, 'Project Master Sheet'!I:I)</f>
        <v>#N/A</v>
      </c>
      <c r="E18" s="655" t="e">
        <f>IF('Project NET'!E18&lt;&gt;0, 'Project Master Sheet'!$F18, 0)</f>
        <v>#N/A</v>
      </c>
      <c r="F18" s="655" t="e">
        <f>IF('Project NET'!F18&lt;&gt;0, 'Project Master Sheet'!$F18, 0)</f>
        <v>#N/A</v>
      </c>
      <c r="G18" s="655" t="e">
        <f>IF('Project NET'!G18&lt;&gt;0, 'Project Master Sheet'!$F18, 0)</f>
        <v>#N/A</v>
      </c>
      <c r="H18" s="655" t="e">
        <f>IF('Project NET'!H18&lt;&gt;0, 'Project Master Sheet'!$F18, 0)</f>
        <v>#N/A</v>
      </c>
      <c r="I18" s="655" t="e">
        <f>IF('Project NET'!I18&lt;&gt;0, 'Project Master Sheet'!$F18, 0)</f>
        <v>#N/A</v>
      </c>
      <c r="J18" s="655" t="e">
        <f>IF('Project NET'!J18&lt;&gt;0, 'Project Master Sheet'!$F18, 0)</f>
        <v>#N/A</v>
      </c>
      <c r="K18" s="655" t="e">
        <f>IF('Project NET'!K18&lt;&gt;0, 'Project Master Sheet'!$F18, 0)</f>
        <v>#N/A</v>
      </c>
      <c r="L18" s="655" t="e">
        <f>IF('Project NET'!L18&lt;&gt;0, 'Project Master Sheet'!$F18, 0)</f>
        <v>#N/A</v>
      </c>
      <c r="M18" s="655" t="e">
        <f>IF('Project NET'!M18&lt;&gt;0, 'Project Master Sheet'!$F18, 0)</f>
        <v>#N/A</v>
      </c>
      <c r="N18" s="655" t="e">
        <f>IF('Project NET'!N18&lt;&gt;0, 'Project Master Sheet'!$F18, 0)</f>
        <v>#N/A</v>
      </c>
      <c r="O18" s="655" t="e">
        <f>IF('Project NET'!O18&lt;&gt;0, 'Project Master Sheet'!$F18, 0)</f>
        <v>#N/A</v>
      </c>
      <c r="P18" s="655" t="e">
        <f>IF('Project NET'!P18&lt;&gt;0, 'Project Master Sheet'!$F18, 0)</f>
        <v>#N/A</v>
      </c>
      <c r="Q18" s="655" t="e">
        <f>IF('Project NET'!Q18&lt;&gt;0, 'Project Master Sheet'!$F18, 0)</f>
        <v>#N/A</v>
      </c>
      <c r="R18" s="655" t="e">
        <f>IF('Project NET'!R18&lt;&gt;0, 'Project Master Sheet'!$F18, 0)</f>
        <v>#N/A</v>
      </c>
      <c r="S18" s="655" t="e">
        <f>IF('Project NET'!S18&lt;&gt;0, 'Project Master Sheet'!$F18, 0)</f>
        <v>#N/A</v>
      </c>
      <c r="T18" s="655" t="e">
        <f>IF('Project NET'!T18&lt;&gt;0, 'Project Master Sheet'!$F18, 0)</f>
        <v>#N/A</v>
      </c>
    </row>
    <row r="19" spans="1:20">
      <c r="A19" s="655" t="str">
        <f>IF(ISBLANK('Project Master Sheet'!A19)=FALSE, 'Project Master Sheet'!A19, "")</f>
        <v/>
      </c>
      <c r="B19" s="655" t="str">
        <f>_xlfn.IFNA(_xlfn.XLOOKUP(A19, 'Project Master Sheet'!A:A, 'Project Master Sheet'!D:D), "")</f>
        <v/>
      </c>
      <c r="C19" s="655" t="e">
        <f>_xlfn.XLOOKUP('Project OPEX'!A19, 'Project Master Sheet'!A:A, 'Project Master Sheet'!I:I)</f>
        <v>#N/A</v>
      </c>
      <c r="E19" s="655" t="e">
        <f>IF('Project NET'!E19&lt;&gt;0, 'Project Master Sheet'!$F19, 0)</f>
        <v>#N/A</v>
      </c>
      <c r="F19" s="655" t="e">
        <f>IF('Project NET'!F19&lt;&gt;0, 'Project Master Sheet'!$F19, 0)</f>
        <v>#N/A</v>
      </c>
      <c r="G19" s="655" t="e">
        <f>IF('Project NET'!G19&lt;&gt;0, 'Project Master Sheet'!$F19, 0)</f>
        <v>#N/A</v>
      </c>
      <c r="H19" s="655" t="e">
        <f>IF('Project NET'!H19&lt;&gt;0, 'Project Master Sheet'!$F19, 0)</f>
        <v>#N/A</v>
      </c>
      <c r="I19" s="655" t="e">
        <f>IF('Project NET'!I19&lt;&gt;0, 'Project Master Sheet'!$F19, 0)</f>
        <v>#N/A</v>
      </c>
      <c r="J19" s="655" t="e">
        <f>IF('Project NET'!J19&lt;&gt;0, 'Project Master Sheet'!$F19, 0)</f>
        <v>#N/A</v>
      </c>
      <c r="K19" s="655" t="e">
        <f>IF('Project NET'!K19&lt;&gt;0, 'Project Master Sheet'!$F19, 0)</f>
        <v>#N/A</v>
      </c>
      <c r="L19" s="655" t="e">
        <f>IF('Project NET'!L19&lt;&gt;0, 'Project Master Sheet'!$F19, 0)</f>
        <v>#N/A</v>
      </c>
      <c r="M19" s="655" t="e">
        <f>IF('Project NET'!M19&lt;&gt;0, 'Project Master Sheet'!$F19, 0)</f>
        <v>#N/A</v>
      </c>
      <c r="N19" s="655" t="e">
        <f>IF('Project NET'!N19&lt;&gt;0, 'Project Master Sheet'!$F19, 0)</f>
        <v>#N/A</v>
      </c>
      <c r="O19" s="655" t="e">
        <f>IF('Project NET'!O19&lt;&gt;0, 'Project Master Sheet'!$F19, 0)</f>
        <v>#N/A</v>
      </c>
      <c r="P19" s="655" t="e">
        <f>IF('Project NET'!P19&lt;&gt;0, 'Project Master Sheet'!$F19, 0)</f>
        <v>#N/A</v>
      </c>
      <c r="Q19" s="655" t="e">
        <f>IF('Project NET'!Q19&lt;&gt;0, 'Project Master Sheet'!$F19, 0)</f>
        <v>#N/A</v>
      </c>
      <c r="R19" s="655" t="e">
        <f>IF('Project NET'!R19&lt;&gt;0, 'Project Master Sheet'!$F19, 0)</f>
        <v>#N/A</v>
      </c>
      <c r="S19" s="655" t="e">
        <f>IF('Project NET'!S19&lt;&gt;0, 'Project Master Sheet'!$F19, 0)</f>
        <v>#N/A</v>
      </c>
      <c r="T19" s="655" t="e">
        <f>IF('Project NET'!T19&lt;&gt;0, 'Project Master Sheet'!$F19, 0)</f>
        <v>#N/A</v>
      </c>
    </row>
    <row r="20" spans="1:20">
      <c r="A20" s="655" t="str">
        <f>IF(ISBLANK('Project Master Sheet'!A20)=FALSE, 'Project Master Sheet'!A20, "")</f>
        <v/>
      </c>
      <c r="B20" s="655" t="str">
        <f>_xlfn.IFNA(_xlfn.XLOOKUP(A20, 'Project Master Sheet'!A:A, 'Project Master Sheet'!D:D), "")</f>
        <v/>
      </c>
      <c r="C20" s="655" t="e">
        <f>_xlfn.XLOOKUP('Project OPEX'!A20, 'Project Master Sheet'!A:A, 'Project Master Sheet'!I:I)</f>
        <v>#N/A</v>
      </c>
      <c r="E20" s="655" t="e">
        <f>IF('Project NET'!E20&lt;&gt;0, 'Project Master Sheet'!$F20, 0)</f>
        <v>#N/A</v>
      </c>
      <c r="F20" s="655" t="e">
        <f>IF('Project NET'!F20&lt;&gt;0, 'Project Master Sheet'!$F20, 0)</f>
        <v>#N/A</v>
      </c>
      <c r="G20" s="655" t="e">
        <f>IF('Project NET'!G20&lt;&gt;0, 'Project Master Sheet'!$F20, 0)</f>
        <v>#N/A</v>
      </c>
      <c r="H20" s="655" t="e">
        <f>IF('Project NET'!H20&lt;&gt;0, 'Project Master Sheet'!$F20, 0)</f>
        <v>#N/A</v>
      </c>
      <c r="I20" s="655" t="e">
        <f>IF('Project NET'!I20&lt;&gt;0, 'Project Master Sheet'!$F20, 0)</f>
        <v>#N/A</v>
      </c>
      <c r="J20" s="655" t="e">
        <f>IF('Project NET'!J20&lt;&gt;0, 'Project Master Sheet'!$F20, 0)</f>
        <v>#N/A</v>
      </c>
      <c r="K20" s="655" t="e">
        <f>IF('Project NET'!K20&lt;&gt;0, 'Project Master Sheet'!$F20, 0)</f>
        <v>#N/A</v>
      </c>
      <c r="L20" s="655" t="e">
        <f>IF('Project NET'!L20&lt;&gt;0, 'Project Master Sheet'!$F20, 0)</f>
        <v>#N/A</v>
      </c>
      <c r="M20" s="655" t="e">
        <f>IF('Project NET'!M20&lt;&gt;0, 'Project Master Sheet'!$F20, 0)</f>
        <v>#N/A</v>
      </c>
      <c r="N20" s="655" t="e">
        <f>IF('Project NET'!N20&lt;&gt;0, 'Project Master Sheet'!$F20, 0)</f>
        <v>#N/A</v>
      </c>
      <c r="O20" s="655" t="e">
        <f>IF('Project NET'!O20&lt;&gt;0, 'Project Master Sheet'!$F20, 0)</f>
        <v>#N/A</v>
      </c>
      <c r="P20" s="655" t="e">
        <f>IF('Project NET'!P20&lt;&gt;0, 'Project Master Sheet'!$F20, 0)</f>
        <v>#N/A</v>
      </c>
      <c r="Q20" s="655" t="e">
        <f>IF('Project NET'!Q20&lt;&gt;0, 'Project Master Sheet'!$F20, 0)</f>
        <v>#N/A</v>
      </c>
      <c r="R20" s="655" t="e">
        <f>IF('Project NET'!R20&lt;&gt;0, 'Project Master Sheet'!$F20, 0)</f>
        <v>#N/A</v>
      </c>
      <c r="S20" s="655" t="e">
        <f>IF('Project NET'!S20&lt;&gt;0, 'Project Master Sheet'!$F20, 0)</f>
        <v>#N/A</v>
      </c>
      <c r="T20" s="655" t="e">
        <f>IF('Project NET'!T20&lt;&gt;0, 'Project Master Sheet'!$F20, 0)</f>
        <v>#N/A</v>
      </c>
    </row>
    <row r="21" spans="1:20">
      <c r="A21" s="655" t="str">
        <f>IF(ISBLANK('Project Master Sheet'!A21)=FALSE, 'Project Master Sheet'!A21, "")</f>
        <v/>
      </c>
      <c r="B21" s="655" t="str">
        <f>_xlfn.IFNA(_xlfn.XLOOKUP(A21, 'Project Master Sheet'!A:A, 'Project Master Sheet'!D:D), "")</f>
        <v/>
      </c>
      <c r="C21" s="655" t="e">
        <f>_xlfn.XLOOKUP('Project OPEX'!A21, 'Project Master Sheet'!A:A, 'Project Master Sheet'!I:I)</f>
        <v>#N/A</v>
      </c>
      <c r="E21" s="655" t="e">
        <f>IF('Project NET'!E21&lt;&gt;0, 'Project Master Sheet'!$F21, 0)</f>
        <v>#N/A</v>
      </c>
      <c r="F21" s="655" t="e">
        <f>IF('Project NET'!F21&lt;&gt;0, 'Project Master Sheet'!$F21, 0)</f>
        <v>#N/A</v>
      </c>
      <c r="G21" s="655" t="e">
        <f>IF('Project NET'!G21&lt;&gt;0, 'Project Master Sheet'!$F21, 0)</f>
        <v>#N/A</v>
      </c>
      <c r="H21" s="655" t="e">
        <f>IF('Project NET'!H21&lt;&gt;0, 'Project Master Sheet'!$F21, 0)</f>
        <v>#N/A</v>
      </c>
      <c r="I21" s="655" t="e">
        <f>IF('Project NET'!I21&lt;&gt;0, 'Project Master Sheet'!$F21, 0)</f>
        <v>#N/A</v>
      </c>
      <c r="J21" s="655" t="e">
        <f>IF('Project NET'!J21&lt;&gt;0, 'Project Master Sheet'!$F21, 0)</f>
        <v>#N/A</v>
      </c>
      <c r="K21" s="655" t="e">
        <f>IF('Project NET'!K21&lt;&gt;0, 'Project Master Sheet'!$F21, 0)</f>
        <v>#N/A</v>
      </c>
      <c r="L21" s="655" t="e">
        <f>IF('Project NET'!L21&lt;&gt;0, 'Project Master Sheet'!$F21, 0)</f>
        <v>#N/A</v>
      </c>
      <c r="M21" s="655" t="e">
        <f>IF('Project NET'!M21&lt;&gt;0, 'Project Master Sheet'!$F21, 0)</f>
        <v>#N/A</v>
      </c>
      <c r="N21" s="655" t="e">
        <f>IF('Project NET'!N21&lt;&gt;0, 'Project Master Sheet'!$F21, 0)</f>
        <v>#N/A</v>
      </c>
      <c r="O21" s="655" t="e">
        <f>IF('Project NET'!O21&lt;&gt;0, 'Project Master Sheet'!$F21, 0)</f>
        <v>#N/A</v>
      </c>
      <c r="P21" s="655" t="e">
        <f>IF('Project NET'!P21&lt;&gt;0, 'Project Master Sheet'!$F21, 0)</f>
        <v>#N/A</v>
      </c>
      <c r="Q21" s="655" t="e">
        <f>IF('Project NET'!Q21&lt;&gt;0, 'Project Master Sheet'!$F21, 0)</f>
        <v>#N/A</v>
      </c>
      <c r="R21" s="655" t="e">
        <f>IF('Project NET'!R21&lt;&gt;0, 'Project Master Sheet'!$F21, 0)</f>
        <v>#N/A</v>
      </c>
      <c r="S21" s="655" t="e">
        <f>IF('Project NET'!S21&lt;&gt;0, 'Project Master Sheet'!$F21, 0)</f>
        <v>#N/A</v>
      </c>
      <c r="T21" s="655" t="e">
        <f>IF('Project NET'!T21&lt;&gt;0, 'Project Master Sheet'!$F21, 0)</f>
        <v>#N/A</v>
      </c>
    </row>
    <row r="22" spans="1:20">
      <c r="A22" s="655" t="str">
        <f>IF(ISBLANK('Project Master Sheet'!A22)=FALSE, 'Project Master Sheet'!A22, "")</f>
        <v/>
      </c>
      <c r="B22" s="655" t="str">
        <f>_xlfn.IFNA(_xlfn.XLOOKUP(A22, 'Project Master Sheet'!A:A, 'Project Master Sheet'!D:D), "")</f>
        <v/>
      </c>
      <c r="C22" s="655" t="e">
        <f>_xlfn.XLOOKUP('Project OPEX'!A22, 'Project Master Sheet'!A:A, 'Project Master Sheet'!I:I)</f>
        <v>#N/A</v>
      </c>
      <c r="E22" s="655" t="e">
        <f>IF('Project NET'!E22&lt;&gt;0, 'Project Master Sheet'!$F22, 0)</f>
        <v>#N/A</v>
      </c>
      <c r="F22" s="655" t="e">
        <f>IF('Project NET'!F22&lt;&gt;0, 'Project Master Sheet'!$F22, 0)</f>
        <v>#N/A</v>
      </c>
      <c r="G22" s="655" t="e">
        <f>IF('Project NET'!G22&lt;&gt;0, 'Project Master Sheet'!$F22, 0)</f>
        <v>#N/A</v>
      </c>
      <c r="H22" s="655" t="e">
        <f>IF('Project NET'!H22&lt;&gt;0, 'Project Master Sheet'!$F22, 0)</f>
        <v>#N/A</v>
      </c>
      <c r="I22" s="655" t="e">
        <f>IF('Project NET'!I22&lt;&gt;0, 'Project Master Sheet'!$F22, 0)</f>
        <v>#N/A</v>
      </c>
      <c r="J22" s="655" t="e">
        <f>IF('Project NET'!J22&lt;&gt;0, 'Project Master Sheet'!$F22, 0)</f>
        <v>#N/A</v>
      </c>
      <c r="K22" s="655" t="e">
        <f>IF('Project NET'!K22&lt;&gt;0, 'Project Master Sheet'!$F22, 0)</f>
        <v>#N/A</v>
      </c>
      <c r="L22" s="655" t="e">
        <f>IF('Project NET'!L22&lt;&gt;0, 'Project Master Sheet'!$F22, 0)</f>
        <v>#N/A</v>
      </c>
      <c r="M22" s="655" t="e">
        <f>IF('Project NET'!M22&lt;&gt;0, 'Project Master Sheet'!$F22, 0)</f>
        <v>#N/A</v>
      </c>
      <c r="N22" s="655" t="e">
        <f>IF('Project NET'!N22&lt;&gt;0, 'Project Master Sheet'!$F22, 0)</f>
        <v>#N/A</v>
      </c>
      <c r="O22" s="655" t="e">
        <f>IF('Project NET'!O22&lt;&gt;0, 'Project Master Sheet'!$F22, 0)</f>
        <v>#N/A</v>
      </c>
      <c r="P22" s="655" t="e">
        <f>IF('Project NET'!P22&lt;&gt;0, 'Project Master Sheet'!$F22, 0)</f>
        <v>#N/A</v>
      </c>
      <c r="Q22" s="655" t="e">
        <f>IF('Project NET'!Q22&lt;&gt;0, 'Project Master Sheet'!$F22, 0)</f>
        <v>#N/A</v>
      </c>
      <c r="R22" s="655" t="e">
        <f>IF('Project NET'!R22&lt;&gt;0, 'Project Master Sheet'!$F22, 0)</f>
        <v>#N/A</v>
      </c>
      <c r="S22" s="655" t="e">
        <f>IF('Project NET'!S22&lt;&gt;0, 'Project Master Sheet'!$F22, 0)</f>
        <v>#N/A</v>
      </c>
      <c r="T22" s="655" t="e">
        <f>IF('Project NET'!T22&lt;&gt;0, 'Project Master Sheet'!$F22, 0)</f>
        <v>#N/A</v>
      </c>
    </row>
    <row r="23" spans="1:20">
      <c r="A23" s="655" t="str">
        <f>IF(ISBLANK('Project Master Sheet'!A23)=FALSE, 'Project Master Sheet'!A23, "")</f>
        <v/>
      </c>
      <c r="B23" s="655" t="str">
        <f>_xlfn.IFNA(_xlfn.XLOOKUP(A23, 'Project Master Sheet'!A:A, 'Project Master Sheet'!D:D), "")</f>
        <v/>
      </c>
      <c r="C23" s="655" t="e">
        <f>_xlfn.XLOOKUP('Project OPEX'!A23, 'Project Master Sheet'!A:A, 'Project Master Sheet'!I:I)</f>
        <v>#N/A</v>
      </c>
      <c r="E23" s="655" t="e">
        <f>IF('Project NET'!E23&lt;&gt;0, 'Project Master Sheet'!$F23, 0)</f>
        <v>#N/A</v>
      </c>
      <c r="F23" s="655" t="e">
        <f>IF('Project NET'!F23&lt;&gt;0, 'Project Master Sheet'!$F23, 0)</f>
        <v>#N/A</v>
      </c>
      <c r="G23" s="655" t="e">
        <f>IF('Project NET'!G23&lt;&gt;0, 'Project Master Sheet'!$F23, 0)</f>
        <v>#N/A</v>
      </c>
      <c r="H23" s="655" t="e">
        <f>IF('Project NET'!H23&lt;&gt;0, 'Project Master Sheet'!$F23, 0)</f>
        <v>#N/A</v>
      </c>
      <c r="I23" s="655" t="e">
        <f>IF('Project NET'!I23&lt;&gt;0, 'Project Master Sheet'!$F23, 0)</f>
        <v>#N/A</v>
      </c>
      <c r="J23" s="655" t="e">
        <f>IF('Project NET'!J23&lt;&gt;0, 'Project Master Sheet'!$F23, 0)</f>
        <v>#N/A</v>
      </c>
      <c r="K23" s="655" t="e">
        <f>IF('Project NET'!K23&lt;&gt;0, 'Project Master Sheet'!$F23, 0)</f>
        <v>#N/A</v>
      </c>
      <c r="L23" s="655" t="e">
        <f>IF('Project NET'!L23&lt;&gt;0, 'Project Master Sheet'!$F23, 0)</f>
        <v>#N/A</v>
      </c>
      <c r="M23" s="655" t="e">
        <f>IF('Project NET'!M23&lt;&gt;0, 'Project Master Sheet'!$F23, 0)</f>
        <v>#N/A</v>
      </c>
      <c r="N23" s="655" t="e">
        <f>IF('Project NET'!N23&lt;&gt;0, 'Project Master Sheet'!$F23, 0)</f>
        <v>#N/A</v>
      </c>
      <c r="O23" s="655" t="e">
        <f>IF('Project NET'!O23&lt;&gt;0, 'Project Master Sheet'!$F23, 0)</f>
        <v>#N/A</v>
      </c>
      <c r="P23" s="655" t="e">
        <f>IF('Project NET'!P23&lt;&gt;0, 'Project Master Sheet'!$F23, 0)</f>
        <v>#N/A</v>
      </c>
      <c r="Q23" s="655" t="e">
        <f>IF('Project NET'!Q23&lt;&gt;0, 'Project Master Sheet'!$F23, 0)</f>
        <v>#N/A</v>
      </c>
      <c r="R23" s="655" t="e">
        <f>IF('Project NET'!R23&lt;&gt;0, 'Project Master Sheet'!$F23, 0)</f>
        <v>#N/A</v>
      </c>
      <c r="S23" s="655" t="e">
        <f>IF('Project NET'!S23&lt;&gt;0, 'Project Master Sheet'!$F23, 0)</f>
        <v>#N/A</v>
      </c>
      <c r="T23" s="655" t="e">
        <f>IF('Project NET'!T23&lt;&gt;0, 'Project Master Sheet'!$F23, 0)</f>
        <v>#N/A</v>
      </c>
    </row>
    <row r="24" spans="1:20">
      <c r="A24" s="655" t="str">
        <f>IF(ISBLANK('Project Master Sheet'!A24)=FALSE, 'Project Master Sheet'!A24, "")</f>
        <v/>
      </c>
      <c r="B24" s="655" t="str">
        <f>_xlfn.IFNA(_xlfn.XLOOKUP(A24, 'Project Master Sheet'!A:A, 'Project Master Sheet'!D:D), "")</f>
        <v/>
      </c>
      <c r="C24" s="655" t="e">
        <f>_xlfn.XLOOKUP('Project OPEX'!A24, 'Project Master Sheet'!A:A, 'Project Master Sheet'!I:I)</f>
        <v>#N/A</v>
      </c>
      <c r="E24" s="655" t="e">
        <f>IF('Project NET'!E24&lt;&gt;0, 'Project Master Sheet'!$F24, 0)</f>
        <v>#N/A</v>
      </c>
      <c r="F24" s="655" t="e">
        <f>IF('Project NET'!F24&lt;&gt;0, 'Project Master Sheet'!$F24, 0)</f>
        <v>#N/A</v>
      </c>
      <c r="G24" s="655" t="e">
        <f>IF('Project NET'!G24&lt;&gt;0, 'Project Master Sheet'!$F24, 0)</f>
        <v>#N/A</v>
      </c>
      <c r="H24" s="655" t="e">
        <f>IF('Project NET'!H24&lt;&gt;0, 'Project Master Sheet'!$F24, 0)</f>
        <v>#N/A</v>
      </c>
      <c r="I24" s="655" t="e">
        <f>IF('Project NET'!I24&lt;&gt;0, 'Project Master Sheet'!$F24, 0)</f>
        <v>#N/A</v>
      </c>
      <c r="J24" s="655" t="e">
        <f>IF('Project NET'!J24&lt;&gt;0, 'Project Master Sheet'!$F24, 0)</f>
        <v>#N/A</v>
      </c>
      <c r="K24" s="655" t="e">
        <f>IF('Project NET'!K24&lt;&gt;0, 'Project Master Sheet'!$F24, 0)</f>
        <v>#N/A</v>
      </c>
      <c r="L24" s="655" t="e">
        <f>IF('Project NET'!L24&lt;&gt;0, 'Project Master Sheet'!$F24, 0)</f>
        <v>#N/A</v>
      </c>
      <c r="M24" s="655" t="e">
        <f>IF('Project NET'!M24&lt;&gt;0, 'Project Master Sheet'!$F24, 0)</f>
        <v>#N/A</v>
      </c>
      <c r="N24" s="655" t="e">
        <f>IF('Project NET'!N24&lt;&gt;0, 'Project Master Sheet'!$F24, 0)</f>
        <v>#N/A</v>
      </c>
      <c r="O24" s="655" t="e">
        <f>IF('Project NET'!O24&lt;&gt;0, 'Project Master Sheet'!$F24, 0)</f>
        <v>#N/A</v>
      </c>
      <c r="P24" s="655" t="e">
        <f>IF('Project NET'!P24&lt;&gt;0, 'Project Master Sheet'!$F24, 0)</f>
        <v>#N/A</v>
      </c>
      <c r="Q24" s="655" t="e">
        <f>IF('Project NET'!Q24&lt;&gt;0, 'Project Master Sheet'!$F24, 0)</f>
        <v>#N/A</v>
      </c>
      <c r="R24" s="655" t="e">
        <f>IF('Project NET'!R24&lt;&gt;0, 'Project Master Sheet'!$F24, 0)</f>
        <v>#N/A</v>
      </c>
      <c r="S24" s="655" t="e">
        <f>IF('Project NET'!S24&lt;&gt;0, 'Project Master Sheet'!$F24, 0)</f>
        <v>#N/A</v>
      </c>
      <c r="T24" s="655" t="e">
        <f>IF('Project NET'!T24&lt;&gt;0, 'Project Master Sheet'!$F24, 0)</f>
        <v>#N/A</v>
      </c>
    </row>
    <row r="25" spans="1:20">
      <c r="A25" s="655" t="str">
        <f>IF(ISBLANK('Project Master Sheet'!A25)=FALSE, 'Project Master Sheet'!A25, "")</f>
        <v/>
      </c>
      <c r="B25" s="655" t="str">
        <f>_xlfn.IFNA(_xlfn.XLOOKUP(A25, 'Project Master Sheet'!A:A, 'Project Master Sheet'!D:D), "")</f>
        <v/>
      </c>
      <c r="C25" s="655" t="e">
        <f>_xlfn.XLOOKUP('Project OPEX'!A25, 'Project Master Sheet'!A:A, 'Project Master Sheet'!I:I)</f>
        <v>#N/A</v>
      </c>
      <c r="E25" s="655" t="e">
        <f>IF('Project NET'!E25&lt;&gt;0, 'Project Master Sheet'!$F25, 0)</f>
        <v>#N/A</v>
      </c>
      <c r="F25" s="655" t="e">
        <f>IF('Project NET'!F25&lt;&gt;0, 'Project Master Sheet'!$F25, 0)</f>
        <v>#N/A</v>
      </c>
      <c r="G25" s="655" t="e">
        <f>IF('Project NET'!G25&lt;&gt;0, 'Project Master Sheet'!$F25, 0)</f>
        <v>#N/A</v>
      </c>
      <c r="H25" s="655" t="e">
        <f>IF('Project NET'!H25&lt;&gt;0, 'Project Master Sheet'!$F25, 0)</f>
        <v>#N/A</v>
      </c>
      <c r="I25" s="655" t="e">
        <f>IF('Project NET'!I25&lt;&gt;0, 'Project Master Sheet'!$F25, 0)</f>
        <v>#N/A</v>
      </c>
      <c r="J25" s="655" t="e">
        <f>IF('Project NET'!J25&lt;&gt;0, 'Project Master Sheet'!$F25, 0)</f>
        <v>#N/A</v>
      </c>
      <c r="K25" s="655" t="e">
        <f>IF('Project NET'!K25&lt;&gt;0, 'Project Master Sheet'!$F25, 0)</f>
        <v>#N/A</v>
      </c>
      <c r="L25" s="655" t="e">
        <f>IF('Project NET'!L25&lt;&gt;0, 'Project Master Sheet'!$F25, 0)</f>
        <v>#N/A</v>
      </c>
      <c r="M25" s="655" t="e">
        <f>IF('Project NET'!M25&lt;&gt;0, 'Project Master Sheet'!$F25, 0)</f>
        <v>#N/A</v>
      </c>
      <c r="N25" s="655" t="e">
        <f>IF('Project NET'!N25&lt;&gt;0, 'Project Master Sheet'!$F25, 0)</f>
        <v>#N/A</v>
      </c>
      <c r="O25" s="655" t="e">
        <f>IF('Project NET'!O25&lt;&gt;0, 'Project Master Sheet'!$F25, 0)</f>
        <v>#N/A</v>
      </c>
      <c r="P25" s="655" t="e">
        <f>IF('Project NET'!P25&lt;&gt;0, 'Project Master Sheet'!$F25, 0)</f>
        <v>#N/A</v>
      </c>
      <c r="Q25" s="655" t="e">
        <f>IF('Project NET'!Q25&lt;&gt;0, 'Project Master Sheet'!$F25, 0)</f>
        <v>#N/A</v>
      </c>
      <c r="R25" s="655" t="e">
        <f>IF('Project NET'!R25&lt;&gt;0, 'Project Master Sheet'!$F25, 0)</f>
        <v>#N/A</v>
      </c>
      <c r="S25" s="655" t="e">
        <f>IF('Project NET'!S25&lt;&gt;0, 'Project Master Sheet'!$F25, 0)</f>
        <v>#N/A</v>
      </c>
      <c r="T25" s="655" t="e">
        <f>IF('Project NET'!T25&lt;&gt;0, 'Project Master Sheet'!$F25, 0)</f>
        <v>#N/A</v>
      </c>
    </row>
    <row r="26" spans="1:20">
      <c r="A26" s="655" t="str">
        <f>IF(ISBLANK('Project Master Sheet'!A26)=FALSE, 'Project Master Sheet'!A26, "")</f>
        <v/>
      </c>
      <c r="B26" s="655" t="str">
        <f>_xlfn.IFNA(_xlfn.XLOOKUP(A26, 'Project Master Sheet'!A:A, 'Project Master Sheet'!D:D), "")</f>
        <v/>
      </c>
      <c r="C26" s="655" t="e">
        <f>_xlfn.XLOOKUP('Project OPEX'!A26, 'Project Master Sheet'!A:A, 'Project Master Sheet'!I:I)</f>
        <v>#N/A</v>
      </c>
      <c r="E26" s="655" t="e">
        <f>IF('Project NET'!E26&lt;&gt;0, 'Project Master Sheet'!$F26, 0)</f>
        <v>#N/A</v>
      </c>
      <c r="F26" s="655" t="e">
        <f>IF('Project NET'!F26&lt;&gt;0, 'Project Master Sheet'!$F26, 0)</f>
        <v>#N/A</v>
      </c>
      <c r="G26" s="655" t="e">
        <f>IF('Project NET'!G26&lt;&gt;0, 'Project Master Sheet'!$F26, 0)</f>
        <v>#N/A</v>
      </c>
      <c r="H26" s="655" t="e">
        <f>IF('Project NET'!H26&lt;&gt;0, 'Project Master Sheet'!$F26, 0)</f>
        <v>#N/A</v>
      </c>
      <c r="I26" s="655" t="e">
        <f>IF('Project NET'!I26&lt;&gt;0, 'Project Master Sheet'!$F26, 0)</f>
        <v>#N/A</v>
      </c>
      <c r="J26" s="655" t="e">
        <f>IF('Project NET'!J26&lt;&gt;0, 'Project Master Sheet'!$F26, 0)</f>
        <v>#N/A</v>
      </c>
      <c r="K26" s="655" t="e">
        <f>IF('Project NET'!K26&lt;&gt;0, 'Project Master Sheet'!$F26, 0)</f>
        <v>#N/A</v>
      </c>
      <c r="L26" s="655" t="e">
        <f>IF('Project NET'!L26&lt;&gt;0, 'Project Master Sheet'!$F26, 0)</f>
        <v>#N/A</v>
      </c>
      <c r="M26" s="655" t="e">
        <f>IF('Project NET'!M26&lt;&gt;0, 'Project Master Sheet'!$F26, 0)</f>
        <v>#N/A</v>
      </c>
      <c r="N26" s="655" t="e">
        <f>IF('Project NET'!N26&lt;&gt;0, 'Project Master Sheet'!$F26, 0)</f>
        <v>#N/A</v>
      </c>
      <c r="O26" s="655" t="e">
        <f>IF('Project NET'!O26&lt;&gt;0, 'Project Master Sheet'!$F26, 0)</f>
        <v>#N/A</v>
      </c>
      <c r="P26" s="655" t="e">
        <f>IF('Project NET'!P26&lt;&gt;0, 'Project Master Sheet'!$F26, 0)</f>
        <v>#N/A</v>
      </c>
      <c r="Q26" s="655" t="e">
        <f>IF('Project NET'!Q26&lt;&gt;0, 'Project Master Sheet'!$F26, 0)</f>
        <v>#N/A</v>
      </c>
      <c r="R26" s="655" t="e">
        <f>IF('Project NET'!R26&lt;&gt;0, 'Project Master Sheet'!$F26, 0)</f>
        <v>#N/A</v>
      </c>
      <c r="S26" s="655" t="e">
        <f>IF('Project NET'!S26&lt;&gt;0, 'Project Master Sheet'!$F26, 0)</f>
        <v>#N/A</v>
      </c>
      <c r="T26" s="655" t="e">
        <f>IF('Project NET'!T26&lt;&gt;0, 'Project Master Sheet'!$F26, 0)</f>
        <v>#N/A</v>
      </c>
    </row>
    <row r="27" spans="1:20">
      <c r="A27" s="655" t="str">
        <f>IF(ISBLANK('Project Master Sheet'!A27)=FALSE, 'Project Master Sheet'!A27, "")</f>
        <v/>
      </c>
      <c r="B27" s="655" t="str">
        <f>_xlfn.IFNA(_xlfn.XLOOKUP(A27, 'Project Master Sheet'!A:A, 'Project Master Sheet'!D:D), "")</f>
        <v/>
      </c>
      <c r="C27" s="655" t="e">
        <f>_xlfn.XLOOKUP('Project OPEX'!A27, 'Project Master Sheet'!A:A, 'Project Master Sheet'!I:I)</f>
        <v>#N/A</v>
      </c>
      <c r="E27" s="655" t="e">
        <f>IF('Project NET'!E27&lt;&gt;0, 'Project Master Sheet'!$F27, 0)</f>
        <v>#N/A</v>
      </c>
      <c r="F27" s="655" t="e">
        <f>IF('Project NET'!F27&lt;&gt;0, 'Project Master Sheet'!$F27, 0)</f>
        <v>#N/A</v>
      </c>
      <c r="G27" s="655" t="e">
        <f>IF('Project NET'!G27&lt;&gt;0, 'Project Master Sheet'!$F27, 0)</f>
        <v>#N/A</v>
      </c>
      <c r="H27" s="655" t="e">
        <f>IF('Project NET'!H27&lt;&gt;0, 'Project Master Sheet'!$F27, 0)</f>
        <v>#N/A</v>
      </c>
      <c r="I27" s="655" t="e">
        <f>IF('Project NET'!I27&lt;&gt;0, 'Project Master Sheet'!$F27, 0)</f>
        <v>#N/A</v>
      </c>
      <c r="J27" s="655" t="e">
        <f>IF('Project NET'!J27&lt;&gt;0, 'Project Master Sheet'!$F27, 0)</f>
        <v>#N/A</v>
      </c>
      <c r="K27" s="655" t="e">
        <f>IF('Project NET'!K27&lt;&gt;0, 'Project Master Sheet'!$F27, 0)</f>
        <v>#N/A</v>
      </c>
      <c r="L27" s="655" t="e">
        <f>IF('Project NET'!L27&lt;&gt;0, 'Project Master Sheet'!$F27, 0)</f>
        <v>#N/A</v>
      </c>
      <c r="M27" s="655" t="e">
        <f>IF('Project NET'!M27&lt;&gt;0, 'Project Master Sheet'!$F27, 0)</f>
        <v>#N/A</v>
      </c>
      <c r="N27" s="655" t="e">
        <f>IF('Project NET'!N27&lt;&gt;0, 'Project Master Sheet'!$F27, 0)</f>
        <v>#N/A</v>
      </c>
      <c r="O27" s="655" t="e">
        <f>IF('Project NET'!O27&lt;&gt;0, 'Project Master Sheet'!$F27, 0)</f>
        <v>#N/A</v>
      </c>
      <c r="P27" s="655" t="e">
        <f>IF('Project NET'!P27&lt;&gt;0, 'Project Master Sheet'!$F27, 0)</f>
        <v>#N/A</v>
      </c>
      <c r="Q27" s="655" t="e">
        <f>IF('Project NET'!Q27&lt;&gt;0, 'Project Master Sheet'!$F27, 0)</f>
        <v>#N/A</v>
      </c>
      <c r="R27" s="655" t="e">
        <f>IF('Project NET'!R27&lt;&gt;0, 'Project Master Sheet'!$F27, 0)</f>
        <v>#N/A</v>
      </c>
      <c r="S27" s="655" t="e">
        <f>IF('Project NET'!S27&lt;&gt;0, 'Project Master Sheet'!$F27, 0)</f>
        <v>#N/A</v>
      </c>
      <c r="T27" s="655" t="e">
        <f>IF('Project NET'!T27&lt;&gt;0, 'Project Master Sheet'!$F27, 0)</f>
        <v>#N/A</v>
      </c>
    </row>
    <row r="28" spans="1:20">
      <c r="A28" s="655" t="str">
        <f>IF(ISBLANK('Project Master Sheet'!A28)=FALSE, 'Project Master Sheet'!A28, "")</f>
        <v/>
      </c>
      <c r="B28" s="655" t="str">
        <f>_xlfn.IFNA(_xlfn.XLOOKUP(A28, 'Project Master Sheet'!A:A, 'Project Master Sheet'!D:D), "")</f>
        <v/>
      </c>
      <c r="C28" s="655" t="e">
        <f>_xlfn.XLOOKUP('Project OPEX'!A28, 'Project Master Sheet'!A:A, 'Project Master Sheet'!I:I)</f>
        <v>#N/A</v>
      </c>
      <c r="E28" s="655" t="e">
        <f>IF('Project NET'!E28&lt;&gt;0, 'Project Master Sheet'!$F28, 0)</f>
        <v>#N/A</v>
      </c>
      <c r="F28" s="655" t="e">
        <f>IF('Project NET'!F28&lt;&gt;0, 'Project Master Sheet'!$F28, 0)</f>
        <v>#N/A</v>
      </c>
      <c r="G28" s="655" t="e">
        <f>IF('Project NET'!G28&lt;&gt;0, 'Project Master Sheet'!$F28, 0)</f>
        <v>#N/A</v>
      </c>
      <c r="H28" s="655" t="e">
        <f>IF('Project NET'!H28&lt;&gt;0, 'Project Master Sheet'!$F28, 0)</f>
        <v>#N/A</v>
      </c>
      <c r="I28" s="655" t="e">
        <f>IF('Project NET'!I28&lt;&gt;0, 'Project Master Sheet'!$F28, 0)</f>
        <v>#N/A</v>
      </c>
      <c r="J28" s="655" t="e">
        <f>IF('Project NET'!J28&lt;&gt;0, 'Project Master Sheet'!$F28, 0)</f>
        <v>#N/A</v>
      </c>
      <c r="K28" s="655" t="e">
        <f>IF('Project NET'!K28&lt;&gt;0, 'Project Master Sheet'!$F28, 0)</f>
        <v>#N/A</v>
      </c>
      <c r="L28" s="655" t="e">
        <f>IF('Project NET'!L28&lt;&gt;0, 'Project Master Sheet'!$F28, 0)</f>
        <v>#N/A</v>
      </c>
      <c r="M28" s="655" t="e">
        <f>IF('Project NET'!M28&lt;&gt;0, 'Project Master Sheet'!$F28, 0)</f>
        <v>#N/A</v>
      </c>
      <c r="N28" s="655" t="e">
        <f>IF('Project NET'!N28&lt;&gt;0, 'Project Master Sheet'!$F28, 0)</f>
        <v>#N/A</v>
      </c>
      <c r="O28" s="655" t="e">
        <f>IF('Project NET'!O28&lt;&gt;0, 'Project Master Sheet'!$F28, 0)</f>
        <v>#N/A</v>
      </c>
      <c r="P28" s="655" t="e">
        <f>IF('Project NET'!P28&lt;&gt;0, 'Project Master Sheet'!$F28, 0)</f>
        <v>#N/A</v>
      </c>
      <c r="Q28" s="655" t="e">
        <f>IF('Project NET'!Q28&lt;&gt;0, 'Project Master Sheet'!$F28, 0)</f>
        <v>#N/A</v>
      </c>
      <c r="R28" s="655" t="e">
        <f>IF('Project NET'!R28&lt;&gt;0, 'Project Master Sheet'!$F28, 0)</f>
        <v>#N/A</v>
      </c>
      <c r="S28" s="655" t="e">
        <f>IF('Project NET'!S28&lt;&gt;0, 'Project Master Sheet'!$F28, 0)</f>
        <v>#N/A</v>
      </c>
      <c r="T28" s="655" t="e">
        <f>IF('Project NET'!T28&lt;&gt;0, 'Project Master Sheet'!$F28, 0)</f>
        <v>#N/A</v>
      </c>
    </row>
    <row r="29" spans="1:20">
      <c r="A29" s="655" t="str">
        <f>IF(ISBLANK('Project Master Sheet'!A29)=FALSE, 'Project Master Sheet'!A29, "")</f>
        <v/>
      </c>
      <c r="B29" s="655" t="str">
        <f>_xlfn.IFNA(_xlfn.XLOOKUP(A29, 'Project Master Sheet'!A:A, 'Project Master Sheet'!D:D), "")</f>
        <v/>
      </c>
      <c r="C29" s="655" t="e">
        <f>_xlfn.XLOOKUP('Project OPEX'!A29, 'Project Master Sheet'!A:A, 'Project Master Sheet'!I:I)</f>
        <v>#N/A</v>
      </c>
      <c r="E29" s="655" t="e">
        <f>IF('Project NET'!E29&lt;&gt;0, 'Project Master Sheet'!$F29, 0)</f>
        <v>#N/A</v>
      </c>
      <c r="F29" s="655" t="e">
        <f>IF('Project NET'!F29&lt;&gt;0, 'Project Master Sheet'!$F29, 0)</f>
        <v>#N/A</v>
      </c>
      <c r="G29" s="655" t="e">
        <f>IF('Project NET'!G29&lt;&gt;0, 'Project Master Sheet'!$F29, 0)</f>
        <v>#N/A</v>
      </c>
      <c r="H29" s="655" t="e">
        <f>IF('Project NET'!H29&lt;&gt;0, 'Project Master Sheet'!$F29, 0)</f>
        <v>#N/A</v>
      </c>
      <c r="I29" s="655" t="e">
        <f>IF('Project NET'!I29&lt;&gt;0, 'Project Master Sheet'!$F29, 0)</f>
        <v>#N/A</v>
      </c>
      <c r="J29" s="655" t="e">
        <f>IF('Project NET'!J29&lt;&gt;0, 'Project Master Sheet'!$F29, 0)</f>
        <v>#N/A</v>
      </c>
      <c r="K29" s="655" t="e">
        <f>IF('Project NET'!K29&lt;&gt;0, 'Project Master Sheet'!$F29, 0)</f>
        <v>#N/A</v>
      </c>
      <c r="L29" s="655" t="e">
        <f>IF('Project NET'!L29&lt;&gt;0, 'Project Master Sheet'!$F29, 0)</f>
        <v>#N/A</v>
      </c>
      <c r="M29" s="655" t="e">
        <f>IF('Project NET'!M29&lt;&gt;0, 'Project Master Sheet'!$F29, 0)</f>
        <v>#N/A</v>
      </c>
      <c r="N29" s="655" t="e">
        <f>IF('Project NET'!N29&lt;&gt;0, 'Project Master Sheet'!$F29, 0)</f>
        <v>#N/A</v>
      </c>
      <c r="O29" s="655" t="e">
        <f>IF('Project NET'!O29&lt;&gt;0, 'Project Master Sheet'!$F29, 0)</f>
        <v>#N/A</v>
      </c>
      <c r="P29" s="655" t="e">
        <f>IF('Project NET'!P29&lt;&gt;0, 'Project Master Sheet'!$F29, 0)</f>
        <v>#N/A</v>
      </c>
      <c r="Q29" s="655" t="e">
        <f>IF('Project NET'!Q29&lt;&gt;0, 'Project Master Sheet'!$F29, 0)</f>
        <v>#N/A</v>
      </c>
      <c r="R29" s="655" t="e">
        <f>IF('Project NET'!R29&lt;&gt;0, 'Project Master Sheet'!$F29, 0)</f>
        <v>#N/A</v>
      </c>
      <c r="S29" s="655" t="e">
        <f>IF('Project NET'!S29&lt;&gt;0, 'Project Master Sheet'!$F29, 0)</f>
        <v>#N/A</v>
      </c>
      <c r="T29" s="655" t="e">
        <f>IF('Project NET'!T29&lt;&gt;0, 'Project Master Sheet'!$F29, 0)</f>
        <v>#N/A</v>
      </c>
    </row>
    <row r="30" spans="1:20">
      <c r="A30" s="655" t="str">
        <f>IF(ISBLANK('Project Master Sheet'!A30)=FALSE, 'Project Master Sheet'!A30, "")</f>
        <v/>
      </c>
      <c r="B30" s="655" t="str">
        <f>_xlfn.IFNA(_xlfn.XLOOKUP(A30, 'Project Master Sheet'!A:A, 'Project Master Sheet'!D:D), "")</f>
        <v/>
      </c>
      <c r="C30" s="655" t="e">
        <f>_xlfn.XLOOKUP('Project OPEX'!A30, 'Project Master Sheet'!A:A, 'Project Master Sheet'!I:I)</f>
        <v>#N/A</v>
      </c>
      <c r="E30" s="655" t="e">
        <f>IF('Project NET'!E30&lt;&gt;0, 'Project Master Sheet'!$F30, 0)</f>
        <v>#N/A</v>
      </c>
      <c r="F30" s="655" t="e">
        <f>IF('Project NET'!F30&lt;&gt;0, 'Project Master Sheet'!$F30, 0)</f>
        <v>#N/A</v>
      </c>
      <c r="G30" s="655" t="e">
        <f>IF('Project NET'!G30&lt;&gt;0, 'Project Master Sheet'!$F30, 0)</f>
        <v>#N/A</v>
      </c>
      <c r="H30" s="655" t="e">
        <f>IF('Project NET'!H30&lt;&gt;0, 'Project Master Sheet'!$F30, 0)</f>
        <v>#N/A</v>
      </c>
      <c r="I30" s="655" t="e">
        <f>IF('Project NET'!I30&lt;&gt;0, 'Project Master Sheet'!$F30, 0)</f>
        <v>#N/A</v>
      </c>
      <c r="J30" s="655" t="e">
        <f>IF('Project NET'!J30&lt;&gt;0, 'Project Master Sheet'!$F30, 0)</f>
        <v>#N/A</v>
      </c>
      <c r="K30" s="655" t="e">
        <f>IF('Project NET'!K30&lt;&gt;0, 'Project Master Sheet'!$F30, 0)</f>
        <v>#N/A</v>
      </c>
      <c r="L30" s="655" t="e">
        <f>IF('Project NET'!L30&lt;&gt;0, 'Project Master Sheet'!$F30, 0)</f>
        <v>#N/A</v>
      </c>
      <c r="M30" s="655" t="e">
        <f>IF('Project NET'!M30&lt;&gt;0, 'Project Master Sheet'!$F30, 0)</f>
        <v>#N/A</v>
      </c>
      <c r="N30" s="655" t="e">
        <f>IF('Project NET'!N30&lt;&gt;0, 'Project Master Sheet'!$F30, 0)</f>
        <v>#N/A</v>
      </c>
      <c r="O30" s="655" t="e">
        <f>IF('Project NET'!O30&lt;&gt;0, 'Project Master Sheet'!$F30, 0)</f>
        <v>#N/A</v>
      </c>
      <c r="P30" s="655" t="e">
        <f>IF('Project NET'!P30&lt;&gt;0, 'Project Master Sheet'!$F30, 0)</f>
        <v>#N/A</v>
      </c>
      <c r="Q30" s="655" t="e">
        <f>IF('Project NET'!Q30&lt;&gt;0, 'Project Master Sheet'!$F30, 0)</f>
        <v>#N/A</v>
      </c>
      <c r="R30" s="655" t="e">
        <f>IF('Project NET'!R30&lt;&gt;0, 'Project Master Sheet'!$F30, 0)</f>
        <v>#N/A</v>
      </c>
      <c r="S30" s="655" t="e">
        <f>IF('Project NET'!S30&lt;&gt;0, 'Project Master Sheet'!$F30, 0)</f>
        <v>#N/A</v>
      </c>
      <c r="T30" s="655" t="e">
        <f>IF('Project NET'!T30&lt;&gt;0, 'Project Master Sheet'!$F30, 0)</f>
        <v>#N/A</v>
      </c>
    </row>
    <row r="31" spans="1:20">
      <c r="A31" s="655" t="str">
        <f>IF(ISBLANK('Project Master Sheet'!A31)=FALSE, 'Project Master Sheet'!A31, "")</f>
        <v/>
      </c>
      <c r="B31" s="655" t="str">
        <f>_xlfn.IFNA(_xlfn.XLOOKUP(A31, 'Project Master Sheet'!A:A, 'Project Master Sheet'!D:D), "")</f>
        <v/>
      </c>
      <c r="C31" s="655" t="e">
        <f>_xlfn.XLOOKUP('Project OPEX'!A31, 'Project Master Sheet'!A:A, 'Project Master Sheet'!I:I)</f>
        <v>#N/A</v>
      </c>
      <c r="E31" s="655" t="e">
        <f>IF('Project NET'!E31&lt;&gt;0, 'Project Master Sheet'!$F31, 0)</f>
        <v>#N/A</v>
      </c>
      <c r="F31" s="655" t="e">
        <f>IF('Project NET'!F31&lt;&gt;0, 'Project Master Sheet'!$F31, 0)</f>
        <v>#N/A</v>
      </c>
      <c r="G31" s="655" t="e">
        <f>IF('Project NET'!G31&lt;&gt;0, 'Project Master Sheet'!$F31, 0)</f>
        <v>#N/A</v>
      </c>
      <c r="H31" s="655" t="e">
        <f>IF('Project NET'!H31&lt;&gt;0, 'Project Master Sheet'!$F31, 0)</f>
        <v>#N/A</v>
      </c>
      <c r="I31" s="655" t="e">
        <f>IF('Project NET'!I31&lt;&gt;0, 'Project Master Sheet'!$F31, 0)</f>
        <v>#N/A</v>
      </c>
      <c r="J31" s="655" t="e">
        <f>IF('Project NET'!J31&lt;&gt;0, 'Project Master Sheet'!$F31, 0)</f>
        <v>#N/A</v>
      </c>
      <c r="K31" s="655" t="e">
        <f>IF('Project NET'!K31&lt;&gt;0, 'Project Master Sheet'!$F31, 0)</f>
        <v>#N/A</v>
      </c>
      <c r="L31" s="655" t="e">
        <f>IF('Project NET'!L31&lt;&gt;0, 'Project Master Sheet'!$F31, 0)</f>
        <v>#N/A</v>
      </c>
      <c r="M31" s="655" t="e">
        <f>IF('Project NET'!M31&lt;&gt;0, 'Project Master Sheet'!$F31, 0)</f>
        <v>#N/A</v>
      </c>
      <c r="N31" s="655" t="e">
        <f>IF('Project NET'!N31&lt;&gt;0, 'Project Master Sheet'!$F31, 0)</f>
        <v>#N/A</v>
      </c>
      <c r="O31" s="655" t="e">
        <f>IF('Project NET'!O31&lt;&gt;0, 'Project Master Sheet'!$F31, 0)</f>
        <v>#N/A</v>
      </c>
      <c r="P31" s="655" t="e">
        <f>IF('Project NET'!P31&lt;&gt;0, 'Project Master Sheet'!$F31, 0)</f>
        <v>#N/A</v>
      </c>
      <c r="Q31" s="655" t="e">
        <f>IF('Project NET'!Q31&lt;&gt;0, 'Project Master Sheet'!$F31, 0)</f>
        <v>#N/A</v>
      </c>
      <c r="R31" s="655" t="e">
        <f>IF('Project NET'!R31&lt;&gt;0, 'Project Master Sheet'!$F31, 0)</f>
        <v>#N/A</v>
      </c>
      <c r="S31" s="655" t="e">
        <f>IF('Project NET'!S31&lt;&gt;0, 'Project Master Sheet'!$F31, 0)</f>
        <v>#N/A</v>
      </c>
      <c r="T31" s="655" t="e">
        <f>IF('Project NET'!T31&lt;&gt;0, 'Project Master Sheet'!$F31, 0)</f>
        <v>#N/A</v>
      </c>
    </row>
    <row r="32" spans="1:20">
      <c r="A32" s="655" t="str">
        <f>IF(ISBLANK('Project Master Sheet'!A32)=FALSE, 'Project Master Sheet'!A32, "")</f>
        <v/>
      </c>
      <c r="B32" s="655" t="str">
        <f>_xlfn.IFNA(_xlfn.XLOOKUP(A32, 'Project Master Sheet'!A:A, 'Project Master Sheet'!D:D), "")</f>
        <v/>
      </c>
      <c r="C32" s="655" t="e">
        <f>_xlfn.XLOOKUP('Project OPEX'!A32, 'Project Master Sheet'!A:A, 'Project Master Sheet'!I:I)</f>
        <v>#N/A</v>
      </c>
      <c r="E32" s="655" t="e">
        <f>IF('Project NET'!E32&lt;&gt;0, 'Project Master Sheet'!$F32, 0)</f>
        <v>#N/A</v>
      </c>
      <c r="F32" s="655" t="e">
        <f>IF('Project NET'!F32&lt;&gt;0, 'Project Master Sheet'!$F32, 0)</f>
        <v>#N/A</v>
      </c>
      <c r="G32" s="655" t="e">
        <f>IF('Project NET'!G32&lt;&gt;0, 'Project Master Sheet'!$F32, 0)</f>
        <v>#N/A</v>
      </c>
      <c r="H32" s="655" t="e">
        <f>IF('Project NET'!H32&lt;&gt;0, 'Project Master Sheet'!$F32, 0)</f>
        <v>#N/A</v>
      </c>
      <c r="I32" s="655" t="e">
        <f>IF('Project NET'!I32&lt;&gt;0, 'Project Master Sheet'!$F32, 0)</f>
        <v>#N/A</v>
      </c>
      <c r="J32" s="655" t="e">
        <f>IF('Project NET'!J32&lt;&gt;0, 'Project Master Sheet'!$F32, 0)</f>
        <v>#N/A</v>
      </c>
      <c r="K32" s="655" t="e">
        <f>IF('Project NET'!K32&lt;&gt;0, 'Project Master Sheet'!$F32, 0)</f>
        <v>#N/A</v>
      </c>
      <c r="L32" s="655" t="e">
        <f>IF('Project NET'!L32&lt;&gt;0, 'Project Master Sheet'!$F32, 0)</f>
        <v>#N/A</v>
      </c>
      <c r="M32" s="655" t="e">
        <f>IF('Project NET'!M32&lt;&gt;0, 'Project Master Sheet'!$F32, 0)</f>
        <v>#N/A</v>
      </c>
      <c r="N32" s="655" t="e">
        <f>IF('Project NET'!N32&lt;&gt;0, 'Project Master Sheet'!$F32, 0)</f>
        <v>#N/A</v>
      </c>
      <c r="O32" s="655" t="e">
        <f>IF('Project NET'!O32&lt;&gt;0, 'Project Master Sheet'!$F32, 0)</f>
        <v>#N/A</v>
      </c>
      <c r="P32" s="655" t="e">
        <f>IF('Project NET'!P32&lt;&gt;0, 'Project Master Sheet'!$F32, 0)</f>
        <v>#N/A</v>
      </c>
      <c r="Q32" s="655" t="e">
        <f>IF('Project NET'!Q32&lt;&gt;0, 'Project Master Sheet'!$F32, 0)</f>
        <v>#N/A</v>
      </c>
      <c r="R32" s="655" t="e">
        <f>IF('Project NET'!R32&lt;&gt;0, 'Project Master Sheet'!$F32, 0)</f>
        <v>#N/A</v>
      </c>
      <c r="S32" s="655" t="e">
        <f>IF('Project NET'!S32&lt;&gt;0, 'Project Master Sheet'!$F32, 0)</f>
        <v>#N/A</v>
      </c>
      <c r="T32" s="655" t="e">
        <f>IF('Project NET'!T32&lt;&gt;0, 'Project Master Sheet'!$F32, 0)</f>
        <v>#N/A</v>
      </c>
    </row>
    <row r="33" spans="1:20">
      <c r="A33" s="655" t="str">
        <f>IF(ISBLANK('Project Master Sheet'!A33)=FALSE, 'Project Master Sheet'!A33, "")</f>
        <v/>
      </c>
      <c r="B33" s="655" t="str">
        <f>_xlfn.IFNA(_xlfn.XLOOKUP(A33, 'Project Master Sheet'!A:A, 'Project Master Sheet'!D:D), "")</f>
        <v/>
      </c>
      <c r="C33" s="655" t="e">
        <f>_xlfn.XLOOKUP('Project OPEX'!A33, 'Project Master Sheet'!A:A, 'Project Master Sheet'!I:I)</f>
        <v>#N/A</v>
      </c>
      <c r="E33" s="655" t="e">
        <f>IF('Project NET'!E33&lt;&gt;0, 'Project Master Sheet'!$F33, 0)</f>
        <v>#N/A</v>
      </c>
      <c r="F33" s="655" t="e">
        <f>IF('Project NET'!F33&lt;&gt;0, 'Project Master Sheet'!$F33, 0)</f>
        <v>#N/A</v>
      </c>
      <c r="G33" s="655" t="e">
        <f>IF('Project NET'!G33&lt;&gt;0, 'Project Master Sheet'!$F33, 0)</f>
        <v>#N/A</v>
      </c>
      <c r="H33" s="655" t="e">
        <f>IF('Project NET'!H33&lt;&gt;0, 'Project Master Sheet'!$F33, 0)</f>
        <v>#N/A</v>
      </c>
      <c r="I33" s="655" t="e">
        <f>IF('Project NET'!I33&lt;&gt;0, 'Project Master Sheet'!$F33, 0)</f>
        <v>#N/A</v>
      </c>
      <c r="J33" s="655" t="e">
        <f>IF('Project NET'!J33&lt;&gt;0, 'Project Master Sheet'!$F33, 0)</f>
        <v>#N/A</v>
      </c>
      <c r="K33" s="655" t="e">
        <f>IF('Project NET'!K33&lt;&gt;0, 'Project Master Sheet'!$F33, 0)</f>
        <v>#N/A</v>
      </c>
      <c r="L33" s="655" t="e">
        <f>IF('Project NET'!L33&lt;&gt;0, 'Project Master Sheet'!$F33, 0)</f>
        <v>#N/A</v>
      </c>
      <c r="M33" s="655" t="e">
        <f>IF('Project NET'!M33&lt;&gt;0, 'Project Master Sheet'!$F33, 0)</f>
        <v>#N/A</v>
      </c>
      <c r="N33" s="655" t="e">
        <f>IF('Project NET'!N33&lt;&gt;0, 'Project Master Sheet'!$F33, 0)</f>
        <v>#N/A</v>
      </c>
      <c r="O33" s="655" t="e">
        <f>IF('Project NET'!O33&lt;&gt;0, 'Project Master Sheet'!$F33, 0)</f>
        <v>#N/A</v>
      </c>
      <c r="P33" s="655" t="e">
        <f>IF('Project NET'!P33&lt;&gt;0, 'Project Master Sheet'!$F33, 0)</f>
        <v>#N/A</v>
      </c>
      <c r="Q33" s="655" t="e">
        <f>IF('Project NET'!Q33&lt;&gt;0, 'Project Master Sheet'!$F33, 0)</f>
        <v>#N/A</v>
      </c>
      <c r="R33" s="655" t="e">
        <f>IF('Project NET'!R33&lt;&gt;0, 'Project Master Sheet'!$F33, 0)</f>
        <v>#N/A</v>
      </c>
      <c r="S33" s="655" t="e">
        <f>IF('Project NET'!S33&lt;&gt;0, 'Project Master Sheet'!$F33, 0)</f>
        <v>#N/A</v>
      </c>
      <c r="T33" s="655" t="e">
        <f>IF('Project NET'!T33&lt;&gt;0, 'Project Master Sheet'!$F33, 0)</f>
        <v>#N/A</v>
      </c>
    </row>
    <row r="34" spans="1:20">
      <c r="A34" s="655" t="str">
        <f>IF(ISBLANK('Project Master Sheet'!A34)=FALSE, 'Project Master Sheet'!A34, "")</f>
        <v/>
      </c>
      <c r="B34" s="655" t="str">
        <f>_xlfn.IFNA(_xlfn.XLOOKUP(A34, 'Project Master Sheet'!A:A, 'Project Master Sheet'!D:D), "")</f>
        <v/>
      </c>
      <c r="C34" s="655" t="e">
        <f>_xlfn.XLOOKUP('Project OPEX'!A34, 'Project Master Sheet'!A:A, 'Project Master Sheet'!I:I)</f>
        <v>#N/A</v>
      </c>
      <c r="E34" s="655" t="e">
        <f>IF('Project NET'!E34&lt;&gt;0, 'Project Master Sheet'!$F34, 0)</f>
        <v>#N/A</v>
      </c>
      <c r="F34" s="655" t="e">
        <f>IF('Project NET'!F34&lt;&gt;0, 'Project Master Sheet'!$F34, 0)</f>
        <v>#N/A</v>
      </c>
      <c r="G34" s="655" t="e">
        <f>IF('Project NET'!G34&lt;&gt;0, 'Project Master Sheet'!$F34, 0)</f>
        <v>#N/A</v>
      </c>
      <c r="H34" s="655" t="e">
        <f>IF('Project NET'!H34&lt;&gt;0, 'Project Master Sheet'!$F34, 0)</f>
        <v>#N/A</v>
      </c>
      <c r="I34" s="655" t="e">
        <f>IF('Project NET'!I34&lt;&gt;0, 'Project Master Sheet'!$F34, 0)</f>
        <v>#N/A</v>
      </c>
      <c r="J34" s="655" t="e">
        <f>IF('Project NET'!J34&lt;&gt;0, 'Project Master Sheet'!$F34, 0)</f>
        <v>#N/A</v>
      </c>
      <c r="K34" s="655" t="e">
        <f>IF('Project NET'!K34&lt;&gt;0, 'Project Master Sheet'!$F34, 0)</f>
        <v>#N/A</v>
      </c>
      <c r="L34" s="655" t="e">
        <f>IF('Project NET'!L34&lt;&gt;0, 'Project Master Sheet'!$F34, 0)</f>
        <v>#N/A</v>
      </c>
      <c r="M34" s="655" t="e">
        <f>IF('Project NET'!M34&lt;&gt;0, 'Project Master Sheet'!$F34, 0)</f>
        <v>#N/A</v>
      </c>
      <c r="N34" s="655" t="e">
        <f>IF('Project NET'!N34&lt;&gt;0, 'Project Master Sheet'!$F34, 0)</f>
        <v>#N/A</v>
      </c>
      <c r="O34" s="655" t="e">
        <f>IF('Project NET'!O34&lt;&gt;0, 'Project Master Sheet'!$F34, 0)</f>
        <v>#N/A</v>
      </c>
      <c r="P34" s="655" t="e">
        <f>IF('Project NET'!P34&lt;&gt;0, 'Project Master Sheet'!$F34, 0)</f>
        <v>#N/A</v>
      </c>
      <c r="Q34" s="655" t="e">
        <f>IF('Project NET'!Q34&lt;&gt;0, 'Project Master Sheet'!$F34, 0)</f>
        <v>#N/A</v>
      </c>
      <c r="R34" s="655" t="e">
        <f>IF('Project NET'!R34&lt;&gt;0, 'Project Master Sheet'!$F34, 0)</f>
        <v>#N/A</v>
      </c>
      <c r="S34" s="655" t="e">
        <f>IF('Project NET'!S34&lt;&gt;0, 'Project Master Sheet'!$F34, 0)</f>
        <v>#N/A</v>
      </c>
      <c r="T34" s="655" t="e">
        <f>IF('Project NET'!T34&lt;&gt;0, 'Project Master Sheet'!$F34, 0)</f>
        <v>#N/A</v>
      </c>
    </row>
    <row r="35" spans="1:20">
      <c r="A35" s="655" t="str">
        <f>IF(ISBLANK('Project Master Sheet'!A35)=FALSE, 'Project Master Sheet'!A35, "")</f>
        <v/>
      </c>
      <c r="B35" s="655" t="str">
        <f>_xlfn.IFNA(_xlfn.XLOOKUP(A35, 'Project Master Sheet'!A:A, 'Project Master Sheet'!D:D), "")</f>
        <v/>
      </c>
      <c r="C35" s="655" t="e">
        <f>_xlfn.XLOOKUP('Project OPEX'!A35, 'Project Master Sheet'!A:A, 'Project Master Sheet'!I:I)</f>
        <v>#N/A</v>
      </c>
      <c r="E35" s="655" t="e">
        <f>IF('Project NET'!E35&lt;&gt;0, 'Project Master Sheet'!$F35, 0)</f>
        <v>#N/A</v>
      </c>
      <c r="F35" s="655" t="e">
        <f>IF('Project NET'!F35&lt;&gt;0, 'Project Master Sheet'!$F35, 0)</f>
        <v>#N/A</v>
      </c>
      <c r="G35" s="655" t="e">
        <f>IF('Project NET'!G35&lt;&gt;0, 'Project Master Sheet'!$F35, 0)</f>
        <v>#N/A</v>
      </c>
      <c r="H35" s="655" t="e">
        <f>IF('Project NET'!H35&lt;&gt;0, 'Project Master Sheet'!$F35, 0)</f>
        <v>#N/A</v>
      </c>
      <c r="I35" s="655" t="e">
        <f>IF('Project NET'!I35&lt;&gt;0, 'Project Master Sheet'!$F35, 0)</f>
        <v>#N/A</v>
      </c>
      <c r="J35" s="655" t="e">
        <f>IF('Project NET'!J35&lt;&gt;0, 'Project Master Sheet'!$F35, 0)</f>
        <v>#N/A</v>
      </c>
      <c r="K35" s="655" t="e">
        <f>IF('Project NET'!K35&lt;&gt;0, 'Project Master Sheet'!$F35, 0)</f>
        <v>#N/A</v>
      </c>
      <c r="L35" s="655" t="e">
        <f>IF('Project NET'!L35&lt;&gt;0, 'Project Master Sheet'!$F35, 0)</f>
        <v>#N/A</v>
      </c>
      <c r="M35" s="655" t="e">
        <f>IF('Project NET'!M35&lt;&gt;0, 'Project Master Sheet'!$F35, 0)</f>
        <v>#N/A</v>
      </c>
      <c r="N35" s="655" t="e">
        <f>IF('Project NET'!N35&lt;&gt;0, 'Project Master Sheet'!$F35, 0)</f>
        <v>#N/A</v>
      </c>
      <c r="O35" s="655" t="e">
        <f>IF('Project NET'!O35&lt;&gt;0, 'Project Master Sheet'!$F35, 0)</f>
        <v>#N/A</v>
      </c>
      <c r="P35" s="655" t="e">
        <f>IF('Project NET'!P35&lt;&gt;0, 'Project Master Sheet'!$F35, 0)</f>
        <v>#N/A</v>
      </c>
      <c r="Q35" s="655" t="e">
        <f>IF('Project NET'!Q35&lt;&gt;0, 'Project Master Sheet'!$F35, 0)</f>
        <v>#N/A</v>
      </c>
      <c r="R35" s="655" t="e">
        <f>IF('Project NET'!R35&lt;&gt;0, 'Project Master Sheet'!$F35, 0)</f>
        <v>#N/A</v>
      </c>
      <c r="S35" s="655" t="e">
        <f>IF('Project NET'!S35&lt;&gt;0, 'Project Master Sheet'!$F35, 0)</f>
        <v>#N/A</v>
      </c>
      <c r="T35" s="655" t="e">
        <f>IF('Project NET'!T35&lt;&gt;0, 'Project Master Sheet'!$F35, 0)</f>
        <v>#N/A</v>
      </c>
    </row>
    <row r="36" spans="1:20">
      <c r="A36" s="655" t="str">
        <f>IF(ISBLANK('Project Master Sheet'!A36)=FALSE, 'Project Master Sheet'!A36, "")</f>
        <v/>
      </c>
      <c r="B36" s="655" t="str">
        <f>_xlfn.IFNA(_xlfn.XLOOKUP(A36, 'Project Master Sheet'!A:A, 'Project Master Sheet'!D:D), "")</f>
        <v/>
      </c>
      <c r="C36" s="655" t="e">
        <f>_xlfn.XLOOKUP('Project OPEX'!A36, 'Project Master Sheet'!A:A, 'Project Master Sheet'!I:I)</f>
        <v>#N/A</v>
      </c>
      <c r="E36" s="655" t="e">
        <f>IF('Project NET'!E36&lt;&gt;0, 'Project Master Sheet'!$F36, 0)</f>
        <v>#N/A</v>
      </c>
      <c r="F36" s="655" t="e">
        <f>IF('Project NET'!F36&lt;&gt;0, 'Project Master Sheet'!$F36, 0)</f>
        <v>#N/A</v>
      </c>
      <c r="G36" s="655" t="e">
        <f>IF('Project NET'!G36&lt;&gt;0, 'Project Master Sheet'!$F36, 0)</f>
        <v>#N/A</v>
      </c>
      <c r="H36" s="655" t="e">
        <f>IF('Project NET'!H36&lt;&gt;0, 'Project Master Sheet'!$F36, 0)</f>
        <v>#N/A</v>
      </c>
      <c r="I36" s="655" t="e">
        <f>IF('Project NET'!I36&lt;&gt;0, 'Project Master Sheet'!$F36, 0)</f>
        <v>#N/A</v>
      </c>
      <c r="J36" s="655" t="e">
        <f>IF('Project NET'!J36&lt;&gt;0, 'Project Master Sheet'!$F36, 0)</f>
        <v>#N/A</v>
      </c>
      <c r="K36" s="655" t="e">
        <f>IF('Project NET'!K36&lt;&gt;0, 'Project Master Sheet'!$F36, 0)</f>
        <v>#N/A</v>
      </c>
      <c r="L36" s="655" t="e">
        <f>IF('Project NET'!L36&lt;&gt;0, 'Project Master Sheet'!$F36, 0)</f>
        <v>#N/A</v>
      </c>
      <c r="M36" s="655" t="e">
        <f>IF('Project NET'!M36&lt;&gt;0, 'Project Master Sheet'!$F36, 0)</f>
        <v>#N/A</v>
      </c>
      <c r="N36" s="655" t="e">
        <f>IF('Project NET'!N36&lt;&gt;0, 'Project Master Sheet'!$F36, 0)</f>
        <v>#N/A</v>
      </c>
      <c r="O36" s="655" t="e">
        <f>IF('Project NET'!O36&lt;&gt;0, 'Project Master Sheet'!$F36, 0)</f>
        <v>#N/A</v>
      </c>
      <c r="P36" s="655" t="e">
        <f>IF('Project NET'!P36&lt;&gt;0, 'Project Master Sheet'!$F36, 0)</f>
        <v>#N/A</v>
      </c>
      <c r="Q36" s="655" t="e">
        <f>IF('Project NET'!Q36&lt;&gt;0, 'Project Master Sheet'!$F36, 0)</f>
        <v>#N/A</v>
      </c>
      <c r="R36" s="655" t="e">
        <f>IF('Project NET'!R36&lt;&gt;0, 'Project Master Sheet'!$F36, 0)</f>
        <v>#N/A</v>
      </c>
      <c r="S36" s="655" t="e">
        <f>IF('Project NET'!S36&lt;&gt;0, 'Project Master Sheet'!$F36, 0)</f>
        <v>#N/A</v>
      </c>
      <c r="T36" s="655" t="e">
        <f>IF('Project NET'!T36&lt;&gt;0, 'Project Master Sheet'!$F36, 0)</f>
        <v>#N/A</v>
      </c>
    </row>
    <row r="37" spans="1:20">
      <c r="A37" s="655" t="str">
        <f>IF(ISBLANK('Project Master Sheet'!A37)=FALSE, 'Project Master Sheet'!A37, "")</f>
        <v/>
      </c>
      <c r="B37" s="655" t="str">
        <f>_xlfn.IFNA(_xlfn.XLOOKUP(A37, 'Project Master Sheet'!A:A, 'Project Master Sheet'!D:D), "")</f>
        <v/>
      </c>
      <c r="C37" s="655" t="e">
        <f>_xlfn.XLOOKUP('Project OPEX'!A37, 'Project Master Sheet'!A:A, 'Project Master Sheet'!I:I)</f>
        <v>#N/A</v>
      </c>
      <c r="E37" s="655" t="e">
        <f>IF('Project NET'!E37&lt;&gt;0, 'Project Master Sheet'!$F37, 0)</f>
        <v>#N/A</v>
      </c>
      <c r="F37" s="655" t="e">
        <f>IF('Project NET'!F37&lt;&gt;0, 'Project Master Sheet'!$F37, 0)</f>
        <v>#N/A</v>
      </c>
      <c r="G37" s="655" t="e">
        <f>IF('Project NET'!G37&lt;&gt;0, 'Project Master Sheet'!$F37, 0)</f>
        <v>#N/A</v>
      </c>
      <c r="H37" s="655" t="e">
        <f>IF('Project NET'!H37&lt;&gt;0, 'Project Master Sheet'!$F37, 0)</f>
        <v>#N/A</v>
      </c>
      <c r="I37" s="655" t="e">
        <f>IF('Project NET'!I37&lt;&gt;0, 'Project Master Sheet'!$F37, 0)</f>
        <v>#N/A</v>
      </c>
      <c r="J37" s="655" t="e">
        <f>IF('Project NET'!J37&lt;&gt;0, 'Project Master Sheet'!$F37, 0)</f>
        <v>#N/A</v>
      </c>
      <c r="K37" s="655" t="e">
        <f>IF('Project NET'!K37&lt;&gt;0, 'Project Master Sheet'!$F37, 0)</f>
        <v>#N/A</v>
      </c>
      <c r="L37" s="655" t="e">
        <f>IF('Project NET'!L37&lt;&gt;0, 'Project Master Sheet'!$F37, 0)</f>
        <v>#N/A</v>
      </c>
      <c r="M37" s="655" t="e">
        <f>IF('Project NET'!M37&lt;&gt;0, 'Project Master Sheet'!$F37, 0)</f>
        <v>#N/A</v>
      </c>
      <c r="N37" s="655" t="e">
        <f>IF('Project NET'!N37&lt;&gt;0, 'Project Master Sheet'!$F37, 0)</f>
        <v>#N/A</v>
      </c>
      <c r="O37" s="655" t="e">
        <f>IF('Project NET'!O37&lt;&gt;0, 'Project Master Sheet'!$F37, 0)</f>
        <v>#N/A</v>
      </c>
      <c r="P37" s="655" t="e">
        <f>IF('Project NET'!P37&lt;&gt;0, 'Project Master Sheet'!$F37, 0)</f>
        <v>#N/A</v>
      </c>
      <c r="Q37" s="655" t="e">
        <f>IF('Project NET'!Q37&lt;&gt;0, 'Project Master Sheet'!$F37, 0)</f>
        <v>#N/A</v>
      </c>
      <c r="R37" s="655" t="e">
        <f>IF('Project NET'!R37&lt;&gt;0, 'Project Master Sheet'!$F37, 0)</f>
        <v>#N/A</v>
      </c>
      <c r="S37" s="655" t="e">
        <f>IF('Project NET'!S37&lt;&gt;0, 'Project Master Sheet'!$F37, 0)</f>
        <v>#N/A</v>
      </c>
      <c r="T37" s="655" t="e">
        <f>IF('Project NET'!T37&lt;&gt;0, 'Project Master Sheet'!$F37, 0)</f>
        <v>#N/A</v>
      </c>
    </row>
    <row r="38" spans="1:20">
      <c r="A38" s="655" t="str">
        <f>IF(ISBLANK('Project Master Sheet'!A38)=FALSE, 'Project Master Sheet'!A38, "")</f>
        <v/>
      </c>
      <c r="B38" s="655" t="str">
        <f>_xlfn.IFNA(_xlfn.XLOOKUP(A38, 'Project Master Sheet'!A:A, 'Project Master Sheet'!D:D), "")</f>
        <v/>
      </c>
      <c r="C38" s="655" t="e">
        <f>_xlfn.XLOOKUP('Project OPEX'!A38, 'Project Master Sheet'!A:A, 'Project Master Sheet'!I:I)</f>
        <v>#N/A</v>
      </c>
      <c r="E38" s="655">
        <f>IF('Project NET'!E38&lt;&gt;0, 'Project Master Sheet'!$F38, 0)</f>
        <v>0</v>
      </c>
      <c r="F38" s="655">
        <f>IF('Project NET'!F38&lt;&gt;0, 'Project Master Sheet'!$F38, 0)</f>
        <v>0</v>
      </c>
      <c r="G38" s="655">
        <f>IF('Project NET'!G38&lt;&gt;0, 'Project Master Sheet'!$F38, 0)</f>
        <v>0</v>
      </c>
      <c r="H38" s="655">
        <f>IF('Project NET'!H38&lt;&gt;0, 'Project Master Sheet'!$F38, 0)</f>
        <v>0</v>
      </c>
      <c r="I38" s="655">
        <f>IF('Project NET'!I38&lt;&gt;0, 'Project Master Sheet'!$F38, 0)</f>
        <v>0</v>
      </c>
      <c r="J38" s="655">
        <f>IF('Project NET'!J38&lt;&gt;0, 'Project Master Sheet'!$F38, 0)</f>
        <v>0</v>
      </c>
      <c r="K38" s="655">
        <f>IF('Project NET'!K38&lt;&gt;0, 'Project Master Sheet'!$F38, 0)</f>
        <v>0</v>
      </c>
      <c r="L38" s="655">
        <f>IF('Project NET'!L38&lt;&gt;0, 'Project Master Sheet'!$F38, 0)</f>
        <v>0</v>
      </c>
      <c r="M38" s="655">
        <f>IF('Project NET'!M38&lt;&gt;0, 'Project Master Sheet'!$F38, 0)</f>
        <v>0</v>
      </c>
      <c r="N38" s="655">
        <f>IF('Project NET'!N38&lt;&gt;0, 'Project Master Sheet'!$F38, 0)</f>
        <v>0</v>
      </c>
      <c r="O38" s="655">
        <f>IF('Project NET'!O38&lt;&gt;0, 'Project Master Sheet'!$F38, 0)</f>
        <v>0</v>
      </c>
      <c r="P38" s="655">
        <f>IF('Project NET'!P38&lt;&gt;0, 'Project Master Sheet'!$F38, 0)</f>
        <v>0</v>
      </c>
      <c r="Q38" s="655">
        <f>IF('Project NET'!Q38&lt;&gt;0, 'Project Master Sheet'!$F38, 0)</f>
        <v>0</v>
      </c>
      <c r="R38" s="655">
        <f>IF('Project NET'!R38&lt;&gt;0, 'Project Master Sheet'!$F38, 0)</f>
        <v>0</v>
      </c>
      <c r="S38" s="655">
        <f>IF('Project NET'!S38&lt;&gt;0, 'Project Master Sheet'!$F38, 0)</f>
        <v>0</v>
      </c>
      <c r="T38" s="655">
        <f>IF('Project NET'!T38&lt;&gt;0, 'Project Master Sheet'!$F38, 0)</f>
        <v>0</v>
      </c>
    </row>
    <row r="39" spans="1:20">
      <c r="A39" s="655" t="str">
        <f>IF(ISBLANK('Project Master Sheet'!A39)=FALSE, 'Project Master Sheet'!A39, "")</f>
        <v/>
      </c>
      <c r="B39" s="655" t="str">
        <f>_xlfn.IFNA(_xlfn.XLOOKUP(A39, 'Project Master Sheet'!A:A, 'Project Master Sheet'!D:D), "")</f>
        <v/>
      </c>
      <c r="C39" s="655" t="e">
        <f>_xlfn.XLOOKUP('Project OPEX'!A39, 'Project Master Sheet'!A:A, 'Project Master Sheet'!I:I)</f>
        <v>#N/A</v>
      </c>
      <c r="E39" s="655">
        <f>IF('Project NET'!E39&lt;&gt;0, 'Project Master Sheet'!$F39, 0)</f>
        <v>0</v>
      </c>
      <c r="F39" s="655">
        <f>IF('Project NET'!F39&lt;&gt;0, 'Project Master Sheet'!$F39, 0)</f>
        <v>0</v>
      </c>
      <c r="G39" s="655">
        <f>IF('Project NET'!G39&lt;&gt;0, 'Project Master Sheet'!$F39, 0)</f>
        <v>0</v>
      </c>
      <c r="H39" s="655">
        <f>IF('Project NET'!H39&lt;&gt;0, 'Project Master Sheet'!$F39, 0)</f>
        <v>0</v>
      </c>
      <c r="I39" s="655">
        <f>IF('Project NET'!I39&lt;&gt;0, 'Project Master Sheet'!$F39, 0)</f>
        <v>0</v>
      </c>
      <c r="J39" s="655">
        <f>IF('Project NET'!J39&lt;&gt;0, 'Project Master Sheet'!$F39, 0)</f>
        <v>0</v>
      </c>
      <c r="K39" s="655">
        <f>IF('Project NET'!K39&lt;&gt;0, 'Project Master Sheet'!$F39, 0)</f>
        <v>0</v>
      </c>
      <c r="L39" s="655">
        <f>IF('Project NET'!L39&lt;&gt;0, 'Project Master Sheet'!$F39, 0)</f>
        <v>0</v>
      </c>
      <c r="M39" s="655">
        <f>IF('Project NET'!M39&lt;&gt;0, 'Project Master Sheet'!$F39, 0)</f>
        <v>0</v>
      </c>
      <c r="N39" s="655">
        <f>IF('Project NET'!N39&lt;&gt;0, 'Project Master Sheet'!$F39, 0)</f>
        <v>0</v>
      </c>
      <c r="O39" s="655">
        <f>IF('Project NET'!O39&lt;&gt;0, 'Project Master Sheet'!$F39, 0)</f>
        <v>0</v>
      </c>
      <c r="P39" s="655">
        <f>IF('Project NET'!P39&lt;&gt;0, 'Project Master Sheet'!$F39, 0)</f>
        <v>0</v>
      </c>
      <c r="Q39" s="655">
        <f>IF('Project NET'!Q39&lt;&gt;0, 'Project Master Sheet'!$F39, 0)</f>
        <v>0</v>
      </c>
      <c r="R39" s="655">
        <f>IF('Project NET'!R39&lt;&gt;0, 'Project Master Sheet'!$F39, 0)</f>
        <v>0</v>
      </c>
      <c r="S39" s="655">
        <f>IF('Project NET'!S39&lt;&gt;0, 'Project Master Sheet'!$F39, 0)</f>
        <v>0</v>
      </c>
      <c r="T39" s="655">
        <f>IF('Project NET'!T39&lt;&gt;0, 'Project Master Sheet'!$F39, 0)</f>
        <v>0</v>
      </c>
    </row>
    <row r="40" spans="1:20">
      <c r="A40" s="655" t="str">
        <f>IF(ISBLANK('Project Master Sheet'!A40)=FALSE, 'Project Master Sheet'!A40, "")</f>
        <v/>
      </c>
      <c r="B40" s="655" t="str">
        <f>_xlfn.IFNA(_xlfn.XLOOKUP(A40, 'Project Master Sheet'!A:A, 'Project Master Sheet'!D:D), "")</f>
        <v/>
      </c>
      <c r="C40" s="655" t="e">
        <f>_xlfn.XLOOKUP('Project OPEX'!A40, 'Project Master Sheet'!A:A, 'Project Master Sheet'!I:I)</f>
        <v>#N/A</v>
      </c>
      <c r="E40" s="655">
        <f>IF('Project NET'!E40&lt;&gt;0, 'Project Master Sheet'!$F40, 0)</f>
        <v>0</v>
      </c>
      <c r="F40" s="655">
        <f>IF('Project NET'!F40&lt;&gt;0, 'Project Master Sheet'!$F40, 0)</f>
        <v>0</v>
      </c>
      <c r="G40" s="655">
        <f>IF('Project NET'!G40&lt;&gt;0, 'Project Master Sheet'!$F40, 0)</f>
        <v>0</v>
      </c>
      <c r="H40" s="655">
        <f>IF('Project NET'!H40&lt;&gt;0, 'Project Master Sheet'!$F40, 0)</f>
        <v>0</v>
      </c>
      <c r="I40" s="655">
        <f>IF('Project NET'!I40&lt;&gt;0, 'Project Master Sheet'!$F40, 0)</f>
        <v>0</v>
      </c>
      <c r="J40" s="655">
        <f>IF('Project NET'!J40&lt;&gt;0, 'Project Master Sheet'!$F40, 0)</f>
        <v>0</v>
      </c>
      <c r="K40" s="655">
        <f>IF('Project NET'!K40&lt;&gt;0, 'Project Master Sheet'!$F40, 0)</f>
        <v>0</v>
      </c>
      <c r="L40" s="655">
        <f>IF('Project NET'!L40&lt;&gt;0, 'Project Master Sheet'!$F40, 0)</f>
        <v>0</v>
      </c>
      <c r="M40" s="655">
        <f>IF('Project NET'!M40&lt;&gt;0, 'Project Master Sheet'!$F40, 0)</f>
        <v>0</v>
      </c>
      <c r="N40" s="655">
        <f>IF('Project NET'!N40&lt;&gt;0, 'Project Master Sheet'!$F40, 0)</f>
        <v>0</v>
      </c>
      <c r="O40" s="655">
        <f>IF('Project NET'!O40&lt;&gt;0, 'Project Master Sheet'!$F40, 0)</f>
        <v>0</v>
      </c>
      <c r="P40" s="655">
        <f>IF('Project NET'!P40&lt;&gt;0, 'Project Master Sheet'!$F40, 0)</f>
        <v>0</v>
      </c>
      <c r="Q40" s="655">
        <f>IF('Project NET'!Q40&lt;&gt;0, 'Project Master Sheet'!$F40, 0)</f>
        <v>0</v>
      </c>
      <c r="R40" s="655">
        <f>IF('Project NET'!R40&lt;&gt;0, 'Project Master Sheet'!$F40, 0)</f>
        <v>0</v>
      </c>
      <c r="S40" s="655">
        <f>IF('Project NET'!S40&lt;&gt;0, 'Project Master Sheet'!$F40, 0)</f>
        <v>0</v>
      </c>
      <c r="T40" s="655">
        <f>IF('Project NET'!T40&lt;&gt;0, 'Project Master Sheet'!$F40, 0)</f>
        <v>0</v>
      </c>
    </row>
    <row r="41" spans="1:20">
      <c r="A41" s="655" t="str">
        <f>IF(ISBLANK('Project Master Sheet'!A41)=FALSE, 'Project Master Sheet'!A41, "")</f>
        <v/>
      </c>
      <c r="B41" s="655" t="str">
        <f>_xlfn.IFNA(_xlfn.XLOOKUP(A41, 'Project Master Sheet'!A:A, 'Project Master Sheet'!D:D), "")</f>
        <v/>
      </c>
      <c r="C41" s="655" t="e">
        <f>_xlfn.XLOOKUP('Project OPEX'!A41, 'Project Master Sheet'!A:A, 'Project Master Sheet'!I:I)</f>
        <v>#N/A</v>
      </c>
      <c r="E41" s="655">
        <f>IF('Project NET'!E41&lt;&gt;0, 'Project Master Sheet'!$F41, 0)</f>
        <v>0</v>
      </c>
      <c r="F41" s="655">
        <f>IF('Project NET'!F41&lt;&gt;0, 'Project Master Sheet'!$F41, 0)</f>
        <v>0</v>
      </c>
      <c r="G41" s="655">
        <f>IF('Project NET'!G41&lt;&gt;0, 'Project Master Sheet'!$F41, 0)</f>
        <v>0</v>
      </c>
      <c r="H41" s="655">
        <f>IF('Project NET'!H41&lt;&gt;0, 'Project Master Sheet'!$F41, 0)</f>
        <v>0</v>
      </c>
      <c r="I41" s="655">
        <f>IF('Project NET'!I41&lt;&gt;0, 'Project Master Sheet'!$F41, 0)</f>
        <v>0</v>
      </c>
      <c r="J41" s="655">
        <f>IF('Project NET'!J41&lt;&gt;0, 'Project Master Sheet'!$F41, 0)</f>
        <v>0</v>
      </c>
      <c r="K41" s="655">
        <f>IF('Project NET'!K41&lt;&gt;0, 'Project Master Sheet'!$F41, 0)</f>
        <v>0</v>
      </c>
      <c r="L41" s="655">
        <f>IF('Project NET'!L41&lt;&gt;0, 'Project Master Sheet'!$F41, 0)</f>
        <v>0</v>
      </c>
      <c r="M41" s="655">
        <f>IF('Project NET'!M41&lt;&gt;0, 'Project Master Sheet'!$F41, 0)</f>
        <v>0</v>
      </c>
      <c r="N41" s="655">
        <f>IF('Project NET'!N41&lt;&gt;0, 'Project Master Sheet'!$F41, 0)</f>
        <v>0</v>
      </c>
      <c r="O41" s="655">
        <f>IF('Project NET'!O41&lt;&gt;0, 'Project Master Sheet'!$F41, 0)</f>
        <v>0</v>
      </c>
      <c r="P41" s="655">
        <f>IF('Project NET'!P41&lt;&gt;0, 'Project Master Sheet'!$F41, 0)</f>
        <v>0</v>
      </c>
      <c r="Q41" s="655">
        <f>IF('Project NET'!Q41&lt;&gt;0, 'Project Master Sheet'!$F41, 0)</f>
        <v>0</v>
      </c>
      <c r="R41" s="655">
        <f>IF('Project NET'!R41&lt;&gt;0, 'Project Master Sheet'!$F41, 0)</f>
        <v>0</v>
      </c>
      <c r="S41" s="655">
        <f>IF('Project NET'!S41&lt;&gt;0, 'Project Master Sheet'!$F41, 0)</f>
        <v>0</v>
      </c>
      <c r="T41" s="655">
        <f>IF('Project NET'!T41&lt;&gt;0, 'Project Master Sheet'!$F41, 0)</f>
        <v>0</v>
      </c>
    </row>
  </sheetData>
  <mergeCells count="1">
    <mergeCell ref="E1:T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1C74-7BFC-4392-B9ED-E4B4735B5CF8}">
  <dimension ref="A1:DH27"/>
  <sheetViews>
    <sheetView workbookViewId="0">
      <selection activeCell="A10" sqref="A10"/>
    </sheetView>
  </sheetViews>
  <sheetFormatPr baseColWidth="10" defaultColWidth="9.1640625" defaultRowHeight="15"/>
  <cols>
    <col min="1" max="1" width="30.1640625" style="655" customWidth="1"/>
    <col min="2" max="2" width="23" style="655" customWidth="1"/>
    <col min="3" max="3" width="18.1640625" style="655" customWidth="1"/>
    <col min="4" max="4" width="5.6640625" style="655" customWidth="1"/>
    <col min="5" max="20" width="12.6640625" style="655" customWidth="1"/>
    <col min="21" max="16384" width="9.1640625" style="655"/>
  </cols>
  <sheetData>
    <row r="1" spans="1:112" ht="27">
      <c r="A1" s="656" t="s">
        <v>40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8"/>
      <c r="AJ1" s="658"/>
      <c r="AK1" s="658"/>
      <c r="AL1" s="658"/>
      <c r="AM1" s="658"/>
      <c r="AN1" s="658"/>
      <c r="AO1" s="658"/>
      <c r="AP1" s="658"/>
      <c r="AQ1" s="658"/>
      <c r="AR1" s="658"/>
      <c r="AS1" s="658"/>
      <c r="AT1" s="658"/>
      <c r="AU1" s="658"/>
      <c r="AV1" s="658"/>
      <c r="AW1" s="658"/>
      <c r="AX1" s="658"/>
      <c r="AY1" s="658"/>
      <c r="AZ1" s="658"/>
      <c r="BA1" s="658"/>
      <c r="BB1" s="658"/>
      <c r="BC1" s="658"/>
      <c r="BD1" s="658"/>
      <c r="BE1" s="658"/>
      <c r="BF1" s="658"/>
      <c r="BG1" s="658"/>
      <c r="BH1" s="658"/>
      <c r="BI1" s="658"/>
      <c r="BJ1" s="658"/>
      <c r="BK1" s="658"/>
      <c r="BL1" s="658"/>
      <c r="BM1" s="658"/>
      <c r="BN1" s="658"/>
      <c r="BO1" s="658"/>
      <c r="BP1" s="658"/>
      <c r="BQ1" s="658"/>
      <c r="BR1" s="658"/>
      <c r="BS1" s="658"/>
      <c r="BT1" s="658"/>
      <c r="BU1" s="658"/>
      <c r="BV1" s="658"/>
      <c r="BW1" s="658"/>
      <c r="BX1" s="658"/>
      <c r="BY1" s="658"/>
      <c r="BZ1" s="658"/>
      <c r="CA1" s="658"/>
      <c r="CB1" s="658"/>
      <c r="CC1" s="658"/>
      <c r="CD1" s="658"/>
      <c r="CE1" s="658"/>
      <c r="CF1" s="658"/>
      <c r="CG1" s="658"/>
      <c r="CH1" s="658"/>
      <c r="CI1" s="658"/>
      <c r="CJ1" s="658"/>
      <c r="CK1" s="658"/>
      <c r="CL1" s="658"/>
      <c r="CM1" s="658"/>
      <c r="CN1" s="658"/>
      <c r="CO1" s="658"/>
      <c r="CP1" s="658"/>
      <c r="CQ1" s="658"/>
      <c r="CR1" s="658"/>
      <c r="CS1" s="658"/>
      <c r="CT1" s="658"/>
      <c r="CU1" s="658"/>
      <c r="CV1" s="658"/>
      <c r="CW1" s="658"/>
      <c r="CX1" s="658"/>
      <c r="CY1" s="658"/>
      <c r="CZ1" s="658"/>
      <c r="DA1" s="658"/>
      <c r="DB1" s="658"/>
      <c r="DC1" s="658"/>
      <c r="DD1" s="658"/>
      <c r="DE1" s="658"/>
      <c r="DF1" s="658"/>
      <c r="DG1" s="658"/>
      <c r="DH1" s="658"/>
    </row>
    <row r="2" spans="1:112">
      <c r="A2" s="655" t="s">
        <v>52</v>
      </c>
      <c r="B2" s="655" t="s">
        <v>45</v>
      </c>
      <c r="C2" s="655" t="s">
        <v>53</v>
      </c>
      <c r="E2" s="655">
        <v>0</v>
      </c>
      <c r="F2" s="655">
        <f>E2+1</f>
        <v>1</v>
      </c>
      <c r="G2" s="655">
        <f t="shared" ref="G2:T2" si="0">F2+1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112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_xlfn.XLOOKUP('Project OPEX'!A3, 'Project Master Sheet'!A:A, 'Project Master Sheet'!I:I)</f>
        <v>1</v>
      </c>
      <c r="E3" s="744">
        <f>IF($B3='Project List References'!$B$3, _xlfn.IFNA(_xlfn.XLOOKUP(E$2-$C3, 'GEN-CCGT'!$D$7:$AW$7, 'GEN-CCGT'!$D$115:$AW$115), 0), IF($B3='Project List References'!$B$4, _xlfn.IFNA(_xlfn.XLOOKUP(E$2-$C3, 'GEN-SOLAR'!$D$7:$AW$7, 'GEN-SOLAR'!$D$115:$AW$115), 0), IF($B3='Project List References'!$B$5, _xlfn.IFNA(_xlfn.XLOOKUP(E$2-$C3, 'GEN-BESS'!$D$7:$AW$7, 'GEN-BESS'!$D$117:$AW$117), 0), IF($B3='Project List References'!$B$6, _xlfn.IFNA(_xlfn.XLOOKUP(E$2-$C3,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F3" s="744">
        <f>IF($B3='Project List References'!$B$3, _xlfn.IFNA(_xlfn.XLOOKUP(F$2-$C3, 'GEN-CCGT'!$D$7:$AW$7, 'GEN-CCGT'!$D$115:$AW$115), 0), IF($B3='Project List References'!$B$4, _xlfn.IFNA(_xlfn.XLOOKUP(F$2-$C3, 'GEN-SOLAR'!$D$7:$AW$7, 'GEN-SOLAR'!$D$115:$AW$115), 0), IF($B3='Project List References'!$B$5, _xlfn.IFNA(_xlfn.XLOOKUP(F$2-$C3, 'GEN-BESS'!$D$7:$AW$7, 'GEN-BESS'!$D$117:$AW$117), 0), IF($B3='Project List References'!$B$6, _xlfn.IFNA(_xlfn.XLOOKUP(F$2-$C3,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G3" s="744">
        <f>IF($B3='Project List References'!$B$3, _xlfn.IFNA(_xlfn.XLOOKUP(G$2-$C3, 'GEN-CCGT'!$D$7:$AW$7, 'GEN-CCGT'!$D$115:$AW$115), 0), IF($B3='Project List References'!$B$4, _xlfn.IFNA(_xlfn.XLOOKUP(G$2-$C3, 'GEN-SOLAR'!$D$7:$AW$7, 'GEN-SOLAR'!$D$115:$AW$115), 0), IF($B3='Project List References'!$B$5, _xlfn.IFNA(_xlfn.XLOOKUP(G$2-$C3, 'GEN-BESS'!$D$7:$AW$7, 'GEN-BESS'!$D$117:$AW$117), 0), IF($B3='Project List References'!$B$6, _xlfn.IFNA(_xlfn.XLOOKUP(G$2-$C3,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H3" s="744">
        <f>IF($B3='Project List References'!$B$3, _xlfn.IFNA(_xlfn.XLOOKUP(H$2-$C3, 'GEN-CCGT'!$D$7:$AW$7, 'GEN-CCGT'!$D$115:$AW$115), 0), IF($B3='Project List References'!$B$4, _xlfn.IFNA(_xlfn.XLOOKUP(H$2-$C3, 'GEN-SOLAR'!$D$7:$AW$7, 'GEN-SOLAR'!$D$115:$AW$115), 0), IF($B3='Project List References'!$B$5, _xlfn.IFNA(_xlfn.XLOOKUP(H$2-$C3, 'GEN-BESS'!$D$7:$AW$7, 'GEN-BESS'!$D$117:$AW$117), 0), IF($B3='Project List References'!$B$6, _xlfn.IFNA(_xlfn.XLOOKUP(H$2-$C3,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I3" s="744">
        <f>IF($B3='Project List References'!$B$3, _xlfn.IFNA(_xlfn.XLOOKUP(I$2-$C3, 'GEN-CCGT'!$D$7:$AW$7, 'GEN-CCGT'!$D$115:$AW$115), 0), IF($B3='Project List References'!$B$4, _xlfn.IFNA(_xlfn.XLOOKUP(I$2-$C3, 'GEN-SOLAR'!$D$7:$AW$7, 'GEN-SOLAR'!$D$115:$AW$115), 0), IF($B3='Project List References'!$B$5, _xlfn.IFNA(_xlfn.XLOOKUP(I$2-$C3, 'GEN-BESS'!$D$7:$AW$7, 'GEN-BESS'!$D$117:$AW$117), 0), IF($B3='Project List References'!$B$6, _xlfn.IFNA(_xlfn.XLOOKUP(I$2-$C3,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J3" s="744">
        <f>IF($B3='Project List References'!$B$3, _xlfn.IFNA(_xlfn.XLOOKUP(J$2-$C3, 'GEN-CCGT'!$D$7:$AW$7, 'GEN-CCGT'!$D$115:$AW$115), 0), IF($B3='Project List References'!$B$4, _xlfn.IFNA(_xlfn.XLOOKUP(J$2-$C3, 'GEN-SOLAR'!$D$7:$AW$7, 'GEN-SOLAR'!$D$115:$AW$115), 0), IF($B3='Project List References'!$B$5, _xlfn.IFNA(_xlfn.XLOOKUP(J$2-$C3, 'GEN-BESS'!$D$7:$AW$7, 'GEN-BESS'!$D$117:$AW$117), 0), IF($B3='Project List References'!$B$6, _xlfn.IFNA(_xlfn.XLOOKUP(J$2-$C3,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2662766.4</v>
      </c>
      <c r="K3" s="744">
        <f>IF($B3='Project List References'!$B$3, _xlfn.IFNA(_xlfn.XLOOKUP(K$2-$C3, 'GEN-CCGT'!$D$7:$AW$7, 'GEN-CCGT'!$D$115:$AW$115), 0), IF($B3='Project List References'!$B$4, _xlfn.IFNA(_xlfn.XLOOKUP(K$2-$C3, 'GEN-SOLAR'!$D$7:$AW$7, 'GEN-SOLAR'!$D$115:$AW$115), 0), IF($B3='Project List References'!$B$5, _xlfn.IFNA(_xlfn.XLOOKUP(K$2-$C3, 'GEN-BESS'!$D$7:$AW$7, 'GEN-BESS'!$D$117:$AW$117), 0), IF($B3='Project List References'!$B$6, _xlfn.IFNA(_xlfn.XLOOKUP(K$2-$C3,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3184704</v>
      </c>
      <c r="L3" s="744">
        <f>IF($B3='Project List References'!$B$3, _xlfn.IFNA(_xlfn.XLOOKUP(L$2-$C3, 'GEN-CCGT'!$D$7:$AW$7, 'GEN-CCGT'!$D$115:$AW$115), 0), IF($B3='Project List References'!$B$4, _xlfn.IFNA(_xlfn.XLOOKUP(L$2-$C3, 'GEN-SOLAR'!$D$7:$AW$7, 'GEN-SOLAR'!$D$115:$AW$115), 0), IF($B3='Project List References'!$B$5, _xlfn.IFNA(_xlfn.XLOOKUP(L$2-$C3, 'GEN-BESS'!$D$7:$AW$7, 'GEN-BESS'!$D$117:$AW$117), 0), IF($B3='Project List References'!$B$6, _xlfn.IFNA(_xlfn.XLOOKUP(L$2-$C3,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3176742.2399999998</v>
      </c>
      <c r="M3" s="744">
        <f>IF($B3='Project List References'!$B$3, _xlfn.IFNA(_xlfn.XLOOKUP(M$2-$C3, 'GEN-CCGT'!$D$7:$AW$7, 'GEN-CCGT'!$D$115:$AW$115), 0), IF($B3='Project List References'!$B$4, _xlfn.IFNA(_xlfn.XLOOKUP(M$2-$C3, 'GEN-SOLAR'!$D$7:$AW$7, 'GEN-SOLAR'!$D$115:$AW$115), 0), IF($B3='Project List References'!$B$5, _xlfn.IFNA(_xlfn.XLOOKUP(M$2-$C3, 'GEN-BESS'!$D$7:$AW$7, 'GEN-BESS'!$D$117:$AW$117), 0), IF($B3='Project List References'!$B$6, _xlfn.IFNA(_xlfn.XLOOKUP(M$2-$C3,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3168800.3844000003</v>
      </c>
      <c r="N3" s="744">
        <f>IF($B3='Project List References'!$B$3, _xlfn.IFNA(_xlfn.XLOOKUP(N$2-$C3, 'GEN-CCGT'!$D$7:$AW$7, 'GEN-CCGT'!$D$115:$AW$115), 0), IF($B3='Project List References'!$B$4, _xlfn.IFNA(_xlfn.XLOOKUP(N$2-$C3, 'GEN-SOLAR'!$D$7:$AW$7, 'GEN-SOLAR'!$D$115:$AW$115), 0), IF($B3='Project List References'!$B$5, _xlfn.IFNA(_xlfn.XLOOKUP(N$2-$C3, 'GEN-BESS'!$D$7:$AW$7, 'GEN-BESS'!$D$117:$AW$117), 0), IF($B3='Project List References'!$B$6, _xlfn.IFNA(_xlfn.XLOOKUP(N$2-$C3,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3160878.3834390007</v>
      </c>
      <c r="O3" s="744">
        <f>IF($B3='Project List References'!$B$3, _xlfn.IFNA(_xlfn.XLOOKUP(O$2-$C3, 'GEN-CCGT'!$D$7:$AW$7, 'GEN-CCGT'!$D$115:$AW$115), 0), IF($B3='Project List References'!$B$4, _xlfn.IFNA(_xlfn.XLOOKUP(O$2-$C3, 'GEN-SOLAR'!$D$7:$AW$7, 'GEN-SOLAR'!$D$115:$AW$115), 0), IF($B3='Project List References'!$B$5, _xlfn.IFNA(_xlfn.XLOOKUP(O$2-$C3, 'GEN-BESS'!$D$7:$AW$7, 'GEN-BESS'!$D$117:$AW$117), 0), IF($B3='Project List References'!$B$6, _xlfn.IFNA(_xlfn.XLOOKUP(O$2-$C3,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3152976.1874804031</v>
      </c>
      <c r="P3" s="744">
        <f>IF($B3='Project List References'!$B$3, _xlfn.IFNA(_xlfn.XLOOKUP(P$2-$C3, 'GEN-CCGT'!$D$7:$AW$7, 'GEN-CCGT'!$D$115:$AW$115), 0), IF($B3='Project List References'!$B$4, _xlfn.IFNA(_xlfn.XLOOKUP(P$2-$C3, 'GEN-SOLAR'!$D$7:$AW$7, 'GEN-SOLAR'!$D$115:$AW$115), 0), IF($B3='Project List References'!$B$5, _xlfn.IFNA(_xlfn.XLOOKUP(P$2-$C3, 'GEN-BESS'!$D$7:$AW$7, 'GEN-BESS'!$D$117:$AW$117), 0), IF($B3='Project List References'!$B$6, _xlfn.IFNA(_xlfn.XLOOKUP(P$2-$C3,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3145093.7470117025</v>
      </c>
      <c r="Q3" s="744">
        <f>IF($B3='Project List References'!$B$3, _xlfn.IFNA(_xlfn.XLOOKUP(Q$2-$C3, 'GEN-CCGT'!$D$7:$AW$7, 'GEN-CCGT'!$D$115:$AW$115), 0), IF($B3='Project List References'!$B$4, _xlfn.IFNA(_xlfn.XLOOKUP(Q$2-$C3, 'GEN-SOLAR'!$D$7:$AW$7, 'GEN-SOLAR'!$D$115:$AW$115), 0), IF($B3='Project List References'!$B$5, _xlfn.IFNA(_xlfn.XLOOKUP(Q$2-$C3, 'GEN-BESS'!$D$7:$AW$7, 'GEN-BESS'!$D$117:$AW$117), 0), IF($B3='Project List References'!$B$6, _xlfn.IFNA(_xlfn.XLOOKUP(Q$2-$C3,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3137231.0126441731</v>
      </c>
      <c r="R3" s="744">
        <f>IF($B3='Project List References'!$B$3, _xlfn.IFNA(_xlfn.XLOOKUP(R$2-$C3, 'GEN-CCGT'!$D$7:$AW$7, 'GEN-CCGT'!$D$115:$AW$115), 0), IF($B3='Project List References'!$B$4, _xlfn.IFNA(_xlfn.XLOOKUP(R$2-$C3, 'GEN-SOLAR'!$D$7:$AW$7, 'GEN-SOLAR'!$D$115:$AW$115), 0), IF($B3='Project List References'!$B$5, _xlfn.IFNA(_xlfn.XLOOKUP(R$2-$C3, 'GEN-BESS'!$D$7:$AW$7, 'GEN-BESS'!$D$117:$AW$117), 0), IF($B3='Project List References'!$B$6, _xlfn.IFNA(_xlfn.XLOOKUP(R$2-$C3,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3129387.935112563</v>
      </c>
      <c r="S3" s="744">
        <f>IF($B3='Project List References'!$B$3, _xlfn.IFNA(_xlfn.XLOOKUP(S$2-$C3, 'GEN-CCGT'!$D$7:$AW$7, 'GEN-CCGT'!$D$115:$AW$115), 0), IF($B3='Project List References'!$B$4, _xlfn.IFNA(_xlfn.XLOOKUP(S$2-$C3, 'GEN-SOLAR'!$D$7:$AW$7, 'GEN-SOLAR'!$D$115:$AW$115), 0), IF($B3='Project List References'!$B$5, _xlfn.IFNA(_xlfn.XLOOKUP(S$2-$C3, 'GEN-BESS'!$D$7:$AW$7, 'GEN-BESS'!$D$117:$AW$117), 0), IF($B3='Project List References'!$B$6, _xlfn.IFNA(_xlfn.XLOOKUP(S$2-$C3,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3121564.4652747815</v>
      </c>
      <c r="T3" s="744">
        <f>IF($B3='Project List References'!$B$3, _xlfn.IFNA(_xlfn.XLOOKUP(T$2-$C3, 'GEN-CCGT'!$D$7:$AW$7, 'GEN-CCGT'!$D$115:$AW$115), 0), IF($B3='Project List References'!$B$4, _xlfn.IFNA(_xlfn.XLOOKUP(T$2-$C3, 'GEN-SOLAR'!$D$7:$AW$7, 'GEN-SOLAR'!$D$115:$AW$115), 0), IF($B3='Project List References'!$B$5, _xlfn.IFNA(_xlfn.XLOOKUP(T$2-$C3, 'GEN-BESS'!$D$7:$AW$7, 'GEN-BESS'!$D$117:$AW$117), 0), IF($B3='Project List References'!$B$6, _xlfn.IFNA(_xlfn.XLOOKUP(T$2-$C3, 'GEN-CARBON'!$D$7:$AW$7, 'GEN-CARBON'!$D$115:$AW$115), 0), 0))))/_xlfn.XLOOKUP($B3,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3113760.5541115943</v>
      </c>
    </row>
    <row r="4" spans="1:112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_xlfn.XLOOKUP('Project OPEX'!A4, 'Project Master Sheet'!A:A, 'Project Master Sheet'!I:I)</f>
        <v>1</v>
      </c>
      <c r="E4" s="744">
        <f>IF($B4='Project List References'!$B$3, _xlfn.IFNA(_xlfn.XLOOKUP(E$2-$C4, 'GEN-CCGT'!$D$7:$AW$7, 'GEN-CCGT'!$D$115:$AW$115), 0), IF($B4='Project List References'!$B$4, _xlfn.IFNA(_xlfn.XLOOKUP(E$2-$C4, 'GEN-SOLAR'!$D$7:$AW$7, 'GEN-SOLAR'!$D$115:$AW$115), 0), IF($B4='Project List References'!$B$5, _xlfn.IFNA(_xlfn.XLOOKUP(E$2-$C4, 'GEN-BESS'!$D$7:$AW$7, 'GEN-BESS'!$D$117:$AW$117), 0), IF($B4='Project List References'!$B$6, _xlfn.IFNA(_xlfn.XLOOKUP(E$2-$C4,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F4" s="744">
        <f>IF($B4='Project List References'!$B$3, _xlfn.IFNA(_xlfn.XLOOKUP(F$2-$C4, 'GEN-CCGT'!$D$7:$AW$7, 'GEN-CCGT'!$D$115:$AW$115), 0), IF($B4='Project List References'!$B$4, _xlfn.IFNA(_xlfn.XLOOKUP(F$2-$C4, 'GEN-SOLAR'!$D$7:$AW$7, 'GEN-SOLAR'!$D$115:$AW$115), 0), IF($B4='Project List References'!$B$5, _xlfn.IFNA(_xlfn.XLOOKUP(F$2-$C4, 'GEN-BESS'!$D$7:$AW$7, 'GEN-BESS'!$D$117:$AW$117), 0), IF($B4='Project List References'!$B$6, _xlfn.IFNA(_xlfn.XLOOKUP(F$2-$C4,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G4" s="744">
        <f>IF($B4='Project List References'!$B$3, _xlfn.IFNA(_xlfn.XLOOKUP(G$2-$C4, 'GEN-CCGT'!$D$7:$AW$7, 'GEN-CCGT'!$D$115:$AW$115), 0), IF($B4='Project List References'!$B$4, _xlfn.IFNA(_xlfn.XLOOKUP(G$2-$C4, 'GEN-SOLAR'!$D$7:$AW$7, 'GEN-SOLAR'!$D$115:$AW$115), 0), IF($B4='Project List References'!$B$5, _xlfn.IFNA(_xlfn.XLOOKUP(G$2-$C4, 'GEN-BESS'!$D$7:$AW$7, 'GEN-BESS'!$D$117:$AW$117), 0), IF($B4='Project List References'!$B$6, _xlfn.IFNA(_xlfn.XLOOKUP(G$2-$C4,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44481.111111111109</v>
      </c>
      <c r="H4" s="744">
        <f>IF($B4='Project List References'!$B$3, _xlfn.IFNA(_xlfn.XLOOKUP(H$2-$C4, 'GEN-CCGT'!$D$7:$AW$7, 'GEN-CCGT'!$D$115:$AW$115), 0), IF($B4='Project List References'!$B$4, _xlfn.IFNA(_xlfn.XLOOKUP(H$2-$C4, 'GEN-SOLAR'!$D$7:$AW$7, 'GEN-SOLAR'!$D$115:$AW$115), 0), IF($B4='Project List References'!$B$5, _xlfn.IFNA(_xlfn.XLOOKUP(H$2-$C4, 'GEN-BESS'!$D$7:$AW$7, 'GEN-BESS'!$D$117:$AW$117), 0), IF($B4='Project List References'!$B$6, _xlfn.IFNA(_xlfn.XLOOKUP(H$2-$C4,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I4" s="744">
        <f>IF($B4='Project List References'!$B$3, _xlfn.IFNA(_xlfn.XLOOKUP(I$2-$C4, 'GEN-CCGT'!$D$7:$AW$7, 'GEN-CCGT'!$D$115:$AW$115), 0), IF($B4='Project List References'!$B$4, _xlfn.IFNA(_xlfn.XLOOKUP(I$2-$C4, 'GEN-SOLAR'!$D$7:$AW$7, 'GEN-SOLAR'!$D$115:$AW$115), 0), IF($B4='Project List References'!$B$5, _xlfn.IFNA(_xlfn.XLOOKUP(I$2-$C4, 'GEN-BESS'!$D$7:$AW$7, 'GEN-BESS'!$D$117:$AW$117), 0), IF($B4='Project List References'!$B$6, _xlfn.IFNA(_xlfn.XLOOKUP(I$2-$C4,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J4" s="744">
        <f>IF($B4='Project List References'!$B$3, _xlfn.IFNA(_xlfn.XLOOKUP(J$2-$C4, 'GEN-CCGT'!$D$7:$AW$7, 'GEN-CCGT'!$D$115:$AW$115), 0), IF($B4='Project List References'!$B$4, _xlfn.IFNA(_xlfn.XLOOKUP(J$2-$C4, 'GEN-SOLAR'!$D$7:$AW$7, 'GEN-SOLAR'!$D$115:$AW$115), 0), IF($B4='Project List References'!$B$5, _xlfn.IFNA(_xlfn.XLOOKUP(J$2-$C4, 'GEN-BESS'!$D$7:$AW$7, 'GEN-BESS'!$D$117:$AW$117), 0), IF($B4='Project List References'!$B$6, _xlfn.IFNA(_xlfn.XLOOKUP(J$2-$C4,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K4" s="744">
        <f>IF($B4='Project List References'!$B$3, _xlfn.IFNA(_xlfn.XLOOKUP(K$2-$C4, 'GEN-CCGT'!$D$7:$AW$7, 'GEN-CCGT'!$D$115:$AW$115), 0), IF($B4='Project List References'!$B$4, _xlfn.IFNA(_xlfn.XLOOKUP(K$2-$C4, 'GEN-SOLAR'!$D$7:$AW$7, 'GEN-SOLAR'!$D$115:$AW$115), 0), IF($B4='Project List References'!$B$5, _xlfn.IFNA(_xlfn.XLOOKUP(K$2-$C4, 'GEN-BESS'!$D$7:$AW$7, 'GEN-BESS'!$D$117:$AW$117), 0), IF($B4='Project List References'!$B$6, _xlfn.IFNA(_xlfn.XLOOKUP(K$2-$C4,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L4" s="744">
        <f>IF($B4='Project List References'!$B$3, _xlfn.IFNA(_xlfn.XLOOKUP(L$2-$C4, 'GEN-CCGT'!$D$7:$AW$7, 'GEN-CCGT'!$D$115:$AW$115), 0), IF($B4='Project List References'!$B$4, _xlfn.IFNA(_xlfn.XLOOKUP(L$2-$C4, 'GEN-SOLAR'!$D$7:$AW$7, 'GEN-SOLAR'!$D$115:$AW$115), 0), IF($B4='Project List References'!$B$5, _xlfn.IFNA(_xlfn.XLOOKUP(L$2-$C4, 'GEN-BESS'!$D$7:$AW$7, 'GEN-BESS'!$D$117:$AW$117), 0), IF($B4='Project List References'!$B$6, _xlfn.IFNA(_xlfn.XLOOKUP(L$2-$C4,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M4" s="744">
        <f>IF($B4='Project List References'!$B$3, _xlfn.IFNA(_xlfn.XLOOKUP(M$2-$C4, 'GEN-CCGT'!$D$7:$AW$7, 'GEN-CCGT'!$D$115:$AW$115), 0), IF($B4='Project List References'!$B$4, _xlfn.IFNA(_xlfn.XLOOKUP(M$2-$C4, 'GEN-SOLAR'!$D$7:$AW$7, 'GEN-SOLAR'!$D$115:$AW$115), 0), IF($B4='Project List References'!$B$5, _xlfn.IFNA(_xlfn.XLOOKUP(M$2-$C4, 'GEN-BESS'!$D$7:$AW$7, 'GEN-BESS'!$D$117:$AW$117), 0), IF($B4='Project List References'!$B$6, _xlfn.IFNA(_xlfn.XLOOKUP(M$2-$C4,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N4" s="744">
        <f>IF($B4='Project List References'!$B$3, _xlfn.IFNA(_xlfn.XLOOKUP(N$2-$C4, 'GEN-CCGT'!$D$7:$AW$7, 'GEN-CCGT'!$D$115:$AW$115), 0), IF($B4='Project List References'!$B$4, _xlfn.IFNA(_xlfn.XLOOKUP(N$2-$C4, 'GEN-SOLAR'!$D$7:$AW$7, 'GEN-SOLAR'!$D$115:$AW$115), 0), IF($B4='Project List References'!$B$5, _xlfn.IFNA(_xlfn.XLOOKUP(N$2-$C4, 'GEN-BESS'!$D$7:$AW$7, 'GEN-BESS'!$D$117:$AW$117), 0), IF($B4='Project List References'!$B$6, _xlfn.IFNA(_xlfn.XLOOKUP(N$2-$C4,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O4" s="744">
        <f>IF($B4='Project List References'!$B$3, _xlfn.IFNA(_xlfn.XLOOKUP(O$2-$C4, 'GEN-CCGT'!$D$7:$AW$7, 'GEN-CCGT'!$D$115:$AW$115), 0), IF($B4='Project List References'!$B$4, _xlfn.IFNA(_xlfn.XLOOKUP(O$2-$C4, 'GEN-SOLAR'!$D$7:$AW$7, 'GEN-SOLAR'!$D$115:$AW$115), 0), IF($B4='Project List References'!$B$5, _xlfn.IFNA(_xlfn.XLOOKUP(O$2-$C4, 'GEN-BESS'!$D$7:$AW$7, 'GEN-BESS'!$D$117:$AW$117), 0), IF($B4='Project List References'!$B$6, _xlfn.IFNA(_xlfn.XLOOKUP(O$2-$C4,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P4" s="744">
        <f>IF($B4='Project List References'!$B$3, _xlfn.IFNA(_xlfn.XLOOKUP(P$2-$C4, 'GEN-CCGT'!$D$7:$AW$7, 'GEN-CCGT'!$D$115:$AW$115), 0), IF($B4='Project List References'!$B$4, _xlfn.IFNA(_xlfn.XLOOKUP(P$2-$C4, 'GEN-SOLAR'!$D$7:$AW$7, 'GEN-SOLAR'!$D$115:$AW$115), 0), IF($B4='Project List References'!$B$5, _xlfn.IFNA(_xlfn.XLOOKUP(P$2-$C4, 'GEN-BESS'!$D$7:$AW$7, 'GEN-BESS'!$D$117:$AW$117), 0), IF($B4='Project List References'!$B$6, _xlfn.IFNA(_xlfn.XLOOKUP(P$2-$C4,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Q4" s="744">
        <f>IF($B4='Project List References'!$B$3, _xlfn.IFNA(_xlfn.XLOOKUP(Q$2-$C4, 'GEN-CCGT'!$D$7:$AW$7, 'GEN-CCGT'!$D$115:$AW$115), 0), IF($B4='Project List References'!$B$4, _xlfn.IFNA(_xlfn.XLOOKUP(Q$2-$C4, 'GEN-SOLAR'!$D$7:$AW$7, 'GEN-SOLAR'!$D$115:$AW$115), 0), IF($B4='Project List References'!$B$5, _xlfn.IFNA(_xlfn.XLOOKUP(Q$2-$C4, 'GEN-BESS'!$D$7:$AW$7, 'GEN-BESS'!$D$117:$AW$117), 0), IF($B4='Project List References'!$B$6, _xlfn.IFNA(_xlfn.XLOOKUP(Q$2-$C4,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R4" s="744">
        <f>IF($B4='Project List References'!$B$3, _xlfn.IFNA(_xlfn.XLOOKUP(R$2-$C4, 'GEN-CCGT'!$D$7:$AW$7, 'GEN-CCGT'!$D$115:$AW$115), 0), IF($B4='Project List References'!$B$4, _xlfn.IFNA(_xlfn.XLOOKUP(R$2-$C4, 'GEN-SOLAR'!$D$7:$AW$7, 'GEN-SOLAR'!$D$115:$AW$115), 0), IF($B4='Project List References'!$B$5, _xlfn.IFNA(_xlfn.XLOOKUP(R$2-$C4, 'GEN-BESS'!$D$7:$AW$7, 'GEN-BESS'!$D$117:$AW$117), 0), IF($B4='Project List References'!$B$6, _xlfn.IFNA(_xlfn.XLOOKUP(R$2-$C4,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S4" s="744">
        <f>IF($B4='Project List References'!$B$3, _xlfn.IFNA(_xlfn.XLOOKUP(S$2-$C4, 'GEN-CCGT'!$D$7:$AW$7, 'GEN-CCGT'!$D$115:$AW$115), 0), IF($B4='Project List References'!$B$4, _xlfn.IFNA(_xlfn.XLOOKUP(S$2-$C4, 'GEN-SOLAR'!$D$7:$AW$7, 'GEN-SOLAR'!$D$115:$AW$115), 0), IF($B4='Project List References'!$B$5, _xlfn.IFNA(_xlfn.XLOOKUP(S$2-$C4, 'GEN-BESS'!$D$7:$AW$7, 'GEN-BESS'!$D$117:$AW$117), 0), IF($B4='Project List References'!$B$6, _xlfn.IFNA(_xlfn.XLOOKUP(S$2-$C4,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  <c r="T4" s="744">
        <f>IF($B4='Project List References'!$B$3, _xlfn.IFNA(_xlfn.XLOOKUP(T$2-$C4, 'GEN-CCGT'!$D$7:$AW$7, 'GEN-CCGT'!$D$115:$AW$115), 0), IF($B4='Project List References'!$B$4, _xlfn.IFNA(_xlfn.XLOOKUP(T$2-$C4, 'GEN-SOLAR'!$D$7:$AW$7, 'GEN-SOLAR'!$D$115:$AW$115), 0), IF($B4='Project List References'!$B$5, _xlfn.IFNA(_xlfn.XLOOKUP(T$2-$C4, 'GEN-BESS'!$D$7:$AW$7, 'GEN-BESS'!$D$117:$AW$117), 0), IF($B4='Project List References'!$B$6, _xlfn.IFNA(_xlfn.XLOOKUP(T$2-$C4, 'GEN-CARBON'!$D$7:$AW$7, 'GEN-CARBON'!$D$115:$AW$115), 0), 0))))/_xlfn.XLOOKUP($B4,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53200</v>
      </c>
    </row>
    <row r="5" spans="1:112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_xlfn.XLOOKUP('Project OPEX'!A5, 'Project Master Sheet'!A:A, 'Project Master Sheet'!I:I)</f>
        <v>2</v>
      </c>
      <c r="E5" s="744">
        <f>IF($B5='Project List References'!$B$3, _xlfn.IFNA(_xlfn.XLOOKUP(E$2-$C5, 'GEN-CCGT'!$D$7:$AW$7, 'GEN-CCGT'!$D$115:$AW$115), 0), IF($B5='Project List References'!$B$4, _xlfn.IFNA(_xlfn.XLOOKUP(E$2-$C5, 'GEN-SOLAR'!$D$7:$AW$7, 'GEN-SOLAR'!$D$115:$AW$115), 0), IF($B5='Project List References'!$B$5, _xlfn.IFNA(_xlfn.XLOOKUP(E$2-$C5, 'GEN-BESS'!$D$7:$AW$7, 'GEN-BESS'!$D$117:$AW$117), 0), IF($B5='Project List References'!$B$6, _xlfn.IFNA(_xlfn.XLOOKUP(E$2-$C5,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F5" s="744">
        <f>IF($B5='Project List References'!$B$3, _xlfn.IFNA(_xlfn.XLOOKUP(F$2-$C5, 'GEN-CCGT'!$D$7:$AW$7, 'GEN-CCGT'!$D$115:$AW$115), 0), IF($B5='Project List References'!$B$4, _xlfn.IFNA(_xlfn.XLOOKUP(F$2-$C5, 'GEN-SOLAR'!$D$7:$AW$7, 'GEN-SOLAR'!$D$115:$AW$115), 0), IF($B5='Project List References'!$B$5, _xlfn.IFNA(_xlfn.XLOOKUP(F$2-$C5, 'GEN-BESS'!$D$7:$AW$7, 'GEN-BESS'!$D$117:$AW$117), 0), IF($B5='Project List References'!$B$6, _xlfn.IFNA(_xlfn.XLOOKUP(F$2-$C5,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G5" s="744">
        <f>IF($B5='Project List References'!$B$3, _xlfn.IFNA(_xlfn.XLOOKUP(G$2-$C5, 'GEN-CCGT'!$D$7:$AW$7, 'GEN-CCGT'!$D$115:$AW$115), 0), IF($B5='Project List References'!$B$4, _xlfn.IFNA(_xlfn.XLOOKUP(G$2-$C5, 'GEN-SOLAR'!$D$7:$AW$7, 'GEN-SOLAR'!$D$115:$AW$115), 0), IF($B5='Project List References'!$B$5, _xlfn.IFNA(_xlfn.XLOOKUP(G$2-$C5, 'GEN-BESS'!$D$7:$AW$7, 'GEN-BESS'!$D$117:$AW$117), 0), IF($B5='Project List References'!$B$6, _xlfn.IFNA(_xlfn.XLOOKUP(G$2-$C5,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H5" s="744">
        <f>IF($B5='Project List References'!$B$3, _xlfn.IFNA(_xlfn.XLOOKUP(H$2-$C5, 'GEN-CCGT'!$D$7:$AW$7, 'GEN-CCGT'!$D$115:$AW$115), 0), IF($B5='Project List References'!$B$4, _xlfn.IFNA(_xlfn.XLOOKUP(H$2-$C5, 'GEN-SOLAR'!$D$7:$AW$7, 'GEN-SOLAR'!$D$115:$AW$115), 0), IF($B5='Project List References'!$B$5, _xlfn.IFNA(_xlfn.XLOOKUP(H$2-$C5, 'GEN-BESS'!$D$7:$AW$7, 'GEN-BESS'!$D$117:$AW$117), 0), IF($B5='Project List References'!$B$6, _xlfn.IFNA(_xlfn.XLOOKUP(H$2-$C5,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I5" s="744">
        <f>IF($B5='Project List References'!$B$3, _xlfn.IFNA(_xlfn.XLOOKUP(I$2-$C5, 'GEN-CCGT'!$D$7:$AW$7, 'GEN-CCGT'!$D$115:$AW$115), 0), IF($B5='Project List References'!$B$4, _xlfn.IFNA(_xlfn.XLOOKUP(I$2-$C5, 'GEN-SOLAR'!$D$7:$AW$7, 'GEN-SOLAR'!$D$115:$AW$115), 0), IF($B5='Project List References'!$B$5, _xlfn.IFNA(_xlfn.XLOOKUP(I$2-$C5, 'GEN-BESS'!$D$7:$AW$7, 'GEN-BESS'!$D$117:$AW$117), 0), IF($B5='Project List References'!$B$6, _xlfn.IFNA(_xlfn.XLOOKUP(I$2-$C5,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J5" s="744">
        <f>IF($B5='Project List References'!$B$3, _xlfn.IFNA(_xlfn.XLOOKUP(J$2-$C5, 'GEN-CCGT'!$D$7:$AW$7, 'GEN-CCGT'!$D$115:$AW$115), 0), IF($B5='Project List References'!$B$4, _xlfn.IFNA(_xlfn.XLOOKUP(J$2-$C5, 'GEN-SOLAR'!$D$7:$AW$7, 'GEN-SOLAR'!$D$115:$AW$115), 0), IF($B5='Project List References'!$B$5, _xlfn.IFNA(_xlfn.XLOOKUP(J$2-$C5, 'GEN-BESS'!$D$7:$AW$7, 'GEN-BESS'!$D$117:$AW$117), 0), IF($B5='Project List References'!$B$6, _xlfn.IFNA(_xlfn.XLOOKUP(J$2-$C5,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K5" s="744">
        <f>IF($B5='Project List References'!$B$3, _xlfn.IFNA(_xlfn.XLOOKUP(K$2-$C5, 'GEN-CCGT'!$D$7:$AW$7, 'GEN-CCGT'!$D$115:$AW$115), 0), IF($B5='Project List References'!$B$4, _xlfn.IFNA(_xlfn.XLOOKUP(K$2-$C5, 'GEN-SOLAR'!$D$7:$AW$7, 'GEN-SOLAR'!$D$115:$AW$115), 0), IF($B5='Project List References'!$B$5, _xlfn.IFNA(_xlfn.XLOOKUP(K$2-$C5, 'GEN-BESS'!$D$7:$AW$7, 'GEN-BESS'!$D$117:$AW$117), 0), IF($B5='Project List References'!$B$6, _xlfn.IFNA(_xlfn.XLOOKUP(K$2-$C5,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L5" s="744">
        <f>IF($B5='Project List References'!$B$3, _xlfn.IFNA(_xlfn.XLOOKUP(L$2-$C5, 'GEN-CCGT'!$D$7:$AW$7, 'GEN-CCGT'!$D$115:$AW$115), 0), IF($B5='Project List References'!$B$4, _xlfn.IFNA(_xlfn.XLOOKUP(L$2-$C5, 'GEN-SOLAR'!$D$7:$AW$7, 'GEN-SOLAR'!$D$115:$AW$115), 0), IF($B5='Project List References'!$B$5, _xlfn.IFNA(_xlfn.XLOOKUP(L$2-$C5, 'GEN-BESS'!$D$7:$AW$7, 'GEN-BESS'!$D$117:$AW$117), 0), IF($B5='Project List References'!$B$6, _xlfn.IFNA(_xlfn.XLOOKUP(L$2-$C5,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M5" s="744">
        <f>IF($B5='Project List References'!$B$3, _xlfn.IFNA(_xlfn.XLOOKUP(M$2-$C5, 'GEN-CCGT'!$D$7:$AW$7, 'GEN-CCGT'!$D$115:$AW$115), 0), IF($B5='Project List References'!$B$4, _xlfn.IFNA(_xlfn.XLOOKUP(M$2-$C5, 'GEN-SOLAR'!$D$7:$AW$7, 'GEN-SOLAR'!$D$115:$AW$115), 0), IF($B5='Project List References'!$B$5, _xlfn.IFNA(_xlfn.XLOOKUP(M$2-$C5, 'GEN-BESS'!$D$7:$AW$7, 'GEN-BESS'!$D$117:$AW$117), 0), IF($B5='Project List References'!$B$6, _xlfn.IFNA(_xlfn.XLOOKUP(M$2-$C5,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N5" s="744">
        <f>IF($B5='Project List References'!$B$3, _xlfn.IFNA(_xlfn.XLOOKUP(N$2-$C5, 'GEN-CCGT'!$D$7:$AW$7, 'GEN-CCGT'!$D$115:$AW$115), 0), IF($B5='Project List References'!$B$4, _xlfn.IFNA(_xlfn.XLOOKUP(N$2-$C5, 'GEN-SOLAR'!$D$7:$AW$7, 'GEN-SOLAR'!$D$115:$AW$115), 0), IF($B5='Project List References'!$B$5, _xlfn.IFNA(_xlfn.XLOOKUP(N$2-$C5, 'GEN-BESS'!$D$7:$AW$7, 'GEN-BESS'!$D$117:$AW$117), 0), IF($B5='Project List References'!$B$6, _xlfn.IFNA(_xlfn.XLOOKUP(N$2-$C5,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O5" s="744">
        <f>IF($B5='Project List References'!$B$3, _xlfn.IFNA(_xlfn.XLOOKUP(O$2-$C5, 'GEN-CCGT'!$D$7:$AW$7, 'GEN-CCGT'!$D$115:$AW$115), 0), IF($B5='Project List References'!$B$4, _xlfn.IFNA(_xlfn.XLOOKUP(O$2-$C5, 'GEN-SOLAR'!$D$7:$AW$7, 'GEN-SOLAR'!$D$115:$AW$115), 0), IF($B5='Project List References'!$B$5, _xlfn.IFNA(_xlfn.XLOOKUP(O$2-$C5, 'GEN-BESS'!$D$7:$AW$7, 'GEN-BESS'!$D$117:$AW$117), 0), IF($B5='Project List References'!$B$6, _xlfn.IFNA(_xlfn.XLOOKUP(O$2-$C5,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P5" s="744">
        <f>IF($B5='Project List References'!$B$3, _xlfn.IFNA(_xlfn.XLOOKUP(P$2-$C5, 'GEN-CCGT'!$D$7:$AW$7, 'GEN-CCGT'!$D$115:$AW$115), 0), IF($B5='Project List References'!$B$4, _xlfn.IFNA(_xlfn.XLOOKUP(P$2-$C5, 'GEN-SOLAR'!$D$7:$AW$7, 'GEN-SOLAR'!$D$115:$AW$115), 0), IF($B5='Project List References'!$B$5, _xlfn.IFNA(_xlfn.XLOOKUP(P$2-$C5, 'GEN-BESS'!$D$7:$AW$7, 'GEN-BESS'!$D$117:$AW$117), 0), IF($B5='Project List References'!$B$6, _xlfn.IFNA(_xlfn.XLOOKUP(P$2-$C5,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Q5" s="744">
        <f>IF($B5='Project List References'!$B$3, _xlfn.IFNA(_xlfn.XLOOKUP(Q$2-$C5, 'GEN-CCGT'!$D$7:$AW$7, 'GEN-CCGT'!$D$115:$AW$115), 0), IF($B5='Project List References'!$B$4, _xlfn.IFNA(_xlfn.XLOOKUP(Q$2-$C5, 'GEN-SOLAR'!$D$7:$AW$7, 'GEN-SOLAR'!$D$115:$AW$115), 0), IF($B5='Project List References'!$B$5, _xlfn.IFNA(_xlfn.XLOOKUP(Q$2-$C5, 'GEN-BESS'!$D$7:$AW$7, 'GEN-BESS'!$D$117:$AW$117), 0), IF($B5='Project List References'!$B$6, _xlfn.IFNA(_xlfn.XLOOKUP(Q$2-$C5,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R5" s="744">
        <f>IF($B5='Project List References'!$B$3, _xlfn.IFNA(_xlfn.XLOOKUP(R$2-$C5, 'GEN-CCGT'!$D$7:$AW$7, 'GEN-CCGT'!$D$115:$AW$115), 0), IF($B5='Project List References'!$B$4, _xlfn.IFNA(_xlfn.XLOOKUP(R$2-$C5, 'GEN-SOLAR'!$D$7:$AW$7, 'GEN-SOLAR'!$D$115:$AW$115), 0), IF($B5='Project List References'!$B$5, _xlfn.IFNA(_xlfn.XLOOKUP(R$2-$C5, 'GEN-BESS'!$D$7:$AW$7, 'GEN-BESS'!$D$117:$AW$117), 0), IF($B5='Project List References'!$B$6, _xlfn.IFNA(_xlfn.XLOOKUP(R$2-$C5,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S5" s="744">
        <f>IF($B5='Project List References'!$B$3, _xlfn.IFNA(_xlfn.XLOOKUP(S$2-$C5, 'GEN-CCGT'!$D$7:$AW$7, 'GEN-CCGT'!$D$115:$AW$115), 0), IF($B5='Project List References'!$B$4, _xlfn.IFNA(_xlfn.XLOOKUP(S$2-$C5, 'GEN-SOLAR'!$D$7:$AW$7, 'GEN-SOLAR'!$D$115:$AW$115), 0), IF($B5='Project List References'!$B$5, _xlfn.IFNA(_xlfn.XLOOKUP(S$2-$C5, 'GEN-BESS'!$D$7:$AW$7, 'GEN-BESS'!$D$117:$AW$117), 0), IF($B5='Project List References'!$B$6, _xlfn.IFNA(_xlfn.XLOOKUP(S$2-$C5,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T5" s="744">
        <f>IF($B5='Project List References'!$B$3, _xlfn.IFNA(_xlfn.XLOOKUP(T$2-$C5, 'GEN-CCGT'!$D$7:$AW$7, 'GEN-CCGT'!$D$115:$AW$115), 0), IF($B5='Project List References'!$B$4, _xlfn.IFNA(_xlfn.XLOOKUP(T$2-$C5, 'GEN-SOLAR'!$D$7:$AW$7, 'GEN-SOLAR'!$D$115:$AW$115), 0), IF($B5='Project List References'!$B$5, _xlfn.IFNA(_xlfn.XLOOKUP(T$2-$C5, 'GEN-BESS'!$D$7:$AW$7, 'GEN-BESS'!$D$117:$AW$117), 0), IF($B5='Project List References'!$B$6, _xlfn.IFNA(_xlfn.XLOOKUP(T$2-$C5, 'GEN-CARBON'!$D$7:$AW$7, 'GEN-CARBON'!$D$115:$AW$115), 0), 0))))/_xlfn.XLOOKUP($B5,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</row>
    <row r="6" spans="1:112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_xlfn.XLOOKUP('Project OPEX'!A6, 'Project Master Sheet'!A:A, 'Project Master Sheet'!I:I)</f>
        <v>0</v>
      </c>
      <c r="E6" s="744">
        <f>IF($B6='Project List References'!$B$3, _xlfn.IFNA(_xlfn.XLOOKUP(E$2-$C6, 'GEN-CCGT'!$D$7:$AW$7, 'GEN-CCGT'!$D$115:$AW$115), 0), IF($B6='Project List References'!$B$4, _xlfn.IFNA(_xlfn.XLOOKUP(E$2-$C6, 'GEN-SOLAR'!$D$7:$AW$7, 'GEN-SOLAR'!$D$115:$AW$115), 0), IF($B6='Project List References'!$B$5, _xlfn.IFNA(_xlfn.XLOOKUP(E$2-$C6, 'GEN-BESS'!$D$7:$AW$7, 'GEN-BESS'!$D$117:$AW$117), 0), IF($B6='Project List References'!$B$6, _xlfn.IFNA(_xlfn.XLOOKUP(E$2-$C6,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F6" s="744">
        <f>IF($B6='Project List References'!$B$3, _xlfn.IFNA(_xlfn.XLOOKUP(F$2-$C6, 'GEN-CCGT'!$D$7:$AW$7, 'GEN-CCGT'!$D$115:$AW$115), 0), IF($B6='Project List References'!$B$4, _xlfn.IFNA(_xlfn.XLOOKUP(F$2-$C6, 'GEN-SOLAR'!$D$7:$AW$7, 'GEN-SOLAR'!$D$115:$AW$115), 0), IF($B6='Project List References'!$B$5, _xlfn.IFNA(_xlfn.XLOOKUP(F$2-$C6, 'GEN-BESS'!$D$7:$AW$7, 'GEN-BESS'!$D$117:$AW$117), 0), IF($B6='Project List References'!$B$6, _xlfn.IFNA(_xlfn.XLOOKUP(F$2-$C6,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G6" s="744">
        <f>IF($B6='Project List References'!$B$3, _xlfn.IFNA(_xlfn.XLOOKUP(G$2-$C6, 'GEN-CCGT'!$D$7:$AW$7, 'GEN-CCGT'!$D$115:$AW$115), 0), IF($B6='Project List References'!$B$4, _xlfn.IFNA(_xlfn.XLOOKUP(G$2-$C6, 'GEN-SOLAR'!$D$7:$AW$7, 'GEN-SOLAR'!$D$115:$AW$115), 0), IF($B6='Project List References'!$B$5, _xlfn.IFNA(_xlfn.XLOOKUP(G$2-$C6, 'GEN-BESS'!$D$7:$AW$7, 'GEN-BESS'!$D$117:$AW$117), 0), IF($B6='Project List References'!$B$6, _xlfn.IFNA(_xlfn.XLOOKUP(G$2-$C6,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H6" s="744">
        <f>IF($B6='Project List References'!$B$3, _xlfn.IFNA(_xlfn.XLOOKUP(H$2-$C6, 'GEN-CCGT'!$D$7:$AW$7, 'GEN-CCGT'!$D$115:$AW$115), 0), IF($B6='Project List References'!$B$4, _xlfn.IFNA(_xlfn.XLOOKUP(H$2-$C6, 'GEN-SOLAR'!$D$7:$AW$7, 'GEN-SOLAR'!$D$115:$AW$115), 0), IF($B6='Project List References'!$B$5, _xlfn.IFNA(_xlfn.XLOOKUP(H$2-$C6, 'GEN-BESS'!$D$7:$AW$7, 'GEN-BESS'!$D$117:$AW$117), 0), IF($B6='Project List References'!$B$6, _xlfn.IFNA(_xlfn.XLOOKUP(H$2-$C6,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I6" s="744">
        <f>IF($B6='Project List References'!$B$3, _xlfn.IFNA(_xlfn.XLOOKUP(I$2-$C6, 'GEN-CCGT'!$D$7:$AW$7, 'GEN-CCGT'!$D$115:$AW$115), 0), IF($B6='Project List References'!$B$4, _xlfn.IFNA(_xlfn.XLOOKUP(I$2-$C6, 'GEN-SOLAR'!$D$7:$AW$7, 'GEN-SOLAR'!$D$115:$AW$115), 0), IF($B6='Project List References'!$B$5, _xlfn.IFNA(_xlfn.XLOOKUP(I$2-$C6, 'GEN-BESS'!$D$7:$AW$7, 'GEN-BESS'!$D$117:$AW$117), 0), IF($B6='Project List References'!$B$6, _xlfn.IFNA(_xlfn.XLOOKUP(I$2-$C6,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J6" s="744">
        <f>IF($B6='Project List References'!$B$3, _xlfn.IFNA(_xlfn.XLOOKUP(J$2-$C6, 'GEN-CCGT'!$D$7:$AW$7, 'GEN-CCGT'!$D$115:$AW$115), 0), IF($B6='Project List References'!$B$4, _xlfn.IFNA(_xlfn.XLOOKUP(J$2-$C6, 'GEN-SOLAR'!$D$7:$AW$7, 'GEN-SOLAR'!$D$115:$AW$115), 0), IF($B6='Project List References'!$B$5, _xlfn.IFNA(_xlfn.XLOOKUP(J$2-$C6, 'GEN-BESS'!$D$7:$AW$7, 'GEN-BESS'!$D$117:$AW$117), 0), IF($B6='Project List References'!$B$6, _xlfn.IFNA(_xlfn.XLOOKUP(J$2-$C6,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K6" s="744">
        <f>IF($B6='Project List References'!$B$3, _xlfn.IFNA(_xlfn.XLOOKUP(K$2-$C6, 'GEN-CCGT'!$D$7:$AW$7, 'GEN-CCGT'!$D$115:$AW$115), 0), IF($B6='Project List References'!$B$4, _xlfn.IFNA(_xlfn.XLOOKUP(K$2-$C6, 'GEN-SOLAR'!$D$7:$AW$7, 'GEN-SOLAR'!$D$115:$AW$115), 0), IF($B6='Project List References'!$B$5, _xlfn.IFNA(_xlfn.XLOOKUP(K$2-$C6, 'GEN-BESS'!$D$7:$AW$7, 'GEN-BESS'!$D$117:$AW$117), 0), IF($B6='Project List References'!$B$6, _xlfn.IFNA(_xlfn.XLOOKUP(K$2-$C6,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L6" s="744">
        <f>IF($B6='Project List References'!$B$3, _xlfn.IFNA(_xlfn.XLOOKUP(L$2-$C6, 'GEN-CCGT'!$D$7:$AW$7, 'GEN-CCGT'!$D$115:$AW$115), 0), IF($B6='Project List References'!$B$4, _xlfn.IFNA(_xlfn.XLOOKUP(L$2-$C6, 'GEN-SOLAR'!$D$7:$AW$7, 'GEN-SOLAR'!$D$115:$AW$115), 0), IF($B6='Project List References'!$B$5, _xlfn.IFNA(_xlfn.XLOOKUP(L$2-$C6, 'GEN-BESS'!$D$7:$AW$7, 'GEN-BESS'!$D$117:$AW$117), 0), IF($B6='Project List References'!$B$6, _xlfn.IFNA(_xlfn.XLOOKUP(L$2-$C6,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M6" s="744">
        <f>IF($B6='Project List References'!$B$3, _xlfn.IFNA(_xlfn.XLOOKUP(M$2-$C6, 'GEN-CCGT'!$D$7:$AW$7, 'GEN-CCGT'!$D$115:$AW$115), 0), IF($B6='Project List References'!$B$4, _xlfn.IFNA(_xlfn.XLOOKUP(M$2-$C6, 'GEN-SOLAR'!$D$7:$AW$7, 'GEN-SOLAR'!$D$115:$AW$115), 0), IF($B6='Project List References'!$B$5, _xlfn.IFNA(_xlfn.XLOOKUP(M$2-$C6, 'GEN-BESS'!$D$7:$AW$7, 'GEN-BESS'!$D$117:$AW$117), 0), IF($B6='Project List References'!$B$6, _xlfn.IFNA(_xlfn.XLOOKUP(M$2-$C6,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N6" s="744">
        <f>IF($B6='Project List References'!$B$3, _xlfn.IFNA(_xlfn.XLOOKUP(N$2-$C6, 'GEN-CCGT'!$D$7:$AW$7, 'GEN-CCGT'!$D$115:$AW$115), 0), IF($B6='Project List References'!$B$4, _xlfn.IFNA(_xlfn.XLOOKUP(N$2-$C6, 'GEN-SOLAR'!$D$7:$AW$7, 'GEN-SOLAR'!$D$115:$AW$115), 0), IF($B6='Project List References'!$B$5, _xlfn.IFNA(_xlfn.XLOOKUP(N$2-$C6, 'GEN-BESS'!$D$7:$AW$7, 'GEN-BESS'!$D$117:$AW$117), 0), IF($B6='Project List References'!$B$6, _xlfn.IFNA(_xlfn.XLOOKUP(N$2-$C6,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O6" s="744">
        <f>IF($B6='Project List References'!$B$3, _xlfn.IFNA(_xlfn.XLOOKUP(O$2-$C6, 'GEN-CCGT'!$D$7:$AW$7, 'GEN-CCGT'!$D$115:$AW$115), 0), IF($B6='Project List References'!$B$4, _xlfn.IFNA(_xlfn.XLOOKUP(O$2-$C6, 'GEN-SOLAR'!$D$7:$AW$7, 'GEN-SOLAR'!$D$115:$AW$115), 0), IF($B6='Project List References'!$B$5, _xlfn.IFNA(_xlfn.XLOOKUP(O$2-$C6, 'GEN-BESS'!$D$7:$AW$7, 'GEN-BESS'!$D$117:$AW$117), 0), IF($B6='Project List References'!$B$6, _xlfn.IFNA(_xlfn.XLOOKUP(O$2-$C6,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P6" s="744">
        <f>IF($B6='Project List References'!$B$3, _xlfn.IFNA(_xlfn.XLOOKUP(P$2-$C6, 'GEN-CCGT'!$D$7:$AW$7, 'GEN-CCGT'!$D$115:$AW$115), 0), IF($B6='Project List References'!$B$4, _xlfn.IFNA(_xlfn.XLOOKUP(P$2-$C6, 'GEN-SOLAR'!$D$7:$AW$7, 'GEN-SOLAR'!$D$115:$AW$115), 0), IF($B6='Project List References'!$B$5, _xlfn.IFNA(_xlfn.XLOOKUP(P$2-$C6, 'GEN-BESS'!$D$7:$AW$7, 'GEN-BESS'!$D$117:$AW$117), 0), IF($B6='Project List References'!$B$6, _xlfn.IFNA(_xlfn.XLOOKUP(P$2-$C6,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Q6" s="744">
        <f>IF($B6='Project List References'!$B$3, _xlfn.IFNA(_xlfn.XLOOKUP(Q$2-$C6, 'GEN-CCGT'!$D$7:$AW$7, 'GEN-CCGT'!$D$115:$AW$115), 0), IF($B6='Project List References'!$B$4, _xlfn.IFNA(_xlfn.XLOOKUP(Q$2-$C6, 'GEN-SOLAR'!$D$7:$AW$7, 'GEN-SOLAR'!$D$115:$AW$115), 0), IF($B6='Project List References'!$B$5, _xlfn.IFNA(_xlfn.XLOOKUP(Q$2-$C6, 'GEN-BESS'!$D$7:$AW$7, 'GEN-BESS'!$D$117:$AW$117), 0), IF($B6='Project List References'!$B$6, _xlfn.IFNA(_xlfn.XLOOKUP(Q$2-$C6,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R6" s="744">
        <f>IF($B6='Project List References'!$B$3, _xlfn.IFNA(_xlfn.XLOOKUP(R$2-$C6, 'GEN-CCGT'!$D$7:$AW$7, 'GEN-CCGT'!$D$115:$AW$115), 0), IF($B6='Project List References'!$B$4, _xlfn.IFNA(_xlfn.XLOOKUP(R$2-$C6, 'GEN-SOLAR'!$D$7:$AW$7, 'GEN-SOLAR'!$D$115:$AW$115), 0), IF($B6='Project List References'!$B$5, _xlfn.IFNA(_xlfn.XLOOKUP(R$2-$C6, 'GEN-BESS'!$D$7:$AW$7, 'GEN-BESS'!$D$117:$AW$117), 0), IF($B6='Project List References'!$B$6, _xlfn.IFNA(_xlfn.XLOOKUP(R$2-$C6,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S6" s="744">
        <f>IF($B6='Project List References'!$B$3, _xlfn.IFNA(_xlfn.XLOOKUP(S$2-$C6, 'GEN-CCGT'!$D$7:$AW$7, 'GEN-CCGT'!$D$115:$AW$115), 0), IF($B6='Project List References'!$B$4, _xlfn.IFNA(_xlfn.XLOOKUP(S$2-$C6, 'GEN-SOLAR'!$D$7:$AW$7, 'GEN-SOLAR'!$D$115:$AW$115), 0), IF($B6='Project List References'!$B$5, _xlfn.IFNA(_xlfn.XLOOKUP(S$2-$C6, 'GEN-BESS'!$D$7:$AW$7, 'GEN-BESS'!$D$117:$AW$117), 0), IF($B6='Project List References'!$B$6, _xlfn.IFNA(_xlfn.XLOOKUP(S$2-$C6,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  <c r="T6" s="744">
        <f>IF($B6='Project List References'!$B$3, _xlfn.IFNA(_xlfn.XLOOKUP(T$2-$C6, 'GEN-CCGT'!$D$7:$AW$7, 'GEN-CCGT'!$D$115:$AW$115), 0), IF($B6='Project List References'!$B$4, _xlfn.IFNA(_xlfn.XLOOKUP(T$2-$C6, 'GEN-SOLAR'!$D$7:$AW$7, 'GEN-SOLAR'!$D$115:$AW$115), 0), IF($B6='Project List References'!$B$5, _xlfn.IFNA(_xlfn.XLOOKUP(T$2-$C6, 'GEN-BESS'!$D$7:$AW$7, 'GEN-BESS'!$D$117:$AW$117), 0), IF($B6='Project List References'!$B$6, _xlfn.IFNA(_xlfn.XLOOKUP(T$2-$C6, 'GEN-CARBON'!$D$7:$AW$7, 'GEN-CARBON'!$D$115:$AW$115), 0), 0))))/_xlfn.XLOOKUP($B6,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0</v>
      </c>
    </row>
    <row r="7" spans="1:112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_xlfn.XLOOKUP('Project OPEX'!A7, 'Project Master Sheet'!A:A, 'Project Master Sheet'!I:I)</f>
        <v>0</v>
      </c>
      <c r="E7" s="744">
        <f>IF($B7='Project List References'!$B$3, _xlfn.IFNA(_xlfn.XLOOKUP(E$2-$C7, 'GEN-CCGT'!$D$7:$AW$7, 'GEN-CCGT'!$D$115:$AW$115), 0), IF($B7='Project List References'!$B$4, _xlfn.IFNA(_xlfn.XLOOKUP(E$2-$C7, 'GEN-SOLAR'!$D$7:$AW$7, 'GEN-SOLAR'!$D$115:$AW$115), 0), IF($B7='Project List References'!$B$5, _xlfn.IFNA(_xlfn.XLOOKUP(E$2-$C7, 'GEN-BESS'!$D$7:$AW$7, 'GEN-BESS'!$D$117:$AW$117), 0), IF($B7='Project List References'!$B$6, _xlfn.IFNA(_xlfn.XLOOKUP(E$2-$C7,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0</v>
      </c>
      <c r="F7" s="744">
        <f>IF($B7='Project List References'!$B$3, _xlfn.IFNA(_xlfn.XLOOKUP(F$2-$C7, 'GEN-CCGT'!$D$7:$AW$7, 'GEN-CCGT'!$D$115:$AW$115), 0), IF($B7='Project List References'!$B$4, _xlfn.IFNA(_xlfn.XLOOKUP(F$2-$C7, 'GEN-SOLAR'!$D$7:$AW$7, 'GEN-SOLAR'!$D$115:$AW$115), 0), IF($B7='Project List References'!$B$5, _xlfn.IFNA(_xlfn.XLOOKUP(F$2-$C7, 'GEN-BESS'!$D$7:$AW$7, 'GEN-BESS'!$D$117:$AW$117), 0), IF($B7='Project List References'!$B$6, _xlfn.IFNA(_xlfn.XLOOKUP(F$2-$C7,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40880</v>
      </c>
      <c r="G7" s="744">
        <f>IF($B7='Project List References'!$B$3, _xlfn.IFNA(_xlfn.XLOOKUP(G$2-$C7, 'GEN-CCGT'!$D$7:$AW$7, 'GEN-CCGT'!$D$115:$AW$115), 0), IF($B7='Project List References'!$B$4, _xlfn.IFNA(_xlfn.XLOOKUP(G$2-$C7, 'GEN-SOLAR'!$D$7:$AW$7, 'GEN-SOLAR'!$D$115:$AW$115), 0), IF($B7='Project List References'!$B$5, _xlfn.IFNA(_xlfn.XLOOKUP(G$2-$C7, 'GEN-BESS'!$D$7:$AW$7, 'GEN-BESS'!$D$117:$AW$117), 0), IF($B7='Project List References'!$B$6, _xlfn.IFNA(_xlfn.XLOOKUP(G$2-$C7,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121721.35070992599</v>
      </c>
      <c r="H7" s="744">
        <f>IF($B7='Project List References'!$B$3, _xlfn.IFNA(_xlfn.XLOOKUP(H$2-$C7, 'GEN-CCGT'!$D$7:$AW$7, 'GEN-CCGT'!$D$115:$AW$115), 0), IF($B7='Project List References'!$B$4, _xlfn.IFNA(_xlfn.XLOOKUP(H$2-$C7, 'GEN-SOLAR'!$D$7:$AW$7, 'GEN-SOLAR'!$D$115:$AW$115), 0), IF($B7='Project List References'!$B$5, _xlfn.IFNA(_xlfn.XLOOKUP(H$2-$C7, 'GEN-BESS'!$D$7:$AW$7, 'GEN-BESS'!$D$117:$AW$117), 0), IF($B7='Project List References'!$B$6, _xlfn.IFNA(_xlfn.XLOOKUP(H$2-$C7,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120504.13720282672</v>
      </c>
      <c r="I7" s="744">
        <f>IF($B7='Project List References'!$B$3, _xlfn.IFNA(_xlfn.XLOOKUP(I$2-$C7, 'GEN-CCGT'!$D$7:$AW$7, 'GEN-CCGT'!$D$115:$AW$115), 0), IF($B7='Project List References'!$B$4, _xlfn.IFNA(_xlfn.XLOOKUP(I$2-$C7, 'GEN-SOLAR'!$D$7:$AW$7, 'GEN-SOLAR'!$D$115:$AW$115), 0), IF($B7='Project List References'!$B$5, _xlfn.IFNA(_xlfn.XLOOKUP(I$2-$C7, 'GEN-BESS'!$D$7:$AW$7, 'GEN-BESS'!$D$117:$AW$117), 0), IF($B7='Project List References'!$B$6, _xlfn.IFNA(_xlfn.XLOOKUP(I$2-$C7,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119296.05279703072</v>
      </c>
      <c r="J7" s="744">
        <f>IF($B7='Project List References'!$B$3, _xlfn.IFNA(_xlfn.XLOOKUP(J$2-$C7, 'GEN-CCGT'!$D$7:$AW$7, 'GEN-CCGT'!$D$115:$AW$115), 0), IF($B7='Project List References'!$B$4, _xlfn.IFNA(_xlfn.XLOOKUP(J$2-$C7, 'GEN-SOLAR'!$D$7:$AW$7, 'GEN-SOLAR'!$D$115:$AW$115), 0), IF($B7='Project List References'!$B$5, _xlfn.IFNA(_xlfn.XLOOKUP(J$2-$C7, 'GEN-BESS'!$D$7:$AW$7, 'GEN-BESS'!$D$117:$AW$117), 0), IF($B7='Project List References'!$B$6, _xlfn.IFNA(_xlfn.XLOOKUP(J$2-$C7,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118097.03663186257</v>
      </c>
      <c r="K7" s="744">
        <f>IF($B7='Project List References'!$B$3, _xlfn.IFNA(_xlfn.XLOOKUP(K$2-$C7, 'GEN-CCGT'!$D$7:$AW$7, 'GEN-CCGT'!$D$115:$AW$115), 0), IF($B7='Project List References'!$B$4, _xlfn.IFNA(_xlfn.XLOOKUP(K$2-$C7, 'GEN-SOLAR'!$D$7:$AW$7, 'GEN-SOLAR'!$D$115:$AW$115), 0), IF($B7='Project List References'!$B$5, _xlfn.IFNA(_xlfn.XLOOKUP(K$2-$C7, 'GEN-BESS'!$D$7:$AW$7, 'GEN-BESS'!$D$117:$AW$117), 0), IF($B7='Project List References'!$B$6, _xlfn.IFNA(_xlfn.XLOOKUP(K$2-$C7,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116907.02822702623</v>
      </c>
      <c r="L7" s="744">
        <f>IF($B7='Project List References'!$B$3, _xlfn.IFNA(_xlfn.XLOOKUP(L$2-$C7, 'GEN-CCGT'!$D$7:$AW$7, 'GEN-CCGT'!$D$115:$AW$115), 0), IF($B7='Project List References'!$B$4, _xlfn.IFNA(_xlfn.XLOOKUP(L$2-$C7, 'GEN-SOLAR'!$D$7:$AW$7, 'GEN-SOLAR'!$D$115:$AW$115), 0), IF($B7='Project List References'!$B$5, _xlfn.IFNA(_xlfn.XLOOKUP(L$2-$C7, 'GEN-BESS'!$D$7:$AW$7, 'GEN-BESS'!$D$117:$AW$117), 0), IF($B7='Project List References'!$B$6, _xlfn.IFNA(_xlfn.XLOOKUP(L$2-$C7,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115725.96748032243</v>
      </c>
      <c r="M7" s="744">
        <f>IF($B7='Project List References'!$B$3, _xlfn.IFNA(_xlfn.XLOOKUP(M$2-$C7, 'GEN-CCGT'!$D$7:$AW$7, 'GEN-CCGT'!$D$115:$AW$115), 0), IF($B7='Project List References'!$B$4, _xlfn.IFNA(_xlfn.XLOOKUP(M$2-$C7, 'GEN-SOLAR'!$D$7:$AW$7, 'GEN-SOLAR'!$D$115:$AW$115), 0), IF($B7='Project List References'!$B$5, _xlfn.IFNA(_xlfn.XLOOKUP(M$2-$C7, 'GEN-BESS'!$D$7:$AW$7, 'GEN-BESS'!$D$117:$AW$117), 0), IF($B7='Project List References'!$B$6, _xlfn.IFNA(_xlfn.XLOOKUP(M$2-$C7,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114553.79466537996</v>
      </c>
      <c r="N7" s="744">
        <f>IF($B7='Project List References'!$B$3, _xlfn.IFNA(_xlfn.XLOOKUP(N$2-$C7, 'GEN-CCGT'!$D$7:$AW$7, 'GEN-CCGT'!$D$115:$AW$115), 0), IF($B7='Project List References'!$B$4, _xlfn.IFNA(_xlfn.XLOOKUP(N$2-$C7, 'GEN-SOLAR'!$D$7:$AW$7, 'GEN-SOLAR'!$D$115:$AW$115), 0), IF($B7='Project List References'!$B$5, _xlfn.IFNA(_xlfn.XLOOKUP(N$2-$C7, 'GEN-BESS'!$D$7:$AW$7, 'GEN-BESS'!$D$117:$AW$117), 0), IF($B7='Project List References'!$B$6, _xlfn.IFNA(_xlfn.XLOOKUP(N$2-$C7,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113390.45042939995</v>
      </c>
      <c r="O7" s="744">
        <f>IF($B7='Project List References'!$B$3, _xlfn.IFNA(_xlfn.XLOOKUP(O$2-$C7, 'GEN-CCGT'!$D$7:$AW$7, 'GEN-CCGT'!$D$115:$AW$115), 0), IF($B7='Project List References'!$B$4, _xlfn.IFNA(_xlfn.XLOOKUP(O$2-$C7, 'GEN-SOLAR'!$D$7:$AW$7, 'GEN-SOLAR'!$D$115:$AW$115), 0), IF($B7='Project List References'!$B$5, _xlfn.IFNA(_xlfn.XLOOKUP(O$2-$C7, 'GEN-BESS'!$D$7:$AW$7, 'GEN-BESS'!$D$117:$AW$117), 0), IF($B7='Project List References'!$B$6, _xlfn.IFNA(_xlfn.XLOOKUP(O$2-$C7,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112235.87579091308</v>
      </c>
      <c r="P7" s="744">
        <f>IF($B7='Project List References'!$B$3, _xlfn.IFNA(_xlfn.XLOOKUP(P$2-$C7, 'GEN-CCGT'!$D$7:$AW$7, 'GEN-CCGT'!$D$115:$AW$115), 0), IF($B7='Project List References'!$B$4, _xlfn.IFNA(_xlfn.XLOOKUP(P$2-$C7, 'GEN-SOLAR'!$D$7:$AW$7, 'GEN-SOLAR'!$D$115:$AW$115), 0), IF($B7='Project List References'!$B$5, _xlfn.IFNA(_xlfn.XLOOKUP(P$2-$C7, 'GEN-BESS'!$D$7:$AW$7, 'GEN-BESS'!$D$117:$AW$117), 0), IF($B7='Project List References'!$B$6, _xlfn.IFNA(_xlfn.XLOOKUP(P$2-$C7,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111090.01213755035</v>
      </c>
      <c r="Q7" s="744">
        <f>IF($B7='Project List References'!$B$3, _xlfn.IFNA(_xlfn.XLOOKUP(Q$2-$C7, 'GEN-CCGT'!$D$7:$AW$7, 'GEN-CCGT'!$D$115:$AW$115), 0), IF($B7='Project List References'!$B$4, _xlfn.IFNA(_xlfn.XLOOKUP(Q$2-$C7, 'GEN-SOLAR'!$D$7:$AW$7, 'GEN-SOLAR'!$D$115:$AW$115), 0), IF($B7='Project List References'!$B$5, _xlfn.IFNA(_xlfn.XLOOKUP(Q$2-$C7, 'GEN-BESS'!$D$7:$AW$7, 'GEN-BESS'!$D$117:$AW$117), 0), IF($B7='Project List References'!$B$6, _xlfn.IFNA(_xlfn.XLOOKUP(Q$2-$C7,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109952.80122382649</v>
      </c>
      <c r="R7" s="744">
        <f>IF($B7='Project List References'!$B$3, _xlfn.IFNA(_xlfn.XLOOKUP(R$2-$C7, 'GEN-CCGT'!$D$7:$AW$7, 'GEN-CCGT'!$D$115:$AW$115), 0), IF($B7='Project List References'!$B$4, _xlfn.IFNA(_xlfn.XLOOKUP(R$2-$C7, 'GEN-SOLAR'!$D$7:$AW$7, 'GEN-SOLAR'!$D$115:$AW$115), 0), IF($B7='Project List References'!$B$5, _xlfn.IFNA(_xlfn.XLOOKUP(R$2-$C7, 'GEN-BESS'!$D$7:$AW$7, 'GEN-BESS'!$D$117:$AW$117), 0), IF($B7='Project List References'!$B$6, _xlfn.IFNA(_xlfn.XLOOKUP(R$2-$C7,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108824.18516893641</v>
      </c>
      <c r="S7" s="744">
        <f>IF($B7='Project List References'!$B$3, _xlfn.IFNA(_xlfn.XLOOKUP(S$2-$C7, 'GEN-CCGT'!$D$7:$AW$7, 'GEN-CCGT'!$D$115:$AW$115), 0), IF($B7='Project List References'!$B$4, _xlfn.IFNA(_xlfn.XLOOKUP(S$2-$C7, 'GEN-SOLAR'!$D$7:$AW$7, 'GEN-SOLAR'!$D$115:$AW$115), 0), IF($B7='Project List References'!$B$5, _xlfn.IFNA(_xlfn.XLOOKUP(S$2-$C7, 'GEN-BESS'!$D$7:$AW$7, 'GEN-BESS'!$D$117:$AW$117), 0), IF($B7='Project List References'!$B$6, _xlfn.IFNA(_xlfn.XLOOKUP(S$2-$C7,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107704.10645456467</v>
      </c>
      <c r="T7" s="744">
        <f>IF($B7='Project List References'!$B$3, _xlfn.IFNA(_xlfn.XLOOKUP(T$2-$C7, 'GEN-CCGT'!$D$7:$AW$7, 'GEN-CCGT'!$D$115:$AW$115), 0), IF($B7='Project List References'!$B$4, _xlfn.IFNA(_xlfn.XLOOKUP(T$2-$C7, 'GEN-SOLAR'!$D$7:$AW$7, 'GEN-SOLAR'!$D$115:$AW$115), 0), IF($B7='Project List References'!$B$5, _xlfn.IFNA(_xlfn.XLOOKUP(T$2-$C7, 'GEN-BESS'!$D$7:$AW$7, 'GEN-BESS'!$D$117:$AW$117), 0), IF($B7='Project List References'!$B$6, _xlfn.IFNA(_xlfn.XLOOKUP(T$2-$C7, 'GEN-CARBON'!$D$7:$AW$7, 'GEN-CARBON'!$D$115:$AW$115), 0), 0))))/_xlfn.XLOOKUP($B7,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106592.50792270739</v>
      </c>
    </row>
    <row r="8" spans="1:112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_xlfn.XLOOKUP('Project OPEX'!A8, 'Project Master Sheet'!A:A, 'Project Master Sheet'!I:I)</f>
        <v>#N/A</v>
      </c>
      <c r="E8" s="744" t="e">
        <f>IF($B8='Project List References'!$B$3, _xlfn.IFNA(_xlfn.XLOOKUP(E$2-$C8, 'GEN-CCGT'!$D$7:$AW$7, 'GEN-CCGT'!$D$115:$AW$115), 0), IF($B8='Project List References'!$B$4, _xlfn.IFNA(_xlfn.XLOOKUP(E$2-$C8, 'GEN-SOLAR'!$D$7:$AW$7, 'GEN-SOLAR'!$D$115:$AW$115), 0), IF($B8='Project List References'!$B$5, _xlfn.IFNA(_xlfn.XLOOKUP(E$2-$C8, 'GEN-BESS'!$D$7:$AW$7, 'GEN-BESS'!$D$117:$AW$117), 0), IF($B8='Project List References'!$B$6, _xlfn.IFNA(_xlfn.XLOOKUP(E$2-$C8,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F8" s="744" t="e">
        <f>IF($B8='Project List References'!$B$3, _xlfn.IFNA(_xlfn.XLOOKUP(F$2-$C8, 'GEN-CCGT'!$D$7:$AW$7, 'GEN-CCGT'!$D$115:$AW$115), 0), IF($B8='Project List References'!$B$4, _xlfn.IFNA(_xlfn.XLOOKUP(F$2-$C8, 'GEN-SOLAR'!$D$7:$AW$7, 'GEN-SOLAR'!$D$115:$AW$115), 0), IF($B8='Project List References'!$B$5, _xlfn.IFNA(_xlfn.XLOOKUP(F$2-$C8, 'GEN-BESS'!$D$7:$AW$7, 'GEN-BESS'!$D$117:$AW$117), 0), IF($B8='Project List References'!$B$6, _xlfn.IFNA(_xlfn.XLOOKUP(F$2-$C8,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G8" s="744" t="e">
        <f>IF($B8='Project List References'!$B$3, _xlfn.IFNA(_xlfn.XLOOKUP(G$2-$C8, 'GEN-CCGT'!$D$7:$AW$7, 'GEN-CCGT'!$D$115:$AW$115), 0), IF($B8='Project List References'!$B$4, _xlfn.IFNA(_xlfn.XLOOKUP(G$2-$C8, 'GEN-SOLAR'!$D$7:$AW$7, 'GEN-SOLAR'!$D$115:$AW$115), 0), IF($B8='Project List References'!$B$5, _xlfn.IFNA(_xlfn.XLOOKUP(G$2-$C8, 'GEN-BESS'!$D$7:$AW$7, 'GEN-BESS'!$D$117:$AW$117), 0), IF($B8='Project List References'!$B$6, _xlfn.IFNA(_xlfn.XLOOKUP(G$2-$C8,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H8" s="744" t="e">
        <f>IF($B8='Project List References'!$B$3, _xlfn.IFNA(_xlfn.XLOOKUP(H$2-$C8, 'GEN-CCGT'!$D$7:$AW$7, 'GEN-CCGT'!$D$115:$AW$115), 0), IF($B8='Project List References'!$B$4, _xlfn.IFNA(_xlfn.XLOOKUP(H$2-$C8, 'GEN-SOLAR'!$D$7:$AW$7, 'GEN-SOLAR'!$D$115:$AW$115), 0), IF($B8='Project List References'!$B$5, _xlfn.IFNA(_xlfn.XLOOKUP(H$2-$C8, 'GEN-BESS'!$D$7:$AW$7, 'GEN-BESS'!$D$117:$AW$117), 0), IF($B8='Project List References'!$B$6, _xlfn.IFNA(_xlfn.XLOOKUP(H$2-$C8,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I8" s="744" t="e">
        <f>IF($B8='Project List References'!$B$3, _xlfn.IFNA(_xlfn.XLOOKUP(I$2-$C8, 'GEN-CCGT'!$D$7:$AW$7, 'GEN-CCGT'!$D$115:$AW$115), 0), IF($B8='Project List References'!$B$4, _xlfn.IFNA(_xlfn.XLOOKUP(I$2-$C8, 'GEN-SOLAR'!$D$7:$AW$7, 'GEN-SOLAR'!$D$115:$AW$115), 0), IF($B8='Project List References'!$B$5, _xlfn.IFNA(_xlfn.XLOOKUP(I$2-$C8, 'GEN-BESS'!$D$7:$AW$7, 'GEN-BESS'!$D$117:$AW$117), 0), IF($B8='Project List References'!$B$6, _xlfn.IFNA(_xlfn.XLOOKUP(I$2-$C8,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J8" s="744" t="e">
        <f>IF($B8='Project List References'!$B$3, _xlfn.IFNA(_xlfn.XLOOKUP(J$2-$C8, 'GEN-CCGT'!$D$7:$AW$7, 'GEN-CCGT'!$D$115:$AW$115), 0), IF($B8='Project List References'!$B$4, _xlfn.IFNA(_xlfn.XLOOKUP(J$2-$C8, 'GEN-SOLAR'!$D$7:$AW$7, 'GEN-SOLAR'!$D$115:$AW$115), 0), IF($B8='Project List References'!$B$5, _xlfn.IFNA(_xlfn.XLOOKUP(J$2-$C8, 'GEN-BESS'!$D$7:$AW$7, 'GEN-BESS'!$D$117:$AW$117), 0), IF($B8='Project List References'!$B$6, _xlfn.IFNA(_xlfn.XLOOKUP(J$2-$C8,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K8" s="744" t="e">
        <f>IF($B8='Project List References'!$B$3, _xlfn.IFNA(_xlfn.XLOOKUP(K$2-$C8, 'GEN-CCGT'!$D$7:$AW$7, 'GEN-CCGT'!$D$115:$AW$115), 0), IF($B8='Project List References'!$B$4, _xlfn.IFNA(_xlfn.XLOOKUP(K$2-$C8, 'GEN-SOLAR'!$D$7:$AW$7, 'GEN-SOLAR'!$D$115:$AW$115), 0), IF($B8='Project List References'!$B$5, _xlfn.IFNA(_xlfn.XLOOKUP(K$2-$C8, 'GEN-BESS'!$D$7:$AW$7, 'GEN-BESS'!$D$117:$AW$117), 0), IF($B8='Project List References'!$B$6, _xlfn.IFNA(_xlfn.XLOOKUP(K$2-$C8,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L8" s="744" t="e">
        <f>IF($B8='Project List References'!$B$3, _xlfn.IFNA(_xlfn.XLOOKUP(L$2-$C8, 'GEN-CCGT'!$D$7:$AW$7, 'GEN-CCGT'!$D$115:$AW$115), 0), IF($B8='Project List References'!$B$4, _xlfn.IFNA(_xlfn.XLOOKUP(L$2-$C8, 'GEN-SOLAR'!$D$7:$AW$7, 'GEN-SOLAR'!$D$115:$AW$115), 0), IF($B8='Project List References'!$B$5, _xlfn.IFNA(_xlfn.XLOOKUP(L$2-$C8, 'GEN-BESS'!$D$7:$AW$7, 'GEN-BESS'!$D$117:$AW$117), 0), IF($B8='Project List References'!$B$6, _xlfn.IFNA(_xlfn.XLOOKUP(L$2-$C8,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M8" s="744" t="e">
        <f>IF($B8='Project List References'!$B$3, _xlfn.IFNA(_xlfn.XLOOKUP(M$2-$C8, 'GEN-CCGT'!$D$7:$AW$7, 'GEN-CCGT'!$D$115:$AW$115), 0), IF($B8='Project List References'!$B$4, _xlfn.IFNA(_xlfn.XLOOKUP(M$2-$C8, 'GEN-SOLAR'!$D$7:$AW$7, 'GEN-SOLAR'!$D$115:$AW$115), 0), IF($B8='Project List References'!$B$5, _xlfn.IFNA(_xlfn.XLOOKUP(M$2-$C8, 'GEN-BESS'!$D$7:$AW$7, 'GEN-BESS'!$D$117:$AW$117), 0), IF($B8='Project List References'!$B$6, _xlfn.IFNA(_xlfn.XLOOKUP(M$2-$C8,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N8" s="744" t="e">
        <f>IF($B8='Project List References'!$B$3, _xlfn.IFNA(_xlfn.XLOOKUP(N$2-$C8, 'GEN-CCGT'!$D$7:$AW$7, 'GEN-CCGT'!$D$115:$AW$115), 0), IF($B8='Project List References'!$B$4, _xlfn.IFNA(_xlfn.XLOOKUP(N$2-$C8, 'GEN-SOLAR'!$D$7:$AW$7, 'GEN-SOLAR'!$D$115:$AW$115), 0), IF($B8='Project List References'!$B$5, _xlfn.IFNA(_xlfn.XLOOKUP(N$2-$C8, 'GEN-BESS'!$D$7:$AW$7, 'GEN-BESS'!$D$117:$AW$117), 0), IF($B8='Project List References'!$B$6, _xlfn.IFNA(_xlfn.XLOOKUP(N$2-$C8,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O8" s="744" t="e">
        <f>IF($B8='Project List References'!$B$3, _xlfn.IFNA(_xlfn.XLOOKUP(O$2-$C8, 'GEN-CCGT'!$D$7:$AW$7, 'GEN-CCGT'!$D$115:$AW$115), 0), IF($B8='Project List References'!$B$4, _xlfn.IFNA(_xlfn.XLOOKUP(O$2-$C8, 'GEN-SOLAR'!$D$7:$AW$7, 'GEN-SOLAR'!$D$115:$AW$115), 0), IF($B8='Project List References'!$B$5, _xlfn.IFNA(_xlfn.XLOOKUP(O$2-$C8, 'GEN-BESS'!$D$7:$AW$7, 'GEN-BESS'!$D$117:$AW$117), 0), IF($B8='Project List References'!$B$6, _xlfn.IFNA(_xlfn.XLOOKUP(O$2-$C8,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P8" s="744" t="e">
        <f>IF($B8='Project List References'!$B$3, _xlfn.IFNA(_xlfn.XLOOKUP(P$2-$C8, 'GEN-CCGT'!$D$7:$AW$7, 'GEN-CCGT'!$D$115:$AW$115), 0), IF($B8='Project List References'!$B$4, _xlfn.IFNA(_xlfn.XLOOKUP(P$2-$C8, 'GEN-SOLAR'!$D$7:$AW$7, 'GEN-SOLAR'!$D$115:$AW$115), 0), IF($B8='Project List References'!$B$5, _xlfn.IFNA(_xlfn.XLOOKUP(P$2-$C8, 'GEN-BESS'!$D$7:$AW$7, 'GEN-BESS'!$D$117:$AW$117), 0), IF($B8='Project List References'!$B$6, _xlfn.IFNA(_xlfn.XLOOKUP(P$2-$C8,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Q8" s="744" t="e">
        <f>IF($B8='Project List References'!$B$3, _xlfn.IFNA(_xlfn.XLOOKUP(Q$2-$C8, 'GEN-CCGT'!$D$7:$AW$7, 'GEN-CCGT'!$D$115:$AW$115), 0), IF($B8='Project List References'!$B$4, _xlfn.IFNA(_xlfn.XLOOKUP(Q$2-$C8, 'GEN-SOLAR'!$D$7:$AW$7, 'GEN-SOLAR'!$D$115:$AW$115), 0), IF($B8='Project List References'!$B$5, _xlfn.IFNA(_xlfn.XLOOKUP(Q$2-$C8, 'GEN-BESS'!$D$7:$AW$7, 'GEN-BESS'!$D$117:$AW$117), 0), IF($B8='Project List References'!$B$6, _xlfn.IFNA(_xlfn.XLOOKUP(Q$2-$C8,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R8" s="744" t="e">
        <f>IF($B8='Project List References'!$B$3, _xlfn.IFNA(_xlfn.XLOOKUP(R$2-$C8, 'GEN-CCGT'!$D$7:$AW$7, 'GEN-CCGT'!$D$115:$AW$115), 0), IF($B8='Project List References'!$B$4, _xlfn.IFNA(_xlfn.XLOOKUP(R$2-$C8, 'GEN-SOLAR'!$D$7:$AW$7, 'GEN-SOLAR'!$D$115:$AW$115), 0), IF($B8='Project List References'!$B$5, _xlfn.IFNA(_xlfn.XLOOKUP(R$2-$C8, 'GEN-BESS'!$D$7:$AW$7, 'GEN-BESS'!$D$117:$AW$117), 0), IF($B8='Project List References'!$B$6, _xlfn.IFNA(_xlfn.XLOOKUP(R$2-$C8,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S8" s="744" t="e">
        <f>IF($B8='Project List References'!$B$3, _xlfn.IFNA(_xlfn.XLOOKUP(S$2-$C8, 'GEN-CCGT'!$D$7:$AW$7, 'GEN-CCGT'!$D$115:$AW$115), 0), IF($B8='Project List References'!$B$4, _xlfn.IFNA(_xlfn.XLOOKUP(S$2-$C8, 'GEN-SOLAR'!$D$7:$AW$7, 'GEN-SOLAR'!$D$115:$AW$115), 0), IF($B8='Project List References'!$B$5, _xlfn.IFNA(_xlfn.XLOOKUP(S$2-$C8, 'GEN-BESS'!$D$7:$AW$7, 'GEN-BESS'!$D$117:$AW$117), 0), IF($B8='Project List References'!$B$6, _xlfn.IFNA(_xlfn.XLOOKUP(S$2-$C8,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T8" s="744" t="e">
        <f>IF($B8='Project List References'!$B$3, _xlfn.IFNA(_xlfn.XLOOKUP(T$2-$C8, 'GEN-CCGT'!$D$7:$AW$7, 'GEN-CCGT'!$D$115:$AW$115), 0), IF($B8='Project List References'!$B$4, _xlfn.IFNA(_xlfn.XLOOKUP(T$2-$C8, 'GEN-SOLAR'!$D$7:$AW$7, 'GEN-SOLAR'!$D$115:$AW$115), 0), IF($B8='Project List References'!$B$5, _xlfn.IFNA(_xlfn.XLOOKUP(T$2-$C8, 'GEN-BESS'!$D$7:$AW$7, 'GEN-BESS'!$D$117:$AW$117), 0), IF($B8='Project List References'!$B$6, _xlfn.IFNA(_xlfn.XLOOKUP(T$2-$C8, 'GEN-CARBON'!$D$7:$AW$7, 'GEN-CARBON'!$D$115:$AW$115), 0), 0))))/_xlfn.XLOOKUP($B8,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</row>
    <row r="9" spans="1:112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_xlfn.XLOOKUP('Project OPEX'!A9, 'Project Master Sheet'!A:A, 'Project Master Sheet'!I:I)</f>
        <v>1</v>
      </c>
      <c r="E9" s="744">
        <f>IF($B9='Project List References'!$B$3, _xlfn.IFNA(_xlfn.XLOOKUP(E$2-$C9, 'GEN-CCGT'!$D$7:$AW$7, 'GEN-CCGT'!$D$115:$AW$115), 0), IF($B9='Project List References'!$B$4, _xlfn.IFNA(_xlfn.XLOOKUP(E$2-$C9, 'GEN-SOLAR'!$D$7:$AW$7, 'GEN-SOLAR'!$D$115:$AW$115), 0), IF($B9='Project List References'!$B$5, _xlfn.IFNA(_xlfn.XLOOKUP(E$2-$C9, 'GEN-BESS'!$D$7:$AW$7, 'GEN-BESS'!$D$117:$AW$117), 0), IF($B9='Project List References'!$B$6, _xlfn.IFNA(_xlfn.XLOOKUP(E$2-$C9,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F9" s="744">
        <f>IF($B9='Project List References'!$B$3, _xlfn.IFNA(_xlfn.XLOOKUP(F$2-$C9, 'GEN-CCGT'!$D$7:$AW$7, 'GEN-CCGT'!$D$115:$AW$115), 0), IF($B9='Project List References'!$B$4, _xlfn.IFNA(_xlfn.XLOOKUP(F$2-$C9, 'GEN-SOLAR'!$D$7:$AW$7, 'GEN-SOLAR'!$D$115:$AW$115), 0), IF($B9='Project List References'!$B$5, _xlfn.IFNA(_xlfn.XLOOKUP(F$2-$C9, 'GEN-BESS'!$D$7:$AW$7, 'GEN-BESS'!$D$117:$AW$117), 0), IF($B9='Project List References'!$B$6, _xlfn.IFNA(_xlfn.XLOOKUP(F$2-$C9,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G9" s="744">
        <f>IF($B9='Project List References'!$B$3, _xlfn.IFNA(_xlfn.XLOOKUP(G$2-$C9, 'GEN-CCGT'!$D$7:$AW$7, 'GEN-CCGT'!$D$115:$AW$115), 0), IF($B9='Project List References'!$B$4, _xlfn.IFNA(_xlfn.XLOOKUP(G$2-$C9, 'GEN-SOLAR'!$D$7:$AW$7, 'GEN-SOLAR'!$D$115:$AW$115), 0), IF($B9='Project List References'!$B$5, _xlfn.IFNA(_xlfn.XLOOKUP(G$2-$C9, 'GEN-BESS'!$D$7:$AW$7, 'GEN-BESS'!$D$117:$AW$117), 0), IF($B9='Project List References'!$B$6, _xlfn.IFNA(_xlfn.XLOOKUP(G$2-$C9,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H9" s="744">
        <f>IF($B9='Project List References'!$B$3, _xlfn.IFNA(_xlfn.XLOOKUP(H$2-$C9, 'GEN-CCGT'!$D$7:$AW$7, 'GEN-CCGT'!$D$115:$AW$115), 0), IF($B9='Project List References'!$B$4, _xlfn.IFNA(_xlfn.XLOOKUP(H$2-$C9, 'GEN-SOLAR'!$D$7:$AW$7, 'GEN-SOLAR'!$D$115:$AW$115), 0), IF($B9='Project List References'!$B$5, _xlfn.IFNA(_xlfn.XLOOKUP(H$2-$C9, 'GEN-BESS'!$D$7:$AW$7, 'GEN-BESS'!$D$117:$AW$117), 0), IF($B9='Project List References'!$B$6, _xlfn.IFNA(_xlfn.XLOOKUP(H$2-$C9,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I9" s="744">
        <f>IF($B9='Project List References'!$B$3, _xlfn.IFNA(_xlfn.XLOOKUP(I$2-$C9, 'GEN-CCGT'!$D$7:$AW$7, 'GEN-CCGT'!$D$115:$AW$115), 0), IF($B9='Project List References'!$B$4, _xlfn.IFNA(_xlfn.XLOOKUP(I$2-$C9, 'GEN-SOLAR'!$D$7:$AW$7, 'GEN-SOLAR'!$D$115:$AW$115), 0), IF($B9='Project List References'!$B$5, _xlfn.IFNA(_xlfn.XLOOKUP(I$2-$C9, 'GEN-BESS'!$D$7:$AW$7, 'GEN-BESS'!$D$117:$AW$117), 0), IF($B9='Project List References'!$B$6, _xlfn.IFNA(_xlfn.XLOOKUP(I$2-$C9,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496953.59999999998</v>
      </c>
      <c r="J9" s="744">
        <f>IF($B9='Project List References'!$B$3, _xlfn.IFNA(_xlfn.XLOOKUP(J$2-$C9, 'GEN-CCGT'!$D$7:$AW$7, 'GEN-CCGT'!$D$115:$AW$115), 0), IF($B9='Project List References'!$B$4, _xlfn.IFNA(_xlfn.XLOOKUP(J$2-$C9, 'GEN-SOLAR'!$D$7:$AW$7, 'GEN-SOLAR'!$D$115:$AW$115), 0), IF($B9='Project List References'!$B$5, _xlfn.IFNA(_xlfn.XLOOKUP(J$2-$C9, 'GEN-BESS'!$D$7:$AW$7, 'GEN-BESS'!$D$117:$AW$117), 0), IF($B9='Project List References'!$B$6, _xlfn.IFNA(_xlfn.XLOOKUP(J$2-$C9,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745430.4</v>
      </c>
      <c r="K9" s="744">
        <f>IF($B9='Project List References'!$B$3, _xlfn.IFNA(_xlfn.XLOOKUP(K$2-$C9, 'GEN-CCGT'!$D$7:$AW$7, 'GEN-CCGT'!$D$115:$AW$115), 0), IF($B9='Project List References'!$B$4, _xlfn.IFNA(_xlfn.XLOOKUP(K$2-$C9, 'GEN-SOLAR'!$D$7:$AW$7, 'GEN-SOLAR'!$D$115:$AW$115), 0), IF($B9='Project List References'!$B$5, _xlfn.IFNA(_xlfn.XLOOKUP(K$2-$C9, 'GEN-BESS'!$D$7:$AW$7, 'GEN-BESS'!$D$117:$AW$117), 0), IF($B9='Project List References'!$B$6, _xlfn.IFNA(_xlfn.XLOOKUP(K$2-$C9,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743566.82400000002</v>
      </c>
      <c r="L9" s="744">
        <f>IF($B9='Project List References'!$B$3, _xlfn.IFNA(_xlfn.XLOOKUP(L$2-$C9, 'GEN-CCGT'!$D$7:$AW$7, 'GEN-CCGT'!$D$115:$AW$115), 0), IF($B9='Project List References'!$B$4, _xlfn.IFNA(_xlfn.XLOOKUP(L$2-$C9, 'GEN-SOLAR'!$D$7:$AW$7, 'GEN-SOLAR'!$D$115:$AW$115), 0), IF($B9='Project List References'!$B$5, _xlfn.IFNA(_xlfn.XLOOKUP(L$2-$C9, 'GEN-BESS'!$D$7:$AW$7, 'GEN-BESS'!$D$117:$AW$117), 0), IF($B9='Project List References'!$B$6, _xlfn.IFNA(_xlfn.XLOOKUP(L$2-$C9,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741707.90694000013</v>
      </c>
      <c r="M9" s="744">
        <f>IF($B9='Project List References'!$B$3, _xlfn.IFNA(_xlfn.XLOOKUP(M$2-$C9, 'GEN-CCGT'!$D$7:$AW$7, 'GEN-CCGT'!$D$115:$AW$115), 0), IF($B9='Project List References'!$B$4, _xlfn.IFNA(_xlfn.XLOOKUP(M$2-$C9, 'GEN-SOLAR'!$D$7:$AW$7, 'GEN-SOLAR'!$D$115:$AW$115), 0), IF($B9='Project List References'!$B$5, _xlfn.IFNA(_xlfn.XLOOKUP(M$2-$C9, 'GEN-BESS'!$D$7:$AW$7, 'GEN-BESS'!$D$117:$AW$117), 0), IF($B9='Project List References'!$B$6, _xlfn.IFNA(_xlfn.XLOOKUP(M$2-$C9,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739853.63717265008</v>
      </c>
      <c r="N9" s="744">
        <f>IF($B9='Project List References'!$B$3, _xlfn.IFNA(_xlfn.XLOOKUP(N$2-$C9, 'GEN-CCGT'!$D$7:$AW$7, 'GEN-CCGT'!$D$115:$AW$115), 0), IF($B9='Project List References'!$B$4, _xlfn.IFNA(_xlfn.XLOOKUP(N$2-$C9, 'GEN-SOLAR'!$D$7:$AW$7, 'GEN-SOLAR'!$D$115:$AW$115), 0), IF($B9='Project List References'!$B$5, _xlfn.IFNA(_xlfn.XLOOKUP(N$2-$C9, 'GEN-BESS'!$D$7:$AW$7, 'GEN-BESS'!$D$117:$AW$117), 0), IF($B9='Project List References'!$B$6, _xlfn.IFNA(_xlfn.XLOOKUP(N$2-$C9,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738004.00307971844</v>
      </c>
      <c r="O9" s="744">
        <f>IF($B9='Project List References'!$B$3, _xlfn.IFNA(_xlfn.XLOOKUP(O$2-$C9, 'GEN-CCGT'!$D$7:$AW$7, 'GEN-CCGT'!$D$115:$AW$115), 0), IF($B9='Project List References'!$B$4, _xlfn.IFNA(_xlfn.XLOOKUP(O$2-$C9, 'GEN-SOLAR'!$D$7:$AW$7, 'GEN-SOLAR'!$D$115:$AW$115), 0), IF($B9='Project List References'!$B$5, _xlfn.IFNA(_xlfn.XLOOKUP(O$2-$C9, 'GEN-BESS'!$D$7:$AW$7, 'GEN-BESS'!$D$117:$AW$117), 0), IF($B9='Project List References'!$B$6, _xlfn.IFNA(_xlfn.XLOOKUP(O$2-$C9,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736158.99307201931</v>
      </c>
      <c r="P9" s="744">
        <f>IF($B9='Project List References'!$B$3, _xlfn.IFNA(_xlfn.XLOOKUP(P$2-$C9, 'GEN-CCGT'!$D$7:$AW$7, 'GEN-CCGT'!$D$115:$AW$115), 0), IF($B9='Project List References'!$B$4, _xlfn.IFNA(_xlfn.XLOOKUP(P$2-$C9, 'GEN-SOLAR'!$D$7:$AW$7, 'GEN-SOLAR'!$D$115:$AW$115), 0), IF($B9='Project List References'!$B$5, _xlfn.IFNA(_xlfn.XLOOKUP(P$2-$C9, 'GEN-BESS'!$D$7:$AW$7, 'GEN-BESS'!$D$117:$AW$117), 0), IF($B9='Project List References'!$B$6, _xlfn.IFNA(_xlfn.XLOOKUP(P$2-$C9,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734318.59558933927</v>
      </c>
      <c r="Q9" s="744">
        <f>IF($B9='Project List References'!$B$3, _xlfn.IFNA(_xlfn.XLOOKUP(Q$2-$C9, 'GEN-CCGT'!$D$7:$AW$7, 'GEN-CCGT'!$D$115:$AW$115), 0), IF($B9='Project List References'!$B$4, _xlfn.IFNA(_xlfn.XLOOKUP(Q$2-$C9, 'GEN-SOLAR'!$D$7:$AW$7, 'GEN-SOLAR'!$D$115:$AW$115), 0), IF($B9='Project List References'!$B$5, _xlfn.IFNA(_xlfn.XLOOKUP(Q$2-$C9, 'GEN-BESS'!$D$7:$AW$7, 'GEN-BESS'!$D$117:$AW$117), 0), IF($B9='Project List References'!$B$6, _xlfn.IFNA(_xlfn.XLOOKUP(Q$2-$C9,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732482.79910036596</v>
      </c>
      <c r="R9" s="744">
        <f>IF($B9='Project List References'!$B$3, _xlfn.IFNA(_xlfn.XLOOKUP(R$2-$C9, 'GEN-CCGT'!$D$7:$AW$7, 'GEN-CCGT'!$D$115:$AW$115), 0), IF($B9='Project List References'!$B$4, _xlfn.IFNA(_xlfn.XLOOKUP(R$2-$C9, 'GEN-SOLAR'!$D$7:$AW$7, 'GEN-SOLAR'!$D$115:$AW$115), 0), IF($B9='Project List References'!$B$5, _xlfn.IFNA(_xlfn.XLOOKUP(R$2-$C9, 'GEN-BESS'!$D$7:$AW$7, 'GEN-BESS'!$D$117:$AW$117), 0), IF($B9='Project List References'!$B$6, _xlfn.IFNA(_xlfn.XLOOKUP(R$2-$C9,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730651.59210261505</v>
      </c>
      <c r="S9" s="744">
        <f>IF($B9='Project List References'!$B$3, _xlfn.IFNA(_xlfn.XLOOKUP(S$2-$C9, 'GEN-CCGT'!$D$7:$AW$7, 'GEN-CCGT'!$D$115:$AW$115), 0), IF($B9='Project List References'!$B$4, _xlfn.IFNA(_xlfn.XLOOKUP(S$2-$C9, 'GEN-SOLAR'!$D$7:$AW$7, 'GEN-SOLAR'!$D$115:$AW$115), 0), IF($B9='Project List References'!$B$5, _xlfn.IFNA(_xlfn.XLOOKUP(S$2-$C9, 'GEN-BESS'!$D$7:$AW$7, 'GEN-BESS'!$D$117:$AW$117), 0), IF($B9='Project List References'!$B$6, _xlfn.IFNA(_xlfn.XLOOKUP(S$2-$C9,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728824.96312235855</v>
      </c>
      <c r="T9" s="744">
        <f>IF($B9='Project List References'!$B$3, _xlfn.IFNA(_xlfn.XLOOKUP(T$2-$C9, 'GEN-CCGT'!$D$7:$AW$7, 'GEN-CCGT'!$D$115:$AW$115), 0), IF($B9='Project List References'!$B$4, _xlfn.IFNA(_xlfn.XLOOKUP(T$2-$C9, 'GEN-SOLAR'!$D$7:$AW$7, 'GEN-SOLAR'!$D$115:$AW$115), 0), IF($B9='Project List References'!$B$5, _xlfn.IFNA(_xlfn.XLOOKUP(T$2-$C9, 'GEN-BESS'!$D$7:$AW$7, 'GEN-BESS'!$D$117:$AW$117), 0), IF($B9='Project List References'!$B$6, _xlfn.IFNA(_xlfn.XLOOKUP(T$2-$C9, 'GEN-CARBON'!$D$7:$AW$7, 'GEN-CARBON'!$D$115:$AW$115), 0), 0))))/_xlfn.XLOOKUP($B9,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727002.90071455261</v>
      </c>
    </row>
    <row r="10" spans="1:112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_xlfn.XLOOKUP('Project OPEX'!A10, 'Project Master Sheet'!A:A, 'Project Master Sheet'!I:I)</f>
        <v>#N/A</v>
      </c>
      <c r="E10" s="744" t="e">
        <f>IF($B10='Project List References'!$B$3, _xlfn.IFNA(_xlfn.XLOOKUP(E$2-$C10, 'GEN-CCGT'!$D$7:$AW$7, 'GEN-CCGT'!$D$115:$AW$115), 0), IF($B10='Project List References'!$B$4, _xlfn.IFNA(_xlfn.XLOOKUP(E$2-$C10, 'GEN-SOLAR'!$D$7:$AW$7, 'GEN-SOLAR'!$D$115:$AW$115), 0), IF($B10='Project List References'!$B$5, _xlfn.IFNA(_xlfn.XLOOKUP(E$2-$C10, 'GEN-BESS'!$D$7:$AW$7, 'GEN-BESS'!$D$117:$AW$117), 0), IF($B10='Project List References'!$B$6, _xlfn.IFNA(_xlfn.XLOOKUP(E$2-$C10,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F10" s="744" t="e">
        <f>IF($B10='Project List References'!$B$3, _xlfn.IFNA(_xlfn.XLOOKUP(F$2-$C10, 'GEN-CCGT'!$D$7:$AW$7, 'GEN-CCGT'!$D$115:$AW$115), 0), IF($B10='Project List References'!$B$4, _xlfn.IFNA(_xlfn.XLOOKUP(F$2-$C10, 'GEN-SOLAR'!$D$7:$AW$7, 'GEN-SOLAR'!$D$115:$AW$115), 0), IF($B10='Project List References'!$B$5, _xlfn.IFNA(_xlfn.XLOOKUP(F$2-$C10, 'GEN-BESS'!$D$7:$AW$7, 'GEN-BESS'!$D$117:$AW$117), 0), IF($B10='Project List References'!$B$6, _xlfn.IFNA(_xlfn.XLOOKUP(F$2-$C10,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G10" s="744" t="e">
        <f>IF($B10='Project List References'!$B$3, _xlfn.IFNA(_xlfn.XLOOKUP(G$2-$C10, 'GEN-CCGT'!$D$7:$AW$7, 'GEN-CCGT'!$D$115:$AW$115), 0), IF($B10='Project List References'!$B$4, _xlfn.IFNA(_xlfn.XLOOKUP(G$2-$C10, 'GEN-SOLAR'!$D$7:$AW$7, 'GEN-SOLAR'!$D$115:$AW$115), 0), IF($B10='Project List References'!$B$5, _xlfn.IFNA(_xlfn.XLOOKUP(G$2-$C10, 'GEN-BESS'!$D$7:$AW$7, 'GEN-BESS'!$D$117:$AW$117), 0), IF($B10='Project List References'!$B$6, _xlfn.IFNA(_xlfn.XLOOKUP(G$2-$C10,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H10" s="744" t="e">
        <f>IF($B10='Project List References'!$B$3, _xlfn.IFNA(_xlfn.XLOOKUP(H$2-$C10, 'GEN-CCGT'!$D$7:$AW$7, 'GEN-CCGT'!$D$115:$AW$115), 0), IF($B10='Project List References'!$B$4, _xlfn.IFNA(_xlfn.XLOOKUP(H$2-$C10, 'GEN-SOLAR'!$D$7:$AW$7, 'GEN-SOLAR'!$D$115:$AW$115), 0), IF($B10='Project List References'!$B$5, _xlfn.IFNA(_xlfn.XLOOKUP(H$2-$C10, 'GEN-BESS'!$D$7:$AW$7, 'GEN-BESS'!$D$117:$AW$117), 0), IF($B10='Project List References'!$B$6, _xlfn.IFNA(_xlfn.XLOOKUP(H$2-$C10,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I10" s="744" t="e">
        <f>IF($B10='Project List References'!$B$3, _xlfn.IFNA(_xlfn.XLOOKUP(I$2-$C10, 'GEN-CCGT'!$D$7:$AW$7, 'GEN-CCGT'!$D$115:$AW$115), 0), IF($B10='Project List References'!$B$4, _xlfn.IFNA(_xlfn.XLOOKUP(I$2-$C10, 'GEN-SOLAR'!$D$7:$AW$7, 'GEN-SOLAR'!$D$115:$AW$115), 0), IF($B10='Project List References'!$B$5, _xlfn.IFNA(_xlfn.XLOOKUP(I$2-$C10, 'GEN-BESS'!$D$7:$AW$7, 'GEN-BESS'!$D$117:$AW$117), 0), IF($B10='Project List References'!$B$6, _xlfn.IFNA(_xlfn.XLOOKUP(I$2-$C10,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J10" s="744" t="e">
        <f>IF($B10='Project List References'!$B$3, _xlfn.IFNA(_xlfn.XLOOKUP(J$2-$C10, 'GEN-CCGT'!$D$7:$AW$7, 'GEN-CCGT'!$D$115:$AW$115), 0), IF($B10='Project List References'!$B$4, _xlfn.IFNA(_xlfn.XLOOKUP(J$2-$C10, 'GEN-SOLAR'!$D$7:$AW$7, 'GEN-SOLAR'!$D$115:$AW$115), 0), IF($B10='Project List References'!$B$5, _xlfn.IFNA(_xlfn.XLOOKUP(J$2-$C10, 'GEN-BESS'!$D$7:$AW$7, 'GEN-BESS'!$D$117:$AW$117), 0), IF($B10='Project List References'!$B$6, _xlfn.IFNA(_xlfn.XLOOKUP(J$2-$C10,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K10" s="744" t="e">
        <f>IF($B10='Project List References'!$B$3, _xlfn.IFNA(_xlfn.XLOOKUP(K$2-$C10, 'GEN-CCGT'!$D$7:$AW$7, 'GEN-CCGT'!$D$115:$AW$115), 0), IF($B10='Project List References'!$B$4, _xlfn.IFNA(_xlfn.XLOOKUP(K$2-$C10, 'GEN-SOLAR'!$D$7:$AW$7, 'GEN-SOLAR'!$D$115:$AW$115), 0), IF($B10='Project List References'!$B$5, _xlfn.IFNA(_xlfn.XLOOKUP(K$2-$C10, 'GEN-BESS'!$D$7:$AW$7, 'GEN-BESS'!$D$117:$AW$117), 0), IF($B10='Project List References'!$B$6, _xlfn.IFNA(_xlfn.XLOOKUP(K$2-$C10,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L10" s="744" t="e">
        <f>IF($B10='Project List References'!$B$3, _xlfn.IFNA(_xlfn.XLOOKUP(L$2-$C10, 'GEN-CCGT'!$D$7:$AW$7, 'GEN-CCGT'!$D$115:$AW$115), 0), IF($B10='Project List References'!$B$4, _xlfn.IFNA(_xlfn.XLOOKUP(L$2-$C10, 'GEN-SOLAR'!$D$7:$AW$7, 'GEN-SOLAR'!$D$115:$AW$115), 0), IF($B10='Project List References'!$B$5, _xlfn.IFNA(_xlfn.XLOOKUP(L$2-$C10, 'GEN-BESS'!$D$7:$AW$7, 'GEN-BESS'!$D$117:$AW$117), 0), IF($B10='Project List References'!$B$6, _xlfn.IFNA(_xlfn.XLOOKUP(L$2-$C10,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M10" s="744" t="e">
        <f>IF($B10='Project List References'!$B$3, _xlfn.IFNA(_xlfn.XLOOKUP(M$2-$C10, 'GEN-CCGT'!$D$7:$AW$7, 'GEN-CCGT'!$D$115:$AW$115), 0), IF($B10='Project List References'!$B$4, _xlfn.IFNA(_xlfn.XLOOKUP(M$2-$C10, 'GEN-SOLAR'!$D$7:$AW$7, 'GEN-SOLAR'!$D$115:$AW$115), 0), IF($B10='Project List References'!$B$5, _xlfn.IFNA(_xlfn.XLOOKUP(M$2-$C10, 'GEN-BESS'!$D$7:$AW$7, 'GEN-BESS'!$D$117:$AW$117), 0), IF($B10='Project List References'!$B$6, _xlfn.IFNA(_xlfn.XLOOKUP(M$2-$C10,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N10" s="744" t="e">
        <f>IF($B10='Project List References'!$B$3, _xlfn.IFNA(_xlfn.XLOOKUP(N$2-$C10, 'GEN-CCGT'!$D$7:$AW$7, 'GEN-CCGT'!$D$115:$AW$115), 0), IF($B10='Project List References'!$B$4, _xlfn.IFNA(_xlfn.XLOOKUP(N$2-$C10, 'GEN-SOLAR'!$D$7:$AW$7, 'GEN-SOLAR'!$D$115:$AW$115), 0), IF($B10='Project List References'!$B$5, _xlfn.IFNA(_xlfn.XLOOKUP(N$2-$C10, 'GEN-BESS'!$D$7:$AW$7, 'GEN-BESS'!$D$117:$AW$117), 0), IF($B10='Project List References'!$B$6, _xlfn.IFNA(_xlfn.XLOOKUP(N$2-$C10,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O10" s="744" t="e">
        <f>IF($B10='Project List References'!$B$3, _xlfn.IFNA(_xlfn.XLOOKUP(O$2-$C10, 'GEN-CCGT'!$D$7:$AW$7, 'GEN-CCGT'!$D$115:$AW$115), 0), IF($B10='Project List References'!$B$4, _xlfn.IFNA(_xlfn.XLOOKUP(O$2-$C10, 'GEN-SOLAR'!$D$7:$AW$7, 'GEN-SOLAR'!$D$115:$AW$115), 0), IF($B10='Project List References'!$B$5, _xlfn.IFNA(_xlfn.XLOOKUP(O$2-$C10, 'GEN-BESS'!$D$7:$AW$7, 'GEN-BESS'!$D$117:$AW$117), 0), IF($B10='Project List References'!$B$6, _xlfn.IFNA(_xlfn.XLOOKUP(O$2-$C10,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P10" s="744" t="e">
        <f>IF($B10='Project List References'!$B$3, _xlfn.IFNA(_xlfn.XLOOKUP(P$2-$C10, 'GEN-CCGT'!$D$7:$AW$7, 'GEN-CCGT'!$D$115:$AW$115), 0), IF($B10='Project List References'!$B$4, _xlfn.IFNA(_xlfn.XLOOKUP(P$2-$C10, 'GEN-SOLAR'!$D$7:$AW$7, 'GEN-SOLAR'!$D$115:$AW$115), 0), IF($B10='Project List References'!$B$5, _xlfn.IFNA(_xlfn.XLOOKUP(P$2-$C10, 'GEN-BESS'!$D$7:$AW$7, 'GEN-BESS'!$D$117:$AW$117), 0), IF($B10='Project List References'!$B$6, _xlfn.IFNA(_xlfn.XLOOKUP(P$2-$C10,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Q10" s="744" t="e">
        <f>IF($B10='Project List References'!$B$3, _xlfn.IFNA(_xlfn.XLOOKUP(Q$2-$C10, 'GEN-CCGT'!$D$7:$AW$7, 'GEN-CCGT'!$D$115:$AW$115), 0), IF($B10='Project List References'!$B$4, _xlfn.IFNA(_xlfn.XLOOKUP(Q$2-$C10, 'GEN-SOLAR'!$D$7:$AW$7, 'GEN-SOLAR'!$D$115:$AW$115), 0), IF($B10='Project List References'!$B$5, _xlfn.IFNA(_xlfn.XLOOKUP(Q$2-$C10, 'GEN-BESS'!$D$7:$AW$7, 'GEN-BESS'!$D$117:$AW$117), 0), IF($B10='Project List References'!$B$6, _xlfn.IFNA(_xlfn.XLOOKUP(Q$2-$C10,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R10" s="744" t="e">
        <f>IF($B10='Project List References'!$B$3, _xlfn.IFNA(_xlfn.XLOOKUP(R$2-$C10, 'GEN-CCGT'!$D$7:$AW$7, 'GEN-CCGT'!$D$115:$AW$115), 0), IF($B10='Project List References'!$B$4, _xlfn.IFNA(_xlfn.XLOOKUP(R$2-$C10, 'GEN-SOLAR'!$D$7:$AW$7, 'GEN-SOLAR'!$D$115:$AW$115), 0), IF($B10='Project List References'!$B$5, _xlfn.IFNA(_xlfn.XLOOKUP(R$2-$C10, 'GEN-BESS'!$D$7:$AW$7, 'GEN-BESS'!$D$117:$AW$117), 0), IF($B10='Project List References'!$B$6, _xlfn.IFNA(_xlfn.XLOOKUP(R$2-$C10,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S10" s="744" t="e">
        <f>IF($B10='Project List References'!$B$3, _xlfn.IFNA(_xlfn.XLOOKUP(S$2-$C10, 'GEN-CCGT'!$D$7:$AW$7, 'GEN-CCGT'!$D$115:$AW$115), 0), IF($B10='Project List References'!$B$4, _xlfn.IFNA(_xlfn.XLOOKUP(S$2-$C10, 'GEN-SOLAR'!$D$7:$AW$7, 'GEN-SOLAR'!$D$115:$AW$115), 0), IF($B10='Project List References'!$B$5, _xlfn.IFNA(_xlfn.XLOOKUP(S$2-$C10, 'GEN-BESS'!$D$7:$AW$7, 'GEN-BESS'!$D$117:$AW$117), 0), IF($B10='Project List References'!$B$6, _xlfn.IFNA(_xlfn.XLOOKUP(S$2-$C10,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T10" s="744" t="e">
        <f>IF($B10='Project List References'!$B$3, _xlfn.IFNA(_xlfn.XLOOKUP(T$2-$C10, 'GEN-CCGT'!$D$7:$AW$7, 'GEN-CCGT'!$D$115:$AW$115), 0), IF($B10='Project List References'!$B$4, _xlfn.IFNA(_xlfn.XLOOKUP(T$2-$C10, 'GEN-SOLAR'!$D$7:$AW$7, 'GEN-SOLAR'!$D$115:$AW$115), 0), IF($B10='Project List References'!$B$5, _xlfn.IFNA(_xlfn.XLOOKUP(T$2-$C10, 'GEN-BESS'!$D$7:$AW$7, 'GEN-BESS'!$D$117:$AW$117), 0), IF($B10='Project List References'!$B$6, _xlfn.IFNA(_xlfn.XLOOKUP(T$2-$C10, 'GEN-CARBON'!$D$7:$AW$7, 'GEN-CARBON'!$D$115:$AW$115), 0), 0))))/_xlfn.XLOOKUP($B10,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</row>
    <row r="11" spans="1:112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_xlfn.XLOOKUP('Project OPEX'!A11, 'Project Master Sheet'!A:A, 'Project Master Sheet'!I:I)</f>
        <v>#N/A</v>
      </c>
      <c r="E11" s="744" t="e">
        <f>IF($B11='Project List References'!$B$3, _xlfn.IFNA(_xlfn.XLOOKUP(E$2-$C11, 'GEN-CCGT'!$D$7:$AW$7, 'GEN-CCGT'!$D$115:$AW$115), 0), IF($B11='Project List References'!$B$4, _xlfn.IFNA(_xlfn.XLOOKUP(E$2-$C11, 'GEN-SOLAR'!$D$7:$AW$7, 'GEN-SOLAR'!$D$115:$AW$115), 0), IF($B11='Project List References'!$B$5, _xlfn.IFNA(_xlfn.XLOOKUP(E$2-$C11, 'GEN-BESS'!$D$7:$AW$7, 'GEN-BESS'!$D$117:$AW$117), 0), IF($B11='Project List References'!$B$6, _xlfn.IFNA(_xlfn.XLOOKUP(E$2-$C11,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F11" s="744" t="e">
        <f>IF($B11='Project List References'!$B$3, _xlfn.IFNA(_xlfn.XLOOKUP(F$2-$C11, 'GEN-CCGT'!$D$7:$AW$7, 'GEN-CCGT'!$D$115:$AW$115), 0), IF($B11='Project List References'!$B$4, _xlfn.IFNA(_xlfn.XLOOKUP(F$2-$C11, 'GEN-SOLAR'!$D$7:$AW$7, 'GEN-SOLAR'!$D$115:$AW$115), 0), IF($B11='Project List References'!$B$5, _xlfn.IFNA(_xlfn.XLOOKUP(F$2-$C11, 'GEN-BESS'!$D$7:$AW$7, 'GEN-BESS'!$D$117:$AW$117), 0), IF($B11='Project List References'!$B$6, _xlfn.IFNA(_xlfn.XLOOKUP(F$2-$C11,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G11" s="744" t="e">
        <f>IF($B11='Project List References'!$B$3, _xlfn.IFNA(_xlfn.XLOOKUP(G$2-$C11, 'GEN-CCGT'!$D$7:$AW$7, 'GEN-CCGT'!$D$115:$AW$115), 0), IF($B11='Project List References'!$B$4, _xlfn.IFNA(_xlfn.XLOOKUP(G$2-$C11, 'GEN-SOLAR'!$D$7:$AW$7, 'GEN-SOLAR'!$D$115:$AW$115), 0), IF($B11='Project List References'!$B$5, _xlfn.IFNA(_xlfn.XLOOKUP(G$2-$C11, 'GEN-BESS'!$D$7:$AW$7, 'GEN-BESS'!$D$117:$AW$117), 0), IF($B11='Project List References'!$B$6, _xlfn.IFNA(_xlfn.XLOOKUP(G$2-$C11,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H11" s="744" t="e">
        <f>IF($B11='Project List References'!$B$3, _xlfn.IFNA(_xlfn.XLOOKUP(H$2-$C11, 'GEN-CCGT'!$D$7:$AW$7, 'GEN-CCGT'!$D$115:$AW$115), 0), IF($B11='Project List References'!$B$4, _xlfn.IFNA(_xlfn.XLOOKUP(H$2-$C11, 'GEN-SOLAR'!$D$7:$AW$7, 'GEN-SOLAR'!$D$115:$AW$115), 0), IF($B11='Project List References'!$B$5, _xlfn.IFNA(_xlfn.XLOOKUP(H$2-$C11, 'GEN-BESS'!$D$7:$AW$7, 'GEN-BESS'!$D$117:$AW$117), 0), IF($B11='Project List References'!$B$6, _xlfn.IFNA(_xlfn.XLOOKUP(H$2-$C11,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I11" s="744" t="e">
        <f>IF($B11='Project List References'!$B$3, _xlfn.IFNA(_xlfn.XLOOKUP(I$2-$C11, 'GEN-CCGT'!$D$7:$AW$7, 'GEN-CCGT'!$D$115:$AW$115), 0), IF($B11='Project List References'!$B$4, _xlfn.IFNA(_xlfn.XLOOKUP(I$2-$C11, 'GEN-SOLAR'!$D$7:$AW$7, 'GEN-SOLAR'!$D$115:$AW$115), 0), IF($B11='Project List References'!$B$5, _xlfn.IFNA(_xlfn.XLOOKUP(I$2-$C11, 'GEN-BESS'!$D$7:$AW$7, 'GEN-BESS'!$D$117:$AW$117), 0), IF($B11='Project List References'!$B$6, _xlfn.IFNA(_xlfn.XLOOKUP(I$2-$C11,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J11" s="744" t="e">
        <f>IF($B11='Project List References'!$B$3, _xlfn.IFNA(_xlfn.XLOOKUP(J$2-$C11, 'GEN-CCGT'!$D$7:$AW$7, 'GEN-CCGT'!$D$115:$AW$115), 0), IF($B11='Project List References'!$B$4, _xlfn.IFNA(_xlfn.XLOOKUP(J$2-$C11, 'GEN-SOLAR'!$D$7:$AW$7, 'GEN-SOLAR'!$D$115:$AW$115), 0), IF($B11='Project List References'!$B$5, _xlfn.IFNA(_xlfn.XLOOKUP(J$2-$C11, 'GEN-BESS'!$D$7:$AW$7, 'GEN-BESS'!$D$117:$AW$117), 0), IF($B11='Project List References'!$B$6, _xlfn.IFNA(_xlfn.XLOOKUP(J$2-$C11,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K11" s="744" t="e">
        <f>IF($B11='Project List References'!$B$3, _xlfn.IFNA(_xlfn.XLOOKUP(K$2-$C11, 'GEN-CCGT'!$D$7:$AW$7, 'GEN-CCGT'!$D$115:$AW$115), 0), IF($B11='Project List References'!$B$4, _xlfn.IFNA(_xlfn.XLOOKUP(K$2-$C11, 'GEN-SOLAR'!$D$7:$AW$7, 'GEN-SOLAR'!$D$115:$AW$115), 0), IF($B11='Project List References'!$B$5, _xlfn.IFNA(_xlfn.XLOOKUP(K$2-$C11, 'GEN-BESS'!$D$7:$AW$7, 'GEN-BESS'!$D$117:$AW$117), 0), IF($B11='Project List References'!$B$6, _xlfn.IFNA(_xlfn.XLOOKUP(K$2-$C11,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L11" s="744" t="e">
        <f>IF($B11='Project List References'!$B$3, _xlfn.IFNA(_xlfn.XLOOKUP(L$2-$C11, 'GEN-CCGT'!$D$7:$AW$7, 'GEN-CCGT'!$D$115:$AW$115), 0), IF($B11='Project List References'!$B$4, _xlfn.IFNA(_xlfn.XLOOKUP(L$2-$C11, 'GEN-SOLAR'!$D$7:$AW$7, 'GEN-SOLAR'!$D$115:$AW$115), 0), IF($B11='Project List References'!$B$5, _xlfn.IFNA(_xlfn.XLOOKUP(L$2-$C11, 'GEN-BESS'!$D$7:$AW$7, 'GEN-BESS'!$D$117:$AW$117), 0), IF($B11='Project List References'!$B$6, _xlfn.IFNA(_xlfn.XLOOKUP(L$2-$C11,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M11" s="744" t="e">
        <f>IF($B11='Project List References'!$B$3, _xlfn.IFNA(_xlfn.XLOOKUP(M$2-$C11, 'GEN-CCGT'!$D$7:$AW$7, 'GEN-CCGT'!$D$115:$AW$115), 0), IF($B11='Project List References'!$B$4, _xlfn.IFNA(_xlfn.XLOOKUP(M$2-$C11, 'GEN-SOLAR'!$D$7:$AW$7, 'GEN-SOLAR'!$D$115:$AW$115), 0), IF($B11='Project List References'!$B$5, _xlfn.IFNA(_xlfn.XLOOKUP(M$2-$C11, 'GEN-BESS'!$D$7:$AW$7, 'GEN-BESS'!$D$117:$AW$117), 0), IF($B11='Project List References'!$B$6, _xlfn.IFNA(_xlfn.XLOOKUP(M$2-$C11,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N11" s="744" t="e">
        <f>IF($B11='Project List References'!$B$3, _xlfn.IFNA(_xlfn.XLOOKUP(N$2-$C11, 'GEN-CCGT'!$D$7:$AW$7, 'GEN-CCGT'!$D$115:$AW$115), 0), IF($B11='Project List References'!$B$4, _xlfn.IFNA(_xlfn.XLOOKUP(N$2-$C11, 'GEN-SOLAR'!$D$7:$AW$7, 'GEN-SOLAR'!$D$115:$AW$115), 0), IF($B11='Project List References'!$B$5, _xlfn.IFNA(_xlfn.XLOOKUP(N$2-$C11, 'GEN-BESS'!$D$7:$AW$7, 'GEN-BESS'!$D$117:$AW$117), 0), IF($B11='Project List References'!$B$6, _xlfn.IFNA(_xlfn.XLOOKUP(N$2-$C11,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O11" s="744" t="e">
        <f>IF($B11='Project List References'!$B$3, _xlfn.IFNA(_xlfn.XLOOKUP(O$2-$C11, 'GEN-CCGT'!$D$7:$AW$7, 'GEN-CCGT'!$D$115:$AW$115), 0), IF($B11='Project List References'!$B$4, _xlfn.IFNA(_xlfn.XLOOKUP(O$2-$C11, 'GEN-SOLAR'!$D$7:$AW$7, 'GEN-SOLAR'!$D$115:$AW$115), 0), IF($B11='Project List References'!$B$5, _xlfn.IFNA(_xlfn.XLOOKUP(O$2-$C11, 'GEN-BESS'!$D$7:$AW$7, 'GEN-BESS'!$D$117:$AW$117), 0), IF($B11='Project List References'!$B$6, _xlfn.IFNA(_xlfn.XLOOKUP(O$2-$C11,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P11" s="744" t="e">
        <f>IF($B11='Project List References'!$B$3, _xlfn.IFNA(_xlfn.XLOOKUP(P$2-$C11, 'GEN-CCGT'!$D$7:$AW$7, 'GEN-CCGT'!$D$115:$AW$115), 0), IF($B11='Project List References'!$B$4, _xlfn.IFNA(_xlfn.XLOOKUP(P$2-$C11, 'GEN-SOLAR'!$D$7:$AW$7, 'GEN-SOLAR'!$D$115:$AW$115), 0), IF($B11='Project List References'!$B$5, _xlfn.IFNA(_xlfn.XLOOKUP(P$2-$C11, 'GEN-BESS'!$D$7:$AW$7, 'GEN-BESS'!$D$117:$AW$117), 0), IF($B11='Project List References'!$B$6, _xlfn.IFNA(_xlfn.XLOOKUP(P$2-$C11,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Q11" s="744" t="e">
        <f>IF($B11='Project List References'!$B$3, _xlfn.IFNA(_xlfn.XLOOKUP(Q$2-$C11, 'GEN-CCGT'!$D$7:$AW$7, 'GEN-CCGT'!$D$115:$AW$115), 0), IF($B11='Project List References'!$B$4, _xlfn.IFNA(_xlfn.XLOOKUP(Q$2-$C11, 'GEN-SOLAR'!$D$7:$AW$7, 'GEN-SOLAR'!$D$115:$AW$115), 0), IF($B11='Project List References'!$B$5, _xlfn.IFNA(_xlfn.XLOOKUP(Q$2-$C11, 'GEN-BESS'!$D$7:$AW$7, 'GEN-BESS'!$D$117:$AW$117), 0), IF($B11='Project List References'!$B$6, _xlfn.IFNA(_xlfn.XLOOKUP(Q$2-$C11,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R11" s="744" t="e">
        <f>IF($B11='Project List References'!$B$3, _xlfn.IFNA(_xlfn.XLOOKUP(R$2-$C11, 'GEN-CCGT'!$D$7:$AW$7, 'GEN-CCGT'!$D$115:$AW$115), 0), IF($B11='Project List References'!$B$4, _xlfn.IFNA(_xlfn.XLOOKUP(R$2-$C11, 'GEN-SOLAR'!$D$7:$AW$7, 'GEN-SOLAR'!$D$115:$AW$115), 0), IF($B11='Project List References'!$B$5, _xlfn.IFNA(_xlfn.XLOOKUP(R$2-$C11, 'GEN-BESS'!$D$7:$AW$7, 'GEN-BESS'!$D$117:$AW$117), 0), IF($B11='Project List References'!$B$6, _xlfn.IFNA(_xlfn.XLOOKUP(R$2-$C11,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S11" s="744" t="e">
        <f>IF($B11='Project List References'!$B$3, _xlfn.IFNA(_xlfn.XLOOKUP(S$2-$C11, 'GEN-CCGT'!$D$7:$AW$7, 'GEN-CCGT'!$D$115:$AW$115), 0), IF($B11='Project List References'!$B$4, _xlfn.IFNA(_xlfn.XLOOKUP(S$2-$C11, 'GEN-SOLAR'!$D$7:$AW$7, 'GEN-SOLAR'!$D$115:$AW$115), 0), IF($B11='Project List References'!$B$5, _xlfn.IFNA(_xlfn.XLOOKUP(S$2-$C11, 'GEN-BESS'!$D$7:$AW$7, 'GEN-BESS'!$D$117:$AW$117), 0), IF($B11='Project List References'!$B$6, _xlfn.IFNA(_xlfn.XLOOKUP(S$2-$C11,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T11" s="744" t="e">
        <f>IF($B11='Project List References'!$B$3, _xlfn.IFNA(_xlfn.XLOOKUP(T$2-$C11, 'GEN-CCGT'!$D$7:$AW$7, 'GEN-CCGT'!$D$115:$AW$115), 0), IF($B11='Project List References'!$B$4, _xlfn.IFNA(_xlfn.XLOOKUP(T$2-$C11, 'GEN-SOLAR'!$D$7:$AW$7, 'GEN-SOLAR'!$D$115:$AW$115), 0), IF($B11='Project List References'!$B$5, _xlfn.IFNA(_xlfn.XLOOKUP(T$2-$C11, 'GEN-BESS'!$D$7:$AW$7, 'GEN-BESS'!$D$117:$AW$117), 0), IF($B11='Project List References'!$B$6, _xlfn.IFNA(_xlfn.XLOOKUP(T$2-$C11, 'GEN-CARBON'!$D$7:$AW$7, 'GEN-CARBON'!$D$115:$AW$115), 0), 0))))/_xlfn.XLOOKUP($B11,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</row>
    <row r="12" spans="1:112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_xlfn.XLOOKUP('Project OPEX'!A12, 'Project Master Sheet'!A:A, 'Project Master Sheet'!I:I)</f>
        <v>#N/A</v>
      </c>
      <c r="E12" s="744" t="e">
        <f>IF($B12='Project List References'!$B$3, _xlfn.IFNA(_xlfn.XLOOKUP(E$2-$C12, 'GEN-CCGT'!$D$7:$AW$7, 'GEN-CCGT'!$D$115:$AW$115), 0), IF($B12='Project List References'!$B$4, _xlfn.IFNA(_xlfn.XLOOKUP(E$2-$C12, 'GEN-SOLAR'!$D$7:$AW$7, 'GEN-SOLAR'!$D$115:$AW$115), 0), IF($B12='Project List References'!$B$5, _xlfn.IFNA(_xlfn.XLOOKUP(E$2-$C12, 'GEN-BESS'!$D$7:$AW$7, 'GEN-BESS'!$D$117:$AW$117), 0), IF($B12='Project List References'!$B$6, _xlfn.IFNA(_xlfn.XLOOKUP(E$2-$C12,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F12" s="744" t="e">
        <f>IF($B12='Project List References'!$B$3, _xlfn.IFNA(_xlfn.XLOOKUP(F$2-$C12, 'GEN-CCGT'!$D$7:$AW$7, 'GEN-CCGT'!$D$115:$AW$115), 0), IF($B12='Project List References'!$B$4, _xlfn.IFNA(_xlfn.XLOOKUP(F$2-$C12, 'GEN-SOLAR'!$D$7:$AW$7, 'GEN-SOLAR'!$D$115:$AW$115), 0), IF($B12='Project List References'!$B$5, _xlfn.IFNA(_xlfn.XLOOKUP(F$2-$C12, 'GEN-BESS'!$D$7:$AW$7, 'GEN-BESS'!$D$117:$AW$117), 0), IF($B12='Project List References'!$B$6, _xlfn.IFNA(_xlfn.XLOOKUP(F$2-$C12,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G12" s="744" t="e">
        <f>IF($B12='Project List References'!$B$3, _xlfn.IFNA(_xlfn.XLOOKUP(G$2-$C12, 'GEN-CCGT'!$D$7:$AW$7, 'GEN-CCGT'!$D$115:$AW$115), 0), IF($B12='Project List References'!$B$4, _xlfn.IFNA(_xlfn.XLOOKUP(G$2-$C12, 'GEN-SOLAR'!$D$7:$AW$7, 'GEN-SOLAR'!$D$115:$AW$115), 0), IF($B12='Project List References'!$B$5, _xlfn.IFNA(_xlfn.XLOOKUP(G$2-$C12, 'GEN-BESS'!$D$7:$AW$7, 'GEN-BESS'!$D$117:$AW$117), 0), IF($B12='Project List References'!$B$6, _xlfn.IFNA(_xlfn.XLOOKUP(G$2-$C12,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H12" s="744" t="e">
        <f>IF($B12='Project List References'!$B$3, _xlfn.IFNA(_xlfn.XLOOKUP(H$2-$C12, 'GEN-CCGT'!$D$7:$AW$7, 'GEN-CCGT'!$D$115:$AW$115), 0), IF($B12='Project List References'!$B$4, _xlfn.IFNA(_xlfn.XLOOKUP(H$2-$C12, 'GEN-SOLAR'!$D$7:$AW$7, 'GEN-SOLAR'!$D$115:$AW$115), 0), IF($B12='Project List References'!$B$5, _xlfn.IFNA(_xlfn.XLOOKUP(H$2-$C12, 'GEN-BESS'!$D$7:$AW$7, 'GEN-BESS'!$D$117:$AW$117), 0), IF($B12='Project List References'!$B$6, _xlfn.IFNA(_xlfn.XLOOKUP(H$2-$C12,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I12" s="744" t="e">
        <f>IF($B12='Project List References'!$B$3, _xlfn.IFNA(_xlfn.XLOOKUP(I$2-$C12, 'GEN-CCGT'!$D$7:$AW$7, 'GEN-CCGT'!$D$115:$AW$115), 0), IF($B12='Project List References'!$B$4, _xlfn.IFNA(_xlfn.XLOOKUP(I$2-$C12, 'GEN-SOLAR'!$D$7:$AW$7, 'GEN-SOLAR'!$D$115:$AW$115), 0), IF($B12='Project List References'!$B$5, _xlfn.IFNA(_xlfn.XLOOKUP(I$2-$C12, 'GEN-BESS'!$D$7:$AW$7, 'GEN-BESS'!$D$117:$AW$117), 0), IF($B12='Project List References'!$B$6, _xlfn.IFNA(_xlfn.XLOOKUP(I$2-$C12,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J12" s="744" t="e">
        <f>IF($B12='Project List References'!$B$3, _xlfn.IFNA(_xlfn.XLOOKUP(J$2-$C12, 'GEN-CCGT'!$D$7:$AW$7, 'GEN-CCGT'!$D$115:$AW$115), 0), IF($B12='Project List References'!$B$4, _xlfn.IFNA(_xlfn.XLOOKUP(J$2-$C12, 'GEN-SOLAR'!$D$7:$AW$7, 'GEN-SOLAR'!$D$115:$AW$115), 0), IF($B12='Project List References'!$B$5, _xlfn.IFNA(_xlfn.XLOOKUP(J$2-$C12, 'GEN-BESS'!$D$7:$AW$7, 'GEN-BESS'!$D$117:$AW$117), 0), IF($B12='Project List References'!$B$6, _xlfn.IFNA(_xlfn.XLOOKUP(J$2-$C12,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K12" s="744" t="e">
        <f>IF($B12='Project List References'!$B$3, _xlfn.IFNA(_xlfn.XLOOKUP(K$2-$C12, 'GEN-CCGT'!$D$7:$AW$7, 'GEN-CCGT'!$D$115:$AW$115), 0), IF($B12='Project List References'!$B$4, _xlfn.IFNA(_xlfn.XLOOKUP(K$2-$C12, 'GEN-SOLAR'!$D$7:$AW$7, 'GEN-SOLAR'!$D$115:$AW$115), 0), IF($B12='Project List References'!$B$5, _xlfn.IFNA(_xlfn.XLOOKUP(K$2-$C12, 'GEN-BESS'!$D$7:$AW$7, 'GEN-BESS'!$D$117:$AW$117), 0), IF($B12='Project List References'!$B$6, _xlfn.IFNA(_xlfn.XLOOKUP(K$2-$C12,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L12" s="744" t="e">
        <f>IF($B12='Project List References'!$B$3, _xlfn.IFNA(_xlfn.XLOOKUP(L$2-$C12, 'GEN-CCGT'!$D$7:$AW$7, 'GEN-CCGT'!$D$115:$AW$115), 0), IF($B12='Project List References'!$B$4, _xlfn.IFNA(_xlfn.XLOOKUP(L$2-$C12, 'GEN-SOLAR'!$D$7:$AW$7, 'GEN-SOLAR'!$D$115:$AW$115), 0), IF($B12='Project List References'!$B$5, _xlfn.IFNA(_xlfn.XLOOKUP(L$2-$C12, 'GEN-BESS'!$D$7:$AW$7, 'GEN-BESS'!$D$117:$AW$117), 0), IF($B12='Project List References'!$B$6, _xlfn.IFNA(_xlfn.XLOOKUP(L$2-$C12,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M12" s="744" t="e">
        <f>IF($B12='Project List References'!$B$3, _xlfn.IFNA(_xlfn.XLOOKUP(M$2-$C12, 'GEN-CCGT'!$D$7:$AW$7, 'GEN-CCGT'!$D$115:$AW$115), 0), IF($B12='Project List References'!$B$4, _xlfn.IFNA(_xlfn.XLOOKUP(M$2-$C12, 'GEN-SOLAR'!$D$7:$AW$7, 'GEN-SOLAR'!$D$115:$AW$115), 0), IF($B12='Project List References'!$B$5, _xlfn.IFNA(_xlfn.XLOOKUP(M$2-$C12, 'GEN-BESS'!$D$7:$AW$7, 'GEN-BESS'!$D$117:$AW$117), 0), IF($B12='Project List References'!$B$6, _xlfn.IFNA(_xlfn.XLOOKUP(M$2-$C12,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N12" s="744" t="e">
        <f>IF($B12='Project List References'!$B$3, _xlfn.IFNA(_xlfn.XLOOKUP(N$2-$C12, 'GEN-CCGT'!$D$7:$AW$7, 'GEN-CCGT'!$D$115:$AW$115), 0), IF($B12='Project List References'!$B$4, _xlfn.IFNA(_xlfn.XLOOKUP(N$2-$C12, 'GEN-SOLAR'!$D$7:$AW$7, 'GEN-SOLAR'!$D$115:$AW$115), 0), IF($B12='Project List References'!$B$5, _xlfn.IFNA(_xlfn.XLOOKUP(N$2-$C12, 'GEN-BESS'!$D$7:$AW$7, 'GEN-BESS'!$D$117:$AW$117), 0), IF($B12='Project List References'!$B$6, _xlfn.IFNA(_xlfn.XLOOKUP(N$2-$C12,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O12" s="744" t="e">
        <f>IF($B12='Project List References'!$B$3, _xlfn.IFNA(_xlfn.XLOOKUP(O$2-$C12, 'GEN-CCGT'!$D$7:$AW$7, 'GEN-CCGT'!$D$115:$AW$115), 0), IF($B12='Project List References'!$B$4, _xlfn.IFNA(_xlfn.XLOOKUP(O$2-$C12, 'GEN-SOLAR'!$D$7:$AW$7, 'GEN-SOLAR'!$D$115:$AW$115), 0), IF($B12='Project List References'!$B$5, _xlfn.IFNA(_xlfn.XLOOKUP(O$2-$C12, 'GEN-BESS'!$D$7:$AW$7, 'GEN-BESS'!$D$117:$AW$117), 0), IF($B12='Project List References'!$B$6, _xlfn.IFNA(_xlfn.XLOOKUP(O$2-$C12,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P12" s="744" t="e">
        <f>IF($B12='Project List References'!$B$3, _xlfn.IFNA(_xlfn.XLOOKUP(P$2-$C12, 'GEN-CCGT'!$D$7:$AW$7, 'GEN-CCGT'!$D$115:$AW$115), 0), IF($B12='Project List References'!$B$4, _xlfn.IFNA(_xlfn.XLOOKUP(P$2-$C12, 'GEN-SOLAR'!$D$7:$AW$7, 'GEN-SOLAR'!$D$115:$AW$115), 0), IF($B12='Project List References'!$B$5, _xlfn.IFNA(_xlfn.XLOOKUP(P$2-$C12, 'GEN-BESS'!$D$7:$AW$7, 'GEN-BESS'!$D$117:$AW$117), 0), IF($B12='Project List References'!$B$6, _xlfn.IFNA(_xlfn.XLOOKUP(P$2-$C12,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Q12" s="744" t="e">
        <f>IF($B12='Project List References'!$B$3, _xlfn.IFNA(_xlfn.XLOOKUP(Q$2-$C12, 'GEN-CCGT'!$D$7:$AW$7, 'GEN-CCGT'!$D$115:$AW$115), 0), IF($B12='Project List References'!$B$4, _xlfn.IFNA(_xlfn.XLOOKUP(Q$2-$C12, 'GEN-SOLAR'!$D$7:$AW$7, 'GEN-SOLAR'!$D$115:$AW$115), 0), IF($B12='Project List References'!$B$5, _xlfn.IFNA(_xlfn.XLOOKUP(Q$2-$C12, 'GEN-BESS'!$D$7:$AW$7, 'GEN-BESS'!$D$117:$AW$117), 0), IF($B12='Project List References'!$B$6, _xlfn.IFNA(_xlfn.XLOOKUP(Q$2-$C12,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R12" s="744" t="e">
        <f>IF($B12='Project List References'!$B$3, _xlfn.IFNA(_xlfn.XLOOKUP(R$2-$C12, 'GEN-CCGT'!$D$7:$AW$7, 'GEN-CCGT'!$D$115:$AW$115), 0), IF($B12='Project List References'!$B$4, _xlfn.IFNA(_xlfn.XLOOKUP(R$2-$C12, 'GEN-SOLAR'!$D$7:$AW$7, 'GEN-SOLAR'!$D$115:$AW$115), 0), IF($B12='Project List References'!$B$5, _xlfn.IFNA(_xlfn.XLOOKUP(R$2-$C12, 'GEN-BESS'!$D$7:$AW$7, 'GEN-BESS'!$D$117:$AW$117), 0), IF($B12='Project List References'!$B$6, _xlfn.IFNA(_xlfn.XLOOKUP(R$2-$C12,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S12" s="744" t="e">
        <f>IF($B12='Project List References'!$B$3, _xlfn.IFNA(_xlfn.XLOOKUP(S$2-$C12, 'GEN-CCGT'!$D$7:$AW$7, 'GEN-CCGT'!$D$115:$AW$115), 0), IF($B12='Project List References'!$B$4, _xlfn.IFNA(_xlfn.XLOOKUP(S$2-$C12, 'GEN-SOLAR'!$D$7:$AW$7, 'GEN-SOLAR'!$D$115:$AW$115), 0), IF($B12='Project List References'!$B$5, _xlfn.IFNA(_xlfn.XLOOKUP(S$2-$C12, 'GEN-BESS'!$D$7:$AW$7, 'GEN-BESS'!$D$117:$AW$117), 0), IF($B12='Project List References'!$B$6, _xlfn.IFNA(_xlfn.XLOOKUP(S$2-$C12,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T12" s="744" t="e">
        <f>IF($B12='Project List References'!$B$3, _xlfn.IFNA(_xlfn.XLOOKUP(T$2-$C12, 'GEN-CCGT'!$D$7:$AW$7, 'GEN-CCGT'!$D$115:$AW$115), 0), IF($B12='Project List References'!$B$4, _xlfn.IFNA(_xlfn.XLOOKUP(T$2-$C12, 'GEN-SOLAR'!$D$7:$AW$7, 'GEN-SOLAR'!$D$115:$AW$115), 0), IF($B12='Project List References'!$B$5, _xlfn.IFNA(_xlfn.XLOOKUP(T$2-$C12, 'GEN-BESS'!$D$7:$AW$7, 'GEN-BESS'!$D$117:$AW$117), 0), IF($B12='Project List References'!$B$6, _xlfn.IFNA(_xlfn.XLOOKUP(T$2-$C12, 'GEN-CARBON'!$D$7:$AW$7, 'GEN-CARBON'!$D$115:$AW$115), 0), 0))))/_xlfn.XLOOKUP($B12,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</row>
    <row r="13" spans="1:112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_xlfn.XLOOKUP('Project OPEX'!A13, 'Project Master Sheet'!A:A, 'Project Master Sheet'!I:I)</f>
        <v>#N/A</v>
      </c>
      <c r="E13" s="744" t="e">
        <f>IF($B13='Project List References'!$B$3, _xlfn.IFNA(_xlfn.XLOOKUP(E$2-$C13, 'GEN-CCGT'!$D$7:$AW$7, 'GEN-CCGT'!$D$115:$AW$115), 0), IF($B13='Project List References'!$B$4, _xlfn.IFNA(_xlfn.XLOOKUP(E$2-$C13, 'GEN-SOLAR'!$D$7:$AW$7, 'GEN-SOLAR'!$D$115:$AW$115), 0), IF($B13='Project List References'!$B$5, _xlfn.IFNA(_xlfn.XLOOKUP(E$2-$C13, 'GEN-BESS'!$D$7:$AW$7, 'GEN-BESS'!$D$117:$AW$117), 0), IF($B13='Project List References'!$B$6, _xlfn.IFNA(_xlfn.XLOOKUP(E$2-$C13,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F13" s="744" t="e">
        <f>IF($B13='Project List References'!$B$3, _xlfn.IFNA(_xlfn.XLOOKUP(F$2-$C13, 'GEN-CCGT'!$D$7:$AW$7, 'GEN-CCGT'!$D$115:$AW$115), 0), IF($B13='Project List References'!$B$4, _xlfn.IFNA(_xlfn.XLOOKUP(F$2-$C13, 'GEN-SOLAR'!$D$7:$AW$7, 'GEN-SOLAR'!$D$115:$AW$115), 0), IF($B13='Project List References'!$B$5, _xlfn.IFNA(_xlfn.XLOOKUP(F$2-$C13, 'GEN-BESS'!$D$7:$AW$7, 'GEN-BESS'!$D$117:$AW$117), 0), IF($B13='Project List References'!$B$6, _xlfn.IFNA(_xlfn.XLOOKUP(F$2-$C13,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G13" s="744" t="e">
        <f>IF($B13='Project List References'!$B$3, _xlfn.IFNA(_xlfn.XLOOKUP(G$2-$C13, 'GEN-CCGT'!$D$7:$AW$7, 'GEN-CCGT'!$D$115:$AW$115), 0), IF($B13='Project List References'!$B$4, _xlfn.IFNA(_xlfn.XLOOKUP(G$2-$C13, 'GEN-SOLAR'!$D$7:$AW$7, 'GEN-SOLAR'!$D$115:$AW$115), 0), IF($B13='Project List References'!$B$5, _xlfn.IFNA(_xlfn.XLOOKUP(G$2-$C13, 'GEN-BESS'!$D$7:$AW$7, 'GEN-BESS'!$D$117:$AW$117), 0), IF($B13='Project List References'!$B$6, _xlfn.IFNA(_xlfn.XLOOKUP(G$2-$C13,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H13" s="744" t="e">
        <f>IF($B13='Project List References'!$B$3, _xlfn.IFNA(_xlfn.XLOOKUP(H$2-$C13, 'GEN-CCGT'!$D$7:$AW$7, 'GEN-CCGT'!$D$115:$AW$115), 0), IF($B13='Project List References'!$B$4, _xlfn.IFNA(_xlfn.XLOOKUP(H$2-$C13, 'GEN-SOLAR'!$D$7:$AW$7, 'GEN-SOLAR'!$D$115:$AW$115), 0), IF($B13='Project List References'!$B$5, _xlfn.IFNA(_xlfn.XLOOKUP(H$2-$C13, 'GEN-BESS'!$D$7:$AW$7, 'GEN-BESS'!$D$117:$AW$117), 0), IF($B13='Project List References'!$B$6, _xlfn.IFNA(_xlfn.XLOOKUP(H$2-$C13,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I13" s="744" t="e">
        <f>IF($B13='Project List References'!$B$3, _xlfn.IFNA(_xlfn.XLOOKUP(I$2-$C13, 'GEN-CCGT'!$D$7:$AW$7, 'GEN-CCGT'!$D$115:$AW$115), 0), IF($B13='Project List References'!$B$4, _xlfn.IFNA(_xlfn.XLOOKUP(I$2-$C13, 'GEN-SOLAR'!$D$7:$AW$7, 'GEN-SOLAR'!$D$115:$AW$115), 0), IF($B13='Project List References'!$B$5, _xlfn.IFNA(_xlfn.XLOOKUP(I$2-$C13, 'GEN-BESS'!$D$7:$AW$7, 'GEN-BESS'!$D$117:$AW$117), 0), IF($B13='Project List References'!$B$6, _xlfn.IFNA(_xlfn.XLOOKUP(I$2-$C13,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J13" s="744" t="e">
        <f>IF($B13='Project List References'!$B$3, _xlfn.IFNA(_xlfn.XLOOKUP(J$2-$C13, 'GEN-CCGT'!$D$7:$AW$7, 'GEN-CCGT'!$D$115:$AW$115), 0), IF($B13='Project List References'!$B$4, _xlfn.IFNA(_xlfn.XLOOKUP(J$2-$C13, 'GEN-SOLAR'!$D$7:$AW$7, 'GEN-SOLAR'!$D$115:$AW$115), 0), IF($B13='Project List References'!$B$5, _xlfn.IFNA(_xlfn.XLOOKUP(J$2-$C13, 'GEN-BESS'!$D$7:$AW$7, 'GEN-BESS'!$D$117:$AW$117), 0), IF($B13='Project List References'!$B$6, _xlfn.IFNA(_xlfn.XLOOKUP(J$2-$C13,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K13" s="744" t="e">
        <f>IF($B13='Project List References'!$B$3, _xlfn.IFNA(_xlfn.XLOOKUP(K$2-$C13, 'GEN-CCGT'!$D$7:$AW$7, 'GEN-CCGT'!$D$115:$AW$115), 0), IF($B13='Project List References'!$B$4, _xlfn.IFNA(_xlfn.XLOOKUP(K$2-$C13, 'GEN-SOLAR'!$D$7:$AW$7, 'GEN-SOLAR'!$D$115:$AW$115), 0), IF($B13='Project List References'!$B$5, _xlfn.IFNA(_xlfn.XLOOKUP(K$2-$C13, 'GEN-BESS'!$D$7:$AW$7, 'GEN-BESS'!$D$117:$AW$117), 0), IF($B13='Project List References'!$B$6, _xlfn.IFNA(_xlfn.XLOOKUP(K$2-$C13,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L13" s="744" t="e">
        <f>IF($B13='Project List References'!$B$3, _xlfn.IFNA(_xlfn.XLOOKUP(L$2-$C13, 'GEN-CCGT'!$D$7:$AW$7, 'GEN-CCGT'!$D$115:$AW$115), 0), IF($B13='Project List References'!$B$4, _xlfn.IFNA(_xlfn.XLOOKUP(L$2-$C13, 'GEN-SOLAR'!$D$7:$AW$7, 'GEN-SOLAR'!$D$115:$AW$115), 0), IF($B13='Project List References'!$B$5, _xlfn.IFNA(_xlfn.XLOOKUP(L$2-$C13, 'GEN-BESS'!$D$7:$AW$7, 'GEN-BESS'!$D$117:$AW$117), 0), IF($B13='Project List References'!$B$6, _xlfn.IFNA(_xlfn.XLOOKUP(L$2-$C13,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M13" s="744" t="e">
        <f>IF($B13='Project List References'!$B$3, _xlfn.IFNA(_xlfn.XLOOKUP(M$2-$C13, 'GEN-CCGT'!$D$7:$AW$7, 'GEN-CCGT'!$D$115:$AW$115), 0), IF($B13='Project List References'!$B$4, _xlfn.IFNA(_xlfn.XLOOKUP(M$2-$C13, 'GEN-SOLAR'!$D$7:$AW$7, 'GEN-SOLAR'!$D$115:$AW$115), 0), IF($B13='Project List References'!$B$5, _xlfn.IFNA(_xlfn.XLOOKUP(M$2-$C13, 'GEN-BESS'!$D$7:$AW$7, 'GEN-BESS'!$D$117:$AW$117), 0), IF($B13='Project List References'!$B$6, _xlfn.IFNA(_xlfn.XLOOKUP(M$2-$C13,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N13" s="744" t="e">
        <f>IF($B13='Project List References'!$B$3, _xlfn.IFNA(_xlfn.XLOOKUP(N$2-$C13, 'GEN-CCGT'!$D$7:$AW$7, 'GEN-CCGT'!$D$115:$AW$115), 0), IF($B13='Project List References'!$B$4, _xlfn.IFNA(_xlfn.XLOOKUP(N$2-$C13, 'GEN-SOLAR'!$D$7:$AW$7, 'GEN-SOLAR'!$D$115:$AW$115), 0), IF($B13='Project List References'!$B$5, _xlfn.IFNA(_xlfn.XLOOKUP(N$2-$C13, 'GEN-BESS'!$D$7:$AW$7, 'GEN-BESS'!$D$117:$AW$117), 0), IF($B13='Project List References'!$B$6, _xlfn.IFNA(_xlfn.XLOOKUP(N$2-$C13,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O13" s="744" t="e">
        <f>IF($B13='Project List References'!$B$3, _xlfn.IFNA(_xlfn.XLOOKUP(O$2-$C13, 'GEN-CCGT'!$D$7:$AW$7, 'GEN-CCGT'!$D$115:$AW$115), 0), IF($B13='Project List References'!$B$4, _xlfn.IFNA(_xlfn.XLOOKUP(O$2-$C13, 'GEN-SOLAR'!$D$7:$AW$7, 'GEN-SOLAR'!$D$115:$AW$115), 0), IF($B13='Project List References'!$B$5, _xlfn.IFNA(_xlfn.XLOOKUP(O$2-$C13, 'GEN-BESS'!$D$7:$AW$7, 'GEN-BESS'!$D$117:$AW$117), 0), IF($B13='Project List References'!$B$6, _xlfn.IFNA(_xlfn.XLOOKUP(O$2-$C13,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P13" s="744" t="e">
        <f>IF($B13='Project List References'!$B$3, _xlfn.IFNA(_xlfn.XLOOKUP(P$2-$C13, 'GEN-CCGT'!$D$7:$AW$7, 'GEN-CCGT'!$D$115:$AW$115), 0), IF($B13='Project List References'!$B$4, _xlfn.IFNA(_xlfn.XLOOKUP(P$2-$C13, 'GEN-SOLAR'!$D$7:$AW$7, 'GEN-SOLAR'!$D$115:$AW$115), 0), IF($B13='Project List References'!$B$5, _xlfn.IFNA(_xlfn.XLOOKUP(P$2-$C13, 'GEN-BESS'!$D$7:$AW$7, 'GEN-BESS'!$D$117:$AW$117), 0), IF($B13='Project List References'!$B$6, _xlfn.IFNA(_xlfn.XLOOKUP(P$2-$C13,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Q13" s="744" t="e">
        <f>IF($B13='Project List References'!$B$3, _xlfn.IFNA(_xlfn.XLOOKUP(Q$2-$C13, 'GEN-CCGT'!$D$7:$AW$7, 'GEN-CCGT'!$D$115:$AW$115), 0), IF($B13='Project List References'!$B$4, _xlfn.IFNA(_xlfn.XLOOKUP(Q$2-$C13, 'GEN-SOLAR'!$D$7:$AW$7, 'GEN-SOLAR'!$D$115:$AW$115), 0), IF($B13='Project List References'!$B$5, _xlfn.IFNA(_xlfn.XLOOKUP(Q$2-$C13, 'GEN-BESS'!$D$7:$AW$7, 'GEN-BESS'!$D$117:$AW$117), 0), IF($B13='Project List References'!$B$6, _xlfn.IFNA(_xlfn.XLOOKUP(Q$2-$C13,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R13" s="744" t="e">
        <f>IF($B13='Project List References'!$B$3, _xlfn.IFNA(_xlfn.XLOOKUP(R$2-$C13, 'GEN-CCGT'!$D$7:$AW$7, 'GEN-CCGT'!$D$115:$AW$115), 0), IF($B13='Project List References'!$B$4, _xlfn.IFNA(_xlfn.XLOOKUP(R$2-$C13, 'GEN-SOLAR'!$D$7:$AW$7, 'GEN-SOLAR'!$D$115:$AW$115), 0), IF($B13='Project List References'!$B$5, _xlfn.IFNA(_xlfn.XLOOKUP(R$2-$C13, 'GEN-BESS'!$D$7:$AW$7, 'GEN-BESS'!$D$117:$AW$117), 0), IF($B13='Project List References'!$B$6, _xlfn.IFNA(_xlfn.XLOOKUP(R$2-$C13,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S13" s="744" t="e">
        <f>IF($B13='Project List References'!$B$3, _xlfn.IFNA(_xlfn.XLOOKUP(S$2-$C13, 'GEN-CCGT'!$D$7:$AW$7, 'GEN-CCGT'!$D$115:$AW$115), 0), IF($B13='Project List References'!$B$4, _xlfn.IFNA(_xlfn.XLOOKUP(S$2-$C13, 'GEN-SOLAR'!$D$7:$AW$7, 'GEN-SOLAR'!$D$115:$AW$115), 0), IF($B13='Project List References'!$B$5, _xlfn.IFNA(_xlfn.XLOOKUP(S$2-$C13, 'GEN-BESS'!$D$7:$AW$7, 'GEN-BESS'!$D$117:$AW$117), 0), IF($B13='Project List References'!$B$6, _xlfn.IFNA(_xlfn.XLOOKUP(S$2-$C13,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T13" s="744" t="e">
        <f>IF($B13='Project List References'!$B$3, _xlfn.IFNA(_xlfn.XLOOKUP(T$2-$C13, 'GEN-CCGT'!$D$7:$AW$7, 'GEN-CCGT'!$D$115:$AW$115), 0), IF($B13='Project List References'!$B$4, _xlfn.IFNA(_xlfn.XLOOKUP(T$2-$C13, 'GEN-SOLAR'!$D$7:$AW$7, 'GEN-SOLAR'!$D$115:$AW$115), 0), IF($B13='Project List References'!$B$5, _xlfn.IFNA(_xlfn.XLOOKUP(T$2-$C13, 'GEN-BESS'!$D$7:$AW$7, 'GEN-BESS'!$D$117:$AW$117), 0), IF($B13='Project List References'!$B$6, _xlfn.IFNA(_xlfn.XLOOKUP(T$2-$C13, 'GEN-CARBON'!$D$7:$AW$7, 'GEN-CARBON'!$D$115:$AW$115), 0), 0))))/_xlfn.XLOOKUP($B13,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</row>
    <row r="14" spans="1:112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_xlfn.XLOOKUP('Project OPEX'!A14, 'Project Master Sheet'!A:A, 'Project Master Sheet'!I:I)</f>
        <v>#N/A</v>
      </c>
      <c r="E14" s="744" t="e">
        <f>IF($B14='Project List References'!$B$3, _xlfn.IFNA(_xlfn.XLOOKUP(E$2-$C14, 'GEN-CCGT'!$D$7:$AW$7, 'GEN-CCGT'!$D$115:$AW$115), 0), IF($B14='Project List References'!$B$4, _xlfn.IFNA(_xlfn.XLOOKUP(E$2-$C14, 'GEN-SOLAR'!$D$7:$AW$7, 'GEN-SOLAR'!$D$115:$AW$115), 0), IF($B14='Project List References'!$B$5, _xlfn.IFNA(_xlfn.XLOOKUP(E$2-$C14, 'GEN-BESS'!$D$7:$AW$7, 'GEN-BESS'!$D$117:$AW$117), 0), IF($B14='Project List References'!$B$6, _xlfn.IFNA(_xlfn.XLOOKUP(E$2-$C14,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F14" s="744" t="e">
        <f>IF($B14='Project List References'!$B$3, _xlfn.IFNA(_xlfn.XLOOKUP(F$2-$C14, 'GEN-CCGT'!$D$7:$AW$7, 'GEN-CCGT'!$D$115:$AW$115), 0), IF($B14='Project List References'!$B$4, _xlfn.IFNA(_xlfn.XLOOKUP(F$2-$C14, 'GEN-SOLAR'!$D$7:$AW$7, 'GEN-SOLAR'!$D$115:$AW$115), 0), IF($B14='Project List References'!$B$5, _xlfn.IFNA(_xlfn.XLOOKUP(F$2-$C14, 'GEN-BESS'!$D$7:$AW$7, 'GEN-BESS'!$D$117:$AW$117), 0), IF($B14='Project List References'!$B$6, _xlfn.IFNA(_xlfn.XLOOKUP(F$2-$C14,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G14" s="744" t="e">
        <f>IF($B14='Project List References'!$B$3, _xlfn.IFNA(_xlfn.XLOOKUP(G$2-$C14, 'GEN-CCGT'!$D$7:$AW$7, 'GEN-CCGT'!$D$115:$AW$115), 0), IF($B14='Project List References'!$B$4, _xlfn.IFNA(_xlfn.XLOOKUP(G$2-$C14, 'GEN-SOLAR'!$D$7:$AW$7, 'GEN-SOLAR'!$D$115:$AW$115), 0), IF($B14='Project List References'!$B$5, _xlfn.IFNA(_xlfn.XLOOKUP(G$2-$C14, 'GEN-BESS'!$D$7:$AW$7, 'GEN-BESS'!$D$117:$AW$117), 0), IF($B14='Project List References'!$B$6, _xlfn.IFNA(_xlfn.XLOOKUP(G$2-$C14,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H14" s="744" t="e">
        <f>IF($B14='Project List References'!$B$3, _xlfn.IFNA(_xlfn.XLOOKUP(H$2-$C14, 'GEN-CCGT'!$D$7:$AW$7, 'GEN-CCGT'!$D$115:$AW$115), 0), IF($B14='Project List References'!$B$4, _xlfn.IFNA(_xlfn.XLOOKUP(H$2-$C14, 'GEN-SOLAR'!$D$7:$AW$7, 'GEN-SOLAR'!$D$115:$AW$115), 0), IF($B14='Project List References'!$B$5, _xlfn.IFNA(_xlfn.XLOOKUP(H$2-$C14, 'GEN-BESS'!$D$7:$AW$7, 'GEN-BESS'!$D$117:$AW$117), 0), IF($B14='Project List References'!$B$6, _xlfn.IFNA(_xlfn.XLOOKUP(H$2-$C14,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I14" s="744" t="e">
        <f>IF($B14='Project List References'!$B$3, _xlfn.IFNA(_xlfn.XLOOKUP(I$2-$C14, 'GEN-CCGT'!$D$7:$AW$7, 'GEN-CCGT'!$D$115:$AW$115), 0), IF($B14='Project List References'!$B$4, _xlfn.IFNA(_xlfn.XLOOKUP(I$2-$C14, 'GEN-SOLAR'!$D$7:$AW$7, 'GEN-SOLAR'!$D$115:$AW$115), 0), IF($B14='Project List References'!$B$5, _xlfn.IFNA(_xlfn.XLOOKUP(I$2-$C14, 'GEN-BESS'!$D$7:$AW$7, 'GEN-BESS'!$D$117:$AW$117), 0), IF($B14='Project List References'!$B$6, _xlfn.IFNA(_xlfn.XLOOKUP(I$2-$C14,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J14" s="744" t="e">
        <f>IF($B14='Project List References'!$B$3, _xlfn.IFNA(_xlfn.XLOOKUP(J$2-$C14, 'GEN-CCGT'!$D$7:$AW$7, 'GEN-CCGT'!$D$115:$AW$115), 0), IF($B14='Project List References'!$B$4, _xlfn.IFNA(_xlfn.XLOOKUP(J$2-$C14, 'GEN-SOLAR'!$D$7:$AW$7, 'GEN-SOLAR'!$D$115:$AW$115), 0), IF($B14='Project List References'!$B$5, _xlfn.IFNA(_xlfn.XLOOKUP(J$2-$C14, 'GEN-BESS'!$D$7:$AW$7, 'GEN-BESS'!$D$117:$AW$117), 0), IF($B14='Project List References'!$B$6, _xlfn.IFNA(_xlfn.XLOOKUP(J$2-$C14,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K14" s="744" t="e">
        <f>IF($B14='Project List References'!$B$3, _xlfn.IFNA(_xlfn.XLOOKUP(K$2-$C14, 'GEN-CCGT'!$D$7:$AW$7, 'GEN-CCGT'!$D$115:$AW$115), 0), IF($B14='Project List References'!$B$4, _xlfn.IFNA(_xlfn.XLOOKUP(K$2-$C14, 'GEN-SOLAR'!$D$7:$AW$7, 'GEN-SOLAR'!$D$115:$AW$115), 0), IF($B14='Project List References'!$B$5, _xlfn.IFNA(_xlfn.XLOOKUP(K$2-$C14, 'GEN-BESS'!$D$7:$AW$7, 'GEN-BESS'!$D$117:$AW$117), 0), IF($B14='Project List References'!$B$6, _xlfn.IFNA(_xlfn.XLOOKUP(K$2-$C14,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L14" s="744" t="e">
        <f>IF($B14='Project List References'!$B$3, _xlfn.IFNA(_xlfn.XLOOKUP(L$2-$C14, 'GEN-CCGT'!$D$7:$AW$7, 'GEN-CCGT'!$D$115:$AW$115), 0), IF($B14='Project List References'!$B$4, _xlfn.IFNA(_xlfn.XLOOKUP(L$2-$C14, 'GEN-SOLAR'!$D$7:$AW$7, 'GEN-SOLAR'!$D$115:$AW$115), 0), IF($B14='Project List References'!$B$5, _xlfn.IFNA(_xlfn.XLOOKUP(L$2-$C14, 'GEN-BESS'!$D$7:$AW$7, 'GEN-BESS'!$D$117:$AW$117), 0), IF($B14='Project List References'!$B$6, _xlfn.IFNA(_xlfn.XLOOKUP(L$2-$C14,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M14" s="744" t="e">
        <f>IF($B14='Project List References'!$B$3, _xlfn.IFNA(_xlfn.XLOOKUP(M$2-$C14, 'GEN-CCGT'!$D$7:$AW$7, 'GEN-CCGT'!$D$115:$AW$115), 0), IF($B14='Project List References'!$B$4, _xlfn.IFNA(_xlfn.XLOOKUP(M$2-$C14, 'GEN-SOLAR'!$D$7:$AW$7, 'GEN-SOLAR'!$D$115:$AW$115), 0), IF($B14='Project List References'!$B$5, _xlfn.IFNA(_xlfn.XLOOKUP(M$2-$C14, 'GEN-BESS'!$D$7:$AW$7, 'GEN-BESS'!$D$117:$AW$117), 0), IF($B14='Project List References'!$B$6, _xlfn.IFNA(_xlfn.XLOOKUP(M$2-$C14,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N14" s="744" t="e">
        <f>IF($B14='Project List References'!$B$3, _xlfn.IFNA(_xlfn.XLOOKUP(N$2-$C14, 'GEN-CCGT'!$D$7:$AW$7, 'GEN-CCGT'!$D$115:$AW$115), 0), IF($B14='Project List References'!$B$4, _xlfn.IFNA(_xlfn.XLOOKUP(N$2-$C14, 'GEN-SOLAR'!$D$7:$AW$7, 'GEN-SOLAR'!$D$115:$AW$115), 0), IF($B14='Project List References'!$B$5, _xlfn.IFNA(_xlfn.XLOOKUP(N$2-$C14, 'GEN-BESS'!$D$7:$AW$7, 'GEN-BESS'!$D$117:$AW$117), 0), IF($B14='Project List References'!$B$6, _xlfn.IFNA(_xlfn.XLOOKUP(N$2-$C14,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O14" s="744" t="e">
        <f>IF($B14='Project List References'!$B$3, _xlfn.IFNA(_xlfn.XLOOKUP(O$2-$C14, 'GEN-CCGT'!$D$7:$AW$7, 'GEN-CCGT'!$D$115:$AW$115), 0), IF($B14='Project List References'!$B$4, _xlfn.IFNA(_xlfn.XLOOKUP(O$2-$C14, 'GEN-SOLAR'!$D$7:$AW$7, 'GEN-SOLAR'!$D$115:$AW$115), 0), IF($B14='Project List References'!$B$5, _xlfn.IFNA(_xlfn.XLOOKUP(O$2-$C14, 'GEN-BESS'!$D$7:$AW$7, 'GEN-BESS'!$D$117:$AW$117), 0), IF($B14='Project List References'!$B$6, _xlfn.IFNA(_xlfn.XLOOKUP(O$2-$C14,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P14" s="744" t="e">
        <f>IF($B14='Project List References'!$B$3, _xlfn.IFNA(_xlfn.XLOOKUP(P$2-$C14, 'GEN-CCGT'!$D$7:$AW$7, 'GEN-CCGT'!$D$115:$AW$115), 0), IF($B14='Project List References'!$B$4, _xlfn.IFNA(_xlfn.XLOOKUP(P$2-$C14, 'GEN-SOLAR'!$D$7:$AW$7, 'GEN-SOLAR'!$D$115:$AW$115), 0), IF($B14='Project List References'!$B$5, _xlfn.IFNA(_xlfn.XLOOKUP(P$2-$C14, 'GEN-BESS'!$D$7:$AW$7, 'GEN-BESS'!$D$117:$AW$117), 0), IF($B14='Project List References'!$B$6, _xlfn.IFNA(_xlfn.XLOOKUP(P$2-$C14,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Q14" s="744" t="e">
        <f>IF($B14='Project List References'!$B$3, _xlfn.IFNA(_xlfn.XLOOKUP(Q$2-$C14, 'GEN-CCGT'!$D$7:$AW$7, 'GEN-CCGT'!$D$115:$AW$115), 0), IF($B14='Project List References'!$B$4, _xlfn.IFNA(_xlfn.XLOOKUP(Q$2-$C14, 'GEN-SOLAR'!$D$7:$AW$7, 'GEN-SOLAR'!$D$115:$AW$115), 0), IF($B14='Project List References'!$B$5, _xlfn.IFNA(_xlfn.XLOOKUP(Q$2-$C14, 'GEN-BESS'!$D$7:$AW$7, 'GEN-BESS'!$D$117:$AW$117), 0), IF($B14='Project List References'!$B$6, _xlfn.IFNA(_xlfn.XLOOKUP(Q$2-$C14,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R14" s="744" t="e">
        <f>IF($B14='Project List References'!$B$3, _xlfn.IFNA(_xlfn.XLOOKUP(R$2-$C14, 'GEN-CCGT'!$D$7:$AW$7, 'GEN-CCGT'!$D$115:$AW$115), 0), IF($B14='Project List References'!$B$4, _xlfn.IFNA(_xlfn.XLOOKUP(R$2-$C14, 'GEN-SOLAR'!$D$7:$AW$7, 'GEN-SOLAR'!$D$115:$AW$115), 0), IF($B14='Project List References'!$B$5, _xlfn.IFNA(_xlfn.XLOOKUP(R$2-$C14, 'GEN-BESS'!$D$7:$AW$7, 'GEN-BESS'!$D$117:$AW$117), 0), IF($B14='Project List References'!$B$6, _xlfn.IFNA(_xlfn.XLOOKUP(R$2-$C14,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S14" s="744" t="e">
        <f>IF($B14='Project List References'!$B$3, _xlfn.IFNA(_xlfn.XLOOKUP(S$2-$C14, 'GEN-CCGT'!$D$7:$AW$7, 'GEN-CCGT'!$D$115:$AW$115), 0), IF($B14='Project List References'!$B$4, _xlfn.IFNA(_xlfn.XLOOKUP(S$2-$C14, 'GEN-SOLAR'!$D$7:$AW$7, 'GEN-SOLAR'!$D$115:$AW$115), 0), IF($B14='Project List References'!$B$5, _xlfn.IFNA(_xlfn.XLOOKUP(S$2-$C14, 'GEN-BESS'!$D$7:$AW$7, 'GEN-BESS'!$D$117:$AW$117), 0), IF($B14='Project List References'!$B$6, _xlfn.IFNA(_xlfn.XLOOKUP(S$2-$C14,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T14" s="744" t="e">
        <f>IF($B14='Project List References'!$B$3, _xlfn.IFNA(_xlfn.XLOOKUP(T$2-$C14, 'GEN-CCGT'!$D$7:$AW$7, 'GEN-CCGT'!$D$115:$AW$115), 0), IF($B14='Project List References'!$B$4, _xlfn.IFNA(_xlfn.XLOOKUP(T$2-$C14, 'GEN-SOLAR'!$D$7:$AW$7, 'GEN-SOLAR'!$D$115:$AW$115), 0), IF($B14='Project List References'!$B$5, _xlfn.IFNA(_xlfn.XLOOKUP(T$2-$C14, 'GEN-BESS'!$D$7:$AW$7, 'GEN-BESS'!$D$117:$AW$117), 0), IF($B14='Project List References'!$B$6, _xlfn.IFNA(_xlfn.XLOOKUP(T$2-$C14, 'GEN-CARBON'!$D$7:$AW$7, 'GEN-CARBON'!$D$115:$AW$115), 0), 0))))/_xlfn.XLOOKUP($B14,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</row>
    <row r="15" spans="1:112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_xlfn.XLOOKUP('Project OPEX'!A15, 'Project Master Sheet'!A:A, 'Project Master Sheet'!I:I)</f>
        <v>#N/A</v>
      </c>
      <c r="E15" s="744" t="e">
        <f>IF($B15='Project List References'!$B$3, _xlfn.IFNA(_xlfn.XLOOKUP(E$2-$C15, 'GEN-CCGT'!$D$7:$AW$7, 'GEN-CCGT'!$D$115:$AW$115), 0), IF($B15='Project List References'!$B$4, _xlfn.IFNA(_xlfn.XLOOKUP(E$2-$C15, 'GEN-SOLAR'!$D$7:$AW$7, 'GEN-SOLAR'!$D$115:$AW$115), 0), IF($B15='Project List References'!$B$5, _xlfn.IFNA(_xlfn.XLOOKUP(E$2-$C15, 'GEN-BESS'!$D$7:$AW$7, 'GEN-BESS'!$D$117:$AW$117), 0), IF($B15='Project List References'!$B$6, _xlfn.IFNA(_xlfn.XLOOKUP(E$2-$C15,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F15" s="744" t="e">
        <f>IF($B15='Project List References'!$B$3, _xlfn.IFNA(_xlfn.XLOOKUP(F$2-$C15, 'GEN-CCGT'!$D$7:$AW$7, 'GEN-CCGT'!$D$115:$AW$115), 0), IF($B15='Project List References'!$B$4, _xlfn.IFNA(_xlfn.XLOOKUP(F$2-$C15, 'GEN-SOLAR'!$D$7:$AW$7, 'GEN-SOLAR'!$D$115:$AW$115), 0), IF($B15='Project List References'!$B$5, _xlfn.IFNA(_xlfn.XLOOKUP(F$2-$C15, 'GEN-BESS'!$D$7:$AW$7, 'GEN-BESS'!$D$117:$AW$117), 0), IF($B15='Project List References'!$B$6, _xlfn.IFNA(_xlfn.XLOOKUP(F$2-$C15,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G15" s="744" t="e">
        <f>IF($B15='Project List References'!$B$3, _xlfn.IFNA(_xlfn.XLOOKUP(G$2-$C15, 'GEN-CCGT'!$D$7:$AW$7, 'GEN-CCGT'!$D$115:$AW$115), 0), IF($B15='Project List References'!$B$4, _xlfn.IFNA(_xlfn.XLOOKUP(G$2-$C15, 'GEN-SOLAR'!$D$7:$AW$7, 'GEN-SOLAR'!$D$115:$AW$115), 0), IF($B15='Project List References'!$B$5, _xlfn.IFNA(_xlfn.XLOOKUP(G$2-$C15, 'GEN-BESS'!$D$7:$AW$7, 'GEN-BESS'!$D$117:$AW$117), 0), IF($B15='Project List References'!$B$6, _xlfn.IFNA(_xlfn.XLOOKUP(G$2-$C15,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H15" s="744" t="e">
        <f>IF($B15='Project List References'!$B$3, _xlfn.IFNA(_xlfn.XLOOKUP(H$2-$C15, 'GEN-CCGT'!$D$7:$AW$7, 'GEN-CCGT'!$D$115:$AW$115), 0), IF($B15='Project List References'!$B$4, _xlfn.IFNA(_xlfn.XLOOKUP(H$2-$C15, 'GEN-SOLAR'!$D$7:$AW$7, 'GEN-SOLAR'!$D$115:$AW$115), 0), IF($B15='Project List References'!$B$5, _xlfn.IFNA(_xlfn.XLOOKUP(H$2-$C15, 'GEN-BESS'!$D$7:$AW$7, 'GEN-BESS'!$D$117:$AW$117), 0), IF($B15='Project List References'!$B$6, _xlfn.IFNA(_xlfn.XLOOKUP(H$2-$C15,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I15" s="744" t="e">
        <f>IF($B15='Project List References'!$B$3, _xlfn.IFNA(_xlfn.XLOOKUP(I$2-$C15, 'GEN-CCGT'!$D$7:$AW$7, 'GEN-CCGT'!$D$115:$AW$115), 0), IF($B15='Project List References'!$B$4, _xlfn.IFNA(_xlfn.XLOOKUP(I$2-$C15, 'GEN-SOLAR'!$D$7:$AW$7, 'GEN-SOLAR'!$D$115:$AW$115), 0), IF($B15='Project List References'!$B$5, _xlfn.IFNA(_xlfn.XLOOKUP(I$2-$C15, 'GEN-BESS'!$D$7:$AW$7, 'GEN-BESS'!$D$117:$AW$117), 0), IF($B15='Project List References'!$B$6, _xlfn.IFNA(_xlfn.XLOOKUP(I$2-$C15,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J15" s="744" t="e">
        <f>IF($B15='Project List References'!$B$3, _xlfn.IFNA(_xlfn.XLOOKUP(J$2-$C15, 'GEN-CCGT'!$D$7:$AW$7, 'GEN-CCGT'!$D$115:$AW$115), 0), IF($B15='Project List References'!$B$4, _xlfn.IFNA(_xlfn.XLOOKUP(J$2-$C15, 'GEN-SOLAR'!$D$7:$AW$7, 'GEN-SOLAR'!$D$115:$AW$115), 0), IF($B15='Project List References'!$B$5, _xlfn.IFNA(_xlfn.XLOOKUP(J$2-$C15, 'GEN-BESS'!$D$7:$AW$7, 'GEN-BESS'!$D$117:$AW$117), 0), IF($B15='Project List References'!$B$6, _xlfn.IFNA(_xlfn.XLOOKUP(J$2-$C15,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K15" s="744" t="e">
        <f>IF($B15='Project List References'!$B$3, _xlfn.IFNA(_xlfn.XLOOKUP(K$2-$C15, 'GEN-CCGT'!$D$7:$AW$7, 'GEN-CCGT'!$D$115:$AW$115), 0), IF($B15='Project List References'!$B$4, _xlfn.IFNA(_xlfn.XLOOKUP(K$2-$C15, 'GEN-SOLAR'!$D$7:$AW$7, 'GEN-SOLAR'!$D$115:$AW$115), 0), IF($B15='Project List References'!$B$5, _xlfn.IFNA(_xlfn.XLOOKUP(K$2-$C15, 'GEN-BESS'!$D$7:$AW$7, 'GEN-BESS'!$D$117:$AW$117), 0), IF($B15='Project List References'!$B$6, _xlfn.IFNA(_xlfn.XLOOKUP(K$2-$C15,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L15" s="744" t="e">
        <f>IF($B15='Project List References'!$B$3, _xlfn.IFNA(_xlfn.XLOOKUP(L$2-$C15, 'GEN-CCGT'!$D$7:$AW$7, 'GEN-CCGT'!$D$115:$AW$115), 0), IF($B15='Project List References'!$B$4, _xlfn.IFNA(_xlfn.XLOOKUP(L$2-$C15, 'GEN-SOLAR'!$D$7:$AW$7, 'GEN-SOLAR'!$D$115:$AW$115), 0), IF($B15='Project List References'!$B$5, _xlfn.IFNA(_xlfn.XLOOKUP(L$2-$C15, 'GEN-BESS'!$D$7:$AW$7, 'GEN-BESS'!$D$117:$AW$117), 0), IF($B15='Project List References'!$B$6, _xlfn.IFNA(_xlfn.XLOOKUP(L$2-$C15,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M15" s="744" t="e">
        <f>IF($B15='Project List References'!$B$3, _xlfn.IFNA(_xlfn.XLOOKUP(M$2-$C15, 'GEN-CCGT'!$D$7:$AW$7, 'GEN-CCGT'!$D$115:$AW$115), 0), IF($B15='Project List References'!$B$4, _xlfn.IFNA(_xlfn.XLOOKUP(M$2-$C15, 'GEN-SOLAR'!$D$7:$AW$7, 'GEN-SOLAR'!$D$115:$AW$115), 0), IF($B15='Project List References'!$B$5, _xlfn.IFNA(_xlfn.XLOOKUP(M$2-$C15, 'GEN-BESS'!$D$7:$AW$7, 'GEN-BESS'!$D$117:$AW$117), 0), IF($B15='Project List References'!$B$6, _xlfn.IFNA(_xlfn.XLOOKUP(M$2-$C15,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N15" s="744" t="e">
        <f>IF($B15='Project List References'!$B$3, _xlfn.IFNA(_xlfn.XLOOKUP(N$2-$C15, 'GEN-CCGT'!$D$7:$AW$7, 'GEN-CCGT'!$D$115:$AW$115), 0), IF($B15='Project List References'!$B$4, _xlfn.IFNA(_xlfn.XLOOKUP(N$2-$C15, 'GEN-SOLAR'!$D$7:$AW$7, 'GEN-SOLAR'!$D$115:$AW$115), 0), IF($B15='Project List References'!$B$5, _xlfn.IFNA(_xlfn.XLOOKUP(N$2-$C15, 'GEN-BESS'!$D$7:$AW$7, 'GEN-BESS'!$D$117:$AW$117), 0), IF($B15='Project List References'!$B$6, _xlfn.IFNA(_xlfn.XLOOKUP(N$2-$C15,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O15" s="744" t="e">
        <f>IF($B15='Project List References'!$B$3, _xlfn.IFNA(_xlfn.XLOOKUP(O$2-$C15, 'GEN-CCGT'!$D$7:$AW$7, 'GEN-CCGT'!$D$115:$AW$115), 0), IF($B15='Project List References'!$B$4, _xlfn.IFNA(_xlfn.XLOOKUP(O$2-$C15, 'GEN-SOLAR'!$D$7:$AW$7, 'GEN-SOLAR'!$D$115:$AW$115), 0), IF($B15='Project List References'!$B$5, _xlfn.IFNA(_xlfn.XLOOKUP(O$2-$C15, 'GEN-BESS'!$D$7:$AW$7, 'GEN-BESS'!$D$117:$AW$117), 0), IF($B15='Project List References'!$B$6, _xlfn.IFNA(_xlfn.XLOOKUP(O$2-$C15,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P15" s="744" t="e">
        <f>IF($B15='Project List References'!$B$3, _xlfn.IFNA(_xlfn.XLOOKUP(P$2-$C15, 'GEN-CCGT'!$D$7:$AW$7, 'GEN-CCGT'!$D$115:$AW$115), 0), IF($B15='Project List References'!$B$4, _xlfn.IFNA(_xlfn.XLOOKUP(P$2-$C15, 'GEN-SOLAR'!$D$7:$AW$7, 'GEN-SOLAR'!$D$115:$AW$115), 0), IF($B15='Project List References'!$B$5, _xlfn.IFNA(_xlfn.XLOOKUP(P$2-$C15, 'GEN-BESS'!$D$7:$AW$7, 'GEN-BESS'!$D$117:$AW$117), 0), IF($B15='Project List References'!$B$6, _xlfn.IFNA(_xlfn.XLOOKUP(P$2-$C15,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Q15" s="744" t="e">
        <f>IF($B15='Project List References'!$B$3, _xlfn.IFNA(_xlfn.XLOOKUP(Q$2-$C15, 'GEN-CCGT'!$D$7:$AW$7, 'GEN-CCGT'!$D$115:$AW$115), 0), IF($B15='Project List References'!$B$4, _xlfn.IFNA(_xlfn.XLOOKUP(Q$2-$C15, 'GEN-SOLAR'!$D$7:$AW$7, 'GEN-SOLAR'!$D$115:$AW$115), 0), IF($B15='Project List References'!$B$5, _xlfn.IFNA(_xlfn.XLOOKUP(Q$2-$C15, 'GEN-BESS'!$D$7:$AW$7, 'GEN-BESS'!$D$117:$AW$117), 0), IF($B15='Project List References'!$B$6, _xlfn.IFNA(_xlfn.XLOOKUP(Q$2-$C15,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R15" s="744" t="e">
        <f>IF($B15='Project List References'!$B$3, _xlfn.IFNA(_xlfn.XLOOKUP(R$2-$C15, 'GEN-CCGT'!$D$7:$AW$7, 'GEN-CCGT'!$D$115:$AW$115), 0), IF($B15='Project List References'!$B$4, _xlfn.IFNA(_xlfn.XLOOKUP(R$2-$C15, 'GEN-SOLAR'!$D$7:$AW$7, 'GEN-SOLAR'!$D$115:$AW$115), 0), IF($B15='Project List References'!$B$5, _xlfn.IFNA(_xlfn.XLOOKUP(R$2-$C15, 'GEN-BESS'!$D$7:$AW$7, 'GEN-BESS'!$D$117:$AW$117), 0), IF($B15='Project List References'!$B$6, _xlfn.IFNA(_xlfn.XLOOKUP(R$2-$C15,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S15" s="744" t="e">
        <f>IF($B15='Project List References'!$B$3, _xlfn.IFNA(_xlfn.XLOOKUP(S$2-$C15, 'GEN-CCGT'!$D$7:$AW$7, 'GEN-CCGT'!$D$115:$AW$115), 0), IF($B15='Project List References'!$B$4, _xlfn.IFNA(_xlfn.XLOOKUP(S$2-$C15, 'GEN-SOLAR'!$D$7:$AW$7, 'GEN-SOLAR'!$D$115:$AW$115), 0), IF($B15='Project List References'!$B$5, _xlfn.IFNA(_xlfn.XLOOKUP(S$2-$C15, 'GEN-BESS'!$D$7:$AW$7, 'GEN-BESS'!$D$117:$AW$117), 0), IF($B15='Project List References'!$B$6, _xlfn.IFNA(_xlfn.XLOOKUP(S$2-$C15,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T15" s="744" t="e">
        <f>IF($B15='Project List References'!$B$3, _xlfn.IFNA(_xlfn.XLOOKUP(T$2-$C15, 'GEN-CCGT'!$D$7:$AW$7, 'GEN-CCGT'!$D$115:$AW$115), 0), IF($B15='Project List References'!$B$4, _xlfn.IFNA(_xlfn.XLOOKUP(T$2-$C15, 'GEN-SOLAR'!$D$7:$AW$7, 'GEN-SOLAR'!$D$115:$AW$115), 0), IF($B15='Project List References'!$B$5, _xlfn.IFNA(_xlfn.XLOOKUP(T$2-$C15, 'GEN-BESS'!$D$7:$AW$7, 'GEN-BESS'!$D$117:$AW$117), 0), IF($B15='Project List References'!$B$6, _xlfn.IFNA(_xlfn.XLOOKUP(T$2-$C15, 'GEN-CARBON'!$D$7:$AW$7, 'GEN-CARBON'!$D$115:$AW$115), 0), 0))))/_xlfn.XLOOKUP($B15,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</row>
    <row r="16" spans="1:112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_xlfn.XLOOKUP('Project OPEX'!A16, 'Project Master Sheet'!A:A, 'Project Master Sheet'!I:I)</f>
        <v>#N/A</v>
      </c>
      <c r="E16" s="744" t="e">
        <f>IF($B16='Project List References'!$B$3, _xlfn.IFNA(_xlfn.XLOOKUP(E$2-$C16, 'GEN-CCGT'!$D$7:$AW$7, 'GEN-CCGT'!$D$115:$AW$115), 0), IF($B16='Project List References'!$B$4, _xlfn.IFNA(_xlfn.XLOOKUP(E$2-$C16, 'GEN-SOLAR'!$D$7:$AW$7, 'GEN-SOLAR'!$D$115:$AW$115), 0), IF($B16='Project List References'!$B$5, _xlfn.IFNA(_xlfn.XLOOKUP(E$2-$C16, 'GEN-BESS'!$D$7:$AW$7, 'GEN-BESS'!$D$117:$AW$117), 0), IF($B16='Project List References'!$B$6, _xlfn.IFNA(_xlfn.XLOOKUP(E$2-$C16,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F16" s="744" t="e">
        <f>IF($B16='Project List References'!$B$3, _xlfn.IFNA(_xlfn.XLOOKUP(F$2-$C16, 'GEN-CCGT'!$D$7:$AW$7, 'GEN-CCGT'!$D$115:$AW$115), 0), IF($B16='Project List References'!$B$4, _xlfn.IFNA(_xlfn.XLOOKUP(F$2-$C16, 'GEN-SOLAR'!$D$7:$AW$7, 'GEN-SOLAR'!$D$115:$AW$115), 0), IF($B16='Project List References'!$B$5, _xlfn.IFNA(_xlfn.XLOOKUP(F$2-$C16, 'GEN-BESS'!$D$7:$AW$7, 'GEN-BESS'!$D$117:$AW$117), 0), IF($B16='Project List References'!$B$6, _xlfn.IFNA(_xlfn.XLOOKUP(F$2-$C16,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G16" s="744" t="e">
        <f>IF($B16='Project List References'!$B$3, _xlfn.IFNA(_xlfn.XLOOKUP(G$2-$C16, 'GEN-CCGT'!$D$7:$AW$7, 'GEN-CCGT'!$D$115:$AW$115), 0), IF($B16='Project List References'!$B$4, _xlfn.IFNA(_xlfn.XLOOKUP(G$2-$C16, 'GEN-SOLAR'!$D$7:$AW$7, 'GEN-SOLAR'!$D$115:$AW$115), 0), IF($B16='Project List References'!$B$5, _xlfn.IFNA(_xlfn.XLOOKUP(G$2-$C16, 'GEN-BESS'!$D$7:$AW$7, 'GEN-BESS'!$D$117:$AW$117), 0), IF($B16='Project List References'!$B$6, _xlfn.IFNA(_xlfn.XLOOKUP(G$2-$C16,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H16" s="744" t="e">
        <f>IF($B16='Project List References'!$B$3, _xlfn.IFNA(_xlfn.XLOOKUP(H$2-$C16, 'GEN-CCGT'!$D$7:$AW$7, 'GEN-CCGT'!$D$115:$AW$115), 0), IF($B16='Project List References'!$B$4, _xlfn.IFNA(_xlfn.XLOOKUP(H$2-$C16, 'GEN-SOLAR'!$D$7:$AW$7, 'GEN-SOLAR'!$D$115:$AW$115), 0), IF($B16='Project List References'!$B$5, _xlfn.IFNA(_xlfn.XLOOKUP(H$2-$C16, 'GEN-BESS'!$D$7:$AW$7, 'GEN-BESS'!$D$117:$AW$117), 0), IF($B16='Project List References'!$B$6, _xlfn.IFNA(_xlfn.XLOOKUP(H$2-$C16,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I16" s="744" t="e">
        <f>IF($B16='Project List References'!$B$3, _xlfn.IFNA(_xlfn.XLOOKUP(I$2-$C16, 'GEN-CCGT'!$D$7:$AW$7, 'GEN-CCGT'!$D$115:$AW$115), 0), IF($B16='Project List References'!$B$4, _xlfn.IFNA(_xlfn.XLOOKUP(I$2-$C16, 'GEN-SOLAR'!$D$7:$AW$7, 'GEN-SOLAR'!$D$115:$AW$115), 0), IF($B16='Project List References'!$B$5, _xlfn.IFNA(_xlfn.XLOOKUP(I$2-$C16, 'GEN-BESS'!$D$7:$AW$7, 'GEN-BESS'!$D$117:$AW$117), 0), IF($B16='Project List References'!$B$6, _xlfn.IFNA(_xlfn.XLOOKUP(I$2-$C16,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J16" s="744" t="e">
        <f>IF($B16='Project List References'!$B$3, _xlfn.IFNA(_xlfn.XLOOKUP(J$2-$C16, 'GEN-CCGT'!$D$7:$AW$7, 'GEN-CCGT'!$D$115:$AW$115), 0), IF($B16='Project List References'!$B$4, _xlfn.IFNA(_xlfn.XLOOKUP(J$2-$C16, 'GEN-SOLAR'!$D$7:$AW$7, 'GEN-SOLAR'!$D$115:$AW$115), 0), IF($B16='Project List References'!$B$5, _xlfn.IFNA(_xlfn.XLOOKUP(J$2-$C16, 'GEN-BESS'!$D$7:$AW$7, 'GEN-BESS'!$D$117:$AW$117), 0), IF($B16='Project List References'!$B$6, _xlfn.IFNA(_xlfn.XLOOKUP(J$2-$C16,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K16" s="744" t="e">
        <f>IF($B16='Project List References'!$B$3, _xlfn.IFNA(_xlfn.XLOOKUP(K$2-$C16, 'GEN-CCGT'!$D$7:$AW$7, 'GEN-CCGT'!$D$115:$AW$115), 0), IF($B16='Project List References'!$B$4, _xlfn.IFNA(_xlfn.XLOOKUP(K$2-$C16, 'GEN-SOLAR'!$D$7:$AW$7, 'GEN-SOLAR'!$D$115:$AW$115), 0), IF($B16='Project List References'!$B$5, _xlfn.IFNA(_xlfn.XLOOKUP(K$2-$C16, 'GEN-BESS'!$D$7:$AW$7, 'GEN-BESS'!$D$117:$AW$117), 0), IF($B16='Project List References'!$B$6, _xlfn.IFNA(_xlfn.XLOOKUP(K$2-$C16,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L16" s="744" t="e">
        <f>IF($B16='Project List References'!$B$3, _xlfn.IFNA(_xlfn.XLOOKUP(L$2-$C16, 'GEN-CCGT'!$D$7:$AW$7, 'GEN-CCGT'!$D$115:$AW$115), 0), IF($B16='Project List References'!$B$4, _xlfn.IFNA(_xlfn.XLOOKUP(L$2-$C16, 'GEN-SOLAR'!$D$7:$AW$7, 'GEN-SOLAR'!$D$115:$AW$115), 0), IF($B16='Project List References'!$B$5, _xlfn.IFNA(_xlfn.XLOOKUP(L$2-$C16, 'GEN-BESS'!$D$7:$AW$7, 'GEN-BESS'!$D$117:$AW$117), 0), IF($B16='Project List References'!$B$6, _xlfn.IFNA(_xlfn.XLOOKUP(L$2-$C16,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M16" s="744" t="e">
        <f>IF($B16='Project List References'!$B$3, _xlfn.IFNA(_xlfn.XLOOKUP(M$2-$C16, 'GEN-CCGT'!$D$7:$AW$7, 'GEN-CCGT'!$D$115:$AW$115), 0), IF($B16='Project List References'!$B$4, _xlfn.IFNA(_xlfn.XLOOKUP(M$2-$C16, 'GEN-SOLAR'!$D$7:$AW$7, 'GEN-SOLAR'!$D$115:$AW$115), 0), IF($B16='Project List References'!$B$5, _xlfn.IFNA(_xlfn.XLOOKUP(M$2-$C16, 'GEN-BESS'!$D$7:$AW$7, 'GEN-BESS'!$D$117:$AW$117), 0), IF($B16='Project List References'!$B$6, _xlfn.IFNA(_xlfn.XLOOKUP(M$2-$C16,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N16" s="744" t="e">
        <f>IF($B16='Project List References'!$B$3, _xlfn.IFNA(_xlfn.XLOOKUP(N$2-$C16, 'GEN-CCGT'!$D$7:$AW$7, 'GEN-CCGT'!$D$115:$AW$115), 0), IF($B16='Project List References'!$B$4, _xlfn.IFNA(_xlfn.XLOOKUP(N$2-$C16, 'GEN-SOLAR'!$D$7:$AW$7, 'GEN-SOLAR'!$D$115:$AW$115), 0), IF($B16='Project List References'!$B$5, _xlfn.IFNA(_xlfn.XLOOKUP(N$2-$C16, 'GEN-BESS'!$D$7:$AW$7, 'GEN-BESS'!$D$117:$AW$117), 0), IF($B16='Project List References'!$B$6, _xlfn.IFNA(_xlfn.XLOOKUP(N$2-$C16,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O16" s="744" t="e">
        <f>IF($B16='Project List References'!$B$3, _xlfn.IFNA(_xlfn.XLOOKUP(O$2-$C16, 'GEN-CCGT'!$D$7:$AW$7, 'GEN-CCGT'!$D$115:$AW$115), 0), IF($B16='Project List References'!$B$4, _xlfn.IFNA(_xlfn.XLOOKUP(O$2-$C16, 'GEN-SOLAR'!$D$7:$AW$7, 'GEN-SOLAR'!$D$115:$AW$115), 0), IF($B16='Project List References'!$B$5, _xlfn.IFNA(_xlfn.XLOOKUP(O$2-$C16, 'GEN-BESS'!$D$7:$AW$7, 'GEN-BESS'!$D$117:$AW$117), 0), IF($B16='Project List References'!$B$6, _xlfn.IFNA(_xlfn.XLOOKUP(O$2-$C16,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P16" s="744" t="e">
        <f>IF($B16='Project List References'!$B$3, _xlfn.IFNA(_xlfn.XLOOKUP(P$2-$C16, 'GEN-CCGT'!$D$7:$AW$7, 'GEN-CCGT'!$D$115:$AW$115), 0), IF($B16='Project List References'!$B$4, _xlfn.IFNA(_xlfn.XLOOKUP(P$2-$C16, 'GEN-SOLAR'!$D$7:$AW$7, 'GEN-SOLAR'!$D$115:$AW$115), 0), IF($B16='Project List References'!$B$5, _xlfn.IFNA(_xlfn.XLOOKUP(P$2-$C16, 'GEN-BESS'!$D$7:$AW$7, 'GEN-BESS'!$D$117:$AW$117), 0), IF($B16='Project List References'!$B$6, _xlfn.IFNA(_xlfn.XLOOKUP(P$2-$C16,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Q16" s="744" t="e">
        <f>IF($B16='Project List References'!$B$3, _xlfn.IFNA(_xlfn.XLOOKUP(Q$2-$C16, 'GEN-CCGT'!$D$7:$AW$7, 'GEN-CCGT'!$D$115:$AW$115), 0), IF($B16='Project List References'!$B$4, _xlfn.IFNA(_xlfn.XLOOKUP(Q$2-$C16, 'GEN-SOLAR'!$D$7:$AW$7, 'GEN-SOLAR'!$D$115:$AW$115), 0), IF($B16='Project List References'!$B$5, _xlfn.IFNA(_xlfn.XLOOKUP(Q$2-$C16, 'GEN-BESS'!$D$7:$AW$7, 'GEN-BESS'!$D$117:$AW$117), 0), IF($B16='Project List References'!$B$6, _xlfn.IFNA(_xlfn.XLOOKUP(Q$2-$C16,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R16" s="744" t="e">
        <f>IF($B16='Project List References'!$B$3, _xlfn.IFNA(_xlfn.XLOOKUP(R$2-$C16, 'GEN-CCGT'!$D$7:$AW$7, 'GEN-CCGT'!$D$115:$AW$115), 0), IF($B16='Project List References'!$B$4, _xlfn.IFNA(_xlfn.XLOOKUP(R$2-$C16, 'GEN-SOLAR'!$D$7:$AW$7, 'GEN-SOLAR'!$D$115:$AW$115), 0), IF($B16='Project List References'!$B$5, _xlfn.IFNA(_xlfn.XLOOKUP(R$2-$C16, 'GEN-BESS'!$D$7:$AW$7, 'GEN-BESS'!$D$117:$AW$117), 0), IF($B16='Project List References'!$B$6, _xlfn.IFNA(_xlfn.XLOOKUP(R$2-$C16,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S16" s="744" t="e">
        <f>IF($B16='Project List References'!$B$3, _xlfn.IFNA(_xlfn.XLOOKUP(S$2-$C16, 'GEN-CCGT'!$D$7:$AW$7, 'GEN-CCGT'!$D$115:$AW$115), 0), IF($B16='Project List References'!$B$4, _xlfn.IFNA(_xlfn.XLOOKUP(S$2-$C16, 'GEN-SOLAR'!$D$7:$AW$7, 'GEN-SOLAR'!$D$115:$AW$115), 0), IF($B16='Project List References'!$B$5, _xlfn.IFNA(_xlfn.XLOOKUP(S$2-$C16, 'GEN-BESS'!$D$7:$AW$7, 'GEN-BESS'!$D$117:$AW$117), 0), IF($B16='Project List References'!$B$6, _xlfn.IFNA(_xlfn.XLOOKUP(S$2-$C16,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T16" s="744" t="e">
        <f>IF($B16='Project List References'!$B$3, _xlfn.IFNA(_xlfn.XLOOKUP(T$2-$C16, 'GEN-CCGT'!$D$7:$AW$7, 'GEN-CCGT'!$D$115:$AW$115), 0), IF($B16='Project List References'!$B$4, _xlfn.IFNA(_xlfn.XLOOKUP(T$2-$C16, 'GEN-SOLAR'!$D$7:$AW$7, 'GEN-SOLAR'!$D$115:$AW$115), 0), IF($B16='Project List References'!$B$5, _xlfn.IFNA(_xlfn.XLOOKUP(T$2-$C16, 'GEN-BESS'!$D$7:$AW$7, 'GEN-BESS'!$D$117:$AW$117), 0), IF($B16='Project List References'!$B$6, _xlfn.IFNA(_xlfn.XLOOKUP(T$2-$C16, 'GEN-CARBON'!$D$7:$AW$7, 'GEN-CARBON'!$D$115:$AW$115), 0), 0))))/_xlfn.XLOOKUP($B16,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_xlfn.XLOOKUP('Project OPEX'!A17, 'Project Master Sheet'!A:A, 'Project Master Sheet'!I:I)</f>
        <v>#N/A</v>
      </c>
      <c r="E17" s="744" t="e">
        <f>IF($B17='Project List References'!$B$3, _xlfn.IFNA(_xlfn.XLOOKUP(E$2-$C17, 'GEN-CCGT'!$D$7:$AW$7, 'GEN-CCGT'!$D$115:$AW$115), 0), IF($B17='Project List References'!$B$4, _xlfn.IFNA(_xlfn.XLOOKUP(E$2-$C17, 'GEN-SOLAR'!$D$7:$AW$7, 'GEN-SOLAR'!$D$115:$AW$115), 0), IF($B17='Project List References'!$B$5, _xlfn.IFNA(_xlfn.XLOOKUP(E$2-$C17, 'GEN-BESS'!$D$7:$AW$7, 'GEN-BESS'!$D$117:$AW$117), 0), IF($B17='Project List References'!$B$6, _xlfn.IFNA(_xlfn.XLOOKUP(E$2-$C17,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F17" s="744" t="e">
        <f>IF($B17='Project List References'!$B$3, _xlfn.IFNA(_xlfn.XLOOKUP(F$2-$C17, 'GEN-CCGT'!$D$7:$AW$7, 'GEN-CCGT'!$D$115:$AW$115), 0), IF($B17='Project List References'!$B$4, _xlfn.IFNA(_xlfn.XLOOKUP(F$2-$C17, 'GEN-SOLAR'!$D$7:$AW$7, 'GEN-SOLAR'!$D$115:$AW$115), 0), IF($B17='Project List References'!$B$5, _xlfn.IFNA(_xlfn.XLOOKUP(F$2-$C17, 'GEN-BESS'!$D$7:$AW$7, 'GEN-BESS'!$D$117:$AW$117), 0), IF($B17='Project List References'!$B$6, _xlfn.IFNA(_xlfn.XLOOKUP(F$2-$C17,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G17" s="744" t="e">
        <f>IF($B17='Project List References'!$B$3, _xlfn.IFNA(_xlfn.XLOOKUP(G$2-$C17, 'GEN-CCGT'!$D$7:$AW$7, 'GEN-CCGT'!$D$115:$AW$115), 0), IF($B17='Project List References'!$B$4, _xlfn.IFNA(_xlfn.XLOOKUP(G$2-$C17, 'GEN-SOLAR'!$D$7:$AW$7, 'GEN-SOLAR'!$D$115:$AW$115), 0), IF($B17='Project List References'!$B$5, _xlfn.IFNA(_xlfn.XLOOKUP(G$2-$C17, 'GEN-BESS'!$D$7:$AW$7, 'GEN-BESS'!$D$117:$AW$117), 0), IF($B17='Project List References'!$B$6, _xlfn.IFNA(_xlfn.XLOOKUP(G$2-$C17,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H17" s="744" t="e">
        <f>IF($B17='Project List References'!$B$3, _xlfn.IFNA(_xlfn.XLOOKUP(H$2-$C17, 'GEN-CCGT'!$D$7:$AW$7, 'GEN-CCGT'!$D$115:$AW$115), 0), IF($B17='Project List References'!$B$4, _xlfn.IFNA(_xlfn.XLOOKUP(H$2-$C17, 'GEN-SOLAR'!$D$7:$AW$7, 'GEN-SOLAR'!$D$115:$AW$115), 0), IF($B17='Project List References'!$B$5, _xlfn.IFNA(_xlfn.XLOOKUP(H$2-$C17, 'GEN-BESS'!$D$7:$AW$7, 'GEN-BESS'!$D$117:$AW$117), 0), IF($B17='Project List References'!$B$6, _xlfn.IFNA(_xlfn.XLOOKUP(H$2-$C17,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I17" s="744" t="e">
        <f>IF($B17='Project List References'!$B$3, _xlfn.IFNA(_xlfn.XLOOKUP(I$2-$C17, 'GEN-CCGT'!$D$7:$AW$7, 'GEN-CCGT'!$D$115:$AW$115), 0), IF($B17='Project List References'!$B$4, _xlfn.IFNA(_xlfn.XLOOKUP(I$2-$C17, 'GEN-SOLAR'!$D$7:$AW$7, 'GEN-SOLAR'!$D$115:$AW$115), 0), IF($B17='Project List References'!$B$5, _xlfn.IFNA(_xlfn.XLOOKUP(I$2-$C17, 'GEN-BESS'!$D$7:$AW$7, 'GEN-BESS'!$D$117:$AW$117), 0), IF($B17='Project List References'!$B$6, _xlfn.IFNA(_xlfn.XLOOKUP(I$2-$C17,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J17" s="744" t="e">
        <f>IF($B17='Project List References'!$B$3, _xlfn.IFNA(_xlfn.XLOOKUP(J$2-$C17, 'GEN-CCGT'!$D$7:$AW$7, 'GEN-CCGT'!$D$115:$AW$115), 0), IF($B17='Project List References'!$B$4, _xlfn.IFNA(_xlfn.XLOOKUP(J$2-$C17, 'GEN-SOLAR'!$D$7:$AW$7, 'GEN-SOLAR'!$D$115:$AW$115), 0), IF($B17='Project List References'!$B$5, _xlfn.IFNA(_xlfn.XLOOKUP(J$2-$C17, 'GEN-BESS'!$D$7:$AW$7, 'GEN-BESS'!$D$117:$AW$117), 0), IF($B17='Project List References'!$B$6, _xlfn.IFNA(_xlfn.XLOOKUP(J$2-$C17,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K17" s="744" t="e">
        <f>IF($B17='Project List References'!$B$3, _xlfn.IFNA(_xlfn.XLOOKUP(K$2-$C17, 'GEN-CCGT'!$D$7:$AW$7, 'GEN-CCGT'!$D$115:$AW$115), 0), IF($B17='Project List References'!$B$4, _xlfn.IFNA(_xlfn.XLOOKUP(K$2-$C17, 'GEN-SOLAR'!$D$7:$AW$7, 'GEN-SOLAR'!$D$115:$AW$115), 0), IF($B17='Project List References'!$B$5, _xlfn.IFNA(_xlfn.XLOOKUP(K$2-$C17, 'GEN-BESS'!$D$7:$AW$7, 'GEN-BESS'!$D$117:$AW$117), 0), IF($B17='Project List References'!$B$6, _xlfn.IFNA(_xlfn.XLOOKUP(K$2-$C17,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L17" s="744" t="e">
        <f>IF($B17='Project List References'!$B$3, _xlfn.IFNA(_xlfn.XLOOKUP(L$2-$C17, 'GEN-CCGT'!$D$7:$AW$7, 'GEN-CCGT'!$D$115:$AW$115), 0), IF($B17='Project List References'!$B$4, _xlfn.IFNA(_xlfn.XLOOKUP(L$2-$C17, 'GEN-SOLAR'!$D$7:$AW$7, 'GEN-SOLAR'!$D$115:$AW$115), 0), IF($B17='Project List References'!$B$5, _xlfn.IFNA(_xlfn.XLOOKUP(L$2-$C17, 'GEN-BESS'!$D$7:$AW$7, 'GEN-BESS'!$D$117:$AW$117), 0), IF($B17='Project List References'!$B$6, _xlfn.IFNA(_xlfn.XLOOKUP(L$2-$C17,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M17" s="744" t="e">
        <f>IF($B17='Project List References'!$B$3, _xlfn.IFNA(_xlfn.XLOOKUP(M$2-$C17, 'GEN-CCGT'!$D$7:$AW$7, 'GEN-CCGT'!$D$115:$AW$115), 0), IF($B17='Project List References'!$B$4, _xlfn.IFNA(_xlfn.XLOOKUP(M$2-$C17, 'GEN-SOLAR'!$D$7:$AW$7, 'GEN-SOLAR'!$D$115:$AW$115), 0), IF($B17='Project List References'!$B$5, _xlfn.IFNA(_xlfn.XLOOKUP(M$2-$C17, 'GEN-BESS'!$D$7:$AW$7, 'GEN-BESS'!$D$117:$AW$117), 0), IF($B17='Project List References'!$B$6, _xlfn.IFNA(_xlfn.XLOOKUP(M$2-$C17,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N17" s="744" t="e">
        <f>IF($B17='Project List References'!$B$3, _xlfn.IFNA(_xlfn.XLOOKUP(N$2-$C17, 'GEN-CCGT'!$D$7:$AW$7, 'GEN-CCGT'!$D$115:$AW$115), 0), IF($B17='Project List References'!$B$4, _xlfn.IFNA(_xlfn.XLOOKUP(N$2-$C17, 'GEN-SOLAR'!$D$7:$AW$7, 'GEN-SOLAR'!$D$115:$AW$115), 0), IF($B17='Project List References'!$B$5, _xlfn.IFNA(_xlfn.XLOOKUP(N$2-$C17, 'GEN-BESS'!$D$7:$AW$7, 'GEN-BESS'!$D$117:$AW$117), 0), IF($B17='Project List References'!$B$6, _xlfn.IFNA(_xlfn.XLOOKUP(N$2-$C17,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O17" s="744" t="e">
        <f>IF($B17='Project List References'!$B$3, _xlfn.IFNA(_xlfn.XLOOKUP(O$2-$C17, 'GEN-CCGT'!$D$7:$AW$7, 'GEN-CCGT'!$D$115:$AW$115), 0), IF($B17='Project List References'!$B$4, _xlfn.IFNA(_xlfn.XLOOKUP(O$2-$C17, 'GEN-SOLAR'!$D$7:$AW$7, 'GEN-SOLAR'!$D$115:$AW$115), 0), IF($B17='Project List References'!$B$5, _xlfn.IFNA(_xlfn.XLOOKUP(O$2-$C17, 'GEN-BESS'!$D$7:$AW$7, 'GEN-BESS'!$D$117:$AW$117), 0), IF($B17='Project List References'!$B$6, _xlfn.IFNA(_xlfn.XLOOKUP(O$2-$C17,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P17" s="744" t="e">
        <f>IF($B17='Project List References'!$B$3, _xlfn.IFNA(_xlfn.XLOOKUP(P$2-$C17, 'GEN-CCGT'!$D$7:$AW$7, 'GEN-CCGT'!$D$115:$AW$115), 0), IF($B17='Project List References'!$B$4, _xlfn.IFNA(_xlfn.XLOOKUP(P$2-$C17, 'GEN-SOLAR'!$D$7:$AW$7, 'GEN-SOLAR'!$D$115:$AW$115), 0), IF($B17='Project List References'!$B$5, _xlfn.IFNA(_xlfn.XLOOKUP(P$2-$C17, 'GEN-BESS'!$D$7:$AW$7, 'GEN-BESS'!$D$117:$AW$117), 0), IF($B17='Project List References'!$B$6, _xlfn.IFNA(_xlfn.XLOOKUP(P$2-$C17,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Q17" s="744" t="e">
        <f>IF($B17='Project List References'!$B$3, _xlfn.IFNA(_xlfn.XLOOKUP(Q$2-$C17, 'GEN-CCGT'!$D$7:$AW$7, 'GEN-CCGT'!$D$115:$AW$115), 0), IF($B17='Project List References'!$B$4, _xlfn.IFNA(_xlfn.XLOOKUP(Q$2-$C17, 'GEN-SOLAR'!$D$7:$AW$7, 'GEN-SOLAR'!$D$115:$AW$115), 0), IF($B17='Project List References'!$B$5, _xlfn.IFNA(_xlfn.XLOOKUP(Q$2-$C17, 'GEN-BESS'!$D$7:$AW$7, 'GEN-BESS'!$D$117:$AW$117), 0), IF($B17='Project List References'!$B$6, _xlfn.IFNA(_xlfn.XLOOKUP(Q$2-$C17,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R17" s="744" t="e">
        <f>IF($B17='Project List References'!$B$3, _xlfn.IFNA(_xlfn.XLOOKUP(R$2-$C17, 'GEN-CCGT'!$D$7:$AW$7, 'GEN-CCGT'!$D$115:$AW$115), 0), IF($B17='Project List References'!$B$4, _xlfn.IFNA(_xlfn.XLOOKUP(R$2-$C17, 'GEN-SOLAR'!$D$7:$AW$7, 'GEN-SOLAR'!$D$115:$AW$115), 0), IF($B17='Project List References'!$B$5, _xlfn.IFNA(_xlfn.XLOOKUP(R$2-$C17, 'GEN-BESS'!$D$7:$AW$7, 'GEN-BESS'!$D$117:$AW$117), 0), IF($B17='Project List References'!$B$6, _xlfn.IFNA(_xlfn.XLOOKUP(R$2-$C17,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S17" s="744" t="e">
        <f>IF($B17='Project List References'!$B$3, _xlfn.IFNA(_xlfn.XLOOKUP(S$2-$C17, 'GEN-CCGT'!$D$7:$AW$7, 'GEN-CCGT'!$D$115:$AW$115), 0), IF($B17='Project List References'!$B$4, _xlfn.IFNA(_xlfn.XLOOKUP(S$2-$C17, 'GEN-SOLAR'!$D$7:$AW$7, 'GEN-SOLAR'!$D$115:$AW$115), 0), IF($B17='Project List References'!$B$5, _xlfn.IFNA(_xlfn.XLOOKUP(S$2-$C17, 'GEN-BESS'!$D$7:$AW$7, 'GEN-BESS'!$D$117:$AW$117), 0), IF($B17='Project List References'!$B$6, _xlfn.IFNA(_xlfn.XLOOKUP(S$2-$C17,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T17" s="744" t="e">
        <f>IF($B17='Project List References'!$B$3, _xlfn.IFNA(_xlfn.XLOOKUP(T$2-$C17, 'GEN-CCGT'!$D$7:$AW$7, 'GEN-CCGT'!$D$115:$AW$115), 0), IF($B17='Project List References'!$B$4, _xlfn.IFNA(_xlfn.XLOOKUP(T$2-$C17, 'GEN-SOLAR'!$D$7:$AW$7, 'GEN-SOLAR'!$D$115:$AW$115), 0), IF($B17='Project List References'!$B$5, _xlfn.IFNA(_xlfn.XLOOKUP(T$2-$C17, 'GEN-BESS'!$D$7:$AW$7, 'GEN-BESS'!$D$117:$AW$117), 0), IF($B17='Project List References'!$B$6, _xlfn.IFNA(_xlfn.XLOOKUP(T$2-$C17, 'GEN-CARBON'!$D$7:$AW$7, 'GEN-CARBON'!$D$115:$AW$115), 0), 0))))/_xlfn.XLOOKUP($B17,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</row>
    <row r="18" spans="1:20">
      <c r="A18" s="655" t="str">
        <f>IF(ISBLANK('Project Master Sheet'!A18)=FALSE, 'Project Master Sheet'!A18, "")</f>
        <v/>
      </c>
      <c r="B18" s="655" t="str">
        <f>_xlfn.IFNA(_xlfn.XLOOKUP(A18, 'Project Master Sheet'!A:A, 'Project Master Sheet'!D:D), "")</f>
        <v/>
      </c>
      <c r="C18" s="655" t="e">
        <f>_xlfn.XLOOKUP('Project OPEX'!A18, 'Project Master Sheet'!A:A, 'Project Master Sheet'!I:I)</f>
        <v>#N/A</v>
      </c>
      <c r="E18" s="744" t="e">
        <f>IF($B18='Project List References'!$B$3, _xlfn.IFNA(_xlfn.XLOOKUP(E$2-$C18, 'GEN-CCGT'!$D$7:$AW$7, 'GEN-CCGT'!$D$115:$AW$115), 0), IF($B18='Project List References'!$B$4, _xlfn.IFNA(_xlfn.XLOOKUP(E$2-$C18, 'GEN-SOLAR'!$D$7:$AW$7, 'GEN-SOLAR'!$D$115:$AW$115), 0), IF($B18='Project List References'!$B$5, _xlfn.IFNA(_xlfn.XLOOKUP(E$2-$C18, 'GEN-BESS'!$D$7:$AW$7, 'GEN-BESS'!$D$117:$AW$117), 0), IF($B18='Project List References'!$B$6, _xlfn.IFNA(_xlfn.XLOOKUP(E$2-$C18,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F18" s="744" t="e">
        <f>IF($B18='Project List References'!$B$3, _xlfn.IFNA(_xlfn.XLOOKUP(F$2-$C18, 'GEN-CCGT'!$D$7:$AW$7, 'GEN-CCGT'!$D$115:$AW$115), 0), IF($B18='Project List References'!$B$4, _xlfn.IFNA(_xlfn.XLOOKUP(F$2-$C18, 'GEN-SOLAR'!$D$7:$AW$7, 'GEN-SOLAR'!$D$115:$AW$115), 0), IF($B18='Project List References'!$B$5, _xlfn.IFNA(_xlfn.XLOOKUP(F$2-$C18, 'GEN-BESS'!$D$7:$AW$7, 'GEN-BESS'!$D$117:$AW$117), 0), IF($B18='Project List References'!$B$6, _xlfn.IFNA(_xlfn.XLOOKUP(F$2-$C18,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G18" s="744" t="e">
        <f>IF($B18='Project List References'!$B$3, _xlfn.IFNA(_xlfn.XLOOKUP(G$2-$C18, 'GEN-CCGT'!$D$7:$AW$7, 'GEN-CCGT'!$D$115:$AW$115), 0), IF($B18='Project List References'!$B$4, _xlfn.IFNA(_xlfn.XLOOKUP(G$2-$C18, 'GEN-SOLAR'!$D$7:$AW$7, 'GEN-SOLAR'!$D$115:$AW$115), 0), IF($B18='Project List References'!$B$5, _xlfn.IFNA(_xlfn.XLOOKUP(G$2-$C18, 'GEN-BESS'!$D$7:$AW$7, 'GEN-BESS'!$D$117:$AW$117), 0), IF($B18='Project List References'!$B$6, _xlfn.IFNA(_xlfn.XLOOKUP(G$2-$C18,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H18" s="744" t="e">
        <f>IF($B18='Project List References'!$B$3, _xlfn.IFNA(_xlfn.XLOOKUP(H$2-$C18, 'GEN-CCGT'!$D$7:$AW$7, 'GEN-CCGT'!$D$115:$AW$115), 0), IF($B18='Project List References'!$B$4, _xlfn.IFNA(_xlfn.XLOOKUP(H$2-$C18, 'GEN-SOLAR'!$D$7:$AW$7, 'GEN-SOLAR'!$D$115:$AW$115), 0), IF($B18='Project List References'!$B$5, _xlfn.IFNA(_xlfn.XLOOKUP(H$2-$C18, 'GEN-BESS'!$D$7:$AW$7, 'GEN-BESS'!$D$117:$AW$117), 0), IF($B18='Project List References'!$B$6, _xlfn.IFNA(_xlfn.XLOOKUP(H$2-$C18,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I18" s="744" t="e">
        <f>IF($B18='Project List References'!$B$3, _xlfn.IFNA(_xlfn.XLOOKUP(I$2-$C18, 'GEN-CCGT'!$D$7:$AW$7, 'GEN-CCGT'!$D$115:$AW$115), 0), IF($B18='Project List References'!$B$4, _xlfn.IFNA(_xlfn.XLOOKUP(I$2-$C18, 'GEN-SOLAR'!$D$7:$AW$7, 'GEN-SOLAR'!$D$115:$AW$115), 0), IF($B18='Project List References'!$B$5, _xlfn.IFNA(_xlfn.XLOOKUP(I$2-$C18, 'GEN-BESS'!$D$7:$AW$7, 'GEN-BESS'!$D$117:$AW$117), 0), IF($B18='Project List References'!$B$6, _xlfn.IFNA(_xlfn.XLOOKUP(I$2-$C18,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J18" s="744" t="e">
        <f>IF($B18='Project List References'!$B$3, _xlfn.IFNA(_xlfn.XLOOKUP(J$2-$C18, 'GEN-CCGT'!$D$7:$AW$7, 'GEN-CCGT'!$D$115:$AW$115), 0), IF($B18='Project List References'!$B$4, _xlfn.IFNA(_xlfn.XLOOKUP(J$2-$C18, 'GEN-SOLAR'!$D$7:$AW$7, 'GEN-SOLAR'!$D$115:$AW$115), 0), IF($B18='Project List References'!$B$5, _xlfn.IFNA(_xlfn.XLOOKUP(J$2-$C18, 'GEN-BESS'!$D$7:$AW$7, 'GEN-BESS'!$D$117:$AW$117), 0), IF($B18='Project List References'!$B$6, _xlfn.IFNA(_xlfn.XLOOKUP(J$2-$C18,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K18" s="744" t="e">
        <f>IF($B18='Project List References'!$B$3, _xlfn.IFNA(_xlfn.XLOOKUP(K$2-$C18, 'GEN-CCGT'!$D$7:$AW$7, 'GEN-CCGT'!$D$115:$AW$115), 0), IF($B18='Project List References'!$B$4, _xlfn.IFNA(_xlfn.XLOOKUP(K$2-$C18, 'GEN-SOLAR'!$D$7:$AW$7, 'GEN-SOLAR'!$D$115:$AW$115), 0), IF($B18='Project List References'!$B$5, _xlfn.IFNA(_xlfn.XLOOKUP(K$2-$C18, 'GEN-BESS'!$D$7:$AW$7, 'GEN-BESS'!$D$117:$AW$117), 0), IF($B18='Project List References'!$B$6, _xlfn.IFNA(_xlfn.XLOOKUP(K$2-$C18,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L18" s="744" t="e">
        <f>IF($B18='Project List References'!$B$3, _xlfn.IFNA(_xlfn.XLOOKUP(L$2-$C18, 'GEN-CCGT'!$D$7:$AW$7, 'GEN-CCGT'!$D$115:$AW$115), 0), IF($B18='Project List References'!$B$4, _xlfn.IFNA(_xlfn.XLOOKUP(L$2-$C18, 'GEN-SOLAR'!$D$7:$AW$7, 'GEN-SOLAR'!$D$115:$AW$115), 0), IF($B18='Project List References'!$B$5, _xlfn.IFNA(_xlfn.XLOOKUP(L$2-$C18, 'GEN-BESS'!$D$7:$AW$7, 'GEN-BESS'!$D$117:$AW$117), 0), IF($B18='Project List References'!$B$6, _xlfn.IFNA(_xlfn.XLOOKUP(L$2-$C18,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M18" s="744" t="e">
        <f>IF($B18='Project List References'!$B$3, _xlfn.IFNA(_xlfn.XLOOKUP(M$2-$C18, 'GEN-CCGT'!$D$7:$AW$7, 'GEN-CCGT'!$D$115:$AW$115), 0), IF($B18='Project List References'!$B$4, _xlfn.IFNA(_xlfn.XLOOKUP(M$2-$C18, 'GEN-SOLAR'!$D$7:$AW$7, 'GEN-SOLAR'!$D$115:$AW$115), 0), IF($B18='Project List References'!$B$5, _xlfn.IFNA(_xlfn.XLOOKUP(M$2-$C18, 'GEN-BESS'!$D$7:$AW$7, 'GEN-BESS'!$D$117:$AW$117), 0), IF($B18='Project List References'!$B$6, _xlfn.IFNA(_xlfn.XLOOKUP(M$2-$C18,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N18" s="744" t="e">
        <f>IF($B18='Project List References'!$B$3, _xlfn.IFNA(_xlfn.XLOOKUP(N$2-$C18, 'GEN-CCGT'!$D$7:$AW$7, 'GEN-CCGT'!$D$115:$AW$115), 0), IF($B18='Project List References'!$B$4, _xlfn.IFNA(_xlfn.XLOOKUP(N$2-$C18, 'GEN-SOLAR'!$D$7:$AW$7, 'GEN-SOLAR'!$D$115:$AW$115), 0), IF($B18='Project List References'!$B$5, _xlfn.IFNA(_xlfn.XLOOKUP(N$2-$C18, 'GEN-BESS'!$D$7:$AW$7, 'GEN-BESS'!$D$117:$AW$117), 0), IF($B18='Project List References'!$B$6, _xlfn.IFNA(_xlfn.XLOOKUP(N$2-$C18,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O18" s="744" t="e">
        <f>IF($B18='Project List References'!$B$3, _xlfn.IFNA(_xlfn.XLOOKUP(O$2-$C18, 'GEN-CCGT'!$D$7:$AW$7, 'GEN-CCGT'!$D$115:$AW$115), 0), IF($B18='Project List References'!$B$4, _xlfn.IFNA(_xlfn.XLOOKUP(O$2-$C18, 'GEN-SOLAR'!$D$7:$AW$7, 'GEN-SOLAR'!$D$115:$AW$115), 0), IF($B18='Project List References'!$B$5, _xlfn.IFNA(_xlfn.XLOOKUP(O$2-$C18, 'GEN-BESS'!$D$7:$AW$7, 'GEN-BESS'!$D$117:$AW$117), 0), IF($B18='Project List References'!$B$6, _xlfn.IFNA(_xlfn.XLOOKUP(O$2-$C18,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P18" s="744" t="e">
        <f>IF($B18='Project List References'!$B$3, _xlfn.IFNA(_xlfn.XLOOKUP(P$2-$C18, 'GEN-CCGT'!$D$7:$AW$7, 'GEN-CCGT'!$D$115:$AW$115), 0), IF($B18='Project List References'!$B$4, _xlfn.IFNA(_xlfn.XLOOKUP(P$2-$C18, 'GEN-SOLAR'!$D$7:$AW$7, 'GEN-SOLAR'!$D$115:$AW$115), 0), IF($B18='Project List References'!$B$5, _xlfn.IFNA(_xlfn.XLOOKUP(P$2-$C18, 'GEN-BESS'!$D$7:$AW$7, 'GEN-BESS'!$D$117:$AW$117), 0), IF($B18='Project List References'!$B$6, _xlfn.IFNA(_xlfn.XLOOKUP(P$2-$C18,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Q18" s="744" t="e">
        <f>IF($B18='Project List References'!$B$3, _xlfn.IFNA(_xlfn.XLOOKUP(Q$2-$C18, 'GEN-CCGT'!$D$7:$AW$7, 'GEN-CCGT'!$D$115:$AW$115), 0), IF($B18='Project List References'!$B$4, _xlfn.IFNA(_xlfn.XLOOKUP(Q$2-$C18, 'GEN-SOLAR'!$D$7:$AW$7, 'GEN-SOLAR'!$D$115:$AW$115), 0), IF($B18='Project List References'!$B$5, _xlfn.IFNA(_xlfn.XLOOKUP(Q$2-$C18, 'GEN-BESS'!$D$7:$AW$7, 'GEN-BESS'!$D$117:$AW$117), 0), IF($B18='Project List References'!$B$6, _xlfn.IFNA(_xlfn.XLOOKUP(Q$2-$C18,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R18" s="744" t="e">
        <f>IF($B18='Project List References'!$B$3, _xlfn.IFNA(_xlfn.XLOOKUP(R$2-$C18, 'GEN-CCGT'!$D$7:$AW$7, 'GEN-CCGT'!$D$115:$AW$115), 0), IF($B18='Project List References'!$B$4, _xlfn.IFNA(_xlfn.XLOOKUP(R$2-$C18, 'GEN-SOLAR'!$D$7:$AW$7, 'GEN-SOLAR'!$D$115:$AW$115), 0), IF($B18='Project List References'!$B$5, _xlfn.IFNA(_xlfn.XLOOKUP(R$2-$C18, 'GEN-BESS'!$D$7:$AW$7, 'GEN-BESS'!$D$117:$AW$117), 0), IF($B18='Project List References'!$B$6, _xlfn.IFNA(_xlfn.XLOOKUP(R$2-$C18,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S18" s="744" t="e">
        <f>IF($B18='Project List References'!$B$3, _xlfn.IFNA(_xlfn.XLOOKUP(S$2-$C18, 'GEN-CCGT'!$D$7:$AW$7, 'GEN-CCGT'!$D$115:$AW$115), 0), IF($B18='Project List References'!$B$4, _xlfn.IFNA(_xlfn.XLOOKUP(S$2-$C18, 'GEN-SOLAR'!$D$7:$AW$7, 'GEN-SOLAR'!$D$115:$AW$115), 0), IF($B18='Project List References'!$B$5, _xlfn.IFNA(_xlfn.XLOOKUP(S$2-$C18, 'GEN-BESS'!$D$7:$AW$7, 'GEN-BESS'!$D$117:$AW$117), 0), IF($B18='Project List References'!$B$6, _xlfn.IFNA(_xlfn.XLOOKUP(S$2-$C18,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  <c r="T18" s="744" t="e">
        <f>IF($B18='Project List References'!$B$3, _xlfn.IFNA(_xlfn.XLOOKUP(T$2-$C18, 'GEN-CCGT'!$D$7:$AW$7, 'GEN-CCGT'!$D$115:$AW$115), 0), IF($B18='Project List References'!$B$4, _xlfn.IFNA(_xlfn.XLOOKUP(T$2-$C18, 'GEN-SOLAR'!$D$7:$AW$7, 'GEN-SOLAR'!$D$115:$AW$115), 0), IF($B18='Project List References'!$B$5, _xlfn.IFNA(_xlfn.XLOOKUP(T$2-$C18, 'GEN-BESS'!$D$7:$AW$7, 'GEN-BESS'!$D$117:$AW$117), 0), IF($B18='Project List References'!$B$6, _xlfn.IFNA(_xlfn.XLOOKUP(T$2-$C18, 'GEN-CARBON'!$D$7:$AW$7, 'GEN-CARBON'!$D$115:$AW$115), 0), 0))))/_xlfn.XLOOKUP($B18, 'Assumptions &amp; Inputs'!$F$76:$L$76, 'Assumptions &amp; Inputs'!$F$77:$L$77)*IF(OR($B18='Project List References'!$B$3, $B18='Project List References'!$B$4, $B18='Project List References'!$B$5, $B18='Project List References'!$B$6), 'Project Master Sheet'!$E18, 'Project Master Sheet'!$F18)</f>
        <v>#N/A</v>
      </c>
    </row>
    <row r="19" spans="1:20">
      <c r="A19" s="655" t="str">
        <f>IF(ISBLANK('Project Master Sheet'!A19)=FALSE, 'Project Master Sheet'!A19, "")</f>
        <v/>
      </c>
      <c r="B19" s="655" t="str">
        <f>_xlfn.IFNA(_xlfn.XLOOKUP(A19, 'Project Master Sheet'!A:A, 'Project Master Sheet'!D:D), "")</f>
        <v/>
      </c>
      <c r="C19" s="655" t="e">
        <f>_xlfn.XLOOKUP('Project OPEX'!A19, 'Project Master Sheet'!A:A, 'Project Master Sheet'!I:I)</f>
        <v>#N/A</v>
      </c>
      <c r="E19" s="744" t="e">
        <f>IF($B19='Project List References'!$B$3, _xlfn.IFNA(_xlfn.XLOOKUP(E$2-$C19, 'GEN-CCGT'!$D$7:$AW$7, 'GEN-CCGT'!$D$115:$AW$115), 0), IF($B19='Project List References'!$B$4, _xlfn.IFNA(_xlfn.XLOOKUP(E$2-$C19, 'GEN-SOLAR'!$D$7:$AW$7, 'GEN-SOLAR'!$D$115:$AW$115), 0), IF($B19='Project List References'!$B$5, _xlfn.IFNA(_xlfn.XLOOKUP(E$2-$C19, 'GEN-BESS'!$D$7:$AW$7, 'GEN-BESS'!$D$117:$AW$117), 0), IF($B19='Project List References'!$B$6, _xlfn.IFNA(_xlfn.XLOOKUP(E$2-$C19,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F19" s="744" t="e">
        <f>IF($B19='Project List References'!$B$3, _xlfn.IFNA(_xlfn.XLOOKUP(F$2-$C19, 'GEN-CCGT'!$D$7:$AW$7, 'GEN-CCGT'!$D$115:$AW$115), 0), IF($B19='Project List References'!$B$4, _xlfn.IFNA(_xlfn.XLOOKUP(F$2-$C19, 'GEN-SOLAR'!$D$7:$AW$7, 'GEN-SOLAR'!$D$115:$AW$115), 0), IF($B19='Project List References'!$B$5, _xlfn.IFNA(_xlfn.XLOOKUP(F$2-$C19, 'GEN-BESS'!$D$7:$AW$7, 'GEN-BESS'!$D$117:$AW$117), 0), IF($B19='Project List References'!$B$6, _xlfn.IFNA(_xlfn.XLOOKUP(F$2-$C19,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G19" s="744" t="e">
        <f>IF($B19='Project List References'!$B$3, _xlfn.IFNA(_xlfn.XLOOKUP(G$2-$C19, 'GEN-CCGT'!$D$7:$AW$7, 'GEN-CCGT'!$D$115:$AW$115), 0), IF($B19='Project List References'!$B$4, _xlfn.IFNA(_xlfn.XLOOKUP(G$2-$C19, 'GEN-SOLAR'!$D$7:$AW$7, 'GEN-SOLAR'!$D$115:$AW$115), 0), IF($B19='Project List References'!$B$5, _xlfn.IFNA(_xlfn.XLOOKUP(G$2-$C19, 'GEN-BESS'!$D$7:$AW$7, 'GEN-BESS'!$D$117:$AW$117), 0), IF($B19='Project List References'!$B$6, _xlfn.IFNA(_xlfn.XLOOKUP(G$2-$C19,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H19" s="744" t="e">
        <f>IF($B19='Project List References'!$B$3, _xlfn.IFNA(_xlfn.XLOOKUP(H$2-$C19, 'GEN-CCGT'!$D$7:$AW$7, 'GEN-CCGT'!$D$115:$AW$115), 0), IF($B19='Project List References'!$B$4, _xlfn.IFNA(_xlfn.XLOOKUP(H$2-$C19, 'GEN-SOLAR'!$D$7:$AW$7, 'GEN-SOLAR'!$D$115:$AW$115), 0), IF($B19='Project List References'!$B$5, _xlfn.IFNA(_xlfn.XLOOKUP(H$2-$C19, 'GEN-BESS'!$D$7:$AW$7, 'GEN-BESS'!$D$117:$AW$117), 0), IF($B19='Project List References'!$B$6, _xlfn.IFNA(_xlfn.XLOOKUP(H$2-$C19,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I19" s="744" t="e">
        <f>IF($B19='Project List References'!$B$3, _xlfn.IFNA(_xlfn.XLOOKUP(I$2-$C19, 'GEN-CCGT'!$D$7:$AW$7, 'GEN-CCGT'!$D$115:$AW$115), 0), IF($B19='Project List References'!$B$4, _xlfn.IFNA(_xlfn.XLOOKUP(I$2-$C19, 'GEN-SOLAR'!$D$7:$AW$7, 'GEN-SOLAR'!$D$115:$AW$115), 0), IF($B19='Project List References'!$B$5, _xlfn.IFNA(_xlfn.XLOOKUP(I$2-$C19, 'GEN-BESS'!$D$7:$AW$7, 'GEN-BESS'!$D$117:$AW$117), 0), IF($B19='Project List References'!$B$6, _xlfn.IFNA(_xlfn.XLOOKUP(I$2-$C19,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J19" s="744" t="e">
        <f>IF($B19='Project List References'!$B$3, _xlfn.IFNA(_xlfn.XLOOKUP(J$2-$C19, 'GEN-CCGT'!$D$7:$AW$7, 'GEN-CCGT'!$D$115:$AW$115), 0), IF($B19='Project List References'!$B$4, _xlfn.IFNA(_xlfn.XLOOKUP(J$2-$C19, 'GEN-SOLAR'!$D$7:$AW$7, 'GEN-SOLAR'!$D$115:$AW$115), 0), IF($B19='Project List References'!$B$5, _xlfn.IFNA(_xlfn.XLOOKUP(J$2-$C19, 'GEN-BESS'!$D$7:$AW$7, 'GEN-BESS'!$D$117:$AW$117), 0), IF($B19='Project List References'!$B$6, _xlfn.IFNA(_xlfn.XLOOKUP(J$2-$C19,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K19" s="744" t="e">
        <f>IF($B19='Project List References'!$B$3, _xlfn.IFNA(_xlfn.XLOOKUP(K$2-$C19, 'GEN-CCGT'!$D$7:$AW$7, 'GEN-CCGT'!$D$115:$AW$115), 0), IF($B19='Project List References'!$B$4, _xlfn.IFNA(_xlfn.XLOOKUP(K$2-$C19, 'GEN-SOLAR'!$D$7:$AW$7, 'GEN-SOLAR'!$D$115:$AW$115), 0), IF($B19='Project List References'!$B$5, _xlfn.IFNA(_xlfn.XLOOKUP(K$2-$C19, 'GEN-BESS'!$D$7:$AW$7, 'GEN-BESS'!$D$117:$AW$117), 0), IF($B19='Project List References'!$B$6, _xlfn.IFNA(_xlfn.XLOOKUP(K$2-$C19,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L19" s="744" t="e">
        <f>IF($B19='Project List References'!$B$3, _xlfn.IFNA(_xlfn.XLOOKUP(L$2-$C19, 'GEN-CCGT'!$D$7:$AW$7, 'GEN-CCGT'!$D$115:$AW$115), 0), IF($B19='Project List References'!$B$4, _xlfn.IFNA(_xlfn.XLOOKUP(L$2-$C19, 'GEN-SOLAR'!$D$7:$AW$7, 'GEN-SOLAR'!$D$115:$AW$115), 0), IF($B19='Project List References'!$B$5, _xlfn.IFNA(_xlfn.XLOOKUP(L$2-$C19, 'GEN-BESS'!$D$7:$AW$7, 'GEN-BESS'!$D$117:$AW$117), 0), IF($B19='Project List References'!$B$6, _xlfn.IFNA(_xlfn.XLOOKUP(L$2-$C19,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M19" s="744" t="e">
        <f>IF($B19='Project List References'!$B$3, _xlfn.IFNA(_xlfn.XLOOKUP(M$2-$C19, 'GEN-CCGT'!$D$7:$AW$7, 'GEN-CCGT'!$D$115:$AW$115), 0), IF($B19='Project List References'!$B$4, _xlfn.IFNA(_xlfn.XLOOKUP(M$2-$C19, 'GEN-SOLAR'!$D$7:$AW$7, 'GEN-SOLAR'!$D$115:$AW$115), 0), IF($B19='Project List References'!$B$5, _xlfn.IFNA(_xlfn.XLOOKUP(M$2-$C19, 'GEN-BESS'!$D$7:$AW$7, 'GEN-BESS'!$D$117:$AW$117), 0), IF($B19='Project List References'!$B$6, _xlfn.IFNA(_xlfn.XLOOKUP(M$2-$C19,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N19" s="744" t="e">
        <f>IF($B19='Project List References'!$B$3, _xlfn.IFNA(_xlfn.XLOOKUP(N$2-$C19, 'GEN-CCGT'!$D$7:$AW$7, 'GEN-CCGT'!$D$115:$AW$115), 0), IF($B19='Project List References'!$B$4, _xlfn.IFNA(_xlfn.XLOOKUP(N$2-$C19, 'GEN-SOLAR'!$D$7:$AW$7, 'GEN-SOLAR'!$D$115:$AW$115), 0), IF($B19='Project List References'!$B$5, _xlfn.IFNA(_xlfn.XLOOKUP(N$2-$C19, 'GEN-BESS'!$D$7:$AW$7, 'GEN-BESS'!$D$117:$AW$117), 0), IF($B19='Project List References'!$B$6, _xlfn.IFNA(_xlfn.XLOOKUP(N$2-$C19,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O19" s="744" t="e">
        <f>IF($B19='Project List References'!$B$3, _xlfn.IFNA(_xlfn.XLOOKUP(O$2-$C19, 'GEN-CCGT'!$D$7:$AW$7, 'GEN-CCGT'!$D$115:$AW$115), 0), IF($B19='Project List References'!$B$4, _xlfn.IFNA(_xlfn.XLOOKUP(O$2-$C19, 'GEN-SOLAR'!$D$7:$AW$7, 'GEN-SOLAR'!$D$115:$AW$115), 0), IF($B19='Project List References'!$B$5, _xlfn.IFNA(_xlfn.XLOOKUP(O$2-$C19, 'GEN-BESS'!$D$7:$AW$7, 'GEN-BESS'!$D$117:$AW$117), 0), IF($B19='Project List References'!$B$6, _xlfn.IFNA(_xlfn.XLOOKUP(O$2-$C19,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P19" s="744" t="e">
        <f>IF($B19='Project List References'!$B$3, _xlfn.IFNA(_xlfn.XLOOKUP(P$2-$C19, 'GEN-CCGT'!$D$7:$AW$7, 'GEN-CCGT'!$D$115:$AW$115), 0), IF($B19='Project List References'!$B$4, _xlfn.IFNA(_xlfn.XLOOKUP(P$2-$C19, 'GEN-SOLAR'!$D$7:$AW$7, 'GEN-SOLAR'!$D$115:$AW$115), 0), IF($B19='Project List References'!$B$5, _xlfn.IFNA(_xlfn.XLOOKUP(P$2-$C19, 'GEN-BESS'!$D$7:$AW$7, 'GEN-BESS'!$D$117:$AW$117), 0), IF($B19='Project List References'!$B$6, _xlfn.IFNA(_xlfn.XLOOKUP(P$2-$C19,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Q19" s="744" t="e">
        <f>IF($B19='Project List References'!$B$3, _xlfn.IFNA(_xlfn.XLOOKUP(Q$2-$C19, 'GEN-CCGT'!$D$7:$AW$7, 'GEN-CCGT'!$D$115:$AW$115), 0), IF($B19='Project List References'!$B$4, _xlfn.IFNA(_xlfn.XLOOKUP(Q$2-$C19, 'GEN-SOLAR'!$D$7:$AW$7, 'GEN-SOLAR'!$D$115:$AW$115), 0), IF($B19='Project List References'!$B$5, _xlfn.IFNA(_xlfn.XLOOKUP(Q$2-$C19, 'GEN-BESS'!$D$7:$AW$7, 'GEN-BESS'!$D$117:$AW$117), 0), IF($B19='Project List References'!$B$6, _xlfn.IFNA(_xlfn.XLOOKUP(Q$2-$C19,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R19" s="744" t="e">
        <f>IF($B19='Project List References'!$B$3, _xlfn.IFNA(_xlfn.XLOOKUP(R$2-$C19, 'GEN-CCGT'!$D$7:$AW$7, 'GEN-CCGT'!$D$115:$AW$115), 0), IF($B19='Project List References'!$B$4, _xlfn.IFNA(_xlfn.XLOOKUP(R$2-$C19, 'GEN-SOLAR'!$D$7:$AW$7, 'GEN-SOLAR'!$D$115:$AW$115), 0), IF($B19='Project List References'!$B$5, _xlfn.IFNA(_xlfn.XLOOKUP(R$2-$C19, 'GEN-BESS'!$D$7:$AW$7, 'GEN-BESS'!$D$117:$AW$117), 0), IF($B19='Project List References'!$B$6, _xlfn.IFNA(_xlfn.XLOOKUP(R$2-$C19,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S19" s="744" t="e">
        <f>IF($B19='Project List References'!$B$3, _xlfn.IFNA(_xlfn.XLOOKUP(S$2-$C19, 'GEN-CCGT'!$D$7:$AW$7, 'GEN-CCGT'!$D$115:$AW$115), 0), IF($B19='Project List References'!$B$4, _xlfn.IFNA(_xlfn.XLOOKUP(S$2-$C19, 'GEN-SOLAR'!$D$7:$AW$7, 'GEN-SOLAR'!$D$115:$AW$115), 0), IF($B19='Project List References'!$B$5, _xlfn.IFNA(_xlfn.XLOOKUP(S$2-$C19, 'GEN-BESS'!$D$7:$AW$7, 'GEN-BESS'!$D$117:$AW$117), 0), IF($B19='Project List References'!$B$6, _xlfn.IFNA(_xlfn.XLOOKUP(S$2-$C19,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  <c r="T19" s="744" t="e">
        <f>IF($B19='Project List References'!$B$3, _xlfn.IFNA(_xlfn.XLOOKUP(T$2-$C19, 'GEN-CCGT'!$D$7:$AW$7, 'GEN-CCGT'!$D$115:$AW$115), 0), IF($B19='Project List References'!$B$4, _xlfn.IFNA(_xlfn.XLOOKUP(T$2-$C19, 'GEN-SOLAR'!$D$7:$AW$7, 'GEN-SOLAR'!$D$115:$AW$115), 0), IF($B19='Project List References'!$B$5, _xlfn.IFNA(_xlfn.XLOOKUP(T$2-$C19, 'GEN-BESS'!$D$7:$AW$7, 'GEN-BESS'!$D$117:$AW$117), 0), IF($B19='Project List References'!$B$6, _xlfn.IFNA(_xlfn.XLOOKUP(T$2-$C19, 'GEN-CARBON'!$D$7:$AW$7, 'GEN-CARBON'!$D$115:$AW$115), 0), 0))))/_xlfn.XLOOKUP($B19, 'Assumptions &amp; Inputs'!$F$76:$L$76, 'Assumptions &amp; Inputs'!$F$77:$L$77)*IF(OR($B19='Project List References'!$B$3, $B19='Project List References'!$B$4, $B19='Project List References'!$B$5, $B19='Project List References'!$B$6), 'Project Master Sheet'!$E19, 'Project Master Sheet'!$F19)</f>
        <v>#N/A</v>
      </c>
    </row>
    <row r="20" spans="1:20">
      <c r="A20" s="655" t="str">
        <f>IF(ISBLANK('Project Master Sheet'!A20)=FALSE, 'Project Master Sheet'!A20, "")</f>
        <v/>
      </c>
      <c r="B20" s="655" t="str">
        <f>_xlfn.IFNA(_xlfn.XLOOKUP(A20, 'Project Master Sheet'!A:A, 'Project Master Sheet'!D:D), "")</f>
        <v/>
      </c>
      <c r="C20" s="655" t="e">
        <f>_xlfn.XLOOKUP('Project OPEX'!A20, 'Project Master Sheet'!A:A, 'Project Master Sheet'!I:I)</f>
        <v>#N/A</v>
      </c>
      <c r="E20" s="744" t="e">
        <f>IF($B20='Project List References'!$B$3, _xlfn.IFNA(_xlfn.XLOOKUP(E$2-$C20, 'GEN-CCGT'!$D$7:$AW$7, 'GEN-CCGT'!$D$115:$AW$115), 0), IF($B20='Project List References'!$B$4, _xlfn.IFNA(_xlfn.XLOOKUP(E$2-$C20, 'GEN-SOLAR'!$D$7:$AW$7, 'GEN-SOLAR'!$D$115:$AW$115), 0), IF($B20='Project List References'!$B$5, _xlfn.IFNA(_xlfn.XLOOKUP(E$2-$C20, 'GEN-BESS'!$D$7:$AW$7, 'GEN-BESS'!$D$117:$AW$117), 0), IF($B20='Project List References'!$B$6, _xlfn.IFNA(_xlfn.XLOOKUP(E$2-$C20,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F20" s="744" t="e">
        <f>IF($B20='Project List References'!$B$3, _xlfn.IFNA(_xlfn.XLOOKUP(F$2-$C20, 'GEN-CCGT'!$D$7:$AW$7, 'GEN-CCGT'!$D$115:$AW$115), 0), IF($B20='Project List References'!$B$4, _xlfn.IFNA(_xlfn.XLOOKUP(F$2-$C20, 'GEN-SOLAR'!$D$7:$AW$7, 'GEN-SOLAR'!$D$115:$AW$115), 0), IF($B20='Project List References'!$B$5, _xlfn.IFNA(_xlfn.XLOOKUP(F$2-$C20, 'GEN-BESS'!$D$7:$AW$7, 'GEN-BESS'!$D$117:$AW$117), 0), IF($B20='Project List References'!$B$6, _xlfn.IFNA(_xlfn.XLOOKUP(F$2-$C20,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G20" s="744" t="e">
        <f>IF($B20='Project List References'!$B$3, _xlfn.IFNA(_xlfn.XLOOKUP(G$2-$C20, 'GEN-CCGT'!$D$7:$AW$7, 'GEN-CCGT'!$D$115:$AW$115), 0), IF($B20='Project List References'!$B$4, _xlfn.IFNA(_xlfn.XLOOKUP(G$2-$C20, 'GEN-SOLAR'!$D$7:$AW$7, 'GEN-SOLAR'!$D$115:$AW$115), 0), IF($B20='Project List References'!$B$5, _xlfn.IFNA(_xlfn.XLOOKUP(G$2-$C20, 'GEN-BESS'!$D$7:$AW$7, 'GEN-BESS'!$D$117:$AW$117), 0), IF($B20='Project List References'!$B$6, _xlfn.IFNA(_xlfn.XLOOKUP(G$2-$C20,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H20" s="744" t="e">
        <f>IF($B20='Project List References'!$B$3, _xlfn.IFNA(_xlfn.XLOOKUP(H$2-$C20, 'GEN-CCGT'!$D$7:$AW$7, 'GEN-CCGT'!$D$115:$AW$115), 0), IF($B20='Project List References'!$B$4, _xlfn.IFNA(_xlfn.XLOOKUP(H$2-$C20, 'GEN-SOLAR'!$D$7:$AW$7, 'GEN-SOLAR'!$D$115:$AW$115), 0), IF($B20='Project List References'!$B$5, _xlfn.IFNA(_xlfn.XLOOKUP(H$2-$C20, 'GEN-BESS'!$D$7:$AW$7, 'GEN-BESS'!$D$117:$AW$117), 0), IF($B20='Project List References'!$B$6, _xlfn.IFNA(_xlfn.XLOOKUP(H$2-$C20,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I20" s="744" t="e">
        <f>IF($B20='Project List References'!$B$3, _xlfn.IFNA(_xlfn.XLOOKUP(I$2-$C20, 'GEN-CCGT'!$D$7:$AW$7, 'GEN-CCGT'!$D$115:$AW$115), 0), IF($B20='Project List References'!$B$4, _xlfn.IFNA(_xlfn.XLOOKUP(I$2-$C20, 'GEN-SOLAR'!$D$7:$AW$7, 'GEN-SOLAR'!$D$115:$AW$115), 0), IF($B20='Project List References'!$B$5, _xlfn.IFNA(_xlfn.XLOOKUP(I$2-$C20, 'GEN-BESS'!$D$7:$AW$7, 'GEN-BESS'!$D$117:$AW$117), 0), IF($B20='Project List References'!$B$6, _xlfn.IFNA(_xlfn.XLOOKUP(I$2-$C20,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J20" s="744" t="e">
        <f>IF($B20='Project List References'!$B$3, _xlfn.IFNA(_xlfn.XLOOKUP(J$2-$C20, 'GEN-CCGT'!$D$7:$AW$7, 'GEN-CCGT'!$D$115:$AW$115), 0), IF($B20='Project List References'!$B$4, _xlfn.IFNA(_xlfn.XLOOKUP(J$2-$C20, 'GEN-SOLAR'!$D$7:$AW$7, 'GEN-SOLAR'!$D$115:$AW$115), 0), IF($B20='Project List References'!$B$5, _xlfn.IFNA(_xlfn.XLOOKUP(J$2-$C20, 'GEN-BESS'!$D$7:$AW$7, 'GEN-BESS'!$D$117:$AW$117), 0), IF($B20='Project List References'!$B$6, _xlfn.IFNA(_xlfn.XLOOKUP(J$2-$C20,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K20" s="744" t="e">
        <f>IF($B20='Project List References'!$B$3, _xlfn.IFNA(_xlfn.XLOOKUP(K$2-$C20, 'GEN-CCGT'!$D$7:$AW$7, 'GEN-CCGT'!$D$115:$AW$115), 0), IF($B20='Project List References'!$B$4, _xlfn.IFNA(_xlfn.XLOOKUP(K$2-$C20, 'GEN-SOLAR'!$D$7:$AW$7, 'GEN-SOLAR'!$D$115:$AW$115), 0), IF($B20='Project List References'!$B$5, _xlfn.IFNA(_xlfn.XLOOKUP(K$2-$C20, 'GEN-BESS'!$D$7:$AW$7, 'GEN-BESS'!$D$117:$AW$117), 0), IF($B20='Project List References'!$B$6, _xlfn.IFNA(_xlfn.XLOOKUP(K$2-$C20,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L20" s="744" t="e">
        <f>IF($B20='Project List References'!$B$3, _xlfn.IFNA(_xlfn.XLOOKUP(L$2-$C20, 'GEN-CCGT'!$D$7:$AW$7, 'GEN-CCGT'!$D$115:$AW$115), 0), IF($B20='Project List References'!$B$4, _xlfn.IFNA(_xlfn.XLOOKUP(L$2-$C20, 'GEN-SOLAR'!$D$7:$AW$7, 'GEN-SOLAR'!$D$115:$AW$115), 0), IF($B20='Project List References'!$B$5, _xlfn.IFNA(_xlfn.XLOOKUP(L$2-$C20, 'GEN-BESS'!$D$7:$AW$7, 'GEN-BESS'!$D$117:$AW$117), 0), IF($B20='Project List References'!$B$6, _xlfn.IFNA(_xlfn.XLOOKUP(L$2-$C20,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M20" s="744" t="e">
        <f>IF($B20='Project List References'!$B$3, _xlfn.IFNA(_xlfn.XLOOKUP(M$2-$C20, 'GEN-CCGT'!$D$7:$AW$7, 'GEN-CCGT'!$D$115:$AW$115), 0), IF($B20='Project List References'!$B$4, _xlfn.IFNA(_xlfn.XLOOKUP(M$2-$C20, 'GEN-SOLAR'!$D$7:$AW$7, 'GEN-SOLAR'!$D$115:$AW$115), 0), IF($B20='Project List References'!$B$5, _xlfn.IFNA(_xlfn.XLOOKUP(M$2-$C20, 'GEN-BESS'!$D$7:$AW$7, 'GEN-BESS'!$D$117:$AW$117), 0), IF($B20='Project List References'!$B$6, _xlfn.IFNA(_xlfn.XLOOKUP(M$2-$C20,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N20" s="744" t="e">
        <f>IF($B20='Project List References'!$B$3, _xlfn.IFNA(_xlfn.XLOOKUP(N$2-$C20, 'GEN-CCGT'!$D$7:$AW$7, 'GEN-CCGT'!$D$115:$AW$115), 0), IF($B20='Project List References'!$B$4, _xlfn.IFNA(_xlfn.XLOOKUP(N$2-$C20, 'GEN-SOLAR'!$D$7:$AW$7, 'GEN-SOLAR'!$D$115:$AW$115), 0), IF($B20='Project List References'!$B$5, _xlfn.IFNA(_xlfn.XLOOKUP(N$2-$C20, 'GEN-BESS'!$D$7:$AW$7, 'GEN-BESS'!$D$117:$AW$117), 0), IF($B20='Project List References'!$B$6, _xlfn.IFNA(_xlfn.XLOOKUP(N$2-$C20,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O20" s="744" t="e">
        <f>IF($B20='Project List References'!$B$3, _xlfn.IFNA(_xlfn.XLOOKUP(O$2-$C20, 'GEN-CCGT'!$D$7:$AW$7, 'GEN-CCGT'!$D$115:$AW$115), 0), IF($B20='Project List References'!$B$4, _xlfn.IFNA(_xlfn.XLOOKUP(O$2-$C20, 'GEN-SOLAR'!$D$7:$AW$7, 'GEN-SOLAR'!$D$115:$AW$115), 0), IF($B20='Project List References'!$B$5, _xlfn.IFNA(_xlfn.XLOOKUP(O$2-$C20, 'GEN-BESS'!$D$7:$AW$7, 'GEN-BESS'!$D$117:$AW$117), 0), IF($B20='Project List References'!$B$6, _xlfn.IFNA(_xlfn.XLOOKUP(O$2-$C20,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P20" s="744" t="e">
        <f>IF($B20='Project List References'!$B$3, _xlfn.IFNA(_xlfn.XLOOKUP(P$2-$C20, 'GEN-CCGT'!$D$7:$AW$7, 'GEN-CCGT'!$D$115:$AW$115), 0), IF($B20='Project List References'!$B$4, _xlfn.IFNA(_xlfn.XLOOKUP(P$2-$C20, 'GEN-SOLAR'!$D$7:$AW$7, 'GEN-SOLAR'!$D$115:$AW$115), 0), IF($B20='Project List References'!$B$5, _xlfn.IFNA(_xlfn.XLOOKUP(P$2-$C20, 'GEN-BESS'!$D$7:$AW$7, 'GEN-BESS'!$D$117:$AW$117), 0), IF($B20='Project List References'!$B$6, _xlfn.IFNA(_xlfn.XLOOKUP(P$2-$C20,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Q20" s="744" t="e">
        <f>IF($B20='Project List References'!$B$3, _xlfn.IFNA(_xlfn.XLOOKUP(Q$2-$C20, 'GEN-CCGT'!$D$7:$AW$7, 'GEN-CCGT'!$D$115:$AW$115), 0), IF($B20='Project List References'!$B$4, _xlfn.IFNA(_xlfn.XLOOKUP(Q$2-$C20, 'GEN-SOLAR'!$D$7:$AW$7, 'GEN-SOLAR'!$D$115:$AW$115), 0), IF($B20='Project List References'!$B$5, _xlfn.IFNA(_xlfn.XLOOKUP(Q$2-$C20, 'GEN-BESS'!$D$7:$AW$7, 'GEN-BESS'!$D$117:$AW$117), 0), IF($B20='Project List References'!$B$6, _xlfn.IFNA(_xlfn.XLOOKUP(Q$2-$C20,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R20" s="744" t="e">
        <f>IF($B20='Project List References'!$B$3, _xlfn.IFNA(_xlfn.XLOOKUP(R$2-$C20, 'GEN-CCGT'!$D$7:$AW$7, 'GEN-CCGT'!$D$115:$AW$115), 0), IF($B20='Project List References'!$B$4, _xlfn.IFNA(_xlfn.XLOOKUP(R$2-$C20, 'GEN-SOLAR'!$D$7:$AW$7, 'GEN-SOLAR'!$D$115:$AW$115), 0), IF($B20='Project List References'!$B$5, _xlfn.IFNA(_xlfn.XLOOKUP(R$2-$C20, 'GEN-BESS'!$D$7:$AW$7, 'GEN-BESS'!$D$117:$AW$117), 0), IF($B20='Project List References'!$B$6, _xlfn.IFNA(_xlfn.XLOOKUP(R$2-$C20,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S20" s="744" t="e">
        <f>IF($B20='Project List References'!$B$3, _xlfn.IFNA(_xlfn.XLOOKUP(S$2-$C20, 'GEN-CCGT'!$D$7:$AW$7, 'GEN-CCGT'!$D$115:$AW$115), 0), IF($B20='Project List References'!$B$4, _xlfn.IFNA(_xlfn.XLOOKUP(S$2-$C20, 'GEN-SOLAR'!$D$7:$AW$7, 'GEN-SOLAR'!$D$115:$AW$115), 0), IF($B20='Project List References'!$B$5, _xlfn.IFNA(_xlfn.XLOOKUP(S$2-$C20, 'GEN-BESS'!$D$7:$AW$7, 'GEN-BESS'!$D$117:$AW$117), 0), IF($B20='Project List References'!$B$6, _xlfn.IFNA(_xlfn.XLOOKUP(S$2-$C20,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  <c r="T20" s="744" t="e">
        <f>IF($B20='Project List References'!$B$3, _xlfn.IFNA(_xlfn.XLOOKUP(T$2-$C20, 'GEN-CCGT'!$D$7:$AW$7, 'GEN-CCGT'!$D$115:$AW$115), 0), IF($B20='Project List References'!$B$4, _xlfn.IFNA(_xlfn.XLOOKUP(T$2-$C20, 'GEN-SOLAR'!$D$7:$AW$7, 'GEN-SOLAR'!$D$115:$AW$115), 0), IF($B20='Project List References'!$B$5, _xlfn.IFNA(_xlfn.XLOOKUP(T$2-$C20, 'GEN-BESS'!$D$7:$AW$7, 'GEN-BESS'!$D$117:$AW$117), 0), IF($B20='Project List References'!$B$6, _xlfn.IFNA(_xlfn.XLOOKUP(T$2-$C20, 'GEN-CARBON'!$D$7:$AW$7, 'GEN-CARBON'!$D$115:$AW$115), 0), 0))))/_xlfn.XLOOKUP($B20, 'Assumptions &amp; Inputs'!$F$76:$L$76, 'Assumptions &amp; Inputs'!$F$77:$L$77)*IF(OR($B20='Project List References'!$B$3, $B20='Project List References'!$B$4, $B20='Project List References'!$B$5, $B20='Project List References'!$B$6), 'Project Master Sheet'!$E20, 'Project Master Sheet'!$F20)</f>
        <v>#N/A</v>
      </c>
    </row>
    <row r="21" spans="1:20">
      <c r="A21" s="655" t="str">
        <f>IF(ISBLANK('Project Master Sheet'!A21)=FALSE, 'Project Master Sheet'!A21, "")</f>
        <v/>
      </c>
      <c r="B21" s="655" t="str">
        <f>_xlfn.IFNA(_xlfn.XLOOKUP(A21, 'Project Master Sheet'!A:A, 'Project Master Sheet'!D:D), "")</f>
        <v/>
      </c>
      <c r="C21" s="655" t="e">
        <f>_xlfn.XLOOKUP('Project OPEX'!A21, 'Project Master Sheet'!A:A, 'Project Master Sheet'!I:I)</f>
        <v>#N/A</v>
      </c>
      <c r="E21" s="744" t="e">
        <f>IF($B21='Project List References'!$B$3, _xlfn.IFNA(_xlfn.XLOOKUP(E$2-$C21, 'GEN-CCGT'!$D$7:$AW$7, 'GEN-CCGT'!$D$115:$AW$115), 0), IF($B21='Project List References'!$B$4, _xlfn.IFNA(_xlfn.XLOOKUP(E$2-$C21, 'GEN-SOLAR'!$D$7:$AW$7, 'GEN-SOLAR'!$D$115:$AW$115), 0), IF($B21='Project List References'!$B$5, _xlfn.IFNA(_xlfn.XLOOKUP(E$2-$C21, 'GEN-BESS'!$D$7:$AW$7, 'GEN-BESS'!$D$117:$AW$117), 0), IF($B21='Project List References'!$B$6, _xlfn.IFNA(_xlfn.XLOOKUP(E$2-$C21,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F21" s="744" t="e">
        <f>IF($B21='Project List References'!$B$3, _xlfn.IFNA(_xlfn.XLOOKUP(F$2-$C21, 'GEN-CCGT'!$D$7:$AW$7, 'GEN-CCGT'!$D$115:$AW$115), 0), IF($B21='Project List References'!$B$4, _xlfn.IFNA(_xlfn.XLOOKUP(F$2-$C21, 'GEN-SOLAR'!$D$7:$AW$7, 'GEN-SOLAR'!$D$115:$AW$115), 0), IF($B21='Project List References'!$B$5, _xlfn.IFNA(_xlfn.XLOOKUP(F$2-$C21, 'GEN-BESS'!$D$7:$AW$7, 'GEN-BESS'!$D$117:$AW$117), 0), IF($B21='Project List References'!$B$6, _xlfn.IFNA(_xlfn.XLOOKUP(F$2-$C21,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G21" s="744" t="e">
        <f>IF($B21='Project List References'!$B$3, _xlfn.IFNA(_xlfn.XLOOKUP(G$2-$C21, 'GEN-CCGT'!$D$7:$AW$7, 'GEN-CCGT'!$D$115:$AW$115), 0), IF($B21='Project List References'!$B$4, _xlfn.IFNA(_xlfn.XLOOKUP(G$2-$C21, 'GEN-SOLAR'!$D$7:$AW$7, 'GEN-SOLAR'!$D$115:$AW$115), 0), IF($B21='Project List References'!$B$5, _xlfn.IFNA(_xlfn.XLOOKUP(G$2-$C21, 'GEN-BESS'!$D$7:$AW$7, 'GEN-BESS'!$D$117:$AW$117), 0), IF($B21='Project List References'!$B$6, _xlfn.IFNA(_xlfn.XLOOKUP(G$2-$C21,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H21" s="744" t="e">
        <f>IF($B21='Project List References'!$B$3, _xlfn.IFNA(_xlfn.XLOOKUP(H$2-$C21, 'GEN-CCGT'!$D$7:$AW$7, 'GEN-CCGT'!$D$115:$AW$115), 0), IF($B21='Project List References'!$B$4, _xlfn.IFNA(_xlfn.XLOOKUP(H$2-$C21, 'GEN-SOLAR'!$D$7:$AW$7, 'GEN-SOLAR'!$D$115:$AW$115), 0), IF($B21='Project List References'!$B$5, _xlfn.IFNA(_xlfn.XLOOKUP(H$2-$C21, 'GEN-BESS'!$D$7:$AW$7, 'GEN-BESS'!$D$117:$AW$117), 0), IF($B21='Project List References'!$B$6, _xlfn.IFNA(_xlfn.XLOOKUP(H$2-$C21,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I21" s="744" t="e">
        <f>IF($B21='Project List References'!$B$3, _xlfn.IFNA(_xlfn.XLOOKUP(I$2-$C21, 'GEN-CCGT'!$D$7:$AW$7, 'GEN-CCGT'!$D$115:$AW$115), 0), IF($B21='Project List References'!$B$4, _xlfn.IFNA(_xlfn.XLOOKUP(I$2-$C21, 'GEN-SOLAR'!$D$7:$AW$7, 'GEN-SOLAR'!$D$115:$AW$115), 0), IF($B21='Project List References'!$B$5, _xlfn.IFNA(_xlfn.XLOOKUP(I$2-$C21, 'GEN-BESS'!$D$7:$AW$7, 'GEN-BESS'!$D$117:$AW$117), 0), IF($B21='Project List References'!$B$6, _xlfn.IFNA(_xlfn.XLOOKUP(I$2-$C21,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J21" s="744" t="e">
        <f>IF($B21='Project List References'!$B$3, _xlfn.IFNA(_xlfn.XLOOKUP(J$2-$C21, 'GEN-CCGT'!$D$7:$AW$7, 'GEN-CCGT'!$D$115:$AW$115), 0), IF($B21='Project List References'!$B$4, _xlfn.IFNA(_xlfn.XLOOKUP(J$2-$C21, 'GEN-SOLAR'!$D$7:$AW$7, 'GEN-SOLAR'!$D$115:$AW$115), 0), IF($B21='Project List References'!$B$5, _xlfn.IFNA(_xlfn.XLOOKUP(J$2-$C21, 'GEN-BESS'!$D$7:$AW$7, 'GEN-BESS'!$D$117:$AW$117), 0), IF($B21='Project List References'!$B$6, _xlfn.IFNA(_xlfn.XLOOKUP(J$2-$C21,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K21" s="744" t="e">
        <f>IF($B21='Project List References'!$B$3, _xlfn.IFNA(_xlfn.XLOOKUP(K$2-$C21, 'GEN-CCGT'!$D$7:$AW$7, 'GEN-CCGT'!$D$115:$AW$115), 0), IF($B21='Project List References'!$B$4, _xlfn.IFNA(_xlfn.XLOOKUP(K$2-$C21, 'GEN-SOLAR'!$D$7:$AW$7, 'GEN-SOLAR'!$D$115:$AW$115), 0), IF($B21='Project List References'!$B$5, _xlfn.IFNA(_xlfn.XLOOKUP(K$2-$C21, 'GEN-BESS'!$D$7:$AW$7, 'GEN-BESS'!$D$117:$AW$117), 0), IF($B21='Project List References'!$B$6, _xlfn.IFNA(_xlfn.XLOOKUP(K$2-$C21,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L21" s="744" t="e">
        <f>IF($B21='Project List References'!$B$3, _xlfn.IFNA(_xlfn.XLOOKUP(L$2-$C21, 'GEN-CCGT'!$D$7:$AW$7, 'GEN-CCGT'!$D$115:$AW$115), 0), IF($B21='Project List References'!$B$4, _xlfn.IFNA(_xlfn.XLOOKUP(L$2-$C21, 'GEN-SOLAR'!$D$7:$AW$7, 'GEN-SOLAR'!$D$115:$AW$115), 0), IF($B21='Project List References'!$B$5, _xlfn.IFNA(_xlfn.XLOOKUP(L$2-$C21, 'GEN-BESS'!$D$7:$AW$7, 'GEN-BESS'!$D$117:$AW$117), 0), IF($B21='Project List References'!$B$6, _xlfn.IFNA(_xlfn.XLOOKUP(L$2-$C21,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M21" s="744" t="e">
        <f>IF($B21='Project List References'!$B$3, _xlfn.IFNA(_xlfn.XLOOKUP(M$2-$C21, 'GEN-CCGT'!$D$7:$AW$7, 'GEN-CCGT'!$D$115:$AW$115), 0), IF($B21='Project List References'!$B$4, _xlfn.IFNA(_xlfn.XLOOKUP(M$2-$C21, 'GEN-SOLAR'!$D$7:$AW$7, 'GEN-SOLAR'!$D$115:$AW$115), 0), IF($B21='Project List References'!$B$5, _xlfn.IFNA(_xlfn.XLOOKUP(M$2-$C21, 'GEN-BESS'!$D$7:$AW$7, 'GEN-BESS'!$D$117:$AW$117), 0), IF($B21='Project List References'!$B$6, _xlfn.IFNA(_xlfn.XLOOKUP(M$2-$C21,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N21" s="744" t="e">
        <f>IF($B21='Project List References'!$B$3, _xlfn.IFNA(_xlfn.XLOOKUP(N$2-$C21, 'GEN-CCGT'!$D$7:$AW$7, 'GEN-CCGT'!$D$115:$AW$115), 0), IF($B21='Project List References'!$B$4, _xlfn.IFNA(_xlfn.XLOOKUP(N$2-$C21, 'GEN-SOLAR'!$D$7:$AW$7, 'GEN-SOLAR'!$D$115:$AW$115), 0), IF($B21='Project List References'!$B$5, _xlfn.IFNA(_xlfn.XLOOKUP(N$2-$C21, 'GEN-BESS'!$D$7:$AW$7, 'GEN-BESS'!$D$117:$AW$117), 0), IF($B21='Project List References'!$B$6, _xlfn.IFNA(_xlfn.XLOOKUP(N$2-$C21,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O21" s="744" t="e">
        <f>IF($B21='Project List References'!$B$3, _xlfn.IFNA(_xlfn.XLOOKUP(O$2-$C21, 'GEN-CCGT'!$D$7:$AW$7, 'GEN-CCGT'!$D$115:$AW$115), 0), IF($B21='Project List References'!$B$4, _xlfn.IFNA(_xlfn.XLOOKUP(O$2-$C21, 'GEN-SOLAR'!$D$7:$AW$7, 'GEN-SOLAR'!$D$115:$AW$115), 0), IF($B21='Project List References'!$B$5, _xlfn.IFNA(_xlfn.XLOOKUP(O$2-$C21, 'GEN-BESS'!$D$7:$AW$7, 'GEN-BESS'!$D$117:$AW$117), 0), IF($B21='Project List References'!$B$6, _xlfn.IFNA(_xlfn.XLOOKUP(O$2-$C21,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P21" s="744" t="e">
        <f>IF($B21='Project List References'!$B$3, _xlfn.IFNA(_xlfn.XLOOKUP(P$2-$C21, 'GEN-CCGT'!$D$7:$AW$7, 'GEN-CCGT'!$D$115:$AW$115), 0), IF($B21='Project List References'!$B$4, _xlfn.IFNA(_xlfn.XLOOKUP(P$2-$C21, 'GEN-SOLAR'!$D$7:$AW$7, 'GEN-SOLAR'!$D$115:$AW$115), 0), IF($B21='Project List References'!$B$5, _xlfn.IFNA(_xlfn.XLOOKUP(P$2-$C21, 'GEN-BESS'!$D$7:$AW$7, 'GEN-BESS'!$D$117:$AW$117), 0), IF($B21='Project List References'!$B$6, _xlfn.IFNA(_xlfn.XLOOKUP(P$2-$C21,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Q21" s="744" t="e">
        <f>IF($B21='Project List References'!$B$3, _xlfn.IFNA(_xlfn.XLOOKUP(Q$2-$C21, 'GEN-CCGT'!$D$7:$AW$7, 'GEN-CCGT'!$D$115:$AW$115), 0), IF($B21='Project List References'!$B$4, _xlfn.IFNA(_xlfn.XLOOKUP(Q$2-$C21, 'GEN-SOLAR'!$D$7:$AW$7, 'GEN-SOLAR'!$D$115:$AW$115), 0), IF($B21='Project List References'!$B$5, _xlfn.IFNA(_xlfn.XLOOKUP(Q$2-$C21, 'GEN-BESS'!$D$7:$AW$7, 'GEN-BESS'!$D$117:$AW$117), 0), IF($B21='Project List References'!$B$6, _xlfn.IFNA(_xlfn.XLOOKUP(Q$2-$C21,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R21" s="744" t="e">
        <f>IF($B21='Project List References'!$B$3, _xlfn.IFNA(_xlfn.XLOOKUP(R$2-$C21, 'GEN-CCGT'!$D$7:$AW$7, 'GEN-CCGT'!$D$115:$AW$115), 0), IF($B21='Project List References'!$B$4, _xlfn.IFNA(_xlfn.XLOOKUP(R$2-$C21, 'GEN-SOLAR'!$D$7:$AW$7, 'GEN-SOLAR'!$D$115:$AW$115), 0), IF($B21='Project List References'!$B$5, _xlfn.IFNA(_xlfn.XLOOKUP(R$2-$C21, 'GEN-BESS'!$D$7:$AW$7, 'GEN-BESS'!$D$117:$AW$117), 0), IF($B21='Project List References'!$B$6, _xlfn.IFNA(_xlfn.XLOOKUP(R$2-$C21,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S21" s="744" t="e">
        <f>IF($B21='Project List References'!$B$3, _xlfn.IFNA(_xlfn.XLOOKUP(S$2-$C21, 'GEN-CCGT'!$D$7:$AW$7, 'GEN-CCGT'!$D$115:$AW$115), 0), IF($B21='Project List References'!$B$4, _xlfn.IFNA(_xlfn.XLOOKUP(S$2-$C21, 'GEN-SOLAR'!$D$7:$AW$7, 'GEN-SOLAR'!$D$115:$AW$115), 0), IF($B21='Project List References'!$B$5, _xlfn.IFNA(_xlfn.XLOOKUP(S$2-$C21, 'GEN-BESS'!$D$7:$AW$7, 'GEN-BESS'!$D$117:$AW$117), 0), IF($B21='Project List References'!$B$6, _xlfn.IFNA(_xlfn.XLOOKUP(S$2-$C21,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  <c r="T21" s="744" t="e">
        <f>IF($B21='Project List References'!$B$3, _xlfn.IFNA(_xlfn.XLOOKUP(T$2-$C21, 'GEN-CCGT'!$D$7:$AW$7, 'GEN-CCGT'!$D$115:$AW$115), 0), IF($B21='Project List References'!$B$4, _xlfn.IFNA(_xlfn.XLOOKUP(T$2-$C21, 'GEN-SOLAR'!$D$7:$AW$7, 'GEN-SOLAR'!$D$115:$AW$115), 0), IF($B21='Project List References'!$B$5, _xlfn.IFNA(_xlfn.XLOOKUP(T$2-$C21, 'GEN-BESS'!$D$7:$AW$7, 'GEN-BESS'!$D$117:$AW$117), 0), IF($B21='Project List References'!$B$6, _xlfn.IFNA(_xlfn.XLOOKUP(T$2-$C21, 'GEN-CARBON'!$D$7:$AW$7, 'GEN-CARBON'!$D$115:$AW$115), 0), 0))))/_xlfn.XLOOKUP($B21, 'Assumptions &amp; Inputs'!$F$76:$L$76, 'Assumptions &amp; Inputs'!$F$77:$L$77)*IF(OR($B21='Project List References'!$B$3, $B21='Project List References'!$B$4, $B21='Project List References'!$B$5, $B21='Project List References'!$B$6), 'Project Master Sheet'!$E21, 'Project Master Sheet'!$F21)</f>
        <v>#N/A</v>
      </c>
    </row>
    <row r="22" spans="1:20">
      <c r="A22" s="655" t="str">
        <f>IF(ISBLANK('Project Master Sheet'!A22)=FALSE, 'Project Master Sheet'!A22, "")</f>
        <v/>
      </c>
      <c r="B22" s="655" t="str">
        <f>_xlfn.IFNA(_xlfn.XLOOKUP(A22, 'Project Master Sheet'!A:A, 'Project Master Sheet'!D:D), "")</f>
        <v/>
      </c>
      <c r="C22" s="655" t="e">
        <f>_xlfn.XLOOKUP('Project OPEX'!A22, 'Project Master Sheet'!A:A, 'Project Master Sheet'!I:I)</f>
        <v>#N/A</v>
      </c>
      <c r="E22" s="744" t="e">
        <f>IF($B22='Project List References'!$B$3, _xlfn.IFNA(_xlfn.XLOOKUP(E$2-$C22, 'GEN-CCGT'!$D$7:$AW$7, 'GEN-CCGT'!$D$115:$AW$115), 0), IF($B22='Project List References'!$B$4, _xlfn.IFNA(_xlfn.XLOOKUP(E$2-$C22, 'GEN-SOLAR'!$D$7:$AW$7, 'GEN-SOLAR'!$D$115:$AW$115), 0), IF($B22='Project List References'!$B$5, _xlfn.IFNA(_xlfn.XLOOKUP(E$2-$C22, 'GEN-BESS'!$D$7:$AW$7, 'GEN-BESS'!$D$117:$AW$117), 0), IF($B22='Project List References'!$B$6, _xlfn.IFNA(_xlfn.XLOOKUP(E$2-$C22,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F22" s="744" t="e">
        <f>IF($B22='Project List References'!$B$3, _xlfn.IFNA(_xlfn.XLOOKUP(F$2-$C22, 'GEN-CCGT'!$D$7:$AW$7, 'GEN-CCGT'!$D$115:$AW$115), 0), IF($B22='Project List References'!$B$4, _xlfn.IFNA(_xlfn.XLOOKUP(F$2-$C22, 'GEN-SOLAR'!$D$7:$AW$7, 'GEN-SOLAR'!$D$115:$AW$115), 0), IF($B22='Project List References'!$B$5, _xlfn.IFNA(_xlfn.XLOOKUP(F$2-$C22, 'GEN-BESS'!$D$7:$AW$7, 'GEN-BESS'!$D$117:$AW$117), 0), IF($B22='Project List References'!$B$6, _xlfn.IFNA(_xlfn.XLOOKUP(F$2-$C22,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G22" s="744" t="e">
        <f>IF($B22='Project List References'!$B$3, _xlfn.IFNA(_xlfn.XLOOKUP(G$2-$C22, 'GEN-CCGT'!$D$7:$AW$7, 'GEN-CCGT'!$D$115:$AW$115), 0), IF($B22='Project List References'!$B$4, _xlfn.IFNA(_xlfn.XLOOKUP(G$2-$C22, 'GEN-SOLAR'!$D$7:$AW$7, 'GEN-SOLAR'!$D$115:$AW$115), 0), IF($B22='Project List References'!$B$5, _xlfn.IFNA(_xlfn.XLOOKUP(G$2-$C22, 'GEN-BESS'!$D$7:$AW$7, 'GEN-BESS'!$D$117:$AW$117), 0), IF($B22='Project List References'!$B$6, _xlfn.IFNA(_xlfn.XLOOKUP(G$2-$C22,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H22" s="744" t="e">
        <f>IF($B22='Project List References'!$B$3, _xlfn.IFNA(_xlfn.XLOOKUP(H$2-$C22, 'GEN-CCGT'!$D$7:$AW$7, 'GEN-CCGT'!$D$115:$AW$115), 0), IF($B22='Project List References'!$B$4, _xlfn.IFNA(_xlfn.XLOOKUP(H$2-$C22, 'GEN-SOLAR'!$D$7:$AW$7, 'GEN-SOLAR'!$D$115:$AW$115), 0), IF($B22='Project List References'!$B$5, _xlfn.IFNA(_xlfn.XLOOKUP(H$2-$C22, 'GEN-BESS'!$D$7:$AW$7, 'GEN-BESS'!$D$117:$AW$117), 0), IF($B22='Project List References'!$B$6, _xlfn.IFNA(_xlfn.XLOOKUP(H$2-$C22,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I22" s="744" t="e">
        <f>IF($B22='Project List References'!$B$3, _xlfn.IFNA(_xlfn.XLOOKUP(I$2-$C22, 'GEN-CCGT'!$D$7:$AW$7, 'GEN-CCGT'!$D$115:$AW$115), 0), IF($B22='Project List References'!$B$4, _xlfn.IFNA(_xlfn.XLOOKUP(I$2-$C22, 'GEN-SOLAR'!$D$7:$AW$7, 'GEN-SOLAR'!$D$115:$AW$115), 0), IF($B22='Project List References'!$B$5, _xlfn.IFNA(_xlfn.XLOOKUP(I$2-$C22, 'GEN-BESS'!$D$7:$AW$7, 'GEN-BESS'!$D$117:$AW$117), 0), IF($B22='Project List References'!$B$6, _xlfn.IFNA(_xlfn.XLOOKUP(I$2-$C22,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J22" s="744" t="e">
        <f>IF($B22='Project List References'!$B$3, _xlfn.IFNA(_xlfn.XLOOKUP(J$2-$C22, 'GEN-CCGT'!$D$7:$AW$7, 'GEN-CCGT'!$D$115:$AW$115), 0), IF($B22='Project List References'!$B$4, _xlfn.IFNA(_xlfn.XLOOKUP(J$2-$C22, 'GEN-SOLAR'!$D$7:$AW$7, 'GEN-SOLAR'!$D$115:$AW$115), 0), IF($B22='Project List References'!$B$5, _xlfn.IFNA(_xlfn.XLOOKUP(J$2-$C22, 'GEN-BESS'!$D$7:$AW$7, 'GEN-BESS'!$D$117:$AW$117), 0), IF($B22='Project List References'!$B$6, _xlfn.IFNA(_xlfn.XLOOKUP(J$2-$C22,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K22" s="744" t="e">
        <f>IF($B22='Project List References'!$B$3, _xlfn.IFNA(_xlfn.XLOOKUP(K$2-$C22, 'GEN-CCGT'!$D$7:$AW$7, 'GEN-CCGT'!$D$115:$AW$115), 0), IF($B22='Project List References'!$B$4, _xlfn.IFNA(_xlfn.XLOOKUP(K$2-$C22, 'GEN-SOLAR'!$D$7:$AW$7, 'GEN-SOLAR'!$D$115:$AW$115), 0), IF($B22='Project List References'!$B$5, _xlfn.IFNA(_xlfn.XLOOKUP(K$2-$C22, 'GEN-BESS'!$D$7:$AW$7, 'GEN-BESS'!$D$117:$AW$117), 0), IF($B22='Project List References'!$B$6, _xlfn.IFNA(_xlfn.XLOOKUP(K$2-$C22,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L22" s="744" t="e">
        <f>IF($B22='Project List References'!$B$3, _xlfn.IFNA(_xlfn.XLOOKUP(L$2-$C22, 'GEN-CCGT'!$D$7:$AW$7, 'GEN-CCGT'!$D$115:$AW$115), 0), IF($B22='Project List References'!$B$4, _xlfn.IFNA(_xlfn.XLOOKUP(L$2-$C22, 'GEN-SOLAR'!$D$7:$AW$7, 'GEN-SOLAR'!$D$115:$AW$115), 0), IF($B22='Project List References'!$B$5, _xlfn.IFNA(_xlfn.XLOOKUP(L$2-$C22, 'GEN-BESS'!$D$7:$AW$7, 'GEN-BESS'!$D$117:$AW$117), 0), IF($B22='Project List References'!$B$6, _xlfn.IFNA(_xlfn.XLOOKUP(L$2-$C22,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M22" s="744" t="e">
        <f>IF($B22='Project List References'!$B$3, _xlfn.IFNA(_xlfn.XLOOKUP(M$2-$C22, 'GEN-CCGT'!$D$7:$AW$7, 'GEN-CCGT'!$D$115:$AW$115), 0), IF($B22='Project List References'!$B$4, _xlfn.IFNA(_xlfn.XLOOKUP(M$2-$C22, 'GEN-SOLAR'!$D$7:$AW$7, 'GEN-SOLAR'!$D$115:$AW$115), 0), IF($B22='Project List References'!$B$5, _xlfn.IFNA(_xlfn.XLOOKUP(M$2-$C22, 'GEN-BESS'!$D$7:$AW$7, 'GEN-BESS'!$D$117:$AW$117), 0), IF($B22='Project List References'!$B$6, _xlfn.IFNA(_xlfn.XLOOKUP(M$2-$C22,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N22" s="744" t="e">
        <f>IF($B22='Project List References'!$B$3, _xlfn.IFNA(_xlfn.XLOOKUP(N$2-$C22, 'GEN-CCGT'!$D$7:$AW$7, 'GEN-CCGT'!$D$115:$AW$115), 0), IF($B22='Project List References'!$B$4, _xlfn.IFNA(_xlfn.XLOOKUP(N$2-$C22, 'GEN-SOLAR'!$D$7:$AW$7, 'GEN-SOLAR'!$D$115:$AW$115), 0), IF($B22='Project List References'!$B$5, _xlfn.IFNA(_xlfn.XLOOKUP(N$2-$C22, 'GEN-BESS'!$D$7:$AW$7, 'GEN-BESS'!$D$117:$AW$117), 0), IF($B22='Project List References'!$B$6, _xlfn.IFNA(_xlfn.XLOOKUP(N$2-$C22,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O22" s="744" t="e">
        <f>IF($B22='Project List References'!$B$3, _xlfn.IFNA(_xlfn.XLOOKUP(O$2-$C22, 'GEN-CCGT'!$D$7:$AW$7, 'GEN-CCGT'!$D$115:$AW$115), 0), IF($B22='Project List References'!$B$4, _xlfn.IFNA(_xlfn.XLOOKUP(O$2-$C22, 'GEN-SOLAR'!$D$7:$AW$7, 'GEN-SOLAR'!$D$115:$AW$115), 0), IF($B22='Project List References'!$B$5, _xlfn.IFNA(_xlfn.XLOOKUP(O$2-$C22, 'GEN-BESS'!$D$7:$AW$7, 'GEN-BESS'!$D$117:$AW$117), 0), IF($B22='Project List References'!$B$6, _xlfn.IFNA(_xlfn.XLOOKUP(O$2-$C22,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P22" s="744" t="e">
        <f>IF($B22='Project List References'!$B$3, _xlfn.IFNA(_xlfn.XLOOKUP(P$2-$C22, 'GEN-CCGT'!$D$7:$AW$7, 'GEN-CCGT'!$D$115:$AW$115), 0), IF($B22='Project List References'!$B$4, _xlfn.IFNA(_xlfn.XLOOKUP(P$2-$C22, 'GEN-SOLAR'!$D$7:$AW$7, 'GEN-SOLAR'!$D$115:$AW$115), 0), IF($B22='Project List References'!$B$5, _xlfn.IFNA(_xlfn.XLOOKUP(P$2-$C22, 'GEN-BESS'!$D$7:$AW$7, 'GEN-BESS'!$D$117:$AW$117), 0), IF($B22='Project List References'!$B$6, _xlfn.IFNA(_xlfn.XLOOKUP(P$2-$C22,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Q22" s="744" t="e">
        <f>IF($B22='Project List References'!$B$3, _xlfn.IFNA(_xlfn.XLOOKUP(Q$2-$C22, 'GEN-CCGT'!$D$7:$AW$7, 'GEN-CCGT'!$D$115:$AW$115), 0), IF($B22='Project List References'!$B$4, _xlfn.IFNA(_xlfn.XLOOKUP(Q$2-$C22, 'GEN-SOLAR'!$D$7:$AW$7, 'GEN-SOLAR'!$D$115:$AW$115), 0), IF($B22='Project List References'!$B$5, _xlfn.IFNA(_xlfn.XLOOKUP(Q$2-$C22, 'GEN-BESS'!$D$7:$AW$7, 'GEN-BESS'!$D$117:$AW$117), 0), IF($B22='Project List References'!$B$6, _xlfn.IFNA(_xlfn.XLOOKUP(Q$2-$C22,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R22" s="744" t="e">
        <f>IF($B22='Project List References'!$B$3, _xlfn.IFNA(_xlfn.XLOOKUP(R$2-$C22, 'GEN-CCGT'!$D$7:$AW$7, 'GEN-CCGT'!$D$115:$AW$115), 0), IF($B22='Project List References'!$B$4, _xlfn.IFNA(_xlfn.XLOOKUP(R$2-$C22, 'GEN-SOLAR'!$D$7:$AW$7, 'GEN-SOLAR'!$D$115:$AW$115), 0), IF($B22='Project List References'!$B$5, _xlfn.IFNA(_xlfn.XLOOKUP(R$2-$C22, 'GEN-BESS'!$D$7:$AW$7, 'GEN-BESS'!$D$117:$AW$117), 0), IF($B22='Project List References'!$B$6, _xlfn.IFNA(_xlfn.XLOOKUP(R$2-$C22,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S22" s="744" t="e">
        <f>IF($B22='Project List References'!$B$3, _xlfn.IFNA(_xlfn.XLOOKUP(S$2-$C22, 'GEN-CCGT'!$D$7:$AW$7, 'GEN-CCGT'!$D$115:$AW$115), 0), IF($B22='Project List References'!$B$4, _xlfn.IFNA(_xlfn.XLOOKUP(S$2-$C22, 'GEN-SOLAR'!$D$7:$AW$7, 'GEN-SOLAR'!$D$115:$AW$115), 0), IF($B22='Project List References'!$B$5, _xlfn.IFNA(_xlfn.XLOOKUP(S$2-$C22, 'GEN-BESS'!$D$7:$AW$7, 'GEN-BESS'!$D$117:$AW$117), 0), IF($B22='Project List References'!$B$6, _xlfn.IFNA(_xlfn.XLOOKUP(S$2-$C22,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  <c r="T22" s="744" t="e">
        <f>IF($B22='Project List References'!$B$3, _xlfn.IFNA(_xlfn.XLOOKUP(T$2-$C22, 'GEN-CCGT'!$D$7:$AW$7, 'GEN-CCGT'!$D$115:$AW$115), 0), IF($B22='Project List References'!$B$4, _xlfn.IFNA(_xlfn.XLOOKUP(T$2-$C22, 'GEN-SOLAR'!$D$7:$AW$7, 'GEN-SOLAR'!$D$115:$AW$115), 0), IF($B22='Project List References'!$B$5, _xlfn.IFNA(_xlfn.XLOOKUP(T$2-$C22, 'GEN-BESS'!$D$7:$AW$7, 'GEN-BESS'!$D$117:$AW$117), 0), IF($B22='Project List References'!$B$6, _xlfn.IFNA(_xlfn.XLOOKUP(T$2-$C22, 'GEN-CARBON'!$D$7:$AW$7, 'GEN-CARBON'!$D$115:$AW$115), 0), 0))))/_xlfn.XLOOKUP($B22, 'Assumptions &amp; Inputs'!$F$76:$L$76, 'Assumptions &amp; Inputs'!$F$77:$L$77)*IF(OR($B22='Project List References'!$B$3, $B22='Project List References'!$B$4, $B22='Project List References'!$B$5, $B22='Project List References'!$B$6), 'Project Master Sheet'!$E22, 'Project Master Sheet'!$F22)</f>
        <v>#N/A</v>
      </c>
    </row>
    <row r="23" spans="1:20">
      <c r="A23" s="655" t="str">
        <f>IF(ISBLANK('Project Master Sheet'!A23)=FALSE, 'Project Master Sheet'!A23, "")</f>
        <v/>
      </c>
      <c r="B23" s="655" t="str">
        <f>_xlfn.IFNA(_xlfn.XLOOKUP(A23, 'Project Master Sheet'!A:A, 'Project Master Sheet'!D:D), "")</f>
        <v/>
      </c>
      <c r="C23" s="655" t="e">
        <f>_xlfn.XLOOKUP('Project OPEX'!A23, 'Project Master Sheet'!A:A, 'Project Master Sheet'!I:I)</f>
        <v>#N/A</v>
      </c>
      <c r="E23" s="744" t="e">
        <f>IF($B23='Project List References'!$B$3, _xlfn.IFNA(_xlfn.XLOOKUP(E$2-$C23, 'GEN-CCGT'!$D$7:$AW$7, 'GEN-CCGT'!$D$115:$AW$115), 0), IF($B23='Project List References'!$B$4, _xlfn.IFNA(_xlfn.XLOOKUP(E$2-$C23, 'GEN-SOLAR'!$D$7:$AW$7, 'GEN-SOLAR'!$D$115:$AW$115), 0), IF($B23='Project List References'!$B$5, _xlfn.IFNA(_xlfn.XLOOKUP(E$2-$C23, 'GEN-BESS'!$D$7:$AW$7, 'GEN-BESS'!$D$117:$AW$117), 0), IF($B23='Project List References'!$B$6, _xlfn.IFNA(_xlfn.XLOOKUP(E$2-$C23,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F23" s="744" t="e">
        <f>IF($B23='Project List References'!$B$3, _xlfn.IFNA(_xlfn.XLOOKUP(F$2-$C23, 'GEN-CCGT'!$D$7:$AW$7, 'GEN-CCGT'!$D$115:$AW$115), 0), IF($B23='Project List References'!$B$4, _xlfn.IFNA(_xlfn.XLOOKUP(F$2-$C23, 'GEN-SOLAR'!$D$7:$AW$7, 'GEN-SOLAR'!$D$115:$AW$115), 0), IF($B23='Project List References'!$B$5, _xlfn.IFNA(_xlfn.XLOOKUP(F$2-$C23, 'GEN-BESS'!$D$7:$AW$7, 'GEN-BESS'!$D$117:$AW$117), 0), IF($B23='Project List References'!$B$6, _xlfn.IFNA(_xlfn.XLOOKUP(F$2-$C23,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G23" s="744" t="e">
        <f>IF($B23='Project List References'!$B$3, _xlfn.IFNA(_xlfn.XLOOKUP(G$2-$C23, 'GEN-CCGT'!$D$7:$AW$7, 'GEN-CCGT'!$D$115:$AW$115), 0), IF($B23='Project List References'!$B$4, _xlfn.IFNA(_xlfn.XLOOKUP(G$2-$C23, 'GEN-SOLAR'!$D$7:$AW$7, 'GEN-SOLAR'!$D$115:$AW$115), 0), IF($B23='Project List References'!$B$5, _xlfn.IFNA(_xlfn.XLOOKUP(G$2-$C23, 'GEN-BESS'!$D$7:$AW$7, 'GEN-BESS'!$D$117:$AW$117), 0), IF($B23='Project List References'!$B$6, _xlfn.IFNA(_xlfn.XLOOKUP(G$2-$C23,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H23" s="744" t="e">
        <f>IF($B23='Project List References'!$B$3, _xlfn.IFNA(_xlfn.XLOOKUP(H$2-$C23, 'GEN-CCGT'!$D$7:$AW$7, 'GEN-CCGT'!$D$115:$AW$115), 0), IF($B23='Project List References'!$B$4, _xlfn.IFNA(_xlfn.XLOOKUP(H$2-$C23, 'GEN-SOLAR'!$D$7:$AW$7, 'GEN-SOLAR'!$D$115:$AW$115), 0), IF($B23='Project List References'!$B$5, _xlfn.IFNA(_xlfn.XLOOKUP(H$2-$C23, 'GEN-BESS'!$D$7:$AW$7, 'GEN-BESS'!$D$117:$AW$117), 0), IF($B23='Project List References'!$B$6, _xlfn.IFNA(_xlfn.XLOOKUP(H$2-$C23,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I23" s="744" t="e">
        <f>IF($B23='Project List References'!$B$3, _xlfn.IFNA(_xlfn.XLOOKUP(I$2-$C23, 'GEN-CCGT'!$D$7:$AW$7, 'GEN-CCGT'!$D$115:$AW$115), 0), IF($B23='Project List References'!$B$4, _xlfn.IFNA(_xlfn.XLOOKUP(I$2-$C23, 'GEN-SOLAR'!$D$7:$AW$7, 'GEN-SOLAR'!$D$115:$AW$115), 0), IF($B23='Project List References'!$B$5, _xlfn.IFNA(_xlfn.XLOOKUP(I$2-$C23, 'GEN-BESS'!$D$7:$AW$7, 'GEN-BESS'!$D$117:$AW$117), 0), IF($B23='Project List References'!$B$6, _xlfn.IFNA(_xlfn.XLOOKUP(I$2-$C23,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J23" s="744" t="e">
        <f>IF($B23='Project List References'!$B$3, _xlfn.IFNA(_xlfn.XLOOKUP(J$2-$C23, 'GEN-CCGT'!$D$7:$AW$7, 'GEN-CCGT'!$D$115:$AW$115), 0), IF($B23='Project List References'!$B$4, _xlfn.IFNA(_xlfn.XLOOKUP(J$2-$C23, 'GEN-SOLAR'!$D$7:$AW$7, 'GEN-SOLAR'!$D$115:$AW$115), 0), IF($B23='Project List References'!$B$5, _xlfn.IFNA(_xlfn.XLOOKUP(J$2-$C23, 'GEN-BESS'!$D$7:$AW$7, 'GEN-BESS'!$D$117:$AW$117), 0), IF($B23='Project List References'!$B$6, _xlfn.IFNA(_xlfn.XLOOKUP(J$2-$C23,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K23" s="744" t="e">
        <f>IF($B23='Project List References'!$B$3, _xlfn.IFNA(_xlfn.XLOOKUP(K$2-$C23, 'GEN-CCGT'!$D$7:$AW$7, 'GEN-CCGT'!$D$115:$AW$115), 0), IF($B23='Project List References'!$B$4, _xlfn.IFNA(_xlfn.XLOOKUP(K$2-$C23, 'GEN-SOLAR'!$D$7:$AW$7, 'GEN-SOLAR'!$D$115:$AW$115), 0), IF($B23='Project List References'!$B$5, _xlfn.IFNA(_xlfn.XLOOKUP(K$2-$C23, 'GEN-BESS'!$D$7:$AW$7, 'GEN-BESS'!$D$117:$AW$117), 0), IF($B23='Project List References'!$B$6, _xlfn.IFNA(_xlfn.XLOOKUP(K$2-$C23,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L23" s="744" t="e">
        <f>IF($B23='Project List References'!$B$3, _xlfn.IFNA(_xlfn.XLOOKUP(L$2-$C23, 'GEN-CCGT'!$D$7:$AW$7, 'GEN-CCGT'!$D$115:$AW$115), 0), IF($B23='Project List References'!$B$4, _xlfn.IFNA(_xlfn.XLOOKUP(L$2-$C23, 'GEN-SOLAR'!$D$7:$AW$7, 'GEN-SOLAR'!$D$115:$AW$115), 0), IF($B23='Project List References'!$B$5, _xlfn.IFNA(_xlfn.XLOOKUP(L$2-$C23, 'GEN-BESS'!$D$7:$AW$7, 'GEN-BESS'!$D$117:$AW$117), 0), IF($B23='Project List References'!$B$6, _xlfn.IFNA(_xlfn.XLOOKUP(L$2-$C23,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M23" s="744" t="e">
        <f>IF($B23='Project List References'!$B$3, _xlfn.IFNA(_xlfn.XLOOKUP(M$2-$C23, 'GEN-CCGT'!$D$7:$AW$7, 'GEN-CCGT'!$D$115:$AW$115), 0), IF($B23='Project List References'!$B$4, _xlfn.IFNA(_xlfn.XLOOKUP(M$2-$C23, 'GEN-SOLAR'!$D$7:$AW$7, 'GEN-SOLAR'!$D$115:$AW$115), 0), IF($B23='Project List References'!$B$5, _xlfn.IFNA(_xlfn.XLOOKUP(M$2-$C23, 'GEN-BESS'!$D$7:$AW$7, 'GEN-BESS'!$D$117:$AW$117), 0), IF($B23='Project List References'!$B$6, _xlfn.IFNA(_xlfn.XLOOKUP(M$2-$C23,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N23" s="744" t="e">
        <f>IF($B23='Project List References'!$B$3, _xlfn.IFNA(_xlfn.XLOOKUP(N$2-$C23, 'GEN-CCGT'!$D$7:$AW$7, 'GEN-CCGT'!$D$115:$AW$115), 0), IF($B23='Project List References'!$B$4, _xlfn.IFNA(_xlfn.XLOOKUP(N$2-$C23, 'GEN-SOLAR'!$D$7:$AW$7, 'GEN-SOLAR'!$D$115:$AW$115), 0), IF($B23='Project List References'!$B$5, _xlfn.IFNA(_xlfn.XLOOKUP(N$2-$C23, 'GEN-BESS'!$D$7:$AW$7, 'GEN-BESS'!$D$117:$AW$117), 0), IF($B23='Project List References'!$B$6, _xlfn.IFNA(_xlfn.XLOOKUP(N$2-$C23,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O23" s="744" t="e">
        <f>IF($B23='Project List References'!$B$3, _xlfn.IFNA(_xlfn.XLOOKUP(O$2-$C23, 'GEN-CCGT'!$D$7:$AW$7, 'GEN-CCGT'!$D$115:$AW$115), 0), IF($B23='Project List References'!$B$4, _xlfn.IFNA(_xlfn.XLOOKUP(O$2-$C23, 'GEN-SOLAR'!$D$7:$AW$7, 'GEN-SOLAR'!$D$115:$AW$115), 0), IF($B23='Project List References'!$B$5, _xlfn.IFNA(_xlfn.XLOOKUP(O$2-$C23, 'GEN-BESS'!$D$7:$AW$7, 'GEN-BESS'!$D$117:$AW$117), 0), IF($B23='Project List References'!$B$6, _xlfn.IFNA(_xlfn.XLOOKUP(O$2-$C23,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P23" s="744" t="e">
        <f>IF($B23='Project List References'!$B$3, _xlfn.IFNA(_xlfn.XLOOKUP(P$2-$C23, 'GEN-CCGT'!$D$7:$AW$7, 'GEN-CCGT'!$D$115:$AW$115), 0), IF($B23='Project List References'!$B$4, _xlfn.IFNA(_xlfn.XLOOKUP(P$2-$C23, 'GEN-SOLAR'!$D$7:$AW$7, 'GEN-SOLAR'!$D$115:$AW$115), 0), IF($B23='Project List References'!$B$5, _xlfn.IFNA(_xlfn.XLOOKUP(P$2-$C23, 'GEN-BESS'!$D$7:$AW$7, 'GEN-BESS'!$D$117:$AW$117), 0), IF($B23='Project List References'!$B$6, _xlfn.IFNA(_xlfn.XLOOKUP(P$2-$C23,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Q23" s="744" t="e">
        <f>IF($B23='Project List References'!$B$3, _xlfn.IFNA(_xlfn.XLOOKUP(Q$2-$C23, 'GEN-CCGT'!$D$7:$AW$7, 'GEN-CCGT'!$D$115:$AW$115), 0), IF($B23='Project List References'!$B$4, _xlfn.IFNA(_xlfn.XLOOKUP(Q$2-$C23, 'GEN-SOLAR'!$D$7:$AW$7, 'GEN-SOLAR'!$D$115:$AW$115), 0), IF($B23='Project List References'!$B$5, _xlfn.IFNA(_xlfn.XLOOKUP(Q$2-$C23, 'GEN-BESS'!$D$7:$AW$7, 'GEN-BESS'!$D$117:$AW$117), 0), IF($B23='Project List References'!$B$6, _xlfn.IFNA(_xlfn.XLOOKUP(Q$2-$C23,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R23" s="744" t="e">
        <f>IF($B23='Project List References'!$B$3, _xlfn.IFNA(_xlfn.XLOOKUP(R$2-$C23, 'GEN-CCGT'!$D$7:$AW$7, 'GEN-CCGT'!$D$115:$AW$115), 0), IF($B23='Project List References'!$B$4, _xlfn.IFNA(_xlfn.XLOOKUP(R$2-$C23, 'GEN-SOLAR'!$D$7:$AW$7, 'GEN-SOLAR'!$D$115:$AW$115), 0), IF($B23='Project List References'!$B$5, _xlfn.IFNA(_xlfn.XLOOKUP(R$2-$C23, 'GEN-BESS'!$D$7:$AW$7, 'GEN-BESS'!$D$117:$AW$117), 0), IF($B23='Project List References'!$B$6, _xlfn.IFNA(_xlfn.XLOOKUP(R$2-$C23,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S23" s="744" t="e">
        <f>IF($B23='Project List References'!$B$3, _xlfn.IFNA(_xlfn.XLOOKUP(S$2-$C23, 'GEN-CCGT'!$D$7:$AW$7, 'GEN-CCGT'!$D$115:$AW$115), 0), IF($B23='Project List References'!$B$4, _xlfn.IFNA(_xlfn.XLOOKUP(S$2-$C23, 'GEN-SOLAR'!$D$7:$AW$7, 'GEN-SOLAR'!$D$115:$AW$115), 0), IF($B23='Project List References'!$B$5, _xlfn.IFNA(_xlfn.XLOOKUP(S$2-$C23, 'GEN-BESS'!$D$7:$AW$7, 'GEN-BESS'!$D$117:$AW$117), 0), IF($B23='Project List References'!$B$6, _xlfn.IFNA(_xlfn.XLOOKUP(S$2-$C23,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  <c r="T23" s="744" t="e">
        <f>IF($B23='Project List References'!$B$3, _xlfn.IFNA(_xlfn.XLOOKUP(T$2-$C23, 'GEN-CCGT'!$D$7:$AW$7, 'GEN-CCGT'!$D$115:$AW$115), 0), IF($B23='Project List References'!$B$4, _xlfn.IFNA(_xlfn.XLOOKUP(T$2-$C23, 'GEN-SOLAR'!$D$7:$AW$7, 'GEN-SOLAR'!$D$115:$AW$115), 0), IF($B23='Project List References'!$B$5, _xlfn.IFNA(_xlfn.XLOOKUP(T$2-$C23, 'GEN-BESS'!$D$7:$AW$7, 'GEN-BESS'!$D$117:$AW$117), 0), IF($B23='Project List References'!$B$6, _xlfn.IFNA(_xlfn.XLOOKUP(T$2-$C23, 'GEN-CARBON'!$D$7:$AW$7, 'GEN-CARBON'!$D$115:$AW$115), 0), 0))))/_xlfn.XLOOKUP($B23, 'Assumptions &amp; Inputs'!$F$76:$L$76, 'Assumptions &amp; Inputs'!$F$77:$L$77)*IF(OR($B23='Project List References'!$B$3, $B23='Project List References'!$B$4, $B23='Project List References'!$B$5, $B23='Project List References'!$B$6), 'Project Master Sheet'!$E23, 'Project Master Sheet'!$F23)</f>
        <v>#N/A</v>
      </c>
    </row>
    <row r="24" spans="1:20">
      <c r="A24" s="655" t="str">
        <f>IF(ISBLANK('Project Master Sheet'!A24)=FALSE, 'Project Master Sheet'!A24, "")</f>
        <v/>
      </c>
      <c r="B24" s="655" t="str">
        <f>_xlfn.IFNA(_xlfn.XLOOKUP(A24, 'Project Master Sheet'!A:A, 'Project Master Sheet'!D:D), "")</f>
        <v/>
      </c>
      <c r="C24" s="655" t="e">
        <f>_xlfn.XLOOKUP('Project OPEX'!A24, 'Project Master Sheet'!A:A, 'Project Master Sheet'!I:I)</f>
        <v>#N/A</v>
      </c>
      <c r="E24" s="744" t="e">
        <f>IF($B24='Project List References'!$B$3, _xlfn.IFNA(_xlfn.XLOOKUP(E$2-$C24, 'GEN-CCGT'!$D$7:$AW$7, 'GEN-CCGT'!$D$115:$AW$115), 0), IF($B24='Project List References'!$B$4, _xlfn.IFNA(_xlfn.XLOOKUP(E$2-$C24, 'GEN-SOLAR'!$D$7:$AW$7, 'GEN-SOLAR'!$D$115:$AW$115), 0), IF($B24='Project List References'!$B$5, _xlfn.IFNA(_xlfn.XLOOKUP(E$2-$C24, 'GEN-BESS'!$D$7:$AW$7, 'GEN-BESS'!$D$117:$AW$117), 0), IF($B24='Project List References'!$B$6, _xlfn.IFNA(_xlfn.XLOOKUP(E$2-$C24,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F24" s="744" t="e">
        <f>IF($B24='Project List References'!$B$3, _xlfn.IFNA(_xlfn.XLOOKUP(F$2-$C24, 'GEN-CCGT'!$D$7:$AW$7, 'GEN-CCGT'!$D$115:$AW$115), 0), IF($B24='Project List References'!$B$4, _xlfn.IFNA(_xlfn.XLOOKUP(F$2-$C24, 'GEN-SOLAR'!$D$7:$AW$7, 'GEN-SOLAR'!$D$115:$AW$115), 0), IF($B24='Project List References'!$B$5, _xlfn.IFNA(_xlfn.XLOOKUP(F$2-$C24, 'GEN-BESS'!$D$7:$AW$7, 'GEN-BESS'!$D$117:$AW$117), 0), IF($B24='Project List References'!$B$6, _xlfn.IFNA(_xlfn.XLOOKUP(F$2-$C24,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G24" s="744" t="e">
        <f>IF($B24='Project List References'!$B$3, _xlfn.IFNA(_xlfn.XLOOKUP(G$2-$C24, 'GEN-CCGT'!$D$7:$AW$7, 'GEN-CCGT'!$D$115:$AW$115), 0), IF($B24='Project List References'!$B$4, _xlfn.IFNA(_xlfn.XLOOKUP(G$2-$C24, 'GEN-SOLAR'!$D$7:$AW$7, 'GEN-SOLAR'!$D$115:$AW$115), 0), IF($B24='Project List References'!$B$5, _xlfn.IFNA(_xlfn.XLOOKUP(G$2-$C24, 'GEN-BESS'!$D$7:$AW$7, 'GEN-BESS'!$D$117:$AW$117), 0), IF($B24='Project List References'!$B$6, _xlfn.IFNA(_xlfn.XLOOKUP(G$2-$C24,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H24" s="744" t="e">
        <f>IF($B24='Project List References'!$B$3, _xlfn.IFNA(_xlfn.XLOOKUP(H$2-$C24, 'GEN-CCGT'!$D$7:$AW$7, 'GEN-CCGT'!$D$115:$AW$115), 0), IF($B24='Project List References'!$B$4, _xlfn.IFNA(_xlfn.XLOOKUP(H$2-$C24, 'GEN-SOLAR'!$D$7:$AW$7, 'GEN-SOLAR'!$D$115:$AW$115), 0), IF($B24='Project List References'!$B$5, _xlfn.IFNA(_xlfn.XLOOKUP(H$2-$C24, 'GEN-BESS'!$D$7:$AW$7, 'GEN-BESS'!$D$117:$AW$117), 0), IF($B24='Project List References'!$B$6, _xlfn.IFNA(_xlfn.XLOOKUP(H$2-$C24,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I24" s="744" t="e">
        <f>IF($B24='Project List References'!$B$3, _xlfn.IFNA(_xlfn.XLOOKUP(I$2-$C24, 'GEN-CCGT'!$D$7:$AW$7, 'GEN-CCGT'!$D$115:$AW$115), 0), IF($B24='Project List References'!$B$4, _xlfn.IFNA(_xlfn.XLOOKUP(I$2-$C24, 'GEN-SOLAR'!$D$7:$AW$7, 'GEN-SOLAR'!$D$115:$AW$115), 0), IF($B24='Project List References'!$B$5, _xlfn.IFNA(_xlfn.XLOOKUP(I$2-$C24, 'GEN-BESS'!$D$7:$AW$7, 'GEN-BESS'!$D$117:$AW$117), 0), IF($B24='Project List References'!$B$6, _xlfn.IFNA(_xlfn.XLOOKUP(I$2-$C24,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J24" s="744" t="e">
        <f>IF($B24='Project List References'!$B$3, _xlfn.IFNA(_xlfn.XLOOKUP(J$2-$C24, 'GEN-CCGT'!$D$7:$AW$7, 'GEN-CCGT'!$D$115:$AW$115), 0), IF($B24='Project List References'!$B$4, _xlfn.IFNA(_xlfn.XLOOKUP(J$2-$C24, 'GEN-SOLAR'!$D$7:$AW$7, 'GEN-SOLAR'!$D$115:$AW$115), 0), IF($B24='Project List References'!$B$5, _xlfn.IFNA(_xlfn.XLOOKUP(J$2-$C24, 'GEN-BESS'!$D$7:$AW$7, 'GEN-BESS'!$D$117:$AW$117), 0), IF($B24='Project List References'!$B$6, _xlfn.IFNA(_xlfn.XLOOKUP(J$2-$C24,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K24" s="744" t="e">
        <f>IF($B24='Project List References'!$B$3, _xlfn.IFNA(_xlfn.XLOOKUP(K$2-$C24, 'GEN-CCGT'!$D$7:$AW$7, 'GEN-CCGT'!$D$115:$AW$115), 0), IF($B24='Project List References'!$B$4, _xlfn.IFNA(_xlfn.XLOOKUP(K$2-$C24, 'GEN-SOLAR'!$D$7:$AW$7, 'GEN-SOLAR'!$D$115:$AW$115), 0), IF($B24='Project List References'!$B$5, _xlfn.IFNA(_xlfn.XLOOKUP(K$2-$C24, 'GEN-BESS'!$D$7:$AW$7, 'GEN-BESS'!$D$117:$AW$117), 0), IF($B24='Project List References'!$B$6, _xlfn.IFNA(_xlfn.XLOOKUP(K$2-$C24,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L24" s="744" t="e">
        <f>IF($B24='Project List References'!$B$3, _xlfn.IFNA(_xlfn.XLOOKUP(L$2-$C24, 'GEN-CCGT'!$D$7:$AW$7, 'GEN-CCGT'!$D$115:$AW$115), 0), IF($B24='Project List References'!$B$4, _xlfn.IFNA(_xlfn.XLOOKUP(L$2-$C24, 'GEN-SOLAR'!$D$7:$AW$7, 'GEN-SOLAR'!$D$115:$AW$115), 0), IF($B24='Project List References'!$B$5, _xlfn.IFNA(_xlfn.XLOOKUP(L$2-$C24, 'GEN-BESS'!$D$7:$AW$7, 'GEN-BESS'!$D$117:$AW$117), 0), IF($B24='Project List References'!$B$6, _xlfn.IFNA(_xlfn.XLOOKUP(L$2-$C24,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M24" s="744" t="e">
        <f>IF($B24='Project List References'!$B$3, _xlfn.IFNA(_xlfn.XLOOKUP(M$2-$C24, 'GEN-CCGT'!$D$7:$AW$7, 'GEN-CCGT'!$D$115:$AW$115), 0), IF($B24='Project List References'!$B$4, _xlfn.IFNA(_xlfn.XLOOKUP(M$2-$C24, 'GEN-SOLAR'!$D$7:$AW$7, 'GEN-SOLAR'!$D$115:$AW$115), 0), IF($B24='Project List References'!$B$5, _xlfn.IFNA(_xlfn.XLOOKUP(M$2-$C24, 'GEN-BESS'!$D$7:$AW$7, 'GEN-BESS'!$D$117:$AW$117), 0), IF($B24='Project List References'!$B$6, _xlfn.IFNA(_xlfn.XLOOKUP(M$2-$C24,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N24" s="744" t="e">
        <f>IF($B24='Project List References'!$B$3, _xlfn.IFNA(_xlfn.XLOOKUP(N$2-$C24, 'GEN-CCGT'!$D$7:$AW$7, 'GEN-CCGT'!$D$115:$AW$115), 0), IF($B24='Project List References'!$B$4, _xlfn.IFNA(_xlfn.XLOOKUP(N$2-$C24, 'GEN-SOLAR'!$D$7:$AW$7, 'GEN-SOLAR'!$D$115:$AW$115), 0), IF($B24='Project List References'!$B$5, _xlfn.IFNA(_xlfn.XLOOKUP(N$2-$C24, 'GEN-BESS'!$D$7:$AW$7, 'GEN-BESS'!$D$117:$AW$117), 0), IF($B24='Project List References'!$B$6, _xlfn.IFNA(_xlfn.XLOOKUP(N$2-$C24,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O24" s="744" t="e">
        <f>IF($B24='Project List References'!$B$3, _xlfn.IFNA(_xlfn.XLOOKUP(O$2-$C24, 'GEN-CCGT'!$D$7:$AW$7, 'GEN-CCGT'!$D$115:$AW$115), 0), IF($B24='Project List References'!$B$4, _xlfn.IFNA(_xlfn.XLOOKUP(O$2-$C24, 'GEN-SOLAR'!$D$7:$AW$7, 'GEN-SOLAR'!$D$115:$AW$115), 0), IF($B24='Project List References'!$B$5, _xlfn.IFNA(_xlfn.XLOOKUP(O$2-$C24, 'GEN-BESS'!$D$7:$AW$7, 'GEN-BESS'!$D$117:$AW$117), 0), IF($B24='Project List References'!$B$6, _xlfn.IFNA(_xlfn.XLOOKUP(O$2-$C24,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P24" s="744" t="e">
        <f>IF($B24='Project List References'!$B$3, _xlfn.IFNA(_xlfn.XLOOKUP(P$2-$C24, 'GEN-CCGT'!$D$7:$AW$7, 'GEN-CCGT'!$D$115:$AW$115), 0), IF($B24='Project List References'!$B$4, _xlfn.IFNA(_xlfn.XLOOKUP(P$2-$C24, 'GEN-SOLAR'!$D$7:$AW$7, 'GEN-SOLAR'!$D$115:$AW$115), 0), IF($B24='Project List References'!$B$5, _xlfn.IFNA(_xlfn.XLOOKUP(P$2-$C24, 'GEN-BESS'!$D$7:$AW$7, 'GEN-BESS'!$D$117:$AW$117), 0), IF($B24='Project List References'!$B$6, _xlfn.IFNA(_xlfn.XLOOKUP(P$2-$C24,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Q24" s="744" t="e">
        <f>IF($B24='Project List References'!$B$3, _xlfn.IFNA(_xlfn.XLOOKUP(Q$2-$C24, 'GEN-CCGT'!$D$7:$AW$7, 'GEN-CCGT'!$D$115:$AW$115), 0), IF($B24='Project List References'!$B$4, _xlfn.IFNA(_xlfn.XLOOKUP(Q$2-$C24, 'GEN-SOLAR'!$D$7:$AW$7, 'GEN-SOLAR'!$D$115:$AW$115), 0), IF($B24='Project List References'!$B$5, _xlfn.IFNA(_xlfn.XLOOKUP(Q$2-$C24, 'GEN-BESS'!$D$7:$AW$7, 'GEN-BESS'!$D$117:$AW$117), 0), IF($B24='Project List References'!$B$6, _xlfn.IFNA(_xlfn.XLOOKUP(Q$2-$C24,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R24" s="744" t="e">
        <f>IF($B24='Project List References'!$B$3, _xlfn.IFNA(_xlfn.XLOOKUP(R$2-$C24, 'GEN-CCGT'!$D$7:$AW$7, 'GEN-CCGT'!$D$115:$AW$115), 0), IF($B24='Project List References'!$B$4, _xlfn.IFNA(_xlfn.XLOOKUP(R$2-$C24, 'GEN-SOLAR'!$D$7:$AW$7, 'GEN-SOLAR'!$D$115:$AW$115), 0), IF($B24='Project List References'!$B$5, _xlfn.IFNA(_xlfn.XLOOKUP(R$2-$C24, 'GEN-BESS'!$D$7:$AW$7, 'GEN-BESS'!$D$117:$AW$117), 0), IF($B24='Project List References'!$B$6, _xlfn.IFNA(_xlfn.XLOOKUP(R$2-$C24,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S24" s="744" t="e">
        <f>IF($B24='Project List References'!$B$3, _xlfn.IFNA(_xlfn.XLOOKUP(S$2-$C24, 'GEN-CCGT'!$D$7:$AW$7, 'GEN-CCGT'!$D$115:$AW$115), 0), IF($B24='Project List References'!$B$4, _xlfn.IFNA(_xlfn.XLOOKUP(S$2-$C24, 'GEN-SOLAR'!$D$7:$AW$7, 'GEN-SOLAR'!$D$115:$AW$115), 0), IF($B24='Project List References'!$B$5, _xlfn.IFNA(_xlfn.XLOOKUP(S$2-$C24, 'GEN-BESS'!$D$7:$AW$7, 'GEN-BESS'!$D$117:$AW$117), 0), IF($B24='Project List References'!$B$6, _xlfn.IFNA(_xlfn.XLOOKUP(S$2-$C24,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  <c r="T24" s="744" t="e">
        <f>IF($B24='Project List References'!$B$3, _xlfn.IFNA(_xlfn.XLOOKUP(T$2-$C24, 'GEN-CCGT'!$D$7:$AW$7, 'GEN-CCGT'!$D$115:$AW$115), 0), IF($B24='Project List References'!$B$4, _xlfn.IFNA(_xlfn.XLOOKUP(T$2-$C24, 'GEN-SOLAR'!$D$7:$AW$7, 'GEN-SOLAR'!$D$115:$AW$115), 0), IF($B24='Project List References'!$B$5, _xlfn.IFNA(_xlfn.XLOOKUP(T$2-$C24, 'GEN-BESS'!$D$7:$AW$7, 'GEN-BESS'!$D$117:$AW$117), 0), IF($B24='Project List References'!$B$6, _xlfn.IFNA(_xlfn.XLOOKUP(T$2-$C24, 'GEN-CARBON'!$D$7:$AW$7, 'GEN-CARBON'!$D$115:$AW$115), 0), 0))))/_xlfn.XLOOKUP($B24, 'Assumptions &amp; Inputs'!$F$76:$L$76, 'Assumptions &amp; Inputs'!$F$77:$L$77)*IF(OR($B24='Project List References'!$B$3, $B24='Project List References'!$B$4, $B24='Project List References'!$B$5, $B24='Project List References'!$B$6), 'Project Master Sheet'!$E24, 'Project Master Sheet'!$F24)</f>
        <v>#N/A</v>
      </c>
    </row>
    <row r="25" spans="1:20">
      <c r="A25" s="655" t="str">
        <f>IF(ISBLANK('Project Master Sheet'!A25)=FALSE, 'Project Master Sheet'!A25, "")</f>
        <v/>
      </c>
      <c r="B25" s="655" t="str">
        <f>_xlfn.IFNA(_xlfn.XLOOKUP(A25, 'Project Master Sheet'!A:A, 'Project Master Sheet'!D:D), "")</f>
        <v/>
      </c>
      <c r="C25" s="655" t="e">
        <f>_xlfn.XLOOKUP('Project OPEX'!A25, 'Project Master Sheet'!A:A, 'Project Master Sheet'!I:I)</f>
        <v>#N/A</v>
      </c>
      <c r="E25" s="744" t="e">
        <f>IF($B25='Project List References'!$B$3, _xlfn.IFNA(_xlfn.XLOOKUP(E$2-$C25, 'GEN-CCGT'!$D$7:$AW$7, 'GEN-CCGT'!$D$115:$AW$115), 0), IF($B25='Project List References'!$B$4, _xlfn.IFNA(_xlfn.XLOOKUP(E$2-$C25, 'GEN-SOLAR'!$D$7:$AW$7, 'GEN-SOLAR'!$D$115:$AW$115), 0), IF($B25='Project List References'!$B$5, _xlfn.IFNA(_xlfn.XLOOKUP(E$2-$C25, 'GEN-BESS'!$D$7:$AW$7, 'GEN-BESS'!$D$117:$AW$117), 0), IF($B25='Project List References'!$B$6, _xlfn.IFNA(_xlfn.XLOOKUP(E$2-$C25,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F25" s="744" t="e">
        <f>IF($B25='Project List References'!$B$3, _xlfn.IFNA(_xlfn.XLOOKUP(F$2-$C25, 'GEN-CCGT'!$D$7:$AW$7, 'GEN-CCGT'!$D$115:$AW$115), 0), IF($B25='Project List References'!$B$4, _xlfn.IFNA(_xlfn.XLOOKUP(F$2-$C25, 'GEN-SOLAR'!$D$7:$AW$7, 'GEN-SOLAR'!$D$115:$AW$115), 0), IF($B25='Project List References'!$B$5, _xlfn.IFNA(_xlfn.XLOOKUP(F$2-$C25, 'GEN-BESS'!$D$7:$AW$7, 'GEN-BESS'!$D$117:$AW$117), 0), IF($B25='Project List References'!$B$6, _xlfn.IFNA(_xlfn.XLOOKUP(F$2-$C25,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G25" s="744" t="e">
        <f>IF($B25='Project List References'!$B$3, _xlfn.IFNA(_xlfn.XLOOKUP(G$2-$C25, 'GEN-CCGT'!$D$7:$AW$7, 'GEN-CCGT'!$D$115:$AW$115), 0), IF($B25='Project List References'!$B$4, _xlfn.IFNA(_xlfn.XLOOKUP(G$2-$C25, 'GEN-SOLAR'!$D$7:$AW$7, 'GEN-SOLAR'!$D$115:$AW$115), 0), IF($B25='Project List References'!$B$5, _xlfn.IFNA(_xlfn.XLOOKUP(G$2-$C25, 'GEN-BESS'!$D$7:$AW$7, 'GEN-BESS'!$D$117:$AW$117), 0), IF($B25='Project List References'!$B$6, _xlfn.IFNA(_xlfn.XLOOKUP(G$2-$C25,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H25" s="744" t="e">
        <f>IF($B25='Project List References'!$B$3, _xlfn.IFNA(_xlfn.XLOOKUP(H$2-$C25, 'GEN-CCGT'!$D$7:$AW$7, 'GEN-CCGT'!$D$115:$AW$115), 0), IF($B25='Project List References'!$B$4, _xlfn.IFNA(_xlfn.XLOOKUP(H$2-$C25, 'GEN-SOLAR'!$D$7:$AW$7, 'GEN-SOLAR'!$D$115:$AW$115), 0), IF($B25='Project List References'!$B$5, _xlfn.IFNA(_xlfn.XLOOKUP(H$2-$C25, 'GEN-BESS'!$D$7:$AW$7, 'GEN-BESS'!$D$117:$AW$117), 0), IF($B25='Project List References'!$B$6, _xlfn.IFNA(_xlfn.XLOOKUP(H$2-$C25,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I25" s="744" t="e">
        <f>IF($B25='Project List References'!$B$3, _xlfn.IFNA(_xlfn.XLOOKUP(I$2-$C25, 'GEN-CCGT'!$D$7:$AW$7, 'GEN-CCGT'!$D$115:$AW$115), 0), IF($B25='Project List References'!$B$4, _xlfn.IFNA(_xlfn.XLOOKUP(I$2-$C25, 'GEN-SOLAR'!$D$7:$AW$7, 'GEN-SOLAR'!$D$115:$AW$115), 0), IF($B25='Project List References'!$B$5, _xlfn.IFNA(_xlfn.XLOOKUP(I$2-$C25, 'GEN-BESS'!$D$7:$AW$7, 'GEN-BESS'!$D$117:$AW$117), 0), IF($B25='Project List References'!$B$6, _xlfn.IFNA(_xlfn.XLOOKUP(I$2-$C25,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J25" s="744" t="e">
        <f>IF($B25='Project List References'!$B$3, _xlfn.IFNA(_xlfn.XLOOKUP(J$2-$C25, 'GEN-CCGT'!$D$7:$AW$7, 'GEN-CCGT'!$D$115:$AW$115), 0), IF($B25='Project List References'!$B$4, _xlfn.IFNA(_xlfn.XLOOKUP(J$2-$C25, 'GEN-SOLAR'!$D$7:$AW$7, 'GEN-SOLAR'!$D$115:$AW$115), 0), IF($B25='Project List References'!$B$5, _xlfn.IFNA(_xlfn.XLOOKUP(J$2-$C25, 'GEN-BESS'!$D$7:$AW$7, 'GEN-BESS'!$D$117:$AW$117), 0), IF($B25='Project List References'!$B$6, _xlfn.IFNA(_xlfn.XLOOKUP(J$2-$C25,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K25" s="744" t="e">
        <f>IF($B25='Project List References'!$B$3, _xlfn.IFNA(_xlfn.XLOOKUP(K$2-$C25, 'GEN-CCGT'!$D$7:$AW$7, 'GEN-CCGT'!$D$115:$AW$115), 0), IF($B25='Project List References'!$B$4, _xlfn.IFNA(_xlfn.XLOOKUP(K$2-$C25, 'GEN-SOLAR'!$D$7:$AW$7, 'GEN-SOLAR'!$D$115:$AW$115), 0), IF($B25='Project List References'!$B$5, _xlfn.IFNA(_xlfn.XLOOKUP(K$2-$C25, 'GEN-BESS'!$D$7:$AW$7, 'GEN-BESS'!$D$117:$AW$117), 0), IF($B25='Project List References'!$B$6, _xlfn.IFNA(_xlfn.XLOOKUP(K$2-$C25,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L25" s="744" t="e">
        <f>IF($B25='Project List References'!$B$3, _xlfn.IFNA(_xlfn.XLOOKUP(L$2-$C25, 'GEN-CCGT'!$D$7:$AW$7, 'GEN-CCGT'!$D$115:$AW$115), 0), IF($B25='Project List References'!$B$4, _xlfn.IFNA(_xlfn.XLOOKUP(L$2-$C25, 'GEN-SOLAR'!$D$7:$AW$7, 'GEN-SOLAR'!$D$115:$AW$115), 0), IF($B25='Project List References'!$B$5, _xlfn.IFNA(_xlfn.XLOOKUP(L$2-$C25, 'GEN-BESS'!$D$7:$AW$7, 'GEN-BESS'!$D$117:$AW$117), 0), IF($B25='Project List References'!$B$6, _xlfn.IFNA(_xlfn.XLOOKUP(L$2-$C25,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M25" s="744" t="e">
        <f>IF($B25='Project List References'!$B$3, _xlfn.IFNA(_xlfn.XLOOKUP(M$2-$C25, 'GEN-CCGT'!$D$7:$AW$7, 'GEN-CCGT'!$D$115:$AW$115), 0), IF($B25='Project List References'!$B$4, _xlfn.IFNA(_xlfn.XLOOKUP(M$2-$C25, 'GEN-SOLAR'!$D$7:$AW$7, 'GEN-SOLAR'!$D$115:$AW$115), 0), IF($B25='Project List References'!$B$5, _xlfn.IFNA(_xlfn.XLOOKUP(M$2-$C25, 'GEN-BESS'!$D$7:$AW$7, 'GEN-BESS'!$D$117:$AW$117), 0), IF($B25='Project List References'!$B$6, _xlfn.IFNA(_xlfn.XLOOKUP(M$2-$C25,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N25" s="744" t="e">
        <f>IF($B25='Project List References'!$B$3, _xlfn.IFNA(_xlfn.XLOOKUP(N$2-$C25, 'GEN-CCGT'!$D$7:$AW$7, 'GEN-CCGT'!$D$115:$AW$115), 0), IF($B25='Project List References'!$B$4, _xlfn.IFNA(_xlfn.XLOOKUP(N$2-$C25, 'GEN-SOLAR'!$D$7:$AW$7, 'GEN-SOLAR'!$D$115:$AW$115), 0), IF($B25='Project List References'!$B$5, _xlfn.IFNA(_xlfn.XLOOKUP(N$2-$C25, 'GEN-BESS'!$D$7:$AW$7, 'GEN-BESS'!$D$117:$AW$117), 0), IF($B25='Project List References'!$B$6, _xlfn.IFNA(_xlfn.XLOOKUP(N$2-$C25,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O25" s="744" t="e">
        <f>IF($B25='Project List References'!$B$3, _xlfn.IFNA(_xlfn.XLOOKUP(O$2-$C25, 'GEN-CCGT'!$D$7:$AW$7, 'GEN-CCGT'!$D$115:$AW$115), 0), IF($B25='Project List References'!$B$4, _xlfn.IFNA(_xlfn.XLOOKUP(O$2-$C25, 'GEN-SOLAR'!$D$7:$AW$7, 'GEN-SOLAR'!$D$115:$AW$115), 0), IF($B25='Project List References'!$B$5, _xlfn.IFNA(_xlfn.XLOOKUP(O$2-$C25, 'GEN-BESS'!$D$7:$AW$7, 'GEN-BESS'!$D$117:$AW$117), 0), IF($B25='Project List References'!$B$6, _xlfn.IFNA(_xlfn.XLOOKUP(O$2-$C25,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P25" s="744" t="e">
        <f>IF($B25='Project List References'!$B$3, _xlfn.IFNA(_xlfn.XLOOKUP(P$2-$C25, 'GEN-CCGT'!$D$7:$AW$7, 'GEN-CCGT'!$D$115:$AW$115), 0), IF($B25='Project List References'!$B$4, _xlfn.IFNA(_xlfn.XLOOKUP(P$2-$C25, 'GEN-SOLAR'!$D$7:$AW$7, 'GEN-SOLAR'!$D$115:$AW$115), 0), IF($B25='Project List References'!$B$5, _xlfn.IFNA(_xlfn.XLOOKUP(P$2-$C25, 'GEN-BESS'!$D$7:$AW$7, 'GEN-BESS'!$D$117:$AW$117), 0), IF($B25='Project List References'!$B$6, _xlfn.IFNA(_xlfn.XLOOKUP(P$2-$C25,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Q25" s="744" t="e">
        <f>IF($B25='Project List References'!$B$3, _xlfn.IFNA(_xlfn.XLOOKUP(Q$2-$C25, 'GEN-CCGT'!$D$7:$AW$7, 'GEN-CCGT'!$D$115:$AW$115), 0), IF($B25='Project List References'!$B$4, _xlfn.IFNA(_xlfn.XLOOKUP(Q$2-$C25, 'GEN-SOLAR'!$D$7:$AW$7, 'GEN-SOLAR'!$D$115:$AW$115), 0), IF($B25='Project List References'!$B$5, _xlfn.IFNA(_xlfn.XLOOKUP(Q$2-$C25, 'GEN-BESS'!$D$7:$AW$7, 'GEN-BESS'!$D$117:$AW$117), 0), IF($B25='Project List References'!$B$6, _xlfn.IFNA(_xlfn.XLOOKUP(Q$2-$C25,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R25" s="744" t="e">
        <f>IF($B25='Project List References'!$B$3, _xlfn.IFNA(_xlfn.XLOOKUP(R$2-$C25, 'GEN-CCGT'!$D$7:$AW$7, 'GEN-CCGT'!$D$115:$AW$115), 0), IF($B25='Project List References'!$B$4, _xlfn.IFNA(_xlfn.XLOOKUP(R$2-$C25, 'GEN-SOLAR'!$D$7:$AW$7, 'GEN-SOLAR'!$D$115:$AW$115), 0), IF($B25='Project List References'!$B$5, _xlfn.IFNA(_xlfn.XLOOKUP(R$2-$C25, 'GEN-BESS'!$D$7:$AW$7, 'GEN-BESS'!$D$117:$AW$117), 0), IF($B25='Project List References'!$B$6, _xlfn.IFNA(_xlfn.XLOOKUP(R$2-$C25,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S25" s="744" t="e">
        <f>IF($B25='Project List References'!$B$3, _xlfn.IFNA(_xlfn.XLOOKUP(S$2-$C25, 'GEN-CCGT'!$D$7:$AW$7, 'GEN-CCGT'!$D$115:$AW$115), 0), IF($B25='Project List References'!$B$4, _xlfn.IFNA(_xlfn.XLOOKUP(S$2-$C25, 'GEN-SOLAR'!$D$7:$AW$7, 'GEN-SOLAR'!$D$115:$AW$115), 0), IF($B25='Project List References'!$B$5, _xlfn.IFNA(_xlfn.XLOOKUP(S$2-$C25, 'GEN-BESS'!$D$7:$AW$7, 'GEN-BESS'!$D$117:$AW$117), 0), IF($B25='Project List References'!$B$6, _xlfn.IFNA(_xlfn.XLOOKUP(S$2-$C25,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  <c r="T25" s="744" t="e">
        <f>IF($B25='Project List References'!$B$3, _xlfn.IFNA(_xlfn.XLOOKUP(T$2-$C25, 'GEN-CCGT'!$D$7:$AW$7, 'GEN-CCGT'!$D$115:$AW$115), 0), IF($B25='Project List References'!$B$4, _xlfn.IFNA(_xlfn.XLOOKUP(T$2-$C25, 'GEN-SOLAR'!$D$7:$AW$7, 'GEN-SOLAR'!$D$115:$AW$115), 0), IF($B25='Project List References'!$B$5, _xlfn.IFNA(_xlfn.XLOOKUP(T$2-$C25, 'GEN-BESS'!$D$7:$AW$7, 'GEN-BESS'!$D$117:$AW$117), 0), IF($B25='Project List References'!$B$6, _xlfn.IFNA(_xlfn.XLOOKUP(T$2-$C25, 'GEN-CARBON'!$D$7:$AW$7, 'GEN-CARBON'!$D$115:$AW$115), 0), 0))))/_xlfn.XLOOKUP($B25, 'Assumptions &amp; Inputs'!$F$76:$L$76, 'Assumptions &amp; Inputs'!$F$77:$L$77)*IF(OR($B25='Project List References'!$B$3, $B25='Project List References'!$B$4, $B25='Project List References'!$B$5, $B25='Project List References'!$B$6), 'Project Master Sheet'!$E25, 'Project Master Sheet'!$F25)</f>
        <v>#N/A</v>
      </c>
    </row>
    <row r="26" spans="1:20">
      <c r="A26" s="655" t="str">
        <f>IF(ISBLANK('Project Master Sheet'!A26)=FALSE, 'Project Master Sheet'!A26, "")</f>
        <v/>
      </c>
      <c r="B26" s="655" t="str">
        <f>_xlfn.IFNA(_xlfn.XLOOKUP(A26, 'Project Master Sheet'!A:A, 'Project Master Sheet'!D:D), "")</f>
        <v/>
      </c>
      <c r="C26" s="655" t="e">
        <f>_xlfn.XLOOKUP('Project OPEX'!A26, 'Project Master Sheet'!A:A, 'Project Master Sheet'!I:I)</f>
        <v>#N/A</v>
      </c>
      <c r="E26" s="744" t="e">
        <f>IF($B26='Project List References'!$B$3, _xlfn.IFNA(_xlfn.XLOOKUP(E$2-$C26, 'GEN-CCGT'!$D$7:$AW$7, 'GEN-CCGT'!$D$115:$AW$115), 0), IF($B26='Project List References'!$B$4, _xlfn.IFNA(_xlfn.XLOOKUP(E$2-$C26, 'GEN-SOLAR'!$D$7:$AW$7, 'GEN-SOLAR'!$D$115:$AW$115), 0), IF($B26='Project List References'!$B$5, _xlfn.IFNA(_xlfn.XLOOKUP(E$2-$C26, 'GEN-BESS'!$D$7:$AW$7, 'GEN-BESS'!$D$117:$AW$117), 0), IF($B26='Project List References'!$B$6, _xlfn.IFNA(_xlfn.XLOOKUP(E$2-$C26,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F26" s="744" t="e">
        <f>IF($B26='Project List References'!$B$3, _xlfn.IFNA(_xlfn.XLOOKUP(F$2-$C26, 'GEN-CCGT'!$D$7:$AW$7, 'GEN-CCGT'!$D$115:$AW$115), 0), IF($B26='Project List References'!$B$4, _xlfn.IFNA(_xlfn.XLOOKUP(F$2-$C26, 'GEN-SOLAR'!$D$7:$AW$7, 'GEN-SOLAR'!$D$115:$AW$115), 0), IF($B26='Project List References'!$B$5, _xlfn.IFNA(_xlfn.XLOOKUP(F$2-$C26, 'GEN-BESS'!$D$7:$AW$7, 'GEN-BESS'!$D$117:$AW$117), 0), IF($B26='Project List References'!$B$6, _xlfn.IFNA(_xlfn.XLOOKUP(F$2-$C26,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G26" s="744" t="e">
        <f>IF($B26='Project List References'!$B$3, _xlfn.IFNA(_xlfn.XLOOKUP(G$2-$C26, 'GEN-CCGT'!$D$7:$AW$7, 'GEN-CCGT'!$D$115:$AW$115), 0), IF($B26='Project List References'!$B$4, _xlfn.IFNA(_xlfn.XLOOKUP(G$2-$C26, 'GEN-SOLAR'!$D$7:$AW$7, 'GEN-SOLAR'!$D$115:$AW$115), 0), IF($B26='Project List References'!$B$5, _xlfn.IFNA(_xlfn.XLOOKUP(G$2-$C26, 'GEN-BESS'!$D$7:$AW$7, 'GEN-BESS'!$D$117:$AW$117), 0), IF($B26='Project List References'!$B$6, _xlfn.IFNA(_xlfn.XLOOKUP(G$2-$C26,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H26" s="744" t="e">
        <f>IF($B26='Project List References'!$B$3, _xlfn.IFNA(_xlfn.XLOOKUP(H$2-$C26, 'GEN-CCGT'!$D$7:$AW$7, 'GEN-CCGT'!$D$115:$AW$115), 0), IF($B26='Project List References'!$B$4, _xlfn.IFNA(_xlfn.XLOOKUP(H$2-$C26, 'GEN-SOLAR'!$D$7:$AW$7, 'GEN-SOLAR'!$D$115:$AW$115), 0), IF($B26='Project List References'!$B$5, _xlfn.IFNA(_xlfn.XLOOKUP(H$2-$C26, 'GEN-BESS'!$D$7:$AW$7, 'GEN-BESS'!$D$117:$AW$117), 0), IF($B26='Project List References'!$B$6, _xlfn.IFNA(_xlfn.XLOOKUP(H$2-$C26,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I26" s="744" t="e">
        <f>IF($B26='Project List References'!$B$3, _xlfn.IFNA(_xlfn.XLOOKUP(I$2-$C26, 'GEN-CCGT'!$D$7:$AW$7, 'GEN-CCGT'!$D$115:$AW$115), 0), IF($B26='Project List References'!$B$4, _xlfn.IFNA(_xlfn.XLOOKUP(I$2-$C26, 'GEN-SOLAR'!$D$7:$AW$7, 'GEN-SOLAR'!$D$115:$AW$115), 0), IF($B26='Project List References'!$B$5, _xlfn.IFNA(_xlfn.XLOOKUP(I$2-$C26, 'GEN-BESS'!$D$7:$AW$7, 'GEN-BESS'!$D$117:$AW$117), 0), IF($B26='Project List References'!$B$6, _xlfn.IFNA(_xlfn.XLOOKUP(I$2-$C26,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J26" s="744" t="e">
        <f>IF($B26='Project List References'!$B$3, _xlfn.IFNA(_xlfn.XLOOKUP(J$2-$C26, 'GEN-CCGT'!$D$7:$AW$7, 'GEN-CCGT'!$D$115:$AW$115), 0), IF($B26='Project List References'!$B$4, _xlfn.IFNA(_xlfn.XLOOKUP(J$2-$C26, 'GEN-SOLAR'!$D$7:$AW$7, 'GEN-SOLAR'!$D$115:$AW$115), 0), IF($B26='Project List References'!$B$5, _xlfn.IFNA(_xlfn.XLOOKUP(J$2-$C26, 'GEN-BESS'!$D$7:$AW$7, 'GEN-BESS'!$D$117:$AW$117), 0), IF($B26='Project List References'!$B$6, _xlfn.IFNA(_xlfn.XLOOKUP(J$2-$C26,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K26" s="744" t="e">
        <f>IF($B26='Project List References'!$B$3, _xlfn.IFNA(_xlfn.XLOOKUP(K$2-$C26, 'GEN-CCGT'!$D$7:$AW$7, 'GEN-CCGT'!$D$115:$AW$115), 0), IF($B26='Project List References'!$B$4, _xlfn.IFNA(_xlfn.XLOOKUP(K$2-$C26, 'GEN-SOLAR'!$D$7:$AW$7, 'GEN-SOLAR'!$D$115:$AW$115), 0), IF($B26='Project List References'!$B$5, _xlfn.IFNA(_xlfn.XLOOKUP(K$2-$C26, 'GEN-BESS'!$D$7:$AW$7, 'GEN-BESS'!$D$117:$AW$117), 0), IF($B26='Project List References'!$B$6, _xlfn.IFNA(_xlfn.XLOOKUP(K$2-$C26,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L26" s="744" t="e">
        <f>IF($B26='Project List References'!$B$3, _xlfn.IFNA(_xlfn.XLOOKUP(L$2-$C26, 'GEN-CCGT'!$D$7:$AW$7, 'GEN-CCGT'!$D$115:$AW$115), 0), IF($B26='Project List References'!$B$4, _xlfn.IFNA(_xlfn.XLOOKUP(L$2-$C26, 'GEN-SOLAR'!$D$7:$AW$7, 'GEN-SOLAR'!$D$115:$AW$115), 0), IF($B26='Project List References'!$B$5, _xlfn.IFNA(_xlfn.XLOOKUP(L$2-$C26, 'GEN-BESS'!$D$7:$AW$7, 'GEN-BESS'!$D$117:$AW$117), 0), IF($B26='Project List References'!$B$6, _xlfn.IFNA(_xlfn.XLOOKUP(L$2-$C26,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M26" s="744" t="e">
        <f>IF($B26='Project List References'!$B$3, _xlfn.IFNA(_xlfn.XLOOKUP(M$2-$C26, 'GEN-CCGT'!$D$7:$AW$7, 'GEN-CCGT'!$D$115:$AW$115), 0), IF($B26='Project List References'!$B$4, _xlfn.IFNA(_xlfn.XLOOKUP(M$2-$C26, 'GEN-SOLAR'!$D$7:$AW$7, 'GEN-SOLAR'!$D$115:$AW$115), 0), IF($B26='Project List References'!$B$5, _xlfn.IFNA(_xlfn.XLOOKUP(M$2-$C26, 'GEN-BESS'!$D$7:$AW$7, 'GEN-BESS'!$D$117:$AW$117), 0), IF($B26='Project List References'!$B$6, _xlfn.IFNA(_xlfn.XLOOKUP(M$2-$C26,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N26" s="744" t="e">
        <f>IF($B26='Project List References'!$B$3, _xlfn.IFNA(_xlfn.XLOOKUP(N$2-$C26, 'GEN-CCGT'!$D$7:$AW$7, 'GEN-CCGT'!$D$115:$AW$115), 0), IF($B26='Project List References'!$B$4, _xlfn.IFNA(_xlfn.XLOOKUP(N$2-$C26, 'GEN-SOLAR'!$D$7:$AW$7, 'GEN-SOLAR'!$D$115:$AW$115), 0), IF($B26='Project List References'!$B$5, _xlfn.IFNA(_xlfn.XLOOKUP(N$2-$C26, 'GEN-BESS'!$D$7:$AW$7, 'GEN-BESS'!$D$117:$AW$117), 0), IF($B26='Project List References'!$B$6, _xlfn.IFNA(_xlfn.XLOOKUP(N$2-$C26,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O26" s="744" t="e">
        <f>IF($B26='Project List References'!$B$3, _xlfn.IFNA(_xlfn.XLOOKUP(O$2-$C26, 'GEN-CCGT'!$D$7:$AW$7, 'GEN-CCGT'!$D$115:$AW$115), 0), IF($B26='Project List References'!$B$4, _xlfn.IFNA(_xlfn.XLOOKUP(O$2-$C26, 'GEN-SOLAR'!$D$7:$AW$7, 'GEN-SOLAR'!$D$115:$AW$115), 0), IF($B26='Project List References'!$B$5, _xlfn.IFNA(_xlfn.XLOOKUP(O$2-$C26, 'GEN-BESS'!$D$7:$AW$7, 'GEN-BESS'!$D$117:$AW$117), 0), IF($B26='Project List References'!$B$6, _xlfn.IFNA(_xlfn.XLOOKUP(O$2-$C26,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P26" s="744" t="e">
        <f>IF($B26='Project List References'!$B$3, _xlfn.IFNA(_xlfn.XLOOKUP(P$2-$C26, 'GEN-CCGT'!$D$7:$AW$7, 'GEN-CCGT'!$D$115:$AW$115), 0), IF($B26='Project List References'!$B$4, _xlfn.IFNA(_xlfn.XLOOKUP(P$2-$C26, 'GEN-SOLAR'!$D$7:$AW$7, 'GEN-SOLAR'!$D$115:$AW$115), 0), IF($B26='Project List References'!$B$5, _xlfn.IFNA(_xlfn.XLOOKUP(P$2-$C26, 'GEN-BESS'!$D$7:$AW$7, 'GEN-BESS'!$D$117:$AW$117), 0), IF($B26='Project List References'!$B$6, _xlfn.IFNA(_xlfn.XLOOKUP(P$2-$C26,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Q26" s="744" t="e">
        <f>IF($B26='Project List References'!$B$3, _xlfn.IFNA(_xlfn.XLOOKUP(Q$2-$C26, 'GEN-CCGT'!$D$7:$AW$7, 'GEN-CCGT'!$D$115:$AW$115), 0), IF($B26='Project List References'!$B$4, _xlfn.IFNA(_xlfn.XLOOKUP(Q$2-$C26, 'GEN-SOLAR'!$D$7:$AW$7, 'GEN-SOLAR'!$D$115:$AW$115), 0), IF($B26='Project List References'!$B$5, _xlfn.IFNA(_xlfn.XLOOKUP(Q$2-$C26, 'GEN-BESS'!$D$7:$AW$7, 'GEN-BESS'!$D$117:$AW$117), 0), IF($B26='Project List References'!$B$6, _xlfn.IFNA(_xlfn.XLOOKUP(Q$2-$C26,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R26" s="744" t="e">
        <f>IF($B26='Project List References'!$B$3, _xlfn.IFNA(_xlfn.XLOOKUP(R$2-$C26, 'GEN-CCGT'!$D$7:$AW$7, 'GEN-CCGT'!$D$115:$AW$115), 0), IF($B26='Project List References'!$B$4, _xlfn.IFNA(_xlfn.XLOOKUP(R$2-$C26, 'GEN-SOLAR'!$D$7:$AW$7, 'GEN-SOLAR'!$D$115:$AW$115), 0), IF($B26='Project List References'!$B$5, _xlfn.IFNA(_xlfn.XLOOKUP(R$2-$C26, 'GEN-BESS'!$D$7:$AW$7, 'GEN-BESS'!$D$117:$AW$117), 0), IF($B26='Project List References'!$B$6, _xlfn.IFNA(_xlfn.XLOOKUP(R$2-$C26,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S26" s="744" t="e">
        <f>IF($B26='Project List References'!$B$3, _xlfn.IFNA(_xlfn.XLOOKUP(S$2-$C26, 'GEN-CCGT'!$D$7:$AW$7, 'GEN-CCGT'!$D$115:$AW$115), 0), IF($B26='Project List References'!$B$4, _xlfn.IFNA(_xlfn.XLOOKUP(S$2-$C26, 'GEN-SOLAR'!$D$7:$AW$7, 'GEN-SOLAR'!$D$115:$AW$115), 0), IF($B26='Project List References'!$B$5, _xlfn.IFNA(_xlfn.XLOOKUP(S$2-$C26, 'GEN-BESS'!$D$7:$AW$7, 'GEN-BESS'!$D$117:$AW$117), 0), IF($B26='Project List References'!$B$6, _xlfn.IFNA(_xlfn.XLOOKUP(S$2-$C26,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  <c r="T26" s="744" t="e">
        <f>IF($B26='Project List References'!$B$3, _xlfn.IFNA(_xlfn.XLOOKUP(T$2-$C26, 'GEN-CCGT'!$D$7:$AW$7, 'GEN-CCGT'!$D$115:$AW$115), 0), IF($B26='Project List References'!$B$4, _xlfn.IFNA(_xlfn.XLOOKUP(T$2-$C26, 'GEN-SOLAR'!$D$7:$AW$7, 'GEN-SOLAR'!$D$115:$AW$115), 0), IF($B26='Project List References'!$B$5, _xlfn.IFNA(_xlfn.XLOOKUP(T$2-$C26, 'GEN-BESS'!$D$7:$AW$7, 'GEN-BESS'!$D$117:$AW$117), 0), IF($B26='Project List References'!$B$6, _xlfn.IFNA(_xlfn.XLOOKUP(T$2-$C26, 'GEN-CARBON'!$D$7:$AW$7, 'GEN-CARBON'!$D$115:$AW$115), 0), 0))))/_xlfn.XLOOKUP($B26, 'Assumptions &amp; Inputs'!$F$76:$L$76, 'Assumptions &amp; Inputs'!$F$77:$L$77)*IF(OR($B26='Project List References'!$B$3, $B26='Project List References'!$B$4, $B26='Project List References'!$B$5, $B26='Project List References'!$B$6), 'Project Master Sheet'!$E26, 'Project Master Sheet'!$F26)</f>
        <v>#N/A</v>
      </c>
    </row>
    <row r="27" spans="1:20">
      <c r="A27" s="655" t="str">
        <f>IF(ISBLANK('Project Master Sheet'!A27)=FALSE, 'Project Master Sheet'!A27, "")</f>
        <v/>
      </c>
      <c r="B27" s="655" t="str">
        <f>_xlfn.IFNA(_xlfn.XLOOKUP(A27, 'Project Master Sheet'!A:A, 'Project Master Sheet'!D:D), "")</f>
        <v/>
      </c>
      <c r="C27" s="655" t="e">
        <f>_xlfn.XLOOKUP('Project OPEX'!A27, 'Project Master Sheet'!A:A, 'Project Master Sheet'!I:I)</f>
        <v>#N/A</v>
      </c>
      <c r="E27" s="744" t="e">
        <f>IF($B27='Project List References'!$B$3, _xlfn.IFNA(_xlfn.XLOOKUP(E$2-$C27, 'GEN-CCGT'!$D$7:$AW$7, 'GEN-CCGT'!$D$115:$AW$115), 0), IF($B27='Project List References'!$B$4, _xlfn.IFNA(_xlfn.XLOOKUP(E$2-$C27, 'GEN-SOLAR'!$D$7:$AW$7, 'GEN-SOLAR'!$D$115:$AW$115), 0), IF($B27='Project List References'!$B$5, _xlfn.IFNA(_xlfn.XLOOKUP(E$2-$C27, 'GEN-BESS'!$D$7:$AW$7, 'GEN-BESS'!$D$117:$AW$117), 0), IF($B27='Project List References'!$B$6, _xlfn.IFNA(_xlfn.XLOOKUP(E$2-$C27,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F27" s="744" t="e">
        <f>IF($B27='Project List References'!$B$3, _xlfn.IFNA(_xlfn.XLOOKUP(F$2-$C27, 'GEN-CCGT'!$D$7:$AW$7, 'GEN-CCGT'!$D$115:$AW$115), 0), IF($B27='Project List References'!$B$4, _xlfn.IFNA(_xlfn.XLOOKUP(F$2-$C27, 'GEN-SOLAR'!$D$7:$AW$7, 'GEN-SOLAR'!$D$115:$AW$115), 0), IF($B27='Project List References'!$B$5, _xlfn.IFNA(_xlfn.XLOOKUP(F$2-$C27, 'GEN-BESS'!$D$7:$AW$7, 'GEN-BESS'!$D$117:$AW$117), 0), IF($B27='Project List References'!$B$6, _xlfn.IFNA(_xlfn.XLOOKUP(F$2-$C27,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G27" s="744" t="e">
        <f>IF($B27='Project List References'!$B$3, _xlfn.IFNA(_xlfn.XLOOKUP(G$2-$C27, 'GEN-CCGT'!$D$7:$AW$7, 'GEN-CCGT'!$D$115:$AW$115), 0), IF($B27='Project List References'!$B$4, _xlfn.IFNA(_xlfn.XLOOKUP(G$2-$C27, 'GEN-SOLAR'!$D$7:$AW$7, 'GEN-SOLAR'!$D$115:$AW$115), 0), IF($B27='Project List References'!$B$5, _xlfn.IFNA(_xlfn.XLOOKUP(G$2-$C27, 'GEN-BESS'!$D$7:$AW$7, 'GEN-BESS'!$D$117:$AW$117), 0), IF($B27='Project List References'!$B$6, _xlfn.IFNA(_xlfn.XLOOKUP(G$2-$C27,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H27" s="744" t="e">
        <f>IF($B27='Project List References'!$B$3, _xlfn.IFNA(_xlfn.XLOOKUP(H$2-$C27, 'GEN-CCGT'!$D$7:$AW$7, 'GEN-CCGT'!$D$115:$AW$115), 0), IF($B27='Project List References'!$B$4, _xlfn.IFNA(_xlfn.XLOOKUP(H$2-$C27, 'GEN-SOLAR'!$D$7:$AW$7, 'GEN-SOLAR'!$D$115:$AW$115), 0), IF($B27='Project List References'!$B$5, _xlfn.IFNA(_xlfn.XLOOKUP(H$2-$C27, 'GEN-BESS'!$D$7:$AW$7, 'GEN-BESS'!$D$117:$AW$117), 0), IF($B27='Project List References'!$B$6, _xlfn.IFNA(_xlfn.XLOOKUP(H$2-$C27,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I27" s="744" t="e">
        <f>IF($B27='Project List References'!$B$3, _xlfn.IFNA(_xlfn.XLOOKUP(I$2-$C27, 'GEN-CCGT'!$D$7:$AW$7, 'GEN-CCGT'!$D$115:$AW$115), 0), IF($B27='Project List References'!$B$4, _xlfn.IFNA(_xlfn.XLOOKUP(I$2-$C27, 'GEN-SOLAR'!$D$7:$AW$7, 'GEN-SOLAR'!$D$115:$AW$115), 0), IF($B27='Project List References'!$B$5, _xlfn.IFNA(_xlfn.XLOOKUP(I$2-$C27, 'GEN-BESS'!$D$7:$AW$7, 'GEN-BESS'!$D$117:$AW$117), 0), IF($B27='Project List References'!$B$6, _xlfn.IFNA(_xlfn.XLOOKUP(I$2-$C27,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J27" s="744" t="e">
        <f>IF($B27='Project List References'!$B$3, _xlfn.IFNA(_xlfn.XLOOKUP(J$2-$C27, 'GEN-CCGT'!$D$7:$AW$7, 'GEN-CCGT'!$D$115:$AW$115), 0), IF($B27='Project List References'!$B$4, _xlfn.IFNA(_xlfn.XLOOKUP(J$2-$C27, 'GEN-SOLAR'!$D$7:$AW$7, 'GEN-SOLAR'!$D$115:$AW$115), 0), IF($B27='Project List References'!$B$5, _xlfn.IFNA(_xlfn.XLOOKUP(J$2-$C27, 'GEN-BESS'!$D$7:$AW$7, 'GEN-BESS'!$D$117:$AW$117), 0), IF($B27='Project List References'!$B$6, _xlfn.IFNA(_xlfn.XLOOKUP(J$2-$C27,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K27" s="744" t="e">
        <f>IF($B27='Project List References'!$B$3, _xlfn.IFNA(_xlfn.XLOOKUP(K$2-$C27, 'GEN-CCGT'!$D$7:$AW$7, 'GEN-CCGT'!$D$115:$AW$115), 0), IF($B27='Project List References'!$B$4, _xlfn.IFNA(_xlfn.XLOOKUP(K$2-$C27, 'GEN-SOLAR'!$D$7:$AW$7, 'GEN-SOLAR'!$D$115:$AW$115), 0), IF($B27='Project List References'!$B$5, _xlfn.IFNA(_xlfn.XLOOKUP(K$2-$C27, 'GEN-BESS'!$D$7:$AW$7, 'GEN-BESS'!$D$117:$AW$117), 0), IF($B27='Project List References'!$B$6, _xlfn.IFNA(_xlfn.XLOOKUP(K$2-$C27,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L27" s="744" t="e">
        <f>IF($B27='Project List References'!$B$3, _xlfn.IFNA(_xlfn.XLOOKUP(L$2-$C27, 'GEN-CCGT'!$D$7:$AW$7, 'GEN-CCGT'!$D$115:$AW$115), 0), IF($B27='Project List References'!$B$4, _xlfn.IFNA(_xlfn.XLOOKUP(L$2-$C27, 'GEN-SOLAR'!$D$7:$AW$7, 'GEN-SOLAR'!$D$115:$AW$115), 0), IF($B27='Project List References'!$B$5, _xlfn.IFNA(_xlfn.XLOOKUP(L$2-$C27, 'GEN-BESS'!$D$7:$AW$7, 'GEN-BESS'!$D$117:$AW$117), 0), IF($B27='Project List References'!$B$6, _xlfn.IFNA(_xlfn.XLOOKUP(L$2-$C27,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M27" s="744" t="e">
        <f>IF($B27='Project List References'!$B$3, _xlfn.IFNA(_xlfn.XLOOKUP(M$2-$C27, 'GEN-CCGT'!$D$7:$AW$7, 'GEN-CCGT'!$D$115:$AW$115), 0), IF($B27='Project List References'!$B$4, _xlfn.IFNA(_xlfn.XLOOKUP(M$2-$C27, 'GEN-SOLAR'!$D$7:$AW$7, 'GEN-SOLAR'!$D$115:$AW$115), 0), IF($B27='Project List References'!$B$5, _xlfn.IFNA(_xlfn.XLOOKUP(M$2-$C27, 'GEN-BESS'!$D$7:$AW$7, 'GEN-BESS'!$D$117:$AW$117), 0), IF($B27='Project List References'!$B$6, _xlfn.IFNA(_xlfn.XLOOKUP(M$2-$C27,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N27" s="744" t="e">
        <f>IF($B27='Project List References'!$B$3, _xlfn.IFNA(_xlfn.XLOOKUP(N$2-$C27, 'GEN-CCGT'!$D$7:$AW$7, 'GEN-CCGT'!$D$115:$AW$115), 0), IF($B27='Project List References'!$B$4, _xlfn.IFNA(_xlfn.XLOOKUP(N$2-$C27, 'GEN-SOLAR'!$D$7:$AW$7, 'GEN-SOLAR'!$D$115:$AW$115), 0), IF($B27='Project List References'!$B$5, _xlfn.IFNA(_xlfn.XLOOKUP(N$2-$C27, 'GEN-BESS'!$D$7:$AW$7, 'GEN-BESS'!$D$117:$AW$117), 0), IF($B27='Project List References'!$B$6, _xlfn.IFNA(_xlfn.XLOOKUP(N$2-$C27,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O27" s="744" t="e">
        <f>IF($B27='Project List References'!$B$3, _xlfn.IFNA(_xlfn.XLOOKUP(O$2-$C27, 'GEN-CCGT'!$D$7:$AW$7, 'GEN-CCGT'!$D$115:$AW$115), 0), IF($B27='Project List References'!$B$4, _xlfn.IFNA(_xlfn.XLOOKUP(O$2-$C27, 'GEN-SOLAR'!$D$7:$AW$7, 'GEN-SOLAR'!$D$115:$AW$115), 0), IF($B27='Project List References'!$B$5, _xlfn.IFNA(_xlfn.XLOOKUP(O$2-$C27, 'GEN-BESS'!$D$7:$AW$7, 'GEN-BESS'!$D$117:$AW$117), 0), IF($B27='Project List References'!$B$6, _xlfn.IFNA(_xlfn.XLOOKUP(O$2-$C27,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P27" s="744" t="e">
        <f>IF($B27='Project List References'!$B$3, _xlfn.IFNA(_xlfn.XLOOKUP(P$2-$C27, 'GEN-CCGT'!$D$7:$AW$7, 'GEN-CCGT'!$D$115:$AW$115), 0), IF($B27='Project List References'!$B$4, _xlfn.IFNA(_xlfn.XLOOKUP(P$2-$C27, 'GEN-SOLAR'!$D$7:$AW$7, 'GEN-SOLAR'!$D$115:$AW$115), 0), IF($B27='Project List References'!$B$5, _xlfn.IFNA(_xlfn.XLOOKUP(P$2-$C27, 'GEN-BESS'!$D$7:$AW$7, 'GEN-BESS'!$D$117:$AW$117), 0), IF($B27='Project List References'!$B$6, _xlfn.IFNA(_xlfn.XLOOKUP(P$2-$C27,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Q27" s="744" t="e">
        <f>IF($B27='Project List References'!$B$3, _xlfn.IFNA(_xlfn.XLOOKUP(Q$2-$C27, 'GEN-CCGT'!$D$7:$AW$7, 'GEN-CCGT'!$D$115:$AW$115), 0), IF($B27='Project List References'!$B$4, _xlfn.IFNA(_xlfn.XLOOKUP(Q$2-$C27, 'GEN-SOLAR'!$D$7:$AW$7, 'GEN-SOLAR'!$D$115:$AW$115), 0), IF($B27='Project List References'!$B$5, _xlfn.IFNA(_xlfn.XLOOKUP(Q$2-$C27, 'GEN-BESS'!$D$7:$AW$7, 'GEN-BESS'!$D$117:$AW$117), 0), IF($B27='Project List References'!$B$6, _xlfn.IFNA(_xlfn.XLOOKUP(Q$2-$C27,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R27" s="744" t="e">
        <f>IF($B27='Project List References'!$B$3, _xlfn.IFNA(_xlfn.XLOOKUP(R$2-$C27, 'GEN-CCGT'!$D$7:$AW$7, 'GEN-CCGT'!$D$115:$AW$115), 0), IF($B27='Project List References'!$B$4, _xlfn.IFNA(_xlfn.XLOOKUP(R$2-$C27, 'GEN-SOLAR'!$D$7:$AW$7, 'GEN-SOLAR'!$D$115:$AW$115), 0), IF($B27='Project List References'!$B$5, _xlfn.IFNA(_xlfn.XLOOKUP(R$2-$C27, 'GEN-BESS'!$D$7:$AW$7, 'GEN-BESS'!$D$117:$AW$117), 0), IF($B27='Project List References'!$B$6, _xlfn.IFNA(_xlfn.XLOOKUP(R$2-$C27,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S27" s="744" t="e">
        <f>IF($B27='Project List References'!$B$3, _xlfn.IFNA(_xlfn.XLOOKUP(S$2-$C27, 'GEN-CCGT'!$D$7:$AW$7, 'GEN-CCGT'!$D$115:$AW$115), 0), IF($B27='Project List References'!$B$4, _xlfn.IFNA(_xlfn.XLOOKUP(S$2-$C27, 'GEN-SOLAR'!$D$7:$AW$7, 'GEN-SOLAR'!$D$115:$AW$115), 0), IF($B27='Project List References'!$B$5, _xlfn.IFNA(_xlfn.XLOOKUP(S$2-$C27, 'GEN-BESS'!$D$7:$AW$7, 'GEN-BESS'!$D$117:$AW$117), 0), IF($B27='Project List References'!$B$6, _xlfn.IFNA(_xlfn.XLOOKUP(S$2-$C27,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  <c r="T27" s="744" t="e">
        <f>IF($B27='Project List References'!$B$3, _xlfn.IFNA(_xlfn.XLOOKUP(T$2-$C27, 'GEN-CCGT'!$D$7:$AW$7, 'GEN-CCGT'!$D$115:$AW$115), 0), IF($B27='Project List References'!$B$4, _xlfn.IFNA(_xlfn.XLOOKUP(T$2-$C27, 'GEN-SOLAR'!$D$7:$AW$7, 'GEN-SOLAR'!$D$115:$AW$115), 0), IF($B27='Project List References'!$B$5, _xlfn.IFNA(_xlfn.XLOOKUP(T$2-$C27, 'GEN-BESS'!$D$7:$AW$7, 'GEN-BESS'!$D$117:$AW$117), 0), IF($B27='Project List References'!$B$6, _xlfn.IFNA(_xlfn.XLOOKUP(T$2-$C27, 'GEN-CARBON'!$D$7:$AW$7, 'GEN-CARBON'!$D$115:$AW$115), 0), 0))))/_xlfn.XLOOKUP($B27, 'Assumptions &amp; Inputs'!$F$76:$L$76, 'Assumptions &amp; Inputs'!$F$77:$L$77)*IF(OR($B27='Project List References'!$B$3, $B27='Project List References'!$B$4, $B27='Project List References'!$B$5, $B27='Project List References'!$B$6), 'Project Master Sheet'!$E27, 'Project Master Sheet'!$F27)</f>
        <v>#N/A</v>
      </c>
    </row>
  </sheetData>
  <mergeCells count="1">
    <mergeCell ref="E1:T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5890-717E-46B1-9574-83A0CB9BCA12}">
  <dimension ref="A1:T17"/>
  <sheetViews>
    <sheetView workbookViewId="0">
      <selection activeCell="A10" sqref="A10"/>
    </sheetView>
  </sheetViews>
  <sheetFormatPr baseColWidth="10" defaultColWidth="8.83203125" defaultRowHeight="15"/>
  <sheetData>
    <row r="1" spans="1:20" ht="27">
      <c r="A1" s="656" t="s">
        <v>40</v>
      </c>
      <c r="B1" s="656"/>
      <c r="C1" s="660"/>
      <c r="D1" s="656"/>
      <c r="E1" s="801" t="s">
        <v>41</v>
      </c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</row>
    <row r="2" spans="1:20">
      <c r="A2" s="655" t="s">
        <v>52</v>
      </c>
      <c r="B2" s="655" t="s">
        <v>45</v>
      </c>
      <c r="C2" s="655" t="s">
        <v>53</v>
      </c>
      <c r="D2" s="655" t="s">
        <v>55</v>
      </c>
      <c r="E2" s="655">
        <v>0</v>
      </c>
      <c r="F2" s="655">
        <f>E2+1</f>
        <v>1</v>
      </c>
      <c r="G2" s="655">
        <f t="shared" ref="G2:T2" si="0">F2+1</f>
        <v>2</v>
      </c>
      <c r="H2" s="655">
        <f t="shared" si="0"/>
        <v>3</v>
      </c>
      <c r="I2" s="655">
        <f t="shared" si="0"/>
        <v>4</v>
      </c>
      <c r="J2" s="655">
        <f t="shared" si="0"/>
        <v>5</v>
      </c>
      <c r="K2" s="655">
        <f t="shared" si="0"/>
        <v>6</v>
      </c>
      <c r="L2" s="655">
        <f t="shared" si="0"/>
        <v>7</v>
      </c>
      <c r="M2" s="655">
        <f t="shared" si="0"/>
        <v>8</v>
      </c>
      <c r="N2" s="655">
        <f t="shared" si="0"/>
        <v>9</v>
      </c>
      <c r="O2" s="655">
        <f t="shared" si="0"/>
        <v>10</v>
      </c>
      <c r="P2" s="655">
        <f t="shared" si="0"/>
        <v>11</v>
      </c>
      <c r="Q2" s="655">
        <f t="shared" si="0"/>
        <v>12</v>
      </c>
      <c r="R2" s="655">
        <f t="shared" si="0"/>
        <v>13</v>
      </c>
      <c r="S2" s="655">
        <f t="shared" si="0"/>
        <v>14</v>
      </c>
      <c r="T2" s="655">
        <f t="shared" si="0"/>
        <v>15</v>
      </c>
    </row>
    <row r="3" spans="1:20">
      <c r="A3" s="655">
        <f>IF(ISBLANK('Project Master Sheet'!A3)=FALSE, 'Project Master Sheet'!A3, "")</f>
        <v>1</v>
      </c>
      <c r="B3" s="655" t="str">
        <f>_xlfn.IFNA(_xlfn.XLOOKUP(A3, 'Project Master Sheet'!A:A, 'Project Master Sheet'!D:D), "")</f>
        <v>Carbon</v>
      </c>
      <c r="C3" s="655">
        <f>_xlfn.XLOOKUP('Project OPEX'!A3, 'Project Master Sheet'!A:A, 'Project Master Sheet'!I:I)</f>
        <v>1</v>
      </c>
      <c r="D3" s="655" t="str">
        <f>IF(ISBLANK('Project Master Sheet'!C3)=TRUE, "", 'Project Master Sheet'!C3)</f>
        <v/>
      </c>
      <c r="E3" s="755">
        <f>IF($C3&lt;=E$2,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0</v>
      </c>
      <c r="F3" s="755">
        <f>IF($C3&lt;=F$2,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G3" s="755">
        <f>IF($C3&lt;=G$2,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H3" s="755">
        <f>IF($C3&lt;=H$2,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I3" s="755">
        <f>IF($C3&lt;=I$2,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J3" s="755">
        <f>IF($C3&lt;=J$2,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K3" s="755">
        <f>IF($C3&lt;=K$2,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L3" s="755">
        <f>IF($C3&lt;=L$2,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M3" s="755">
        <f>IF($C3&lt;=M$2,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N3" s="755">
        <f>IF($C3&lt;=N$2,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O3" s="755">
        <f>IF($C3&lt;=O$2,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P3" s="755">
        <f>IF($C3&lt;=P$2,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Q3" s="755">
        <f>IF($C3&lt;=Q$2,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R3" s="755">
        <f>IF($C3&lt;=R$2,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S3" s="755">
        <f>IF($C3&lt;=S$2,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  <c r="T3" s="755">
        <f>IF($C3&lt;=T$2, _xlfn.IFNA(_xlfn.XLOOKUP($B3, 'Assumptions &amp; Inputs'!$F$26:$L$26, 'Assumptions &amp; Inputs'!$F$54:$L$54), 0))/_xlfn.XLOOKUP($B3, 'Assumptions &amp; Inputs'!$F$76:$L$76, 'Assumptions &amp; Inputs'!$F$77:$L$77)*IF(OR($B3='Project List References'!$B$3, $B3='Project List References'!$B$4, $B3='Project List References'!$B$5, $B3='Project List References'!$B$6), 'Project Master Sheet'!$E3, 'Project Master Sheet'!$F3)</f>
        <v>200</v>
      </c>
    </row>
    <row r="4" spans="1:20">
      <c r="A4" s="655">
        <f>IF(ISBLANK('Project Master Sheet'!A4)=FALSE, 'Project Master Sheet'!A4, "")</f>
        <v>2</v>
      </c>
      <c r="B4" s="655" t="str">
        <f>_xlfn.IFNA(_xlfn.XLOOKUP(A4, 'Project Master Sheet'!A:A, 'Project Master Sheet'!D:D), "")</f>
        <v>BESS</v>
      </c>
      <c r="C4" s="655">
        <f>_xlfn.XLOOKUP('Project OPEX'!A4, 'Project Master Sheet'!A:A, 'Project Master Sheet'!I:I)</f>
        <v>1</v>
      </c>
      <c r="D4" s="655" t="str">
        <f>IF(ISBLANK('Project Master Sheet'!C4)=TRUE, "", 'Project Master Sheet'!C4)</f>
        <v/>
      </c>
      <c r="E4" s="755">
        <f>IF($C4&lt;=E$2,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</v>
      </c>
      <c r="F4" s="755">
        <f>IF($C4&lt;=F$2,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G4" s="755">
        <f>IF($C4&lt;=G$2,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H4" s="755">
        <f>IF($C4&lt;=H$2,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I4" s="755">
        <f>IF($C4&lt;=I$2,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J4" s="755">
        <f>IF($C4&lt;=J$2,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K4" s="755">
        <f>IF($C4&lt;=K$2,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L4" s="755">
        <f>IF($C4&lt;=L$2,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M4" s="755">
        <f>IF($C4&lt;=M$2,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N4" s="755">
        <f>IF($C4&lt;=N$2,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O4" s="755">
        <f>IF($C4&lt;=O$2,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P4" s="755">
        <f>IF($C4&lt;=P$2,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Q4" s="755">
        <f>IF($C4&lt;=Q$2,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R4" s="755">
        <f>IF($C4&lt;=R$2,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S4" s="755">
        <f>IF($C4&lt;=S$2,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  <c r="T4" s="755">
        <f>IF($C4&lt;=T$2, _xlfn.IFNA(_xlfn.XLOOKUP($B4, 'Assumptions &amp; Inputs'!$F$26:$L$26, 'Assumptions &amp; Inputs'!$F$54:$L$54), 0))/_xlfn.XLOOKUP($B4, 'Assumptions &amp; Inputs'!$F$76:$L$76, 'Assumptions &amp; Inputs'!$F$77:$L$77)*IF(OR($B4='Project List References'!$B$3, $B4='Project List References'!$B$4, $B4='Project List References'!$B$5, $B4='Project List References'!$B$6), 'Project Master Sheet'!$E4, 'Project Master Sheet'!$F4)</f>
        <v>0.60240963855421692</v>
      </c>
    </row>
    <row r="5" spans="1:20">
      <c r="A5" s="655">
        <f>IF(ISBLANK('Project Master Sheet'!A5)=FALSE, 'Project Master Sheet'!A5, "")</f>
        <v>3</v>
      </c>
      <c r="B5" s="655" t="str">
        <f>_xlfn.IFNA(_xlfn.XLOOKUP(A5, 'Project Master Sheet'!A:A, 'Project Master Sheet'!D:D), "")</f>
        <v>SENS - Coal</v>
      </c>
      <c r="C5" s="655">
        <f>_xlfn.XLOOKUP('Project OPEX'!A5, 'Project Master Sheet'!A:A, 'Project Master Sheet'!I:I)</f>
        <v>2</v>
      </c>
      <c r="D5" s="655" t="str">
        <f>IF(ISBLANK('Project Master Sheet'!C5)=TRUE, "", 'Project Master Sheet'!C5)</f>
        <v/>
      </c>
      <c r="E5" s="755">
        <f>IF($C5&lt;=E$2,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F5" s="755">
        <f>IF($C5&lt;=F$2,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0</v>
      </c>
      <c r="G5" s="755">
        <f>IF($C5&lt;=G$2,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H5" s="755">
        <f>IF($C5&lt;=H$2,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I5" s="755">
        <f>IF($C5&lt;=I$2,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J5" s="755">
        <f>IF($C5&lt;=J$2,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K5" s="755">
        <f>IF($C5&lt;=K$2,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L5" s="755">
        <f>IF($C5&lt;=L$2,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M5" s="755">
        <f>IF($C5&lt;=M$2,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N5" s="755">
        <f>IF($C5&lt;=N$2,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O5" s="755">
        <f>IF($C5&lt;=O$2,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P5" s="755">
        <f>IF($C5&lt;=P$2,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Q5" s="755">
        <f>IF($C5&lt;=Q$2,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R5" s="755">
        <f>IF($C5&lt;=R$2,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S5" s="755">
        <f>IF($C5&lt;=S$2,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  <c r="T5" s="755">
        <f>IF($C5&lt;=T$2, _xlfn.IFNA(_xlfn.XLOOKUP($B5, 'Assumptions &amp; Inputs'!$F$26:$L$26, 'Assumptions &amp; Inputs'!$F$54:$L$54), 0))/_xlfn.XLOOKUP($B5, 'Assumptions &amp; Inputs'!$F$76:$L$76, 'Assumptions &amp; Inputs'!$F$77:$L$77)*IF(OR($B5='Project List References'!$B$3, $B5='Project List References'!$B$4, $B5='Project List References'!$B$5, $B5='Project List References'!$B$6), 'Project Master Sheet'!$E5, 'Project Master Sheet'!$F5)</f>
        <v>36</v>
      </c>
    </row>
    <row r="6" spans="1:20">
      <c r="A6" s="655">
        <f>IF(ISBLANK('Project Master Sheet'!A6)=FALSE, 'Project Master Sheet'!A6, "")</f>
        <v>4</v>
      </c>
      <c r="B6" s="655" t="str">
        <f>_xlfn.IFNA(_xlfn.XLOOKUP(A6, 'Project Master Sheet'!A:A, 'Project Master Sheet'!D:D), "")</f>
        <v>SENS - Tires</v>
      </c>
      <c r="C6" s="655">
        <f>_xlfn.XLOOKUP('Project OPEX'!A6, 'Project Master Sheet'!A:A, 'Project Master Sheet'!I:I)</f>
        <v>0</v>
      </c>
      <c r="D6" s="655" t="str">
        <f>IF(ISBLANK('Project Master Sheet'!C6)=TRUE, "", 'Project Master Sheet'!C6)</f>
        <v/>
      </c>
      <c r="E6" s="755">
        <f>IF($C6&lt;=E$2,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F6" s="755">
        <f>IF($C6&lt;=F$2,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G6" s="755">
        <f>IF($C6&lt;=G$2,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H6" s="755">
        <f>IF($C6&lt;=H$2,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I6" s="755">
        <f>IF($C6&lt;=I$2,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J6" s="755">
        <f>IF($C6&lt;=J$2,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K6" s="755">
        <f>IF($C6&lt;=K$2,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L6" s="755">
        <f>IF($C6&lt;=L$2,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M6" s="755">
        <f>IF($C6&lt;=M$2,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N6" s="755">
        <f>IF($C6&lt;=N$2,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O6" s="755">
        <f>IF($C6&lt;=O$2,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P6" s="755">
        <f>IF($C6&lt;=P$2,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Q6" s="755">
        <f>IF($C6&lt;=Q$2,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R6" s="755">
        <f>IF($C6&lt;=R$2,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S6" s="755">
        <f>IF($C6&lt;=S$2,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  <c r="T6" s="755">
        <f>IF($C6&lt;=T$2, _xlfn.IFNA(_xlfn.XLOOKUP($B6, 'Assumptions &amp; Inputs'!$F$26:$L$26, 'Assumptions &amp; Inputs'!$F$54:$L$54), 0))/_xlfn.XLOOKUP($B6, 'Assumptions &amp; Inputs'!$F$76:$L$76, 'Assumptions &amp; Inputs'!$F$77:$L$77)*IF(OR($B6='Project List References'!$B$3, $B6='Project List References'!$B$4, $B6='Project List References'!$B$5, $B6='Project List References'!$B$6), 'Project Master Sheet'!$E6, 'Project Master Sheet'!$F6)</f>
        <v>6</v>
      </c>
    </row>
    <row r="7" spans="1:20">
      <c r="A7" s="655">
        <f>IF(ISBLANK('Project Master Sheet'!A7)=FALSE, 'Project Master Sheet'!A7, "")</f>
        <v>5</v>
      </c>
      <c r="B7" s="655" t="str">
        <f>_xlfn.IFNA(_xlfn.XLOOKUP(A7, 'Project Master Sheet'!A:A, 'Project Master Sheet'!D:D), "")</f>
        <v>Solar</v>
      </c>
      <c r="C7" s="655">
        <f>_xlfn.XLOOKUP('Project OPEX'!A7, 'Project Master Sheet'!A:A, 'Project Master Sheet'!I:I)</f>
        <v>0</v>
      </c>
      <c r="D7" s="655" t="str">
        <f>IF(ISBLANK('Project Master Sheet'!C7)=TRUE, "", 'Project Master Sheet'!C7)</f>
        <v/>
      </c>
      <c r="E7" s="755">
        <f>IF($C7&lt;=E$2,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F7" s="755">
        <f>IF($C7&lt;=F$2,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G7" s="755">
        <f>IF($C7&lt;=G$2,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H7" s="755">
        <f>IF($C7&lt;=H$2,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I7" s="755">
        <f>IF($C7&lt;=I$2,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J7" s="755">
        <f>IF($C7&lt;=J$2,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K7" s="755">
        <f>IF($C7&lt;=K$2,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L7" s="755">
        <f>IF($C7&lt;=L$2,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M7" s="755">
        <f>IF($C7&lt;=M$2,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N7" s="755">
        <f>IF($C7&lt;=N$2,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O7" s="755">
        <f>IF($C7&lt;=O$2,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P7" s="755">
        <f>IF($C7&lt;=P$2,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Q7" s="755">
        <f>IF($C7&lt;=Q$2,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R7" s="755">
        <f>IF($C7&lt;=R$2,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S7" s="755">
        <f>IF($C7&lt;=S$2,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  <c r="T7" s="755">
        <f>IF($C7&lt;=T$2, _xlfn.IFNA(_xlfn.XLOOKUP($B7, 'Assumptions &amp; Inputs'!$F$26:$L$26, 'Assumptions &amp; Inputs'!$F$54:$L$54), 0))/_xlfn.XLOOKUP($B7, 'Assumptions &amp; Inputs'!$F$76:$L$76, 'Assumptions &amp; Inputs'!$F$77:$L$77)*IF(OR($B7='Project List References'!$B$3, $B7='Project List References'!$B$4, $B7='Project List References'!$B$5, $B7='Project List References'!$B$6), 'Project Master Sheet'!$E7, 'Project Master Sheet'!$F7)</f>
        <v>700</v>
      </c>
    </row>
    <row r="8" spans="1:20">
      <c r="A8" s="655" t="str">
        <f>IF(ISBLANK('Project Master Sheet'!A8)=FALSE, 'Project Master Sheet'!A8, "")</f>
        <v/>
      </c>
      <c r="B8" s="655" t="str">
        <f>_xlfn.IFNA(_xlfn.XLOOKUP(A8, 'Project Master Sheet'!A:A, 'Project Master Sheet'!D:D), "")</f>
        <v/>
      </c>
      <c r="C8" s="655" t="e">
        <f>_xlfn.XLOOKUP('Project OPEX'!A8, 'Project Master Sheet'!A:A, 'Project Master Sheet'!I:I)</f>
        <v>#N/A</v>
      </c>
      <c r="D8" s="655" t="str">
        <f>IF(ISBLANK('Project Master Sheet'!C8)=TRUE, "", 'Project Master Sheet'!C8)</f>
        <v/>
      </c>
      <c r="E8" s="755" t="e">
        <f>IF($C8&lt;=E$2,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F8" s="755" t="e">
        <f>IF($C8&lt;=F$2,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G8" s="755" t="e">
        <f>IF($C8&lt;=G$2,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H8" s="755" t="e">
        <f>IF($C8&lt;=H$2,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I8" s="755" t="e">
        <f>IF($C8&lt;=I$2,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J8" s="755" t="e">
        <f>IF($C8&lt;=J$2,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K8" s="755" t="e">
        <f>IF($C8&lt;=K$2,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L8" s="755" t="e">
        <f>IF($C8&lt;=L$2,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M8" s="755" t="e">
        <f>IF($C8&lt;=M$2,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N8" s="755" t="e">
        <f>IF($C8&lt;=N$2,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O8" s="755" t="e">
        <f>IF($C8&lt;=O$2,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P8" s="755" t="e">
        <f>IF($C8&lt;=P$2,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Q8" s="755" t="e">
        <f>IF($C8&lt;=Q$2,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R8" s="755" t="e">
        <f>IF($C8&lt;=R$2,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S8" s="755" t="e">
        <f>IF($C8&lt;=S$2,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  <c r="T8" s="755" t="e">
        <f>IF($C8&lt;=T$2, _xlfn.IFNA(_xlfn.XLOOKUP($B8, 'Assumptions &amp; Inputs'!$F$26:$L$26, 'Assumptions &amp; Inputs'!$F$54:$L$54), 0))/_xlfn.XLOOKUP($B8, 'Assumptions &amp; Inputs'!$F$76:$L$76, 'Assumptions &amp; Inputs'!$F$77:$L$77)*IF(OR($B8='Project List References'!$B$3, $B8='Project List References'!$B$4, $B8='Project List References'!$B$5, $B8='Project List References'!$B$6), 'Project Master Sheet'!$E8, 'Project Master Sheet'!$F8)</f>
        <v>#N/A</v>
      </c>
    </row>
    <row r="9" spans="1:20">
      <c r="A9" s="655">
        <f>IF(ISBLANK('Project Master Sheet'!A9)=FALSE, 'Project Master Sheet'!A9, "")</f>
        <v>7</v>
      </c>
      <c r="B9" s="655" t="str">
        <f>_xlfn.IFNA(_xlfn.XLOOKUP(A9, 'Project Master Sheet'!A:A, 'Project Master Sheet'!D:D), "")</f>
        <v>Nat Gas</v>
      </c>
      <c r="C9" s="655">
        <f>_xlfn.XLOOKUP('Project OPEX'!A9, 'Project Master Sheet'!A:A, 'Project Master Sheet'!I:I)</f>
        <v>1</v>
      </c>
      <c r="D9" s="655" t="str">
        <f>IF(ISBLANK('Project Master Sheet'!C9)=TRUE, "", 'Project Master Sheet'!C9)</f>
        <v/>
      </c>
      <c r="E9" s="755">
        <f>IF($C9&lt;=E$2,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0</v>
      </c>
      <c r="F9" s="755">
        <f>IF($C9&lt;=F$2,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G9" s="755">
        <f>IF($C9&lt;=G$2,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H9" s="755">
        <f>IF($C9&lt;=H$2,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I9" s="755">
        <f>IF($C9&lt;=I$2,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J9" s="755">
        <f>IF($C9&lt;=J$2,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K9" s="755">
        <f>IF($C9&lt;=K$2,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L9" s="755">
        <f>IF($C9&lt;=L$2,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M9" s="755">
        <f>IF($C9&lt;=M$2,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N9" s="755">
        <f>IF($C9&lt;=N$2,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O9" s="755">
        <f>IF($C9&lt;=O$2,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P9" s="755">
        <f>IF($C9&lt;=P$2,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Q9" s="755">
        <f>IF($C9&lt;=Q$2,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R9" s="755">
        <f>IF($C9&lt;=R$2,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S9" s="755">
        <f>IF($C9&lt;=S$2,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  <c r="T9" s="755">
        <f>IF($C9&lt;=T$2, _xlfn.IFNA(_xlfn.XLOOKUP($B9, 'Assumptions &amp; Inputs'!$F$26:$L$26, 'Assumptions &amp; Inputs'!$F$54:$L$54), 0))/_xlfn.XLOOKUP($B9, 'Assumptions &amp; Inputs'!$F$76:$L$76, 'Assumptions &amp; Inputs'!$F$77:$L$77)*IF(OR($B9='Project List References'!$B$3, $B9='Project List References'!$B$4, $B9='Project List References'!$B$5, $B9='Project List References'!$B$6), 'Project Master Sheet'!$E9, 'Project Master Sheet'!$F9)</f>
        <v>1.1478420569329659</v>
      </c>
    </row>
    <row r="10" spans="1:20">
      <c r="A10" s="655" t="str">
        <f>IF(ISBLANK('Project Master Sheet'!A10)=FALSE, 'Project Master Sheet'!A10, "")</f>
        <v/>
      </c>
      <c r="B10" s="655" t="str">
        <f>_xlfn.IFNA(_xlfn.XLOOKUP(A10, 'Project Master Sheet'!A:A, 'Project Master Sheet'!D:D), "")</f>
        <v/>
      </c>
      <c r="C10" s="655" t="e">
        <f>_xlfn.XLOOKUP('Project OPEX'!A10, 'Project Master Sheet'!A:A, 'Project Master Sheet'!I:I)</f>
        <v>#N/A</v>
      </c>
      <c r="D10" s="655" t="str">
        <f>IF(ISBLANK('Project Master Sheet'!C10)=TRUE, "", 'Project Master Sheet'!C10)</f>
        <v/>
      </c>
      <c r="E10" s="755" t="e">
        <f>IF($C10&lt;=E$2,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F10" s="755" t="e">
        <f>IF($C10&lt;=F$2,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G10" s="755" t="e">
        <f>IF($C10&lt;=G$2,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H10" s="755" t="e">
        <f>IF($C10&lt;=H$2,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I10" s="755" t="e">
        <f>IF($C10&lt;=I$2,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J10" s="755" t="e">
        <f>IF($C10&lt;=J$2,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K10" s="755" t="e">
        <f>IF($C10&lt;=K$2,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L10" s="755" t="e">
        <f>IF($C10&lt;=L$2,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M10" s="755" t="e">
        <f>IF($C10&lt;=M$2,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N10" s="755" t="e">
        <f>IF($C10&lt;=N$2,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O10" s="755" t="e">
        <f>IF($C10&lt;=O$2,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P10" s="755" t="e">
        <f>IF($C10&lt;=P$2,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Q10" s="755" t="e">
        <f>IF($C10&lt;=Q$2,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R10" s="755" t="e">
        <f>IF($C10&lt;=R$2,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S10" s="755" t="e">
        <f>IF($C10&lt;=S$2,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  <c r="T10" s="755" t="e">
        <f>IF($C10&lt;=T$2, _xlfn.IFNA(_xlfn.XLOOKUP($B10, 'Assumptions &amp; Inputs'!$F$26:$L$26, 'Assumptions &amp; Inputs'!$F$54:$L$54), 0))/_xlfn.XLOOKUP($B10, 'Assumptions &amp; Inputs'!$F$76:$L$76, 'Assumptions &amp; Inputs'!$F$77:$L$77)*IF(OR($B10='Project List References'!$B$3, $B10='Project List References'!$B$4, $B10='Project List References'!$B$5, $B10='Project List References'!$B$6), 'Project Master Sheet'!$E10, 'Project Master Sheet'!$F10)</f>
        <v>#N/A</v>
      </c>
    </row>
    <row r="11" spans="1:20">
      <c r="A11" s="655" t="str">
        <f>IF(ISBLANK('Project Master Sheet'!A11)=FALSE, 'Project Master Sheet'!A11, "")</f>
        <v/>
      </c>
      <c r="B11" s="655" t="str">
        <f>_xlfn.IFNA(_xlfn.XLOOKUP(A11, 'Project Master Sheet'!A:A, 'Project Master Sheet'!D:D), "")</f>
        <v/>
      </c>
      <c r="C11" s="655" t="e">
        <f>_xlfn.XLOOKUP('Project OPEX'!A11, 'Project Master Sheet'!A:A, 'Project Master Sheet'!I:I)</f>
        <v>#N/A</v>
      </c>
      <c r="D11" s="655" t="str">
        <f>IF(ISBLANK('Project Master Sheet'!C11)=TRUE, "", 'Project Master Sheet'!C11)</f>
        <v/>
      </c>
      <c r="E11" s="755" t="e">
        <f>IF($C11&lt;=E$2,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F11" s="755" t="e">
        <f>IF($C11&lt;=F$2,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G11" s="755" t="e">
        <f>IF($C11&lt;=G$2,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H11" s="755" t="e">
        <f>IF($C11&lt;=H$2,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I11" s="755" t="e">
        <f>IF($C11&lt;=I$2,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J11" s="755" t="e">
        <f>IF($C11&lt;=J$2,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K11" s="755" t="e">
        <f>IF($C11&lt;=K$2,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L11" s="755" t="e">
        <f>IF($C11&lt;=L$2,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M11" s="755" t="e">
        <f>IF($C11&lt;=M$2,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N11" s="755" t="e">
        <f>IF($C11&lt;=N$2,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O11" s="755" t="e">
        <f>IF($C11&lt;=O$2,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P11" s="755" t="e">
        <f>IF($C11&lt;=P$2,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Q11" s="755" t="e">
        <f>IF($C11&lt;=Q$2,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R11" s="755" t="e">
        <f>IF($C11&lt;=R$2,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S11" s="755" t="e">
        <f>IF($C11&lt;=S$2,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  <c r="T11" s="755" t="e">
        <f>IF($C11&lt;=T$2, _xlfn.IFNA(_xlfn.XLOOKUP($B11, 'Assumptions &amp; Inputs'!$F$26:$L$26, 'Assumptions &amp; Inputs'!$F$54:$L$54), 0))/_xlfn.XLOOKUP($B11, 'Assumptions &amp; Inputs'!$F$76:$L$76, 'Assumptions &amp; Inputs'!$F$77:$L$77)*IF(OR($B11='Project List References'!$B$3, $B11='Project List References'!$B$4, $B11='Project List References'!$B$5, $B11='Project List References'!$B$6), 'Project Master Sheet'!$E11, 'Project Master Sheet'!$F11)</f>
        <v>#N/A</v>
      </c>
    </row>
    <row r="12" spans="1:20">
      <c r="A12" s="655" t="str">
        <f>IF(ISBLANK('Project Master Sheet'!A12)=FALSE, 'Project Master Sheet'!A12, "")</f>
        <v/>
      </c>
      <c r="B12" s="655" t="str">
        <f>_xlfn.IFNA(_xlfn.XLOOKUP(A12, 'Project Master Sheet'!A:A, 'Project Master Sheet'!D:D), "")</f>
        <v/>
      </c>
      <c r="C12" s="655" t="e">
        <f>_xlfn.XLOOKUP('Project OPEX'!A12, 'Project Master Sheet'!A:A, 'Project Master Sheet'!I:I)</f>
        <v>#N/A</v>
      </c>
      <c r="D12" s="655" t="str">
        <f>IF(ISBLANK('Project Master Sheet'!C12)=TRUE, "", 'Project Master Sheet'!C12)</f>
        <v/>
      </c>
      <c r="E12" s="755" t="e">
        <f>IF($C12&lt;=E$2,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F12" s="755" t="e">
        <f>IF($C12&lt;=F$2,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G12" s="755" t="e">
        <f>IF($C12&lt;=G$2,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H12" s="755" t="e">
        <f>IF($C12&lt;=H$2,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I12" s="755" t="e">
        <f>IF($C12&lt;=I$2,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J12" s="755" t="e">
        <f>IF($C12&lt;=J$2,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K12" s="755" t="e">
        <f>IF($C12&lt;=K$2,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L12" s="755" t="e">
        <f>IF($C12&lt;=L$2,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M12" s="755" t="e">
        <f>IF($C12&lt;=M$2,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N12" s="755" t="e">
        <f>IF($C12&lt;=N$2,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O12" s="755" t="e">
        <f>IF($C12&lt;=O$2,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P12" s="755" t="e">
        <f>IF($C12&lt;=P$2,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Q12" s="755" t="e">
        <f>IF($C12&lt;=Q$2,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R12" s="755" t="e">
        <f>IF($C12&lt;=R$2,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S12" s="755" t="e">
        <f>IF($C12&lt;=S$2,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  <c r="T12" s="755" t="e">
        <f>IF($C12&lt;=T$2, _xlfn.IFNA(_xlfn.XLOOKUP($B12, 'Assumptions &amp; Inputs'!$F$26:$L$26, 'Assumptions &amp; Inputs'!$F$54:$L$54), 0))/_xlfn.XLOOKUP($B12, 'Assumptions &amp; Inputs'!$F$76:$L$76, 'Assumptions &amp; Inputs'!$F$77:$L$77)*IF(OR($B12='Project List References'!$B$3, $B12='Project List References'!$B$4, $B12='Project List References'!$B$5, $B12='Project List References'!$B$6), 'Project Master Sheet'!$E12, 'Project Master Sheet'!$F12)</f>
        <v>#N/A</v>
      </c>
    </row>
    <row r="13" spans="1:20">
      <c r="A13" s="655" t="str">
        <f>IF(ISBLANK('Project Master Sheet'!A13)=FALSE, 'Project Master Sheet'!A13, "")</f>
        <v/>
      </c>
      <c r="B13" s="655" t="str">
        <f>_xlfn.IFNA(_xlfn.XLOOKUP(A13, 'Project Master Sheet'!A:A, 'Project Master Sheet'!D:D), "")</f>
        <v/>
      </c>
      <c r="C13" s="655" t="e">
        <f>_xlfn.XLOOKUP('Project OPEX'!A13, 'Project Master Sheet'!A:A, 'Project Master Sheet'!I:I)</f>
        <v>#N/A</v>
      </c>
      <c r="D13" s="655" t="str">
        <f>IF(ISBLANK('Project Master Sheet'!C13)=TRUE, "", 'Project Master Sheet'!C13)</f>
        <v/>
      </c>
      <c r="E13" s="755" t="e">
        <f>IF($C13&lt;=E$2,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F13" s="755" t="e">
        <f>IF($C13&lt;=F$2,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G13" s="755" t="e">
        <f>IF($C13&lt;=G$2,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H13" s="755" t="e">
        <f>IF($C13&lt;=H$2,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I13" s="755" t="e">
        <f>IF($C13&lt;=I$2,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J13" s="755" t="e">
        <f>IF($C13&lt;=J$2,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K13" s="755" t="e">
        <f>IF($C13&lt;=K$2,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L13" s="755" t="e">
        <f>IF($C13&lt;=L$2,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M13" s="755" t="e">
        <f>IF($C13&lt;=M$2,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N13" s="755" t="e">
        <f>IF($C13&lt;=N$2,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O13" s="755" t="e">
        <f>IF($C13&lt;=O$2,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P13" s="755" t="e">
        <f>IF($C13&lt;=P$2,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Q13" s="755" t="e">
        <f>IF($C13&lt;=Q$2,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R13" s="755" t="e">
        <f>IF($C13&lt;=R$2,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S13" s="755" t="e">
        <f>IF($C13&lt;=S$2,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  <c r="T13" s="755" t="e">
        <f>IF($C13&lt;=T$2, _xlfn.IFNA(_xlfn.XLOOKUP($B13, 'Assumptions &amp; Inputs'!$F$26:$L$26, 'Assumptions &amp; Inputs'!$F$54:$L$54), 0))/_xlfn.XLOOKUP($B13, 'Assumptions &amp; Inputs'!$F$76:$L$76, 'Assumptions &amp; Inputs'!$F$77:$L$77)*IF(OR($B13='Project List References'!$B$3, $B13='Project List References'!$B$4, $B13='Project List References'!$B$5, $B13='Project List References'!$B$6), 'Project Master Sheet'!$E13, 'Project Master Sheet'!$F13)</f>
        <v>#N/A</v>
      </c>
    </row>
    <row r="14" spans="1:20">
      <c r="A14" s="655" t="str">
        <f>IF(ISBLANK('Project Master Sheet'!A14)=FALSE, 'Project Master Sheet'!A14, "")</f>
        <v/>
      </c>
      <c r="B14" s="655" t="str">
        <f>_xlfn.IFNA(_xlfn.XLOOKUP(A14, 'Project Master Sheet'!A:A, 'Project Master Sheet'!D:D), "")</f>
        <v/>
      </c>
      <c r="C14" s="655" t="e">
        <f>_xlfn.XLOOKUP('Project OPEX'!A14, 'Project Master Sheet'!A:A, 'Project Master Sheet'!I:I)</f>
        <v>#N/A</v>
      </c>
      <c r="D14" s="655" t="str">
        <f>IF(ISBLANK('Project Master Sheet'!C14)=TRUE, "", 'Project Master Sheet'!C14)</f>
        <v/>
      </c>
      <c r="E14" s="755" t="e">
        <f>IF($C14&lt;=E$2,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F14" s="755" t="e">
        <f>IF($C14&lt;=F$2,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G14" s="755" t="e">
        <f>IF($C14&lt;=G$2,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H14" s="755" t="e">
        <f>IF($C14&lt;=H$2,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I14" s="755" t="e">
        <f>IF($C14&lt;=I$2,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J14" s="755" t="e">
        <f>IF($C14&lt;=J$2,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K14" s="755" t="e">
        <f>IF($C14&lt;=K$2,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L14" s="755" t="e">
        <f>IF($C14&lt;=L$2,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M14" s="755" t="e">
        <f>IF($C14&lt;=M$2,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N14" s="755" t="e">
        <f>IF($C14&lt;=N$2,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O14" s="755" t="e">
        <f>IF($C14&lt;=O$2,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P14" s="755" t="e">
        <f>IF($C14&lt;=P$2,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Q14" s="755" t="e">
        <f>IF($C14&lt;=Q$2,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R14" s="755" t="e">
        <f>IF($C14&lt;=R$2,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S14" s="755" t="e">
        <f>IF($C14&lt;=S$2,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  <c r="T14" s="755" t="e">
        <f>IF($C14&lt;=T$2, _xlfn.IFNA(_xlfn.XLOOKUP($B14, 'Assumptions &amp; Inputs'!$F$26:$L$26, 'Assumptions &amp; Inputs'!$F$54:$L$54), 0))/_xlfn.XLOOKUP($B14, 'Assumptions &amp; Inputs'!$F$76:$L$76, 'Assumptions &amp; Inputs'!$F$77:$L$77)*IF(OR($B14='Project List References'!$B$3, $B14='Project List References'!$B$4, $B14='Project List References'!$B$5, $B14='Project List References'!$B$6), 'Project Master Sheet'!$E14, 'Project Master Sheet'!$F14)</f>
        <v>#N/A</v>
      </c>
    </row>
    <row r="15" spans="1:20">
      <c r="A15" s="655" t="str">
        <f>IF(ISBLANK('Project Master Sheet'!A15)=FALSE, 'Project Master Sheet'!A15, "")</f>
        <v/>
      </c>
      <c r="B15" s="655" t="str">
        <f>_xlfn.IFNA(_xlfn.XLOOKUP(A15, 'Project Master Sheet'!A:A, 'Project Master Sheet'!D:D), "")</f>
        <v/>
      </c>
      <c r="C15" s="655" t="e">
        <f>_xlfn.XLOOKUP('Project OPEX'!A15, 'Project Master Sheet'!A:A, 'Project Master Sheet'!I:I)</f>
        <v>#N/A</v>
      </c>
      <c r="D15" s="655" t="str">
        <f>IF(ISBLANK('Project Master Sheet'!C15)=TRUE, "", 'Project Master Sheet'!C15)</f>
        <v/>
      </c>
      <c r="E15" s="755" t="e">
        <f>IF($C15&lt;=E$2,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F15" s="755" t="e">
        <f>IF($C15&lt;=F$2,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G15" s="755" t="e">
        <f>IF($C15&lt;=G$2,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H15" s="755" t="e">
        <f>IF($C15&lt;=H$2,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I15" s="755" t="e">
        <f>IF($C15&lt;=I$2,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J15" s="755" t="e">
        <f>IF($C15&lt;=J$2,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K15" s="755" t="e">
        <f>IF($C15&lt;=K$2,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L15" s="755" t="e">
        <f>IF($C15&lt;=L$2,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M15" s="755" t="e">
        <f>IF($C15&lt;=M$2,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N15" s="755" t="e">
        <f>IF($C15&lt;=N$2,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O15" s="755" t="e">
        <f>IF($C15&lt;=O$2,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P15" s="755" t="e">
        <f>IF($C15&lt;=P$2,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Q15" s="755" t="e">
        <f>IF($C15&lt;=Q$2,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R15" s="755" t="e">
        <f>IF($C15&lt;=R$2,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S15" s="755" t="e">
        <f>IF($C15&lt;=S$2,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  <c r="T15" s="755" t="e">
        <f>IF($C15&lt;=T$2, _xlfn.IFNA(_xlfn.XLOOKUP($B15, 'Assumptions &amp; Inputs'!$F$26:$L$26, 'Assumptions &amp; Inputs'!$F$54:$L$54), 0))/_xlfn.XLOOKUP($B15, 'Assumptions &amp; Inputs'!$F$76:$L$76, 'Assumptions &amp; Inputs'!$F$77:$L$77)*IF(OR($B15='Project List References'!$B$3, $B15='Project List References'!$B$4, $B15='Project List References'!$B$5, $B15='Project List References'!$B$6), 'Project Master Sheet'!$E15, 'Project Master Sheet'!$F15)</f>
        <v>#N/A</v>
      </c>
    </row>
    <row r="16" spans="1:20">
      <c r="A16" s="655" t="str">
        <f>IF(ISBLANK('Project Master Sheet'!A16)=FALSE, 'Project Master Sheet'!A16, "")</f>
        <v/>
      </c>
      <c r="B16" s="655" t="str">
        <f>_xlfn.IFNA(_xlfn.XLOOKUP(A16, 'Project Master Sheet'!A:A, 'Project Master Sheet'!D:D), "")</f>
        <v/>
      </c>
      <c r="C16" s="655" t="e">
        <f>_xlfn.XLOOKUP('Project OPEX'!A16, 'Project Master Sheet'!A:A, 'Project Master Sheet'!I:I)</f>
        <v>#N/A</v>
      </c>
      <c r="D16" s="655" t="str">
        <f>IF(ISBLANK('Project Master Sheet'!C16)=TRUE, "", 'Project Master Sheet'!C16)</f>
        <v/>
      </c>
      <c r="E16" s="755" t="e">
        <f>IF($C16&lt;=E$2,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F16" s="755" t="e">
        <f>IF($C16&lt;=F$2,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G16" s="755" t="e">
        <f>IF($C16&lt;=G$2,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H16" s="755" t="e">
        <f>IF($C16&lt;=H$2,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I16" s="755" t="e">
        <f>IF($C16&lt;=I$2,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J16" s="755" t="e">
        <f>IF($C16&lt;=J$2,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K16" s="755" t="e">
        <f>IF($C16&lt;=K$2,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L16" s="755" t="e">
        <f>IF($C16&lt;=L$2,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M16" s="755" t="e">
        <f>IF($C16&lt;=M$2,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N16" s="755" t="e">
        <f>IF($C16&lt;=N$2,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O16" s="755" t="e">
        <f>IF($C16&lt;=O$2,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P16" s="755" t="e">
        <f>IF($C16&lt;=P$2,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Q16" s="755" t="e">
        <f>IF($C16&lt;=Q$2,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R16" s="755" t="e">
        <f>IF($C16&lt;=R$2,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S16" s="755" t="e">
        <f>IF($C16&lt;=S$2,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  <c r="T16" s="755" t="e">
        <f>IF($C16&lt;=T$2, _xlfn.IFNA(_xlfn.XLOOKUP($B16, 'Assumptions &amp; Inputs'!$F$26:$L$26, 'Assumptions &amp; Inputs'!$F$54:$L$54), 0))/_xlfn.XLOOKUP($B16, 'Assumptions &amp; Inputs'!$F$76:$L$76, 'Assumptions &amp; Inputs'!$F$77:$L$77)*IF(OR($B16='Project List References'!$B$3, $B16='Project List References'!$B$4, $B16='Project List References'!$B$5, $B16='Project List References'!$B$6), 'Project Master Sheet'!$E16, 'Project Master Sheet'!$F16)</f>
        <v>#N/A</v>
      </c>
    </row>
    <row r="17" spans="1:20">
      <c r="A17" s="655" t="str">
        <f>IF(ISBLANK('Project Master Sheet'!A17)=FALSE, 'Project Master Sheet'!A17, "")</f>
        <v/>
      </c>
      <c r="B17" s="655" t="str">
        <f>_xlfn.IFNA(_xlfn.XLOOKUP(A17, 'Project Master Sheet'!A:A, 'Project Master Sheet'!D:D), "")</f>
        <v/>
      </c>
      <c r="C17" s="655" t="e">
        <f>_xlfn.XLOOKUP('Project OPEX'!A17, 'Project Master Sheet'!A:A, 'Project Master Sheet'!I:I)</f>
        <v>#N/A</v>
      </c>
      <c r="D17" s="655" t="str">
        <f>IF(ISBLANK('Project Master Sheet'!C17)=TRUE, "", 'Project Master Sheet'!C17)</f>
        <v/>
      </c>
      <c r="E17" s="755" t="e">
        <f>IF($C17&lt;=E$2,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F17" s="755" t="e">
        <f>IF($C17&lt;=F$2,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G17" s="755" t="e">
        <f>IF($C17&lt;=G$2,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H17" s="755" t="e">
        <f>IF($C17&lt;=H$2,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I17" s="755" t="e">
        <f>IF($C17&lt;=I$2,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J17" s="755" t="e">
        <f>IF($C17&lt;=J$2,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K17" s="755" t="e">
        <f>IF($C17&lt;=K$2,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L17" s="755" t="e">
        <f>IF($C17&lt;=L$2,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M17" s="755" t="e">
        <f>IF($C17&lt;=M$2,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N17" s="755" t="e">
        <f>IF($C17&lt;=N$2,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O17" s="755" t="e">
        <f>IF($C17&lt;=O$2,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P17" s="755" t="e">
        <f>IF($C17&lt;=P$2,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Q17" s="755" t="e">
        <f>IF($C17&lt;=Q$2,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R17" s="755" t="e">
        <f>IF($C17&lt;=R$2,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S17" s="755" t="e">
        <f>IF($C17&lt;=S$2,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  <c r="T17" s="755" t="e">
        <f>IF($C17&lt;=T$2, _xlfn.IFNA(_xlfn.XLOOKUP($B17, 'Assumptions &amp; Inputs'!$F$26:$L$26, 'Assumptions &amp; Inputs'!$F$54:$L$54), 0))/_xlfn.XLOOKUP($B17, 'Assumptions &amp; Inputs'!$F$76:$L$76, 'Assumptions &amp; Inputs'!$F$77:$L$77)*IF(OR($B17='Project List References'!$B$3, $B17='Project List References'!$B$4, $B17='Project List References'!$B$5, $B17='Project List References'!$B$6), 'Project Master Sheet'!$E17, 'Project Master Sheet'!$F17)</f>
        <v>#N/A</v>
      </c>
    </row>
  </sheetData>
  <mergeCells count="1">
    <mergeCell ref="E1:T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AB6B-B627-4459-804C-D976A006B0DA}">
  <dimension ref="B2:H51"/>
  <sheetViews>
    <sheetView topLeftCell="A2" workbookViewId="0">
      <selection activeCell="A10" sqref="A10"/>
    </sheetView>
  </sheetViews>
  <sheetFormatPr baseColWidth="10" defaultColWidth="9.1640625" defaultRowHeight="15"/>
  <cols>
    <col min="1" max="1" width="9.1640625" style="655"/>
    <col min="2" max="2" width="14.5" style="655" customWidth="1"/>
    <col min="3" max="16384" width="9.1640625" style="655"/>
  </cols>
  <sheetData>
    <row r="2" spans="2:8">
      <c r="B2" s="655" t="s">
        <v>56</v>
      </c>
      <c r="D2" s="655" t="s">
        <v>57</v>
      </c>
      <c r="G2" s="757" t="s">
        <v>58</v>
      </c>
    </row>
    <row r="3" spans="2:8">
      <c r="B3" s="655" t="s">
        <v>4</v>
      </c>
      <c r="D3" s="655" t="s">
        <v>59</v>
      </c>
      <c r="G3" s="757"/>
      <c r="H3" s="655" t="s">
        <v>60</v>
      </c>
    </row>
    <row r="4" spans="2:8">
      <c r="B4" s="655" t="s">
        <v>6</v>
      </c>
      <c r="D4" s="655" t="s">
        <v>61</v>
      </c>
      <c r="G4" s="757"/>
      <c r="H4" s="655" t="s">
        <v>62</v>
      </c>
    </row>
    <row r="5" spans="2:8">
      <c r="B5" s="665" t="s">
        <v>7</v>
      </c>
      <c r="G5" s="757"/>
      <c r="H5" s="655" t="s">
        <v>63</v>
      </c>
    </row>
    <row r="6" spans="2:8">
      <c r="B6" s="655" t="s">
        <v>9</v>
      </c>
      <c r="G6" s="757"/>
      <c r="H6" s="655" t="s">
        <v>64</v>
      </c>
    </row>
    <row r="7" spans="2:8">
      <c r="B7" s="665" t="s">
        <v>11</v>
      </c>
      <c r="G7" s="757"/>
      <c r="H7" s="655" t="s">
        <v>65</v>
      </c>
    </row>
    <row r="8" spans="2:8">
      <c r="B8" s="665" t="s">
        <v>13</v>
      </c>
      <c r="G8" s="757"/>
      <c r="H8" s="655" t="s">
        <v>66</v>
      </c>
    </row>
    <row r="9" spans="2:8">
      <c r="G9" s="757"/>
      <c r="H9" s="655" t="s">
        <v>67</v>
      </c>
    </row>
    <row r="10" spans="2:8">
      <c r="G10" s="757"/>
      <c r="H10" s="655" t="s">
        <v>68</v>
      </c>
    </row>
    <row r="11" spans="2:8">
      <c r="B11" s="655" t="s">
        <v>69</v>
      </c>
      <c r="D11" s="670">
        <f>12/14</f>
        <v>0.8571428571428571</v>
      </c>
      <c r="G11" s="757"/>
      <c r="H11" s="655" t="s">
        <v>70</v>
      </c>
    </row>
    <row r="12" spans="2:8">
      <c r="B12" s="655" t="s">
        <v>71</v>
      </c>
      <c r="D12" s="655">
        <v>2400</v>
      </c>
      <c r="G12" s="757"/>
      <c r="H12" s="655" t="s">
        <v>72</v>
      </c>
    </row>
    <row r="13" spans="2:8">
      <c r="B13" s="655" t="s">
        <v>73</v>
      </c>
      <c r="D13" s="668">
        <f>D12*D11</f>
        <v>2057.1428571428569</v>
      </c>
      <c r="G13" s="757"/>
      <c r="H13" s="655" t="s">
        <v>74</v>
      </c>
    </row>
    <row r="14" spans="2:8">
      <c r="G14" s="757"/>
      <c r="H14" s="655" t="s">
        <v>75</v>
      </c>
    </row>
    <row r="15" spans="2:8">
      <c r="G15" s="757"/>
      <c r="H15" s="655" t="s">
        <v>76</v>
      </c>
    </row>
    <row r="16" spans="2:8">
      <c r="B16" s="665" t="s">
        <v>77</v>
      </c>
      <c r="G16" s="757"/>
      <c r="H16" s="655" t="s">
        <v>78</v>
      </c>
    </row>
    <row r="17" spans="2:8">
      <c r="B17" s="665" t="s">
        <v>28</v>
      </c>
      <c r="G17" s="757"/>
      <c r="H17" s="655" t="s">
        <v>79</v>
      </c>
    </row>
    <row r="18" spans="2:8">
      <c r="G18" s="757"/>
      <c r="H18" s="655" t="s">
        <v>80</v>
      </c>
    </row>
    <row r="19" spans="2:8">
      <c r="G19" s="757"/>
      <c r="H19" s="655" t="s">
        <v>81</v>
      </c>
    </row>
    <row r="20" spans="2:8">
      <c r="G20" s="757"/>
      <c r="H20" s="655" t="s">
        <v>82</v>
      </c>
    </row>
    <row r="21" spans="2:8">
      <c r="G21" s="757"/>
      <c r="H21" s="655" t="s">
        <v>83</v>
      </c>
    </row>
    <row r="22" spans="2:8">
      <c r="G22" s="757"/>
      <c r="H22" s="655" t="s">
        <v>84</v>
      </c>
    </row>
    <row r="23" spans="2:8">
      <c r="G23" s="757"/>
      <c r="H23" s="655" t="s">
        <v>85</v>
      </c>
    </row>
    <row r="24" spans="2:8">
      <c r="G24" s="757"/>
      <c r="H24" s="655" t="s">
        <v>86</v>
      </c>
    </row>
    <row r="25" spans="2:8">
      <c r="G25" s="757"/>
      <c r="H25" s="655" t="s">
        <v>87</v>
      </c>
    </row>
    <row r="26" spans="2:8">
      <c r="G26" s="757"/>
      <c r="H26" s="655" t="s">
        <v>88</v>
      </c>
    </row>
    <row r="27" spans="2:8">
      <c r="G27" s="757"/>
      <c r="H27" s="655" t="s">
        <v>89</v>
      </c>
    </row>
    <row r="28" spans="2:8">
      <c r="G28" s="757"/>
      <c r="H28" s="655" t="s">
        <v>90</v>
      </c>
    </row>
    <row r="29" spans="2:8">
      <c r="G29" s="757"/>
      <c r="H29" s="655" t="s">
        <v>91</v>
      </c>
    </row>
    <row r="30" spans="2:8">
      <c r="G30" s="757"/>
      <c r="H30" s="655" t="s">
        <v>92</v>
      </c>
    </row>
    <row r="31" spans="2:8">
      <c r="G31" s="757"/>
      <c r="H31" s="655" t="s">
        <v>93</v>
      </c>
    </row>
    <row r="32" spans="2:8">
      <c r="G32" s="757"/>
      <c r="H32" s="655" t="s">
        <v>94</v>
      </c>
    </row>
    <row r="33" spans="7:8">
      <c r="G33" s="757"/>
      <c r="H33" s="655" t="s">
        <v>95</v>
      </c>
    </row>
    <row r="34" spans="7:8">
      <c r="G34" s="757"/>
      <c r="H34" s="655" t="s">
        <v>96</v>
      </c>
    </row>
    <row r="35" spans="7:8">
      <c r="G35" s="757"/>
      <c r="H35" s="655" t="s">
        <v>97</v>
      </c>
    </row>
    <row r="36" spans="7:8">
      <c r="G36" s="757"/>
      <c r="H36" s="655" t="s">
        <v>98</v>
      </c>
    </row>
    <row r="37" spans="7:8">
      <c r="G37" s="757"/>
      <c r="H37" s="655" t="s">
        <v>99</v>
      </c>
    </row>
    <row r="38" spans="7:8">
      <c r="G38" s="757"/>
      <c r="H38" s="655" t="s">
        <v>100</v>
      </c>
    </row>
    <row r="39" spans="7:8">
      <c r="G39" s="757"/>
      <c r="H39" s="655" t="s">
        <v>101</v>
      </c>
    </row>
    <row r="40" spans="7:8">
      <c r="G40" s="757"/>
      <c r="H40" s="655" t="s">
        <v>102</v>
      </c>
    </row>
    <row r="41" spans="7:8">
      <c r="G41" s="757"/>
      <c r="H41" s="655" t="s">
        <v>103</v>
      </c>
    </row>
    <row r="42" spans="7:8">
      <c r="G42" s="757"/>
      <c r="H42" s="655" t="s">
        <v>104</v>
      </c>
    </row>
    <row r="43" spans="7:8">
      <c r="G43" s="757"/>
      <c r="H43" s="655" t="s">
        <v>105</v>
      </c>
    </row>
    <row r="44" spans="7:8">
      <c r="G44" s="757"/>
      <c r="H44" s="655" t="s">
        <v>106</v>
      </c>
    </row>
    <row r="45" spans="7:8">
      <c r="G45" s="757"/>
      <c r="H45" s="655" t="s">
        <v>107</v>
      </c>
    </row>
    <row r="46" spans="7:8">
      <c r="G46" s="757"/>
      <c r="H46" s="655" t="s">
        <v>108</v>
      </c>
    </row>
    <row r="47" spans="7:8">
      <c r="G47" s="757"/>
      <c r="H47" s="655" t="s">
        <v>109</v>
      </c>
    </row>
    <row r="48" spans="7:8">
      <c r="G48" s="757"/>
      <c r="H48" s="655" t="s">
        <v>110</v>
      </c>
    </row>
    <row r="49" spans="7:8">
      <c r="G49" s="757"/>
      <c r="H49" s="655" t="s">
        <v>111</v>
      </c>
    </row>
    <row r="50" spans="7:8">
      <c r="G50" s="757"/>
      <c r="H50" s="655" t="s">
        <v>112</v>
      </c>
    </row>
    <row r="51" spans="7:8">
      <c r="G51" s="757"/>
      <c r="H51" s="655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C6EA-CDD3-4032-8E91-80B2239FBA77}">
  <sheetPr codeName="Sheet5">
    <tabColor rgb="FF00B0F0"/>
  </sheetPr>
  <dimension ref="A1:BJ198"/>
  <sheetViews>
    <sheetView topLeftCell="A81" zoomScale="115" zoomScaleNormal="115" zoomScaleSheetLayoutView="100" workbookViewId="0">
      <selection activeCell="D84" sqref="D84"/>
    </sheetView>
  </sheetViews>
  <sheetFormatPr baseColWidth="10" defaultColWidth="8.83203125" defaultRowHeight="15"/>
  <cols>
    <col min="1" max="1" width="4.5" customWidth="1"/>
    <col min="2" max="2" width="40.6640625" bestFit="1" customWidth="1"/>
    <col min="3" max="3" width="16.5" bestFit="1" customWidth="1"/>
    <col min="4" max="4" width="5" style="233" bestFit="1" customWidth="1"/>
    <col min="5" max="5" width="14.1640625" customWidth="1"/>
    <col min="6" max="6" width="16.5" bestFit="1" customWidth="1"/>
    <col min="7" max="8" width="14.5" bestFit="1" customWidth="1"/>
    <col min="9" max="9" width="12.6640625" bestFit="1" customWidth="1"/>
    <col min="10" max="10" width="12.1640625" bestFit="1" customWidth="1"/>
    <col min="11" max="11" width="13.6640625" bestFit="1" customWidth="1"/>
    <col min="12" max="12" width="15.83203125" bestFit="1" customWidth="1"/>
    <col min="13" max="13" width="5.1640625" bestFit="1" customWidth="1"/>
    <col min="14" max="14" width="25" bestFit="1" customWidth="1"/>
    <col min="15" max="15" width="6.83203125" bestFit="1" customWidth="1"/>
    <col min="16" max="16" width="14.33203125" bestFit="1" customWidth="1"/>
    <col min="17" max="17" width="4.5" customWidth="1"/>
    <col min="18" max="18" width="20.83203125" bestFit="1" customWidth="1"/>
    <col min="19" max="19" width="17" bestFit="1" customWidth="1"/>
    <col min="20" max="20" width="13.83203125" customWidth="1"/>
    <col min="21" max="21" width="4.5" customWidth="1"/>
    <col min="22" max="22" width="16.5" bestFit="1" customWidth="1"/>
    <col min="23" max="23" width="10.5" bestFit="1" customWidth="1"/>
    <col min="24" max="24" width="10.33203125" bestFit="1" customWidth="1"/>
    <col min="25" max="25" width="36.5" bestFit="1" customWidth="1"/>
    <col min="26" max="26" width="11.1640625" bestFit="1" customWidth="1"/>
    <col min="27" max="27" width="19.83203125" bestFit="1" customWidth="1"/>
    <col min="28" max="28" width="20.5" customWidth="1"/>
    <col min="29" max="29" width="21.5" customWidth="1"/>
    <col min="30" max="30" width="23.6640625" customWidth="1"/>
    <col min="31" max="31" width="15.33203125" customWidth="1"/>
  </cols>
  <sheetData>
    <row r="1" spans="2:40">
      <c r="M1" s="112"/>
      <c r="Q1" s="7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</row>
    <row r="2" spans="2:40" ht="23">
      <c r="B2" s="803" t="s">
        <v>114</v>
      </c>
      <c r="C2" s="803"/>
      <c r="D2" s="803"/>
      <c r="E2" s="803"/>
      <c r="F2" s="803"/>
      <c r="G2" s="803"/>
      <c r="H2" s="803"/>
      <c r="I2" s="803"/>
      <c r="J2" s="803"/>
      <c r="K2" s="803"/>
      <c r="L2" s="803"/>
      <c r="M2" s="81"/>
      <c r="N2" s="803" t="s">
        <v>115</v>
      </c>
      <c r="O2" s="803"/>
      <c r="P2" s="803"/>
      <c r="Q2" s="79"/>
      <c r="R2" s="805" t="s">
        <v>116</v>
      </c>
      <c r="S2" s="805"/>
      <c r="T2" s="805"/>
      <c r="V2" s="803" t="s">
        <v>117</v>
      </c>
      <c r="W2" s="803"/>
      <c r="X2" s="803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7"/>
      <c r="AL2" s="527"/>
    </row>
    <row r="3" spans="2:40">
      <c r="B3" s="528" t="s">
        <v>118</v>
      </c>
      <c r="C3" s="528" t="s">
        <v>119</v>
      </c>
      <c r="D3" s="528" t="s">
        <v>120</v>
      </c>
      <c r="E3" s="558" t="s">
        <v>121</v>
      </c>
      <c r="F3" s="590" t="s">
        <v>7</v>
      </c>
      <c r="G3" s="557" t="s">
        <v>4</v>
      </c>
      <c r="H3" s="557" t="s">
        <v>6</v>
      </c>
      <c r="I3" s="557" t="s">
        <v>9</v>
      </c>
      <c r="J3" s="559" t="s">
        <v>122</v>
      </c>
      <c r="K3" s="559" t="s">
        <v>13</v>
      </c>
      <c r="L3" s="559" t="s">
        <v>11</v>
      </c>
      <c r="M3" s="112"/>
      <c r="N3" s="528" t="s">
        <v>118</v>
      </c>
      <c r="O3" s="528" t="s">
        <v>119</v>
      </c>
      <c r="P3" s="558" t="s">
        <v>123</v>
      </c>
      <c r="Q3" s="79"/>
      <c r="R3" s="530" t="s">
        <v>118</v>
      </c>
      <c r="S3" s="530" t="s">
        <v>119</v>
      </c>
      <c r="T3" s="557" t="s">
        <v>9</v>
      </c>
      <c r="V3" s="745" t="s">
        <v>124</v>
      </c>
      <c r="W3" s="79"/>
      <c r="X3" s="537">
        <v>1.2</v>
      </c>
    </row>
    <row r="4" spans="2:40">
      <c r="B4" s="548" t="s">
        <v>125</v>
      </c>
      <c r="C4" s="529" t="s">
        <v>126</v>
      </c>
      <c r="D4" s="529"/>
      <c r="E4" s="640">
        <v>0</v>
      </c>
      <c r="F4" s="531">
        <v>1</v>
      </c>
      <c r="G4" s="531">
        <v>1</v>
      </c>
      <c r="H4" s="531">
        <v>1</v>
      </c>
      <c r="I4" s="531">
        <v>1</v>
      </c>
      <c r="J4" s="531">
        <v>1</v>
      </c>
      <c r="K4" s="531">
        <v>1</v>
      </c>
      <c r="L4" s="531">
        <v>1</v>
      </c>
      <c r="M4" s="112"/>
      <c r="N4" s="549" t="s">
        <v>127</v>
      </c>
      <c r="O4" s="529" t="s">
        <v>128</v>
      </c>
      <c r="P4" s="540">
        <v>5600</v>
      </c>
      <c r="Q4" s="79"/>
      <c r="R4" s="548" t="s">
        <v>129</v>
      </c>
      <c r="S4" s="529" t="s">
        <v>130</v>
      </c>
      <c r="T4" s="537">
        <v>14101</v>
      </c>
      <c r="V4" s="479" t="s">
        <v>131</v>
      </c>
      <c r="W4" s="560">
        <v>1</v>
      </c>
      <c r="X4" s="561">
        <v>1</v>
      </c>
    </row>
    <row r="5" spans="2:40">
      <c r="B5" s="549" t="s">
        <v>132</v>
      </c>
      <c r="C5" s="529" t="s">
        <v>133</v>
      </c>
      <c r="D5" s="529"/>
      <c r="E5" s="641">
        <v>0</v>
      </c>
      <c r="F5" s="534">
        <v>0</v>
      </c>
      <c r="G5" s="534">
        <v>0</v>
      </c>
      <c r="H5" s="534">
        <v>0</v>
      </c>
      <c r="I5" s="534">
        <v>0</v>
      </c>
      <c r="J5" s="534">
        <v>0</v>
      </c>
      <c r="K5" s="534">
        <v>0</v>
      </c>
      <c r="L5" s="534">
        <v>0</v>
      </c>
      <c r="M5" s="81"/>
      <c r="N5" s="549" t="s">
        <v>134</v>
      </c>
      <c r="O5" s="529" t="s">
        <v>128</v>
      </c>
      <c r="P5" s="569">
        <f>P4-SUM(G54:L54)</f>
        <v>4531.5564738292014</v>
      </c>
      <c r="Q5" s="79"/>
      <c r="R5" s="548" t="s">
        <v>135</v>
      </c>
      <c r="S5" s="529" t="s">
        <v>126</v>
      </c>
      <c r="T5" s="533">
        <v>0.33</v>
      </c>
      <c r="V5" s="479" t="s">
        <v>136</v>
      </c>
      <c r="W5" s="510">
        <v>0.3</v>
      </c>
      <c r="X5" s="561">
        <v>0</v>
      </c>
      <c r="AD5" s="137"/>
      <c r="AE5" s="137"/>
      <c r="AF5" s="137"/>
    </row>
    <row r="6" spans="2:40">
      <c r="B6" s="548" t="s">
        <v>137</v>
      </c>
      <c r="C6" s="529" t="s">
        <v>126</v>
      </c>
      <c r="D6" s="529"/>
      <c r="E6" s="640">
        <v>0</v>
      </c>
      <c r="F6" s="531">
        <v>1</v>
      </c>
      <c r="G6" s="531">
        <v>1</v>
      </c>
      <c r="H6" s="531">
        <v>1</v>
      </c>
      <c r="I6" s="531">
        <v>1</v>
      </c>
      <c r="J6" s="531">
        <v>1</v>
      </c>
      <c r="K6" s="531">
        <v>1</v>
      </c>
      <c r="L6" s="531">
        <v>1</v>
      </c>
      <c r="M6" s="156"/>
      <c r="N6" s="549" t="s">
        <v>138</v>
      </c>
      <c r="O6" s="529" t="s">
        <v>139</v>
      </c>
      <c r="P6" s="567">
        <v>7000</v>
      </c>
      <c r="Q6" s="79"/>
      <c r="R6" s="548" t="s">
        <v>140</v>
      </c>
      <c r="S6" s="529" t="s">
        <v>130</v>
      </c>
      <c r="T6" s="576">
        <f>T4*T5</f>
        <v>4653.33</v>
      </c>
      <c r="V6" s="63" t="s">
        <v>141</v>
      </c>
      <c r="W6" s="64"/>
      <c r="X6" s="106">
        <v>1000000</v>
      </c>
      <c r="AD6" s="137"/>
      <c r="AE6" s="137"/>
      <c r="AF6" s="137"/>
    </row>
    <row r="7" spans="2:40">
      <c r="B7" s="549" t="s">
        <v>142</v>
      </c>
      <c r="C7" s="529" t="s">
        <v>126</v>
      </c>
      <c r="D7" s="529"/>
      <c r="E7" s="642">
        <v>1</v>
      </c>
      <c r="F7" s="533">
        <v>1</v>
      </c>
      <c r="G7" s="533">
        <v>1</v>
      </c>
      <c r="H7" s="533">
        <v>1</v>
      </c>
      <c r="I7" s="533">
        <v>1</v>
      </c>
      <c r="J7" s="533">
        <v>1</v>
      </c>
      <c r="K7" s="533">
        <v>1</v>
      </c>
      <c r="L7" s="533">
        <v>1</v>
      </c>
      <c r="M7" s="156"/>
      <c r="N7" s="549" t="s">
        <v>53</v>
      </c>
      <c r="O7" s="529" t="s">
        <v>143</v>
      </c>
      <c r="P7" s="538">
        <f>E27</f>
        <v>46023</v>
      </c>
      <c r="Q7" s="79"/>
      <c r="R7" s="548" t="s">
        <v>140</v>
      </c>
      <c r="S7" s="529" t="s">
        <v>144</v>
      </c>
      <c r="T7" s="576">
        <f>T6*2000</f>
        <v>9306660</v>
      </c>
      <c r="V7" s="79"/>
      <c r="W7" s="79"/>
      <c r="X7" s="79"/>
    </row>
    <row r="8" spans="2:40">
      <c r="B8" s="549" t="s">
        <v>145</v>
      </c>
      <c r="C8" s="529" t="s">
        <v>126</v>
      </c>
      <c r="D8" s="529"/>
      <c r="E8" s="643">
        <f>1-'[26]Assumptions &amp; Inputs'!E7</f>
        <v>0</v>
      </c>
      <c r="F8" s="552">
        <f>1-F7</f>
        <v>0</v>
      </c>
      <c r="G8" s="552">
        <f>1-G7</f>
        <v>0</v>
      </c>
      <c r="H8" s="552">
        <f>1-H7</f>
        <v>0</v>
      </c>
      <c r="I8" s="552">
        <f>1-'[26]Assumptions &amp; Inputs'!I7</f>
        <v>0</v>
      </c>
      <c r="J8" s="552">
        <f>1-'[26]Assumptions &amp; Inputs'!J7</f>
        <v>0</v>
      </c>
      <c r="K8" s="552">
        <f>1-K7</f>
        <v>0</v>
      </c>
      <c r="L8" s="552">
        <f>1-L7</f>
        <v>0</v>
      </c>
      <c r="M8" s="113"/>
      <c r="N8" s="549" t="s">
        <v>146</v>
      </c>
      <c r="O8" s="529" t="s">
        <v>147</v>
      </c>
      <c r="P8" s="540">
        <v>1</v>
      </c>
      <c r="Q8" s="79"/>
      <c r="R8" s="548" t="s">
        <v>148</v>
      </c>
      <c r="S8" s="529" t="s">
        <v>149</v>
      </c>
      <c r="T8" s="576">
        <f>T7/T30</f>
        <v>2725.6888055821987</v>
      </c>
      <c r="U8" s="130"/>
      <c r="V8" s="79"/>
      <c r="W8" s="79"/>
      <c r="X8" s="79"/>
    </row>
    <row r="9" spans="2:40">
      <c r="B9" s="549" t="s">
        <v>150</v>
      </c>
      <c r="C9" s="529" t="s">
        <v>151</v>
      </c>
      <c r="D9" s="529"/>
      <c r="E9" s="644">
        <v>20</v>
      </c>
      <c r="F9" s="536">
        <v>20</v>
      </c>
      <c r="G9" s="536">
        <v>20</v>
      </c>
      <c r="H9" s="536">
        <v>20</v>
      </c>
      <c r="I9" s="536">
        <v>20</v>
      </c>
      <c r="J9" s="536">
        <v>20</v>
      </c>
      <c r="K9" s="537">
        <v>20</v>
      </c>
      <c r="L9" s="537">
        <v>20</v>
      </c>
      <c r="M9" s="81"/>
      <c r="N9" s="549" t="s">
        <v>152</v>
      </c>
      <c r="O9" s="529" t="s">
        <v>143</v>
      </c>
      <c r="P9" s="570">
        <f>EDATE(P7,P8)</f>
        <v>46054</v>
      </c>
      <c r="Q9" s="79"/>
      <c r="R9" s="548" t="s">
        <v>148</v>
      </c>
      <c r="S9" s="529" t="s">
        <v>153</v>
      </c>
      <c r="T9" s="574">
        <f>T8/$T$27</f>
        <v>2.7256888055821986</v>
      </c>
      <c r="U9" s="130"/>
      <c r="V9" s="79"/>
      <c r="W9" s="79"/>
      <c r="X9" s="79"/>
      <c r="Z9" s="135"/>
    </row>
    <row r="10" spans="2:40">
      <c r="B10" s="549" t="s">
        <v>154</v>
      </c>
      <c r="C10" s="529" t="s">
        <v>126</v>
      </c>
      <c r="D10" s="532">
        <v>0.08</v>
      </c>
      <c r="E10" s="645">
        <f>$D$10</f>
        <v>0.08</v>
      </c>
      <c r="F10" s="571">
        <f t="shared" ref="F10:L10" si="0">$D$10</f>
        <v>0.08</v>
      </c>
      <c r="G10" s="571">
        <f t="shared" si="0"/>
        <v>0.08</v>
      </c>
      <c r="H10" s="571">
        <f t="shared" si="0"/>
        <v>0.08</v>
      </c>
      <c r="I10" s="571">
        <f t="shared" si="0"/>
        <v>0.08</v>
      </c>
      <c r="J10" s="571">
        <f t="shared" si="0"/>
        <v>0.08</v>
      </c>
      <c r="K10" s="571">
        <f t="shared" si="0"/>
        <v>0.08</v>
      </c>
      <c r="L10" s="571">
        <f t="shared" si="0"/>
        <v>0.08</v>
      </c>
      <c r="M10" s="81"/>
      <c r="N10" s="549" t="s">
        <v>155</v>
      </c>
      <c r="O10" s="529" t="s">
        <v>139</v>
      </c>
      <c r="P10" s="545">
        <v>10000</v>
      </c>
      <c r="Q10" s="79"/>
      <c r="R10" s="548" t="s">
        <v>156</v>
      </c>
      <c r="S10" s="529" t="s">
        <v>157</v>
      </c>
      <c r="T10" s="575">
        <f>1/T9</f>
        <v>0.36687973988520056</v>
      </c>
      <c r="U10" s="130"/>
      <c r="V10" s="79"/>
      <c r="W10" s="79"/>
      <c r="X10" s="79"/>
    </row>
    <row r="11" spans="2:40">
      <c r="B11" s="549" t="s">
        <v>158</v>
      </c>
      <c r="C11" s="529" t="s">
        <v>126</v>
      </c>
      <c r="D11" s="532">
        <v>0.12</v>
      </c>
      <c r="E11" s="645">
        <f>$D$11</f>
        <v>0.12</v>
      </c>
      <c r="F11" s="571">
        <f t="shared" ref="F11:L11" si="1">$D$11</f>
        <v>0.12</v>
      </c>
      <c r="G11" s="571">
        <f t="shared" si="1"/>
        <v>0.12</v>
      </c>
      <c r="H11" s="571">
        <f t="shared" si="1"/>
        <v>0.12</v>
      </c>
      <c r="I11" s="571">
        <f t="shared" si="1"/>
        <v>0.12</v>
      </c>
      <c r="J11" s="571">
        <f t="shared" si="1"/>
        <v>0.12</v>
      </c>
      <c r="K11" s="571">
        <f t="shared" si="1"/>
        <v>0.12</v>
      </c>
      <c r="L11" s="571">
        <f t="shared" si="1"/>
        <v>0.12</v>
      </c>
      <c r="M11" s="111"/>
      <c r="N11" s="549" t="s">
        <v>159</v>
      </c>
      <c r="O11" s="529" t="s">
        <v>126</v>
      </c>
      <c r="P11" s="535">
        <v>0.15</v>
      </c>
      <c r="Q11" s="79"/>
      <c r="R11" s="548" t="s">
        <v>156</v>
      </c>
      <c r="S11" s="529" t="s">
        <v>160</v>
      </c>
      <c r="T11" s="575">
        <f>T10*T31</f>
        <v>733.75947977040107</v>
      </c>
      <c r="U11" s="132"/>
      <c r="V11" s="562"/>
      <c r="W11" s="562"/>
      <c r="X11" s="562"/>
    </row>
    <row r="12" spans="2:40">
      <c r="B12" s="549" t="s">
        <v>161</v>
      </c>
      <c r="C12" s="529" t="s">
        <v>126</v>
      </c>
      <c r="D12" s="529"/>
      <c r="E12" s="642">
        <f t="shared" ref="E12:L12" si="2">SUM(E13:E15)</f>
        <v>0.26</v>
      </c>
      <c r="F12" s="551">
        <f t="shared" si="2"/>
        <v>0.26</v>
      </c>
      <c r="G12" s="551">
        <f t="shared" si="2"/>
        <v>0.26</v>
      </c>
      <c r="H12" s="551">
        <f t="shared" si="2"/>
        <v>0.26</v>
      </c>
      <c r="I12" s="551">
        <f t="shared" si="2"/>
        <v>0.26</v>
      </c>
      <c r="J12" s="551">
        <f t="shared" si="2"/>
        <v>0.26</v>
      </c>
      <c r="K12" s="551">
        <f t="shared" si="2"/>
        <v>0.26</v>
      </c>
      <c r="L12" s="551">
        <f t="shared" si="2"/>
        <v>0.26</v>
      </c>
      <c r="M12" s="79"/>
      <c r="N12" s="549" t="s">
        <v>162</v>
      </c>
      <c r="O12" s="529" t="s">
        <v>163</v>
      </c>
      <c r="P12" s="567">
        <v>0</v>
      </c>
      <c r="Q12" s="79"/>
      <c r="U12" s="132"/>
      <c r="V12" s="562"/>
      <c r="W12" s="562"/>
      <c r="X12" s="562"/>
    </row>
    <row r="13" spans="2:40">
      <c r="B13" s="581" t="s">
        <v>164</v>
      </c>
      <c r="C13" s="529" t="s">
        <v>126</v>
      </c>
      <c r="D13" s="532">
        <v>0.21</v>
      </c>
      <c r="E13" s="645">
        <f t="shared" ref="E13:L13" si="3">$D$13</f>
        <v>0.21</v>
      </c>
      <c r="F13" s="571">
        <f t="shared" si="3"/>
        <v>0.21</v>
      </c>
      <c r="G13" s="571">
        <f t="shared" si="3"/>
        <v>0.21</v>
      </c>
      <c r="H13" s="571">
        <f t="shared" si="3"/>
        <v>0.21</v>
      </c>
      <c r="I13" s="571">
        <f t="shared" si="3"/>
        <v>0.21</v>
      </c>
      <c r="J13" s="571">
        <f t="shared" si="3"/>
        <v>0.21</v>
      </c>
      <c r="K13" s="571">
        <f t="shared" si="3"/>
        <v>0.21</v>
      </c>
      <c r="L13" s="571">
        <f t="shared" si="3"/>
        <v>0.21</v>
      </c>
      <c r="M13" s="88"/>
      <c r="N13" s="549" t="s">
        <v>165</v>
      </c>
      <c r="O13" s="529" t="s">
        <v>143</v>
      </c>
      <c r="P13" s="550">
        <v>46388</v>
      </c>
      <c r="Q13" s="79"/>
      <c r="V13" s="79"/>
      <c r="W13" s="79"/>
      <c r="X13" s="79"/>
      <c r="AD13" s="137"/>
    </row>
    <row r="14" spans="2:40">
      <c r="B14" s="581" t="s">
        <v>166</v>
      </c>
      <c r="C14" s="529" t="s">
        <v>126</v>
      </c>
      <c r="D14" s="532">
        <v>0.04</v>
      </c>
      <c r="E14" s="645">
        <f t="shared" ref="E14:L14" si="4">$D$14</f>
        <v>0.04</v>
      </c>
      <c r="F14" s="571">
        <f t="shared" si="4"/>
        <v>0.04</v>
      </c>
      <c r="G14" s="571">
        <f t="shared" si="4"/>
        <v>0.04</v>
      </c>
      <c r="H14" s="571">
        <f t="shared" si="4"/>
        <v>0.04</v>
      </c>
      <c r="I14" s="571">
        <f t="shared" si="4"/>
        <v>0.04</v>
      </c>
      <c r="J14" s="571">
        <f t="shared" si="4"/>
        <v>0.04</v>
      </c>
      <c r="K14" s="571">
        <f t="shared" si="4"/>
        <v>0.04</v>
      </c>
      <c r="L14" s="571">
        <f t="shared" si="4"/>
        <v>0.04</v>
      </c>
      <c r="M14" s="157"/>
      <c r="N14" s="549" t="s">
        <v>167</v>
      </c>
      <c r="O14" s="529" t="s">
        <v>128</v>
      </c>
      <c r="P14" s="568">
        <f>E54</f>
        <v>42.231782331408738</v>
      </c>
      <c r="Q14" s="79"/>
      <c r="V14" s="79"/>
      <c r="W14" s="79"/>
      <c r="X14" s="79"/>
    </row>
    <row r="15" spans="2:40">
      <c r="B15" s="581" t="s">
        <v>168</v>
      </c>
      <c r="C15" s="529" t="s">
        <v>126</v>
      </c>
      <c r="D15" s="532">
        <v>0.01</v>
      </c>
      <c r="E15" s="645">
        <f t="shared" ref="E15:L15" si="5">$D$15</f>
        <v>0.01</v>
      </c>
      <c r="F15" s="571">
        <f t="shared" si="5"/>
        <v>0.01</v>
      </c>
      <c r="G15" s="571">
        <f t="shared" si="5"/>
        <v>0.01</v>
      </c>
      <c r="H15" s="571">
        <f t="shared" si="5"/>
        <v>0.01</v>
      </c>
      <c r="I15" s="571">
        <f t="shared" si="5"/>
        <v>0.01</v>
      </c>
      <c r="J15" s="571">
        <f t="shared" si="5"/>
        <v>0.01</v>
      </c>
      <c r="K15" s="571">
        <f t="shared" si="5"/>
        <v>0.01</v>
      </c>
      <c r="L15" s="571">
        <f t="shared" si="5"/>
        <v>0.01</v>
      </c>
      <c r="M15" s="141"/>
      <c r="N15" s="549" t="s">
        <v>169</v>
      </c>
      <c r="O15" s="529" t="s">
        <v>139</v>
      </c>
      <c r="P15" s="545">
        <v>0</v>
      </c>
      <c r="Q15" s="79"/>
      <c r="V15" s="79"/>
      <c r="W15" s="79"/>
      <c r="X15" s="79"/>
    </row>
    <row r="16" spans="2:40">
      <c r="B16" s="549" t="s">
        <v>170</v>
      </c>
      <c r="C16" s="529" t="s">
        <v>126</v>
      </c>
      <c r="D16" s="529"/>
      <c r="E16" s="642">
        <f t="shared" ref="E16:L16" si="6">E8*E10*(1-E12)+E11*E7</f>
        <v>0.12</v>
      </c>
      <c r="F16" s="551">
        <f t="shared" si="6"/>
        <v>0.12</v>
      </c>
      <c r="G16" s="551">
        <f t="shared" si="6"/>
        <v>0.12</v>
      </c>
      <c r="H16" s="551">
        <f t="shared" si="6"/>
        <v>0.12</v>
      </c>
      <c r="I16" s="551">
        <f t="shared" si="6"/>
        <v>0.12</v>
      </c>
      <c r="J16" s="551">
        <f t="shared" si="6"/>
        <v>0.12</v>
      </c>
      <c r="K16" s="551">
        <f t="shared" si="6"/>
        <v>0.12</v>
      </c>
      <c r="L16" s="551">
        <f t="shared" si="6"/>
        <v>0.12</v>
      </c>
      <c r="M16" s="159"/>
      <c r="N16" s="549" t="s">
        <v>171</v>
      </c>
      <c r="O16" s="529" t="s">
        <v>126</v>
      </c>
      <c r="P16" s="535">
        <v>0</v>
      </c>
      <c r="V16" s="79"/>
      <c r="W16" s="79"/>
      <c r="X16" s="79"/>
    </row>
    <row r="17" spans="1:24">
      <c r="B17" s="549" t="s">
        <v>172</v>
      </c>
      <c r="C17" s="529" t="s">
        <v>126</v>
      </c>
      <c r="D17" s="529"/>
      <c r="E17" s="646" t="s">
        <v>173</v>
      </c>
      <c r="F17" s="533">
        <v>0.3</v>
      </c>
      <c r="G17" s="553" t="s">
        <v>173</v>
      </c>
      <c r="H17" s="533">
        <v>0.3</v>
      </c>
      <c r="I17" s="553" t="s">
        <v>173</v>
      </c>
      <c r="J17" s="553" t="s">
        <v>173</v>
      </c>
      <c r="K17" s="553" t="s">
        <v>173</v>
      </c>
      <c r="L17" s="553" t="s">
        <v>173</v>
      </c>
      <c r="M17" s="159"/>
      <c r="N17" s="549" t="s">
        <v>174</v>
      </c>
      <c r="O17" s="529" t="s">
        <v>139</v>
      </c>
      <c r="P17" s="545">
        <v>400</v>
      </c>
      <c r="Q17" s="79"/>
      <c r="V17" s="79"/>
      <c r="W17" s="79"/>
      <c r="X17" s="79"/>
    </row>
    <row r="18" spans="1:24">
      <c r="B18" s="549" t="s">
        <v>175</v>
      </c>
      <c r="C18" s="529" t="s">
        <v>176</v>
      </c>
      <c r="D18" s="529"/>
      <c r="E18" s="646" t="s">
        <v>173</v>
      </c>
      <c r="F18" s="555">
        <v>27.5</v>
      </c>
      <c r="G18" s="553" t="s">
        <v>173</v>
      </c>
      <c r="H18" s="555">
        <v>27.5</v>
      </c>
      <c r="I18" s="553" t="s">
        <v>173</v>
      </c>
      <c r="J18" s="553" t="s">
        <v>173</v>
      </c>
      <c r="K18" s="553" t="s">
        <v>173</v>
      </c>
      <c r="L18" s="553" t="s">
        <v>173</v>
      </c>
      <c r="M18" s="159"/>
      <c r="N18" s="549" t="s">
        <v>177</v>
      </c>
      <c r="O18" s="529" t="s">
        <v>139</v>
      </c>
      <c r="P18" s="545">
        <v>300</v>
      </c>
      <c r="Q18" s="79"/>
      <c r="V18" s="79"/>
      <c r="W18" s="79"/>
      <c r="X18" s="79"/>
    </row>
    <row r="19" spans="1:24">
      <c r="B19" s="549" t="s">
        <v>178</v>
      </c>
      <c r="C19" s="529" t="s">
        <v>179</v>
      </c>
      <c r="D19" s="529"/>
      <c r="E19" s="646" t="s">
        <v>173</v>
      </c>
      <c r="F19" s="553" t="s">
        <v>173</v>
      </c>
      <c r="G19" s="553" t="s">
        <v>173</v>
      </c>
      <c r="H19" s="553" t="s">
        <v>173</v>
      </c>
      <c r="I19" s="553" t="s">
        <v>173</v>
      </c>
      <c r="J19" s="556">
        <v>1</v>
      </c>
      <c r="K19" s="553" t="s">
        <v>173</v>
      </c>
      <c r="L19" s="553" t="s">
        <v>173</v>
      </c>
      <c r="M19" s="160"/>
      <c r="N19" s="549" t="s">
        <v>180</v>
      </c>
      <c r="O19" s="529" t="s">
        <v>139</v>
      </c>
      <c r="P19" s="545">
        <v>400</v>
      </c>
      <c r="Q19" s="79"/>
      <c r="V19" s="79"/>
      <c r="W19" s="79"/>
      <c r="X19" s="79"/>
    </row>
    <row r="20" spans="1:24">
      <c r="A20" s="79"/>
      <c r="B20" s="549" t="s">
        <v>181</v>
      </c>
      <c r="C20" s="529" t="s">
        <v>126</v>
      </c>
      <c r="D20" s="532">
        <v>0.03</v>
      </c>
      <c r="E20" s="645">
        <f t="shared" ref="E20:L20" si="7">$D$20</f>
        <v>0.03</v>
      </c>
      <c r="F20" s="571">
        <f t="shared" si="7"/>
        <v>0.03</v>
      </c>
      <c r="G20" s="571">
        <f t="shared" si="7"/>
        <v>0.03</v>
      </c>
      <c r="H20" s="571">
        <f t="shared" si="7"/>
        <v>0.03</v>
      </c>
      <c r="I20" s="571">
        <f t="shared" si="7"/>
        <v>0.03</v>
      </c>
      <c r="J20" s="571">
        <f t="shared" si="7"/>
        <v>0.03</v>
      </c>
      <c r="K20" s="571">
        <f t="shared" si="7"/>
        <v>0.03</v>
      </c>
      <c r="L20" s="571">
        <f t="shared" si="7"/>
        <v>0.03</v>
      </c>
      <c r="N20" s="633" t="s">
        <v>182</v>
      </c>
      <c r="O20" s="627" t="s">
        <v>139</v>
      </c>
      <c r="P20" s="611">
        <v>100</v>
      </c>
      <c r="Q20" s="79"/>
      <c r="V20" s="79"/>
      <c r="W20" s="79"/>
      <c r="X20" s="79"/>
    </row>
    <row r="21" spans="1:24">
      <c r="A21" s="79"/>
      <c r="B21" s="549" t="s">
        <v>183</v>
      </c>
      <c r="C21" s="529" t="s">
        <v>126</v>
      </c>
      <c r="D21" s="532">
        <v>0.02</v>
      </c>
      <c r="E21" s="645">
        <f t="shared" ref="E21:L21" si="8">$D$21</f>
        <v>0.02</v>
      </c>
      <c r="F21" s="571">
        <f t="shared" si="8"/>
        <v>0.02</v>
      </c>
      <c r="G21" s="571">
        <f t="shared" si="8"/>
        <v>0.02</v>
      </c>
      <c r="H21" s="571">
        <f t="shared" si="8"/>
        <v>0.02</v>
      </c>
      <c r="I21" s="571">
        <f t="shared" si="8"/>
        <v>0.02</v>
      </c>
      <c r="J21" s="571">
        <f t="shared" si="8"/>
        <v>0.02</v>
      </c>
      <c r="K21" s="571">
        <f t="shared" si="8"/>
        <v>0.02</v>
      </c>
      <c r="L21" s="571">
        <f t="shared" si="8"/>
        <v>0.02</v>
      </c>
      <c r="N21" s="549" t="s">
        <v>184</v>
      </c>
      <c r="O21" s="529" t="s">
        <v>139</v>
      </c>
      <c r="P21" s="545">
        <v>50</v>
      </c>
      <c r="Q21" s="79"/>
      <c r="V21" s="79"/>
      <c r="W21" s="79"/>
      <c r="X21" s="79"/>
    </row>
    <row r="22" spans="1:24">
      <c r="A22" s="79"/>
      <c r="B22" s="549" t="s">
        <v>185</v>
      </c>
      <c r="C22" s="529" t="s">
        <v>126</v>
      </c>
      <c r="D22" s="532">
        <v>0.02</v>
      </c>
      <c r="E22" s="645">
        <f t="shared" ref="E22:L22" si="9">$D$22</f>
        <v>0.02</v>
      </c>
      <c r="F22" s="571">
        <f t="shared" si="9"/>
        <v>0.02</v>
      </c>
      <c r="G22" s="571">
        <f t="shared" si="9"/>
        <v>0.02</v>
      </c>
      <c r="H22" s="571">
        <f t="shared" si="9"/>
        <v>0.02</v>
      </c>
      <c r="I22" s="571">
        <f t="shared" si="9"/>
        <v>0.02</v>
      </c>
      <c r="J22" s="571">
        <f t="shared" si="9"/>
        <v>0.02</v>
      </c>
      <c r="K22" s="571">
        <f t="shared" si="9"/>
        <v>0.02</v>
      </c>
      <c r="L22" s="571">
        <f t="shared" si="9"/>
        <v>0.02</v>
      </c>
      <c r="N22" s="549" t="s">
        <v>186</v>
      </c>
      <c r="O22" s="529" t="s">
        <v>139</v>
      </c>
      <c r="P22" s="545">
        <v>200</v>
      </c>
      <c r="Q22" s="79"/>
      <c r="V22" s="79"/>
      <c r="W22" s="79"/>
      <c r="X22" s="79"/>
    </row>
    <row r="23" spans="1:24">
      <c r="A23" s="79"/>
      <c r="B23" s="549" t="s">
        <v>186</v>
      </c>
      <c r="C23" s="529" t="s">
        <v>187</v>
      </c>
      <c r="D23" s="532">
        <v>0.01</v>
      </c>
      <c r="E23" s="645">
        <f t="shared" ref="E23:L23" si="10">$D$23</f>
        <v>0.01</v>
      </c>
      <c r="F23" s="617">
        <f t="shared" si="10"/>
        <v>0.01</v>
      </c>
      <c r="G23" s="617">
        <f t="shared" si="10"/>
        <v>0.01</v>
      </c>
      <c r="H23" s="617">
        <f t="shared" si="10"/>
        <v>0.01</v>
      </c>
      <c r="I23" s="617">
        <f t="shared" si="10"/>
        <v>0.01</v>
      </c>
      <c r="J23" s="617">
        <f t="shared" si="10"/>
        <v>0.01</v>
      </c>
      <c r="K23" s="617">
        <f t="shared" si="10"/>
        <v>0.01</v>
      </c>
      <c r="L23" s="617">
        <f t="shared" si="10"/>
        <v>0.01</v>
      </c>
      <c r="Q23" s="79"/>
      <c r="V23" s="79"/>
      <c r="W23" s="79"/>
      <c r="X23" s="79"/>
    </row>
    <row r="24" spans="1:24">
      <c r="A24" s="79"/>
      <c r="M24" s="160"/>
      <c r="Q24" s="79"/>
      <c r="V24" s="79"/>
      <c r="W24" s="79"/>
      <c r="X24" s="79"/>
    </row>
    <row r="25" spans="1:24" ht="23">
      <c r="A25" s="79"/>
      <c r="B25" s="803" t="s">
        <v>188</v>
      </c>
      <c r="C25" s="803"/>
      <c r="D25" s="803"/>
      <c r="E25" s="803"/>
      <c r="F25" s="803"/>
      <c r="G25" s="803"/>
      <c r="H25" s="803"/>
      <c r="I25" s="803"/>
      <c r="J25" s="803"/>
      <c r="K25" s="803"/>
      <c r="L25" s="803"/>
      <c r="M25" s="160"/>
      <c r="R25" s="803" t="s">
        <v>189</v>
      </c>
      <c r="S25" s="803"/>
      <c r="T25" s="803"/>
    </row>
    <row r="26" spans="1:24" ht="15" customHeight="1">
      <c r="A26" s="79"/>
      <c r="B26" s="528" t="s">
        <v>118</v>
      </c>
      <c r="C26" s="528" t="s">
        <v>119</v>
      </c>
      <c r="D26" s="528" t="s">
        <v>120</v>
      </c>
      <c r="E26" s="558" t="s">
        <v>121</v>
      </c>
      <c r="F26" s="590" t="s">
        <v>7</v>
      </c>
      <c r="G26" s="557" t="s">
        <v>4</v>
      </c>
      <c r="H26" s="557" t="s">
        <v>6</v>
      </c>
      <c r="I26" s="557" t="s">
        <v>9</v>
      </c>
      <c r="J26" s="559" t="s">
        <v>122</v>
      </c>
      <c r="K26" s="559" t="s">
        <v>13</v>
      </c>
      <c r="L26" s="559" t="s">
        <v>11</v>
      </c>
      <c r="M26" s="160"/>
      <c r="R26" s="530" t="s">
        <v>190</v>
      </c>
      <c r="S26" s="530" t="s">
        <v>191</v>
      </c>
      <c r="T26" s="530" t="s">
        <v>192</v>
      </c>
    </row>
    <row r="27" spans="1:24">
      <c r="A27" s="79"/>
      <c r="B27" s="548" t="s">
        <v>53</v>
      </c>
      <c r="C27" s="529" t="s">
        <v>143</v>
      </c>
      <c r="D27" s="529"/>
      <c r="E27" s="538">
        <v>46023</v>
      </c>
      <c r="F27" s="538">
        <f t="shared" ref="F27:L27" si="11">E27</f>
        <v>46023</v>
      </c>
      <c r="G27" s="538">
        <f t="shared" si="11"/>
        <v>46023</v>
      </c>
      <c r="H27" s="538">
        <f t="shared" si="11"/>
        <v>46023</v>
      </c>
      <c r="I27" s="538">
        <f t="shared" si="11"/>
        <v>46023</v>
      </c>
      <c r="J27" s="538">
        <f t="shared" si="11"/>
        <v>46023</v>
      </c>
      <c r="K27" s="538">
        <f t="shared" si="11"/>
        <v>46023</v>
      </c>
      <c r="L27" s="538">
        <f t="shared" si="11"/>
        <v>46023</v>
      </c>
      <c r="M27" s="160"/>
      <c r="R27" s="548" t="s">
        <v>193</v>
      </c>
      <c r="S27" s="529" t="s">
        <v>194</v>
      </c>
      <c r="T27" s="537">
        <v>1000</v>
      </c>
    </row>
    <row r="28" spans="1:24">
      <c r="A28" s="79"/>
      <c r="B28" s="548" t="s">
        <v>195</v>
      </c>
      <c r="C28" s="529" t="s">
        <v>147</v>
      </c>
      <c r="D28" s="529"/>
      <c r="E28" s="539">
        <v>1</v>
      </c>
      <c r="F28" s="539">
        <v>12</v>
      </c>
      <c r="G28" s="539">
        <v>36</v>
      </c>
      <c r="H28" s="539">
        <v>18</v>
      </c>
      <c r="I28" s="539">
        <v>48</v>
      </c>
      <c r="J28" s="539">
        <v>15</v>
      </c>
      <c r="K28" s="539">
        <v>12</v>
      </c>
      <c r="L28" s="539">
        <v>12</v>
      </c>
      <c r="M28" s="160"/>
      <c r="R28" s="548" t="s">
        <v>196</v>
      </c>
      <c r="S28" s="529" t="s">
        <v>197</v>
      </c>
      <c r="T28" s="537">
        <v>43560</v>
      </c>
    </row>
    <row r="29" spans="1:24">
      <c r="A29" s="79"/>
      <c r="B29" s="548" t="s">
        <v>198</v>
      </c>
      <c r="C29" s="529" t="s">
        <v>143</v>
      </c>
      <c r="D29" s="529"/>
      <c r="E29" s="564">
        <f>EDATE(E27,E28)-1</f>
        <v>46053</v>
      </c>
      <c r="F29" s="564">
        <f t="shared" ref="F29:K29" si="12">EDATE(F27,F28)-1</f>
        <v>46387</v>
      </c>
      <c r="G29" s="564">
        <f t="shared" si="12"/>
        <v>47118</v>
      </c>
      <c r="H29" s="564">
        <f t="shared" si="12"/>
        <v>46568</v>
      </c>
      <c r="I29" s="564">
        <f t="shared" si="12"/>
        <v>47483</v>
      </c>
      <c r="J29" s="564">
        <f t="shared" si="12"/>
        <v>46477</v>
      </c>
      <c r="K29" s="564">
        <f t="shared" si="12"/>
        <v>46387</v>
      </c>
      <c r="L29" s="564">
        <f>EDATE(L27,L28)-1</f>
        <v>46387</v>
      </c>
      <c r="M29" s="160"/>
      <c r="R29" s="548" t="s">
        <v>199</v>
      </c>
      <c r="S29" s="529" t="s">
        <v>200</v>
      </c>
      <c r="T29" s="537">
        <f>365*24</f>
        <v>8760</v>
      </c>
    </row>
    <row r="30" spans="1:24">
      <c r="A30" s="79"/>
      <c r="B30" s="548" t="s">
        <v>201</v>
      </c>
      <c r="C30" s="529" t="s">
        <v>147</v>
      </c>
      <c r="D30" s="529"/>
      <c r="E30" s="536">
        <v>1</v>
      </c>
      <c r="F30" s="536">
        <v>2</v>
      </c>
      <c r="G30" s="536">
        <v>4</v>
      </c>
      <c r="H30" s="536">
        <v>2</v>
      </c>
      <c r="I30" s="536">
        <v>2</v>
      </c>
      <c r="J30" s="536">
        <v>1</v>
      </c>
      <c r="K30" s="536">
        <v>3</v>
      </c>
      <c r="L30" s="536">
        <v>3</v>
      </c>
      <c r="M30" s="160"/>
      <c r="R30" s="548" t="s">
        <v>202</v>
      </c>
      <c r="S30" s="529" t="s">
        <v>203</v>
      </c>
      <c r="T30" s="537">
        <v>3414.4250000000002</v>
      </c>
    </row>
    <row r="31" spans="1:24">
      <c r="A31" s="79"/>
      <c r="B31" s="548" t="s">
        <v>204</v>
      </c>
      <c r="C31" s="529" t="s">
        <v>143</v>
      </c>
      <c r="D31" s="529"/>
      <c r="E31" s="564">
        <f>EDATE(E29,E30)</f>
        <v>46081</v>
      </c>
      <c r="F31" s="564">
        <f>EDATE(F29,F30)</f>
        <v>46446</v>
      </c>
      <c r="G31" s="564">
        <f>EDATE(G29,G30)</f>
        <v>47238</v>
      </c>
      <c r="H31" s="564">
        <f>EDATE(H29,H30)</f>
        <v>46629</v>
      </c>
      <c r="I31" s="564">
        <f t="shared" ref="I31:K31" si="13">EDATE(I29,I30)</f>
        <v>47542</v>
      </c>
      <c r="J31" s="564">
        <f t="shared" si="13"/>
        <v>46507</v>
      </c>
      <c r="K31" s="564">
        <f t="shared" si="13"/>
        <v>46477</v>
      </c>
      <c r="L31" s="564">
        <f>EDATE(L29,L30)</f>
        <v>46477</v>
      </c>
      <c r="M31" s="160"/>
      <c r="R31" s="548" t="s">
        <v>205</v>
      </c>
      <c r="S31" s="529" t="s">
        <v>206</v>
      </c>
      <c r="T31" s="537">
        <v>2000</v>
      </c>
    </row>
    <row r="32" spans="1:24">
      <c r="A32" s="79"/>
      <c r="B32" s="548" t="s">
        <v>207</v>
      </c>
      <c r="C32" s="529" t="s">
        <v>143</v>
      </c>
      <c r="D32" s="529"/>
      <c r="E32" s="564">
        <f>DATE(YEAR(E31), 12, 31)</f>
        <v>46387</v>
      </c>
      <c r="F32" s="564">
        <f>DATE(YEAR(F31), 12, 31)</f>
        <v>46752</v>
      </c>
      <c r="G32" s="564">
        <f t="shared" ref="G32:L32" si="14">DATE(YEAR(G31), 12, 31)</f>
        <v>47483</v>
      </c>
      <c r="H32" s="564">
        <f t="shared" si="14"/>
        <v>46752</v>
      </c>
      <c r="I32" s="564">
        <f t="shared" si="14"/>
        <v>47848</v>
      </c>
      <c r="J32" s="564">
        <f t="shared" si="14"/>
        <v>46752</v>
      </c>
      <c r="K32" s="564">
        <f t="shared" si="14"/>
        <v>46752</v>
      </c>
      <c r="L32" s="564">
        <f t="shared" si="14"/>
        <v>46752</v>
      </c>
      <c r="M32" s="160"/>
      <c r="R32" s="548" t="s">
        <v>208</v>
      </c>
      <c r="S32" s="529" t="s">
        <v>209</v>
      </c>
      <c r="T32" s="537">
        <v>7.5</v>
      </c>
    </row>
    <row r="33" spans="1:62">
      <c r="A33" s="79"/>
      <c r="B33" s="548" t="s">
        <v>210</v>
      </c>
      <c r="C33" s="529" t="s">
        <v>211</v>
      </c>
      <c r="D33" s="529"/>
      <c r="E33" s="647">
        <v>0</v>
      </c>
      <c r="F33" s="532">
        <v>0</v>
      </c>
      <c r="G33" s="532">
        <v>0</v>
      </c>
      <c r="H33" s="532">
        <v>0</v>
      </c>
      <c r="I33" s="532">
        <v>0</v>
      </c>
      <c r="J33" s="532">
        <v>0</v>
      </c>
      <c r="K33" s="532">
        <v>0</v>
      </c>
      <c r="L33" s="532">
        <v>0</v>
      </c>
      <c r="M33" s="160"/>
      <c r="R33" s="548" t="s">
        <v>212</v>
      </c>
      <c r="S33" s="529" t="s">
        <v>213</v>
      </c>
      <c r="T33" s="537">
        <v>1038</v>
      </c>
    </row>
    <row r="34" spans="1:62">
      <c r="A34" s="79"/>
      <c r="B34" s="548" t="s">
        <v>214</v>
      </c>
      <c r="C34" s="529" t="s">
        <v>151</v>
      </c>
      <c r="D34" s="529"/>
      <c r="E34" s="644">
        <v>10</v>
      </c>
      <c r="F34" s="536">
        <v>25</v>
      </c>
      <c r="G34" s="536">
        <v>25</v>
      </c>
      <c r="H34" s="536">
        <v>25</v>
      </c>
      <c r="I34" s="536">
        <v>25</v>
      </c>
      <c r="J34" s="536">
        <v>25</v>
      </c>
      <c r="K34" s="536">
        <v>25</v>
      </c>
      <c r="L34" s="536">
        <v>25</v>
      </c>
      <c r="M34" s="160"/>
    </row>
    <row r="35" spans="1:62">
      <c r="A35" s="79"/>
      <c r="B35" s="548" t="s">
        <v>215</v>
      </c>
      <c r="C35" s="529" t="s">
        <v>151</v>
      </c>
      <c r="D35" s="536">
        <v>25</v>
      </c>
      <c r="E35" s="543">
        <v>50</v>
      </c>
      <c r="F35" s="543">
        <f t="shared" ref="F35:L35" si="15">$D$35</f>
        <v>25</v>
      </c>
      <c r="G35" s="543">
        <f t="shared" si="15"/>
        <v>25</v>
      </c>
      <c r="H35" s="543">
        <f t="shared" si="15"/>
        <v>25</v>
      </c>
      <c r="I35" s="543">
        <f t="shared" si="15"/>
        <v>25</v>
      </c>
      <c r="J35" s="543">
        <f t="shared" si="15"/>
        <v>25</v>
      </c>
      <c r="K35" s="543">
        <f t="shared" si="15"/>
        <v>25</v>
      </c>
      <c r="L35" s="543">
        <f t="shared" si="15"/>
        <v>25</v>
      </c>
      <c r="M35" s="160"/>
    </row>
    <row r="36" spans="1:62">
      <c r="A36" s="79"/>
      <c r="B36" s="548" t="s">
        <v>216</v>
      </c>
      <c r="C36" s="529" t="s">
        <v>143</v>
      </c>
      <c r="D36" s="529"/>
      <c r="E36" s="564">
        <f>EDATE(E31,E35*12)</f>
        <v>64343</v>
      </c>
      <c r="F36" s="564">
        <f>EDATE(F31,F35*12)</f>
        <v>55577</v>
      </c>
      <c r="G36" s="564">
        <f t="shared" ref="G36:L36" si="16">EDATE(G31,G35*12)</f>
        <v>56369</v>
      </c>
      <c r="H36" s="564">
        <f t="shared" si="16"/>
        <v>55761</v>
      </c>
      <c r="I36" s="564">
        <f t="shared" si="16"/>
        <v>56673</v>
      </c>
      <c r="J36" s="564">
        <f t="shared" si="16"/>
        <v>55639</v>
      </c>
      <c r="K36" s="564">
        <f t="shared" si="16"/>
        <v>55609</v>
      </c>
      <c r="L36" s="564">
        <f t="shared" si="16"/>
        <v>55609</v>
      </c>
      <c r="M36" s="160"/>
    </row>
    <row r="37" spans="1:62">
      <c r="A37" s="79"/>
      <c r="B37" s="548" t="s">
        <v>217</v>
      </c>
      <c r="C37" s="529" t="s">
        <v>126</v>
      </c>
      <c r="D37" s="532">
        <v>0.05</v>
      </c>
      <c r="E37" s="648">
        <f>$D$37</f>
        <v>0.05</v>
      </c>
      <c r="F37" s="572">
        <f t="shared" ref="F37:L37" si="17">$D$37</f>
        <v>0.05</v>
      </c>
      <c r="G37" s="572">
        <f t="shared" si="17"/>
        <v>0.05</v>
      </c>
      <c r="H37" s="572">
        <f t="shared" si="17"/>
        <v>0.05</v>
      </c>
      <c r="I37" s="572">
        <f t="shared" si="17"/>
        <v>0.05</v>
      </c>
      <c r="J37" s="572">
        <f t="shared" si="17"/>
        <v>0.05</v>
      </c>
      <c r="K37" s="572">
        <f t="shared" si="17"/>
        <v>0.05</v>
      </c>
      <c r="L37" s="572">
        <f t="shared" si="17"/>
        <v>0.05</v>
      </c>
      <c r="M37" s="160"/>
    </row>
    <row r="38" spans="1:62">
      <c r="A38" s="79"/>
      <c r="B38" s="548" t="s">
        <v>218</v>
      </c>
      <c r="C38" s="529" t="s">
        <v>133</v>
      </c>
      <c r="D38" s="529"/>
      <c r="E38" s="649">
        <f>E63*E64</f>
        <v>11618.630136986301</v>
      </c>
      <c r="F38" s="565">
        <f>F79*F77/$X$6</f>
        <v>115</v>
      </c>
      <c r="G38" s="565">
        <f>G79*G77/$X$6</f>
        <v>110</v>
      </c>
      <c r="H38" s="565">
        <f>H79*H77/$X$6</f>
        <v>120</v>
      </c>
      <c r="I38" s="565">
        <f>I79*I77/$X$6</f>
        <v>360</v>
      </c>
      <c r="J38" s="565">
        <v>30</v>
      </c>
      <c r="K38" s="565">
        <f>K60*K64</f>
        <v>112.5</v>
      </c>
      <c r="L38" s="565">
        <f>L60*L64</f>
        <v>180</v>
      </c>
      <c r="M38" s="158"/>
      <c r="Z38" s="135"/>
      <c r="AA38" s="135"/>
      <c r="AB38" s="135"/>
      <c r="AC38" s="135"/>
      <c r="AD38" s="135"/>
      <c r="AE38" s="135"/>
      <c r="AF38" s="135"/>
      <c r="AG38" s="135"/>
      <c r="AJ38" s="135"/>
      <c r="AK38" s="135"/>
      <c r="AL38" s="135"/>
    </row>
    <row r="39" spans="1:62">
      <c r="A39" s="79"/>
      <c r="B39" s="580" t="s">
        <v>219</v>
      </c>
      <c r="C39" s="529" t="s">
        <v>126</v>
      </c>
      <c r="D39" s="532">
        <v>0.05</v>
      </c>
      <c r="E39" s="648">
        <f t="shared" ref="E39:J39" si="18">$D$39</f>
        <v>0.05</v>
      </c>
      <c r="F39" s="572">
        <f t="shared" si="18"/>
        <v>0.05</v>
      </c>
      <c r="G39" s="572">
        <f t="shared" si="18"/>
        <v>0.05</v>
      </c>
      <c r="H39" s="572">
        <f t="shared" si="18"/>
        <v>0.05</v>
      </c>
      <c r="I39" s="572">
        <f t="shared" si="18"/>
        <v>0.05</v>
      </c>
      <c r="J39" s="572">
        <f t="shared" si="18"/>
        <v>0.05</v>
      </c>
      <c r="K39" s="572">
        <v>0.02</v>
      </c>
      <c r="L39" s="572">
        <v>0.02</v>
      </c>
      <c r="M39" s="160"/>
    </row>
    <row r="40" spans="1:62">
      <c r="A40" s="79"/>
      <c r="B40" s="580" t="s">
        <v>220</v>
      </c>
      <c r="C40" s="529" t="s">
        <v>126</v>
      </c>
      <c r="D40" s="532">
        <v>0.15</v>
      </c>
      <c r="E40" s="648">
        <f t="shared" ref="E40:J40" si="19">$D$40</f>
        <v>0.15</v>
      </c>
      <c r="F40" s="572">
        <f t="shared" si="19"/>
        <v>0.15</v>
      </c>
      <c r="G40" s="572">
        <f t="shared" si="19"/>
        <v>0.15</v>
      </c>
      <c r="H40" s="572">
        <f t="shared" si="19"/>
        <v>0.15</v>
      </c>
      <c r="I40" s="572">
        <f t="shared" si="19"/>
        <v>0.15</v>
      </c>
      <c r="J40" s="572">
        <f t="shared" si="19"/>
        <v>0.15</v>
      </c>
      <c r="K40" s="572">
        <v>0.05</v>
      </c>
      <c r="L40" s="572">
        <v>0.05</v>
      </c>
      <c r="M40" s="160"/>
    </row>
    <row r="41" spans="1:62" s="79" customFormat="1">
      <c r="B41" s="580" t="s">
        <v>221</v>
      </c>
      <c r="C41" s="529" t="s">
        <v>126</v>
      </c>
      <c r="D41" s="532">
        <v>0.01</v>
      </c>
      <c r="E41" s="650">
        <f t="shared" ref="E41:J47" si="20">$D41</f>
        <v>0.01</v>
      </c>
      <c r="F41" s="554">
        <f t="shared" si="20"/>
        <v>0.01</v>
      </c>
      <c r="G41" s="554">
        <f t="shared" si="20"/>
        <v>0.01</v>
      </c>
      <c r="H41" s="554">
        <f t="shared" si="20"/>
        <v>0.01</v>
      </c>
      <c r="I41" s="554">
        <f t="shared" si="20"/>
        <v>0.01</v>
      </c>
      <c r="J41" s="554">
        <f t="shared" si="20"/>
        <v>0.01</v>
      </c>
      <c r="K41" s="554">
        <v>0.01</v>
      </c>
      <c r="L41" s="554">
        <v>0.01</v>
      </c>
      <c r="N41"/>
      <c r="O41"/>
      <c r="P41"/>
    </row>
    <row r="42" spans="1:62" s="79" customFormat="1">
      <c r="B42" s="580" t="s">
        <v>222</v>
      </c>
      <c r="C42" s="529" t="s">
        <v>126</v>
      </c>
      <c r="D42" s="532">
        <v>0.08</v>
      </c>
      <c r="E42" s="650">
        <f t="shared" si="20"/>
        <v>0.08</v>
      </c>
      <c r="F42" s="554">
        <f t="shared" si="20"/>
        <v>0.08</v>
      </c>
      <c r="G42" s="554">
        <f t="shared" si="20"/>
        <v>0.08</v>
      </c>
      <c r="H42" s="554">
        <f t="shared" si="20"/>
        <v>0.08</v>
      </c>
      <c r="I42" s="554">
        <f t="shared" si="20"/>
        <v>0.08</v>
      </c>
      <c r="J42" s="554">
        <f t="shared" si="20"/>
        <v>0.08</v>
      </c>
      <c r="K42" s="554">
        <v>0.03</v>
      </c>
      <c r="L42" s="554">
        <v>0.03</v>
      </c>
      <c r="N42"/>
      <c r="O42"/>
      <c r="P42"/>
    </row>
    <row r="43" spans="1:62" s="145" customFormat="1">
      <c r="A43" s="159"/>
      <c r="B43" s="580" t="s">
        <v>223</v>
      </c>
      <c r="C43" s="529" t="s">
        <v>126</v>
      </c>
      <c r="D43" s="532">
        <v>0.1</v>
      </c>
      <c r="E43" s="650">
        <f t="shared" si="20"/>
        <v>0.1</v>
      </c>
      <c r="F43" s="554">
        <f t="shared" si="20"/>
        <v>0.1</v>
      </c>
      <c r="G43" s="554">
        <f t="shared" si="20"/>
        <v>0.1</v>
      </c>
      <c r="H43" s="554">
        <f t="shared" si="20"/>
        <v>0.1</v>
      </c>
      <c r="I43" s="554">
        <f t="shared" si="20"/>
        <v>0.1</v>
      </c>
      <c r="J43" s="554">
        <f t="shared" si="20"/>
        <v>0.1</v>
      </c>
      <c r="K43" s="554">
        <v>0.03</v>
      </c>
      <c r="L43" s="554">
        <v>0.03</v>
      </c>
      <c r="M43" s="159"/>
      <c r="N43"/>
      <c r="O43"/>
      <c r="P43"/>
      <c r="Q43" s="159"/>
      <c r="R43" s="164"/>
      <c r="S43" s="159"/>
      <c r="T43" s="159"/>
      <c r="U43" s="159"/>
      <c r="V43" s="159"/>
      <c r="W43" s="159"/>
      <c r="X43" s="159"/>
      <c r="Y43" s="79"/>
      <c r="Z43" s="159"/>
      <c r="AA43" s="159"/>
      <c r="AB43" s="159"/>
      <c r="AC43" s="159"/>
      <c r="AD43" s="159"/>
      <c r="AE43" s="159"/>
      <c r="AF43" s="159"/>
      <c r="AG43" s="159"/>
      <c r="AH43" s="159"/>
      <c r="AI43" s="79"/>
      <c r="AJ43" s="88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</row>
    <row r="44" spans="1:62" s="79" customFormat="1">
      <c r="B44" s="580" t="s">
        <v>224</v>
      </c>
      <c r="C44" s="529" t="s">
        <v>126</v>
      </c>
      <c r="D44" s="532">
        <v>0.15</v>
      </c>
      <c r="E44" s="650">
        <f t="shared" si="20"/>
        <v>0.15</v>
      </c>
      <c r="F44" s="554">
        <f t="shared" si="20"/>
        <v>0.15</v>
      </c>
      <c r="G44" s="554">
        <f t="shared" si="20"/>
        <v>0.15</v>
      </c>
      <c r="H44" s="554">
        <f t="shared" si="20"/>
        <v>0.15</v>
      </c>
      <c r="I44" s="554">
        <f t="shared" si="20"/>
        <v>0.15</v>
      </c>
      <c r="J44" s="554">
        <f t="shared" si="20"/>
        <v>0.15</v>
      </c>
      <c r="K44" s="554">
        <v>0.06</v>
      </c>
      <c r="L44" s="554">
        <v>0.06</v>
      </c>
      <c r="N44"/>
      <c r="O44"/>
      <c r="P44"/>
      <c r="R44" s="165"/>
    </row>
    <row r="45" spans="1:62">
      <c r="A45" s="79"/>
      <c r="B45" s="580" t="s">
        <v>225</v>
      </c>
      <c r="C45" s="529" t="s">
        <v>126</v>
      </c>
      <c r="D45" s="532">
        <v>0.2</v>
      </c>
      <c r="E45" s="650">
        <f t="shared" si="20"/>
        <v>0.2</v>
      </c>
      <c r="F45" s="554">
        <f t="shared" si="20"/>
        <v>0.2</v>
      </c>
      <c r="G45" s="554">
        <f t="shared" si="20"/>
        <v>0.2</v>
      </c>
      <c r="H45" s="554">
        <f t="shared" si="20"/>
        <v>0.2</v>
      </c>
      <c r="I45" s="554">
        <f t="shared" si="20"/>
        <v>0.2</v>
      </c>
      <c r="J45" s="554">
        <f t="shared" si="20"/>
        <v>0.2</v>
      </c>
      <c r="K45" s="554">
        <v>0.08</v>
      </c>
      <c r="L45" s="554">
        <v>0.08</v>
      </c>
      <c r="R45" s="164"/>
      <c r="Y45" s="135"/>
    </row>
    <row r="46" spans="1:62">
      <c r="A46" s="79"/>
      <c r="B46" s="580" t="s">
        <v>226</v>
      </c>
      <c r="C46" s="529" t="s">
        <v>126</v>
      </c>
      <c r="D46" s="532">
        <v>0.2</v>
      </c>
      <c r="E46" s="650">
        <f t="shared" si="20"/>
        <v>0.2</v>
      </c>
      <c r="F46" s="554">
        <f t="shared" si="20"/>
        <v>0.2</v>
      </c>
      <c r="G46" s="554">
        <f t="shared" si="20"/>
        <v>0.2</v>
      </c>
      <c r="H46" s="554">
        <f t="shared" si="20"/>
        <v>0.2</v>
      </c>
      <c r="I46" s="554">
        <f t="shared" si="20"/>
        <v>0.2</v>
      </c>
      <c r="J46" s="554">
        <f t="shared" si="20"/>
        <v>0.2</v>
      </c>
      <c r="K46" s="554">
        <v>0.7</v>
      </c>
      <c r="L46" s="554">
        <v>0.7</v>
      </c>
      <c r="R46" s="139"/>
      <c r="S46" s="137"/>
      <c r="Y46" s="135"/>
    </row>
    <row r="47" spans="1:62">
      <c r="A47" s="79"/>
      <c r="B47" s="651" t="s">
        <v>227</v>
      </c>
      <c r="C47" s="529" t="s">
        <v>126</v>
      </c>
      <c r="D47" s="532">
        <v>0.06</v>
      </c>
      <c r="E47" s="650">
        <f>$D47</f>
        <v>0.06</v>
      </c>
      <c r="F47" s="554">
        <f t="shared" si="20"/>
        <v>0.06</v>
      </c>
      <c r="G47" s="554">
        <f t="shared" si="20"/>
        <v>0.06</v>
      </c>
      <c r="H47" s="554">
        <f t="shared" si="20"/>
        <v>0.06</v>
      </c>
      <c r="I47" s="554">
        <f t="shared" si="20"/>
        <v>0.06</v>
      </c>
      <c r="J47" s="554">
        <f t="shared" si="20"/>
        <v>0.06</v>
      </c>
      <c r="K47" s="554">
        <v>0.02</v>
      </c>
      <c r="L47" s="554">
        <v>0.02</v>
      </c>
      <c r="R47" s="139"/>
      <c r="Y47" s="135"/>
    </row>
    <row r="48" spans="1:62">
      <c r="A48" s="79"/>
      <c r="B48" s="669" t="s">
        <v>228</v>
      </c>
      <c r="C48" s="529" t="s">
        <v>126</v>
      </c>
      <c r="D48" s="532"/>
      <c r="E48" s="650"/>
      <c r="F48" s="554">
        <v>0.05</v>
      </c>
      <c r="G48" s="554">
        <v>0.05</v>
      </c>
      <c r="H48" s="554">
        <v>0.05</v>
      </c>
      <c r="I48" s="554">
        <v>0.05</v>
      </c>
      <c r="J48" s="554">
        <v>0.05</v>
      </c>
      <c r="K48" s="554">
        <v>0.05</v>
      </c>
      <c r="L48" s="554">
        <v>0.05</v>
      </c>
      <c r="R48" s="139"/>
      <c r="Y48" s="135"/>
    </row>
    <row r="49" spans="1:18">
      <c r="B49" s="585" t="s">
        <v>229</v>
      </c>
      <c r="C49" s="529" t="s">
        <v>126</v>
      </c>
      <c r="D49" s="529"/>
      <c r="E49" s="589">
        <v>0.75</v>
      </c>
      <c r="F49" s="589">
        <v>0.125</v>
      </c>
      <c r="G49" s="589">
        <v>0.1</v>
      </c>
      <c r="H49" s="589">
        <v>0.02</v>
      </c>
      <c r="I49" s="589">
        <v>0.1</v>
      </c>
      <c r="J49" s="589">
        <v>0.5</v>
      </c>
      <c r="K49" s="589">
        <v>1</v>
      </c>
      <c r="L49" s="589">
        <v>1</v>
      </c>
      <c r="R49" s="139"/>
    </row>
    <row r="50" spans="1:18">
      <c r="A50" s="79"/>
      <c r="B50" s="548" t="s">
        <v>230</v>
      </c>
      <c r="C50" s="529" t="s">
        <v>231</v>
      </c>
      <c r="D50" s="529"/>
      <c r="E50" s="536">
        <v>4750</v>
      </c>
      <c r="F50" s="539">
        <f>43560/83</f>
        <v>524.81927710843377</v>
      </c>
      <c r="G50" s="536">
        <v>500</v>
      </c>
      <c r="H50" s="536">
        <v>435600</v>
      </c>
      <c r="I50" s="536">
        <v>21780</v>
      </c>
      <c r="J50" s="536">
        <v>1000</v>
      </c>
      <c r="K50" s="536">
        <v>43560</v>
      </c>
      <c r="L50" s="536">
        <f>K50</f>
        <v>43560</v>
      </c>
      <c r="M50" s="79"/>
      <c r="Q50" s="79"/>
      <c r="R50" s="138"/>
    </row>
    <row r="51" spans="1:18">
      <c r="A51" s="79"/>
      <c r="B51" s="548" t="s">
        <v>230</v>
      </c>
      <c r="C51" s="529" t="s">
        <v>232</v>
      </c>
      <c r="D51" s="529"/>
      <c r="E51" s="566">
        <f t="shared" ref="E51:L51" si="21">E50/$T$28</f>
        <v>0.10904499540863177</v>
      </c>
      <c r="F51" s="566">
        <f t="shared" si="21"/>
        <v>1.2048192771084338E-2</v>
      </c>
      <c r="G51" s="566">
        <f t="shared" si="21"/>
        <v>1.1478420569329659E-2</v>
      </c>
      <c r="H51" s="566">
        <f t="shared" si="21"/>
        <v>10</v>
      </c>
      <c r="I51" s="566">
        <f t="shared" si="21"/>
        <v>0.5</v>
      </c>
      <c r="J51" s="566">
        <f t="shared" si="21"/>
        <v>2.2956841138659319E-2</v>
      </c>
      <c r="K51" s="566">
        <f t="shared" si="21"/>
        <v>1</v>
      </c>
      <c r="L51" s="566">
        <f t="shared" si="21"/>
        <v>1</v>
      </c>
      <c r="M51" s="79"/>
      <c r="Q51" s="79"/>
      <c r="R51" s="138"/>
    </row>
    <row r="52" spans="1:18">
      <c r="A52" s="79"/>
      <c r="B52" s="586" t="s">
        <v>233</v>
      </c>
      <c r="C52" s="529" t="s">
        <v>126</v>
      </c>
      <c r="D52" s="529"/>
      <c r="E52" s="587">
        <v>0</v>
      </c>
      <c r="F52" s="587">
        <v>0.75</v>
      </c>
      <c r="G52" s="587"/>
      <c r="H52" s="587">
        <v>0.7</v>
      </c>
      <c r="I52" s="587"/>
      <c r="J52" s="587"/>
      <c r="K52" s="587"/>
      <c r="L52" s="587"/>
      <c r="M52" s="79"/>
      <c r="Q52" s="79"/>
      <c r="R52" s="138"/>
    </row>
    <row r="53" spans="1:18">
      <c r="A53" s="79"/>
      <c r="B53" s="586" t="s">
        <v>234</v>
      </c>
      <c r="C53" s="529" t="s">
        <v>126</v>
      </c>
      <c r="D53" s="529"/>
      <c r="E53" s="588">
        <f>1-E52</f>
        <v>1</v>
      </c>
      <c r="F53" s="588">
        <f>1-F52</f>
        <v>0.25</v>
      </c>
      <c r="G53" s="588">
        <f t="shared" ref="G53:L53" si="22">1-G52</f>
        <v>1</v>
      </c>
      <c r="H53" s="588">
        <f t="shared" si="22"/>
        <v>0.30000000000000004</v>
      </c>
      <c r="I53" s="588">
        <f t="shared" si="22"/>
        <v>1</v>
      </c>
      <c r="J53" s="588">
        <f t="shared" si="22"/>
        <v>1</v>
      </c>
      <c r="K53" s="588">
        <f t="shared" si="22"/>
        <v>1</v>
      </c>
      <c r="L53" s="588">
        <f t="shared" si="22"/>
        <v>1</v>
      </c>
      <c r="M53" s="79"/>
      <c r="Q53" s="79"/>
      <c r="R53" s="138"/>
    </row>
    <row r="54" spans="1:18">
      <c r="A54" s="79"/>
      <c r="B54" s="548" t="s">
        <v>235</v>
      </c>
      <c r="C54" s="529" t="s">
        <v>236</v>
      </c>
      <c r="D54" s="529"/>
      <c r="E54" s="566">
        <f>E50/T28*E63</f>
        <v>42.231782331408738</v>
      </c>
      <c r="F54" s="566">
        <f>F50/T28*F77</f>
        <v>1.2048192771084338</v>
      </c>
      <c r="G54" s="566">
        <f>G50/$T$28*G77</f>
        <v>1.1478420569329659</v>
      </c>
      <c r="H54" s="566">
        <f>H50/T28*H77</f>
        <v>1000</v>
      </c>
      <c r="I54" s="566">
        <f>I50/T28*I77</f>
        <v>50</v>
      </c>
      <c r="J54" s="566">
        <f>J50/T28*J63</f>
        <v>2.2956841138659319</v>
      </c>
      <c r="K54" s="566">
        <f>K50/T28*K60</f>
        <v>6</v>
      </c>
      <c r="L54" s="566">
        <f>L50/T28*L60</f>
        <v>9</v>
      </c>
      <c r="M54" s="79"/>
      <c r="Q54" s="79"/>
      <c r="R54" s="140"/>
    </row>
    <row r="55" spans="1:18">
      <c r="A55" s="79"/>
      <c r="B55" s="582" t="s">
        <v>237</v>
      </c>
      <c r="C55" s="583" t="s">
        <v>238</v>
      </c>
      <c r="D55" s="583"/>
      <c r="E55" s="584">
        <v>0</v>
      </c>
      <c r="F55" s="584">
        <v>0</v>
      </c>
      <c r="G55" s="584">
        <v>0</v>
      </c>
      <c r="H55" s="584">
        <v>0</v>
      </c>
      <c r="I55" s="584">
        <v>0</v>
      </c>
      <c r="J55" s="584">
        <v>0</v>
      </c>
      <c r="K55" s="584">
        <v>0</v>
      </c>
      <c r="L55" s="584">
        <v>0</v>
      </c>
      <c r="M55" s="79"/>
      <c r="Q55" s="79"/>
      <c r="R55" s="140"/>
    </row>
    <row r="56" spans="1:18">
      <c r="A56" s="79"/>
      <c r="B56" s="582" t="s">
        <v>239</v>
      </c>
      <c r="C56" s="583" t="s">
        <v>238</v>
      </c>
      <c r="D56" s="583"/>
      <c r="E56" s="584">
        <v>0</v>
      </c>
      <c r="F56" s="584">
        <v>0</v>
      </c>
      <c r="G56" s="584">
        <v>0</v>
      </c>
      <c r="H56" s="584">
        <v>0</v>
      </c>
      <c r="I56" s="584">
        <v>0</v>
      </c>
      <c r="J56" s="584">
        <v>0</v>
      </c>
      <c r="K56" s="584">
        <v>0</v>
      </c>
      <c r="L56" s="584">
        <v>0</v>
      </c>
      <c r="M56" s="79"/>
      <c r="Q56" s="79"/>
      <c r="R56" s="140"/>
    </row>
    <row r="57" spans="1:18">
      <c r="A57" s="79"/>
      <c r="M57" s="79"/>
      <c r="Q57" s="79"/>
      <c r="R57" s="139"/>
    </row>
    <row r="58" spans="1:18" ht="15" customHeight="1">
      <c r="A58" s="79"/>
      <c r="B58" s="803" t="s">
        <v>240</v>
      </c>
      <c r="C58" s="803"/>
      <c r="D58" s="803"/>
      <c r="E58" s="803"/>
      <c r="F58" s="803"/>
      <c r="G58" s="803"/>
      <c r="H58" s="803"/>
      <c r="I58" s="803"/>
      <c r="J58" s="803"/>
      <c r="K58" s="803"/>
      <c r="L58" s="803"/>
      <c r="M58" s="79"/>
      <c r="Q58" s="79"/>
      <c r="R58" s="139"/>
    </row>
    <row r="59" spans="1:18" ht="15" customHeight="1">
      <c r="A59" s="79"/>
      <c r="B59" s="528" t="s">
        <v>118</v>
      </c>
      <c r="C59" s="528" t="s">
        <v>119</v>
      </c>
      <c r="D59" s="528" t="s">
        <v>120</v>
      </c>
      <c r="E59" s="558" t="s">
        <v>121</v>
      </c>
      <c r="F59" s="590" t="s">
        <v>7</v>
      </c>
      <c r="G59" s="557" t="s">
        <v>4</v>
      </c>
      <c r="H59" s="557" t="s">
        <v>6</v>
      </c>
      <c r="I59" s="557" t="s">
        <v>9</v>
      </c>
      <c r="J59" s="559" t="s">
        <v>122</v>
      </c>
      <c r="K59" s="559" t="s">
        <v>13</v>
      </c>
      <c r="L59" s="559" t="s">
        <v>11</v>
      </c>
      <c r="M59" s="79"/>
      <c r="Q59" s="79"/>
      <c r="R59" s="139"/>
    </row>
    <row r="60" spans="1:18" ht="15" customHeight="1">
      <c r="A60" s="79"/>
      <c r="B60" s="549" t="s">
        <v>241</v>
      </c>
      <c r="C60" s="529" t="s">
        <v>242</v>
      </c>
      <c r="D60" s="529"/>
      <c r="E60" s="652">
        <f>(I77*I78)*I94-L63</f>
        <v>85.413698630136992</v>
      </c>
      <c r="F60" s="602">
        <f>ROUNDUP(F77/F62,1)</f>
        <v>66.699999999999989</v>
      </c>
      <c r="G60" s="546"/>
      <c r="H60" s="546"/>
      <c r="I60" s="546"/>
      <c r="J60" s="536">
        <v>2</v>
      </c>
      <c r="K60" s="539">
        <v>6</v>
      </c>
      <c r="L60" s="608">
        <f>ROUNDUP((L115/L119+L116/L119)*1000000/L109,0)</f>
        <v>9</v>
      </c>
      <c r="M60" s="79"/>
      <c r="Q60" s="79"/>
      <c r="R60" s="139"/>
    </row>
    <row r="61" spans="1:18" ht="15" customHeight="1">
      <c r="A61" s="79"/>
      <c r="B61" s="549" t="s">
        <v>243</v>
      </c>
      <c r="C61" s="529" t="s">
        <v>126</v>
      </c>
      <c r="D61" s="529"/>
      <c r="E61" s="652">
        <v>1</v>
      </c>
      <c r="F61" s="535">
        <v>0.95</v>
      </c>
      <c r="G61" s="546"/>
      <c r="H61" s="546"/>
      <c r="I61" s="546"/>
      <c r="J61" s="535">
        <v>0.57999999999999996</v>
      </c>
      <c r="K61" s="610" t="s">
        <v>173</v>
      </c>
      <c r="L61" s="610" t="s">
        <v>173</v>
      </c>
      <c r="M61" s="79"/>
      <c r="Q61" s="79"/>
      <c r="R61" s="139"/>
    </row>
    <row r="62" spans="1:18" ht="15" customHeight="1">
      <c r="A62" s="79"/>
      <c r="B62" s="549" t="s">
        <v>244</v>
      </c>
      <c r="C62" s="529" t="s">
        <v>245</v>
      </c>
      <c r="D62" s="529"/>
      <c r="E62" s="647">
        <v>1</v>
      </c>
      <c r="F62" s="601">
        <v>1.5</v>
      </c>
      <c r="G62" s="546"/>
      <c r="H62" s="546"/>
      <c r="I62" s="546"/>
      <c r="J62" s="540">
        <v>50</v>
      </c>
      <c r="K62" s="536">
        <v>0.218</v>
      </c>
      <c r="L62" s="536">
        <v>0.4</v>
      </c>
      <c r="M62" s="79"/>
      <c r="Q62" s="79"/>
      <c r="R62" s="139"/>
    </row>
    <row r="63" spans="1:18" ht="15" customHeight="1">
      <c r="A63" s="79"/>
      <c r="B63" s="549" t="s">
        <v>246</v>
      </c>
      <c r="C63" s="529" t="s">
        <v>245</v>
      </c>
      <c r="D63" s="529"/>
      <c r="E63" s="539">
        <f>'Assumptions &amp; Inputs'!I77*(1-'Assumptions &amp; Inputs'!I95)*I94-'Assumptions &amp; Inputs'!L63+H77+G77+F77</f>
        <v>387.28767123287673</v>
      </c>
      <c r="F63" s="599">
        <f>F77</f>
        <v>100</v>
      </c>
      <c r="G63" s="546"/>
      <c r="H63" s="546"/>
      <c r="I63" s="546"/>
      <c r="J63" s="613">
        <f>J62*J60</f>
        <v>100</v>
      </c>
      <c r="K63" s="606">
        <f>K60*K62</f>
        <v>1.3080000000000001</v>
      </c>
      <c r="L63" s="607">
        <f>L62*L60</f>
        <v>3.6</v>
      </c>
      <c r="M63" s="79"/>
      <c r="Q63" s="79"/>
      <c r="R63" s="139"/>
    </row>
    <row r="64" spans="1:18" ht="15" customHeight="1">
      <c r="A64" s="79"/>
      <c r="B64" s="549" t="s">
        <v>247</v>
      </c>
      <c r="C64" s="529" t="s">
        <v>133</v>
      </c>
      <c r="D64" s="529"/>
      <c r="E64" s="652">
        <v>30</v>
      </c>
      <c r="F64" s="598">
        <f>F38/F60</f>
        <v>1.7241379310344831</v>
      </c>
      <c r="G64" s="592"/>
      <c r="H64" s="592"/>
      <c r="I64" s="592"/>
      <c r="J64" s="567">
        <v>2.2650000000000001</v>
      </c>
      <c r="K64" s="605">
        <v>18.75</v>
      </c>
      <c r="L64" s="605">
        <v>20</v>
      </c>
      <c r="M64" s="79"/>
      <c r="Q64" s="79"/>
      <c r="R64" s="139"/>
    </row>
    <row r="65" spans="1:18" ht="15" customHeight="1">
      <c r="A65" s="79"/>
      <c r="B65" s="549" t="s">
        <v>248</v>
      </c>
      <c r="C65" s="529" t="s">
        <v>133</v>
      </c>
      <c r="D65" s="529"/>
      <c r="E65" s="652">
        <v>27</v>
      </c>
      <c r="F65" s="546" t="s">
        <v>173</v>
      </c>
      <c r="G65" s="592"/>
      <c r="H65" s="593"/>
      <c r="I65" s="592"/>
      <c r="J65" s="567">
        <v>7.5</v>
      </c>
      <c r="K65" s="804" t="s">
        <v>249</v>
      </c>
      <c r="L65" s="804"/>
      <c r="M65" s="79"/>
      <c r="Q65" s="79"/>
      <c r="R65" s="139"/>
    </row>
    <row r="66" spans="1:18" ht="15" customHeight="1">
      <c r="A66" s="79"/>
      <c r="B66" s="549" t="s">
        <v>250</v>
      </c>
      <c r="C66" s="529" t="s">
        <v>187</v>
      </c>
      <c r="D66" s="529"/>
      <c r="E66" s="647">
        <v>0.01</v>
      </c>
      <c r="F66" s="615">
        <f>F80/F79</f>
        <v>1.1304347826086956E-3</v>
      </c>
      <c r="G66" s="546"/>
      <c r="H66" s="546"/>
      <c r="I66" s="546"/>
      <c r="J66" s="541">
        <v>1.4999999999999999E-2</v>
      </c>
      <c r="K66" s="614">
        <v>3.2000000000000001E-2</v>
      </c>
      <c r="L66" s="614">
        <v>0.03</v>
      </c>
      <c r="M66" s="79"/>
      <c r="Q66" s="79"/>
      <c r="R66" s="139"/>
    </row>
    <row r="67" spans="1:18" ht="15" customHeight="1">
      <c r="A67" s="79"/>
      <c r="B67" s="549" t="s">
        <v>251</v>
      </c>
      <c r="C67" s="529" t="s">
        <v>252</v>
      </c>
      <c r="D67" s="529"/>
      <c r="E67" s="653">
        <v>0</v>
      </c>
      <c r="F67" s="592">
        <f>F81</f>
        <v>0</v>
      </c>
      <c r="G67" s="547"/>
      <c r="H67" s="547"/>
      <c r="I67" s="546"/>
      <c r="J67" s="544">
        <f>0.005/1000000</f>
        <v>5.0000000000000001E-9</v>
      </c>
      <c r="K67" s="544">
        <v>5.4</v>
      </c>
      <c r="L67" s="544">
        <v>5.4</v>
      </c>
      <c r="M67" s="79"/>
      <c r="Q67" s="79"/>
      <c r="R67" s="139"/>
    </row>
    <row r="68" spans="1:18" ht="15" customHeight="1">
      <c r="A68" s="79"/>
      <c r="B68" s="549" t="s">
        <v>253</v>
      </c>
      <c r="C68" s="529" t="s">
        <v>187</v>
      </c>
      <c r="D68" s="529"/>
      <c r="E68" s="644" t="s">
        <v>173</v>
      </c>
      <c r="F68" s="546" t="s">
        <v>173</v>
      </c>
      <c r="G68" s="546"/>
      <c r="H68" s="546"/>
      <c r="I68" s="546"/>
      <c r="M68" s="79"/>
      <c r="Q68" s="79"/>
      <c r="R68" s="139"/>
    </row>
    <row r="69" spans="1:18" ht="15" customHeight="1">
      <c r="A69" s="79"/>
      <c r="B69" s="549" t="s">
        <v>254</v>
      </c>
      <c r="C69" s="529" t="s">
        <v>176</v>
      </c>
      <c r="D69" s="529"/>
      <c r="E69" s="654">
        <f>I84</f>
        <v>60</v>
      </c>
      <c r="F69" s="546" t="s">
        <v>173</v>
      </c>
      <c r="G69" s="546"/>
      <c r="H69" s="546"/>
      <c r="I69" s="546"/>
      <c r="J69" s="609">
        <f>G84</f>
        <v>60</v>
      </c>
      <c r="K69" s="609">
        <f>H84</f>
        <v>60</v>
      </c>
      <c r="L69" s="609">
        <f>F84</f>
        <v>60</v>
      </c>
      <c r="M69" s="79"/>
      <c r="Q69" s="79"/>
      <c r="R69" s="139"/>
    </row>
    <row r="70" spans="1:18" ht="15" customHeight="1">
      <c r="A70" s="79"/>
      <c r="B70" s="549" t="s">
        <v>255</v>
      </c>
      <c r="C70" s="529" t="s">
        <v>176</v>
      </c>
      <c r="D70" s="529"/>
      <c r="E70" s="652">
        <v>75</v>
      </c>
      <c r="F70" s="546" t="s">
        <v>173</v>
      </c>
      <c r="G70" s="546"/>
      <c r="H70" s="546"/>
      <c r="I70" s="546"/>
      <c r="J70" s="567">
        <v>75</v>
      </c>
      <c r="K70" s="567">
        <v>75</v>
      </c>
      <c r="L70" s="567">
        <v>75</v>
      </c>
      <c r="M70" s="79"/>
      <c r="Q70" s="79"/>
      <c r="R70" s="139"/>
    </row>
    <row r="71" spans="1:18" ht="15" customHeight="1">
      <c r="A71" s="79"/>
      <c r="B71" s="549" t="s">
        <v>256</v>
      </c>
      <c r="C71" s="529" t="s">
        <v>126</v>
      </c>
      <c r="D71" s="597">
        <v>0.55000000000000004</v>
      </c>
      <c r="E71" s="644" t="s">
        <v>173</v>
      </c>
      <c r="F71" s="546" t="s">
        <v>173</v>
      </c>
      <c r="G71" s="546"/>
      <c r="H71" s="546"/>
      <c r="I71" s="546"/>
      <c r="J71" s="571">
        <f>D71</f>
        <v>0.55000000000000004</v>
      </c>
      <c r="K71" s="532">
        <v>0.84</v>
      </c>
      <c r="L71" s="532">
        <v>0.84</v>
      </c>
      <c r="M71" s="79"/>
      <c r="Q71" s="79"/>
      <c r="R71" s="139"/>
    </row>
    <row r="72" spans="1:18" ht="15" customHeight="1">
      <c r="A72" s="79"/>
      <c r="B72" s="549" t="s">
        <v>257</v>
      </c>
      <c r="C72" s="529" t="s">
        <v>258</v>
      </c>
      <c r="D72" s="529"/>
      <c r="E72" s="644">
        <v>365</v>
      </c>
      <c r="F72" s="599">
        <f>F92</f>
        <v>350</v>
      </c>
      <c r="G72" s="546"/>
      <c r="H72" s="546"/>
      <c r="I72" s="546"/>
      <c r="J72" s="540">
        <v>365</v>
      </c>
      <c r="K72" s="536">
        <v>365</v>
      </c>
      <c r="L72" s="536">
        <v>365</v>
      </c>
      <c r="M72" s="79"/>
      <c r="Q72" s="79"/>
      <c r="R72" s="139"/>
    </row>
    <row r="73" spans="1:18" ht="15" customHeight="1">
      <c r="A73" s="79"/>
      <c r="B73" s="549" t="s">
        <v>259</v>
      </c>
      <c r="C73" s="529" t="s">
        <v>260</v>
      </c>
      <c r="D73" s="529"/>
      <c r="E73" s="644">
        <v>24</v>
      </c>
      <c r="F73" s="599">
        <f>F93</f>
        <v>24</v>
      </c>
      <c r="G73" s="546"/>
      <c r="H73" s="546"/>
      <c r="I73" s="546"/>
      <c r="J73" s="540">
        <v>24</v>
      </c>
      <c r="K73" s="536">
        <v>24</v>
      </c>
      <c r="L73" s="536">
        <v>24</v>
      </c>
      <c r="M73" s="79"/>
      <c r="Q73" s="79"/>
      <c r="R73" s="139"/>
    </row>
    <row r="74" spans="1:18">
      <c r="A74" s="79"/>
      <c r="M74" s="79"/>
      <c r="Q74" s="79"/>
      <c r="R74" s="139"/>
    </row>
    <row r="75" spans="1:18" ht="23">
      <c r="A75" s="79"/>
      <c r="B75" s="802" t="s">
        <v>261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79"/>
      <c r="Q75" s="79"/>
      <c r="R75" s="139"/>
    </row>
    <row r="76" spans="1:18" ht="15" customHeight="1">
      <c r="A76" s="79"/>
      <c r="B76" s="528" t="s">
        <v>118</v>
      </c>
      <c r="C76" s="528" t="s">
        <v>119</v>
      </c>
      <c r="D76" s="528" t="s">
        <v>120</v>
      </c>
      <c r="E76" s="558" t="s">
        <v>121</v>
      </c>
      <c r="F76" s="590" t="s">
        <v>7</v>
      </c>
      <c r="G76" s="557" t="s">
        <v>4</v>
      </c>
      <c r="H76" s="557" t="s">
        <v>6</v>
      </c>
      <c r="I76" s="557" t="s">
        <v>9</v>
      </c>
      <c r="J76" s="559" t="s">
        <v>122</v>
      </c>
      <c r="K76" s="559" t="s">
        <v>13</v>
      </c>
      <c r="L76" s="559" t="s">
        <v>11</v>
      </c>
      <c r="M76" s="79"/>
      <c r="Q76" s="79"/>
      <c r="R76" s="139"/>
    </row>
    <row r="77" spans="1:18" ht="15" customHeight="1">
      <c r="A77" s="79"/>
      <c r="B77" s="549" t="s">
        <v>262</v>
      </c>
      <c r="C77" s="529" t="s">
        <v>245</v>
      </c>
      <c r="D77" s="529"/>
      <c r="E77" s="546"/>
      <c r="F77" s="536">
        <v>100</v>
      </c>
      <c r="G77" s="536">
        <v>100</v>
      </c>
      <c r="H77" s="540">
        <v>100</v>
      </c>
      <c r="I77" s="539">
        <v>100</v>
      </c>
      <c r="J77" s="546">
        <f>J60</f>
        <v>2</v>
      </c>
      <c r="K77" s="546">
        <f t="shared" ref="K77:L77" si="23">K60</f>
        <v>6</v>
      </c>
      <c r="L77" s="546">
        <f t="shared" si="23"/>
        <v>9</v>
      </c>
      <c r="M77" s="79"/>
      <c r="Q77" s="79"/>
      <c r="R77" s="139"/>
    </row>
    <row r="78" spans="1:18" ht="15" customHeight="1">
      <c r="A78" s="79"/>
      <c r="B78" s="549" t="s">
        <v>263</v>
      </c>
      <c r="C78" s="529" t="s">
        <v>126</v>
      </c>
      <c r="D78" s="529"/>
      <c r="E78" s="546"/>
      <c r="F78" s="546" t="s">
        <v>173</v>
      </c>
      <c r="G78" s="535">
        <v>0.88</v>
      </c>
      <c r="H78" s="546" t="s">
        <v>173</v>
      </c>
      <c r="I78" s="535">
        <v>0.95</v>
      </c>
      <c r="J78" s="546"/>
      <c r="K78" s="546"/>
      <c r="L78" s="546"/>
      <c r="M78" s="79"/>
      <c r="Q78" s="79"/>
      <c r="R78" s="139"/>
    </row>
    <row r="79" spans="1:18">
      <c r="A79" s="79"/>
      <c r="B79" s="549" t="s">
        <v>264</v>
      </c>
      <c r="C79" s="529" t="s">
        <v>163</v>
      </c>
      <c r="D79" s="529"/>
      <c r="E79" s="546"/>
      <c r="F79" s="578">
        <v>1150000</v>
      </c>
      <c r="G79" s="578">
        <v>1100000</v>
      </c>
      <c r="H79" s="578">
        <v>1200000</v>
      </c>
      <c r="I79" s="578">
        <v>3600000</v>
      </c>
      <c r="J79" s="546"/>
      <c r="K79" s="546"/>
      <c r="L79" s="546"/>
      <c r="M79" s="79"/>
      <c r="Q79" s="79"/>
      <c r="R79" s="139"/>
    </row>
    <row r="80" spans="1:18">
      <c r="A80" s="79"/>
      <c r="B80" s="549" t="s">
        <v>250</v>
      </c>
      <c r="C80" s="529" t="s">
        <v>265</v>
      </c>
      <c r="D80" s="529"/>
      <c r="E80" s="546"/>
      <c r="F80" s="567">
        <v>1300</v>
      </c>
      <c r="G80" s="567">
        <v>17500</v>
      </c>
      <c r="H80" s="567">
        <v>12500</v>
      </c>
      <c r="I80" s="567">
        <v>60000</v>
      </c>
      <c r="J80" s="546"/>
      <c r="K80" s="546"/>
      <c r="L80" s="546"/>
      <c r="M80" s="79"/>
      <c r="Q80" s="79"/>
      <c r="R80" s="139"/>
    </row>
    <row r="81" spans="1:19">
      <c r="A81" s="79"/>
      <c r="B81" s="549" t="s">
        <v>251</v>
      </c>
      <c r="C81" s="529" t="s">
        <v>176</v>
      </c>
      <c r="D81" s="529"/>
      <c r="E81" s="546"/>
      <c r="F81" s="567">
        <v>0</v>
      </c>
      <c r="G81" s="567">
        <v>3.5</v>
      </c>
      <c r="H81" s="567">
        <v>0</v>
      </c>
      <c r="I81" s="567">
        <v>7</v>
      </c>
      <c r="J81" s="546"/>
      <c r="K81" s="546"/>
      <c r="L81" s="546"/>
      <c r="M81" s="79"/>
      <c r="Q81" s="79"/>
    </row>
    <row r="82" spans="1:19">
      <c r="A82" s="79"/>
      <c r="B82" s="549" t="s">
        <v>266</v>
      </c>
      <c r="C82" s="529" t="s">
        <v>203</v>
      </c>
      <c r="D82" s="529"/>
      <c r="E82" s="546"/>
      <c r="F82" s="546" t="s">
        <v>173</v>
      </c>
      <c r="G82" s="536">
        <v>6750</v>
      </c>
      <c r="H82" s="546" t="s">
        <v>173</v>
      </c>
      <c r="I82" s="573">
        <f>T30/T5</f>
        <v>10346.742424242424</v>
      </c>
      <c r="J82" s="546"/>
      <c r="K82" s="546"/>
      <c r="L82" s="546"/>
      <c r="M82" s="79"/>
      <c r="Q82" s="79"/>
    </row>
    <row r="83" spans="1:19">
      <c r="A83" s="79"/>
      <c r="B83" s="549" t="s">
        <v>267</v>
      </c>
      <c r="C83" s="529" t="s">
        <v>268</v>
      </c>
      <c r="D83" s="529"/>
      <c r="E83" s="546"/>
      <c r="F83" s="546" t="s">
        <v>173</v>
      </c>
      <c r="G83" s="567">
        <v>3.45</v>
      </c>
      <c r="H83" s="546" t="s">
        <v>173</v>
      </c>
      <c r="I83" s="577">
        <f>L138/(2000*T4/1000000)</f>
        <v>0.3480871543401734</v>
      </c>
      <c r="J83" s="546"/>
      <c r="K83" s="546"/>
      <c r="L83" s="546"/>
      <c r="M83" s="79"/>
      <c r="Q83" s="79"/>
    </row>
    <row r="84" spans="1:19">
      <c r="A84" s="79"/>
      <c r="B84" s="549" t="s">
        <v>269</v>
      </c>
      <c r="C84" s="529" t="s">
        <v>176</v>
      </c>
      <c r="D84" s="591">
        <v>60</v>
      </c>
      <c r="E84" s="546"/>
      <c r="F84" s="594">
        <f>$D$84</f>
        <v>60</v>
      </c>
      <c r="G84" s="594">
        <f>$D$84</f>
        <v>60</v>
      </c>
      <c r="H84" s="594">
        <f>$D$84</f>
        <v>60</v>
      </c>
      <c r="I84" s="594">
        <f>$D$84</f>
        <v>60</v>
      </c>
      <c r="J84" s="546"/>
      <c r="K84" s="546"/>
      <c r="L84" s="546"/>
      <c r="M84" s="79"/>
      <c r="Q84" s="79"/>
    </row>
    <row r="85" spans="1:19">
      <c r="A85" s="79"/>
      <c r="B85" s="549" t="s">
        <v>270</v>
      </c>
      <c r="C85" s="529" t="s">
        <v>151</v>
      </c>
      <c r="D85" s="579">
        <v>15</v>
      </c>
      <c r="E85" s="546"/>
      <c r="F85" s="543">
        <f>$D$85</f>
        <v>15</v>
      </c>
      <c r="G85" s="543">
        <f>$D$85</f>
        <v>15</v>
      </c>
      <c r="H85" s="543">
        <f>$D$85</f>
        <v>15</v>
      </c>
      <c r="I85" s="543">
        <f>$D$85</f>
        <v>15</v>
      </c>
      <c r="J85" s="546"/>
      <c r="K85" s="546"/>
      <c r="L85" s="546"/>
      <c r="M85" s="79"/>
      <c r="Q85" s="79"/>
    </row>
    <row r="86" spans="1:19">
      <c r="A86" s="79"/>
      <c r="B86" s="549" t="s">
        <v>271</v>
      </c>
      <c r="C86" s="529" t="s">
        <v>126</v>
      </c>
      <c r="D86" s="529"/>
      <c r="E86" s="546"/>
      <c r="F86" s="541">
        <v>5.0000000000000001E-3</v>
      </c>
      <c r="G86" s="541">
        <v>2.5000000000000001E-3</v>
      </c>
      <c r="H86" s="541">
        <v>5.0000000000000001E-3</v>
      </c>
      <c r="I86" s="541">
        <v>2.5000000000000001E-3</v>
      </c>
      <c r="J86" s="546"/>
      <c r="K86" s="546"/>
      <c r="L86" s="546"/>
      <c r="M86" s="79"/>
      <c r="Q86" s="79"/>
    </row>
    <row r="87" spans="1:19">
      <c r="A87" s="79"/>
      <c r="B87" s="549" t="s">
        <v>272</v>
      </c>
      <c r="C87" s="529" t="s">
        <v>273</v>
      </c>
      <c r="D87" s="529"/>
      <c r="E87" s="546"/>
      <c r="F87" s="536">
        <v>4</v>
      </c>
      <c r="G87" s="546" t="s">
        <v>173</v>
      </c>
      <c r="H87" s="546" t="s">
        <v>173</v>
      </c>
      <c r="I87" s="546" t="s">
        <v>173</v>
      </c>
      <c r="J87" s="546"/>
      <c r="K87" s="546"/>
      <c r="L87" s="546"/>
      <c r="M87" s="79"/>
      <c r="Q87" s="79"/>
    </row>
    <row r="88" spans="1:19">
      <c r="A88" s="79"/>
      <c r="B88" s="549" t="s">
        <v>274</v>
      </c>
      <c r="C88" s="529" t="s">
        <v>275</v>
      </c>
      <c r="D88" s="529"/>
      <c r="E88" s="546"/>
      <c r="F88" s="600">
        <f>F87*F77</f>
        <v>400</v>
      </c>
      <c r="G88" s="546" t="s">
        <v>173</v>
      </c>
      <c r="H88" s="546" t="s">
        <v>173</v>
      </c>
      <c r="I88" s="546" t="s">
        <v>173</v>
      </c>
      <c r="J88" s="546"/>
      <c r="K88" s="546"/>
      <c r="L88" s="546"/>
      <c r="M88" s="79"/>
    </row>
    <row r="89" spans="1:19">
      <c r="A89" s="79"/>
      <c r="B89" s="549" t="s">
        <v>276</v>
      </c>
      <c r="C89" s="529" t="s">
        <v>126</v>
      </c>
      <c r="D89" s="529"/>
      <c r="E89" s="546"/>
      <c r="F89" s="535">
        <v>0.95</v>
      </c>
      <c r="G89" s="546" t="s">
        <v>173</v>
      </c>
      <c r="H89" s="546" t="s">
        <v>173</v>
      </c>
      <c r="I89" s="546" t="s">
        <v>173</v>
      </c>
      <c r="J89" s="546"/>
      <c r="K89" s="546"/>
      <c r="L89" s="546"/>
      <c r="M89" s="79"/>
      <c r="R89" s="76"/>
      <c r="S89" s="76"/>
    </row>
    <row r="90" spans="1:19">
      <c r="A90" s="79"/>
      <c r="B90" s="549" t="s">
        <v>277</v>
      </c>
      <c r="C90" s="529" t="s">
        <v>126</v>
      </c>
      <c r="D90" s="529"/>
      <c r="E90" s="546"/>
      <c r="F90" s="535">
        <v>0.8</v>
      </c>
      <c r="G90" s="546" t="s">
        <v>173</v>
      </c>
      <c r="H90" s="546" t="s">
        <v>173</v>
      </c>
      <c r="I90" s="546" t="s">
        <v>173</v>
      </c>
      <c r="J90" s="546"/>
      <c r="K90" s="546"/>
      <c r="L90" s="546"/>
      <c r="M90" s="79"/>
      <c r="S90" s="146"/>
    </row>
    <row r="91" spans="1:19">
      <c r="A91" s="79"/>
      <c r="B91" s="549" t="s">
        <v>278</v>
      </c>
      <c r="C91" s="529" t="s">
        <v>279</v>
      </c>
      <c r="D91" s="529"/>
      <c r="E91" s="546"/>
      <c r="F91" s="536">
        <v>1</v>
      </c>
      <c r="G91" s="546" t="s">
        <v>173</v>
      </c>
      <c r="H91" s="546" t="s">
        <v>173</v>
      </c>
      <c r="I91" s="546" t="s">
        <v>173</v>
      </c>
      <c r="J91" s="546"/>
      <c r="K91" s="546"/>
      <c r="L91" s="546"/>
      <c r="M91" s="79"/>
      <c r="S91" s="146"/>
    </row>
    <row r="92" spans="1:19">
      <c r="A92" s="79"/>
      <c r="B92" s="549" t="s">
        <v>257</v>
      </c>
      <c r="C92" s="529" t="s">
        <v>258</v>
      </c>
      <c r="D92" s="529"/>
      <c r="E92" s="546"/>
      <c r="F92" s="542">
        <v>350</v>
      </c>
      <c r="G92" s="536">
        <v>362</v>
      </c>
      <c r="H92" s="536">
        <v>365</v>
      </c>
      <c r="I92" s="536">
        <v>360</v>
      </c>
      <c r="J92" s="546"/>
      <c r="K92" s="546"/>
      <c r="L92" s="546"/>
      <c r="M92" s="79"/>
      <c r="S92" s="146"/>
    </row>
    <row r="93" spans="1:19">
      <c r="A93" s="79"/>
      <c r="B93" s="549" t="s">
        <v>259</v>
      </c>
      <c r="C93" s="529" t="s">
        <v>280</v>
      </c>
      <c r="D93" s="529"/>
      <c r="E93" s="546"/>
      <c r="F93" s="542">
        <v>24</v>
      </c>
      <c r="G93" s="536">
        <v>24</v>
      </c>
      <c r="H93" s="546" t="s">
        <v>173</v>
      </c>
      <c r="I93" s="536">
        <v>24</v>
      </c>
      <c r="J93" s="546"/>
      <c r="K93" s="546"/>
      <c r="L93" s="546"/>
      <c r="M93" s="79"/>
      <c r="S93" s="146"/>
    </row>
    <row r="94" spans="1:19">
      <c r="A94" s="79"/>
      <c r="B94" s="549" t="s">
        <v>281</v>
      </c>
      <c r="C94" s="529" t="s">
        <v>126</v>
      </c>
      <c r="D94" s="529"/>
      <c r="E94" s="546"/>
      <c r="F94" s="546" t="s">
        <v>173</v>
      </c>
      <c r="G94" s="595">
        <f>IFERROR((G92*G93*G78*G77)/(G77*8760),"")</f>
        <v>0.87276712328767125</v>
      </c>
      <c r="H94" s="597">
        <v>0.2</v>
      </c>
      <c r="I94" s="596">
        <f>IFERROR((I92*I93*I78*I77)/(I77*8760),"")</f>
        <v>0.93698630136986305</v>
      </c>
      <c r="J94" s="546"/>
      <c r="K94" s="546"/>
      <c r="L94" s="546"/>
      <c r="M94" s="79"/>
      <c r="S94" s="146"/>
    </row>
    <row r="95" spans="1:19">
      <c r="A95" s="79"/>
      <c r="B95" s="549" t="s">
        <v>282</v>
      </c>
      <c r="C95" s="529" t="s">
        <v>126</v>
      </c>
      <c r="D95" s="529"/>
      <c r="E95" s="546"/>
      <c r="F95" s="541">
        <v>0</v>
      </c>
      <c r="G95" s="541">
        <v>2.5000000000000001E-2</v>
      </c>
      <c r="H95" s="541">
        <v>0</v>
      </c>
      <c r="I95" s="541">
        <v>0.03</v>
      </c>
      <c r="J95" s="546"/>
      <c r="K95" s="546"/>
      <c r="L95" s="546"/>
      <c r="M95" s="79"/>
    </row>
    <row r="96" spans="1:19">
      <c r="A96" s="79"/>
      <c r="M96" s="79"/>
    </row>
    <row r="97" spans="1:40" ht="23">
      <c r="A97" s="79"/>
      <c r="B97" s="803" t="s">
        <v>283</v>
      </c>
      <c r="C97" s="803"/>
      <c r="D97" s="803"/>
      <c r="E97" s="803"/>
      <c r="F97" s="803"/>
      <c r="G97" s="803"/>
      <c r="H97" s="803"/>
      <c r="I97" s="803"/>
      <c r="J97" s="803"/>
      <c r="K97" s="803"/>
      <c r="L97" s="803"/>
      <c r="M97" s="79"/>
    </row>
    <row r="98" spans="1:40">
      <c r="A98" s="79"/>
      <c r="B98" s="528" t="s">
        <v>118</v>
      </c>
      <c r="C98" s="528" t="s">
        <v>119</v>
      </c>
      <c r="D98" s="528" t="s">
        <v>120</v>
      </c>
      <c r="E98" s="558" t="s">
        <v>121</v>
      </c>
      <c r="F98" s="590" t="s">
        <v>7</v>
      </c>
      <c r="G98" s="557" t="s">
        <v>4</v>
      </c>
      <c r="H98" s="557" t="s">
        <v>6</v>
      </c>
      <c r="I98" s="557" t="s">
        <v>9</v>
      </c>
      <c r="J98" s="559" t="s">
        <v>122</v>
      </c>
      <c r="K98" s="559" t="s">
        <v>13</v>
      </c>
      <c r="L98" s="559" t="s">
        <v>11</v>
      </c>
      <c r="M98" s="79"/>
    </row>
    <row r="99" spans="1:40">
      <c r="A99" s="79"/>
      <c r="B99" s="549" t="s">
        <v>284</v>
      </c>
      <c r="C99" s="529" t="s">
        <v>245</v>
      </c>
      <c r="D99" s="529"/>
      <c r="E99" s="546"/>
      <c r="F99" s="546"/>
      <c r="G99" s="546"/>
      <c r="H99" s="546"/>
      <c r="I99" s="546"/>
      <c r="J99" s="546">
        <f>J63</f>
        <v>100</v>
      </c>
      <c r="K99" s="610"/>
      <c r="L99" s="610"/>
      <c r="M99" s="79"/>
    </row>
    <row r="100" spans="1:40">
      <c r="A100" s="79"/>
      <c r="B100" s="549" t="s">
        <v>285</v>
      </c>
      <c r="C100" s="529" t="s">
        <v>286</v>
      </c>
      <c r="D100" s="529"/>
      <c r="E100" s="546"/>
      <c r="F100" s="546"/>
      <c r="G100" s="546"/>
      <c r="H100" s="546"/>
      <c r="I100" s="546"/>
      <c r="J100" s="611">
        <v>33.33</v>
      </c>
      <c r="K100" s="610"/>
      <c r="L100" s="610"/>
      <c r="M100" s="79"/>
    </row>
    <row r="101" spans="1:40">
      <c r="A101" s="79"/>
      <c r="B101" s="549" t="s">
        <v>287</v>
      </c>
      <c r="C101" s="529" t="s">
        <v>286</v>
      </c>
      <c r="D101" s="529"/>
      <c r="E101" s="546"/>
      <c r="F101" s="546"/>
      <c r="G101" s="546"/>
      <c r="H101" s="546"/>
      <c r="I101" s="546"/>
      <c r="J101" s="545">
        <v>29.7</v>
      </c>
      <c r="K101" s="610"/>
      <c r="L101" s="610"/>
      <c r="M101" s="79"/>
      <c r="Q101" s="79"/>
    </row>
    <row r="102" spans="1:40">
      <c r="A102" s="79"/>
      <c r="B102" s="549" t="s">
        <v>288</v>
      </c>
      <c r="C102" s="529" t="s">
        <v>289</v>
      </c>
      <c r="D102" s="529"/>
      <c r="E102" s="546"/>
      <c r="F102" s="546"/>
      <c r="G102" s="546"/>
      <c r="H102" s="546"/>
      <c r="I102" s="546"/>
      <c r="J102" s="540">
        <v>4.4000000000000004</v>
      </c>
      <c r="K102" s="610"/>
      <c r="L102" s="610"/>
      <c r="M102" s="79"/>
      <c r="Q102" s="79"/>
    </row>
    <row r="103" spans="1:40">
      <c r="A103" s="79"/>
      <c r="B103" s="549" t="s">
        <v>290</v>
      </c>
      <c r="C103" s="529" t="s">
        <v>289</v>
      </c>
      <c r="D103" s="529"/>
      <c r="E103" s="546"/>
      <c r="F103" s="546"/>
      <c r="G103" s="546"/>
      <c r="H103" s="546"/>
      <c r="I103" s="546"/>
      <c r="J103" s="566">
        <f>J101/J61+J102</f>
        <v>55.606896551724141</v>
      </c>
      <c r="K103" s="610"/>
      <c r="L103" s="610"/>
      <c r="M103" s="79"/>
      <c r="Q103" s="79"/>
    </row>
    <row r="104" spans="1:40">
      <c r="A104" s="79"/>
      <c r="B104" s="549" t="s">
        <v>291</v>
      </c>
      <c r="C104" s="529" t="s">
        <v>292</v>
      </c>
      <c r="D104" s="529"/>
      <c r="E104" s="546"/>
      <c r="F104" s="546"/>
      <c r="G104" s="546"/>
      <c r="H104" s="546"/>
      <c r="I104" s="546"/>
      <c r="J104" s="578">
        <v>7.5</v>
      </c>
      <c r="K104" s="610"/>
      <c r="L104" s="610"/>
      <c r="M104" s="79"/>
      <c r="Q104" s="79"/>
    </row>
    <row r="105" spans="1:40">
      <c r="A105" s="79"/>
      <c r="M105" s="79"/>
      <c r="Q105" s="79"/>
    </row>
    <row r="106" spans="1:40" ht="23">
      <c r="A106" s="79"/>
      <c r="B106" s="802" t="s">
        <v>293</v>
      </c>
      <c r="C106" s="802"/>
      <c r="D106" s="802"/>
      <c r="E106" s="802"/>
      <c r="F106" s="802"/>
      <c r="G106" s="802"/>
      <c r="H106" s="802"/>
      <c r="I106" s="802"/>
      <c r="J106" s="802"/>
      <c r="K106" s="802"/>
      <c r="L106" s="802"/>
      <c r="M106" s="79"/>
      <c r="Q106" s="79"/>
    </row>
    <row r="107" spans="1:40">
      <c r="A107" s="79"/>
      <c r="B107" s="618" t="s">
        <v>118</v>
      </c>
      <c r="C107" s="618" t="s">
        <v>119</v>
      </c>
      <c r="D107" s="618" t="s">
        <v>120</v>
      </c>
      <c r="E107" s="619" t="s">
        <v>121</v>
      </c>
      <c r="F107" s="620" t="s">
        <v>7</v>
      </c>
      <c r="G107" s="621" t="s">
        <v>4</v>
      </c>
      <c r="H107" s="621" t="s">
        <v>6</v>
      </c>
      <c r="I107" s="621" t="s">
        <v>9</v>
      </c>
      <c r="J107" s="622" t="s">
        <v>122</v>
      </c>
      <c r="K107" s="622" t="s">
        <v>13</v>
      </c>
      <c r="L107" s="622" t="s">
        <v>11</v>
      </c>
      <c r="M107" s="79"/>
      <c r="Q107" s="79"/>
    </row>
    <row r="108" spans="1:40">
      <c r="A108" s="159"/>
      <c r="B108" s="549" t="s">
        <v>294</v>
      </c>
      <c r="C108" s="529" t="s">
        <v>126</v>
      </c>
      <c r="D108" s="529"/>
      <c r="E108" s="546"/>
      <c r="F108" s="546"/>
      <c r="G108" s="546"/>
      <c r="H108" s="546"/>
      <c r="I108" s="546"/>
      <c r="J108" s="546"/>
      <c r="K108" s="612">
        <f>K71</f>
        <v>0.84</v>
      </c>
      <c r="L108" s="612">
        <f>L71</f>
        <v>0.84</v>
      </c>
      <c r="M108" s="79"/>
      <c r="Q108" s="79"/>
      <c r="AL108" s="87"/>
      <c r="AM108" s="87"/>
    </row>
    <row r="109" spans="1:40">
      <c r="A109" s="79"/>
      <c r="B109" s="549" t="s">
        <v>295</v>
      </c>
      <c r="C109" s="529" t="s">
        <v>296</v>
      </c>
      <c r="D109" s="529"/>
      <c r="E109" s="546"/>
      <c r="F109" s="546"/>
      <c r="G109" s="546"/>
      <c r="H109" s="546"/>
      <c r="I109" s="546"/>
      <c r="J109" s="546"/>
      <c r="K109" s="604">
        <f>8760*2*K71</f>
        <v>14716.8</v>
      </c>
      <c r="L109" s="604">
        <f>20*8760*L71</f>
        <v>147168</v>
      </c>
      <c r="M109" s="79"/>
      <c r="Q109" s="79"/>
      <c r="AA109" s="130"/>
      <c r="AB109" s="133"/>
      <c r="AC109" s="133"/>
      <c r="AD109" s="133"/>
      <c r="AE109" s="133"/>
      <c r="AF109" s="133"/>
      <c r="AG109" s="133"/>
      <c r="AH109" s="133"/>
      <c r="AI109" s="133"/>
      <c r="AJ109" s="131"/>
      <c r="AK109" s="131"/>
      <c r="AL109" s="134"/>
      <c r="AM109" s="134"/>
      <c r="AN109" s="135"/>
    </row>
    <row r="110" spans="1:40">
      <c r="A110" s="79"/>
      <c r="B110" s="549" t="s">
        <v>297</v>
      </c>
      <c r="C110" s="529" t="s">
        <v>298</v>
      </c>
      <c r="D110" s="529"/>
      <c r="E110" s="546"/>
      <c r="F110" s="546"/>
      <c r="G110" s="546"/>
      <c r="H110" s="546"/>
      <c r="I110" s="546"/>
      <c r="J110" s="610"/>
      <c r="K110" s="605">
        <v>200</v>
      </c>
      <c r="L110" s="605">
        <v>20</v>
      </c>
      <c r="M110" s="79"/>
      <c r="Q110" s="79"/>
    </row>
    <row r="111" spans="1:40">
      <c r="A111" s="79"/>
      <c r="M111" s="79"/>
      <c r="Q111" s="79"/>
    </row>
    <row r="112" spans="1:40" ht="23">
      <c r="A112" s="79"/>
      <c r="B112" s="802" t="s">
        <v>299</v>
      </c>
      <c r="C112" s="802"/>
      <c r="D112" s="802"/>
      <c r="E112" s="802"/>
      <c r="F112" s="802"/>
      <c r="G112" s="802"/>
      <c r="H112" s="802"/>
      <c r="I112" s="802"/>
      <c r="J112" s="802"/>
      <c r="K112" s="802"/>
      <c r="L112" s="802"/>
      <c r="M112" s="79"/>
      <c r="Q112" s="79"/>
    </row>
    <row r="113" spans="1:17">
      <c r="A113" s="79"/>
      <c r="B113" s="618" t="s">
        <v>118</v>
      </c>
      <c r="C113" s="618" t="s">
        <v>119</v>
      </c>
      <c r="D113" s="618" t="s">
        <v>120</v>
      </c>
      <c r="E113" s="619" t="s">
        <v>121</v>
      </c>
      <c r="F113" s="620" t="s">
        <v>7</v>
      </c>
      <c r="G113" s="621" t="s">
        <v>4</v>
      </c>
      <c r="H113" s="621" t="s">
        <v>6</v>
      </c>
      <c r="I113" s="621" t="s">
        <v>9</v>
      </c>
      <c r="J113" s="622" t="s">
        <v>122</v>
      </c>
      <c r="K113" s="622" t="s">
        <v>13</v>
      </c>
      <c r="L113" s="622" t="s">
        <v>11</v>
      </c>
      <c r="M113" s="79"/>
      <c r="Q113" s="79"/>
    </row>
    <row r="114" spans="1:17">
      <c r="B114" s="618" t="s">
        <v>300</v>
      </c>
      <c r="C114" s="529" t="s">
        <v>301</v>
      </c>
      <c r="D114" s="529"/>
      <c r="E114" s="636"/>
      <c r="F114" s="636"/>
      <c r="G114" s="636"/>
      <c r="H114" s="636"/>
      <c r="I114" s="636"/>
      <c r="J114" s="636"/>
      <c r="K114" s="636"/>
      <c r="L114" s="637">
        <f>L119+L121+L126+L128+L124</f>
        <v>0.99600000000000011</v>
      </c>
      <c r="N114" s="79"/>
      <c r="O114" s="79"/>
      <c r="P114" s="79"/>
    </row>
    <row r="115" spans="1:17">
      <c r="B115" s="563" t="s">
        <v>302</v>
      </c>
      <c r="C115" s="529" t="s">
        <v>303</v>
      </c>
      <c r="D115" s="529"/>
      <c r="E115" s="546"/>
      <c r="F115" s="546"/>
      <c r="G115" s="546"/>
      <c r="H115" s="546"/>
      <c r="I115" s="546"/>
      <c r="J115" s="546"/>
      <c r="K115" s="546"/>
      <c r="L115" s="616">
        <f>I77*8760/T9/1000000</f>
        <v>0.32138665213943568</v>
      </c>
    </row>
    <row r="116" spans="1:17">
      <c r="B116" s="563" t="s">
        <v>304</v>
      </c>
      <c r="C116" s="529" t="s">
        <v>303</v>
      </c>
      <c r="D116" s="529"/>
      <c r="E116" s="546"/>
      <c r="F116" s="546"/>
      <c r="G116" s="546"/>
      <c r="H116" s="546"/>
      <c r="I116" s="546"/>
      <c r="J116" s="546"/>
      <c r="K116" s="546"/>
      <c r="L116" s="624">
        <v>0</v>
      </c>
    </row>
    <row r="117" spans="1:17">
      <c r="B117" s="563" t="s">
        <v>305</v>
      </c>
      <c r="C117" s="529" t="s">
        <v>303</v>
      </c>
      <c r="D117" s="529"/>
      <c r="E117" s="546"/>
      <c r="F117" s="546"/>
      <c r="G117" s="546"/>
      <c r="H117" s="546"/>
      <c r="I117" s="546"/>
      <c r="J117" s="610"/>
      <c r="K117" s="610"/>
      <c r="L117" s="623">
        <f>(L115+L116)/L119</f>
        <v>1.3064498054448606</v>
      </c>
    </row>
    <row r="118" spans="1:17">
      <c r="B118" s="618" t="s">
        <v>306</v>
      </c>
      <c r="C118" s="627"/>
      <c r="D118" s="627"/>
      <c r="E118" s="634"/>
      <c r="F118" s="634"/>
      <c r="G118" s="634"/>
      <c r="H118" s="634"/>
      <c r="I118" s="634"/>
      <c r="J118" s="634"/>
      <c r="K118" s="634"/>
      <c r="L118" s="635"/>
    </row>
    <row r="119" spans="1:17">
      <c r="B119" s="630" t="s">
        <v>307</v>
      </c>
      <c r="C119" s="529" t="s">
        <v>126</v>
      </c>
      <c r="D119" s="529"/>
      <c r="E119" s="546"/>
      <c r="F119" s="546"/>
      <c r="G119" s="546"/>
      <c r="H119" s="546"/>
      <c r="I119" s="546"/>
      <c r="J119" s="546"/>
      <c r="K119" s="546"/>
      <c r="L119" s="625">
        <v>0.246</v>
      </c>
    </row>
    <row r="120" spans="1:17">
      <c r="B120" s="630" t="s">
        <v>308</v>
      </c>
      <c r="C120" s="529" t="s">
        <v>309</v>
      </c>
      <c r="D120" s="529"/>
      <c r="E120" s="546"/>
      <c r="F120" s="546"/>
      <c r="G120" s="546"/>
      <c r="H120" s="546"/>
      <c r="I120" s="546"/>
      <c r="J120" s="546"/>
      <c r="K120" s="546"/>
      <c r="L120" s="616">
        <f>L114*L119</f>
        <v>0.24501600000000001</v>
      </c>
    </row>
    <row r="121" spans="1:17">
      <c r="B121" s="630" t="s">
        <v>310</v>
      </c>
      <c r="C121" s="529" t="s">
        <v>126</v>
      </c>
      <c r="D121" s="529"/>
      <c r="E121" s="546"/>
      <c r="F121" s="546"/>
      <c r="G121" s="546"/>
      <c r="H121" s="546"/>
      <c r="I121" s="546"/>
      <c r="J121" s="546"/>
      <c r="K121" s="546"/>
      <c r="L121" s="625">
        <v>0.28999999999999998</v>
      </c>
    </row>
    <row r="122" spans="1:17">
      <c r="B122" s="630" t="s">
        <v>311</v>
      </c>
      <c r="C122" s="529" t="s">
        <v>312</v>
      </c>
      <c r="D122" s="529"/>
      <c r="E122" s="546"/>
      <c r="F122" s="546"/>
      <c r="G122" s="546"/>
      <c r="H122" s="546"/>
      <c r="I122" s="546"/>
      <c r="J122" s="546"/>
      <c r="K122" s="546"/>
      <c r="L122" s="547">
        <f>2200*L121/7.1</f>
        <v>89.859154929577471</v>
      </c>
    </row>
    <row r="123" spans="1:17">
      <c r="B123" s="630" t="s">
        <v>311</v>
      </c>
      <c r="C123" s="529" t="s">
        <v>313</v>
      </c>
      <c r="D123" s="529"/>
      <c r="E123" s="546"/>
      <c r="F123" s="546"/>
      <c r="G123" s="546"/>
      <c r="H123" s="546"/>
      <c r="I123" s="546"/>
      <c r="J123" s="546"/>
      <c r="K123" s="546"/>
      <c r="L123" s="616">
        <f>L122/42</f>
        <v>2.1395036887994636</v>
      </c>
    </row>
    <row r="124" spans="1:17">
      <c r="B124" s="630" t="s">
        <v>314</v>
      </c>
      <c r="C124" s="529" t="s">
        <v>126</v>
      </c>
      <c r="D124" s="529"/>
      <c r="E124" s="546"/>
      <c r="F124" s="546"/>
      <c r="G124" s="546"/>
      <c r="H124" s="546"/>
      <c r="I124" s="546"/>
      <c r="J124" s="546"/>
      <c r="K124" s="546"/>
      <c r="L124" s="625">
        <v>0.1</v>
      </c>
    </row>
    <row r="125" spans="1:17">
      <c r="B125" s="630" t="s">
        <v>315</v>
      </c>
      <c r="C125" s="529" t="s">
        <v>309</v>
      </c>
      <c r="D125" s="529"/>
      <c r="E125" s="546"/>
      <c r="F125" s="546"/>
      <c r="G125" s="546"/>
      <c r="H125" s="546"/>
      <c r="I125" s="546"/>
      <c r="J125" s="546"/>
      <c r="K125" s="546"/>
      <c r="L125" s="616">
        <f>L124*L114</f>
        <v>9.9600000000000022E-2</v>
      </c>
    </row>
    <row r="126" spans="1:17">
      <c r="B126" s="630" t="s">
        <v>316</v>
      </c>
      <c r="C126" s="529" t="s">
        <v>126</v>
      </c>
      <c r="D126" s="529"/>
      <c r="E126" s="546"/>
      <c r="F126" s="546"/>
      <c r="G126" s="546"/>
      <c r="H126" s="546"/>
      <c r="I126" s="546"/>
      <c r="J126" s="546"/>
      <c r="K126" s="546"/>
      <c r="L126" s="625">
        <v>0.28999999999999998</v>
      </c>
    </row>
    <row r="127" spans="1:17">
      <c r="B127" s="630" t="s">
        <v>317</v>
      </c>
      <c r="C127" s="529" t="s">
        <v>312</v>
      </c>
      <c r="D127" s="529"/>
      <c r="E127" s="546"/>
      <c r="F127" s="546"/>
      <c r="G127" s="546"/>
      <c r="H127" s="546"/>
      <c r="I127" s="546"/>
      <c r="J127" s="546"/>
      <c r="K127" s="546"/>
      <c r="L127" s="546">
        <f>L126*240</f>
        <v>69.599999999999994</v>
      </c>
    </row>
    <row r="128" spans="1:17">
      <c r="B128" s="630" t="s">
        <v>318</v>
      </c>
      <c r="C128" s="529" t="s">
        <v>126</v>
      </c>
      <c r="D128" s="529"/>
      <c r="E128" s="546"/>
      <c r="F128" s="546"/>
      <c r="G128" s="546"/>
      <c r="H128" s="546"/>
      <c r="I128" s="546"/>
      <c r="J128" s="546"/>
      <c r="K128" s="546"/>
      <c r="L128" s="625">
        <v>7.0000000000000007E-2</v>
      </c>
    </row>
    <row r="129" spans="2:12">
      <c r="B129" s="630" t="s">
        <v>319</v>
      </c>
      <c r="C129" s="529" t="s">
        <v>320</v>
      </c>
      <c r="D129" s="529"/>
      <c r="E129" s="546"/>
      <c r="F129" s="546"/>
      <c r="G129" s="546"/>
      <c r="H129" s="546"/>
      <c r="I129" s="546"/>
      <c r="J129" s="546"/>
      <c r="K129" s="546"/>
      <c r="L129" s="628">
        <v>4.3799999999999999E-2</v>
      </c>
    </row>
    <row r="130" spans="2:12">
      <c r="B130" s="630" t="s">
        <v>321</v>
      </c>
      <c r="C130" s="529" t="s">
        <v>322</v>
      </c>
      <c r="D130" s="529"/>
      <c r="E130" s="546"/>
      <c r="F130" s="546"/>
      <c r="G130" s="546"/>
      <c r="H130" s="546"/>
      <c r="I130" s="546"/>
      <c r="J130" s="546"/>
      <c r="K130" s="546"/>
      <c r="L130" s="629">
        <f>L128/L129*2000</f>
        <v>3196.3470319634707</v>
      </c>
    </row>
    <row r="131" spans="2:12">
      <c r="B131" s="630" t="s">
        <v>323</v>
      </c>
      <c r="C131" s="529" t="s">
        <v>324</v>
      </c>
      <c r="D131" s="529"/>
      <c r="E131" s="546"/>
      <c r="F131" s="546"/>
      <c r="G131" s="546"/>
      <c r="H131" s="546"/>
      <c r="I131" s="546"/>
      <c r="J131" s="546"/>
      <c r="K131" s="546"/>
      <c r="L131" s="629">
        <f>L130/T33</f>
        <v>3.0793324007355207</v>
      </c>
    </row>
    <row r="132" spans="2:12">
      <c r="B132" s="630" t="s">
        <v>325</v>
      </c>
      <c r="C132" s="529" t="s">
        <v>309</v>
      </c>
      <c r="D132" s="529"/>
      <c r="E132" s="546"/>
      <c r="F132" s="546"/>
      <c r="G132" s="546"/>
      <c r="H132" s="546"/>
      <c r="I132" s="546"/>
      <c r="J132" s="546"/>
      <c r="K132" s="546"/>
      <c r="L132" s="616">
        <f>L114*L128</f>
        <v>6.9720000000000018E-2</v>
      </c>
    </row>
    <row r="133" spans="2:12">
      <c r="B133" s="630" t="s">
        <v>326</v>
      </c>
      <c r="C133" s="529" t="s">
        <v>327</v>
      </c>
      <c r="D133" s="529"/>
      <c r="E133" s="546"/>
      <c r="F133" s="546"/>
      <c r="G133" s="546"/>
      <c r="H133" s="546"/>
      <c r="I133" s="546"/>
      <c r="J133" s="546"/>
      <c r="K133" s="546"/>
      <c r="L133" s="628">
        <v>4.0000000000000002E-4</v>
      </c>
    </row>
    <row r="134" spans="2:12">
      <c r="B134" s="618" t="s">
        <v>328</v>
      </c>
      <c r="C134" s="627"/>
      <c r="D134" s="627"/>
      <c r="E134" s="634"/>
      <c r="F134" s="634"/>
      <c r="G134" s="634"/>
      <c r="H134" s="634"/>
      <c r="I134" s="634"/>
      <c r="J134" s="634"/>
      <c r="K134" s="634"/>
      <c r="L134" s="634"/>
    </row>
    <row r="135" spans="2:12">
      <c r="B135" s="630" t="s">
        <v>329</v>
      </c>
      <c r="C135" s="529" t="s">
        <v>298</v>
      </c>
      <c r="D135" s="529"/>
      <c r="E135" s="546"/>
      <c r="F135" s="546"/>
      <c r="G135" s="546"/>
      <c r="H135" s="546"/>
      <c r="I135" s="546"/>
      <c r="J135" s="546"/>
      <c r="K135" s="546"/>
      <c r="L135" s="578">
        <v>3.75</v>
      </c>
    </row>
    <row r="136" spans="2:12">
      <c r="B136" s="630" t="s">
        <v>330</v>
      </c>
      <c r="C136" s="529" t="s">
        <v>331</v>
      </c>
      <c r="D136" s="529"/>
      <c r="E136" s="546"/>
      <c r="F136" s="546"/>
      <c r="G136" s="546"/>
      <c r="H136" s="546"/>
      <c r="I136" s="546"/>
      <c r="J136" s="546"/>
      <c r="K136" s="546"/>
      <c r="L136" s="587">
        <v>0.38200000000000001</v>
      </c>
    </row>
    <row r="137" spans="2:12">
      <c r="B137" s="630" t="s">
        <v>332</v>
      </c>
      <c r="C137" s="529" t="s">
        <v>331</v>
      </c>
      <c r="D137" s="529"/>
      <c r="E137" s="546"/>
      <c r="F137" s="546"/>
      <c r="G137" s="546"/>
      <c r="H137" s="546"/>
      <c r="I137" s="546"/>
      <c r="J137" s="546"/>
      <c r="K137" s="546"/>
      <c r="L137" s="587">
        <v>0.61799999999999999</v>
      </c>
    </row>
    <row r="138" spans="2:12">
      <c r="B138" s="630" t="s">
        <v>333</v>
      </c>
      <c r="C138" s="529" t="s">
        <v>298</v>
      </c>
      <c r="D138" s="529"/>
      <c r="E138" s="546"/>
      <c r="F138" s="546"/>
      <c r="G138" s="546"/>
      <c r="H138" s="546"/>
      <c r="I138" s="546"/>
      <c r="J138" s="546"/>
      <c r="K138" s="546"/>
      <c r="L138" s="605">
        <f>L135/L136</f>
        <v>9.8167539267015709</v>
      </c>
    </row>
    <row r="139" spans="2:12">
      <c r="B139" s="630" t="s">
        <v>334</v>
      </c>
      <c r="C139" s="529" t="s">
        <v>298</v>
      </c>
      <c r="D139" s="529"/>
      <c r="E139" s="546"/>
      <c r="F139" s="546"/>
      <c r="G139" s="546"/>
      <c r="H139" s="546"/>
      <c r="I139" s="546"/>
      <c r="J139" s="546"/>
      <c r="K139" s="546"/>
      <c r="L139" s="751">
        <f>L138</f>
        <v>9.8167539267015709</v>
      </c>
    </row>
    <row r="140" spans="2:12">
      <c r="B140" s="630" t="s">
        <v>335</v>
      </c>
      <c r="C140" s="529" t="s">
        <v>336</v>
      </c>
      <c r="D140" s="529"/>
      <c r="E140" s="546"/>
      <c r="F140" s="546"/>
      <c r="G140" s="546"/>
      <c r="H140" s="546"/>
      <c r="I140" s="546"/>
      <c r="J140" s="546"/>
      <c r="K140" s="546"/>
      <c r="L140" s="578">
        <v>2</v>
      </c>
    </row>
    <row r="141" spans="2:12">
      <c r="B141" s="630" t="s">
        <v>337</v>
      </c>
      <c r="C141" s="529" t="s">
        <v>336</v>
      </c>
      <c r="D141" s="529"/>
      <c r="E141" s="546"/>
      <c r="F141" s="546"/>
      <c r="G141" s="546"/>
      <c r="H141" s="546"/>
      <c r="I141" s="546"/>
      <c r="J141" s="546"/>
      <c r="K141" s="546"/>
      <c r="L141" s="578">
        <v>0</v>
      </c>
    </row>
    <row r="142" spans="2:12">
      <c r="B142" s="630" t="s">
        <v>325</v>
      </c>
      <c r="C142" s="529" t="s">
        <v>268</v>
      </c>
      <c r="D142" s="529"/>
      <c r="E142" s="546"/>
      <c r="F142" s="546"/>
      <c r="G142" s="546"/>
      <c r="H142" s="546"/>
      <c r="I142" s="546"/>
      <c r="J142" s="546"/>
      <c r="K142" s="546"/>
      <c r="L142" s="578">
        <v>3</v>
      </c>
    </row>
    <row r="143" spans="2:12" ht="16" thickBot="1">
      <c r="B143" s="630" t="s">
        <v>338</v>
      </c>
      <c r="C143" s="529" t="s">
        <v>298</v>
      </c>
      <c r="D143" s="529"/>
      <c r="E143" s="546"/>
      <c r="F143" s="546"/>
      <c r="G143" s="546"/>
      <c r="H143" s="546"/>
      <c r="I143" s="546"/>
      <c r="J143" s="546"/>
      <c r="K143" s="546"/>
      <c r="L143" s="578">
        <v>0.2</v>
      </c>
    </row>
    <row r="144" spans="2:12" ht="16" thickBot="1">
      <c r="B144" s="618" t="s">
        <v>339</v>
      </c>
      <c r="C144" s="529" t="s">
        <v>340</v>
      </c>
      <c r="D144" s="529"/>
      <c r="E144" s="636"/>
      <c r="F144" s="636"/>
      <c r="G144" s="636"/>
      <c r="H144" s="636"/>
      <c r="I144" s="636"/>
      <c r="J144" s="636"/>
      <c r="K144" s="636"/>
      <c r="L144" s="638">
        <f>SUM(L145:L150)</f>
        <v>192.28045884146621</v>
      </c>
    </row>
    <row r="145" spans="2:12">
      <c r="B145" s="630" t="s">
        <v>341</v>
      </c>
      <c r="C145" s="529" t="s">
        <v>340</v>
      </c>
      <c r="D145" s="529"/>
      <c r="E145" s="546"/>
      <c r="F145" s="546"/>
      <c r="G145" s="546"/>
      <c r="H145" s="546"/>
      <c r="I145" s="546"/>
      <c r="J145" s="546"/>
      <c r="K145" s="546"/>
      <c r="L145" s="592">
        <f>L120*L135</f>
        <v>0.91881000000000002</v>
      </c>
    </row>
    <row r="146" spans="2:12">
      <c r="B146" s="630" t="s">
        <v>334</v>
      </c>
      <c r="C146" s="529" t="s">
        <v>340</v>
      </c>
      <c r="D146" s="529"/>
      <c r="E146" s="546"/>
      <c r="F146" s="546"/>
      <c r="G146" s="546"/>
      <c r="H146" s="546"/>
      <c r="I146" s="546"/>
      <c r="J146" s="546"/>
      <c r="K146" s="546"/>
      <c r="L146" s="592">
        <f>L120*L139</f>
        <v>2.4052617801047123</v>
      </c>
    </row>
    <row r="147" spans="2:12">
      <c r="B147" s="630" t="s">
        <v>335</v>
      </c>
      <c r="C147" s="529" t="s">
        <v>340</v>
      </c>
      <c r="D147" s="529"/>
      <c r="E147" s="546"/>
      <c r="F147" s="546"/>
      <c r="G147" s="546"/>
      <c r="H147" s="546"/>
      <c r="I147" s="546"/>
      <c r="J147" s="546"/>
      <c r="K147" s="546"/>
      <c r="L147" s="592">
        <f>L122*L140</f>
        <v>179.71830985915494</v>
      </c>
    </row>
    <row r="148" spans="2:12">
      <c r="B148" s="630" t="s">
        <v>337</v>
      </c>
      <c r="C148" s="529" t="s">
        <v>340</v>
      </c>
      <c r="D148" s="529"/>
      <c r="E148" s="546"/>
      <c r="F148" s="546"/>
      <c r="G148" s="546"/>
      <c r="H148" s="546"/>
      <c r="I148" s="546"/>
      <c r="J148" s="546"/>
      <c r="K148" s="546"/>
      <c r="L148" s="592">
        <f>L127*L141</f>
        <v>0</v>
      </c>
    </row>
    <row r="149" spans="2:12">
      <c r="B149" s="630" t="s">
        <v>325</v>
      </c>
      <c r="C149" s="529" t="s">
        <v>340</v>
      </c>
      <c r="D149" s="529"/>
      <c r="E149" s="546"/>
      <c r="F149" s="546"/>
      <c r="G149" s="546"/>
      <c r="H149" s="546"/>
      <c r="I149" s="546"/>
      <c r="J149" s="546"/>
      <c r="K149" s="546"/>
      <c r="L149" s="592">
        <f>L131*L142</f>
        <v>9.2379972022065626</v>
      </c>
    </row>
    <row r="150" spans="2:12">
      <c r="B150" s="630" t="s">
        <v>338</v>
      </c>
      <c r="C150" s="627" t="s">
        <v>340</v>
      </c>
      <c r="D150" s="627"/>
      <c r="E150" s="610"/>
      <c r="F150" s="610"/>
      <c r="G150" s="610"/>
      <c r="H150" s="610"/>
      <c r="I150" s="610"/>
      <c r="J150" s="610"/>
      <c r="K150" s="610"/>
      <c r="L150" s="592">
        <f>L133*L143</f>
        <v>8.0000000000000007E-5</v>
      </c>
    </row>
    <row r="152" spans="2:12" ht="23">
      <c r="B152" s="802" t="s">
        <v>342</v>
      </c>
      <c r="C152" s="802"/>
      <c r="D152" s="802"/>
      <c r="E152" s="802"/>
      <c r="F152" s="802"/>
      <c r="G152" s="802"/>
      <c r="H152" s="802"/>
      <c r="I152" s="802"/>
      <c r="J152" s="802"/>
      <c r="K152" s="802"/>
      <c r="L152" s="802"/>
    </row>
    <row r="153" spans="2:12">
      <c r="B153" s="618" t="s">
        <v>118</v>
      </c>
      <c r="C153" s="618" t="s">
        <v>119</v>
      </c>
      <c r="D153" s="618" t="s">
        <v>120</v>
      </c>
      <c r="E153" s="619" t="s">
        <v>121</v>
      </c>
      <c r="F153" s="620" t="s">
        <v>7</v>
      </c>
      <c r="G153" s="621" t="s">
        <v>4</v>
      </c>
      <c r="H153" s="621" t="s">
        <v>6</v>
      </c>
      <c r="I153" s="621" t="s">
        <v>9</v>
      </c>
      <c r="J153" s="622" t="s">
        <v>122</v>
      </c>
      <c r="K153" s="622" t="s">
        <v>13</v>
      </c>
      <c r="L153" s="622" t="s">
        <v>11</v>
      </c>
    </row>
    <row r="154" spans="2:12">
      <c r="B154" s="618" t="s">
        <v>343</v>
      </c>
      <c r="C154" s="529" t="s">
        <v>301</v>
      </c>
      <c r="D154" s="529"/>
      <c r="E154" s="636"/>
      <c r="F154" s="636"/>
      <c r="G154" s="636"/>
      <c r="H154" s="636"/>
      <c r="I154" s="636"/>
      <c r="J154" s="636"/>
      <c r="K154" s="637">
        <f>K156+K158+K160</f>
        <v>1</v>
      </c>
      <c r="L154" s="636"/>
    </row>
    <row r="155" spans="2:12">
      <c r="B155" s="618" t="s">
        <v>306</v>
      </c>
      <c r="C155" s="529"/>
      <c r="D155" s="529"/>
      <c r="E155" s="636"/>
      <c r="F155" s="636"/>
      <c r="G155" s="636"/>
      <c r="H155" s="636"/>
      <c r="I155" s="636"/>
      <c r="J155" s="636"/>
      <c r="K155" s="637"/>
      <c r="L155" s="636"/>
    </row>
    <row r="156" spans="2:12">
      <c r="B156" s="630" t="s">
        <v>344</v>
      </c>
      <c r="C156" s="529" t="s">
        <v>126</v>
      </c>
      <c r="D156" s="529"/>
      <c r="E156" s="546"/>
      <c r="F156" s="546"/>
      <c r="G156" s="546"/>
      <c r="H156" s="546"/>
      <c r="I156" s="546"/>
      <c r="J156" s="546"/>
      <c r="K156" s="532">
        <v>0.45</v>
      </c>
      <c r="L156" s="546"/>
    </row>
    <row r="157" spans="2:12">
      <c r="B157" s="630" t="s">
        <v>345</v>
      </c>
      <c r="C157" s="529" t="s">
        <v>346</v>
      </c>
      <c r="D157" s="529"/>
      <c r="E157" s="546"/>
      <c r="F157" s="546"/>
      <c r="G157" s="546"/>
      <c r="H157" s="546"/>
      <c r="I157" s="546"/>
      <c r="J157" s="546"/>
      <c r="K157" s="546">
        <f>K154*K156*2000/7.5</f>
        <v>120</v>
      </c>
      <c r="L157" s="626"/>
    </row>
    <row r="158" spans="2:12">
      <c r="B158" s="630" t="s">
        <v>347</v>
      </c>
      <c r="C158" s="529" t="s">
        <v>126</v>
      </c>
      <c r="D158" s="529"/>
      <c r="E158" s="546"/>
      <c r="F158" s="546"/>
      <c r="G158" s="546"/>
      <c r="H158" s="546"/>
      <c r="I158" s="546"/>
      <c r="J158" s="546"/>
      <c r="K158" s="532">
        <v>0.45</v>
      </c>
      <c r="L158" s="546"/>
    </row>
    <row r="159" spans="2:12">
      <c r="B159" s="630" t="s">
        <v>348</v>
      </c>
      <c r="C159" s="529" t="s">
        <v>309</v>
      </c>
      <c r="D159" s="529"/>
      <c r="E159" s="546"/>
      <c r="F159" s="546"/>
      <c r="G159" s="546"/>
      <c r="H159" s="546"/>
      <c r="I159" s="546"/>
      <c r="J159" s="546"/>
      <c r="K159" s="546">
        <f>K154*K158</f>
        <v>0.45</v>
      </c>
      <c r="L159" s="626"/>
    </row>
    <row r="160" spans="2:12">
      <c r="B160" s="630" t="s">
        <v>318</v>
      </c>
      <c r="C160" s="529" t="s">
        <v>126</v>
      </c>
      <c r="D160" s="529"/>
      <c r="E160" s="546"/>
      <c r="F160" s="546"/>
      <c r="G160" s="546"/>
      <c r="H160" s="546"/>
      <c r="I160" s="546"/>
      <c r="J160" s="546"/>
      <c r="K160" s="532">
        <v>0.1</v>
      </c>
      <c r="L160" s="546"/>
    </row>
    <row r="161" spans="1:12">
      <c r="A161" s="79"/>
      <c r="B161" s="630" t="s">
        <v>319</v>
      </c>
      <c r="C161" s="529" t="s">
        <v>320</v>
      </c>
      <c r="D161" s="529"/>
      <c r="E161" s="546"/>
      <c r="F161" s="546"/>
      <c r="G161" s="546"/>
      <c r="H161" s="546"/>
      <c r="I161" s="546"/>
      <c r="J161" s="546"/>
      <c r="K161" s="628">
        <v>4.3799999999999999E-2</v>
      </c>
      <c r="L161" s="610"/>
    </row>
    <row r="162" spans="1:12">
      <c r="A162" s="79"/>
      <c r="B162" s="630" t="s">
        <v>321</v>
      </c>
      <c r="C162" s="529" t="s">
        <v>322</v>
      </c>
      <c r="D162" s="529"/>
      <c r="E162" s="546"/>
      <c r="F162" s="546"/>
      <c r="G162" s="546"/>
      <c r="H162" s="546"/>
      <c r="I162" s="546"/>
      <c r="J162" s="546"/>
      <c r="K162" s="616">
        <f>K160/K161*2000</f>
        <v>4566.210045662101</v>
      </c>
      <c r="L162" s="626"/>
    </row>
    <row r="163" spans="1:12">
      <c r="A163" s="79"/>
      <c r="B163" s="630" t="s">
        <v>323</v>
      </c>
      <c r="C163" s="529" t="s">
        <v>324</v>
      </c>
      <c r="D163" s="529"/>
      <c r="E163" s="546"/>
      <c r="F163" s="546"/>
      <c r="G163" s="546"/>
      <c r="H163" s="546"/>
      <c r="I163" s="546"/>
      <c r="J163" s="546"/>
      <c r="K163" s="616">
        <f>K162/T33</f>
        <v>4.3990462867650297</v>
      </c>
      <c r="L163" s="626"/>
    </row>
    <row r="164" spans="1:12">
      <c r="A164" s="79"/>
      <c r="B164" s="631" t="s">
        <v>326</v>
      </c>
      <c r="C164" s="627" t="s">
        <v>327</v>
      </c>
      <c r="D164" s="627"/>
      <c r="E164" s="610"/>
      <c r="F164" s="610"/>
      <c r="G164" s="610"/>
      <c r="H164" s="610"/>
      <c r="I164" s="610"/>
      <c r="J164" s="610"/>
      <c r="K164" s="628">
        <v>4.0000000000000002E-4</v>
      </c>
      <c r="L164" s="626"/>
    </row>
    <row r="165" spans="1:12">
      <c r="A165" s="79"/>
      <c r="B165" s="618" t="s">
        <v>328</v>
      </c>
      <c r="C165" s="529"/>
      <c r="D165" s="529"/>
      <c r="E165" s="636"/>
      <c r="F165" s="636"/>
      <c r="G165" s="636"/>
      <c r="H165" s="636"/>
      <c r="I165" s="636"/>
      <c r="J165" s="636"/>
      <c r="K165" s="634"/>
      <c r="L165" s="634"/>
    </row>
    <row r="166" spans="1:12">
      <c r="A166" s="79"/>
      <c r="B166" s="630" t="s">
        <v>349</v>
      </c>
      <c r="C166" s="529" t="s">
        <v>336</v>
      </c>
      <c r="D166" s="529"/>
      <c r="E166" s="546"/>
      <c r="F166" s="546"/>
      <c r="G166" s="546"/>
      <c r="H166" s="546"/>
      <c r="I166" s="546"/>
      <c r="J166" s="546"/>
      <c r="K166" s="605">
        <v>10</v>
      </c>
      <c r="L166" s="610"/>
    </row>
    <row r="167" spans="1:12">
      <c r="A167" s="79"/>
      <c r="B167" s="630" t="s">
        <v>350</v>
      </c>
      <c r="C167" s="529" t="s">
        <v>298</v>
      </c>
      <c r="D167" s="529"/>
      <c r="E167" s="546"/>
      <c r="F167" s="546"/>
      <c r="G167" s="546"/>
      <c r="H167" s="546"/>
      <c r="I167" s="546"/>
      <c r="J167" s="546"/>
      <c r="K167" s="605">
        <v>1000</v>
      </c>
      <c r="L167" s="610"/>
    </row>
    <row r="168" spans="1:12" ht="16" thickBot="1">
      <c r="B168" s="630" t="s">
        <v>325</v>
      </c>
      <c r="C168" s="529" t="s">
        <v>268</v>
      </c>
      <c r="D168" s="529"/>
      <c r="E168" s="546"/>
      <c r="F168" s="546"/>
      <c r="G168" s="546"/>
      <c r="H168" s="546"/>
      <c r="I168" s="546"/>
      <c r="J168" s="546"/>
      <c r="K168" s="632">
        <f>L142</f>
        <v>3</v>
      </c>
      <c r="L168" s="610"/>
    </row>
    <row r="169" spans="1:12" ht="16" thickBot="1">
      <c r="B169" s="618" t="s">
        <v>339</v>
      </c>
      <c r="C169" s="529" t="s">
        <v>340</v>
      </c>
      <c r="D169" s="529"/>
      <c r="E169" s="636"/>
      <c r="F169" s="636"/>
      <c r="G169" s="636"/>
      <c r="H169" s="636"/>
      <c r="I169" s="636"/>
      <c r="J169" s="636"/>
      <c r="K169" s="639">
        <f>SUM(K170:K172)</f>
        <v>1663.1971388602951</v>
      </c>
      <c r="L169" s="634"/>
    </row>
    <row r="170" spans="1:12">
      <c r="B170" s="630" t="s">
        <v>349</v>
      </c>
      <c r="C170" s="529" t="s">
        <v>340</v>
      </c>
      <c r="D170" s="529"/>
      <c r="E170" s="546"/>
      <c r="F170" s="546"/>
      <c r="G170" s="546"/>
      <c r="H170" s="546"/>
      <c r="I170" s="546"/>
      <c r="J170" s="546"/>
      <c r="K170" s="603">
        <f>K157*K166</f>
        <v>1200</v>
      </c>
      <c r="L170" s="610"/>
    </row>
    <row r="171" spans="1:12">
      <c r="B171" s="630" t="s">
        <v>350</v>
      </c>
      <c r="C171" s="529" t="s">
        <v>340</v>
      </c>
      <c r="D171" s="529"/>
      <c r="E171" s="546"/>
      <c r="F171" s="546"/>
      <c r="G171" s="546"/>
      <c r="H171" s="546"/>
      <c r="I171" s="546"/>
      <c r="J171" s="546"/>
      <c r="K171" s="603">
        <f>K159*K167</f>
        <v>450</v>
      </c>
      <c r="L171" s="610"/>
    </row>
    <row r="172" spans="1:12">
      <c r="B172" s="630" t="s">
        <v>325</v>
      </c>
      <c r="C172" s="529" t="s">
        <v>340</v>
      </c>
      <c r="D172" s="529"/>
      <c r="E172" s="546"/>
      <c r="F172" s="546"/>
      <c r="G172" s="546"/>
      <c r="H172" s="546"/>
      <c r="I172" s="546"/>
      <c r="J172" s="546"/>
      <c r="K172" s="603">
        <f>K163*K168</f>
        <v>13.197138860295089</v>
      </c>
      <c r="L172" s="610"/>
    </row>
    <row r="195" spans="1:1">
      <c r="A195" s="79"/>
    </row>
    <row r="196" spans="1:1">
      <c r="A196" s="79"/>
    </row>
    <row r="197" spans="1:1">
      <c r="A197" s="79"/>
    </row>
    <row r="198" spans="1:1">
      <c r="A198" s="79"/>
    </row>
  </sheetData>
  <mergeCells count="13">
    <mergeCell ref="V2:X2"/>
    <mergeCell ref="R25:T25"/>
    <mergeCell ref="B25:L25"/>
    <mergeCell ref="B106:L106"/>
    <mergeCell ref="B58:L58"/>
    <mergeCell ref="B97:L97"/>
    <mergeCell ref="B75:L75"/>
    <mergeCell ref="B152:L152"/>
    <mergeCell ref="N2:P2"/>
    <mergeCell ref="B2:L2"/>
    <mergeCell ref="K65:L65"/>
    <mergeCell ref="R2:T2"/>
    <mergeCell ref="B112:L112"/>
  </mergeCells>
  <dataValidations count="1">
    <dataValidation type="list" allowBlank="1" showInputMessage="1" showErrorMessage="1" sqref="W4" xr:uid="{74790291-03B8-4F50-A7C7-B779648EE1A3}">
      <formula1>$X$4:$X$5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0E0F-8F9C-441D-9130-1505A0988818}">
  <sheetPr codeName="Sheet3">
    <tabColor rgb="FF7030A0"/>
  </sheetPr>
  <dimension ref="A1:AX1028"/>
  <sheetViews>
    <sheetView workbookViewId="0">
      <selection activeCell="E14" sqref="E14"/>
    </sheetView>
  </sheetViews>
  <sheetFormatPr baseColWidth="10" defaultColWidth="14.33203125" defaultRowHeight="15" customHeight="1"/>
  <cols>
    <col min="1" max="1" width="3" customWidth="1"/>
    <col min="2" max="2" width="3.5" customWidth="1"/>
    <col min="3" max="3" width="42.83203125" customWidth="1"/>
    <col min="4" max="4" width="23.33203125" customWidth="1"/>
  </cols>
  <sheetData>
    <row r="1" spans="1:50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50" ht="14.25" customHeight="1">
      <c r="A2" s="1"/>
      <c r="B2" s="1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1"/>
      <c r="AM2" s="1"/>
    </row>
    <row r="3" spans="1:50" ht="20" thickBot="1">
      <c r="A3" s="1" t="s">
        <v>351</v>
      </c>
      <c r="B3" s="1"/>
      <c r="C3" s="9" t="s">
        <v>352</v>
      </c>
      <c r="D3" s="9"/>
      <c r="E3" s="9"/>
      <c r="F3" s="10"/>
      <c r="G3" s="10"/>
      <c r="H3" s="10"/>
      <c r="I3" s="10"/>
      <c r="J3" s="10"/>
      <c r="K3" s="11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"/>
      <c r="AM3" s="1"/>
    </row>
    <row r="4" spans="1:50" ht="14.25" customHeight="1">
      <c r="A4" s="1"/>
      <c r="B4" s="1"/>
      <c r="C4" s="12" t="s">
        <v>353</v>
      </c>
      <c r="D4" s="12"/>
      <c r="E4" s="43">
        <v>0</v>
      </c>
      <c r="F4" s="119">
        <f t="shared" ref="F4:R4" si="0">E4+1</f>
        <v>1</v>
      </c>
      <c r="G4" s="119">
        <f t="shared" si="0"/>
        <v>2</v>
      </c>
      <c r="H4" s="119">
        <f t="shared" si="0"/>
        <v>3</v>
      </c>
      <c r="I4" s="119">
        <f t="shared" si="0"/>
        <v>4</v>
      </c>
      <c r="J4" s="119">
        <f t="shared" si="0"/>
        <v>5</v>
      </c>
      <c r="K4" s="119">
        <f t="shared" si="0"/>
        <v>6</v>
      </c>
      <c r="L4" s="119">
        <f t="shared" si="0"/>
        <v>7</v>
      </c>
      <c r="M4" s="119">
        <f t="shared" si="0"/>
        <v>8</v>
      </c>
      <c r="N4" s="119">
        <f t="shared" si="0"/>
        <v>9</v>
      </c>
      <c r="O4" s="119">
        <f t="shared" si="0"/>
        <v>10</v>
      </c>
      <c r="P4" s="119">
        <f t="shared" si="0"/>
        <v>11</v>
      </c>
      <c r="Q4" s="119">
        <f t="shared" si="0"/>
        <v>12</v>
      </c>
      <c r="R4" s="119">
        <f t="shared" si="0"/>
        <v>13</v>
      </c>
      <c r="S4" s="119">
        <f t="shared" ref="S4:AK4" si="1">R4+1</f>
        <v>14</v>
      </c>
      <c r="T4" s="119">
        <f t="shared" si="1"/>
        <v>15</v>
      </c>
      <c r="U4" s="119">
        <f t="shared" si="1"/>
        <v>16</v>
      </c>
      <c r="V4" s="119">
        <f t="shared" si="1"/>
        <v>17</v>
      </c>
      <c r="W4" s="119">
        <f t="shared" si="1"/>
        <v>18</v>
      </c>
      <c r="X4" s="119">
        <f t="shared" si="1"/>
        <v>19</v>
      </c>
      <c r="Y4" s="119">
        <f t="shared" si="1"/>
        <v>20</v>
      </c>
      <c r="Z4" s="119">
        <f t="shared" si="1"/>
        <v>21</v>
      </c>
      <c r="AA4" s="119">
        <f t="shared" si="1"/>
        <v>22</v>
      </c>
      <c r="AB4" s="119">
        <f t="shared" si="1"/>
        <v>23</v>
      </c>
      <c r="AC4" s="119">
        <f t="shared" si="1"/>
        <v>24</v>
      </c>
      <c r="AD4" s="119">
        <f t="shared" si="1"/>
        <v>25</v>
      </c>
      <c r="AE4" s="119">
        <f t="shared" si="1"/>
        <v>26</v>
      </c>
      <c r="AF4" s="119">
        <f t="shared" si="1"/>
        <v>27</v>
      </c>
      <c r="AG4" s="119">
        <f t="shared" si="1"/>
        <v>28</v>
      </c>
      <c r="AH4" s="119">
        <f t="shared" si="1"/>
        <v>29</v>
      </c>
      <c r="AI4" s="119">
        <f t="shared" si="1"/>
        <v>30</v>
      </c>
      <c r="AJ4" s="119">
        <f t="shared" si="1"/>
        <v>31</v>
      </c>
      <c r="AK4" s="119">
        <f t="shared" si="1"/>
        <v>32</v>
      </c>
      <c r="AL4" s="119">
        <f t="shared" ref="AL4:AX4" si="2">AK4+1</f>
        <v>33</v>
      </c>
      <c r="AM4" s="119">
        <f t="shared" si="2"/>
        <v>34</v>
      </c>
      <c r="AN4" s="119">
        <f t="shared" si="2"/>
        <v>35</v>
      </c>
      <c r="AO4" s="119">
        <f t="shared" si="2"/>
        <v>36</v>
      </c>
      <c r="AP4" s="119">
        <f t="shared" si="2"/>
        <v>37</v>
      </c>
      <c r="AQ4" s="119">
        <f t="shared" si="2"/>
        <v>38</v>
      </c>
      <c r="AR4" s="119">
        <f t="shared" si="2"/>
        <v>39</v>
      </c>
      <c r="AS4" s="119">
        <f t="shared" si="2"/>
        <v>40</v>
      </c>
      <c r="AT4" s="119">
        <f t="shared" si="2"/>
        <v>41</v>
      </c>
      <c r="AU4" s="119">
        <f t="shared" si="2"/>
        <v>42</v>
      </c>
      <c r="AV4" s="119">
        <f t="shared" si="2"/>
        <v>43</v>
      </c>
      <c r="AW4" s="119">
        <f t="shared" si="2"/>
        <v>44</v>
      </c>
      <c r="AX4" s="119">
        <f t="shared" si="2"/>
        <v>45</v>
      </c>
    </row>
    <row r="5" spans="1:50" ht="14.25" customHeight="1" thickBot="1">
      <c r="A5" s="1"/>
      <c r="B5" s="1"/>
      <c r="C5" s="45"/>
      <c r="D5" s="45"/>
      <c r="E5" s="2"/>
      <c r="F5" s="807" t="s">
        <v>354</v>
      </c>
      <c r="G5" s="807"/>
      <c r="H5" s="807"/>
      <c r="I5" s="807"/>
      <c r="J5" s="807"/>
      <c r="K5" s="807"/>
      <c r="L5" s="807"/>
      <c r="M5" s="807"/>
      <c r="N5" s="807"/>
      <c r="O5" s="807"/>
      <c r="P5" s="807"/>
      <c r="Q5" s="807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</row>
    <row r="6" spans="1:50" ht="14.25" customHeight="1">
      <c r="A6" s="1"/>
      <c r="B6" s="1"/>
      <c r="C6" s="202"/>
      <c r="D6" s="240"/>
      <c r="E6" s="204">
        <f>YEAR(E7)</f>
        <v>2026</v>
      </c>
      <c r="F6" s="204">
        <f>E6+1</f>
        <v>2027</v>
      </c>
      <c r="G6" s="204">
        <f t="shared" ref="G6:R6" si="3">F6+1</f>
        <v>2028</v>
      </c>
      <c r="H6" s="204">
        <f t="shared" si="3"/>
        <v>2029</v>
      </c>
      <c r="I6" s="204">
        <f t="shared" si="3"/>
        <v>2030</v>
      </c>
      <c r="J6" s="204">
        <f t="shared" si="3"/>
        <v>2031</v>
      </c>
      <c r="K6" s="204">
        <f t="shared" si="3"/>
        <v>2032</v>
      </c>
      <c r="L6" s="204">
        <f t="shared" si="3"/>
        <v>2033</v>
      </c>
      <c r="M6" s="204">
        <f t="shared" si="3"/>
        <v>2034</v>
      </c>
      <c r="N6" s="204">
        <f t="shared" si="3"/>
        <v>2035</v>
      </c>
      <c r="O6" s="204">
        <f t="shared" si="3"/>
        <v>2036</v>
      </c>
      <c r="P6" s="204">
        <f t="shared" si="3"/>
        <v>2037</v>
      </c>
      <c r="Q6" s="204">
        <f t="shared" si="3"/>
        <v>2038</v>
      </c>
      <c r="R6" s="204">
        <f t="shared" si="3"/>
        <v>2039</v>
      </c>
      <c r="S6" s="204">
        <f t="shared" ref="S6:AK6" si="4">R6+1</f>
        <v>2040</v>
      </c>
      <c r="T6" s="204">
        <f t="shared" si="4"/>
        <v>2041</v>
      </c>
      <c r="U6" s="204">
        <f t="shared" si="4"/>
        <v>2042</v>
      </c>
      <c r="V6" s="204">
        <f t="shared" si="4"/>
        <v>2043</v>
      </c>
      <c r="W6" s="204">
        <f t="shared" si="4"/>
        <v>2044</v>
      </c>
      <c r="X6" s="204">
        <f t="shared" si="4"/>
        <v>2045</v>
      </c>
      <c r="Y6" s="204">
        <f t="shared" si="4"/>
        <v>2046</v>
      </c>
      <c r="Z6" s="204">
        <f t="shared" si="4"/>
        <v>2047</v>
      </c>
      <c r="AA6" s="204">
        <f t="shared" si="4"/>
        <v>2048</v>
      </c>
      <c r="AB6" s="204">
        <f t="shared" si="4"/>
        <v>2049</v>
      </c>
      <c r="AC6" s="204">
        <f t="shared" si="4"/>
        <v>2050</v>
      </c>
      <c r="AD6" s="204">
        <f t="shared" si="4"/>
        <v>2051</v>
      </c>
      <c r="AE6" s="204">
        <f t="shared" si="4"/>
        <v>2052</v>
      </c>
      <c r="AF6" s="204">
        <f t="shared" si="4"/>
        <v>2053</v>
      </c>
      <c r="AG6" s="204">
        <f t="shared" si="4"/>
        <v>2054</v>
      </c>
      <c r="AH6" s="204">
        <f t="shared" si="4"/>
        <v>2055</v>
      </c>
      <c r="AI6" s="204">
        <f t="shared" si="4"/>
        <v>2056</v>
      </c>
      <c r="AJ6" s="204">
        <f t="shared" si="4"/>
        <v>2057</v>
      </c>
      <c r="AK6" s="204">
        <f t="shared" si="4"/>
        <v>2058</v>
      </c>
      <c r="AL6" s="204">
        <f t="shared" ref="AL6:AX6" si="5">AK6+1</f>
        <v>2059</v>
      </c>
      <c r="AM6" s="204">
        <f t="shared" si="5"/>
        <v>2060</v>
      </c>
      <c r="AN6" s="204">
        <f t="shared" si="5"/>
        <v>2061</v>
      </c>
      <c r="AO6" s="204">
        <f t="shared" si="5"/>
        <v>2062</v>
      </c>
      <c r="AP6" s="204">
        <f t="shared" si="5"/>
        <v>2063</v>
      </c>
      <c r="AQ6" s="204">
        <f t="shared" si="5"/>
        <v>2064</v>
      </c>
      <c r="AR6" s="204">
        <f t="shared" si="5"/>
        <v>2065</v>
      </c>
      <c r="AS6" s="204">
        <f t="shared" si="5"/>
        <v>2066</v>
      </c>
      <c r="AT6" s="204">
        <f t="shared" si="5"/>
        <v>2067</v>
      </c>
      <c r="AU6" s="204">
        <f t="shared" si="5"/>
        <v>2068</v>
      </c>
      <c r="AV6" s="204">
        <f t="shared" si="5"/>
        <v>2069</v>
      </c>
      <c r="AW6" s="204">
        <f t="shared" si="5"/>
        <v>2070</v>
      </c>
      <c r="AX6" s="204">
        <f t="shared" si="5"/>
        <v>2071</v>
      </c>
    </row>
    <row r="7" spans="1:50" ht="14.25" customHeight="1">
      <c r="A7" s="1"/>
      <c r="B7" s="1"/>
      <c r="C7" s="94"/>
      <c r="D7" s="205"/>
      <c r="E7" s="142">
        <f>MIN('Assumptions &amp; Inputs'!G27:L27, 'Assumptions &amp; Inputs'!P7)</f>
        <v>46023</v>
      </c>
      <c r="F7" s="142">
        <f>DATE(F6, 12, 31)</f>
        <v>46752</v>
      </c>
      <c r="G7" s="142">
        <f t="shared" ref="G7:R7" si="6">DATE(G6, 12, 31)</f>
        <v>47118</v>
      </c>
      <c r="H7" s="142">
        <f t="shared" si="6"/>
        <v>47483</v>
      </c>
      <c r="I7" s="142">
        <f t="shared" si="6"/>
        <v>47848</v>
      </c>
      <c r="J7" s="142">
        <f t="shared" si="6"/>
        <v>48213</v>
      </c>
      <c r="K7" s="142">
        <f t="shared" si="6"/>
        <v>48579</v>
      </c>
      <c r="L7" s="142">
        <f t="shared" si="6"/>
        <v>48944</v>
      </c>
      <c r="M7" s="142">
        <f t="shared" si="6"/>
        <v>49309</v>
      </c>
      <c r="N7" s="142">
        <f t="shared" si="6"/>
        <v>49674</v>
      </c>
      <c r="O7" s="142">
        <f t="shared" si="6"/>
        <v>50040</v>
      </c>
      <c r="P7" s="142">
        <f t="shared" si="6"/>
        <v>50405</v>
      </c>
      <c r="Q7" s="142">
        <f t="shared" si="6"/>
        <v>50770</v>
      </c>
      <c r="R7" s="142">
        <f t="shared" si="6"/>
        <v>51135</v>
      </c>
      <c r="S7" s="142">
        <f t="shared" ref="S7" si="7">DATE(S6, 12, 31)</f>
        <v>51501</v>
      </c>
      <c r="T7" s="142">
        <f t="shared" ref="T7" si="8">DATE(T6, 12, 31)</f>
        <v>51866</v>
      </c>
      <c r="U7" s="142">
        <f t="shared" ref="U7" si="9">DATE(U6, 12, 31)</f>
        <v>52231</v>
      </c>
      <c r="V7" s="142">
        <f t="shared" ref="V7" si="10">DATE(V6, 12, 31)</f>
        <v>52596</v>
      </c>
      <c r="W7" s="142">
        <f t="shared" ref="W7" si="11">DATE(W6, 12, 31)</f>
        <v>52962</v>
      </c>
      <c r="X7" s="142">
        <f t="shared" ref="X7" si="12">DATE(X6, 12, 31)</f>
        <v>53327</v>
      </c>
      <c r="Y7" s="142">
        <f t="shared" ref="Y7" si="13">DATE(Y6, 12, 31)</f>
        <v>53692</v>
      </c>
      <c r="Z7" s="142">
        <f t="shared" ref="Z7" si="14">DATE(Z6, 12, 31)</f>
        <v>54057</v>
      </c>
      <c r="AA7" s="142">
        <f t="shared" ref="AA7" si="15">DATE(AA6, 12, 31)</f>
        <v>54423</v>
      </c>
      <c r="AB7" s="142">
        <f t="shared" ref="AB7" si="16">DATE(AB6, 12, 31)</f>
        <v>54788</v>
      </c>
      <c r="AC7" s="142">
        <f t="shared" ref="AC7" si="17">DATE(AC6, 12, 31)</f>
        <v>55153</v>
      </c>
      <c r="AD7" s="142">
        <f t="shared" ref="AD7" si="18">DATE(AD6, 12, 31)</f>
        <v>55518</v>
      </c>
      <c r="AE7" s="142">
        <f t="shared" ref="AE7" si="19">DATE(AE6, 12, 31)</f>
        <v>55884</v>
      </c>
      <c r="AF7" s="142">
        <f t="shared" ref="AF7" si="20">DATE(AF6, 12, 31)</f>
        <v>56249</v>
      </c>
      <c r="AG7" s="142">
        <f t="shared" ref="AG7" si="21">DATE(AG6, 12, 31)</f>
        <v>56614</v>
      </c>
      <c r="AH7" s="142">
        <f t="shared" ref="AH7" si="22">DATE(AH6, 12, 31)</f>
        <v>56979</v>
      </c>
      <c r="AI7" s="142">
        <f t="shared" ref="AI7" si="23">DATE(AI6, 12, 31)</f>
        <v>57345</v>
      </c>
      <c r="AJ7" s="142">
        <f t="shared" ref="AJ7" si="24">DATE(AJ6, 12, 31)</f>
        <v>57710</v>
      </c>
      <c r="AK7" s="142">
        <f t="shared" ref="AK7" si="25">DATE(AK6, 12, 31)</f>
        <v>58075</v>
      </c>
      <c r="AL7" s="142">
        <f t="shared" ref="AL7" si="26">DATE(AL6, 12, 31)</f>
        <v>58440</v>
      </c>
      <c r="AM7" s="142">
        <f t="shared" ref="AM7" si="27">DATE(AM6, 12, 31)</f>
        <v>58806</v>
      </c>
      <c r="AN7" s="142">
        <f t="shared" ref="AN7" si="28">DATE(AN6, 12, 31)</f>
        <v>59171</v>
      </c>
      <c r="AO7" s="142">
        <f t="shared" ref="AO7" si="29">DATE(AO6, 12, 31)</f>
        <v>59536</v>
      </c>
      <c r="AP7" s="142">
        <f t="shared" ref="AP7" si="30">DATE(AP6, 12, 31)</f>
        <v>59901</v>
      </c>
      <c r="AQ7" s="142">
        <f t="shared" ref="AQ7" si="31">DATE(AQ6, 12, 31)</f>
        <v>60267</v>
      </c>
      <c r="AR7" s="142">
        <f t="shared" ref="AR7" si="32">DATE(AR6, 12, 31)</f>
        <v>60632</v>
      </c>
      <c r="AS7" s="142">
        <f t="shared" ref="AS7" si="33">DATE(AS6, 12, 31)</f>
        <v>60997</v>
      </c>
      <c r="AT7" s="142">
        <f t="shared" ref="AT7" si="34">DATE(AT6, 12, 31)</f>
        <v>61362</v>
      </c>
      <c r="AU7" s="142">
        <f t="shared" ref="AU7" si="35">DATE(AU6, 12, 31)</f>
        <v>61728</v>
      </c>
      <c r="AV7" s="142">
        <f t="shared" ref="AV7" si="36">DATE(AV6, 12, 31)</f>
        <v>62093</v>
      </c>
      <c r="AW7" s="142">
        <f t="shared" ref="AW7" si="37">DATE(AW6, 12, 31)</f>
        <v>62458</v>
      </c>
      <c r="AX7" s="142">
        <f t="shared" ref="AX7" si="38">DATE(AX6, 12, 31)</f>
        <v>62823</v>
      </c>
    </row>
    <row r="8" spans="1:50" ht="14.25" customHeight="1">
      <c r="A8" s="1"/>
      <c r="B8" s="1"/>
      <c r="C8" s="222" t="s">
        <v>115</v>
      </c>
      <c r="D8" s="507">
        <f>SUM(E8:H8)</f>
        <v>-47.6</v>
      </c>
      <c r="E8" s="190">
        <f>_xlfn.XLOOKUP(E$6, 'Real Estate'!$D$9:$BA$9, 'Real Estate'!$D$17:$BA$17)</f>
        <v>-47.6</v>
      </c>
      <c r="F8" s="190">
        <f>_xlfn.XLOOKUP(F$6, 'Real Estate'!$D$9:$BA$9, 'Real Estate'!$D$17:$BA$17)</f>
        <v>0</v>
      </c>
      <c r="G8" s="190">
        <f>_xlfn.XLOOKUP(G$6, 'Real Estate'!$D$9:$BA$9, 'Real Estate'!$D$17:$BA$17)</f>
        <v>0</v>
      </c>
      <c r="H8" s="190">
        <f>_xlfn.XLOOKUP(H$6, 'Real Estate'!$D$9:$BA$9, 'Real Estate'!$D$17:$BA$17)</f>
        <v>0</v>
      </c>
      <c r="I8" s="190">
        <f>_xlfn.XLOOKUP(I$6, 'Real Estate'!$D$9:$BA$9, 'Real Estate'!$D$17:$BA$17)</f>
        <v>0</v>
      </c>
      <c r="J8" s="190">
        <f>_xlfn.XLOOKUP(J$6, 'Real Estate'!$D$9:$BA$9, 'Real Estate'!$D$17:$BA$17)</f>
        <v>0</v>
      </c>
      <c r="K8" s="190">
        <f>_xlfn.XLOOKUP(K$6, 'Real Estate'!$D$9:$BA$9, 'Real Estate'!$D$17:$BA$17)</f>
        <v>0</v>
      </c>
      <c r="L8" s="190">
        <f>_xlfn.XLOOKUP(L$6, 'Real Estate'!$D$9:$BA$9, 'Real Estate'!$D$17:$BA$17)</f>
        <v>0</v>
      </c>
      <c r="M8" s="190">
        <f>_xlfn.XLOOKUP(M$6, 'Real Estate'!$D$9:$BA$9, 'Real Estate'!$D$17:$BA$17)</f>
        <v>0</v>
      </c>
      <c r="N8" s="190">
        <f>_xlfn.XLOOKUP(N$6, 'Real Estate'!$D$9:$BA$9, 'Real Estate'!$D$17:$BA$17)</f>
        <v>0</v>
      </c>
      <c r="O8" s="190">
        <f>_xlfn.XLOOKUP(O$6, 'Real Estate'!$D$9:$BA$9, 'Real Estate'!$D$17:$BA$17)</f>
        <v>0</v>
      </c>
      <c r="P8" s="190">
        <f>_xlfn.XLOOKUP(P$6, 'Real Estate'!$D$9:$BA$9, 'Real Estate'!$D$17:$BA$17)</f>
        <v>0</v>
      </c>
      <c r="Q8" s="190">
        <f>_xlfn.XLOOKUP(Q$6, 'Real Estate'!$D$9:$BA$9, 'Real Estate'!$D$17:$BA$17)</f>
        <v>0</v>
      </c>
      <c r="R8" s="190">
        <f>_xlfn.XLOOKUP(R$6, 'Real Estate'!$D$9:$BA$9, 'Real Estate'!$D$17:$BA$17)</f>
        <v>0</v>
      </c>
      <c r="S8" s="190">
        <f>_xlfn.XLOOKUP(S$6, 'Real Estate'!$D$9:$BA$9, 'Real Estate'!$D$17:$BA$17)</f>
        <v>0</v>
      </c>
      <c r="T8" s="190">
        <f>_xlfn.XLOOKUP(T$6, 'Real Estate'!$D$9:$BA$9, 'Real Estate'!$D$17:$BA$17)</f>
        <v>0</v>
      </c>
      <c r="U8" s="190">
        <f>_xlfn.XLOOKUP(U$6, 'Real Estate'!$D$9:$BA$9, 'Real Estate'!$D$17:$BA$17)</f>
        <v>0</v>
      </c>
      <c r="V8" s="190">
        <f>_xlfn.XLOOKUP(V$6, 'Real Estate'!$D$9:$BA$9, 'Real Estate'!$D$17:$BA$17)</f>
        <v>0</v>
      </c>
      <c r="W8" s="190">
        <f>_xlfn.XLOOKUP(W$6, 'Real Estate'!$D$9:$BA$9, 'Real Estate'!$D$17:$BA$17)</f>
        <v>0</v>
      </c>
      <c r="X8" s="190">
        <f>_xlfn.XLOOKUP(X$6, 'Real Estate'!$D$9:$BA$9, 'Real Estate'!$D$17:$BA$17)</f>
        <v>0</v>
      </c>
      <c r="Y8" s="190">
        <f>_xlfn.XLOOKUP(Y$6, 'Real Estate'!$D$9:$BA$9, 'Real Estate'!$D$17:$BA$17)</f>
        <v>0</v>
      </c>
      <c r="Z8" s="190">
        <f>_xlfn.XLOOKUP(Z$6, 'Real Estate'!$D$9:$BA$9, 'Real Estate'!$D$17:$BA$17)</f>
        <v>0</v>
      </c>
      <c r="AA8" s="190">
        <f>_xlfn.XLOOKUP(AA$6, 'Real Estate'!$D$9:$BA$9, 'Real Estate'!$D$17:$BA$17)</f>
        <v>0</v>
      </c>
      <c r="AB8" s="190">
        <f>_xlfn.XLOOKUP(AB$6, 'Real Estate'!$D$9:$BA$9, 'Real Estate'!$D$17:$BA$17)</f>
        <v>0</v>
      </c>
      <c r="AC8" s="190">
        <f>_xlfn.XLOOKUP(AC$6, 'Real Estate'!$D$9:$BA$9, 'Real Estate'!$D$17:$BA$17)</f>
        <v>0</v>
      </c>
      <c r="AD8" s="190">
        <f>_xlfn.XLOOKUP(AD$6, 'Real Estate'!$D$9:$BA$9, 'Real Estate'!$D$17:$BA$17)</f>
        <v>0</v>
      </c>
      <c r="AE8" s="190">
        <f>_xlfn.XLOOKUP(AE$6, 'Real Estate'!$D$9:$BA$9, 'Real Estate'!$D$17:$BA$17)</f>
        <v>0</v>
      </c>
      <c r="AF8" s="190">
        <f>_xlfn.XLOOKUP(AF$6, 'Real Estate'!$D$9:$BA$9, 'Real Estate'!$D$17:$BA$17)</f>
        <v>0</v>
      </c>
      <c r="AG8" s="190">
        <f>_xlfn.XLOOKUP(AG$6, 'Real Estate'!$D$9:$BA$9, 'Real Estate'!$D$17:$BA$17)</f>
        <v>0</v>
      </c>
      <c r="AH8" s="190">
        <f>_xlfn.XLOOKUP(AH$6, 'Real Estate'!$D$9:$BA$9, 'Real Estate'!$D$17:$BA$17)</f>
        <v>0</v>
      </c>
      <c r="AI8" s="190">
        <f>_xlfn.XLOOKUP(AI$6, 'Real Estate'!$D$9:$BA$9, 'Real Estate'!$D$17:$BA$17)</f>
        <v>0</v>
      </c>
      <c r="AJ8" s="190">
        <f>_xlfn.XLOOKUP(AJ$6, 'Real Estate'!$D$9:$BA$9, 'Real Estate'!$D$17:$BA$17)</f>
        <v>0</v>
      </c>
      <c r="AK8" s="190">
        <f>_xlfn.XLOOKUP(AK$6, 'Real Estate'!$D$9:$BA$9, 'Real Estate'!$D$17:$BA$17)</f>
        <v>0</v>
      </c>
      <c r="AL8" s="190">
        <f>_xlfn.XLOOKUP(AL$6, 'Real Estate'!$D$9:$BA$9, 'Real Estate'!$D$17:$BA$17)</f>
        <v>0</v>
      </c>
      <c r="AM8" s="190">
        <f>_xlfn.XLOOKUP(AM$6, 'Real Estate'!$D$9:$BA$9, 'Real Estate'!$D$17:$BA$17)</f>
        <v>0</v>
      </c>
      <c r="AN8" s="190">
        <f>_xlfn.XLOOKUP(AN$6, 'Real Estate'!$D$9:$BA$9, 'Real Estate'!$D$17:$BA$17)</f>
        <v>0</v>
      </c>
      <c r="AO8" s="190">
        <f>_xlfn.XLOOKUP(AO$6, 'Real Estate'!$D$9:$BA$9, 'Real Estate'!$D$17:$BA$17)</f>
        <v>0</v>
      </c>
      <c r="AP8" s="190">
        <f>_xlfn.XLOOKUP(AP$6, 'Real Estate'!$D$9:$BA$9, 'Real Estate'!$D$17:$BA$17)</f>
        <v>0</v>
      </c>
      <c r="AQ8" s="190">
        <f>_xlfn.XLOOKUP(AQ$6, 'Real Estate'!$D$9:$BA$9, 'Real Estate'!$D$17:$BA$17)</f>
        <v>0</v>
      </c>
      <c r="AR8" s="190">
        <f>_xlfn.XLOOKUP(AR$6, 'Real Estate'!$D$9:$BA$9, 'Real Estate'!$D$17:$BA$17)</f>
        <v>0</v>
      </c>
      <c r="AS8" s="190">
        <f>_xlfn.XLOOKUP(AS$6, 'Real Estate'!$D$9:$BA$9, 'Real Estate'!$D$17:$BA$17)</f>
        <v>0</v>
      </c>
      <c r="AT8" s="190">
        <f>_xlfn.XLOOKUP(AT$6, 'Real Estate'!$D$9:$BA$9, 'Real Estate'!$D$17:$BA$17)</f>
        <v>0</v>
      </c>
      <c r="AU8" s="190">
        <f>_xlfn.XLOOKUP(AU$6, 'Real Estate'!$D$9:$BA$9, 'Real Estate'!$D$17:$BA$17)</f>
        <v>0</v>
      </c>
      <c r="AV8" s="190">
        <f>_xlfn.XLOOKUP(AV$6, 'Real Estate'!$D$9:$BA$9, 'Real Estate'!$D$17:$BA$17)</f>
        <v>0</v>
      </c>
      <c r="AW8" s="190">
        <f>_xlfn.XLOOKUP(AW$6, 'Real Estate'!$D$9:$BA$9, 'Real Estate'!$D$17:$BA$17)</f>
        <v>0</v>
      </c>
      <c r="AX8" s="190">
        <f>_xlfn.XLOOKUP(AX$6, 'Real Estate'!$D$9:$BA$9, 'Real Estate'!$D$17:$BA$17)</f>
        <v>0</v>
      </c>
    </row>
    <row r="9" spans="1:50" ht="14.25" customHeight="1">
      <c r="A9" s="1"/>
      <c r="B9" s="1"/>
      <c r="C9" s="203"/>
      <c r="D9" s="79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</row>
    <row r="10" spans="1:50" ht="14.25" customHeight="1">
      <c r="A10" s="1"/>
      <c r="B10" s="1"/>
      <c r="C10" s="222" t="s">
        <v>261</v>
      </c>
      <c r="D10" s="507">
        <f>SUM(D11:D14)</f>
        <v>-697.5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</row>
    <row r="11" spans="1:50" ht="14.25" customHeight="1">
      <c r="A11" s="1"/>
      <c r="B11" s="1"/>
      <c r="C11" s="98" t="s">
        <v>4</v>
      </c>
      <c r="D11" s="507">
        <f>SUM(E11:H11)</f>
        <v>-109.99999999999999</v>
      </c>
      <c r="E11" s="190">
        <f>_xlfn.XLOOKUP(E$6, 'GEN-CCGT'!$D$9:$BA$9, 'GEN-CCGT'!$D$24:$BA$24)</f>
        <v>-33.611111111111114</v>
      </c>
      <c r="F11" s="190">
        <f>_xlfn.XLOOKUP(F$6, 'GEN-CCGT'!$D$9:$BA$9, 'GEN-CCGT'!$D$24:$BA$24)</f>
        <v>-36.666666666666664</v>
      </c>
      <c r="G11" s="190">
        <f>_xlfn.XLOOKUP(G$6, 'GEN-CCGT'!$D$9:$BA$9, 'GEN-CCGT'!$D$24:$BA$24)</f>
        <v>-36.666666666666664</v>
      </c>
      <c r="H11" s="190">
        <f>_xlfn.XLOOKUP(H$6, 'GEN-CCGT'!$D$9:$BA$9, 'GEN-CCGT'!$D$24:$BA$24)</f>
        <v>-3.0555555555555554</v>
      </c>
      <c r="I11" s="190">
        <f>_xlfn.XLOOKUP(I$6, 'GEN-CCGT'!$D$9:$BA$9, 'GEN-CCGT'!$D$24:$BA$24)</f>
        <v>0</v>
      </c>
      <c r="J11" s="190">
        <f>_xlfn.XLOOKUP(J$6, 'GEN-CCGT'!$D$9:$BA$9, 'GEN-CCGT'!$D$24:$BA$24)</f>
        <v>0</v>
      </c>
      <c r="K11" s="190">
        <f>_xlfn.XLOOKUP(K$6, 'GEN-CCGT'!$D$9:$BA$9, 'GEN-CCGT'!$D$24:$BA$24)</f>
        <v>0</v>
      </c>
      <c r="L11" s="190">
        <f>_xlfn.XLOOKUP(L$6, 'GEN-CCGT'!$D$9:$BA$9, 'GEN-CCGT'!$D$24:$BA$24)</f>
        <v>0</v>
      </c>
      <c r="M11" s="190">
        <f>_xlfn.XLOOKUP(M$6, 'GEN-CCGT'!$D$9:$BA$9, 'GEN-CCGT'!$D$24:$BA$24)</f>
        <v>0</v>
      </c>
      <c r="N11" s="190">
        <f>_xlfn.XLOOKUP(N$6, 'GEN-CCGT'!$D$9:$BA$9, 'GEN-CCGT'!$D$24:$BA$24)</f>
        <v>0</v>
      </c>
      <c r="O11" s="190">
        <f>_xlfn.XLOOKUP(O$6, 'GEN-CCGT'!$D$9:$BA$9, 'GEN-CCGT'!$D$24:$BA$24)</f>
        <v>0</v>
      </c>
      <c r="P11" s="190">
        <f>_xlfn.XLOOKUP(P$6, 'GEN-CCGT'!$D$9:$BA$9, 'GEN-CCGT'!$D$24:$BA$24)</f>
        <v>0</v>
      </c>
      <c r="Q11" s="190">
        <f>_xlfn.XLOOKUP(Q$6, 'GEN-CCGT'!$D$9:$BA$9, 'GEN-CCGT'!$D$24:$BA$24)</f>
        <v>0</v>
      </c>
      <c r="R11" s="190">
        <f>_xlfn.XLOOKUP(R$6, 'GEN-CCGT'!$D$9:$BA$9, 'GEN-CCGT'!$D$24:$BA$24)</f>
        <v>0</v>
      </c>
      <c r="S11" s="190">
        <f>_xlfn.XLOOKUP(S$6, 'GEN-CCGT'!$D$9:$BA$9, 'GEN-CCGT'!$D$24:$BA$24)</f>
        <v>0</v>
      </c>
      <c r="T11" s="190">
        <f>_xlfn.XLOOKUP(T$6, 'GEN-CCGT'!$D$9:$BA$9, 'GEN-CCGT'!$D$24:$BA$24)</f>
        <v>0</v>
      </c>
      <c r="U11" s="190">
        <f>_xlfn.XLOOKUP(U$6, 'GEN-CCGT'!$D$9:$BA$9, 'GEN-CCGT'!$D$24:$BA$24)</f>
        <v>0</v>
      </c>
      <c r="V11" s="190">
        <f>_xlfn.XLOOKUP(V$6, 'GEN-CCGT'!$D$9:$BA$9, 'GEN-CCGT'!$D$24:$BA$24)</f>
        <v>0</v>
      </c>
      <c r="W11" s="190">
        <f>_xlfn.XLOOKUP(W$6, 'GEN-CCGT'!$D$9:$BA$9, 'GEN-CCGT'!$D$24:$BA$24)</f>
        <v>0</v>
      </c>
      <c r="X11" s="190">
        <f>_xlfn.XLOOKUP(X$6, 'GEN-CCGT'!$D$9:$BA$9, 'GEN-CCGT'!$D$24:$BA$24)</f>
        <v>0</v>
      </c>
      <c r="Y11" s="190">
        <f>_xlfn.XLOOKUP(Y$6, 'GEN-CCGT'!$D$9:$BA$9, 'GEN-CCGT'!$D$24:$BA$24)</f>
        <v>0</v>
      </c>
      <c r="Z11" s="190">
        <f>_xlfn.XLOOKUP(Z$6, 'GEN-CCGT'!$D$9:$BA$9, 'GEN-CCGT'!$D$24:$BA$24)</f>
        <v>0</v>
      </c>
      <c r="AA11" s="190">
        <f>_xlfn.XLOOKUP(AA$6, 'GEN-CCGT'!$D$9:$BA$9, 'GEN-CCGT'!$D$24:$BA$24)</f>
        <v>0</v>
      </c>
      <c r="AB11" s="190">
        <f>_xlfn.XLOOKUP(AB$6, 'GEN-CCGT'!$D$9:$BA$9, 'GEN-CCGT'!$D$24:$BA$24)</f>
        <v>0</v>
      </c>
      <c r="AC11" s="190">
        <f>_xlfn.XLOOKUP(AC$6, 'GEN-CCGT'!$D$9:$BA$9, 'GEN-CCGT'!$D$24:$BA$24)</f>
        <v>0</v>
      </c>
      <c r="AD11" s="190">
        <f>_xlfn.XLOOKUP(AD$6, 'GEN-CCGT'!$D$9:$BA$9, 'GEN-CCGT'!$D$24:$BA$24)</f>
        <v>0</v>
      </c>
      <c r="AE11" s="190">
        <f>_xlfn.XLOOKUP(AE$6, 'GEN-CCGT'!$D$9:$BA$9, 'GEN-CCGT'!$D$24:$BA$24)</f>
        <v>0</v>
      </c>
      <c r="AF11" s="190">
        <f>_xlfn.XLOOKUP(AF$6, 'GEN-CCGT'!$D$9:$BA$9, 'GEN-CCGT'!$D$24:$BA$24)</f>
        <v>0</v>
      </c>
      <c r="AG11" s="190">
        <f>_xlfn.XLOOKUP(AG$6, 'GEN-CCGT'!$D$9:$BA$9, 'GEN-CCGT'!$D$24:$BA$24)</f>
        <v>0</v>
      </c>
      <c r="AH11" s="190">
        <f>_xlfn.XLOOKUP(AH$6, 'GEN-CCGT'!$D$9:$BA$9, 'GEN-CCGT'!$D$24:$BA$24)</f>
        <v>0</v>
      </c>
      <c r="AI11" s="190">
        <f>_xlfn.XLOOKUP(AI$6, 'GEN-CCGT'!$D$9:$BA$9, 'GEN-CCGT'!$D$24:$BA$24)</f>
        <v>0</v>
      </c>
      <c r="AJ11" s="190">
        <f>_xlfn.XLOOKUP(AJ$6, 'GEN-CCGT'!$D$9:$BA$9, 'GEN-CCGT'!$D$24:$BA$24)</f>
        <v>0</v>
      </c>
      <c r="AK11" s="190">
        <f>_xlfn.XLOOKUP(AK$6, 'GEN-CCGT'!$D$9:$BA$9, 'GEN-CCGT'!$D$24:$BA$24)</f>
        <v>0</v>
      </c>
      <c r="AL11" s="190">
        <f>_xlfn.XLOOKUP(AL$6, 'GEN-CCGT'!$D$9:$BA$9, 'GEN-CCGT'!$D$24:$BA$24)</f>
        <v>0</v>
      </c>
      <c r="AM11" s="190">
        <f>_xlfn.XLOOKUP(AM$6, 'GEN-CCGT'!$D$9:$BA$9, 'GEN-CCGT'!$D$24:$BA$24)</f>
        <v>0</v>
      </c>
      <c r="AN11" s="190">
        <f>_xlfn.XLOOKUP(AN$6, 'GEN-CCGT'!$D$9:$BA$9, 'GEN-CCGT'!$D$24:$BA$24)</f>
        <v>0</v>
      </c>
      <c r="AO11" s="190">
        <f>_xlfn.XLOOKUP(AO$6, 'GEN-CCGT'!$D$9:$BA$9, 'GEN-CCGT'!$D$24:$BA$24)</f>
        <v>0</v>
      </c>
      <c r="AP11" s="190">
        <f>_xlfn.XLOOKUP(AP$6, 'GEN-CCGT'!$D$9:$BA$9, 'GEN-CCGT'!$D$24:$BA$24)</f>
        <v>0</v>
      </c>
      <c r="AQ11" s="190">
        <f>_xlfn.XLOOKUP(AQ$6, 'GEN-CCGT'!$D$9:$BA$9, 'GEN-CCGT'!$D$24:$BA$24)</f>
        <v>0</v>
      </c>
      <c r="AR11" s="190">
        <f>_xlfn.XLOOKUP(AR$6, 'GEN-CCGT'!$D$9:$BA$9, 'GEN-CCGT'!$D$24:$BA$24)</f>
        <v>0</v>
      </c>
      <c r="AS11" s="190">
        <f>_xlfn.XLOOKUP(AS$6, 'GEN-CCGT'!$D$9:$BA$9, 'GEN-CCGT'!$D$24:$BA$24)</f>
        <v>0</v>
      </c>
      <c r="AT11" s="190">
        <f>_xlfn.XLOOKUP(AT$6, 'GEN-CCGT'!$D$9:$BA$9, 'GEN-CCGT'!$D$24:$BA$24)</f>
        <v>0</v>
      </c>
      <c r="AU11" s="190">
        <f>_xlfn.XLOOKUP(AU$6, 'GEN-CCGT'!$D$9:$BA$9, 'GEN-CCGT'!$D$24:$BA$24)</f>
        <v>0</v>
      </c>
      <c r="AV11" s="190">
        <f>_xlfn.XLOOKUP(AV$6, 'GEN-CCGT'!$D$9:$BA$9, 'GEN-CCGT'!$D$24:$BA$24)</f>
        <v>0</v>
      </c>
      <c r="AW11" s="190">
        <f>_xlfn.XLOOKUP(AW$6, 'GEN-CCGT'!$D$9:$BA$9, 'GEN-CCGT'!$D$24:$BA$24)</f>
        <v>0</v>
      </c>
      <c r="AX11" s="190">
        <f>_xlfn.XLOOKUP(AX$6, 'GEN-CCGT'!$D$9:$BA$9, 'GEN-CCGT'!$D$24:$BA$24)</f>
        <v>0</v>
      </c>
    </row>
    <row r="12" spans="1:50" ht="14.25" customHeight="1">
      <c r="A12" s="1"/>
      <c r="B12" s="1"/>
      <c r="C12" s="98" t="s">
        <v>6</v>
      </c>
      <c r="D12" s="507">
        <f>SUM(E12:H12)</f>
        <v>-120</v>
      </c>
      <c r="E12" s="190">
        <f>_xlfn.XLOOKUP(E6, 'GEN-SOLAR'!$D$9:$BA$9, 'GEN-SOLAR'!$D$24:$BA$24)</f>
        <v>-73.333333333333343</v>
      </c>
      <c r="F12" s="190">
        <f>_xlfn.XLOOKUP(F6, 'GEN-SOLAR'!$D$9:$BA$9, 'GEN-SOLAR'!$D$24:$BA$24)</f>
        <v>-46.666666666666664</v>
      </c>
      <c r="G12" s="190">
        <f>_xlfn.XLOOKUP(G6, 'GEN-SOLAR'!$D$9:$BA$9, 'GEN-SOLAR'!$D$24:$BA$24)</f>
        <v>0</v>
      </c>
      <c r="H12" s="190">
        <f>_xlfn.XLOOKUP(H6, 'GEN-SOLAR'!$D$9:$BA$9, 'GEN-SOLAR'!$D$24:$BA$24)</f>
        <v>0</v>
      </c>
      <c r="I12" s="190">
        <f>_xlfn.XLOOKUP(I6, 'GEN-SOLAR'!$D$9:$BA$9, 'GEN-SOLAR'!$D$24:$BA$24)</f>
        <v>0</v>
      </c>
      <c r="J12" s="190">
        <f>_xlfn.XLOOKUP(J6, 'GEN-SOLAR'!$D$9:$BA$9, 'GEN-SOLAR'!$D$24:$BA$24)</f>
        <v>0</v>
      </c>
      <c r="K12" s="190">
        <f>_xlfn.XLOOKUP(K6, 'GEN-SOLAR'!$D$9:$BA$9, 'GEN-SOLAR'!$D$24:$BA$24)</f>
        <v>0</v>
      </c>
      <c r="L12" s="190">
        <f>_xlfn.XLOOKUP(L6, 'GEN-SOLAR'!$D$9:$BA$9, 'GEN-SOLAR'!$D$24:$BA$24)</f>
        <v>0</v>
      </c>
      <c r="M12" s="190">
        <f>_xlfn.XLOOKUP(M6, 'GEN-SOLAR'!$D$9:$BA$9, 'GEN-SOLAR'!$D$24:$BA$24)</f>
        <v>0</v>
      </c>
      <c r="N12" s="190">
        <f>_xlfn.XLOOKUP(N6, 'GEN-SOLAR'!$D$9:$BA$9, 'GEN-SOLAR'!$D$24:$BA$24)</f>
        <v>0</v>
      </c>
      <c r="O12" s="190">
        <f>_xlfn.XLOOKUP(O6, 'GEN-SOLAR'!$D$9:$BA$9, 'GEN-SOLAR'!$D$24:$BA$24)</f>
        <v>0</v>
      </c>
      <c r="P12" s="190">
        <f>_xlfn.XLOOKUP(P6, 'GEN-SOLAR'!$D$9:$BA$9, 'GEN-SOLAR'!$D$24:$BA$24)</f>
        <v>0</v>
      </c>
      <c r="Q12" s="190">
        <f>_xlfn.XLOOKUP(Q6, 'GEN-SOLAR'!$D$9:$BA$9, 'GEN-SOLAR'!$D$24:$BA$24)</f>
        <v>0</v>
      </c>
      <c r="R12" s="190">
        <f>_xlfn.XLOOKUP(R6, 'GEN-SOLAR'!$D$9:$BA$9, 'GEN-SOLAR'!$D$24:$BA$24)</f>
        <v>0</v>
      </c>
      <c r="S12" s="190">
        <f>_xlfn.XLOOKUP(S6, 'GEN-SOLAR'!$D$9:$BA$9, 'GEN-SOLAR'!$D$24:$BA$24)</f>
        <v>0</v>
      </c>
      <c r="T12" s="190">
        <f>_xlfn.XLOOKUP(T6, 'GEN-SOLAR'!$D$9:$BA$9, 'GEN-SOLAR'!$D$24:$BA$24)</f>
        <v>0</v>
      </c>
      <c r="U12" s="190">
        <f>_xlfn.XLOOKUP(U6, 'GEN-SOLAR'!$D$9:$BA$9, 'GEN-SOLAR'!$D$24:$BA$24)</f>
        <v>0</v>
      </c>
      <c r="V12" s="190">
        <f>_xlfn.XLOOKUP(V6, 'GEN-SOLAR'!$D$9:$BA$9, 'GEN-SOLAR'!$D$24:$BA$24)</f>
        <v>0</v>
      </c>
      <c r="W12" s="190">
        <f>_xlfn.XLOOKUP(W6, 'GEN-SOLAR'!$D$9:$BA$9, 'GEN-SOLAR'!$D$24:$BA$24)</f>
        <v>0</v>
      </c>
      <c r="X12" s="190">
        <f>_xlfn.XLOOKUP(X6, 'GEN-SOLAR'!$D$9:$BA$9, 'GEN-SOLAR'!$D$24:$BA$24)</f>
        <v>0</v>
      </c>
      <c r="Y12" s="190">
        <f>_xlfn.XLOOKUP(Y6, 'GEN-SOLAR'!$D$9:$BA$9, 'GEN-SOLAR'!$D$24:$BA$24)</f>
        <v>0</v>
      </c>
      <c r="Z12" s="190">
        <f>_xlfn.XLOOKUP(Z6, 'GEN-SOLAR'!$D$9:$BA$9, 'GEN-SOLAR'!$D$24:$BA$24)</f>
        <v>0</v>
      </c>
      <c r="AA12" s="190">
        <f>_xlfn.XLOOKUP(AA6, 'GEN-SOLAR'!$D$9:$BA$9, 'GEN-SOLAR'!$D$24:$BA$24)</f>
        <v>0</v>
      </c>
      <c r="AB12" s="190">
        <f>_xlfn.XLOOKUP(AB6, 'GEN-SOLAR'!$D$9:$BA$9, 'GEN-SOLAR'!$D$24:$BA$24)</f>
        <v>0</v>
      </c>
      <c r="AC12" s="190">
        <f>_xlfn.XLOOKUP(AC6, 'GEN-SOLAR'!$D$9:$BA$9, 'GEN-SOLAR'!$D$24:$BA$24)</f>
        <v>0</v>
      </c>
      <c r="AD12" s="190">
        <f>_xlfn.XLOOKUP(AD6, 'GEN-SOLAR'!$D$9:$BA$9, 'GEN-SOLAR'!$D$24:$BA$24)</f>
        <v>0</v>
      </c>
      <c r="AE12" s="190">
        <f>_xlfn.XLOOKUP(AE6, 'GEN-SOLAR'!$D$9:$BA$9, 'GEN-SOLAR'!$D$24:$BA$24)</f>
        <v>0</v>
      </c>
      <c r="AF12" s="190">
        <f>_xlfn.XLOOKUP(AF6, 'GEN-SOLAR'!$D$9:$BA$9, 'GEN-SOLAR'!$D$24:$BA$24)</f>
        <v>0</v>
      </c>
      <c r="AG12" s="190">
        <f>_xlfn.XLOOKUP(AG6, 'GEN-SOLAR'!$D$9:$BA$9, 'GEN-SOLAR'!$D$24:$BA$24)</f>
        <v>0</v>
      </c>
      <c r="AH12" s="190">
        <f>_xlfn.XLOOKUP(AH6, 'GEN-SOLAR'!$D$9:$BA$9, 'GEN-SOLAR'!$D$24:$BA$24)</f>
        <v>0</v>
      </c>
      <c r="AI12" s="190">
        <f>_xlfn.XLOOKUP(AI6, 'GEN-SOLAR'!$D$9:$BA$9, 'GEN-SOLAR'!$D$24:$BA$24)</f>
        <v>0</v>
      </c>
      <c r="AJ12" s="190">
        <f>_xlfn.XLOOKUP(AJ6, 'GEN-SOLAR'!$D$9:$BA$9, 'GEN-SOLAR'!$D$24:$BA$24)</f>
        <v>0</v>
      </c>
      <c r="AK12" s="190">
        <f>_xlfn.XLOOKUP(AK6, 'GEN-SOLAR'!$D$9:$BA$9, 'GEN-SOLAR'!$D$24:$BA$24)</f>
        <v>0</v>
      </c>
      <c r="AL12" s="190">
        <f>_xlfn.XLOOKUP(AL6, 'GEN-SOLAR'!$D$9:$BA$9, 'GEN-SOLAR'!$D$24:$BA$24)</f>
        <v>0</v>
      </c>
      <c r="AM12" s="190">
        <f>_xlfn.XLOOKUP(AM6, 'GEN-SOLAR'!$D$9:$BA$9, 'GEN-SOLAR'!$D$24:$BA$24)</f>
        <v>0</v>
      </c>
      <c r="AN12" s="190">
        <f>_xlfn.XLOOKUP(AN6, 'GEN-SOLAR'!$D$9:$BA$9, 'GEN-SOLAR'!$D$24:$BA$24)</f>
        <v>0</v>
      </c>
      <c r="AO12" s="190">
        <f>_xlfn.XLOOKUP(AO6, 'GEN-SOLAR'!$D$9:$BA$9, 'GEN-SOLAR'!$D$24:$BA$24)</f>
        <v>0</v>
      </c>
      <c r="AP12" s="190">
        <f>_xlfn.XLOOKUP(AP6, 'GEN-SOLAR'!$D$9:$BA$9, 'GEN-SOLAR'!$D$24:$BA$24)</f>
        <v>0</v>
      </c>
      <c r="AQ12" s="190">
        <f>_xlfn.XLOOKUP(AQ6, 'GEN-SOLAR'!$D$9:$BA$9, 'GEN-SOLAR'!$D$24:$BA$24)</f>
        <v>0</v>
      </c>
      <c r="AR12" s="190">
        <f>_xlfn.XLOOKUP(AR6, 'GEN-SOLAR'!$D$9:$BA$9, 'GEN-SOLAR'!$D$24:$BA$24)</f>
        <v>0</v>
      </c>
      <c r="AS12" s="190">
        <f>_xlfn.XLOOKUP(AS6, 'GEN-SOLAR'!$D$9:$BA$9, 'GEN-SOLAR'!$D$24:$BA$24)</f>
        <v>0</v>
      </c>
      <c r="AT12" s="190">
        <f>_xlfn.XLOOKUP(AT6, 'GEN-SOLAR'!$D$9:$BA$9, 'GEN-SOLAR'!$D$24:$BA$24)</f>
        <v>0</v>
      </c>
      <c r="AU12" s="190">
        <f>_xlfn.XLOOKUP(AU6, 'GEN-SOLAR'!$D$9:$BA$9, 'GEN-SOLAR'!$D$24:$BA$24)</f>
        <v>0</v>
      </c>
      <c r="AV12" s="190">
        <f>_xlfn.XLOOKUP(AV6, 'GEN-SOLAR'!$D$9:$BA$9, 'GEN-SOLAR'!$D$24:$BA$24)</f>
        <v>0</v>
      </c>
      <c r="AW12" s="190">
        <f>_xlfn.XLOOKUP(AW6, 'GEN-SOLAR'!$D$9:$BA$9, 'GEN-SOLAR'!$D$24:$BA$24)</f>
        <v>0</v>
      </c>
      <c r="AX12" s="190">
        <f>_xlfn.XLOOKUP(AX6, 'GEN-SOLAR'!$D$9:$BA$9, 'GEN-SOLAR'!$D$24:$BA$24)</f>
        <v>0</v>
      </c>
    </row>
    <row r="13" spans="1:50" ht="14.25" customHeight="1">
      <c r="A13" s="1"/>
      <c r="B13" s="1"/>
      <c r="C13" s="98" t="s">
        <v>355</v>
      </c>
      <c r="D13" s="507">
        <f>SUM(E13:H13)</f>
        <v>-114.99999999999999</v>
      </c>
      <c r="E13" s="190">
        <f>_xlfn.XLOOKUP(E6, 'GEN-BESS'!$D$9:$BA$9, 'GEN-BESS'!$D$24:$BA$24)</f>
        <v>-105.41666666666666</v>
      </c>
      <c r="F13" s="190">
        <f>_xlfn.XLOOKUP(F6, 'GEN-BESS'!$D$9:$BA$9, 'GEN-BESS'!$D$24:$BA$24)</f>
        <v>-9.5833333333333321</v>
      </c>
      <c r="G13" s="190">
        <f>_xlfn.XLOOKUP(G6, 'GEN-BESS'!$D$9:$BA$9, 'GEN-BESS'!$D$24:$BA$24)</f>
        <v>0</v>
      </c>
      <c r="H13" s="190">
        <f>_xlfn.XLOOKUP(H6, 'GEN-BESS'!$D$9:$BA$9, 'GEN-BESS'!$D$24:$BA$24)</f>
        <v>0</v>
      </c>
      <c r="I13" s="190">
        <f>_xlfn.XLOOKUP(I6, 'GEN-BESS'!$D$9:$BA$9, 'GEN-BESS'!$D$24:$BA$24)</f>
        <v>0</v>
      </c>
      <c r="J13" s="190">
        <f>_xlfn.XLOOKUP(J6, 'GEN-BESS'!$D$9:$BA$9, 'GEN-BESS'!$D$24:$BA$24)</f>
        <v>0</v>
      </c>
      <c r="K13" s="190">
        <f>_xlfn.XLOOKUP(K6, 'GEN-BESS'!$D$9:$BA$9, 'GEN-BESS'!$D$24:$BA$24)</f>
        <v>0</v>
      </c>
      <c r="L13" s="190">
        <f>_xlfn.XLOOKUP(L6, 'GEN-BESS'!$D$9:$BA$9, 'GEN-BESS'!$D$24:$BA$24)</f>
        <v>0</v>
      </c>
      <c r="M13" s="190">
        <f>_xlfn.XLOOKUP(M6, 'GEN-BESS'!$D$9:$BA$9, 'GEN-BESS'!$D$24:$BA$24)</f>
        <v>0</v>
      </c>
      <c r="N13" s="190">
        <f>_xlfn.XLOOKUP(N6, 'GEN-BESS'!$D$9:$BA$9, 'GEN-BESS'!$D$24:$BA$24)</f>
        <v>0</v>
      </c>
      <c r="O13" s="190">
        <f>_xlfn.XLOOKUP(O6, 'GEN-BESS'!$D$9:$BA$9, 'GEN-BESS'!$D$24:$BA$24)</f>
        <v>0</v>
      </c>
      <c r="P13" s="190">
        <f>_xlfn.XLOOKUP(P6, 'GEN-BESS'!$D$9:$BA$9, 'GEN-BESS'!$D$24:$BA$24)</f>
        <v>0</v>
      </c>
      <c r="Q13" s="190">
        <f>_xlfn.XLOOKUP(Q6, 'GEN-BESS'!$D$9:$BA$9, 'GEN-BESS'!$D$24:$BA$24)</f>
        <v>0</v>
      </c>
      <c r="R13" s="190">
        <f>_xlfn.XLOOKUP(R6, 'GEN-BESS'!$D$9:$BA$9, 'GEN-BESS'!$D$24:$BA$24)</f>
        <v>0</v>
      </c>
      <c r="S13" s="190">
        <f>_xlfn.XLOOKUP(S6, 'GEN-BESS'!$D$9:$BA$9, 'GEN-BESS'!$D$24:$BA$24)</f>
        <v>0</v>
      </c>
      <c r="T13" s="190">
        <f>_xlfn.XLOOKUP(T6, 'GEN-BESS'!$D$9:$BA$9, 'GEN-BESS'!$D$24:$BA$24)</f>
        <v>0</v>
      </c>
      <c r="U13" s="190">
        <f>_xlfn.XLOOKUP(U6, 'GEN-BESS'!$D$9:$BA$9, 'GEN-BESS'!$D$24:$BA$24)</f>
        <v>0</v>
      </c>
      <c r="V13" s="190">
        <f>_xlfn.XLOOKUP(V6, 'GEN-BESS'!$D$9:$BA$9, 'GEN-BESS'!$D$24:$BA$24)</f>
        <v>0</v>
      </c>
      <c r="W13" s="190">
        <f>_xlfn.XLOOKUP(W6, 'GEN-BESS'!$D$9:$BA$9, 'GEN-BESS'!$D$24:$BA$24)</f>
        <v>0</v>
      </c>
      <c r="X13" s="190">
        <f>_xlfn.XLOOKUP(X6, 'GEN-BESS'!$D$9:$BA$9, 'GEN-BESS'!$D$24:$BA$24)</f>
        <v>0</v>
      </c>
      <c r="Y13" s="190">
        <f>_xlfn.XLOOKUP(Y6, 'GEN-BESS'!$D$9:$BA$9, 'GEN-BESS'!$D$24:$BA$24)</f>
        <v>0</v>
      </c>
      <c r="Z13" s="190">
        <f>_xlfn.XLOOKUP(Z6, 'GEN-BESS'!$D$9:$BA$9, 'GEN-BESS'!$D$24:$BA$24)</f>
        <v>0</v>
      </c>
      <c r="AA13" s="190">
        <f>_xlfn.XLOOKUP(AA6, 'GEN-BESS'!$D$9:$BA$9, 'GEN-BESS'!$D$24:$BA$24)</f>
        <v>0</v>
      </c>
      <c r="AB13" s="190">
        <f>_xlfn.XLOOKUP(AB6, 'GEN-BESS'!$D$9:$BA$9, 'GEN-BESS'!$D$24:$BA$24)</f>
        <v>0</v>
      </c>
      <c r="AC13" s="190">
        <f>_xlfn.XLOOKUP(AC6, 'GEN-BESS'!$D$9:$BA$9, 'GEN-BESS'!$D$24:$BA$24)</f>
        <v>0</v>
      </c>
      <c r="AD13" s="190">
        <f>_xlfn.XLOOKUP(AD6, 'GEN-BESS'!$D$9:$BA$9, 'GEN-BESS'!$D$24:$BA$24)</f>
        <v>0</v>
      </c>
      <c r="AE13" s="190">
        <f>_xlfn.XLOOKUP(AE6, 'GEN-BESS'!$D$9:$BA$9, 'GEN-BESS'!$D$24:$BA$24)</f>
        <v>0</v>
      </c>
      <c r="AF13" s="190">
        <f>_xlfn.XLOOKUP(AF6, 'GEN-BESS'!$D$9:$BA$9, 'GEN-BESS'!$D$24:$BA$24)</f>
        <v>0</v>
      </c>
      <c r="AG13" s="190">
        <f>_xlfn.XLOOKUP(AG6, 'GEN-BESS'!$D$9:$BA$9, 'GEN-BESS'!$D$24:$BA$24)</f>
        <v>0</v>
      </c>
      <c r="AH13" s="190">
        <f>_xlfn.XLOOKUP(AH6, 'GEN-BESS'!$D$9:$BA$9, 'GEN-BESS'!$D$24:$BA$24)</f>
        <v>0</v>
      </c>
      <c r="AI13" s="190">
        <f>_xlfn.XLOOKUP(AI6, 'GEN-BESS'!$D$9:$BA$9, 'GEN-BESS'!$D$24:$BA$24)</f>
        <v>0</v>
      </c>
      <c r="AJ13" s="190">
        <f>_xlfn.XLOOKUP(AJ6, 'GEN-BESS'!$D$9:$BA$9, 'GEN-BESS'!$D$24:$BA$24)</f>
        <v>0</v>
      </c>
      <c r="AK13" s="190">
        <f>_xlfn.XLOOKUP(AK6, 'GEN-BESS'!$D$9:$BA$9, 'GEN-BESS'!$D$24:$BA$24)</f>
        <v>0</v>
      </c>
      <c r="AL13" s="190">
        <f>_xlfn.XLOOKUP(AL6, 'GEN-BESS'!$D$9:$BA$9, 'GEN-BESS'!$D$24:$BA$24)</f>
        <v>0</v>
      </c>
      <c r="AM13" s="190">
        <f>_xlfn.XLOOKUP(AM6, 'GEN-BESS'!$D$9:$BA$9, 'GEN-BESS'!$D$24:$BA$24)</f>
        <v>0</v>
      </c>
      <c r="AN13" s="190">
        <f>_xlfn.XLOOKUP(AN6, 'GEN-BESS'!$D$9:$BA$9, 'GEN-BESS'!$D$24:$BA$24)</f>
        <v>0</v>
      </c>
      <c r="AO13" s="190">
        <f>_xlfn.XLOOKUP(AO6, 'GEN-BESS'!$D$9:$BA$9, 'GEN-BESS'!$D$24:$BA$24)</f>
        <v>0</v>
      </c>
      <c r="AP13" s="190">
        <f>_xlfn.XLOOKUP(AP6, 'GEN-BESS'!$D$9:$BA$9, 'GEN-BESS'!$D$24:$BA$24)</f>
        <v>0</v>
      </c>
      <c r="AQ13" s="190">
        <f>_xlfn.XLOOKUP(AQ6, 'GEN-BESS'!$D$9:$BA$9, 'GEN-BESS'!$D$24:$BA$24)</f>
        <v>0</v>
      </c>
      <c r="AR13" s="190">
        <f>_xlfn.XLOOKUP(AR6, 'GEN-BESS'!$D$9:$BA$9, 'GEN-BESS'!$D$24:$BA$24)</f>
        <v>0</v>
      </c>
      <c r="AS13" s="190">
        <f>_xlfn.XLOOKUP(AS6, 'GEN-BESS'!$D$9:$BA$9, 'GEN-BESS'!$D$24:$BA$24)</f>
        <v>0</v>
      </c>
      <c r="AT13" s="190">
        <f>_xlfn.XLOOKUP(AT6, 'GEN-BESS'!$D$9:$BA$9, 'GEN-BESS'!$D$24:$BA$24)</f>
        <v>0</v>
      </c>
      <c r="AU13" s="190">
        <f>_xlfn.XLOOKUP(AU6, 'GEN-BESS'!$D$9:$BA$9, 'GEN-BESS'!$D$24:$BA$24)</f>
        <v>0</v>
      </c>
      <c r="AV13" s="190">
        <f>_xlfn.XLOOKUP(AV6, 'GEN-BESS'!$D$9:$BA$9, 'GEN-BESS'!$D$24:$BA$24)</f>
        <v>0</v>
      </c>
      <c r="AW13" s="190">
        <f>_xlfn.XLOOKUP(AW6, 'GEN-BESS'!$D$9:$BA$9, 'GEN-BESS'!$D$24:$BA$24)</f>
        <v>0</v>
      </c>
      <c r="AX13" s="190">
        <f>_xlfn.XLOOKUP(AX6, 'GEN-BESS'!$D$9:$BA$9, 'GEN-BESS'!$D$24:$BA$24)</f>
        <v>0</v>
      </c>
    </row>
    <row r="14" spans="1:50" ht="14.25" customHeight="1">
      <c r="A14" s="1"/>
      <c r="B14" s="1"/>
      <c r="C14" s="98" t="s">
        <v>9</v>
      </c>
      <c r="D14" s="507">
        <f>SUM(E14:H14)</f>
        <v>-352.5</v>
      </c>
      <c r="E14" s="190">
        <f>_xlfn.XLOOKUP(E6, 'GEN-CARBON'!$D$9:$BA$9, 'GEN-CARBON'!$D$24:$BA$24)</f>
        <v>-82.5</v>
      </c>
      <c r="F14" s="190">
        <f>_xlfn.XLOOKUP(F6, 'GEN-CARBON'!$D$9:$BA$9, 'GEN-CARBON'!$D$24:$BA$24)</f>
        <v>-90</v>
      </c>
      <c r="G14" s="190">
        <f>_xlfn.XLOOKUP(G6, 'GEN-CARBON'!$D$9:$BA$9, 'GEN-CARBON'!$D$24:$BA$24)</f>
        <v>-90</v>
      </c>
      <c r="H14" s="190">
        <f>_xlfn.XLOOKUP(H6, 'GEN-CARBON'!$D$9:$BA$9, 'GEN-CARBON'!$D$24:$BA$24)</f>
        <v>-90</v>
      </c>
      <c r="I14" s="190">
        <f>_xlfn.XLOOKUP(I6, 'GEN-CARBON'!$D$9:$BA$9, 'GEN-CARBON'!$D$24:$BA$24)</f>
        <v>-7.5</v>
      </c>
      <c r="J14" s="190">
        <f>_xlfn.XLOOKUP(J6, 'GEN-CARBON'!$D$9:$BA$9, 'GEN-CARBON'!$D$24:$BA$24)</f>
        <v>0</v>
      </c>
      <c r="K14" s="190">
        <f>_xlfn.XLOOKUP(K6, 'GEN-CARBON'!$D$9:$BA$9, 'GEN-CARBON'!$D$24:$BA$24)</f>
        <v>0</v>
      </c>
      <c r="L14" s="190">
        <f>_xlfn.XLOOKUP(L6, 'GEN-CARBON'!$D$9:$BA$9, 'GEN-CARBON'!$D$24:$BA$24)</f>
        <v>0</v>
      </c>
      <c r="M14" s="190">
        <f>_xlfn.XLOOKUP(M6, 'GEN-CARBON'!$D$9:$BA$9, 'GEN-CARBON'!$D$24:$BA$24)</f>
        <v>0</v>
      </c>
      <c r="N14" s="190">
        <f>_xlfn.XLOOKUP(N6, 'GEN-CARBON'!$D$9:$BA$9, 'GEN-CARBON'!$D$24:$BA$24)</f>
        <v>0</v>
      </c>
      <c r="O14" s="190">
        <f>_xlfn.XLOOKUP(O6, 'GEN-CARBON'!$D$9:$BA$9, 'GEN-CARBON'!$D$24:$BA$24)</f>
        <v>0</v>
      </c>
      <c r="P14" s="190">
        <f>_xlfn.XLOOKUP(P6, 'GEN-CARBON'!$D$9:$BA$9, 'GEN-CARBON'!$D$24:$BA$24)</f>
        <v>0</v>
      </c>
      <c r="Q14" s="190">
        <f>_xlfn.XLOOKUP(Q6, 'GEN-CARBON'!$D$9:$BA$9, 'GEN-CARBON'!$D$24:$BA$24)</f>
        <v>0</v>
      </c>
      <c r="R14" s="190">
        <f>_xlfn.XLOOKUP(R6, 'GEN-CARBON'!$D$9:$BA$9, 'GEN-CARBON'!$D$24:$BA$24)</f>
        <v>0</v>
      </c>
      <c r="S14" s="190">
        <f>_xlfn.XLOOKUP(S6, 'GEN-CARBON'!$D$9:$BA$9, 'GEN-CARBON'!$D$24:$BA$24)</f>
        <v>0</v>
      </c>
      <c r="T14" s="190">
        <f>_xlfn.XLOOKUP(T6, 'GEN-CARBON'!$D$9:$BA$9, 'GEN-CARBON'!$D$24:$BA$24)</f>
        <v>0</v>
      </c>
      <c r="U14" s="190">
        <f>_xlfn.XLOOKUP(U6, 'GEN-CARBON'!$D$9:$BA$9, 'GEN-CARBON'!$D$24:$BA$24)</f>
        <v>0</v>
      </c>
      <c r="V14" s="190">
        <f>_xlfn.XLOOKUP(V6, 'GEN-CARBON'!$D$9:$BA$9, 'GEN-CARBON'!$D$24:$BA$24)</f>
        <v>0</v>
      </c>
      <c r="W14" s="190">
        <f>_xlfn.XLOOKUP(W6, 'GEN-CARBON'!$D$9:$BA$9, 'GEN-CARBON'!$D$24:$BA$24)</f>
        <v>0</v>
      </c>
      <c r="X14" s="190">
        <f>_xlfn.XLOOKUP(X6, 'GEN-CARBON'!$D$9:$BA$9, 'GEN-CARBON'!$D$24:$BA$24)</f>
        <v>0</v>
      </c>
      <c r="Y14" s="190">
        <f>_xlfn.XLOOKUP(Y6, 'GEN-CARBON'!$D$9:$BA$9, 'GEN-CARBON'!$D$24:$BA$24)</f>
        <v>0</v>
      </c>
      <c r="Z14" s="190">
        <f>_xlfn.XLOOKUP(Z6, 'GEN-CARBON'!$D$9:$BA$9, 'GEN-CARBON'!$D$24:$BA$24)</f>
        <v>0</v>
      </c>
      <c r="AA14" s="190">
        <f>_xlfn.XLOOKUP(AA6, 'GEN-CARBON'!$D$9:$BA$9, 'GEN-CARBON'!$D$24:$BA$24)</f>
        <v>0</v>
      </c>
      <c r="AB14" s="190">
        <f>_xlfn.XLOOKUP(AB6, 'GEN-CARBON'!$D$9:$BA$9, 'GEN-CARBON'!$D$24:$BA$24)</f>
        <v>0</v>
      </c>
      <c r="AC14" s="190">
        <f>_xlfn.XLOOKUP(AC6, 'GEN-CARBON'!$D$9:$BA$9, 'GEN-CARBON'!$D$24:$BA$24)</f>
        <v>0</v>
      </c>
      <c r="AD14" s="190">
        <f>_xlfn.XLOOKUP(AD6, 'GEN-CARBON'!$D$9:$BA$9, 'GEN-CARBON'!$D$24:$BA$24)</f>
        <v>0</v>
      </c>
      <c r="AE14" s="190">
        <f>_xlfn.XLOOKUP(AE6, 'GEN-CARBON'!$D$9:$BA$9, 'GEN-CARBON'!$D$24:$BA$24)</f>
        <v>0</v>
      </c>
      <c r="AF14" s="190">
        <f>_xlfn.XLOOKUP(AF6, 'GEN-CARBON'!$D$9:$BA$9, 'GEN-CARBON'!$D$24:$BA$24)</f>
        <v>0</v>
      </c>
      <c r="AG14" s="190">
        <f>_xlfn.XLOOKUP(AG6, 'GEN-CARBON'!$D$9:$BA$9, 'GEN-CARBON'!$D$24:$BA$24)</f>
        <v>0</v>
      </c>
      <c r="AH14" s="190">
        <f>_xlfn.XLOOKUP(AH6, 'GEN-CARBON'!$D$9:$BA$9, 'GEN-CARBON'!$D$24:$BA$24)</f>
        <v>0</v>
      </c>
      <c r="AI14" s="190">
        <f>_xlfn.XLOOKUP(AI6, 'GEN-CARBON'!$D$9:$BA$9, 'GEN-CARBON'!$D$24:$BA$24)</f>
        <v>0</v>
      </c>
      <c r="AJ14" s="190">
        <f>_xlfn.XLOOKUP(AJ6, 'GEN-CARBON'!$D$9:$BA$9, 'GEN-CARBON'!$D$24:$BA$24)</f>
        <v>0</v>
      </c>
      <c r="AK14" s="190">
        <f>_xlfn.XLOOKUP(AK6, 'GEN-CARBON'!$D$9:$BA$9, 'GEN-CARBON'!$D$24:$BA$24)</f>
        <v>0</v>
      </c>
      <c r="AL14" s="190">
        <f>_xlfn.XLOOKUP(AL6, 'GEN-CARBON'!$D$9:$BA$9, 'GEN-CARBON'!$D$24:$BA$24)</f>
        <v>0</v>
      </c>
      <c r="AM14" s="190">
        <f>_xlfn.XLOOKUP(AM6, 'GEN-CARBON'!$D$9:$BA$9, 'GEN-CARBON'!$D$24:$BA$24)</f>
        <v>0</v>
      </c>
      <c r="AN14" s="190">
        <f>_xlfn.XLOOKUP(AN6, 'GEN-CARBON'!$D$9:$BA$9, 'GEN-CARBON'!$D$24:$BA$24)</f>
        <v>0</v>
      </c>
      <c r="AO14" s="190">
        <f>_xlfn.XLOOKUP(AO6, 'GEN-CARBON'!$D$9:$BA$9, 'GEN-CARBON'!$D$24:$BA$24)</f>
        <v>0</v>
      </c>
      <c r="AP14" s="190">
        <f>_xlfn.XLOOKUP(AP6, 'GEN-CARBON'!$D$9:$BA$9, 'GEN-CARBON'!$D$24:$BA$24)</f>
        <v>0</v>
      </c>
      <c r="AQ14" s="190">
        <f>_xlfn.XLOOKUP(AQ6, 'GEN-CARBON'!$D$9:$BA$9, 'GEN-CARBON'!$D$24:$BA$24)</f>
        <v>0</v>
      </c>
      <c r="AR14" s="190">
        <f>_xlfn.XLOOKUP(AR6, 'GEN-CARBON'!$D$9:$BA$9, 'GEN-CARBON'!$D$24:$BA$24)</f>
        <v>0</v>
      </c>
      <c r="AS14" s="190">
        <f>_xlfn.XLOOKUP(AS6, 'GEN-CARBON'!$D$9:$BA$9, 'GEN-CARBON'!$D$24:$BA$24)</f>
        <v>0</v>
      </c>
      <c r="AT14" s="190">
        <f>_xlfn.XLOOKUP(AT6, 'GEN-CARBON'!$D$9:$BA$9, 'GEN-CARBON'!$D$24:$BA$24)</f>
        <v>0</v>
      </c>
      <c r="AU14" s="190">
        <f>_xlfn.XLOOKUP(AU6, 'GEN-CARBON'!$D$9:$BA$9, 'GEN-CARBON'!$D$24:$BA$24)</f>
        <v>0</v>
      </c>
      <c r="AV14" s="190">
        <f>_xlfn.XLOOKUP(AV6, 'GEN-CARBON'!$D$9:$BA$9, 'GEN-CARBON'!$D$24:$BA$24)</f>
        <v>0</v>
      </c>
      <c r="AW14" s="190">
        <f>_xlfn.XLOOKUP(AW6, 'GEN-CARBON'!$D$9:$BA$9, 'GEN-CARBON'!$D$24:$BA$24)</f>
        <v>0</v>
      </c>
      <c r="AX14" s="190">
        <f>_xlfn.XLOOKUP(AX6, 'GEN-CARBON'!$D$9:$BA$9, 'GEN-CARBON'!$D$24:$BA$24)</f>
        <v>0</v>
      </c>
    </row>
    <row r="15" spans="1:50" ht="14.25" customHeight="1">
      <c r="A15" s="1"/>
      <c r="B15" s="1"/>
      <c r="C15" s="98"/>
      <c r="D15" s="84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</row>
    <row r="16" spans="1:50" ht="14.25" customHeight="1">
      <c r="A16" s="1"/>
      <c r="B16" s="1"/>
      <c r="C16" s="101" t="s">
        <v>240</v>
      </c>
      <c r="D16" s="323">
        <f>SUM(D17:D20)</f>
        <v>-11941.130136986301</v>
      </c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</row>
    <row r="17" spans="1:50" ht="14.25" customHeight="1">
      <c r="A17" s="1"/>
      <c r="B17" s="1"/>
      <c r="C17" s="98" t="s">
        <v>356</v>
      </c>
      <c r="D17" s="507">
        <f>SUM(E17:H17)</f>
        <v>-11618.630136986301</v>
      </c>
      <c r="E17" s="190">
        <f>_xlfn.XLOOKUP(E6, Load!$D$9:$BA$9, Load!$D$24:$BA$24)</f>
        <v>-11618.630136986301</v>
      </c>
      <c r="F17" s="190">
        <f>_xlfn.XLOOKUP(F6, Load!$D$9:$BA$9, Load!$D$24:$BA$24)</f>
        <v>0</v>
      </c>
      <c r="G17" s="190">
        <f>_xlfn.XLOOKUP(G6, Load!$D$9:$BA$9, Load!$D$24:$BA$24)</f>
        <v>0</v>
      </c>
      <c r="H17" s="190">
        <f>_xlfn.XLOOKUP(H6, Load!$D$9:$BA$9, Load!$D$24:$BA$24)</f>
        <v>0</v>
      </c>
      <c r="I17" s="190">
        <f>_xlfn.XLOOKUP(I6, Load!$D$9:$BA$9, Load!$D$24:$BA$24)</f>
        <v>0</v>
      </c>
      <c r="J17" s="190">
        <f>_xlfn.XLOOKUP(J6, Load!$D$9:$BA$9, Load!$D$24:$BA$24)</f>
        <v>0</v>
      </c>
      <c r="K17" s="190">
        <f>_xlfn.XLOOKUP(K6, Load!$D$9:$BA$9, Load!$D$24:$BA$24)</f>
        <v>0</v>
      </c>
      <c r="L17" s="190">
        <f>_xlfn.XLOOKUP(L6, Load!$D$9:$BA$9, Load!$D$24:$BA$24)</f>
        <v>0</v>
      </c>
      <c r="M17" s="190">
        <f>_xlfn.XLOOKUP(M6, Load!$D$9:$BA$9, Load!$D$24:$BA$24)</f>
        <v>0</v>
      </c>
      <c r="N17" s="190">
        <f>_xlfn.XLOOKUP(N6, Load!$D$9:$BA$9, Load!$D$24:$BA$24)</f>
        <v>0</v>
      </c>
      <c r="O17" s="190">
        <f>_xlfn.XLOOKUP(O6, Load!$D$9:$BA$9, Load!$D$24:$BA$24)</f>
        <v>0</v>
      </c>
      <c r="P17" s="190">
        <f>_xlfn.XLOOKUP(P6, Load!$D$9:$BA$9, Load!$D$24:$BA$24)</f>
        <v>0</v>
      </c>
      <c r="Q17" s="190">
        <f>_xlfn.XLOOKUP(Q6, Load!$D$9:$BA$9, Load!$D$24:$BA$24)</f>
        <v>0</v>
      </c>
      <c r="R17" s="190">
        <f>_xlfn.XLOOKUP(R6, Load!$D$9:$BA$9, Load!$D$24:$BA$24)</f>
        <v>0</v>
      </c>
      <c r="S17" s="190">
        <f>_xlfn.XLOOKUP(S6, Load!$D$9:$BA$9, Load!$D$24:$BA$24)</f>
        <v>0</v>
      </c>
      <c r="T17" s="190">
        <f>_xlfn.XLOOKUP(T6, Load!$D$9:$BA$9, Load!$D$24:$BA$24)</f>
        <v>0</v>
      </c>
      <c r="U17" s="190">
        <f>_xlfn.XLOOKUP(U6, Load!$D$9:$BA$9, Load!$D$24:$BA$24)</f>
        <v>0</v>
      </c>
      <c r="V17" s="190">
        <f>_xlfn.XLOOKUP(V6, Load!$D$9:$BA$9, Load!$D$24:$BA$24)</f>
        <v>0</v>
      </c>
      <c r="W17" s="190">
        <f>_xlfn.XLOOKUP(W6, Load!$D$9:$BA$9, Load!$D$24:$BA$24)</f>
        <v>0</v>
      </c>
      <c r="X17" s="190">
        <f>_xlfn.XLOOKUP(X6, Load!$D$9:$BA$9, Load!$D$24:$BA$24)</f>
        <v>0</v>
      </c>
      <c r="Y17" s="190">
        <f>_xlfn.XLOOKUP(Y6, Load!$D$9:$BA$9, Load!$D$24:$BA$24)</f>
        <v>0</v>
      </c>
      <c r="Z17" s="190">
        <f>_xlfn.XLOOKUP(Z6, Load!$D$9:$BA$9, Load!$D$24:$BA$24)</f>
        <v>0</v>
      </c>
      <c r="AA17" s="190">
        <f>_xlfn.XLOOKUP(AA6, Load!$D$9:$BA$9, Load!$D$24:$BA$24)</f>
        <v>0</v>
      </c>
      <c r="AB17" s="190">
        <f>_xlfn.XLOOKUP(AB6, Load!$D$9:$BA$9, Load!$D$24:$BA$24)</f>
        <v>0</v>
      </c>
      <c r="AC17" s="190">
        <f>_xlfn.XLOOKUP(AC6, Load!$D$9:$BA$9, Load!$D$24:$BA$24)</f>
        <v>0</v>
      </c>
      <c r="AD17" s="190">
        <f>_xlfn.XLOOKUP(AD6, Load!$D$9:$BA$9, Load!$D$24:$BA$24)</f>
        <v>0</v>
      </c>
      <c r="AE17" s="190">
        <f>_xlfn.XLOOKUP(AE6, Load!$D$9:$BA$9, Load!$D$24:$BA$24)</f>
        <v>0</v>
      </c>
      <c r="AF17" s="190">
        <f>_xlfn.XLOOKUP(AF6, Load!$D$9:$BA$9, Load!$D$24:$BA$24)</f>
        <v>0</v>
      </c>
      <c r="AG17" s="190">
        <f>_xlfn.XLOOKUP(AG6, Load!$D$9:$BA$9, Load!$D$24:$BA$24)</f>
        <v>0</v>
      </c>
      <c r="AH17" s="190">
        <f>_xlfn.XLOOKUP(AH6, Load!$D$9:$BA$9, Load!$D$24:$BA$24)</f>
        <v>0</v>
      </c>
      <c r="AI17" s="190">
        <f>_xlfn.XLOOKUP(AI6, Load!$D$9:$BA$9, Load!$D$24:$BA$24)</f>
        <v>0</v>
      </c>
      <c r="AJ17" s="190">
        <f>_xlfn.XLOOKUP(AJ6, Load!$D$9:$BA$9, Load!$D$24:$BA$24)</f>
        <v>0</v>
      </c>
      <c r="AK17" s="190">
        <f>_xlfn.XLOOKUP(AK6, Load!$D$9:$BA$9, Load!$D$24:$BA$24)</f>
        <v>0</v>
      </c>
      <c r="AL17" s="190">
        <f>_xlfn.XLOOKUP(AL6, Load!$D$9:$BA$9, Load!$D$24:$BA$24)</f>
        <v>0</v>
      </c>
      <c r="AM17" s="190">
        <f>_xlfn.XLOOKUP(AM6, Load!$D$9:$BA$9, Load!$D$24:$BA$24)</f>
        <v>0</v>
      </c>
      <c r="AN17" s="190">
        <f>_xlfn.XLOOKUP(AN6, Load!$D$9:$BA$9, Load!$D$24:$BA$24)</f>
        <v>0</v>
      </c>
      <c r="AO17" s="190">
        <f>_xlfn.XLOOKUP(AO6, Load!$D$9:$BA$9, Load!$D$24:$BA$24)</f>
        <v>0</v>
      </c>
      <c r="AP17" s="190">
        <f>_xlfn.XLOOKUP(AP6, Load!$D$9:$BA$9, Load!$D$24:$BA$24)</f>
        <v>0</v>
      </c>
      <c r="AQ17" s="190">
        <f>_xlfn.XLOOKUP(AQ6, Load!$D$9:$BA$9, Load!$D$24:$BA$24)</f>
        <v>0</v>
      </c>
      <c r="AR17" s="190">
        <f>_xlfn.XLOOKUP(AR6, Load!$D$9:$BA$9, Load!$D$24:$BA$24)</f>
        <v>0</v>
      </c>
      <c r="AS17" s="190">
        <f>_xlfn.XLOOKUP(AS6, Load!$D$9:$BA$9, Load!$D$24:$BA$24)</f>
        <v>0</v>
      </c>
      <c r="AT17" s="190">
        <f>_xlfn.XLOOKUP(AT6, Load!$D$9:$BA$9, Load!$D$24:$BA$24)</f>
        <v>0</v>
      </c>
      <c r="AU17" s="190">
        <f>_xlfn.XLOOKUP(AU6, Load!$D$9:$BA$9, Load!$D$24:$BA$24)</f>
        <v>0</v>
      </c>
      <c r="AV17" s="190">
        <f>_xlfn.XLOOKUP(AV6, Load!$D$9:$BA$9, Load!$D$24:$BA$24)</f>
        <v>0</v>
      </c>
      <c r="AW17" s="190">
        <f>_xlfn.XLOOKUP(AW6, Load!$D$9:$BA$9, Load!$D$24:$BA$24)</f>
        <v>0</v>
      </c>
      <c r="AX17" s="190">
        <f>_xlfn.XLOOKUP(AX6, Load!$D$9:$BA$9, Load!$D$24:$BA$24)</f>
        <v>0</v>
      </c>
    </row>
    <row r="18" spans="1:50" ht="14.25" customHeight="1">
      <c r="A18" s="1"/>
      <c r="B18" s="1"/>
      <c r="C18" s="98" t="s">
        <v>122</v>
      </c>
      <c r="D18" s="507">
        <f>SUM(E18:H18)</f>
        <v>-30</v>
      </c>
      <c r="E18" s="190">
        <f>_xlfn.XLOOKUP(E6, Hydrogen!$D$9:$BA$9, Hydrogen!$D$24:$BA$24)</f>
        <v>-22</v>
      </c>
      <c r="F18" s="190">
        <f>_xlfn.XLOOKUP(F6, Hydrogen!$D$9:$BA$9, Hydrogen!$D$24:$BA$24)</f>
        <v>-8</v>
      </c>
      <c r="G18" s="190">
        <f>_xlfn.XLOOKUP(G6, Hydrogen!$D$9:$BA$9, Hydrogen!$D$24:$BA$24)</f>
        <v>0</v>
      </c>
      <c r="H18" s="190">
        <f>_xlfn.XLOOKUP(H6, Hydrogen!$D$9:$BA$9, Hydrogen!$D$24:$BA$24)</f>
        <v>0</v>
      </c>
      <c r="I18" s="190">
        <f>_xlfn.XLOOKUP(I6, Hydrogen!$D$9:$BA$9, Hydrogen!$D$24:$BA$24)</f>
        <v>0</v>
      </c>
      <c r="J18" s="190">
        <f>_xlfn.XLOOKUP(J6, Hydrogen!$D$9:$BA$9, Hydrogen!$D$24:$BA$24)</f>
        <v>0</v>
      </c>
      <c r="K18" s="190">
        <f>_xlfn.XLOOKUP(K6, Hydrogen!$D$9:$BA$9, Hydrogen!$D$24:$BA$24)</f>
        <v>0</v>
      </c>
      <c r="L18" s="190">
        <f>_xlfn.XLOOKUP(L6, Hydrogen!$D$9:$BA$9, Hydrogen!$D$24:$BA$24)</f>
        <v>0</v>
      </c>
      <c r="M18" s="190">
        <f>_xlfn.XLOOKUP(M6, Hydrogen!$D$9:$BA$9, Hydrogen!$D$24:$BA$24)</f>
        <v>0</v>
      </c>
      <c r="N18" s="190">
        <f>_xlfn.XLOOKUP(N6, Hydrogen!$D$9:$BA$9, Hydrogen!$D$24:$BA$24)</f>
        <v>0</v>
      </c>
      <c r="O18" s="190">
        <f>_xlfn.XLOOKUP(O6, Hydrogen!$D$9:$BA$9, Hydrogen!$D$24:$BA$24)</f>
        <v>0</v>
      </c>
      <c r="P18" s="190">
        <f>_xlfn.XLOOKUP(P6, Hydrogen!$D$9:$BA$9, Hydrogen!$D$24:$BA$24)</f>
        <v>0</v>
      </c>
      <c r="Q18" s="190">
        <f>_xlfn.XLOOKUP(Q6, Hydrogen!$D$9:$BA$9, Hydrogen!$D$24:$BA$24)</f>
        <v>0</v>
      </c>
      <c r="R18" s="190">
        <f>_xlfn.XLOOKUP(R6, Hydrogen!$D$9:$BA$9, Hydrogen!$D$24:$BA$24)</f>
        <v>0</v>
      </c>
      <c r="S18" s="190">
        <f>_xlfn.XLOOKUP(S6, Hydrogen!$D$9:$BA$9, Hydrogen!$D$24:$BA$24)</f>
        <v>0</v>
      </c>
      <c r="T18" s="190">
        <f>_xlfn.XLOOKUP(T6, Hydrogen!$D$9:$BA$9, Hydrogen!$D$24:$BA$24)</f>
        <v>0</v>
      </c>
      <c r="U18" s="190">
        <f>_xlfn.XLOOKUP(U6, Hydrogen!$D$9:$BA$9, Hydrogen!$D$24:$BA$24)</f>
        <v>0</v>
      </c>
      <c r="V18" s="190">
        <f>_xlfn.XLOOKUP(V6, Hydrogen!$D$9:$BA$9, Hydrogen!$D$24:$BA$24)</f>
        <v>0</v>
      </c>
      <c r="W18" s="190">
        <f>_xlfn.XLOOKUP(W6, Hydrogen!$D$9:$BA$9, Hydrogen!$D$24:$BA$24)</f>
        <v>0</v>
      </c>
      <c r="X18" s="190">
        <f>_xlfn.XLOOKUP(X6, Hydrogen!$D$9:$BA$9, Hydrogen!$D$24:$BA$24)</f>
        <v>0</v>
      </c>
      <c r="Y18" s="190">
        <f>_xlfn.XLOOKUP(Y6, Hydrogen!$D$9:$BA$9, Hydrogen!$D$24:$BA$24)</f>
        <v>0</v>
      </c>
      <c r="Z18" s="190">
        <f>_xlfn.XLOOKUP(Z6, Hydrogen!$D$9:$BA$9, Hydrogen!$D$24:$BA$24)</f>
        <v>0</v>
      </c>
      <c r="AA18" s="190">
        <f>_xlfn.XLOOKUP(AA6, Hydrogen!$D$9:$BA$9, Hydrogen!$D$24:$BA$24)</f>
        <v>0</v>
      </c>
      <c r="AB18" s="190">
        <f>_xlfn.XLOOKUP(AB6, Hydrogen!$D$9:$BA$9, Hydrogen!$D$24:$BA$24)</f>
        <v>0</v>
      </c>
      <c r="AC18" s="190">
        <f>_xlfn.XLOOKUP(AC6, Hydrogen!$D$9:$BA$9, Hydrogen!$D$24:$BA$24)</f>
        <v>0</v>
      </c>
      <c r="AD18" s="190">
        <f>_xlfn.XLOOKUP(AD6, Hydrogen!$D$9:$BA$9, Hydrogen!$D$24:$BA$24)</f>
        <v>0</v>
      </c>
      <c r="AE18" s="190">
        <f>_xlfn.XLOOKUP(AE6, Hydrogen!$D$9:$BA$9, Hydrogen!$D$24:$BA$24)</f>
        <v>0</v>
      </c>
      <c r="AF18" s="190">
        <f>_xlfn.XLOOKUP(AF6, Hydrogen!$D$9:$BA$9, Hydrogen!$D$24:$BA$24)</f>
        <v>0</v>
      </c>
      <c r="AG18" s="190">
        <f>_xlfn.XLOOKUP(AG6, Hydrogen!$D$9:$BA$9, Hydrogen!$D$24:$BA$24)</f>
        <v>0</v>
      </c>
      <c r="AH18" s="190">
        <f>_xlfn.XLOOKUP(AH6, Hydrogen!$D$9:$BA$9, Hydrogen!$D$24:$BA$24)</f>
        <v>0</v>
      </c>
      <c r="AI18" s="190">
        <f>_xlfn.XLOOKUP(AI6, Hydrogen!$D$9:$BA$9, Hydrogen!$D$24:$BA$24)</f>
        <v>0</v>
      </c>
      <c r="AJ18" s="190">
        <f>_xlfn.XLOOKUP(AJ6, Hydrogen!$D$9:$BA$9, Hydrogen!$D$24:$BA$24)</f>
        <v>0</v>
      </c>
      <c r="AK18" s="190">
        <f>_xlfn.XLOOKUP(AK6, Hydrogen!$D$9:$BA$9, Hydrogen!$D$24:$BA$24)</f>
        <v>0</v>
      </c>
      <c r="AL18" s="190">
        <f>_xlfn.XLOOKUP(AL6, Hydrogen!$D$9:$BA$9, Hydrogen!$D$24:$BA$24)</f>
        <v>0</v>
      </c>
      <c r="AM18" s="190">
        <f>_xlfn.XLOOKUP(AM6, Hydrogen!$D$9:$BA$9, Hydrogen!$D$24:$BA$24)</f>
        <v>0</v>
      </c>
      <c r="AN18" s="190">
        <f>_xlfn.XLOOKUP(AN6, Hydrogen!$D$9:$BA$9, Hydrogen!$D$24:$BA$24)</f>
        <v>0</v>
      </c>
      <c r="AO18" s="190">
        <f>_xlfn.XLOOKUP(AO6, Hydrogen!$D$9:$BA$9, Hydrogen!$D$24:$BA$24)</f>
        <v>0</v>
      </c>
      <c r="AP18" s="190">
        <f>_xlfn.XLOOKUP(AP6, Hydrogen!$D$9:$BA$9, Hydrogen!$D$24:$BA$24)</f>
        <v>0</v>
      </c>
      <c r="AQ18" s="190">
        <f>_xlfn.XLOOKUP(AQ6, Hydrogen!$D$9:$BA$9, Hydrogen!$D$24:$BA$24)</f>
        <v>0</v>
      </c>
      <c r="AR18" s="190">
        <f>_xlfn.XLOOKUP(AR6, Hydrogen!$D$9:$BA$9, Hydrogen!$D$24:$BA$24)</f>
        <v>0</v>
      </c>
      <c r="AS18" s="190">
        <f>_xlfn.XLOOKUP(AS6, Hydrogen!$D$9:$BA$9, Hydrogen!$D$24:$BA$24)</f>
        <v>0</v>
      </c>
      <c r="AT18" s="190">
        <f>_xlfn.XLOOKUP(AT6, Hydrogen!$D$9:$BA$9, Hydrogen!$D$24:$BA$24)</f>
        <v>0</v>
      </c>
      <c r="AU18" s="190">
        <f>_xlfn.XLOOKUP(AU6, Hydrogen!$D$9:$BA$9, Hydrogen!$D$24:$BA$24)</f>
        <v>0</v>
      </c>
      <c r="AV18" s="190">
        <f>_xlfn.XLOOKUP(AV6, Hydrogen!$D$9:$BA$9, Hydrogen!$D$24:$BA$24)</f>
        <v>0</v>
      </c>
      <c r="AW18" s="190">
        <f>_xlfn.XLOOKUP(AW6, Hydrogen!$D$9:$BA$9, Hydrogen!$D$24:$BA$24)</f>
        <v>0</v>
      </c>
      <c r="AX18" s="190">
        <f>_xlfn.XLOOKUP(AX6, Hydrogen!$D$9:$BA$9, Hydrogen!$D$24:$BA$24)</f>
        <v>0</v>
      </c>
    </row>
    <row r="19" spans="1:50" ht="14.25" customHeight="1">
      <c r="A19" s="1"/>
      <c r="B19" s="1"/>
      <c r="C19" s="98" t="s">
        <v>357</v>
      </c>
      <c r="D19" s="507">
        <f>SUM(E19:H19)</f>
        <v>-180</v>
      </c>
      <c r="E19" s="190">
        <f>+_xlfn.XLOOKUP(E6, 'SENS Coal'!$D$9:$BA$9, 'SENS Coal'!$D$24:$BA$24)</f>
        <v>-165</v>
      </c>
      <c r="F19" s="190">
        <f>+_xlfn.XLOOKUP(F6, 'SENS Coal'!$D$9:$BA$9, 'SENS Coal'!$D$24:$BA$24)</f>
        <v>-15</v>
      </c>
      <c r="G19" s="190">
        <f>+_xlfn.XLOOKUP(G6, 'SENS Coal'!$D$9:$BA$9, 'SENS Coal'!$D$24:$BA$24)</f>
        <v>0</v>
      </c>
      <c r="H19" s="190">
        <f>+_xlfn.XLOOKUP(H6, 'SENS Coal'!$D$9:$BA$9, 'SENS Coal'!$D$24:$BA$24)</f>
        <v>0</v>
      </c>
      <c r="I19" s="190">
        <f>+_xlfn.XLOOKUP(I6, 'SENS Coal'!$D$9:$BA$9, 'SENS Coal'!$D$24:$BA$24)</f>
        <v>0</v>
      </c>
      <c r="J19" s="190">
        <f>+_xlfn.XLOOKUP(J6, 'SENS Coal'!$D$9:$BA$9, 'SENS Coal'!$D$24:$BA$24)</f>
        <v>0</v>
      </c>
      <c r="K19" s="190">
        <f>+_xlfn.XLOOKUP(K6, 'SENS Coal'!$D$9:$BA$9, 'SENS Coal'!$D$24:$BA$24)</f>
        <v>0</v>
      </c>
      <c r="L19" s="190">
        <f>+_xlfn.XLOOKUP(L6, 'SENS Coal'!$D$9:$BA$9, 'SENS Coal'!$D$24:$BA$24)</f>
        <v>0</v>
      </c>
      <c r="M19" s="190">
        <f>+_xlfn.XLOOKUP(M6, 'SENS Coal'!$D$9:$BA$9, 'SENS Coal'!$D$24:$BA$24)</f>
        <v>0</v>
      </c>
      <c r="N19" s="190">
        <f>+_xlfn.XLOOKUP(N6, 'SENS Coal'!$D$9:$BA$9, 'SENS Coal'!$D$24:$BA$24)</f>
        <v>0</v>
      </c>
      <c r="O19" s="190">
        <f>+_xlfn.XLOOKUP(O6, 'SENS Coal'!$D$9:$BA$9, 'SENS Coal'!$D$24:$BA$24)</f>
        <v>0</v>
      </c>
      <c r="P19" s="190">
        <f>+_xlfn.XLOOKUP(P6, 'SENS Coal'!$D$9:$BA$9, 'SENS Coal'!$D$24:$BA$24)</f>
        <v>0</v>
      </c>
      <c r="Q19" s="190">
        <f>+_xlfn.XLOOKUP(Q6, 'SENS Coal'!$D$9:$BA$9, 'SENS Coal'!$D$24:$BA$24)</f>
        <v>0</v>
      </c>
      <c r="R19" s="190">
        <f>+_xlfn.XLOOKUP(R6, 'SENS Coal'!$D$9:$BA$9, 'SENS Coal'!$D$24:$BA$24)</f>
        <v>0</v>
      </c>
      <c r="S19" s="190">
        <f>+_xlfn.XLOOKUP(S6, 'SENS Coal'!$D$9:$BA$9, 'SENS Coal'!$D$24:$BA$24)</f>
        <v>0</v>
      </c>
      <c r="T19" s="190">
        <f>+_xlfn.XLOOKUP(T6, 'SENS Coal'!$D$9:$BA$9, 'SENS Coal'!$D$24:$BA$24)</f>
        <v>0</v>
      </c>
      <c r="U19" s="190">
        <f>+_xlfn.XLOOKUP(U6, 'SENS Coal'!$D$9:$BA$9, 'SENS Coal'!$D$24:$BA$24)</f>
        <v>0</v>
      </c>
      <c r="V19" s="190">
        <f>+_xlfn.XLOOKUP(V6, 'SENS Coal'!$D$9:$BA$9, 'SENS Coal'!$D$24:$BA$24)</f>
        <v>0</v>
      </c>
      <c r="W19" s="190">
        <f>+_xlfn.XLOOKUP(W6, 'SENS Coal'!$D$9:$BA$9, 'SENS Coal'!$D$24:$BA$24)</f>
        <v>0</v>
      </c>
      <c r="X19" s="190">
        <f>+_xlfn.XLOOKUP(X6, 'SENS Coal'!$D$9:$BA$9, 'SENS Coal'!$D$24:$BA$24)</f>
        <v>0</v>
      </c>
      <c r="Y19" s="190">
        <f>+_xlfn.XLOOKUP(Y6, 'SENS Coal'!$D$9:$BA$9, 'SENS Coal'!$D$24:$BA$24)</f>
        <v>0</v>
      </c>
      <c r="Z19" s="190">
        <f>+_xlfn.XLOOKUP(Z6, 'SENS Coal'!$D$9:$BA$9, 'SENS Coal'!$D$24:$BA$24)</f>
        <v>0</v>
      </c>
      <c r="AA19" s="190">
        <f>+_xlfn.XLOOKUP(AA6, 'SENS Coal'!$D$9:$BA$9, 'SENS Coal'!$D$24:$BA$24)</f>
        <v>0</v>
      </c>
      <c r="AB19" s="190">
        <f>+_xlfn.XLOOKUP(AB6, 'SENS Coal'!$D$9:$BA$9, 'SENS Coal'!$D$24:$BA$24)</f>
        <v>0</v>
      </c>
      <c r="AC19" s="190">
        <f>+_xlfn.XLOOKUP(AC6, 'SENS Coal'!$D$9:$BA$9, 'SENS Coal'!$D$24:$BA$24)</f>
        <v>0</v>
      </c>
      <c r="AD19" s="190">
        <f>+_xlfn.XLOOKUP(AD6, 'SENS Coal'!$D$9:$BA$9, 'SENS Coal'!$D$24:$BA$24)</f>
        <v>0</v>
      </c>
      <c r="AE19" s="190">
        <f>+_xlfn.XLOOKUP(AE6, 'SENS Coal'!$D$9:$BA$9, 'SENS Coal'!$D$24:$BA$24)</f>
        <v>0</v>
      </c>
      <c r="AF19" s="190">
        <f>+_xlfn.XLOOKUP(AF6, 'SENS Coal'!$D$9:$BA$9, 'SENS Coal'!$D$24:$BA$24)</f>
        <v>0</v>
      </c>
      <c r="AG19" s="190">
        <f>+_xlfn.XLOOKUP(AG6, 'SENS Coal'!$D$9:$BA$9, 'SENS Coal'!$D$24:$BA$24)</f>
        <v>0</v>
      </c>
      <c r="AH19" s="190">
        <f>+_xlfn.XLOOKUP(AH6, 'SENS Coal'!$D$9:$BA$9, 'SENS Coal'!$D$24:$BA$24)</f>
        <v>0</v>
      </c>
      <c r="AI19" s="190">
        <f>+_xlfn.XLOOKUP(AI6, 'SENS Coal'!$D$9:$BA$9, 'SENS Coal'!$D$24:$BA$24)</f>
        <v>0</v>
      </c>
      <c r="AJ19" s="190">
        <f>+_xlfn.XLOOKUP(AJ6, 'SENS Coal'!$D$9:$BA$9, 'SENS Coal'!$D$24:$BA$24)</f>
        <v>0</v>
      </c>
      <c r="AK19" s="190">
        <f>+_xlfn.XLOOKUP(AK6, 'SENS Coal'!$D$9:$BA$9, 'SENS Coal'!$D$24:$BA$24)</f>
        <v>0</v>
      </c>
      <c r="AL19" s="190">
        <f>+_xlfn.XLOOKUP(AL6, 'SENS Coal'!$D$9:$BA$9, 'SENS Coal'!$D$24:$BA$24)</f>
        <v>0</v>
      </c>
      <c r="AM19" s="190">
        <f>+_xlfn.XLOOKUP(AM6, 'SENS Coal'!$D$9:$BA$9, 'SENS Coal'!$D$24:$BA$24)</f>
        <v>0</v>
      </c>
      <c r="AN19" s="190">
        <f>+_xlfn.XLOOKUP(AN6, 'SENS Coal'!$D$9:$BA$9, 'SENS Coal'!$D$24:$BA$24)</f>
        <v>0</v>
      </c>
      <c r="AO19" s="190">
        <f>+_xlfn.XLOOKUP(AO6, 'SENS Coal'!$D$9:$BA$9, 'SENS Coal'!$D$24:$BA$24)</f>
        <v>0</v>
      </c>
      <c r="AP19" s="190">
        <f>+_xlfn.XLOOKUP(AP6, 'SENS Coal'!$D$9:$BA$9, 'SENS Coal'!$D$24:$BA$24)</f>
        <v>0</v>
      </c>
      <c r="AQ19" s="190">
        <f>+_xlfn.XLOOKUP(AQ6, 'SENS Coal'!$D$9:$BA$9, 'SENS Coal'!$D$24:$BA$24)</f>
        <v>0</v>
      </c>
      <c r="AR19" s="190">
        <f>+_xlfn.XLOOKUP(AR6, 'SENS Coal'!$D$9:$BA$9, 'SENS Coal'!$D$24:$BA$24)</f>
        <v>0</v>
      </c>
      <c r="AS19" s="190">
        <f>+_xlfn.XLOOKUP(AS6, 'SENS Coal'!$D$9:$BA$9, 'SENS Coal'!$D$24:$BA$24)</f>
        <v>0</v>
      </c>
      <c r="AT19" s="190">
        <f>+_xlfn.XLOOKUP(AT6, 'SENS Coal'!$D$9:$BA$9, 'SENS Coal'!$D$24:$BA$24)</f>
        <v>0</v>
      </c>
      <c r="AU19" s="190">
        <f>+_xlfn.XLOOKUP(AU6, 'SENS Coal'!$D$9:$BA$9, 'SENS Coal'!$D$24:$BA$24)</f>
        <v>0</v>
      </c>
      <c r="AV19" s="190">
        <f>+_xlfn.XLOOKUP(AV6, 'SENS Coal'!$D$9:$BA$9, 'SENS Coal'!$D$24:$BA$24)</f>
        <v>0</v>
      </c>
      <c r="AW19" s="190">
        <f>+_xlfn.XLOOKUP(AW6, 'SENS Coal'!$D$9:$BA$9, 'SENS Coal'!$D$24:$BA$24)</f>
        <v>0</v>
      </c>
      <c r="AX19" s="190">
        <f>+_xlfn.XLOOKUP(AX6, 'SENS Coal'!$D$9:$BA$9, 'SENS Coal'!$D$24:$BA$24)</f>
        <v>0</v>
      </c>
    </row>
    <row r="20" spans="1:50" ht="14.25" customHeight="1">
      <c r="A20" s="1"/>
      <c r="B20" s="1"/>
      <c r="C20" s="98" t="s">
        <v>358</v>
      </c>
      <c r="D20" s="507">
        <f>SUM(E20:H20)</f>
        <v>-112.5</v>
      </c>
      <c r="E20" s="190">
        <f>_xlfn.XLOOKUP(E6, 'SENS Tires'!$D$9:$BA$9, 'SENS Tires'!$D$24:$BA$24)</f>
        <v>-103.125</v>
      </c>
      <c r="F20" s="190">
        <f>_xlfn.XLOOKUP(F6, 'SENS Tires'!$D$9:$BA$9, 'SENS Tires'!$D$24:$BA$24)</f>
        <v>-9.375</v>
      </c>
      <c r="G20" s="190">
        <f>_xlfn.XLOOKUP(G6, 'SENS Tires'!$D$9:$BA$9, 'SENS Tires'!$D$24:$BA$24)</f>
        <v>0</v>
      </c>
      <c r="H20" s="190">
        <f>_xlfn.XLOOKUP(H6, 'SENS Tires'!$D$9:$BA$9, 'SENS Tires'!$D$24:$BA$24)</f>
        <v>0</v>
      </c>
      <c r="I20" s="190">
        <f>_xlfn.XLOOKUP(I6, 'SENS Tires'!$D$9:$BA$9, 'SENS Tires'!$D$24:$BA$24)</f>
        <v>0</v>
      </c>
      <c r="J20" s="190">
        <f>_xlfn.XLOOKUP(J6, 'SENS Tires'!$D$9:$BA$9, 'SENS Tires'!$D$24:$BA$24)</f>
        <v>0</v>
      </c>
      <c r="K20" s="190">
        <f>_xlfn.XLOOKUP(K6, 'SENS Tires'!$D$9:$BA$9, 'SENS Tires'!$D$24:$BA$24)</f>
        <v>0</v>
      </c>
      <c r="L20" s="190">
        <f>_xlfn.XLOOKUP(L6, 'SENS Tires'!$D$9:$BA$9, 'SENS Tires'!$D$24:$BA$24)</f>
        <v>0</v>
      </c>
      <c r="M20" s="190">
        <f>_xlfn.XLOOKUP(M6, 'SENS Tires'!$D$9:$BA$9, 'SENS Tires'!$D$24:$BA$24)</f>
        <v>0</v>
      </c>
      <c r="N20" s="190">
        <f>_xlfn.XLOOKUP(N6, 'SENS Tires'!$D$9:$BA$9, 'SENS Tires'!$D$24:$BA$24)</f>
        <v>0</v>
      </c>
      <c r="O20" s="190">
        <f>_xlfn.XLOOKUP(O6, 'SENS Tires'!$D$9:$BA$9, 'SENS Tires'!$D$24:$BA$24)</f>
        <v>0</v>
      </c>
      <c r="P20" s="190">
        <f>_xlfn.XLOOKUP(P6, 'SENS Tires'!$D$9:$BA$9, 'SENS Tires'!$D$24:$BA$24)</f>
        <v>0</v>
      </c>
      <c r="Q20" s="190">
        <f>_xlfn.XLOOKUP(Q6, 'SENS Tires'!$D$9:$BA$9, 'SENS Tires'!$D$24:$BA$24)</f>
        <v>0</v>
      </c>
      <c r="R20" s="190">
        <f>_xlfn.XLOOKUP(R6, 'SENS Tires'!$D$9:$BA$9, 'SENS Tires'!$D$24:$BA$24)</f>
        <v>0</v>
      </c>
      <c r="S20" s="190">
        <f>_xlfn.XLOOKUP(S6, 'SENS Tires'!$D$9:$BA$9, 'SENS Tires'!$D$24:$BA$24)</f>
        <v>0</v>
      </c>
      <c r="T20" s="190">
        <f>_xlfn.XLOOKUP(T6, 'SENS Tires'!$D$9:$BA$9, 'SENS Tires'!$D$24:$BA$24)</f>
        <v>0</v>
      </c>
      <c r="U20" s="190">
        <f>_xlfn.XLOOKUP(U6, 'SENS Tires'!$D$9:$BA$9, 'SENS Tires'!$D$24:$BA$24)</f>
        <v>0</v>
      </c>
      <c r="V20" s="190">
        <f>_xlfn.XLOOKUP(V6, 'SENS Tires'!$D$9:$BA$9, 'SENS Tires'!$D$24:$BA$24)</f>
        <v>0</v>
      </c>
      <c r="W20" s="190">
        <f>_xlfn.XLOOKUP(W6, 'SENS Tires'!$D$9:$BA$9, 'SENS Tires'!$D$24:$BA$24)</f>
        <v>0</v>
      </c>
      <c r="X20" s="190">
        <f>_xlfn.XLOOKUP(X6, 'SENS Tires'!$D$9:$BA$9, 'SENS Tires'!$D$24:$BA$24)</f>
        <v>0</v>
      </c>
      <c r="Y20" s="190">
        <f>_xlfn.XLOOKUP(Y6, 'SENS Tires'!$D$9:$BA$9, 'SENS Tires'!$D$24:$BA$24)</f>
        <v>0</v>
      </c>
      <c r="Z20" s="190">
        <f>_xlfn.XLOOKUP(Z6, 'SENS Tires'!$D$9:$BA$9, 'SENS Tires'!$D$24:$BA$24)</f>
        <v>0</v>
      </c>
      <c r="AA20" s="190">
        <f>_xlfn.XLOOKUP(AA6, 'SENS Tires'!$D$9:$BA$9, 'SENS Tires'!$D$24:$BA$24)</f>
        <v>0</v>
      </c>
      <c r="AB20" s="190">
        <f>_xlfn.XLOOKUP(AB6, 'SENS Tires'!$D$9:$BA$9, 'SENS Tires'!$D$24:$BA$24)</f>
        <v>0</v>
      </c>
      <c r="AC20" s="190">
        <f>_xlfn.XLOOKUP(AC6, 'SENS Tires'!$D$9:$BA$9, 'SENS Tires'!$D$24:$BA$24)</f>
        <v>0</v>
      </c>
      <c r="AD20" s="190">
        <f>_xlfn.XLOOKUP(AD6, 'SENS Tires'!$D$9:$BA$9, 'SENS Tires'!$D$24:$BA$24)</f>
        <v>0</v>
      </c>
      <c r="AE20" s="190">
        <f>_xlfn.XLOOKUP(AE6, 'SENS Tires'!$D$9:$BA$9, 'SENS Tires'!$D$24:$BA$24)</f>
        <v>0</v>
      </c>
      <c r="AF20" s="190">
        <f>_xlfn.XLOOKUP(AF6, 'SENS Tires'!$D$9:$BA$9, 'SENS Tires'!$D$24:$BA$24)</f>
        <v>0</v>
      </c>
      <c r="AG20" s="190">
        <f>_xlfn.XLOOKUP(AG6, 'SENS Tires'!$D$9:$BA$9, 'SENS Tires'!$D$24:$BA$24)</f>
        <v>0</v>
      </c>
      <c r="AH20" s="190">
        <f>_xlfn.XLOOKUP(AH6, 'SENS Tires'!$D$9:$BA$9, 'SENS Tires'!$D$24:$BA$24)</f>
        <v>0</v>
      </c>
      <c r="AI20" s="190">
        <f>_xlfn.XLOOKUP(AI6, 'SENS Tires'!$D$9:$BA$9, 'SENS Tires'!$D$24:$BA$24)</f>
        <v>0</v>
      </c>
      <c r="AJ20" s="190">
        <f>_xlfn.XLOOKUP(AJ6, 'SENS Tires'!$D$9:$BA$9, 'SENS Tires'!$D$24:$BA$24)</f>
        <v>0</v>
      </c>
      <c r="AK20" s="190">
        <f>_xlfn.XLOOKUP(AK6, 'SENS Tires'!$D$9:$BA$9, 'SENS Tires'!$D$24:$BA$24)</f>
        <v>0</v>
      </c>
      <c r="AL20" s="190">
        <f>_xlfn.XLOOKUP(AL6, 'SENS Tires'!$D$9:$BA$9, 'SENS Tires'!$D$24:$BA$24)</f>
        <v>0</v>
      </c>
      <c r="AM20" s="190">
        <f>_xlfn.XLOOKUP(AM6, 'SENS Tires'!$D$9:$BA$9, 'SENS Tires'!$D$24:$BA$24)</f>
        <v>0</v>
      </c>
      <c r="AN20" s="190">
        <f>_xlfn.XLOOKUP(AN6, 'SENS Tires'!$D$9:$BA$9, 'SENS Tires'!$D$24:$BA$24)</f>
        <v>0</v>
      </c>
      <c r="AO20" s="190">
        <f>_xlfn.XLOOKUP(AO6, 'SENS Tires'!$D$9:$BA$9, 'SENS Tires'!$D$24:$BA$24)</f>
        <v>0</v>
      </c>
      <c r="AP20" s="190">
        <f>_xlfn.XLOOKUP(AP6, 'SENS Tires'!$D$9:$BA$9, 'SENS Tires'!$D$24:$BA$24)</f>
        <v>0</v>
      </c>
      <c r="AQ20" s="190">
        <f>_xlfn.XLOOKUP(AQ6, 'SENS Tires'!$D$9:$BA$9, 'SENS Tires'!$D$24:$BA$24)</f>
        <v>0</v>
      </c>
      <c r="AR20" s="190">
        <f>_xlfn.XLOOKUP(AR6, 'SENS Tires'!$D$9:$BA$9, 'SENS Tires'!$D$24:$BA$24)</f>
        <v>0</v>
      </c>
      <c r="AS20" s="190">
        <f>_xlfn.XLOOKUP(AS6, 'SENS Tires'!$D$9:$BA$9, 'SENS Tires'!$D$24:$BA$24)</f>
        <v>0</v>
      </c>
      <c r="AT20" s="190">
        <f>_xlfn.XLOOKUP(AT6, 'SENS Tires'!$D$9:$BA$9, 'SENS Tires'!$D$24:$BA$24)</f>
        <v>0</v>
      </c>
      <c r="AU20" s="190">
        <f>_xlfn.XLOOKUP(AU6, 'SENS Tires'!$D$9:$BA$9, 'SENS Tires'!$D$24:$BA$24)</f>
        <v>0</v>
      </c>
      <c r="AV20" s="190">
        <f>_xlfn.XLOOKUP(AV6, 'SENS Tires'!$D$9:$BA$9, 'SENS Tires'!$D$24:$BA$24)</f>
        <v>0</v>
      </c>
      <c r="AW20" s="190">
        <f>_xlfn.XLOOKUP(AW6, 'SENS Tires'!$D$9:$BA$9, 'SENS Tires'!$D$24:$BA$24)</f>
        <v>0</v>
      </c>
      <c r="AX20" s="190">
        <f>_xlfn.XLOOKUP(AX6, 'SENS Tires'!$D$9:$BA$9, 'SENS Tires'!$D$24:$BA$24)</f>
        <v>0</v>
      </c>
    </row>
    <row r="21" spans="1:50" ht="14.25" customHeight="1">
      <c r="A21" s="1"/>
      <c r="B21" s="1"/>
      <c r="C21" s="98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</row>
    <row r="22" spans="1:50" ht="14.25" customHeight="1">
      <c r="A22" s="1"/>
      <c r="B22" s="1"/>
      <c r="C22" s="150" t="s">
        <v>359</v>
      </c>
      <c r="D22" s="172"/>
      <c r="E22" s="168">
        <f>SUM(E8:E20)</f>
        <v>-12251.216248097413</v>
      </c>
      <c r="F22" s="168">
        <f t="shared" ref="F22:R22" si="39">SUM(F8:F20)</f>
        <v>-215.29166666666666</v>
      </c>
      <c r="G22" s="168">
        <f t="shared" si="39"/>
        <v>-126.66666666666666</v>
      </c>
      <c r="H22" s="168">
        <f t="shared" si="39"/>
        <v>-93.055555555555557</v>
      </c>
      <c r="I22" s="168">
        <f t="shared" si="39"/>
        <v>-7.5</v>
      </c>
      <c r="J22" s="168">
        <f t="shared" si="39"/>
        <v>0</v>
      </c>
      <c r="K22" s="168">
        <f t="shared" si="39"/>
        <v>0</v>
      </c>
      <c r="L22" s="168">
        <f t="shared" si="39"/>
        <v>0</v>
      </c>
      <c r="M22" s="168">
        <f t="shared" si="39"/>
        <v>0</v>
      </c>
      <c r="N22" s="168">
        <f t="shared" si="39"/>
        <v>0</v>
      </c>
      <c r="O22" s="168">
        <f t="shared" si="39"/>
        <v>0</v>
      </c>
      <c r="P22" s="168">
        <f t="shared" si="39"/>
        <v>0</v>
      </c>
      <c r="Q22" s="168">
        <f t="shared" si="39"/>
        <v>0</v>
      </c>
      <c r="R22" s="168">
        <f t="shared" si="39"/>
        <v>0</v>
      </c>
      <c r="S22" s="168">
        <f t="shared" ref="S22:AK22" si="40">SUM(S8:S20)</f>
        <v>0</v>
      </c>
      <c r="T22" s="168">
        <f t="shared" si="40"/>
        <v>0</v>
      </c>
      <c r="U22" s="168">
        <f t="shared" si="40"/>
        <v>0</v>
      </c>
      <c r="V22" s="168">
        <f t="shared" si="40"/>
        <v>0</v>
      </c>
      <c r="W22" s="168">
        <f t="shared" si="40"/>
        <v>0</v>
      </c>
      <c r="X22" s="168">
        <f t="shared" si="40"/>
        <v>0</v>
      </c>
      <c r="Y22" s="168">
        <f t="shared" si="40"/>
        <v>0</v>
      </c>
      <c r="Z22" s="168">
        <f t="shared" si="40"/>
        <v>0</v>
      </c>
      <c r="AA22" s="168">
        <f t="shared" si="40"/>
        <v>0</v>
      </c>
      <c r="AB22" s="168">
        <f t="shared" si="40"/>
        <v>0</v>
      </c>
      <c r="AC22" s="168">
        <f t="shared" si="40"/>
        <v>0</v>
      </c>
      <c r="AD22" s="168">
        <f t="shared" si="40"/>
        <v>0</v>
      </c>
      <c r="AE22" s="168">
        <f t="shared" si="40"/>
        <v>0</v>
      </c>
      <c r="AF22" s="168">
        <f t="shared" si="40"/>
        <v>0</v>
      </c>
      <c r="AG22" s="168">
        <f t="shared" si="40"/>
        <v>0</v>
      </c>
      <c r="AH22" s="168">
        <f t="shared" si="40"/>
        <v>0</v>
      </c>
      <c r="AI22" s="168">
        <f t="shared" si="40"/>
        <v>0</v>
      </c>
      <c r="AJ22" s="168">
        <f t="shared" si="40"/>
        <v>0</v>
      </c>
      <c r="AK22" s="168">
        <f t="shared" si="40"/>
        <v>0</v>
      </c>
      <c r="AL22" s="168">
        <f t="shared" ref="AL22:AX22" si="41">SUM(AL8:AL20)</f>
        <v>0</v>
      </c>
      <c r="AM22" s="168">
        <f t="shared" si="41"/>
        <v>0</v>
      </c>
      <c r="AN22" s="168">
        <f t="shared" si="41"/>
        <v>0</v>
      </c>
      <c r="AO22" s="168">
        <f t="shared" si="41"/>
        <v>0</v>
      </c>
      <c r="AP22" s="168">
        <f t="shared" si="41"/>
        <v>0</v>
      </c>
      <c r="AQ22" s="168">
        <f t="shared" si="41"/>
        <v>0</v>
      </c>
      <c r="AR22" s="168">
        <f t="shared" si="41"/>
        <v>0</v>
      </c>
      <c r="AS22" s="168">
        <f t="shared" si="41"/>
        <v>0</v>
      </c>
      <c r="AT22" s="168">
        <f t="shared" si="41"/>
        <v>0</v>
      </c>
      <c r="AU22" s="168">
        <f t="shared" si="41"/>
        <v>0</v>
      </c>
      <c r="AV22" s="168">
        <f t="shared" si="41"/>
        <v>0</v>
      </c>
      <c r="AW22" s="168">
        <f t="shared" si="41"/>
        <v>0</v>
      </c>
      <c r="AX22" s="168">
        <f t="shared" si="41"/>
        <v>0</v>
      </c>
    </row>
    <row r="23" spans="1:50" ht="14.25" customHeight="1" thickBot="1">
      <c r="A23" s="1"/>
      <c r="B23" s="1"/>
      <c r="C23" s="151" t="s">
        <v>360</v>
      </c>
      <c r="D23" s="241"/>
      <c r="E23" s="152">
        <f>SUM(E22:BB22)</f>
        <v>-12693.7301369863</v>
      </c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</row>
    <row r="24" spans="1:50" ht="14.25" customHeight="1">
      <c r="A24" s="1"/>
      <c r="B24" s="1"/>
      <c r="C24" s="188"/>
      <c r="D24" s="188"/>
      <c r="E24" s="189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</row>
    <row r="25" spans="1:50" ht="14.25" customHeight="1">
      <c r="A25" s="1"/>
      <c r="B25" s="1"/>
      <c r="C25" s="188"/>
      <c r="D25" s="188"/>
      <c r="E25" s="189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</row>
    <row r="26" spans="1:50" ht="20" thickBot="1">
      <c r="A26" s="1" t="s">
        <v>351</v>
      </c>
      <c r="B26" s="1"/>
      <c r="C26" s="9" t="s">
        <v>361</v>
      </c>
      <c r="D26" s="9"/>
      <c r="E26" s="9"/>
      <c r="F26" s="10"/>
      <c r="G26" s="10"/>
      <c r="H26" s="10"/>
      <c r="I26" s="10"/>
      <c r="J26" s="10"/>
      <c r="K26" s="11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ht="14.25" customHeight="1">
      <c r="A27" s="1"/>
      <c r="B27" s="1"/>
      <c r="C27" s="12" t="s">
        <v>353</v>
      </c>
      <c r="D27" s="12"/>
      <c r="E27" s="43">
        <v>0</v>
      </c>
      <c r="F27" s="90">
        <f t="shared" ref="F27" si="42">E27+1</f>
        <v>1</v>
      </c>
      <c r="G27" s="90">
        <f t="shared" ref="G27" si="43">F27+1</f>
        <v>2</v>
      </c>
      <c r="H27" s="90">
        <f t="shared" ref="H27" si="44">G27+1</f>
        <v>3</v>
      </c>
      <c r="I27" s="90">
        <f t="shared" ref="I27" si="45">H27+1</f>
        <v>4</v>
      </c>
      <c r="J27" s="90">
        <f t="shared" ref="J27" si="46">I27+1</f>
        <v>5</v>
      </c>
      <c r="K27" s="90">
        <f t="shared" ref="K27" si="47">J27+1</f>
        <v>6</v>
      </c>
      <c r="L27" s="90">
        <f t="shared" ref="L27" si="48">K27+1</f>
        <v>7</v>
      </c>
      <c r="M27" s="90">
        <f t="shared" ref="M27" si="49">L27+1</f>
        <v>8</v>
      </c>
      <c r="N27" s="90">
        <f t="shared" ref="N27" si="50">M27+1</f>
        <v>9</v>
      </c>
      <c r="O27" s="90">
        <f t="shared" ref="O27" si="51">N27+1</f>
        <v>10</v>
      </c>
      <c r="P27" s="90">
        <f t="shared" ref="P27" si="52">O27+1</f>
        <v>11</v>
      </c>
      <c r="Q27" s="90">
        <f t="shared" ref="Q27" si="53">P27+1</f>
        <v>12</v>
      </c>
      <c r="R27" s="90">
        <f t="shared" ref="R27" si="54">Q27+1</f>
        <v>13</v>
      </c>
      <c r="S27" s="90">
        <f t="shared" ref="S27" si="55">R27+1</f>
        <v>14</v>
      </c>
      <c r="T27" s="90">
        <f t="shared" ref="T27" si="56">S27+1</f>
        <v>15</v>
      </c>
      <c r="U27" s="90">
        <f t="shared" ref="U27" si="57">T27+1</f>
        <v>16</v>
      </c>
      <c r="V27" s="90">
        <f t="shared" ref="V27" si="58">U27+1</f>
        <v>17</v>
      </c>
      <c r="W27" s="90">
        <f t="shared" ref="W27" si="59">V27+1</f>
        <v>18</v>
      </c>
      <c r="X27" s="90">
        <f t="shared" ref="X27" si="60">W27+1</f>
        <v>19</v>
      </c>
      <c r="Y27" s="90">
        <f t="shared" ref="Y27" si="61">X27+1</f>
        <v>20</v>
      </c>
      <c r="Z27" s="90">
        <f t="shared" ref="Z27" si="62">Y27+1</f>
        <v>21</v>
      </c>
      <c r="AA27" s="90">
        <f t="shared" ref="AA27" si="63">Z27+1</f>
        <v>22</v>
      </c>
      <c r="AB27" s="90">
        <f t="shared" ref="AB27" si="64">AA27+1</f>
        <v>23</v>
      </c>
      <c r="AC27" s="90">
        <f t="shared" ref="AC27" si="65">AB27+1</f>
        <v>24</v>
      </c>
      <c r="AD27" s="90">
        <f t="shared" ref="AD27" si="66">AC27+1</f>
        <v>25</v>
      </c>
      <c r="AE27" s="90">
        <f t="shared" ref="AE27" si="67">AD27+1</f>
        <v>26</v>
      </c>
      <c r="AF27" s="90">
        <f t="shared" ref="AF27" si="68">AE27+1</f>
        <v>27</v>
      </c>
      <c r="AG27" s="90">
        <f t="shared" ref="AG27" si="69">AF27+1</f>
        <v>28</v>
      </c>
      <c r="AH27" s="90">
        <f t="shared" ref="AH27" si="70">AG27+1</f>
        <v>29</v>
      </c>
      <c r="AI27" s="90">
        <f t="shared" ref="AI27" si="71">AH27+1</f>
        <v>30</v>
      </c>
      <c r="AJ27" s="90">
        <f t="shared" ref="AJ27" si="72">AI27+1</f>
        <v>31</v>
      </c>
      <c r="AK27" s="90">
        <f t="shared" ref="AK27" si="73">AJ27+1</f>
        <v>32</v>
      </c>
      <c r="AL27" s="90">
        <f t="shared" ref="AL27" si="74">AK27+1</f>
        <v>33</v>
      </c>
      <c r="AM27" s="90">
        <f t="shared" ref="AM27" si="75">AL27+1</f>
        <v>34</v>
      </c>
      <c r="AN27" s="90">
        <f t="shared" ref="AN27" si="76">AM27+1</f>
        <v>35</v>
      </c>
      <c r="AO27" s="90">
        <f t="shared" ref="AO27" si="77">AN27+1</f>
        <v>36</v>
      </c>
      <c r="AP27" s="90">
        <f t="shared" ref="AP27" si="78">AO27+1</f>
        <v>37</v>
      </c>
      <c r="AQ27" s="90">
        <f t="shared" ref="AQ27" si="79">AP27+1</f>
        <v>38</v>
      </c>
      <c r="AR27" s="90">
        <f t="shared" ref="AR27" si="80">AQ27+1</f>
        <v>39</v>
      </c>
      <c r="AS27" s="90">
        <f t="shared" ref="AS27" si="81">AR27+1</f>
        <v>40</v>
      </c>
      <c r="AT27" s="90">
        <f t="shared" ref="AT27" si="82">AS27+1</f>
        <v>41</v>
      </c>
      <c r="AU27" s="90">
        <f t="shared" ref="AU27" si="83">AT27+1</f>
        <v>42</v>
      </c>
      <c r="AV27" s="90">
        <f t="shared" ref="AV27" si="84">AU27+1</f>
        <v>43</v>
      </c>
      <c r="AW27" s="90">
        <f t="shared" ref="AW27" si="85">AV27+1</f>
        <v>44</v>
      </c>
      <c r="AX27" s="90">
        <f t="shared" ref="AX27" si="86">AW27+1</f>
        <v>45</v>
      </c>
    </row>
    <row r="28" spans="1:50" ht="16" thickBot="1">
      <c r="B28" s="1"/>
      <c r="C28" s="200"/>
      <c r="D28" s="200"/>
      <c r="E28" s="83"/>
      <c r="F28" s="806" t="s">
        <v>354</v>
      </c>
      <c r="G28" s="806"/>
      <c r="H28" s="806"/>
      <c r="I28" s="806"/>
      <c r="J28" s="806"/>
      <c r="K28" s="806"/>
      <c r="L28" s="806"/>
      <c r="M28" s="806"/>
      <c r="N28" s="806"/>
      <c r="O28" s="806"/>
      <c r="P28" s="806"/>
      <c r="Q28" s="806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</row>
    <row r="29" spans="1:50" ht="14.25" customHeight="1">
      <c r="A29" s="1"/>
      <c r="B29" s="84"/>
      <c r="C29" s="202"/>
      <c r="D29" s="240"/>
      <c r="E29" s="204">
        <f>E6</f>
        <v>2026</v>
      </c>
      <c r="F29" s="204">
        <f t="shared" ref="F29" si="87">E29+1</f>
        <v>2027</v>
      </c>
      <c r="G29" s="204">
        <f t="shared" ref="G29" si="88">F29+1</f>
        <v>2028</v>
      </c>
      <c r="H29" s="204">
        <f t="shared" ref="H29" si="89">G29+1</f>
        <v>2029</v>
      </c>
      <c r="I29" s="204">
        <f t="shared" ref="I29" si="90">H29+1</f>
        <v>2030</v>
      </c>
      <c r="J29" s="204">
        <f t="shared" ref="J29" si="91">I29+1</f>
        <v>2031</v>
      </c>
      <c r="K29" s="204">
        <f t="shared" ref="K29" si="92">J29+1</f>
        <v>2032</v>
      </c>
      <c r="L29" s="204">
        <f t="shared" ref="L29" si="93">K29+1</f>
        <v>2033</v>
      </c>
      <c r="M29" s="204">
        <f t="shared" ref="M29" si="94">L29+1</f>
        <v>2034</v>
      </c>
      <c r="N29" s="204">
        <f t="shared" ref="N29" si="95">M29+1</f>
        <v>2035</v>
      </c>
      <c r="O29" s="204">
        <f t="shared" ref="O29" si="96">N29+1</f>
        <v>2036</v>
      </c>
      <c r="P29" s="204">
        <f t="shared" ref="P29" si="97">O29+1</f>
        <v>2037</v>
      </c>
      <c r="Q29" s="204">
        <f t="shared" ref="Q29" si="98">P29+1</f>
        <v>2038</v>
      </c>
      <c r="R29" s="204">
        <f t="shared" ref="R29" si="99">Q29+1</f>
        <v>2039</v>
      </c>
      <c r="S29" s="204">
        <f t="shared" ref="S29" si="100">R29+1</f>
        <v>2040</v>
      </c>
      <c r="T29" s="204">
        <f t="shared" ref="T29" si="101">S29+1</f>
        <v>2041</v>
      </c>
      <c r="U29" s="204">
        <f t="shared" ref="U29" si="102">T29+1</f>
        <v>2042</v>
      </c>
      <c r="V29" s="204">
        <f t="shared" ref="V29" si="103">U29+1</f>
        <v>2043</v>
      </c>
      <c r="W29" s="204">
        <f t="shared" ref="W29" si="104">V29+1</f>
        <v>2044</v>
      </c>
      <c r="X29" s="204">
        <f t="shared" ref="X29" si="105">W29+1</f>
        <v>2045</v>
      </c>
      <c r="Y29" s="204">
        <f t="shared" ref="Y29" si="106">X29+1</f>
        <v>2046</v>
      </c>
      <c r="Z29" s="204">
        <f t="shared" ref="Z29" si="107">Y29+1</f>
        <v>2047</v>
      </c>
      <c r="AA29" s="204">
        <f t="shared" ref="AA29" si="108">Z29+1</f>
        <v>2048</v>
      </c>
      <c r="AB29" s="204">
        <f t="shared" ref="AB29" si="109">AA29+1</f>
        <v>2049</v>
      </c>
      <c r="AC29" s="204">
        <f t="shared" ref="AC29" si="110">AB29+1</f>
        <v>2050</v>
      </c>
      <c r="AD29" s="204">
        <f t="shared" ref="AD29" si="111">AC29+1</f>
        <v>2051</v>
      </c>
      <c r="AE29" s="204">
        <f t="shared" ref="AE29" si="112">AD29+1</f>
        <v>2052</v>
      </c>
      <c r="AF29" s="204">
        <f t="shared" ref="AF29" si="113">AE29+1</f>
        <v>2053</v>
      </c>
      <c r="AG29" s="204">
        <f t="shared" ref="AG29" si="114">AF29+1</f>
        <v>2054</v>
      </c>
      <c r="AH29" s="204">
        <f t="shared" ref="AH29" si="115">AG29+1</f>
        <v>2055</v>
      </c>
      <c r="AI29" s="204">
        <f t="shared" ref="AI29" si="116">AH29+1</f>
        <v>2056</v>
      </c>
      <c r="AJ29" s="204">
        <f t="shared" ref="AJ29" si="117">AI29+1</f>
        <v>2057</v>
      </c>
      <c r="AK29" s="204">
        <f t="shared" ref="AK29" si="118">AJ29+1</f>
        <v>2058</v>
      </c>
      <c r="AL29" s="204">
        <f t="shared" ref="AL29" si="119">AK29+1</f>
        <v>2059</v>
      </c>
      <c r="AM29" s="204">
        <f t="shared" ref="AM29" si="120">AL29+1</f>
        <v>2060</v>
      </c>
      <c r="AN29" s="204">
        <f t="shared" ref="AN29" si="121">AM29+1</f>
        <v>2061</v>
      </c>
      <c r="AO29" s="204">
        <f t="shared" ref="AO29" si="122">AN29+1</f>
        <v>2062</v>
      </c>
      <c r="AP29" s="204">
        <f t="shared" ref="AP29" si="123">AO29+1</f>
        <v>2063</v>
      </c>
      <c r="AQ29" s="204">
        <f t="shared" ref="AQ29" si="124">AP29+1</f>
        <v>2064</v>
      </c>
      <c r="AR29" s="204">
        <f t="shared" ref="AR29" si="125">AQ29+1</f>
        <v>2065</v>
      </c>
      <c r="AS29" s="204">
        <f t="shared" ref="AS29" si="126">AR29+1</f>
        <v>2066</v>
      </c>
      <c r="AT29" s="204">
        <f t="shared" ref="AT29" si="127">AS29+1</f>
        <v>2067</v>
      </c>
      <c r="AU29" s="204">
        <f t="shared" ref="AU29" si="128">AT29+1</f>
        <v>2068</v>
      </c>
      <c r="AV29" s="204">
        <f t="shared" ref="AV29" si="129">AU29+1</f>
        <v>2069</v>
      </c>
      <c r="AW29" s="204">
        <f t="shared" ref="AW29" si="130">AV29+1</f>
        <v>2070</v>
      </c>
      <c r="AX29" s="204">
        <f t="shared" ref="AX29" si="131">AW29+1</f>
        <v>2071</v>
      </c>
    </row>
    <row r="30" spans="1:50" ht="14.25" customHeight="1">
      <c r="A30" s="44"/>
      <c r="B30" s="205"/>
      <c r="C30" s="94"/>
      <c r="D30" s="205"/>
      <c r="E30" s="142">
        <f>E7</f>
        <v>46023</v>
      </c>
      <c r="F30" s="142">
        <f t="shared" ref="F30:R30" si="132">F7</f>
        <v>46752</v>
      </c>
      <c r="G30" s="142">
        <f t="shared" si="132"/>
        <v>47118</v>
      </c>
      <c r="H30" s="142">
        <f t="shared" si="132"/>
        <v>47483</v>
      </c>
      <c r="I30" s="142">
        <f t="shared" si="132"/>
        <v>47848</v>
      </c>
      <c r="J30" s="142">
        <f t="shared" si="132"/>
        <v>48213</v>
      </c>
      <c r="K30" s="142">
        <f t="shared" si="132"/>
        <v>48579</v>
      </c>
      <c r="L30" s="142">
        <f t="shared" si="132"/>
        <v>48944</v>
      </c>
      <c r="M30" s="142">
        <f t="shared" si="132"/>
        <v>49309</v>
      </c>
      <c r="N30" s="142">
        <f t="shared" si="132"/>
        <v>49674</v>
      </c>
      <c r="O30" s="142">
        <f t="shared" si="132"/>
        <v>50040</v>
      </c>
      <c r="P30" s="142">
        <f t="shared" si="132"/>
        <v>50405</v>
      </c>
      <c r="Q30" s="142">
        <f t="shared" si="132"/>
        <v>50770</v>
      </c>
      <c r="R30" s="142">
        <f t="shared" si="132"/>
        <v>51135</v>
      </c>
      <c r="S30" s="142">
        <f t="shared" ref="S30:AK30" si="133">S7</f>
        <v>51501</v>
      </c>
      <c r="T30" s="142">
        <f t="shared" si="133"/>
        <v>51866</v>
      </c>
      <c r="U30" s="142">
        <f t="shared" si="133"/>
        <v>52231</v>
      </c>
      <c r="V30" s="142">
        <f t="shared" si="133"/>
        <v>52596</v>
      </c>
      <c r="W30" s="142">
        <f t="shared" si="133"/>
        <v>52962</v>
      </c>
      <c r="X30" s="142">
        <f t="shared" si="133"/>
        <v>53327</v>
      </c>
      <c r="Y30" s="142">
        <f t="shared" si="133"/>
        <v>53692</v>
      </c>
      <c r="Z30" s="142">
        <f t="shared" si="133"/>
        <v>54057</v>
      </c>
      <c r="AA30" s="142">
        <f t="shared" si="133"/>
        <v>54423</v>
      </c>
      <c r="AB30" s="142">
        <f t="shared" si="133"/>
        <v>54788</v>
      </c>
      <c r="AC30" s="142">
        <f t="shared" si="133"/>
        <v>55153</v>
      </c>
      <c r="AD30" s="142">
        <f t="shared" si="133"/>
        <v>55518</v>
      </c>
      <c r="AE30" s="142">
        <f t="shared" si="133"/>
        <v>55884</v>
      </c>
      <c r="AF30" s="142">
        <f t="shared" si="133"/>
        <v>56249</v>
      </c>
      <c r="AG30" s="142">
        <f t="shared" si="133"/>
        <v>56614</v>
      </c>
      <c r="AH30" s="142">
        <f t="shared" si="133"/>
        <v>56979</v>
      </c>
      <c r="AI30" s="142">
        <f t="shared" si="133"/>
        <v>57345</v>
      </c>
      <c r="AJ30" s="142">
        <f t="shared" si="133"/>
        <v>57710</v>
      </c>
      <c r="AK30" s="142">
        <f t="shared" si="133"/>
        <v>58075</v>
      </c>
      <c r="AL30" s="142">
        <f t="shared" ref="AL30:AX30" si="134">AL7</f>
        <v>58440</v>
      </c>
      <c r="AM30" s="142">
        <f t="shared" si="134"/>
        <v>58806</v>
      </c>
      <c r="AN30" s="142">
        <f t="shared" si="134"/>
        <v>59171</v>
      </c>
      <c r="AO30" s="142">
        <f t="shared" si="134"/>
        <v>59536</v>
      </c>
      <c r="AP30" s="142">
        <f t="shared" si="134"/>
        <v>59901</v>
      </c>
      <c r="AQ30" s="142">
        <f t="shared" si="134"/>
        <v>60267</v>
      </c>
      <c r="AR30" s="142">
        <f t="shared" si="134"/>
        <v>60632</v>
      </c>
      <c r="AS30" s="142">
        <f t="shared" si="134"/>
        <v>60997</v>
      </c>
      <c r="AT30" s="142">
        <f t="shared" si="134"/>
        <v>61362</v>
      </c>
      <c r="AU30" s="142">
        <f t="shared" si="134"/>
        <v>61728</v>
      </c>
      <c r="AV30" s="142">
        <f t="shared" si="134"/>
        <v>62093</v>
      </c>
      <c r="AW30" s="142">
        <f t="shared" si="134"/>
        <v>62458</v>
      </c>
      <c r="AX30" s="142">
        <f t="shared" si="134"/>
        <v>62823</v>
      </c>
    </row>
    <row r="31" spans="1:50" ht="14.25" customHeight="1">
      <c r="A31" s="1"/>
      <c r="B31" s="84"/>
      <c r="C31" s="226" t="s">
        <v>362</v>
      </c>
      <c r="D31" s="242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</row>
    <row r="32" spans="1:50" ht="14.25" customHeight="1">
      <c r="A32" s="1"/>
      <c r="B32" s="84"/>
      <c r="C32" s="203" t="s">
        <v>356</v>
      </c>
      <c r="D32" s="79"/>
      <c r="E32" s="469">
        <f>_xlfn.XLOOKUP(E$88, Load!$D$110:$BA$110, Load!$D$115:$BA$115)</f>
        <v>8743.0191780821915</v>
      </c>
      <c r="F32" s="469">
        <f>_xlfn.XLOOKUP(F$88, Load!$D$110:$BA$110, Load!$D$115:$BA$115)</f>
        <v>10665.902465753425</v>
      </c>
      <c r="G32" s="469">
        <f>_xlfn.XLOOKUP(G$88, Load!$D$110:$BA$110, Load!$D$115:$BA$115)</f>
        <v>10879.220515068495</v>
      </c>
      <c r="H32" s="469">
        <f>_xlfn.XLOOKUP(H$88, Load!$D$110:$BA$110, Load!$D$115:$BA$115)</f>
        <v>11096.804925369863</v>
      </c>
      <c r="I32" s="469">
        <f>_xlfn.XLOOKUP(I$88, Load!$D$110:$BA$110, Load!$D$115:$BA$115)</f>
        <v>11318.741023877261</v>
      </c>
      <c r="J32" s="469">
        <f>_xlfn.XLOOKUP(J$88, Load!$D$110:$BA$110, Load!$D$115:$BA$115)</f>
        <v>11545.115844354807</v>
      </c>
      <c r="K32" s="469">
        <f>_xlfn.XLOOKUP(K$88, Load!$D$110:$BA$110, Load!$D$115:$BA$115)</f>
        <v>11776.018161241904</v>
      </c>
      <c r="L32" s="469">
        <f>_xlfn.XLOOKUP(L$88, Load!$D$110:$BA$110, Load!$D$115:$BA$115)</f>
        <v>12011.538524466738</v>
      </c>
      <c r="M32" s="469">
        <f>_xlfn.XLOOKUP(M$88, Load!$D$110:$BA$110, Load!$D$115:$BA$115)</f>
        <v>12251.769294956073</v>
      </c>
      <c r="N32" s="469">
        <f>_xlfn.XLOOKUP(N$88, Load!$D$110:$BA$110, Load!$D$115:$BA$115)</f>
        <v>12496.804680855194</v>
      </c>
      <c r="O32" s="469">
        <f>_xlfn.XLOOKUP(O$88, Load!$D$110:$BA$110, Load!$D$115:$BA$115)</f>
        <v>12746.740774472299</v>
      </c>
      <c r="P32" s="469">
        <f>_xlfn.XLOOKUP(P$88, Load!$D$110:$BA$110, Load!$D$115:$BA$115)</f>
        <v>13001.675589961744</v>
      </c>
      <c r="Q32" s="469">
        <f>_xlfn.XLOOKUP(Q$88, Load!$D$110:$BA$110, Load!$D$115:$BA$115)</f>
        <v>13261.709101760982</v>
      </c>
      <c r="R32" s="469">
        <f>_xlfn.XLOOKUP(R$88, Load!$D$110:$BA$110, Load!$D$115:$BA$115)</f>
        <v>13526.943283796199</v>
      </c>
      <c r="S32" s="469">
        <f>_xlfn.XLOOKUP(S$88, Load!$D$110:$BA$110, Load!$D$115:$BA$115)</f>
        <v>13797.482149472125</v>
      </c>
      <c r="T32" s="469">
        <f>_xlfn.XLOOKUP(T$88, Load!$D$110:$BA$110, Load!$D$115:$BA$115)</f>
        <v>14073.431792461564</v>
      </c>
      <c r="U32" s="469">
        <f>_xlfn.XLOOKUP(U$88, Load!$D$110:$BA$110, Load!$D$115:$BA$115)</f>
        <v>14354.900428310797</v>
      </c>
      <c r="V32" s="469">
        <f>_xlfn.XLOOKUP(V$88, Load!$D$110:$BA$110, Load!$D$115:$BA$115)</f>
        <v>14641.998436877015</v>
      </c>
      <c r="W32" s="469">
        <f>_xlfn.XLOOKUP(W$88, Load!$D$110:$BA$110, Load!$D$115:$BA$115)</f>
        <v>14934.838405614553</v>
      </c>
      <c r="X32" s="469">
        <f>_xlfn.XLOOKUP(X$88, Load!$D$110:$BA$110, Load!$D$115:$BA$115)</f>
        <v>15233.535173726843</v>
      </c>
      <c r="Y32" s="469">
        <f>_xlfn.XLOOKUP(Y$88, Load!$D$110:$BA$110, Load!$D$115:$BA$115)</f>
        <v>15538.205877201382</v>
      </c>
      <c r="Z32" s="469">
        <f>_xlfn.XLOOKUP(Z$88, Load!$D$110:$BA$110, Load!$D$115:$BA$115)</f>
        <v>15848.96999474541</v>
      </c>
      <c r="AA32" s="469">
        <f>_xlfn.XLOOKUP(AA$88, Load!$D$110:$BA$110, Load!$D$115:$BA$115)</f>
        <v>16165.949394640318</v>
      </c>
      <c r="AB32" s="469">
        <f>_xlfn.XLOOKUP(AB$88, Load!$D$110:$BA$110, Load!$D$115:$BA$115)</f>
        <v>16489.268382533122</v>
      </c>
      <c r="AC32" s="469">
        <f>_xlfn.XLOOKUP(AC$88, Load!$D$110:$BA$110, Load!$D$115:$BA$115)</f>
        <v>16819.053750183786</v>
      </c>
      <c r="AD32" s="469">
        <f>_xlfn.XLOOKUP(AD$88, Load!$D$110:$BA$110, Load!$D$115:$BA$115)</f>
        <v>17155.434825187458</v>
      </c>
      <c r="AE32" s="469">
        <f>_xlfn.XLOOKUP(AE$88, Load!$D$110:$BA$110, Load!$D$115:$BA$115)</f>
        <v>17498.543521691212</v>
      </c>
      <c r="AF32" s="469">
        <f>_xlfn.XLOOKUP(AF$88, Load!$D$110:$BA$110, Load!$D$115:$BA$115)</f>
        <v>17848.514392125035</v>
      </c>
      <c r="AG32" s="469">
        <f>_xlfn.XLOOKUP(AG$88, Load!$D$110:$BA$110, Load!$D$115:$BA$115)</f>
        <v>18205.484679967536</v>
      </c>
      <c r="AH32" s="469">
        <f>_xlfn.XLOOKUP(AH$88, Load!$D$110:$BA$110, Load!$D$115:$BA$115)</f>
        <v>18569.594373566884</v>
      </c>
      <c r="AI32" s="469">
        <f>_xlfn.XLOOKUP(AI$88, Load!$D$110:$BA$110, Load!$D$115:$BA$115)</f>
        <v>18940.986261038222</v>
      </c>
      <c r="AJ32" s="469">
        <f>_xlfn.XLOOKUP(AJ$88, Load!$D$110:$BA$110, Load!$D$115:$BA$115)</f>
        <v>19319.805986258983</v>
      </c>
      <c r="AK32" s="469">
        <f>_xlfn.XLOOKUP(AK$88, Load!$D$110:$BA$110, Load!$D$115:$BA$115)</f>
        <v>19706.202105984168</v>
      </c>
      <c r="AL32" s="469">
        <f>_xlfn.XLOOKUP(AL$88, Load!$D$110:$BA$110, Load!$D$115:$BA$115)</f>
        <v>20100.326148103853</v>
      </c>
      <c r="AM32" s="469">
        <f>_xlfn.XLOOKUP(AM$88, Load!$D$110:$BA$110, Load!$D$115:$BA$115)</f>
        <v>20502.332671065928</v>
      </c>
      <c r="AN32" s="469">
        <f>_xlfn.XLOOKUP(AN$88, Load!$D$110:$BA$110, Load!$D$115:$BA$115)</f>
        <v>20912.379324487243</v>
      </c>
      <c r="AO32" s="469">
        <f>_xlfn.XLOOKUP(AO$88, Load!$D$110:$BA$110, Load!$D$115:$BA$115)</f>
        <v>21330.626910976989</v>
      </c>
      <c r="AP32" s="469">
        <f>_xlfn.XLOOKUP(AP$88, Load!$D$110:$BA$110, Load!$D$115:$BA$115)</f>
        <v>21757.239449196531</v>
      </c>
      <c r="AQ32" s="469">
        <f>_xlfn.XLOOKUP(AQ$88, Load!$D$110:$BA$110, Load!$D$115:$BA$115)</f>
        <v>22192.384238180464</v>
      </c>
      <c r="AR32" s="469">
        <f>_xlfn.XLOOKUP(AR$88, Load!$D$110:$BA$110, Load!$D$115:$BA$115)</f>
        <v>22636.231922944065</v>
      </c>
      <c r="AS32" s="469">
        <f>_xlfn.XLOOKUP(AS$88, Load!$D$110:$BA$110, Load!$D$115:$BA$115)</f>
        <v>23088.956561402953</v>
      </c>
      <c r="AT32" s="469">
        <f>_xlfn.XLOOKUP(AT$88, Load!$D$110:$BA$110, Load!$D$115:$BA$115)</f>
        <v>23550.735692631009</v>
      </c>
      <c r="AU32" s="469">
        <f>_xlfn.XLOOKUP(AU$88, Load!$D$110:$BA$110, Load!$D$115:$BA$115)</f>
        <v>24021.750406483632</v>
      </c>
      <c r="AV32" s="469">
        <f>_xlfn.XLOOKUP(AV$88, Load!$D$110:$BA$110, Load!$D$115:$BA$115)</f>
        <v>24502.185414613301</v>
      </c>
      <c r="AW32" s="469">
        <f>_xlfn.XLOOKUP(AW$88, Load!$D$110:$BA$110, Load!$D$115:$BA$115)</f>
        <v>24992.229122905574</v>
      </c>
      <c r="AX32" s="469" t="e">
        <f>_xlfn.XLOOKUP(AX$88, Load!$D$110:$BA$110, Load!$D$115:$BA$115)</f>
        <v>#N/A</v>
      </c>
    </row>
    <row r="33" spans="1:50" ht="14.25" customHeight="1">
      <c r="A33" s="1"/>
      <c r="B33" s="84"/>
      <c r="C33" s="203" t="s">
        <v>122</v>
      </c>
      <c r="D33" s="79"/>
      <c r="E33" s="469">
        <f>_xlfn.XLOOKUP(E$88, Hydrogen!$D$110:$BA$110, Hydrogen!$D$123:$BA$123)</f>
        <v>0</v>
      </c>
      <c r="F33" s="469">
        <f>_xlfn.XLOOKUP(F$88, Hydrogen!$D$110:$BA$110, Hydrogen!$D$123:$BA$123)</f>
        <v>20.293585122515381</v>
      </c>
      <c r="G33" s="469">
        <f>_xlfn.XLOOKUP(G$88, Hydrogen!$D$110:$BA$110, Hydrogen!$D$123:$BA$123)</f>
        <v>32.013862601719637</v>
      </c>
      <c r="H33" s="469">
        <f>_xlfn.XLOOKUP(H$88, Hydrogen!$D$110:$BA$110, Hydrogen!$D$123:$BA$123)</f>
        <v>34.548011523253336</v>
      </c>
      <c r="I33" s="469">
        <f>_xlfn.XLOOKUP(I$88, Hydrogen!$D$110:$BA$110, Hydrogen!$D$123:$BA$123)</f>
        <v>38.212696768149208</v>
      </c>
      <c r="J33" s="469">
        <f>_xlfn.XLOOKUP(J$88, Hydrogen!$D$110:$BA$110, Hydrogen!$D$123:$BA$123)</f>
        <v>40.029477406559877</v>
      </c>
      <c r="K33" s="469">
        <f>_xlfn.XLOOKUP(K$88, Hydrogen!$D$110:$BA$110, Hydrogen!$D$123:$BA$123)</f>
        <v>41.569074900423061</v>
      </c>
      <c r="L33" s="469">
        <f>_xlfn.XLOOKUP(L$88, Hydrogen!$D$110:$BA$110, Hydrogen!$D$123:$BA$123)</f>
        <v>43.161836778023861</v>
      </c>
      <c r="M33" s="469">
        <f>_xlfn.XLOOKUP(M$88, Hydrogen!$D$110:$BA$110, Hydrogen!$D$123:$BA$123)</f>
        <v>44.80950066087577</v>
      </c>
      <c r="N33" s="469">
        <f>_xlfn.XLOOKUP(N$88, Hydrogen!$D$110:$BA$110, Hydrogen!$D$123:$BA$123)</f>
        <v>46.513859203045854</v>
      </c>
      <c r="O33" s="469">
        <f>_xlfn.XLOOKUP(O$88, Hydrogen!$D$110:$BA$110, Hydrogen!$D$123:$BA$123)</f>
        <v>48.276761801015184</v>
      </c>
      <c r="P33" s="469">
        <f>_xlfn.XLOOKUP(P$88, Hydrogen!$D$110:$BA$110, Hydrogen!$D$123:$BA$123)</f>
        <v>50.100116356025836</v>
      </c>
      <c r="Q33" s="469">
        <f>_xlfn.XLOOKUP(Q$88, Hydrogen!$D$110:$BA$110, Hydrogen!$D$123:$BA$123)</f>
        <v>51.98589109051305</v>
      </c>
      <c r="R33" s="469">
        <f>_xlfn.XLOOKUP(R$88, Hydrogen!$D$110:$BA$110, Hydrogen!$D$123:$BA$123)</f>
        <v>53.936116420270089</v>
      </c>
      <c r="S33" s="469">
        <f>_xlfn.XLOOKUP(S$88, Hydrogen!$D$110:$BA$110, Hydrogen!$D$123:$BA$123)</f>
        <v>55.952886884041959</v>
      </c>
      <c r="T33" s="469">
        <f>_xlfn.XLOOKUP(T$88, Hydrogen!$D$110:$BA$110, Hydrogen!$D$123:$BA$123)</f>
        <v>58.038363132296993</v>
      </c>
      <c r="U33" s="469">
        <f>_xlfn.XLOOKUP(U$88, Hydrogen!$D$110:$BA$110, Hydrogen!$D$123:$BA$123)</f>
        <v>60.194773976977537</v>
      </c>
      <c r="V33" s="469">
        <f>_xlfn.XLOOKUP(V$88, Hydrogen!$D$110:$BA$110, Hydrogen!$D$123:$BA$123)</f>
        <v>62.4244185040858</v>
      </c>
      <c r="W33" s="469">
        <f>_xlfn.XLOOKUP(W$88, Hydrogen!$D$110:$BA$110, Hydrogen!$D$123:$BA$123)</f>
        <v>64.729668251016349</v>
      </c>
      <c r="X33" s="469">
        <f>_xlfn.XLOOKUP(X$88, Hydrogen!$D$110:$BA$110, Hydrogen!$D$123:$BA$123)</f>
        <v>67.112969450606172</v>
      </c>
      <c r="Y33" s="469">
        <f>_xlfn.XLOOKUP(Y$88, Hydrogen!$D$110:$BA$110, Hydrogen!$D$123:$BA$123)</f>
        <v>69.576845343931495</v>
      </c>
      <c r="Z33" s="469">
        <f>_xlfn.XLOOKUP(Z$88, Hydrogen!$D$110:$BA$110, Hydrogen!$D$123:$BA$123)</f>
        <v>72.123898563942703</v>
      </c>
      <c r="AA33" s="469">
        <f>_xlfn.XLOOKUP(AA$88, Hydrogen!$D$110:$BA$110, Hydrogen!$D$123:$BA$123)</f>
        <v>74.756813592091731</v>
      </c>
      <c r="AB33" s="469">
        <f>_xlfn.XLOOKUP(AB$88, Hydrogen!$D$110:$BA$110, Hydrogen!$D$123:$BA$123)</f>
        <v>77.478359290171511</v>
      </c>
      <c r="AC33" s="469">
        <f>_xlfn.XLOOKUP(AC$88, Hydrogen!$D$110:$BA$110, Hydrogen!$D$123:$BA$123)</f>
        <v>80.291391509654943</v>
      </c>
      <c r="AD33" s="469">
        <f>_xlfn.XLOOKUP(AD$88, Hydrogen!$D$110:$BA$110, Hydrogen!$D$123:$BA$123)</f>
        <v>83.198855780888763</v>
      </c>
      <c r="AE33" s="469">
        <f>_xlfn.XLOOKUP(AE$88, Hydrogen!$D$110:$BA$110, Hydrogen!$D$123:$BA$123)</f>
        <v>86.203790084570372</v>
      </c>
      <c r="AF33" s="469">
        <f>_xlfn.XLOOKUP(AF$88, Hydrogen!$D$110:$BA$110, Hydrogen!$D$123:$BA$123)</f>
        <v>0</v>
      </c>
      <c r="AG33" s="469">
        <f>_xlfn.XLOOKUP(AG$88, Hydrogen!$D$110:$BA$110, Hydrogen!$D$123:$BA$123)</f>
        <v>0</v>
      </c>
      <c r="AH33" s="469">
        <f>_xlfn.XLOOKUP(AH$88, Hydrogen!$D$110:$BA$110, Hydrogen!$D$123:$BA$123)</f>
        <v>0</v>
      </c>
      <c r="AI33" s="469">
        <f>_xlfn.XLOOKUP(AI$88, Hydrogen!$D$110:$BA$110, Hydrogen!$D$123:$BA$123)</f>
        <v>0</v>
      </c>
      <c r="AJ33" s="469">
        <f>_xlfn.XLOOKUP(AJ$88, Hydrogen!$D$110:$BA$110, Hydrogen!$D$123:$BA$123)</f>
        <v>0</v>
      </c>
      <c r="AK33" s="469">
        <f>_xlfn.XLOOKUP(AK$88, Hydrogen!$D$110:$BA$110, Hydrogen!$D$123:$BA$123)</f>
        <v>0</v>
      </c>
      <c r="AL33" s="469">
        <f>_xlfn.XLOOKUP(AL$88, Hydrogen!$D$110:$BA$110, Hydrogen!$D$123:$BA$123)</f>
        <v>0</v>
      </c>
      <c r="AM33" s="469">
        <f>_xlfn.XLOOKUP(AM$88, Hydrogen!$D$110:$BA$110, Hydrogen!$D$123:$BA$123)</f>
        <v>0</v>
      </c>
      <c r="AN33" s="469">
        <f>_xlfn.XLOOKUP(AN$88, Hydrogen!$D$110:$BA$110, Hydrogen!$D$123:$BA$123)</f>
        <v>0</v>
      </c>
      <c r="AO33" s="469">
        <f>_xlfn.XLOOKUP(AO$88, Hydrogen!$D$110:$BA$110, Hydrogen!$D$123:$BA$123)</f>
        <v>0</v>
      </c>
      <c r="AP33" s="469">
        <f>_xlfn.XLOOKUP(AP$88, Hydrogen!$D$110:$BA$110, Hydrogen!$D$123:$BA$123)</f>
        <v>0</v>
      </c>
      <c r="AQ33" s="469">
        <f>_xlfn.XLOOKUP(AQ$88, Hydrogen!$D$110:$BA$110, Hydrogen!$D$123:$BA$123)</f>
        <v>0</v>
      </c>
      <c r="AR33" s="469">
        <f>_xlfn.XLOOKUP(AR$88, Hydrogen!$D$110:$BA$110, Hydrogen!$D$123:$BA$123)</f>
        <v>0</v>
      </c>
      <c r="AS33" s="469">
        <f>_xlfn.XLOOKUP(AS$88, Hydrogen!$D$110:$BA$110, Hydrogen!$D$123:$BA$123)</f>
        <v>0</v>
      </c>
      <c r="AT33" s="469">
        <f>_xlfn.XLOOKUP(AT$88, Hydrogen!$D$110:$BA$110, Hydrogen!$D$123:$BA$123)</f>
        <v>0</v>
      </c>
      <c r="AU33" s="469">
        <f>_xlfn.XLOOKUP(AU$88, Hydrogen!$D$110:$BA$110, Hydrogen!$D$123:$BA$123)</f>
        <v>0</v>
      </c>
      <c r="AV33" s="469">
        <f>_xlfn.XLOOKUP(AV$88, Hydrogen!$D$110:$BA$110, Hydrogen!$D$123:$BA$123)</f>
        <v>0</v>
      </c>
      <c r="AW33" s="469">
        <f>_xlfn.XLOOKUP(AW$88, Hydrogen!$D$110:$BA$110, Hydrogen!$D$123:$BA$123)</f>
        <v>0</v>
      </c>
      <c r="AX33" s="469">
        <f>_xlfn.XLOOKUP(AX$88, Hydrogen!$D$110:$BA$110, Hydrogen!$D$123:$BA$123)</f>
        <v>0</v>
      </c>
    </row>
    <row r="34" spans="1:50" ht="14.25" customHeight="1">
      <c r="A34" s="1"/>
      <c r="B34" s="84"/>
      <c r="C34" s="203" t="s">
        <v>358</v>
      </c>
      <c r="D34" s="79"/>
      <c r="E34" s="469">
        <f>_xlfn.XLOOKUP(E$88, 'SENS Tires'!$D$110:$BA$110, 'SENS Tires'!$D$132:$BA$132)</f>
        <v>0</v>
      </c>
      <c r="F34" s="469">
        <f>_xlfn.XLOOKUP(F$88, 'SENS Tires'!$D$110:$BA$110, 'SENS Tires'!$D$132:$BA$132)</f>
        <v>112.34915300809249</v>
      </c>
      <c r="G34" s="469">
        <f>_xlfn.XLOOKUP(G$88, 'SENS Tires'!$D$110:$BA$110, 'SENS Tires'!$D$132:$BA$132)</f>
        <v>151.96047426145662</v>
      </c>
      <c r="H34" s="469">
        <f>_xlfn.XLOOKUP(H$88, 'SENS Tires'!$D$110:$BA$110, 'SENS Tires'!$D$132:$BA$132)</f>
        <v>154.16530991713663</v>
      </c>
      <c r="I34" s="469">
        <f>_xlfn.XLOOKUP(I$88, 'SENS Tires'!$D$110:$BA$110, 'SENS Tires'!$D$132:$BA$132)</f>
        <v>156.41424228593024</v>
      </c>
      <c r="J34" s="469">
        <f>_xlfn.XLOOKUP(J$88, 'SENS Tires'!$D$110:$BA$110, 'SENS Tires'!$D$132:$BA$132)</f>
        <v>158.7081533020997</v>
      </c>
      <c r="K34" s="469">
        <f>_xlfn.XLOOKUP(K$88, 'SENS Tires'!$D$110:$BA$110, 'SENS Tires'!$D$132:$BA$132)</f>
        <v>161.04794253859257</v>
      </c>
      <c r="L34" s="469">
        <f>_xlfn.XLOOKUP(L$88, 'SENS Tires'!$D$110:$BA$110, 'SENS Tires'!$D$132:$BA$132)</f>
        <v>163.43452755981525</v>
      </c>
      <c r="M34" s="469">
        <f>_xlfn.XLOOKUP(M$88, 'SENS Tires'!$D$110:$BA$110, 'SENS Tires'!$D$132:$BA$132)</f>
        <v>165.86884428146243</v>
      </c>
      <c r="N34" s="469">
        <f>_xlfn.XLOOKUP(N$88, 'SENS Tires'!$D$110:$BA$110, 'SENS Tires'!$D$132:$BA$132)</f>
        <v>168.35184733754255</v>
      </c>
      <c r="O34" s="469">
        <f>_xlfn.XLOOKUP(O$88, 'SENS Tires'!$D$110:$BA$110, 'SENS Tires'!$D$132:$BA$132)</f>
        <v>170.88451045474429</v>
      </c>
      <c r="P34" s="469">
        <f>_xlfn.XLOOKUP(P$88, 'SENS Tires'!$D$110:$BA$110, 'SENS Tires'!$D$132:$BA$132)</f>
        <v>173.46782683429001</v>
      </c>
      <c r="Q34" s="469">
        <f>_xlfn.XLOOKUP(Q$88, 'SENS Tires'!$D$110:$BA$110, 'SENS Tires'!$D$132:$BA$132)</f>
        <v>176.10280954142669</v>
      </c>
      <c r="R34" s="469">
        <f>_xlfn.XLOOKUP(R$88, 'SENS Tires'!$D$110:$BA$110, 'SENS Tires'!$D$132:$BA$132)</f>
        <v>178.79049190270609</v>
      </c>
      <c r="S34" s="469">
        <f>_xlfn.XLOOKUP(S$88, 'SENS Tires'!$D$110:$BA$110, 'SENS Tires'!$D$132:$BA$132)</f>
        <v>181.53192791121111</v>
      </c>
      <c r="T34" s="469">
        <f>_xlfn.XLOOKUP(T$88, 'SENS Tires'!$D$110:$BA$110, 'SENS Tires'!$D$132:$BA$132)</f>
        <v>184.32819263988614</v>
      </c>
      <c r="U34" s="469">
        <f>_xlfn.XLOOKUP(U$88, 'SENS Tires'!$D$110:$BA$110, 'SENS Tires'!$D$132:$BA$132)</f>
        <v>187.18038266313476</v>
      </c>
      <c r="V34" s="469">
        <f>_xlfn.XLOOKUP(V$88, 'SENS Tires'!$D$110:$BA$110, 'SENS Tires'!$D$132:$BA$132)</f>
        <v>190.08961648684834</v>
      </c>
      <c r="W34" s="469">
        <f>_xlfn.XLOOKUP(W$88, 'SENS Tires'!$D$110:$BA$110, 'SENS Tires'!$D$132:$BA$132)</f>
        <v>193.05703498703616</v>
      </c>
      <c r="X34" s="469">
        <f>_xlfn.XLOOKUP(X$88, 'SENS Tires'!$D$110:$BA$110, 'SENS Tires'!$D$132:$BA$132)</f>
        <v>196.08380185722774</v>
      </c>
      <c r="Y34" s="469">
        <f>_xlfn.XLOOKUP(Y$88, 'SENS Tires'!$D$110:$BA$110, 'SENS Tires'!$D$132:$BA$132)</f>
        <v>199.17110406482317</v>
      </c>
      <c r="Z34" s="469">
        <f>_xlfn.XLOOKUP(Z$88, 'SENS Tires'!$D$110:$BA$110, 'SENS Tires'!$D$132:$BA$132)</f>
        <v>202.3201523165705</v>
      </c>
      <c r="AA34" s="469">
        <f>_xlfn.XLOOKUP(AA$88, 'SENS Tires'!$D$110:$BA$110, 'SENS Tires'!$D$132:$BA$132)</f>
        <v>205.53218153335277</v>
      </c>
      <c r="AB34" s="469">
        <f>_xlfn.XLOOKUP(AB$88, 'SENS Tires'!$D$110:$BA$110, 'SENS Tires'!$D$132:$BA$132)</f>
        <v>208.80845133447067</v>
      </c>
      <c r="AC34" s="469">
        <f>_xlfn.XLOOKUP(AC$88, 'SENS Tires'!$D$110:$BA$110, 'SENS Tires'!$D$132:$BA$132)</f>
        <v>212.15024653161097</v>
      </c>
      <c r="AD34" s="469">
        <f>_xlfn.XLOOKUP(AD$88, 'SENS Tires'!$D$110:$BA$110, 'SENS Tires'!$D$132:$BA$132)</f>
        <v>215.55887763269405</v>
      </c>
      <c r="AE34" s="469">
        <f>_xlfn.XLOOKUP(AE$88, 'SENS Tires'!$D$110:$BA$110, 'SENS Tires'!$D$132:$BA$132)</f>
        <v>219.03568135579883</v>
      </c>
      <c r="AF34" s="469">
        <f>_xlfn.XLOOKUP(AF$88, 'SENS Tires'!$D$110:$BA$110, 'SENS Tires'!$D$132:$BA$132)</f>
        <v>0</v>
      </c>
      <c r="AG34" s="469">
        <f>_xlfn.XLOOKUP(AG$88, 'SENS Tires'!$D$110:$BA$110, 'SENS Tires'!$D$132:$BA$132)</f>
        <v>0</v>
      </c>
      <c r="AH34" s="469">
        <f>_xlfn.XLOOKUP(AH$88, 'SENS Tires'!$D$110:$BA$110, 'SENS Tires'!$D$132:$BA$132)</f>
        <v>0</v>
      </c>
      <c r="AI34" s="469">
        <f>_xlfn.XLOOKUP(AI$88, 'SENS Tires'!$D$110:$BA$110, 'SENS Tires'!$D$132:$BA$132)</f>
        <v>0</v>
      </c>
      <c r="AJ34" s="469">
        <f>_xlfn.XLOOKUP(AJ$88, 'SENS Tires'!$D$110:$BA$110, 'SENS Tires'!$D$132:$BA$132)</f>
        <v>0</v>
      </c>
      <c r="AK34" s="469">
        <f>_xlfn.XLOOKUP(AK$88, 'SENS Tires'!$D$110:$BA$110, 'SENS Tires'!$D$132:$BA$132)</f>
        <v>0</v>
      </c>
      <c r="AL34" s="469">
        <f>_xlfn.XLOOKUP(AL$88, 'SENS Tires'!$D$110:$BA$110, 'SENS Tires'!$D$132:$BA$132)</f>
        <v>0</v>
      </c>
      <c r="AM34" s="469">
        <f>_xlfn.XLOOKUP(AM$88, 'SENS Tires'!$D$110:$BA$110, 'SENS Tires'!$D$132:$BA$132)</f>
        <v>0</v>
      </c>
      <c r="AN34" s="469">
        <f>_xlfn.XLOOKUP(AN$88, 'SENS Tires'!$D$110:$BA$110, 'SENS Tires'!$D$132:$BA$132)</f>
        <v>0</v>
      </c>
      <c r="AO34" s="469">
        <f>_xlfn.XLOOKUP(AO$88, 'SENS Tires'!$D$110:$BA$110, 'SENS Tires'!$D$132:$BA$132)</f>
        <v>0</v>
      </c>
      <c r="AP34" s="469">
        <f>_xlfn.XLOOKUP(AP$88, 'SENS Tires'!$D$110:$BA$110, 'SENS Tires'!$D$132:$BA$132)</f>
        <v>0</v>
      </c>
      <c r="AQ34" s="469">
        <f>_xlfn.XLOOKUP(AQ$88, 'SENS Tires'!$D$110:$BA$110, 'SENS Tires'!$D$132:$BA$132)</f>
        <v>0</v>
      </c>
      <c r="AR34" s="469">
        <f>_xlfn.XLOOKUP(AR$88, 'SENS Tires'!$D$110:$BA$110, 'SENS Tires'!$D$132:$BA$132)</f>
        <v>0</v>
      </c>
      <c r="AS34" s="469">
        <f>_xlfn.XLOOKUP(AS$88, 'SENS Tires'!$D$110:$BA$110, 'SENS Tires'!$D$132:$BA$132)</f>
        <v>0</v>
      </c>
      <c r="AT34" s="469">
        <f>_xlfn.XLOOKUP(AT$88, 'SENS Tires'!$D$110:$BA$110, 'SENS Tires'!$D$132:$BA$132)</f>
        <v>0</v>
      </c>
      <c r="AU34" s="469">
        <f>_xlfn.XLOOKUP(AU$88, 'SENS Tires'!$D$110:$BA$110, 'SENS Tires'!$D$132:$BA$132)</f>
        <v>0</v>
      </c>
      <c r="AV34" s="469">
        <f>_xlfn.XLOOKUP(AV$88, 'SENS Tires'!$D$110:$BA$110, 'SENS Tires'!$D$132:$BA$132)</f>
        <v>0</v>
      </c>
      <c r="AW34" s="469">
        <f>_xlfn.XLOOKUP(AW$88, 'SENS Tires'!$D$110:$BA$110, 'SENS Tires'!$D$132:$BA$132)</f>
        <v>0</v>
      </c>
      <c r="AX34" s="469">
        <f>_xlfn.XLOOKUP(AX$88, 'SENS Tires'!$D$110:$BA$110, 'SENS Tires'!$D$132:$BA$132)</f>
        <v>0</v>
      </c>
    </row>
    <row r="35" spans="1:50" ht="14.25" customHeight="1">
      <c r="A35" s="1"/>
      <c r="B35" s="84"/>
      <c r="C35" s="203" t="s">
        <v>357</v>
      </c>
      <c r="D35" s="79"/>
      <c r="E35" s="469">
        <f>_xlfn.XLOOKUP(E$88, 'SENS Coal'!$D$110:$BA$110, 'SENS Coal'!$D$134:$BA$134)</f>
        <v>0</v>
      </c>
      <c r="F35" s="469">
        <f>_xlfn.XLOOKUP(F$88, 'SENS Coal'!$D$110:$BA$110, 'SENS Coal'!$D$134:$BA$134)</f>
        <v>185.15405287004702</v>
      </c>
      <c r="G35" s="469">
        <f>_xlfn.XLOOKUP(G$88, 'SENS Coal'!$D$110:$BA$110, 'SENS Coal'!$D$134:$BA$134)</f>
        <v>251.74554005404929</v>
      </c>
      <c r="H35" s="469">
        <f>_xlfn.XLOOKUP(H$88, 'SENS Coal'!$D$110:$BA$110, 'SENS Coal'!$D$134:$BA$134)</f>
        <v>256.71647900591557</v>
      </c>
      <c r="I35" s="469">
        <f>_xlfn.XLOOKUP(I$88, 'SENS Coal'!$D$110:$BA$110, 'SENS Coal'!$D$134:$BA$134)</f>
        <v>279.55066396579343</v>
      </c>
      <c r="J35" s="469">
        <f>_xlfn.XLOOKUP(J$88, 'SENS Coal'!$D$110:$BA$110, 'SENS Coal'!$D$134:$BA$134)</f>
        <v>288.831341680859</v>
      </c>
      <c r="K35" s="469">
        <f>_xlfn.XLOOKUP(K$88, 'SENS Coal'!$D$110:$BA$110, 'SENS Coal'!$D$134:$BA$134)</f>
        <v>294.04386353279313</v>
      </c>
      <c r="L35" s="469">
        <f>_xlfn.XLOOKUP(L$88, 'SENS Coal'!$D$110:$BA$110, 'SENS Coal'!$D$134:$BA$134)</f>
        <v>299.36204608421991</v>
      </c>
      <c r="M35" s="469">
        <f>_xlfn.XLOOKUP(M$88, 'SENS Coal'!$D$110:$BA$110, 'SENS Coal'!$D$134:$BA$134)</f>
        <v>304.7879990234735</v>
      </c>
      <c r="N35" s="469">
        <f>_xlfn.XLOOKUP(N$88, 'SENS Coal'!$D$110:$BA$110, 'SENS Coal'!$D$134:$BA$134)</f>
        <v>310.32387424146822</v>
      </c>
      <c r="O35" s="469">
        <f>_xlfn.XLOOKUP(O$88, 'SENS Coal'!$D$110:$BA$110, 'SENS Coal'!$D$134:$BA$134)</f>
        <v>315.97186667572896</v>
      </c>
      <c r="P35" s="469">
        <f>_xlfn.XLOOKUP(P$88, 'SENS Coal'!$D$110:$BA$110, 'SENS Coal'!$D$134:$BA$134)</f>
        <v>321.73421517130134</v>
      </c>
      <c r="Q35" s="469">
        <f>_xlfn.XLOOKUP(Q$88, 'SENS Coal'!$D$110:$BA$110, 'SENS Coal'!$D$134:$BA$134)</f>
        <v>327.61320335888001</v>
      </c>
      <c r="R35" s="469">
        <f>_xlfn.XLOOKUP(R$88, 'SENS Coal'!$D$110:$BA$110, 'SENS Coal'!$D$134:$BA$134)</f>
        <v>333.6111605504999</v>
      </c>
      <c r="S35" s="469">
        <f>_xlfn.XLOOKUP(S$88, 'SENS Coal'!$D$110:$BA$110, 'SENS Coal'!$D$134:$BA$134)</f>
        <v>339.7304626531411</v>
      </c>
      <c r="T35" s="469">
        <f>_xlfn.XLOOKUP(T$88, 'SENS Coal'!$D$110:$BA$110, 'SENS Coal'!$D$134:$BA$134)</f>
        <v>345.97353310060601</v>
      </c>
      <c r="U35" s="469">
        <f>_xlfn.XLOOKUP(U$88, 'SENS Coal'!$D$110:$BA$110, 'SENS Coal'!$D$134:$BA$134)</f>
        <v>352.3428438040342</v>
      </c>
      <c r="V35" s="469">
        <f>_xlfn.XLOOKUP(V$88, 'SENS Coal'!$D$110:$BA$110, 'SENS Coal'!$D$134:$BA$134)</f>
        <v>358.84091612142754</v>
      </c>
      <c r="W35" s="469">
        <f>_xlfn.XLOOKUP(W$88, 'SENS Coal'!$D$110:$BA$110, 'SENS Coal'!$D$134:$BA$134)</f>
        <v>365.47032184656535</v>
      </c>
      <c r="X35" s="469">
        <f>_xlfn.XLOOKUP(X$88, 'SENS Coal'!$D$110:$BA$110, 'SENS Coal'!$D$134:$BA$134)</f>
        <v>372.23368421769914</v>
      </c>
      <c r="Y35" s="469">
        <f>_xlfn.XLOOKUP(Y$88, 'SENS Coal'!$D$110:$BA$110, 'SENS Coal'!$D$134:$BA$134)</f>
        <v>379.1336789464201</v>
      </c>
      <c r="Z35" s="469">
        <f>_xlfn.XLOOKUP(Z$88, 'SENS Coal'!$D$110:$BA$110, 'SENS Coal'!$D$134:$BA$134)</f>
        <v>386.17303526710464</v>
      </c>
      <c r="AA35" s="469">
        <f>_xlfn.XLOOKUP(AA$88, 'SENS Coal'!$D$110:$BA$110, 'SENS Coal'!$D$134:$BA$134)</f>
        <v>393.35453700734843</v>
      </c>
      <c r="AB35" s="469">
        <f>_xlfn.XLOOKUP(AB$88, 'SENS Coal'!$D$110:$BA$110, 'SENS Coal'!$D$134:$BA$134)</f>
        <v>400.68102367980975</v>
      </c>
      <c r="AC35" s="469">
        <f>_xlfn.XLOOKUP(AC$88, 'SENS Coal'!$D$110:$BA$110, 'SENS Coal'!$D$134:$BA$134)</f>
        <v>408.15539159588968</v>
      </c>
      <c r="AD35" s="469">
        <f>_xlfn.XLOOKUP(AD$88, 'SENS Coal'!$D$110:$BA$110, 'SENS Coal'!$D$134:$BA$134)</f>
        <v>415.78059500168479</v>
      </c>
      <c r="AE35" s="469">
        <f>_xlfn.XLOOKUP(AE$88, 'SENS Coal'!$D$110:$BA$110, 'SENS Coal'!$D$134:$BA$134)</f>
        <v>423.55964723666142</v>
      </c>
      <c r="AF35" s="469">
        <f>_xlfn.XLOOKUP(AF$88, 'SENS Coal'!$D$110:$BA$110, 'SENS Coal'!$D$134:$BA$134)</f>
        <v>23.728009787994228</v>
      </c>
      <c r="AG35" s="469">
        <f>_xlfn.XLOOKUP(AG$88, 'SENS Coal'!$D$110:$BA$110, 'SENS Coal'!$D$134:$BA$134)</f>
        <v>23.668689763524245</v>
      </c>
      <c r="AH35" s="469">
        <f>_xlfn.XLOOKUP(AH$88, 'SENS Coal'!$D$110:$BA$110, 'SENS Coal'!$D$134:$BA$134)</f>
        <v>23.609518039115432</v>
      </c>
      <c r="AI35" s="469">
        <f>_xlfn.XLOOKUP(AI$88, 'SENS Coal'!$D$110:$BA$110, 'SENS Coal'!$D$134:$BA$134)</f>
        <v>0</v>
      </c>
      <c r="AJ35" s="469">
        <f>_xlfn.XLOOKUP(AJ$88, 'SENS Coal'!$D$110:$BA$110, 'SENS Coal'!$D$134:$BA$134)</f>
        <v>0</v>
      </c>
      <c r="AK35" s="469">
        <f>_xlfn.XLOOKUP(AK$88, 'SENS Coal'!$D$110:$BA$110, 'SENS Coal'!$D$134:$BA$134)</f>
        <v>0</v>
      </c>
      <c r="AL35" s="469">
        <f>_xlfn.XLOOKUP(AL$88, 'SENS Coal'!$D$110:$BA$110, 'SENS Coal'!$D$134:$BA$134)</f>
        <v>0</v>
      </c>
      <c r="AM35" s="469">
        <f>_xlfn.XLOOKUP(AM$88, 'SENS Coal'!$D$110:$BA$110, 'SENS Coal'!$D$134:$BA$134)</f>
        <v>0</v>
      </c>
      <c r="AN35" s="469">
        <f>_xlfn.XLOOKUP(AN$88, 'SENS Coal'!$D$110:$BA$110, 'SENS Coal'!$D$134:$BA$134)</f>
        <v>0</v>
      </c>
      <c r="AO35" s="469">
        <f>_xlfn.XLOOKUP(AO$88, 'SENS Coal'!$D$110:$BA$110, 'SENS Coal'!$D$134:$BA$134)</f>
        <v>0</v>
      </c>
      <c r="AP35" s="469">
        <f>_xlfn.XLOOKUP(AP$88, 'SENS Coal'!$D$110:$BA$110, 'SENS Coal'!$D$134:$BA$134)</f>
        <v>0</v>
      </c>
      <c r="AQ35" s="469">
        <f>_xlfn.XLOOKUP(AQ$88, 'SENS Coal'!$D$110:$BA$110, 'SENS Coal'!$D$134:$BA$134)</f>
        <v>0</v>
      </c>
      <c r="AR35" s="469">
        <f>_xlfn.XLOOKUP(AR$88, 'SENS Coal'!$D$110:$BA$110, 'SENS Coal'!$D$134:$BA$134)</f>
        <v>0</v>
      </c>
      <c r="AS35" s="469">
        <f>_xlfn.XLOOKUP(AS$88, 'SENS Coal'!$D$110:$BA$110, 'SENS Coal'!$D$134:$BA$134)</f>
        <v>0</v>
      </c>
      <c r="AT35" s="469">
        <f>_xlfn.XLOOKUP(AT$88, 'SENS Coal'!$D$110:$BA$110, 'SENS Coal'!$D$134:$BA$134)</f>
        <v>0</v>
      </c>
      <c r="AU35" s="469">
        <f>_xlfn.XLOOKUP(AU$88, 'SENS Coal'!$D$110:$BA$110, 'SENS Coal'!$D$134:$BA$134)</f>
        <v>0</v>
      </c>
      <c r="AV35" s="469">
        <f>_xlfn.XLOOKUP(AV$88, 'SENS Coal'!$D$110:$BA$110, 'SENS Coal'!$D$134:$BA$134)</f>
        <v>0</v>
      </c>
      <c r="AW35" s="469">
        <f>_xlfn.XLOOKUP(AW$88, 'SENS Coal'!$D$110:$BA$110, 'SENS Coal'!$D$134:$BA$134)</f>
        <v>0</v>
      </c>
      <c r="AX35" s="469">
        <f>_xlfn.XLOOKUP(AX$88, 'SENS Coal'!$D$110:$BA$110, 'SENS Coal'!$D$134:$BA$134)</f>
        <v>0</v>
      </c>
    </row>
    <row r="36" spans="1:50" ht="14.25" customHeight="1">
      <c r="A36" s="1"/>
      <c r="B36" s="84"/>
      <c r="C36" s="203"/>
      <c r="D36" s="79"/>
      <c r="E36" s="469"/>
      <c r="F36" s="469"/>
      <c r="G36" s="469"/>
      <c r="H36" s="469"/>
      <c r="I36" s="469"/>
      <c r="J36" s="469"/>
      <c r="K36" s="469"/>
      <c r="L36" s="469"/>
      <c r="M36" s="469"/>
      <c r="N36" s="469"/>
      <c r="O36" s="469"/>
      <c r="P36" s="469"/>
      <c r="Q36" s="469"/>
      <c r="R36" s="469"/>
      <c r="S36" s="469"/>
      <c r="T36" s="469"/>
      <c r="U36" s="469"/>
      <c r="V36" s="469"/>
      <c r="W36" s="469"/>
      <c r="X36" s="469"/>
      <c r="Y36" s="469"/>
      <c r="Z36" s="469"/>
      <c r="AA36" s="469"/>
      <c r="AB36" s="469"/>
      <c r="AC36" s="469"/>
      <c r="AD36" s="469"/>
      <c r="AE36" s="469"/>
      <c r="AF36" s="469"/>
      <c r="AG36" s="469"/>
      <c r="AH36" s="469"/>
      <c r="AI36" s="469"/>
      <c r="AJ36" s="469"/>
      <c r="AK36" s="469"/>
      <c r="AL36" s="469"/>
      <c r="AM36" s="469"/>
      <c r="AN36" s="469"/>
      <c r="AO36" s="469"/>
      <c r="AP36" s="469"/>
      <c r="AQ36" s="469"/>
      <c r="AR36" s="469"/>
      <c r="AS36" s="469"/>
      <c r="AT36" s="469"/>
      <c r="AU36" s="469"/>
      <c r="AV36" s="469"/>
      <c r="AW36" s="469"/>
      <c r="AX36" s="469"/>
    </row>
    <row r="37" spans="1:50" ht="14.25" customHeight="1">
      <c r="A37" s="1"/>
      <c r="B37" s="84"/>
      <c r="C37" s="222" t="s">
        <v>363</v>
      </c>
      <c r="D37" s="243"/>
      <c r="E37" s="469"/>
      <c r="F37" s="469"/>
      <c r="G37" s="469"/>
      <c r="H37" s="469"/>
      <c r="I37" s="469"/>
      <c r="J37" s="469"/>
      <c r="K37" s="469"/>
      <c r="L37" s="469"/>
      <c r="M37" s="469"/>
      <c r="N37" s="469"/>
      <c r="O37" s="469"/>
      <c r="P37" s="469"/>
      <c r="Q37" s="469"/>
      <c r="R37" s="469"/>
      <c r="S37" s="469"/>
      <c r="T37" s="469"/>
      <c r="U37" s="469"/>
      <c r="V37" s="469"/>
      <c r="W37" s="469"/>
      <c r="X37" s="469"/>
      <c r="Y37" s="469"/>
      <c r="Z37" s="469"/>
      <c r="AA37" s="469"/>
      <c r="AB37" s="469"/>
      <c r="AC37" s="469"/>
      <c r="AD37" s="469"/>
      <c r="AE37" s="469"/>
      <c r="AF37" s="469"/>
      <c r="AG37" s="469"/>
      <c r="AH37" s="469"/>
      <c r="AI37" s="469"/>
      <c r="AJ37" s="469"/>
      <c r="AK37" s="469"/>
      <c r="AL37" s="469"/>
      <c r="AM37" s="469"/>
      <c r="AN37" s="469"/>
      <c r="AO37" s="469"/>
      <c r="AP37" s="469"/>
      <c r="AQ37" s="469"/>
      <c r="AR37" s="469"/>
      <c r="AS37" s="469"/>
      <c r="AT37" s="469"/>
      <c r="AU37" s="469"/>
      <c r="AV37" s="469"/>
      <c r="AW37" s="469"/>
      <c r="AX37" s="469"/>
    </row>
    <row r="38" spans="1:50" ht="14.25" customHeight="1">
      <c r="A38" s="1"/>
      <c r="B38" s="84"/>
      <c r="C38" s="203" t="s">
        <v>356</v>
      </c>
      <c r="D38" s="79"/>
      <c r="E38" s="469">
        <f>-_xlfn.XLOOKUP(E$88, Load!$D$110:$BA$110, Load!$D$122:$BA$122)</f>
        <v>119.67189041095891</v>
      </c>
      <c r="F38" s="469">
        <f>-_xlfn.XLOOKUP(F$88, Load!$D$110:$BA$110, Load!$D$122:$BA$122)</f>
        <v>123.26204712328767</v>
      </c>
      <c r="G38" s="469">
        <f>-_xlfn.XLOOKUP(G$88, Load!$D$110:$BA$110, Load!$D$122:$BA$122)</f>
        <v>126.9599085369863</v>
      </c>
      <c r="H38" s="469">
        <f>-_xlfn.XLOOKUP(H$88, Load!$D$110:$BA$110, Load!$D$122:$BA$122)</f>
        <v>130.76870579309588</v>
      </c>
      <c r="I38" s="469">
        <f>-_xlfn.XLOOKUP(I$88, Load!$D$110:$BA$110, Load!$D$122:$BA$122)</f>
        <v>134.69176696688876</v>
      </c>
      <c r="J38" s="469">
        <f>-_xlfn.XLOOKUP(J$88, Load!$D$110:$BA$110, Load!$D$122:$BA$122)</f>
        <v>138.73251997589543</v>
      </c>
      <c r="K38" s="469">
        <f>-_xlfn.XLOOKUP(K$88, Load!$D$110:$BA$110, Load!$D$122:$BA$122)</f>
        <v>142.8944955751723</v>
      </c>
      <c r="L38" s="469">
        <f>-_xlfn.XLOOKUP(L$88, Load!$D$110:$BA$110, Load!$D$122:$BA$122)</f>
        <v>147.18133044242745</v>
      </c>
      <c r="M38" s="469">
        <f>-_xlfn.XLOOKUP(M$88, Load!$D$110:$BA$110, Load!$D$122:$BA$122)</f>
        <v>151.59677035570027</v>
      </c>
      <c r="N38" s="469">
        <f>-_xlfn.XLOOKUP(N$88, Load!$D$110:$BA$110, Load!$D$122:$BA$122)</f>
        <v>156.14467346637127</v>
      </c>
      <c r="O38" s="469">
        <f>-_xlfn.XLOOKUP(O$88, Load!$D$110:$BA$110, Load!$D$122:$BA$122)</f>
        <v>160.82901367036243</v>
      </c>
      <c r="P38" s="469">
        <f>-_xlfn.XLOOKUP(P$88, Load!$D$110:$BA$110, Load!$D$122:$BA$122)</f>
        <v>165.65388408047326</v>
      </c>
      <c r="Q38" s="469">
        <f>-_xlfn.XLOOKUP(Q$88, Load!$D$110:$BA$110, Load!$D$122:$BA$122)</f>
        <v>170.62350060288747</v>
      </c>
      <c r="R38" s="469">
        <f>-_xlfn.XLOOKUP(R$88, Load!$D$110:$BA$110, Load!$D$122:$BA$122)</f>
        <v>175.74220562097409</v>
      </c>
      <c r="S38" s="469">
        <f>-_xlfn.XLOOKUP(S$88, Load!$D$110:$BA$110, Load!$D$122:$BA$122)</f>
        <v>181.01447178960333</v>
      </c>
      <c r="T38" s="469">
        <f>-_xlfn.XLOOKUP(T$88, Load!$D$110:$BA$110, Load!$D$122:$BA$122)</f>
        <v>186.44490594329139</v>
      </c>
      <c r="U38" s="469">
        <f>-_xlfn.XLOOKUP(U$88, Load!$D$110:$BA$110, Load!$D$122:$BA$122)</f>
        <v>192.03825312159015</v>
      </c>
      <c r="V38" s="469">
        <f>-_xlfn.XLOOKUP(V$88, Load!$D$110:$BA$110, Load!$D$122:$BA$122)</f>
        <v>197.79940071523785</v>
      </c>
      <c r="W38" s="469">
        <f>-_xlfn.XLOOKUP(W$88, Load!$D$110:$BA$110, Load!$D$122:$BA$122)</f>
        <v>203.73338273669501</v>
      </c>
      <c r="X38" s="469">
        <f>-_xlfn.XLOOKUP(X$88, Load!$D$110:$BA$110, Load!$D$122:$BA$122)</f>
        <v>209.8453842187958</v>
      </c>
      <c r="Y38" s="469">
        <f>-_xlfn.XLOOKUP(Y$88, Load!$D$110:$BA$110, Load!$D$122:$BA$122)</f>
        <v>216.14074574535968</v>
      </c>
      <c r="Z38" s="469">
        <f>-_xlfn.XLOOKUP(Z$88, Load!$D$110:$BA$110, Load!$D$122:$BA$122)</f>
        <v>222.6249681177205</v>
      </c>
      <c r="AA38" s="469">
        <f>-_xlfn.XLOOKUP(AA$88, Load!$D$110:$BA$110, Load!$D$122:$BA$122)</f>
        <v>229.30371716125211</v>
      </c>
      <c r="AB38" s="469">
        <f>-_xlfn.XLOOKUP(AB$88, Load!$D$110:$BA$110, Load!$D$122:$BA$122)</f>
        <v>236.18282867608963</v>
      </c>
      <c r="AC38" s="469">
        <f>-_xlfn.XLOOKUP(AC$88, Load!$D$110:$BA$110, Load!$D$122:$BA$122)</f>
        <v>243.26831353637232</v>
      </c>
      <c r="AD38" s="469">
        <f>-_xlfn.XLOOKUP(AD$88, Load!$D$110:$BA$110, Load!$D$122:$BA$122)</f>
        <v>250.56636294246351</v>
      </c>
      <c r="AE38" s="469">
        <f>-_xlfn.XLOOKUP(AE$88, Load!$D$110:$BA$110, Load!$D$122:$BA$122)</f>
        <v>258.08335383073739</v>
      </c>
      <c r="AF38" s="469">
        <f>-_xlfn.XLOOKUP(AF$88, Load!$D$110:$BA$110, Load!$D$122:$BA$122)</f>
        <v>265.82585444565956</v>
      </c>
      <c r="AG38" s="469">
        <f>-_xlfn.XLOOKUP(AG$88, Load!$D$110:$BA$110, Load!$D$122:$BA$122)</f>
        <v>273.8006300790293</v>
      </c>
      <c r="AH38" s="469">
        <f>-_xlfn.XLOOKUP(AH$88, Load!$D$110:$BA$110, Load!$D$122:$BA$122)</f>
        <v>282.01464898140017</v>
      </c>
      <c r="AI38" s="469">
        <f>-_xlfn.XLOOKUP(AI$88, Load!$D$110:$BA$110, Load!$D$122:$BA$122)</f>
        <v>290.47508845084224</v>
      </c>
      <c r="AJ38" s="469">
        <f>-_xlfn.XLOOKUP(AJ$88, Load!$D$110:$BA$110, Load!$D$122:$BA$122)</f>
        <v>299.18934110436743</v>
      </c>
      <c r="AK38" s="469">
        <f>-_xlfn.XLOOKUP(AK$88, Load!$D$110:$BA$110, Load!$D$122:$BA$122)</f>
        <v>308.1650213374985</v>
      </c>
      <c r="AL38" s="469">
        <f>-_xlfn.XLOOKUP(AL$88, Load!$D$110:$BA$110, Load!$D$122:$BA$122)</f>
        <v>317.4099719776234</v>
      </c>
      <c r="AM38" s="469">
        <f>-_xlfn.XLOOKUP(AM$88, Load!$D$110:$BA$110, Load!$D$122:$BA$122)</f>
        <v>326.93227113695212</v>
      </c>
      <c r="AN38" s="469">
        <f>-_xlfn.XLOOKUP(AN$88, Load!$D$110:$BA$110, Load!$D$122:$BA$122)</f>
        <v>336.74023927106072</v>
      </c>
      <c r="AO38" s="469">
        <f>-_xlfn.XLOOKUP(AO$88, Load!$D$110:$BA$110, Load!$D$122:$BA$122)</f>
        <v>346.84244644919244</v>
      </c>
      <c r="AP38" s="469">
        <f>-_xlfn.XLOOKUP(AP$88, Load!$D$110:$BA$110, Load!$D$122:$BA$122)</f>
        <v>357.24771984266823</v>
      </c>
      <c r="AQ38" s="469">
        <f>-_xlfn.XLOOKUP(AQ$88, Load!$D$110:$BA$110, Load!$D$122:$BA$122)</f>
        <v>367.96515143794835</v>
      </c>
      <c r="AR38" s="469">
        <f>-_xlfn.XLOOKUP(AR$88, Load!$D$110:$BA$110, Load!$D$122:$BA$122)</f>
        <v>379.0041059810867</v>
      </c>
      <c r="AS38" s="469">
        <f>-_xlfn.XLOOKUP(AS$88, Load!$D$110:$BA$110, Load!$D$122:$BA$122)</f>
        <v>390.37422916051929</v>
      </c>
      <c r="AT38" s="469">
        <f>-_xlfn.XLOOKUP(AT$88, Load!$D$110:$BA$110, Load!$D$122:$BA$122)</f>
        <v>402.08545603533491</v>
      </c>
      <c r="AU38" s="469">
        <f>-_xlfn.XLOOKUP(AU$88, Load!$D$110:$BA$110, Load!$D$122:$BA$122)</f>
        <v>414.14801971639503</v>
      </c>
      <c r="AV38" s="469">
        <f>-_xlfn.XLOOKUP(AV$88, Load!$D$110:$BA$110, Load!$D$122:$BA$122)</f>
        <v>426.57246030788679</v>
      </c>
      <c r="AW38" s="469">
        <f>-_xlfn.XLOOKUP(AW$88, Load!$D$110:$BA$110, Load!$D$122:$BA$122)</f>
        <v>439.36963411712333</v>
      </c>
      <c r="AX38" s="469" t="e">
        <f>-_xlfn.XLOOKUP(AX$88, Load!$D$110:$BA$110, Load!$D$122:$BA$122)</f>
        <v>#N/A</v>
      </c>
    </row>
    <row r="39" spans="1:50" ht="14.25" customHeight="1">
      <c r="A39" s="1"/>
      <c r="B39" s="84"/>
      <c r="C39" s="203" t="s">
        <v>122</v>
      </c>
      <c r="D39" s="79"/>
      <c r="E39" s="469">
        <f>-_xlfn.XLOOKUP(E$88, Hydrogen!$D$110:$BA$110, Hydrogen!$D$128:$BA$128)</f>
        <v>0</v>
      </c>
      <c r="F39" s="469">
        <f>-_xlfn.XLOOKUP(F$88, Hydrogen!$D$110:$BA$110, Hydrogen!$D$128:$BA$128)</f>
        <v>-1.9562162346521146</v>
      </c>
      <c r="G39" s="469">
        <f>-_xlfn.XLOOKUP(G$88, Hydrogen!$D$110:$BA$110, Hydrogen!$D$128:$BA$128)</f>
        <v>-2.9997040825375176</v>
      </c>
      <c r="H39" s="469">
        <f>-_xlfn.XLOOKUP(H$88, Hydrogen!$D$110:$BA$110, Hydrogen!$D$128:$BA$128)</f>
        <v>-3.0665922050136425</v>
      </c>
      <c r="I39" s="469">
        <f>-_xlfn.XLOOKUP(I$88, Hydrogen!$D$110:$BA$110, Hydrogen!$D$128:$BA$128)</f>
        <v>-3.1350249111640514</v>
      </c>
      <c r="J39" s="469">
        <f>-_xlfn.XLOOKUP(J$88, Hydrogen!$D$110:$BA$110, Hydrogen!$D$128:$BA$128)</f>
        <v>-3.2050392972989732</v>
      </c>
      <c r="K39" s="469">
        <f>-_xlfn.XLOOKUP(K$88, Hydrogen!$D$110:$BA$110, Hydrogen!$D$128:$BA$128)</f>
        <v>-3.2766733877939425</v>
      </c>
      <c r="L39" s="469">
        <f>-_xlfn.XLOOKUP(L$88, Hydrogen!$D$110:$BA$110, Hydrogen!$D$128:$BA$128)</f>
        <v>-3.3499661592352812</v>
      </c>
      <c r="M39" s="469">
        <f>-_xlfn.XLOOKUP(M$88, Hydrogen!$D$110:$BA$110, Hydrogen!$D$128:$BA$128)</f>
        <v>-3.4249575652160096</v>
      </c>
      <c r="N39" s="469">
        <f>-_xlfn.XLOOKUP(N$88, Hydrogen!$D$110:$BA$110, Hydrogen!$D$128:$BA$128)</f>
        <v>-3.5016885618002336</v>
      </c>
      <c r="O39" s="469">
        <f>-_xlfn.XLOOKUP(O$88, Hydrogen!$D$110:$BA$110, Hydrogen!$D$128:$BA$128)</f>
        <v>-3.5802011336745392</v>
      </c>
      <c r="P39" s="469">
        <f>-_xlfn.XLOOKUP(P$88, Hydrogen!$D$110:$BA$110, Hydrogen!$D$128:$BA$128)</f>
        <v>-3.6605383210054803</v>
      </c>
      <c r="Q39" s="469">
        <f>-_xlfn.XLOOKUP(Q$88, Hydrogen!$D$110:$BA$110, Hydrogen!$D$128:$BA$128)</f>
        <v>-3.7427442470227628</v>
      </c>
      <c r="R39" s="469">
        <f>-_xlfn.XLOOKUP(R$88, Hydrogen!$D$110:$BA$110, Hydrogen!$D$128:$BA$128)</f>
        <v>-3.8268641463483073</v>
      </c>
      <c r="S39" s="469">
        <f>-_xlfn.XLOOKUP(S$88, Hydrogen!$D$110:$BA$110, Hydrogen!$D$128:$BA$128)</f>
        <v>-3.9129443940919151</v>
      </c>
      <c r="T39" s="469">
        <f>-_xlfn.XLOOKUP(T$88, Hydrogen!$D$110:$BA$110, Hydrogen!$D$128:$BA$128)</f>
        <v>-4.0010325357348941</v>
      </c>
      <c r="U39" s="469">
        <f>-_xlfn.XLOOKUP(U$88, Hydrogen!$D$110:$BA$110, Hydrogen!$D$128:$BA$128)</f>
        <v>-4.0911773178235658</v>
      </c>
      <c r="V39" s="469">
        <f>-_xlfn.XLOOKUP(V$88, Hydrogen!$D$110:$BA$110, Hydrogen!$D$128:$BA$128)</f>
        <v>-4.1834287194952324</v>
      </c>
      <c r="W39" s="469">
        <f>-_xlfn.XLOOKUP(W$88, Hydrogen!$D$110:$BA$110, Hydrogen!$D$128:$BA$128)</f>
        <v>-4.2778379848597865</v>
      </c>
      <c r="X39" s="469">
        <f>-_xlfn.XLOOKUP(X$88, Hydrogen!$D$110:$BA$110, Hydrogen!$D$128:$BA$128)</f>
        <v>-4.374457656260871</v>
      </c>
      <c r="Y39" s="469">
        <f>-_xlfn.XLOOKUP(Y$88, Hydrogen!$D$110:$BA$110, Hydrogen!$D$128:$BA$128)</f>
        <v>-4.4733416084410953</v>
      </c>
      <c r="Z39" s="469">
        <f>-_xlfn.XLOOKUP(Z$88, Hydrogen!$D$110:$BA$110, Hydrogen!$D$128:$BA$128)</f>
        <v>-4.5745450836365738</v>
      </c>
      <c r="AA39" s="469">
        <f>-_xlfn.XLOOKUP(AA$88, Hydrogen!$D$110:$BA$110, Hydrogen!$D$128:$BA$128)</f>
        <v>-4.678124727626761</v>
      </c>
      <c r="AB39" s="469">
        <f>-_xlfn.XLOOKUP(AB$88, Hydrogen!$D$110:$BA$110, Hydrogen!$D$128:$BA$128)</f>
        <v>-4.7841386267662758</v>
      </c>
      <c r="AC39" s="469">
        <f>-_xlfn.XLOOKUP(AC$88, Hydrogen!$D$110:$BA$110, Hydrogen!$D$128:$BA$128)</f>
        <v>-4.89264634602619</v>
      </c>
      <c r="AD39" s="469">
        <f>-_xlfn.XLOOKUP(AD$88, Hydrogen!$D$110:$BA$110, Hydrogen!$D$128:$BA$128)</f>
        <v>-5.00370896807304</v>
      </c>
      <c r="AE39" s="469">
        <f>-_xlfn.XLOOKUP(AE$88, Hydrogen!$D$110:$BA$110, Hydrogen!$D$128:$BA$128)</f>
        <v>-5.1173891334146182</v>
      </c>
      <c r="AF39" s="469">
        <f>-_xlfn.XLOOKUP(AF$88, Hydrogen!$D$110:$BA$110, Hydrogen!$D$128:$BA$128)</f>
        <v>0</v>
      </c>
      <c r="AG39" s="469">
        <f>-_xlfn.XLOOKUP(AG$88, Hydrogen!$D$110:$BA$110, Hydrogen!$D$128:$BA$128)</f>
        <v>0</v>
      </c>
      <c r="AH39" s="469">
        <f>-_xlfn.XLOOKUP(AH$88, Hydrogen!$D$110:$BA$110, Hydrogen!$D$128:$BA$128)</f>
        <v>0</v>
      </c>
      <c r="AI39" s="469">
        <f>-_xlfn.XLOOKUP(AI$88, Hydrogen!$D$110:$BA$110, Hydrogen!$D$128:$BA$128)</f>
        <v>0</v>
      </c>
      <c r="AJ39" s="469">
        <f>-_xlfn.XLOOKUP(AJ$88, Hydrogen!$D$110:$BA$110, Hydrogen!$D$128:$BA$128)</f>
        <v>0</v>
      </c>
      <c r="AK39" s="469">
        <f>-_xlfn.XLOOKUP(AK$88, Hydrogen!$D$110:$BA$110, Hydrogen!$D$128:$BA$128)</f>
        <v>0</v>
      </c>
      <c r="AL39" s="469">
        <f>-_xlfn.XLOOKUP(AL$88, Hydrogen!$D$110:$BA$110, Hydrogen!$D$128:$BA$128)</f>
        <v>0</v>
      </c>
      <c r="AM39" s="469">
        <f>-_xlfn.XLOOKUP(AM$88, Hydrogen!$D$110:$BA$110, Hydrogen!$D$128:$BA$128)</f>
        <v>0</v>
      </c>
      <c r="AN39" s="469">
        <f>-_xlfn.XLOOKUP(AN$88, Hydrogen!$D$110:$BA$110, Hydrogen!$D$128:$BA$128)</f>
        <v>0</v>
      </c>
      <c r="AO39" s="469">
        <f>-_xlfn.XLOOKUP(AO$88, Hydrogen!$D$110:$BA$110, Hydrogen!$D$128:$BA$128)</f>
        <v>0</v>
      </c>
      <c r="AP39" s="469">
        <f>-_xlfn.XLOOKUP(AP$88, Hydrogen!$D$110:$BA$110, Hydrogen!$D$128:$BA$128)</f>
        <v>0</v>
      </c>
      <c r="AQ39" s="469">
        <f>-_xlfn.XLOOKUP(AQ$88, Hydrogen!$D$110:$BA$110, Hydrogen!$D$128:$BA$128)</f>
        <v>0</v>
      </c>
      <c r="AR39" s="469">
        <f>-_xlfn.XLOOKUP(AR$88, Hydrogen!$D$110:$BA$110, Hydrogen!$D$128:$BA$128)</f>
        <v>0</v>
      </c>
      <c r="AS39" s="469">
        <f>-_xlfn.XLOOKUP(AS$88, Hydrogen!$D$110:$BA$110, Hydrogen!$D$128:$BA$128)</f>
        <v>0</v>
      </c>
      <c r="AT39" s="469">
        <f>-_xlfn.XLOOKUP(AT$88, Hydrogen!$D$110:$BA$110, Hydrogen!$D$128:$BA$128)</f>
        <v>0</v>
      </c>
      <c r="AU39" s="469">
        <f>-_xlfn.XLOOKUP(AU$88, Hydrogen!$D$110:$BA$110, Hydrogen!$D$128:$BA$128)</f>
        <v>0</v>
      </c>
      <c r="AV39" s="469">
        <f>-_xlfn.XLOOKUP(AV$88, Hydrogen!$D$110:$BA$110, Hydrogen!$D$128:$BA$128)</f>
        <v>0</v>
      </c>
      <c r="AW39" s="469">
        <f>-_xlfn.XLOOKUP(AW$88, Hydrogen!$D$110:$BA$110, Hydrogen!$D$128:$BA$128)</f>
        <v>0</v>
      </c>
      <c r="AX39" s="469">
        <f>-_xlfn.XLOOKUP(AX$88, Hydrogen!$D$110:$BA$110, Hydrogen!$D$128:$BA$128)</f>
        <v>0</v>
      </c>
    </row>
    <row r="40" spans="1:50" ht="14.25" customHeight="1">
      <c r="A40" s="1"/>
      <c r="B40" s="84"/>
      <c r="C40" s="203" t="s">
        <v>358</v>
      </c>
      <c r="D40" s="79"/>
      <c r="E40" s="469">
        <f>-_xlfn.XLOOKUP(E$88, 'SENS Tires'!$D$110:$BA$110, 'SENS Tires'!$D$139:$BA$139)</f>
        <v>0</v>
      </c>
      <c r="F40" s="469">
        <f>-_xlfn.XLOOKUP(F$88, 'SENS Tires'!$D$110:$BA$110, 'SENS Tires'!$D$139:$BA$139)</f>
        <v>-19.150496365034201</v>
      </c>
      <c r="G40" s="469">
        <f>-_xlfn.XLOOKUP(G$88, 'SENS Tires'!$D$110:$BA$110, 'SENS Tires'!$D$139:$BA$139)</f>
        <v>-25.676104107118714</v>
      </c>
      <c r="H40" s="469">
        <f>-_xlfn.XLOOKUP(H$88, 'SENS Tires'!$D$110:$BA$110, 'SENS Tires'!$D$139:$BA$139)</f>
        <v>-25.799434842412083</v>
      </c>
      <c r="I40" s="469">
        <f>-_xlfn.XLOOKUP(I$88, 'SENS Tires'!$D$110:$BA$110, 'SENS Tires'!$D$139:$BA$139)</f>
        <v>-25.900043174975465</v>
      </c>
      <c r="J40" s="469">
        <f>-_xlfn.XLOOKUP(J$88, 'SENS Tires'!$D$110:$BA$110, 'SENS Tires'!$D$139:$BA$139)</f>
        <v>-26.048859877353284</v>
      </c>
      <c r="K40" s="469">
        <f>-_xlfn.XLOOKUP(K$88, 'SENS Tires'!$D$110:$BA$110, 'SENS Tires'!$D$139:$BA$139)</f>
        <v>-26.208630772519271</v>
      </c>
      <c r="L40" s="469">
        <f>-_xlfn.XLOOKUP(L$88, 'SENS Tires'!$D$110:$BA$110, 'SENS Tires'!$D$139:$BA$139)</f>
        <v>-26.37160249547151</v>
      </c>
      <c r="M40" s="469">
        <f>-_xlfn.XLOOKUP(M$88, 'SENS Tires'!$D$110:$BA$110, 'SENS Tires'!$D$139:$BA$139)</f>
        <v>-26.537839149892093</v>
      </c>
      <c r="N40" s="469">
        <f>-_xlfn.XLOOKUP(N$88, 'SENS Tires'!$D$110:$BA$110, 'SENS Tires'!$D$139:$BA$139)</f>
        <v>-26.707406122958879</v>
      </c>
      <c r="O40" s="469">
        <f>-_xlfn.XLOOKUP(O$88, 'SENS Tires'!$D$110:$BA$110, 'SENS Tires'!$D$139:$BA$139)</f>
        <v>-26.880370111038932</v>
      </c>
      <c r="P40" s="469">
        <f>-_xlfn.XLOOKUP(P$88, 'SENS Tires'!$D$110:$BA$110, 'SENS Tires'!$D$139:$BA$139)</f>
        <v>-27.056799145896179</v>
      </c>
      <c r="Q40" s="469">
        <f>-_xlfn.XLOOKUP(Q$88, 'SENS Tires'!$D$110:$BA$110, 'SENS Tires'!$D$139:$BA$139)</f>
        <v>-27.236762621423651</v>
      </c>
      <c r="R40" s="469">
        <f>-_xlfn.XLOOKUP(R$88, 'SENS Tires'!$D$110:$BA$110, 'SENS Tires'!$D$139:$BA$139)</f>
        <v>-27.420331320910773</v>
      </c>
      <c r="S40" s="469">
        <f>-_xlfn.XLOOKUP(S$88, 'SENS Tires'!$D$110:$BA$110, 'SENS Tires'!$D$139:$BA$139)</f>
        <v>-27.60757744485641</v>
      </c>
      <c r="T40" s="469">
        <f>-_xlfn.XLOOKUP(T$88, 'SENS Tires'!$D$110:$BA$110, 'SENS Tires'!$D$139:$BA$139)</f>
        <v>-27.798574639338565</v>
      </c>
      <c r="U40" s="469">
        <f>-_xlfn.XLOOKUP(U$88, 'SENS Tires'!$D$110:$BA$110, 'SENS Tires'!$D$139:$BA$139)</f>
        <v>-27.993398024951976</v>
      </c>
      <c r="V40" s="469">
        <f>-_xlfn.XLOOKUP(V$88, 'SENS Tires'!$D$110:$BA$110, 'SENS Tires'!$D$139:$BA$139)</f>
        <v>-28.1921242263248</v>
      </c>
      <c r="W40" s="469">
        <f>-_xlfn.XLOOKUP(W$88, 'SENS Tires'!$D$110:$BA$110, 'SENS Tires'!$D$139:$BA$139)</f>
        <v>-28.394831402226142</v>
      </c>
      <c r="X40" s="469">
        <f>-_xlfn.XLOOKUP(X$88, 'SENS Tires'!$D$110:$BA$110, 'SENS Tires'!$D$139:$BA$139)</f>
        <v>-28.601599276276161</v>
      </c>
      <c r="Y40" s="469">
        <f>-_xlfn.XLOOKUP(Y$88, 'SENS Tires'!$D$110:$BA$110, 'SENS Tires'!$D$139:$BA$139)</f>
        <v>-28.812509168270847</v>
      </c>
      <c r="Z40" s="469">
        <f>-_xlfn.XLOOKUP(Z$88, 'SENS Tires'!$D$110:$BA$110, 'SENS Tires'!$D$139:$BA$139)</f>
        <v>-29.027644026133714</v>
      </c>
      <c r="AA40" s="469">
        <f>-_xlfn.XLOOKUP(AA$88, 'SENS Tires'!$D$110:$BA$110, 'SENS Tires'!$D$139:$BA$139)</f>
        <v>-29.247088458507072</v>
      </c>
      <c r="AB40" s="469">
        <f>-_xlfn.XLOOKUP(AB$88, 'SENS Tires'!$D$110:$BA$110, 'SENS Tires'!$D$139:$BA$139)</f>
        <v>-29.470928767995545</v>
      </c>
      <c r="AC40" s="469">
        <f>-_xlfn.XLOOKUP(AC$88, 'SENS Tires'!$D$110:$BA$110, 'SENS Tires'!$D$139:$BA$139)</f>
        <v>-29.69925298507497</v>
      </c>
      <c r="AD40" s="469">
        <f>-_xlfn.XLOOKUP(AD$88, 'SENS Tires'!$D$110:$BA$110, 'SENS Tires'!$D$139:$BA$139)</f>
        <v>-29.932150902679975</v>
      </c>
      <c r="AE40" s="469">
        <f>-_xlfn.XLOOKUP(AE$88, 'SENS Tires'!$D$110:$BA$110, 'SENS Tires'!$D$139:$BA$139)</f>
        <v>-30.169714111483803</v>
      </c>
      <c r="AF40" s="469">
        <f>-_xlfn.XLOOKUP(AF$88, 'SENS Tires'!$D$110:$BA$110, 'SENS Tires'!$D$139:$BA$139)</f>
        <v>0</v>
      </c>
      <c r="AG40" s="469">
        <f>-_xlfn.XLOOKUP(AG$88, 'SENS Tires'!$D$110:$BA$110, 'SENS Tires'!$D$139:$BA$139)</f>
        <v>0</v>
      </c>
      <c r="AH40" s="469">
        <f>-_xlfn.XLOOKUP(AH$88, 'SENS Tires'!$D$110:$BA$110, 'SENS Tires'!$D$139:$BA$139)</f>
        <v>0</v>
      </c>
      <c r="AI40" s="469">
        <f>-_xlfn.XLOOKUP(AI$88, 'SENS Tires'!$D$110:$BA$110, 'SENS Tires'!$D$139:$BA$139)</f>
        <v>0</v>
      </c>
      <c r="AJ40" s="469">
        <f>-_xlfn.XLOOKUP(AJ$88, 'SENS Tires'!$D$110:$BA$110, 'SENS Tires'!$D$139:$BA$139)</f>
        <v>0</v>
      </c>
      <c r="AK40" s="469">
        <f>-_xlfn.XLOOKUP(AK$88, 'SENS Tires'!$D$110:$BA$110, 'SENS Tires'!$D$139:$BA$139)</f>
        <v>0</v>
      </c>
      <c r="AL40" s="469">
        <f>-_xlfn.XLOOKUP(AL$88, 'SENS Tires'!$D$110:$BA$110, 'SENS Tires'!$D$139:$BA$139)</f>
        <v>0</v>
      </c>
      <c r="AM40" s="469">
        <f>-_xlfn.XLOOKUP(AM$88, 'SENS Tires'!$D$110:$BA$110, 'SENS Tires'!$D$139:$BA$139)</f>
        <v>0</v>
      </c>
      <c r="AN40" s="469">
        <f>-_xlfn.XLOOKUP(AN$88, 'SENS Tires'!$D$110:$BA$110, 'SENS Tires'!$D$139:$BA$139)</f>
        <v>0</v>
      </c>
      <c r="AO40" s="469">
        <f>-_xlfn.XLOOKUP(AO$88, 'SENS Tires'!$D$110:$BA$110, 'SENS Tires'!$D$139:$BA$139)</f>
        <v>0</v>
      </c>
      <c r="AP40" s="469">
        <f>-_xlfn.XLOOKUP(AP$88, 'SENS Tires'!$D$110:$BA$110, 'SENS Tires'!$D$139:$BA$139)</f>
        <v>0</v>
      </c>
      <c r="AQ40" s="469">
        <f>-_xlfn.XLOOKUP(AQ$88, 'SENS Tires'!$D$110:$BA$110, 'SENS Tires'!$D$139:$BA$139)</f>
        <v>0</v>
      </c>
      <c r="AR40" s="469">
        <f>-_xlfn.XLOOKUP(AR$88, 'SENS Tires'!$D$110:$BA$110, 'SENS Tires'!$D$139:$BA$139)</f>
        <v>0</v>
      </c>
      <c r="AS40" s="469">
        <f>-_xlfn.XLOOKUP(AS$88, 'SENS Tires'!$D$110:$BA$110, 'SENS Tires'!$D$139:$BA$139)</f>
        <v>0</v>
      </c>
      <c r="AT40" s="469">
        <f>-_xlfn.XLOOKUP(AT$88, 'SENS Tires'!$D$110:$BA$110, 'SENS Tires'!$D$139:$BA$139)</f>
        <v>0</v>
      </c>
      <c r="AU40" s="469">
        <f>-_xlfn.XLOOKUP(AU$88, 'SENS Tires'!$D$110:$BA$110, 'SENS Tires'!$D$139:$BA$139)</f>
        <v>0</v>
      </c>
      <c r="AV40" s="469">
        <f>-_xlfn.XLOOKUP(AV$88, 'SENS Tires'!$D$110:$BA$110, 'SENS Tires'!$D$139:$BA$139)</f>
        <v>0</v>
      </c>
      <c r="AW40" s="469">
        <f>-_xlfn.XLOOKUP(AW$88, 'SENS Tires'!$D$110:$BA$110, 'SENS Tires'!$D$139:$BA$139)</f>
        <v>0</v>
      </c>
      <c r="AX40" s="469">
        <f>-_xlfn.XLOOKUP(AX$88, 'SENS Tires'!$D$110:$BA$110, 'SENS Tires'!$D$139:$BA$139)</f>
        <v>0</v>
      </c>
    </row>
    <row r="41" spans="1:50" ht="14.25" customHeight="1">
      <c r="A41" s="1"/>
      <c r="B41" s="84"/>
      <c r="C41" s="203" t="s">
        <v>357</v>
      </c>
      <c r="D41" s="79"/>
      <c r="E41" s="469">
        <f>-_xlfn.XLOOKUP(E$88, 'SENS Coal'!$D$110:$BA$110, 'SENS Coal'!$D$141:$BA$141)</f>
        <v>0</v>
      </c>
      <c r="F41" s="469">
        <f>-_xlfn.XLOOKUP(F$88, 'SENS Coal'!$D$110:$BA$110, 'SENS Coal'!$D$141:$BA$141)</f>
        <v>-26.049267878839085</v>
      </c>
      <c r="G41" s="469">
        <f>-_xlfn.XLOOKUP(G$88, 'SENS Coal'!$D$110:$BA$110, 'SENS Coal'!$D$141:$BA$141)</f>
        <v>-34.894411781122805</v>
      </c>
      <c r="H41" s="469">
        <f>-_xlfn.XLOOKUP(H$88, 'SENS Coal'!$D$110:$BA$110, 'SENS Coal'!$D$141:$BA$141)</f>
        <v>-35.053095740285677</v>
      </c>
      <c r="I41" s="469">
        <f>-_xlfn.XLOOKUP(I$88, 'SENS Coal'!$D$110:$BA$110, 'SENS Coal'!$D$141:$BA$141)</f>
        <v>-35.384888587485506</v>
      </c>
      <c r="J41" s="469">
        <f>-_xlfn.XLOOKUP(J$88, 'SENS Coal'!$D$110:$BA$110, 'SENS Coal'!$D$141:$BA$141)</f>
        <v>-35.597342661444031</v>
      </c>
      <c r="K41" s="469">
        <f>-_xlfn.XLOOKUP(K$88, 'SENS Coal'!$D$110:$BA$110, 'SENS Coal'!$D$141:$BA$141)</f>
        <v>-35.773947834860486</v>
      </c>
      <c r="L41" s="469">
        <f>-_xlfn.XLOOKUP(L$88, 'SENS Coal'!$D$110:$BA$110, 'SENS Coal'!$D$141:$BA$141)</f>
        <v>-35.954100868768265</v>
      </c>
      <c r="M41" s="469">
        <f>-_xlfn.XLOOKUP(M$88, 'SENS Coal'!$D$110:$BA$110, 'SENS Coal'!$D$141:$BA$141)</f>
        <v>-36.137872711764778</v>
      </c>
      <c r="N41" s="469">
        <f>-_xlfn.XLOOKUP(N$88, 'SENS Coal'!$D$110:$BA$110, 'SENS Coal'!$D$141:$BA$141)</f>
        <v>-36.325335731942431</v>
      </c>
      <c r="O41" s="469">
        <f>-_xlfn.XLOOKUP(O$88, 'SENS Coal'!$D$110:$BA$110, 'SENS Coal'!$D$141:$BA$141)</f>
        <v>-36.516563745285495</v>
      </c>
      <c r="P41" s="469">
        <f>-_xlfn.XLOOKUP(P$88, 'SENS Coal'!$D$110:$BA$110, 'SENS Coal'!$D$141:$BA$141)</f>
        <v>-36.71163204463501</v>
      </c>
      <c r="Q41" s="469">
        <f>-_xlfn.XLOOKUP(Q$88, 'SENS Coal'!$D$110:$BA$110, 'SENS Coal'!$D$141:$BA$141)</f>
        <v>-36.910617429233163</v>
      </c>
      <c r="R41" s="469">
        <f>-_xlfn.XLOOKUP(R$88, 'SENS Coal'!$D$110:$BA$110, 'SENS Coal'!$D$141:$BA$141)</f>
        <v>-37.113598234858621</v>
      </c>
      <c r="S41" s="469">
        <f>-_xlfn.XLOOKUP(S$88, 'SENS Coal'!$D$110:$BA$110, 'SENS Coal'!$D$141:$BA$141)</f>
        <v>-37.320654364564739</v>
      </c>
      <c r="T41" s="469">
        <f>-_xlfn.XLOOKUP(T$88, 'SENS Coal'!$D$110:$BA$110, 'SENS Coal'!$D$141:$BA$141)</f>
        <v>-37.531867320032632</v>
      </c>
      <c r="U41" s="469">
        <f>-_xlfn.XLOOKUP(U$88, 'SENS Coal'!$D$110:$BA$110, 'SENS Coal'!$D$141:$BA$141)</f>
        <v>-37.747320233551463</v>
      </c>
      <c r="V41" s="469">
        <f>-_xlfn.XLOOKUP(V$88, 'SENS Coal'!$D$110:$BA$110, 'SENS Coal'!$D$141:$BA$141)</f>
        <v>-37.967097900638457</v>
      </c>
      <c r="W41" s="469">
        <f>-_xlfn.XLOOKUP(W$88, 'SENS Coal'!$D$110:$BA$110, 'SENS Coal'!$D$141:$BA$141)</f>
        <v>-38.191286813311443</v>
      </c>
      <c r="X41" s="469">
        <f>-_xlfn.XLOOKUP(X$88, 'SENS Coal'!$D$110:$BA$110, 'SENS Coal'!$D$141:$BA$141)</f>
        <v>-38.419975194027032</v>
      </c>
      <c r="Y41" s="469">
        <f>-_xlfn.XLOOKUP(Y$88, 'SENS Coal'!$D$110:$BA$110, 'SENS Coal'!$D$141:$BA$141)</f>
        <v>-38.65325303029762</v>
      </c>
      <c r="Z41" s="469">
        <f>-_xlfn.XLOOKUP(Z$88, 'SENS Coal'!$D$110:$BA$110, 'SENS Coal'!$D$141:$BA$141)</f>
        <v>-38.891212110000936</v>
      </c>
      <c r="AA41" s="469">
        <f>-_xlfn.XLOOKUP(AA$88, 'SENS Coal'!$D$110:$BA$110, 'SENS Coal'!$D$141:$BA$141)</f>
        <v>-39.133946057395896</v>
      </c>
      <c r="AB41" s="469">
        <f>-_xlfn.XLOOKUP(AB$88, 'SENS Coal'!$D$110:$BA$110, 'SENS Coal'!$D$141:$BA$141)</f>
        <v>-39.38155036985895</v>
      </c>
      <c r="AC41" s="469">
        <f>-_xlfn.XLOOKUP(AC$88, 'SENS Coal'!$D$110:$BA$110, 'SENS Coal'!$D$141:$BA$141)</f>
        <v>-39.634122455355282</v>
      </c>
      <c r="AD41" s="469">
        <f>-_xlfn.XLOOKUP(AD$88, 'SENS Coal'!$D$110:$BA$110, 'SENS Coal'!$D$141:$BA$141)</f>
        <v>-39.891761670659569</v>
      </c>
      <c r="AE41" s="469">
        <f>-_xlfn.XLOOKUP(AE$88, 'SENS Coal'!$D$110:$BA$110, 'SENS Coal'!$D$141:$BA$141)</f>
        <v>-40.15456936034137</v>
      </c>
      <c r="AF41" s="469">
        <f>-_xlfn.XLOOKUP(AF$88, 'SENS Coal'!$D$110:$BA$110, 'SENS Coal'!$D$141:$BA$141)</f>
        <v>-0.23728009787994228</v>
      </c>
      <c r="AG41" s="469">
        <f>-_xlfn.XLOOKUP(AG$88, 'SENS Coal'!$D$110:$BA$110, 'SENS Coal'!$D$141:$BA$141)</f>
        <v>-0.23668689763524245</v>
      </c>
      <c r="AH41" s="469">
        <f>-_xlfn.XLOOKUP(AH$88, 'SENS Coal'!$D$110:$BA$110, 'SENS Coal'!$D$141:$BA$141)</f>
        <v>-0.23609518039115432</v>
      </c>
      <c r="AI41" s="469">
        <f>-_xlfn.XLOOKUP(AI$88, 'SENS Coal'!$D$110:$BA$110, 'SENS Coal'!$D$141:$BA$141)</f>
        <v>0</v>
      </c>
      <c r="AJ41" s="469">
        <f>-_xlfn.XLOOKUP(AJ$88, 'SENS Coal'!$D$110:$BA$110, 'SENS Coal'!$D$141:$BA$141)</f>
        <v>0</v>
      </c>
      <c r="AK41" s="469">
        <f>-_xlfn.XLOOKUP(AK$88, 'SENS Coal'!$D$110:$BA$110, 'SENS Coal'!$D$141:$BA$141)</f>
        <v>0</v>
      </c>
      <c r="AL41" s="469">
        <f>-_xlfn.XLOOKUP(AL$88, 'SENS Coal'!$D$110:$BA$110, 'SENS Coal'!$D$141:$BA$141)</f>
        <v>0</v>
      </c>
      <c r="AM41" s="469">
        <f>-_xlfn.XLOOKUP(AM$88, 'SENS Coal'!$D$110:$BA$110, 'SENS Coal'!$D$141:$BA$141)</f>
        <v>0</v>
      </c>
      <c r="AN41" s="469">
        <f>-_xlfn.XLOOKUP(AN$88, 'SENS Coal'!$D$110:$BA$110, 'SENS Coal'!$D$141:$BA$141)</f>
        <v>0</v>
      </c>
      <c r="AO41" s="469">
        <f>-_xlfn.XLOOKUP(AO$88, 'SENS Coal'!$D$110:$BA$110, 'SENS Coal'!$D$141:$BA$141)</f>
        <v>0</v>
      </c>
      <c r="AP41" s="469">
        <f>-_xlfn.XLOOKUP(AP$88, 'SENS Coal'!$D$110:$BA$110, 'SENS Coal'!$D$141:$BA$141)</f>
        <v>0</v>
      </c>
      <c r="AQ41" s="469">
        <f>-_xlfn.XLOOKUP(AQ$88, 'SENS Coal'!$D$110:$BA$110, 'SENS Coal'!$D$141:$BA$141)</f>
        <v>0</v>
      </c>
      <c r="AR41" s="469">
        <f>-_xlfn.XLOOKUP(AR$88, 'SENS Coal'!$D$110:$BA$110, 'SENS Coal'!$D$141:$BA$141)</f>
        <v>0</v>
      </c>
      <c r="AS41" s="469">
        <f>-_xlfn.XLOOKUP(AS$88, 'SENS Coal'!$D$110:$BA$110, 'SENS Coal'!$D$141:$BA$141)</f>
        <v>0</v>
      </c>
      <c r="AT41" s="469">
        <f>-_xlfn.XLOOKUP(AT$88, 'SENS Coal'!$D$110:$BA$110, 'SENS Coal'!$D$141:$BA$141)</f>
        <v>0</v>
      </c>
      <c r="AU41" s="469">
        <f>-_xlfn.XLOOKUP(AU$88, 'SENS Coal'!$D$110:$BA$110, 'SENS Coal'!$D$141:$BA$141)</f>
        <v>0</v>
      </c>
      <c r="AV41" s="469">
        <f>-_xlfn.XLOOKUP(AV$88, 'SENS Coal'!$D$110:$BA$110, 'SENS Coal'!$D$141:$BA$141)</f>
        <v>0</v>
      </c>
      <c r="AW41" s="469">
        <f>-_xlfn.XLOOKUP(AW$88, 'SENS Coal'!$D$110:$BA$110, 'SENS Coal'!$D$141:$BA$141)</f>
        <v>0</v>
      </c>
      <c r="AX41" s="469">
        <f>-_xlfn.XLOOKUP(AX$88, 'SENS Coal'!$D$110:$BA$110, 'SENS Coal'!$D$141:$BA$141)</f>
        <v>0</v>
      </c>
    </row>
    <row r="42" spans="1:50" ht="14.25" customHeight="1">
      <c r="A42" s="1"/>
      <c r="B42" s="84"/>
      <c r="C42" s="203"/>
      <c r="D42" s="79"/>
      <c r="E42" s="469"/>
      <c r="F42" s="469"/>
      <c r="G42" s="469"/>
      <c r="H42" s="469"/>
      <c r="I42" s="469"/>
      <c r="J42" s="469"/>
      <c r="K42" s="469"/>
      <c r="L42" s="469"/>
      <c r="M42" s="469"/>
      <c r="N42" s="469"/>
      <c r="O42" s="469"/>
      <c r="P42" s="469"/>
      <c r="Q42" s="469"/>
      <c r="R42" s="469"/>
      <c r="S42" s="469"/>
      <c r="T42" s="469"/>
      <c r="U42" s="469"/>
      <c r="V42" s="469"/>
      <c r="W42" s="469"/>
      <c r="X42" s="469"/>
      <c r="Y42" s="469"/>
      <c r="Z42" s="469"/>
      <c r="AA42" s="469"/>
      <c r="AB42" s="469"/>
      <c r="AC42" s="469"/>
      <c r="AD42" s="469"/>
      <c r="AE42" s="469"/>
      <c r="AF42" s="469"/>
      <c r="AG42" s="469"/>
      <c r="AH42" s="469"/>
      <c r="AI42" s="469"/>
      <c r="AJ42" s="469"/>
      <c r="AK42" s="469"/>
      <c r="AL42" s="469"/>
      <c r="AM42" s="469"/>
      <c r="AN42" s="469"/>
      <c r="AO42" s="469"/>
      <c r="AP42" s="469"/>
      <c r="AQ42" s="469"/>
      <c r="AR42" s="469"/>
      <c r="AS42" s="469"/>
      <c r="AT42" s="469"/>
      <c r="AU42" s="469"/>
      <c r="AV42" s="469"/>
      <c r="AW42" s="469"/>
      <c r="AX42" s="469"/>
    </row>
    <row r="43" spans="1:50" ht="14.25" customHeight="1">
      <c r="A43" s="1"/>
      <c r="B43" s="84"/>
      <c r="C43" s="222" t="s">
        <v>364</v>
      </c>
      <c r="D43" s="79"/>
      <c r="E43" s="469"/>
      <c r="F43" s="469"/>
      <c r="G43" s="469"/>
      <c r="H43" s="469"/>
      <c r="I43" s="469"/>
      <c r="J43" s="469"/>
      <c r="K43" s="469"/>
      <c r="L43" s="469"/>
      <c r="M43" s="469"/>
      <c r="N43" s="469"/>
      <c r="O43" s="469"/>
      <c r="P43" s="469"/>
      <c r="Q43" s="469"/>
      <c r="R43" s="469"/>
      <c r="S43" s="469"/>
      <c r="T43" s="469"/>
      <c r="U43" s="469"/>
      <c r="V43" s="469"/>
      <c r="W43" s="469"/>
      <c r="X43" s="469"/>
      <c r="Y43" s="469"/>
      <c r="Z43" s="469"/>
      <c r="AA43" s="469"/>
      <c r="AB43" s="469"/>
      <c r="AC43" s="469"/>
      <c r="AD43" s="469"/>
      <c r="AE43" s="469"/>
      <c r="AF43" s="469"/>
      <c r="AG43" s="469"/>
      <c r="AH43" s="469"/>
      <c r="AI43" s="469"/>
      <c r="AJ43" s="469"/>
      <c r="AK43" s="469"/>
      <c r="AL43" s="469"/>
      <c r="AM43" s="469"/>
      <c r="AN43" s="469"/>
      <c r="AO43" s="469"/>
      <c r="AP43" s="469"/>
      <c r="AQ43" s="469"/>
      <c r="AR43" s="469"/>
      <c r="AS43" s="469"/>
      <c r="AT43" s="469"/>
      <c r="AU43" s="469"/>
      <c r="AV43" s="469"/>
      <c r="AW43" s="469"/>
      <c r="AX43" s="469"/>
    </row>
    <row r="44" spans="1:50" ht="14.25" customHeight="1">
      <c r="A44" s="1"/>
      <c r="B44" s="84"/>
      <c r="C44" s="664" t="s">
        <v>356</v>
      </c>
      <c r="D44" s="79"/>
      <c r="E44" s="469">
        <f>_xlfn.XLOOKUP(E$88, Load!$D$110:$BA$110, Load!$D$127:$BA$127)</f>
        <v>0</v>
      </c>
      <c r="F44" s="469">
        <f>_xlfn.XLOOKUP(F$88, Load!$D$110:$BA$110, Load!$D$127:$BA$127)</f>
        <v>0</v>
      </c>
      <c r="G44" s="469">
        <f>_xlfn.XLOOKUP(G$88, Load!$D$110:$BA$110, Load!$D$127:$BA$127)</f>
        <v>0</v>
      </c>
      <c r="H44" s="469">
        <f>_xlfn.XLOOKUP(H$88, Load!$D$110:$BA$110, Load!$D$127:$BA$127)</f>
        <v>0</v>
      </c>
      <c r="I44" s="469">
        <f>_xlfn.XLOOKUP(I$88, Load!$D$110:$BA$110, Load!$D$127:$BA$127)</f>
        <v>0</v>
      </c>
      <c r="J44" s="469">
        <f>_xlfn.XLOOKUP(J$88, Load!$D$110:$BA$110, Load!$D$127:$BA$127)</f>
        <v>0</v>
      </c>
      <c r="K44" s="469">
        <f>_xlfn.XLOOKUP(K$88, Load!$D$110:$BA$110, Load!$D$127:$BA$127)</f>
        <v>0</v>
      </c>
      <c r="L44" s="469">
        <f>_xlfn.XLOOKUP(L$88, Load!$D$110:$BA$110, Load!$D$127:$BA$127)</f>
        <v>0</v>
      </c>
      <c r="M44" s="469">
        <f>_xlfn.XLOOKUP(M$88, Load!$D$110:$BA$110, Load!$D$127:$BA$127)</f>
        <v>0</v>
      </c>
      <c r="N44" s="469">
        <f>_xlfn.XLOOKUP(N$88, Load!$D$110:$BA$110, Load!$D$127:$BA$127)</f>
        <v>0</v>
      </c>
      <c r="O44" s="469">
        <f>_xlfn.XLOOKUP(O$88, Load!$D$110:$BA$110, Load!$D$127:$BA$127)</f>
        <v>0</v>
      </c>
      <c r="P44" s="469">
        <f>_xlfn.XLOOKUP(P$88, Load!$D$110:$BA$110, Load!$D$127:$BA$127)</f>
        <v>0</v>
      </c>
      <c r="Q44" s="469">
        <f>_xlfn.XLOOKUP(Q$88, Load!$D$110:$BA$110, Load!$D$127:$BA$127)</f>
        <v>0</v>
      </c>
      <c r="R44" s="469">
        <f>_xlfn.XLOOKUP(R$88, Load!$D$110:$BA$110, Load!$D$127:$BA$127)</f>
        <v>0</v>
      </c>
      <c r="S44" s="469">
        <f>_xlfn.XLOOKUP(S$88, Load!$D$110:$BA$110, Load!$D$127:$BA$127)</f>
        <v>0</v>
      </c>
      <c r="T44" s="469">
        <f>_xlfn.XLOOKUP(T$88, Load!$D$110:$BA$110, Load!$D$127:$BA$127)</f>
        <v>0</v>
      </c>
      <c r="U44" s="469">
        <f>_xlfn.XLOOKUP(U$88, Load!$D$110:$BA$110, Load!$D$127:$BA$127)</f>
        <v>0</v>
      </c>
      <c r="V44" s="469">
        <f>_xlfn.XLOOKUP(V$88, Load!$D$110:$BA$110, Load!$D$127:$BA$127)</f>
        <v>0</v>
      </c>
      <c r="W44" s="469">
        <f>_xlfn.XLOOKUP(W$88, Load!$D$110:$BA$110, Load!$D$127:$BA$127)</f>
        <v>0</v>
      </c>
      <c r="X44" s="469">
        <f>_xlfn.XLOOKUP(X$88, Load!$D$110:$BA$110, Load!$D$127:$BA$127)</f>
        <v>0</v>
      </c>
      <c r="Y44" s="469">
        <f>_xlfn.XLOOKUP(Y$88, Load!$D$110:$BA$110, Load!$D$127:$BA$127)</f>
        <v>0</v>
      </c>
      <c r="Z44" s="469">
        <f>_xlfn.XLOOKUP(Z$88, Load!$D$110:$BA$110, Load!$D$127:$BA$127)</f>
        <v>0</v>
      </c>
      <c r="AA44" s="469">
        <f>_xlfn.XLOOKUP(AA$88, Load!$D$110:$BA$110, Load!$D$127:$BA$127)</f>
        <v>0</v>
      </c>
      <c r="AB44" s="469">
        <f>_xlfn.XLOOKUP(AB$88, Load!$D$110:$BA$110, Load!$D$127:$BA$127)</f>
        <v>0</v>
      </c>
      <c r="AC44" s="469">
        <f>_xlfn.XLOOKUP(AC$88, Load!$D$110:$BA$110, Load!$D$127:$BA$127)</f>
        <v>0</v>
      </c>
      <c r="AD44" s="469">
        <f>_xlfn.XLOOKUP(AD$88, Load!$D$110:$BA$110, Load!$D$127:$BA$127)</f>
        <v>0</v>
      </c>
      <c r="AE44" s="469">
        <f>_xlfn.XLOOKUP(AE$88, Load!$D$110:$BA$110, Load!$D$127:$BA$127)</f>
        <v>0</v>
      </c>
      <c r="AF44" s="469">
        <f>_xlfn.XLOOKUP(AF$88, Load!$D$110:$BA$110, Load!$D$127:$BA$127)</f>
        <v>0</v>
      </c>
      <c r="AG44" s="469">
        <f>_xlfn.XLOOKUP(AG$88, Load!$D$110:$BA$110, Load!$D$127:$BA$127)</f>
        <v>0</v>
      </c>
      <c r="AH44" s="469">
        <f>_xlfn.XLOOKUP(AH$88, Load!$D$110:$BA$110, Load!$D$127:$BA$127)</f>
        <v>0</v>
      </c>
      <c r="AI44" s="469">
        <f>_xlfn.XLOOKUP(AI$88, Load!$D$110:$BA$110, Load!$D$127:$BA$127)</f>
        <v>0</v>
      </c>
      <c r="AJ44" s="469">
        <f>_xlfn.XLOOKUP(AJ$88, Load!$D$110:$BA$110, Load!$D$127:$BA$127)</f>
        <v>0</v>
      </c>
      <c r="AK44" s="469">
        <f>_xlfn.XLOOKUP(AK$88, Load!$D$110:$BA$110, Load!$D$127:$BA$127)</f>
        <v>0</v>
      </c>
      <c r="AL44" s="469">
        <f>_xlfn.XLOOKUP(AL$88, Load!$D$110:$BA$110, Load!$D$127:$BA$127)</f>
        <v>0</v>
      </c>
      <c r="AM44" s="469">
        <f>_xlfn.XLOOKUP(AM$88, Load!$D$110:$BA$110, Load!$D$127:$BA$127)</f>
        <v>0</v>
      </c>
      <c r="AN44" s="469">
        <f>_xlfn.XLOOKUP(AN$88, Load!$D$110:$BA$110, Load!$D$127:$BA$127)</f>
        <v>0</v>
      </c>
      <c r="AO44" s="469">
        <f>_xlfn.XLOOKUP(AO$88, Load!$D$110:$BA$110, Load!$D$127:$BA$127)</f>
        <v>0</v>
      </c>
      <c r="AP44" s="469">
        <f>_xlfn.XLOOKUP(AP$88, Load!$D$110:$BA$110, Load!$D$127:$BA$127)</f>
        <v>0</v>
      </c>
      <c r="AQ44" s="469">
        <f>_xlfn.XLOOKUP(AQ$88, Load!$D$110:$BA$110, Load!$D$127:$BA$127)</f>
        <v>0</v>
      </c>
      <c r="AR44" s="469">
        <f>_xlfn.XLOOKUP(AR$88, Load!$D$110:$BA$110, Load!$D$127:$BA$127)</f>
        <v>0</v>
      </c>
      <c r="AS44" s="469">
        <f>_xlfn.XLOOKUP(AS$88, Load!$D$110:$BA$110, Load!$D$127:$BA$127)</f>
        <v>0</v>
      </c>
      <c r="AT44" s="469">
        <f>_xlfn.XLOOKUP(AT$88, Load!$D$110:$BA$110, Load!$D$127:$BA$127)</f>
        <v>0</v>
      </c>
      <c r="AU44" s="469">
        <f>_xlfn.XLOOKUP(AU$88, Load!$D$110:$BA$110, Load!$D$127:$BA$127)</f>
        <v>0</v>
      </c>
      <c r="AV44" s="469">
        <f>_xlfn.XLOOKUP(AV$88, Load!$D$110:$BA$110, Load!$D$127:$BA$127)</f>
        <v>0</v>
      </c>
      <c r="AW44" s="469">
        <f>_xlfn.XLOOKUP(AW$88, Load!$D$110:$BA$110, Load!$D$127:$BA$127)</f>
        <v>0</v>
      </c>
      <c r="AX44" s="469" t="e">
        <f>_xlfn.XLOOKUP(AX$88, Load!$D$110:$BA$110, Load!$D$127:$BA$127)</f>
        <v>#N/A</v>
      </c>
    </row>
    <row r="45" spans="1:50" ht="14.25" customHeight="1">
      <c r="A45" s="1"/>
      <c r="B45" s="84"/>
      <c r="C45" s="203" t="s">
        <v>122</v>
      </c>
      <c r="D45" s="79"/>
      <c r="E45" s="469">
        <f>_xlfn.XLOOKUP(E$88, Hydrogen!$D$110:$BA$110, Hydrogen!$D$137:$BA$137)</f>
        <v>0</v>
      </c>
      <c r="F45" s="469">
        <f>_xlfn.XLOOKUP(F$88, Hydrogen!$D$110:$BA$110, Hydrogen!$D$137:$BA$137)</f>
        <v>0</v>
      </c>
      <c r="G45" s="469">
        <f>_xlfn.XLOOKUP(G$88, Hydrogen!$D$110:$BA$110, Hydrogen!$D$137:$BA$137)</f>
        <v>0</v>
      </c>
      <c r="H45" s="469">
        <f>_xlfn.XLOOKUP(H$88, Hydrogen!$D$110:$BA$110, Hydrogen!$D$137:$BA$137)</f>
        <v>0</v>
      </c>
      <c r="I45" s="469">
        <f>_xlfn.XLOOKUP(I$88, Hydrogen!$D$110:$BA$110, Hydrogen!$D$137:$BA$137)</f>
        <v>0</v>
      </c>
      <c r="J45" s="469">
        <f>_xlfn.XLOOKUP(J$88, Hydrogen!$D$110:$BA$110, Hydrogen!$D$137:$BA$137)</f>
        <v>0</v>
      </c>
      <c r="K45" s="469">
        <f>_xlfn.XLOOKUP(K$88, Hydrogen!$D$110:$BA$110, Hydrogen!$D$137:$BA$137)</f>
        <v>0</v>
      </c>
      <c r="L45" s="469">
        <f>_xlfn.XLOOKUP(L$88, Hydrogen!$D$110:$BA$110, Hydrogen!$D$137:$BA$137)</f>
        <v>0</v>
      </c>
      <c r="M45" s="469">
        <f>_xlfn.XLOOKUP(M$88, Hydrogen!$D$110:$BA$110, Hydrogen!$D$137:$BA$137)</f>
        <v>0</v>
      </c>
      <c r="N45" s="469">
        <f>_xlfn.XLOOKUP(N$88, Hydrogen!$D$110:$BA$110, Hydrogen!$D$137:$BA$137)</f>
        <v>0</v>
      </c>
      <c r="O45" s="469">
        <f>_xlfn.XLOOKUP(O$88, Hydrogen!$D$110:$BA$110, Hydrogen!$D$137:$BA$137)</f>
        <v>0</v>
      </c>
      <c r="P45" s="469">
        <f>_xlfn.XLOOKUP(P$88, Hydrogen!$D$110:$BA$110, Hydrogen!$D$137:$BA$137)</f>
        <v>0</v>
      </c>
      <c r="Q45" s="469">
        <f>_xlfn.XLOOKUP(Q$88, Hydrogen!$D$110:$BA$110, Hydrogen!$D$137:$BA$137)</f>
        <v>0</v>
      </c>
      <c r="R45" s="469">
        <f>_xlfn.XLOOKUP(R$88, Hydrogen!$D$110:$BA$110, Hydrogen!$D$137:$BA$137)</f>
        <v>0</v>
      </c>
      <c r="S45" s="469">
        <f>_xlfn.XLOOKUP(S$88, Hydrogen!$D$110:$BA$110, Hydrogen!$D$137:$BA$137)</f>
        <v>0</v>
      </c>
      <c r="T45" s="469">
        <f>_xlfn.XLOOKUP(T$88, Hydrogen!$D$110:$BA$110, Hydrogen!$D$137:$BA$137)</f>
        <v>0</v>
      </c>
      <c r="U45" s="469">
        <f>_xlfn.XLOOKUP(U$88, Hydrogen!$D$110:$BA$110, Hydrogen!$D$137:$BA$137)</f>
        <v>0</v>
      </c>
      <c r="V45" s="469">
        <f>_xlfn.XLOOKUP(V$88, Hydrogen!$D$110:$BA$110, Hydrogen!$D$137:$BA$137)</f>
        <v>0</v>
      </c>
      <c r="W45" s="469">
        <f>_xlfn.XLOOKUP(W$88, Hydrogen!$D$110:$BA$110, Hydrogen!$D$137:$BA$137)</f>
        <v>0</v>
      </c>
      <c r="X45" s="469">
        <f>_xlfn.XLOOKUP(X$88, Hydrogen!$D$110:$BA$110, Hydrogen!$D$137:$BA$137)</f>
        <v>0</v>
      </c>
      <c r="Y45" s="469">
        <f>_xlfn.XLOOKUP(Y$88, Hydrogen!$D$110:$BA$110, Hydrogen!$D$137:$BA$137)</f>
        <v>0</v>
      </c>
      <c r="Z45" s="469">
        <f>_xlfn.XLOOKUP(Z$88, Hydrogen!$D$110:$BA$110, Hydrogen!$D$137:$BA$137)</f>
        <v>0</v>
      </c>
      <c r="AA45" s="469">
        <f>_xlfn.XLOOKUP(AA$88, Hydrogen!$D$110:$BA$110, Hydrogen!$D$137:$BA$137)</f>
        <v>0</v>
      </c>
      <c r="AB45" s="469">
        <f>_xlfn.XLOOKUP(AB$88, Hydrogen!$D$110:$BA$110, Hydrogen!$D$137:$BA$137)</f>
        <v>0</v>
      </c>
      <c r="AC45" s="469">
        <f>_xlfn.XLOOKUP(AC$88, Hydrogen!$D$110:$BA$110, Hydrogen!$D$137:$BA$137)</f>
        <v>0</v>
      </c>
      <c r="AD45" s="469">
        <f>_xlfn.XLOOKUP(AD$88, Hydrogen!$D$110:$BA$110, Hydrogen!$D$137:$BA$137)</f>
        <v>0</v>
      </c>
      <c r="AE45" s="469">
        <f>_xlfn.XLOOKUP(AE$88, Hydrogen!$D$110:$BA$110, Hydrogen!$D$137:$BA$137)</f>
        <v>0</v>
      </c>
      <c r="AF45" s="469">
        <f>_xlfn.XLOOKUP(AF$88, Hydrogen!$D$110:$BA$110, Hydrogen!$D$137:$BA$137)</f>
        <v>0</v>
      </c>
      <c r="AG45" s="469">
        <f>_xlfn.XLOOKUP(AG$88, Hydrogen!$D$110:$BA$110, Hydrogen!$D$137:$BA$137)</f>
        <v>0</v>
      </c>
      <c r="AH45" s="469">
        <f>_xlfn.XLOOKUP(AH$88, Hydrogen!$D$110:$BA$110, Hydrogen!$D$137:$BA$137)</f>
        <v>0</v>
      </c>
      <c r="AI45" s="469">
        <f>_xlfn.XLOOKUP(AI$88, Hydrogen!$D$110:$BA$110, Hydrogen!$D$137:$BA$137)</f>
        <v>0</v>
      </c>
      <c r="AJ45" s="469">
        <f>_xlfn.XLOOKUP(AJ$88, Hydrogen!$D$110:$BA$110, Hydrogen!$D$137:$BA$137)</f>
        <v>0</v>
      </c>
      <c r="AK45" s="469">
        <f>_xlfn.XLOOKUP(AK$88, Hydrogen!$D$110:$BA$110, Hydrogen!$D$137:$BA$137)</f>
        <v>0</v>
      </c>
      <c r="AL45" s="469">
        <f>_xlfn.XLOOKUP(AL$88, Hydrogen!$D$110:$BA$110, Hydrogen!$D$137:$BA$137)</f>
        <v>0</v>
      </c>
      <c r="AM45" s="469">
        <f>_xlfn.XLOOKUP(AM$88, Hydrogen!$D$110:$BA$110, Hydrogen!$D$137:$BA$137)</f>
        <v>0</v>
      </c>
      <c r="AN45" s="469">
        <f>_xlfn.XLOOKUP(AN$88, Hydrogen!$D$110:$BA$110, Hydrogen!$D$137:$BA$137)</f>
        <v>0</v>
      </c>
      <c r="AO45" s="469">
        <f>_xlfn.XLOOKUP(AO$88, Hydrogen!$D$110:$BA$110, Hydrogen!$D$137:$BA$137)</f>
        <v>0</v>
      </c>
      <c r="AP45" s="469">
        <f>_xlfn.XLOOKUP(AP$88, Hydrogen!$D$110:$BA$110, Hydrogen!$D$137:$BA$137)</f>
        <v>0</v>
      </c>
      <c r="AQ45" s="469">
        <f>_xlfn.XLOOKUP(AQ$88, Hydrogen!$D$110:$BA$110, Hydrogen!$D$137:$BA$137)</f>
        <v>0</v>
      </c>
      <c r="AR45" s="469">
        <f>_xlfn.XLOOKUP(AR$88, Hydrogen!$D$110:$BA$110, Hydrogen!$D$137:$BA$137)</f>
        <v>0</v>
      </c>
      <c r="AS45" s="469">
        <f>_xlfn.XLOOKUP(AS$88, Hydrogen!$D$110:$BA$110, Hydrogen!$D$137:$BA$137)</f>
        <v>0</v>
      </c>
      <c r="AT45" s="469">
        <f>_xlfn.XLOOKUP(AT$88, Hydrogen!$D$110:$BA$110, Hydrogen!$D$137:$BA$137)</f>
        <v>0</v>
      </c>
      <c r="AU45" s="469">
        <f>_xlfn.XLOOKUP(AU$88, Hydrogen!$D$110:$BA$110, Hydrogen!$D$137:$BA$137)</f>
        <v>0</v>
      </c>
      <c r="AV45" s="469">
        <f>_xlfn.XLOOKUP(AV$88, Hydrogen!$D$110:$BA$110, Hydrogen!$D$137:$BA$137)</f>
        <v>0</v>
      </c>
      <c r="AW45" s="469">
        <f>_xlfn.XLOOKUP(AW$88, Hydrogen!$D$110:$BA$110, Hydrogen!$D$137:$BA$137)</f>
        <v>0</v>
      </c>
      <c r="AX45" s="469">
        <f>_xlfn.XLOOKUP(AX$88, Hydrogen!$D$110:$BA$110, Hydrogen!$D$137:$BA$137)</f>
        <v>0</v>
      </c>
    </row>
    <row r="46" spans="1:50" ht="14.25" customHeight="1">
      <c r="A46" s="1"/>
      <c r="B46" s="84"/>
      <c r="C46" s="203" t="s">
        <v>358</v>
      </c>
      <c r="D46" s="79"/>
      <c r="E46" s="469">
        <f>_xlfn.XLOOKUP(E$88, 'SENS Tires'!$D$110:$BA$110, 'SENS Tires'!$D$148:$BA$148)</f>
        <v>0</v>
      </c>
      <c r="F46" s="469">
        <f>_xlfn.XLOOKUP(F$88, 'SENS Tires'!$D$110:$BA$110, 'SENS Tires'!$D$148:$BA$148)</f>
        <v>0</v>
      </c>
      <c r="G46" s="469">
        <f>_xlfn.XLOOKUP(G$88, 'SENS Tires'!$D$110:$BA$110, 'SENS Tires'!$D$148:$BA$148)</f>
        <v>0</v>
      </c>
      <c r="H46" s="469">
        <f>_xlfn.XLOOKUP(H$88, 'SENS Tires'!$D$110:$BA$110, 'SENS Tires'!$D$148:$BA$148)</f>
        <v>0</v>
      </c>
      <c r="I46" s="469">
        <f>_xlfn.XLOOKUP(I$88, 'SENS Tires'!$D$110:$BA$110, 'SENS Tires'!$D$148:$BA$148)</f>
        <v>0</v>
      </c>
      <c r="J46" s="469">
        <f>_xlfn.XLOOKUP(J$88, 'SENS Tires'!$D$110:$BA$110, 'SENS Tires'!$D$148:$BA$148)</f>
        <v>0</v>
      </c>
      <c r="K46" s="469">
        <f>_xlfn.XLOOKUP(K$88, 'SENS Tires'!$D$110:$BA$110, 'SENS Tires'!$D$148:$BA$148)</f>
        <v>0</v>
      </c>
      <c r="L46" s="469">
        <f>_xlfn.XLOOKUP(L$88, 'SENS Tires'!$D$110:$BA$110, 'SENS Tires'!$D$148:$BA$148)</f>
        <v>0</v>
      </c>
      <c r="M46" s="469">
        <f>_xlfn.XLOOKUP(M$88, 'SENS Tires'!$D$110:$BA$110, 'SENS Tires'!$D$148:$BA$148)</f>
        <v>0</v>
      </c>
      <c r="N46" s="469">
        <f>_xlfn.XLOOKUP(N$88, 'SENS Tires'!$D$110:$BA$110, 'SENS Tires'!$D$148:$BA$148)</f>
        <v>0</v>
      </c>
      <c r="O46" s="469">
        <f>_xlfn.XLOOKUP(O$88, 'SENS Tires'!$D$110:$BA$110, 'SENS Tires'!$D$148:$BA$148)</f>
        <v>0</v>
      </c>
      <c r="P46" s="469">
        <f>_xlfn.XLOOKUP(P$88, 'SENS Tires'!$D$110:$BA$110, 'SENS Tires'!$D$148:$BA$148)</f>
        <v>0</v>
      </c>
      <c r="Q46" s="469">
        <f>_xlfn.XLOOKUP(Q$88, 'SENS Tires'!$D$110:$BA$110, 'SENS Tires'!$D$148:$BA$148)</f>
        <v>0</v>
      </c>
      <c r="R46" s="469">
        <f>_xlfn.XLOOKUP(R$88, 'SENS Tires'!$D$110:$BA$110, 'SENS Tires'!$D$148:$BA$148)</f>
        <v>0</v>
      </c>
      <c r="S46" s="469">
        <f>_xlfn.XLOOKUP(S$88, 'SENS Tires'!$D$110:$BA$110, 'SENS Tires'!$D$148:$BA$148)</f>
        <v>0</v>
      </c>
      <c r="T46" s="469">
        <f>_xlfn.XLOOKUP(T$88, 'SENS Tires'!$D$110:$BA$110, 'SENS Tires'!$D$148:$BA$148)</f>
        <v>0</v>
      </c>
      <c r="U46" s="469">
        <f>_xlfn.XLOOKUP(U$88, 'SENS Tires'!$D$110:$BA$110, 'SENS Tires'!$D$148:$BA$148)</f>
        <v>0</v>
      </c>
      <c r="V46" s="469">
        <f>_xlfn.XLOOKUP(V$88, 'SENS Tires'!$D$110:$BA$110, 'SENS Tires'!$D$148:$BA$148)</f>
        <v>0</v>
      </c>
      <c r="W46" s="469">
        <f>_xlfn.XLOOKUP(W$88, 'SENS Tires'!$D$110:$BA$110, 'SENS Tires'!$D$148:$BA$148)</f>
        <v>0</v>
      </c>
      <c r="X46" s="469">
        <f>_xlfn.XLOOKUP(X$88, 'SENS Tires'!$D$110:$BA$110, 'SENS Tires'!$D$148:$BA$148)</f>
        <v>0</v>
      </c>
      <c r="Y46" s="469">
        <f>_xlfn.XLOOKUP(Y$88, 'SENS Tires'!$D$110:$BA$110, 'SENS Tires'!$D$148:$BA$148)</f>
        <v>0</v>
      </c>
      <c r="Z46" s="469">
        <f>_xlfn.XLOOKUP(Z$88, 'SENS Tires'!$D$110:$BA$110, 'SENS Tires'!$D$148:$BA$148)</f>
        <v>0</v>
      </c>
      <c r="AA46" s="469">
        <f>_xlfn.XLOOKUP(AA$88, 'SENS Tires'!$D$110:$BA$110, 'SENS Tires'!$D$148:$BA$148)</f>
        <v>0</v>
      </c>
      <c r="AB46" s="469">
        <f>_xlfn.XLOOKUP(AB$88, 'SENS Tires'!$D$110:$BA$110, 'SENS Tires'!$D$148:$BA$148)</f>
        <v>0</v>
      </c>
      <c r="AC46" s="469">
        <f>_xlfn.XLOOKUP(AC$88, 'SENS Tires'!$D$110:$BA$110, 'SENS Tires'!$D$148:$BA$148)</f>
        <v>0</v>
      </c>
      <c r="AD46" s="469">
        <f>_xlfn.XLOOKUP(AD$88, 'SENS Tires'!$D$110:$BA$110, 'SENS Tires'!$D$148:$BA$148)</f>
        <v>0</v>
      </c>
      <c r="AE46" s="469">
        <f>_xlfn.XLOOKUP(AE$88, 'SENS Tires'!$D$110:$BA$110, 'SENS Tires'!$D$148:$BA$148)</f>
        <v>0</v>
      </c>
      <c r="AF46" s="469">
        <f>_xlfn.XLOOKUP(AF$88, 'SENS Tires'!$D$110:$BA$110, 'SENS Tires'!$D$148:$BA$148)</f>
        <v>0</v>
      </c>
      <c r="AG46" s="469">
        <f>_xlfn.XLOOKUP(AG$88, 'SENS Tires'!$D$110:$BA$110, 'SENS Tires'!$D$148:$BA$148)</f>
        <v>0</v>
      </c>
      <c r="AH46" s="469">
        <f>_xlfn.XLOOKUP(AH$88, 'SENS Tires'!$D$110:$BA$110, 'SENS Tires'!$D$148:$BA$148)</f>
        <v>0</v>
      </c>
      <c r="AI46" s="469">
        <f>_xlfn.XLOOKUP(AI$88, 'SENS Tires'!$D$110:$BA$110, 'SENS Tires'!$D$148:$BA$148)</f>
        <v>0</v>
      </c>
      <c r="AJ46" s="469">
        <f>_xlfn.XLOOKUP(AJ$88, 'SENS Tires'!$D$110:$BA$110, 'SENS Tires'!$D$148:$BA$148)</f>
        <v>0</v>
      </c>
      <c r="AK46" s="469">
        <f>_xlfn.XLOOKUP(AK$88, 'SENS Tires'!$D$110:$BA$110, 'SENS Tires'!$D$148:$BA$148)</f>
        <v>0</v>
      </c>
      <c r="AL46" s="469">
        <f>_xlfn.XLOOKUP(AL$88, 'SENS Tires'!$D$110:$BA$110, 'SENS Tires'!$D$148:$BA$148)</f>
        <v>0</v>
      </c>
      <c r="AM46" s="469">
        <f>_xlfn.XLOOKUP(AM$88, 'SENS Tires'!$D$110:$BA$110, 'SENS Tires'!$D$148:$BA$148)</f>
        <v>0</v>
      </c>
      <c r="AN46" s="469">
        <f>_xlfn.XLOOKUP(AN$88, 'SENS Tires'!$D$110:$BA$110, 'SENS Tires'!$D$148:$BA$148)</f>
        <v>0</v>
      </c>
      <c r="AO46" s="469">
        <f>_xlfn.XLOOKUP(AO$88, 'SENS Tires'!$D$110:$BA$110, 'SENS Tires'!$D$148:$BA$148)</f>
        <v>0</v>
      </c>
      <c r="AP46" s="469">
        <f>_xlfn.XLOOKUP(AP$88, 'SENS Tires'!$D$110:$BA$110, 'SENS Tires'!$D$148:$BA$148)</f>
        <v>0</v>
      </c>
      <c r="AQ46" s="469">
        <f>_xlfn.XLOOKUP(AQ$88, 'SENS Tires'!$D$110:$BA$110, 'SENS Tires'!$D$148:$BA$148)</f>
        <v>0</v>
      </c>
      <c r="AR46" s="469">
        <f>_xlfn.XLOOKUP(AR$88, 'SENS Tires'!$D$110:$BA$110, 'SENS Tires'!$D$148:$BA$148)</f>
        <v>0</v>
      </c>
      <c r="AS46" s="469">
        <f>_xlfn.XLOOKUP(AS$88, 'SENS Tires'!$D$110:$BA$110, 'SENS Tires'!$D$148:$BA$148)</f>
        <v>0</v>
      </c>
      <c r="AT46" s="469">
        <f>_xlfn.XLOOKUP(AT$88, 'SENS Tires'!$D$110:$BA$110, 'SENS Tires'!$D$148:$BA$148)</f>
        <v>0</v>
      </c>
      <c r="AU46" s="469">
        <f>_xlfn.XLOOKUP(AU$88, 'SENS Tires'!$D$110:$BA$110, 'SENS Tires'!$D$148:$BA$148)</f>
        <v>0</v>
      </c>
      <c r="AV46" s="469">
        <f>_xlfn.XLOOKUP(AV$88, 'SENS Tires'!$D$110:$BA$110, 'SENS Tires'!$D$148:$BA$148)</f>
        <v>0</v>
      </c>
      <c r="AW46" s="469">
        <f>_xlfn.XLOOKUP(AW$88, 'SENS Tires'!$D$110:$BA$110, 'SENS Tires'!$D$148:$BA$148)</f>
        <v>0</v>
      </c>
      <c r="AX46" s="469">
        <f>_xlfn.XLOOKUP(AX$88, 'SENS Tires'!$D$110:$BA$110, 'SENS Tires'!$D$148:$BA$148)</f>
        <v>0</v>
      </c>
    </row>
    <row r="47" spans="1:50" ht="14.25" customHeight="1">
      <c r="A47" s="1"/>
      <c r="B47" s="84"/>
      <c r="C47" s="203" t="s">
        <v>357</v>
      </c>
      <c r="D47" s="79"/>
      <c r="E47" s="469">
        <f>_xlfn.XLOOKUP(E$88, 'SENS Coal'!$D$110:$BA$110, 'SENS Coal'!$D$150:$BA$150)</f>
        <v>0</v>
      </c>
      <c r="F47" s="469">
        <f>_xlfn.XLOOKUP(F$88, 'SENS Coal'!$D$110:$BA$110, 'SENS Coal'!$D$150:$BA$150)</f>
        <v>0</v>
      </c>
      <c r="G47" s="469">
        <f>_xlfn.XLOOKUP(G$88, 'SENS Coal'!$D$110:$BA$110, 'SENS Coal'!$D$150:$BA$150)</f>
        <v>0</v>
      </c>
      <c r="H47" s="469">
        <f>_xlfn.XLOOKUP(H$88, 'SENS Coal'!$D$110:$BA$110, 'SENS Coal'!$D$150:$BA$150)</f>
        <v>0</v>
      </c>
      <c r="I47" s="469">
        <f>_xlfn.XLOOKUP(I$88, 'SENS Coal'!$D$110:$BA$110, 'SENS Coal'!$D$150:$BA$150)</f>
        <v>0</v>
      </c>
      <c r="J47" s="469">
        <f>_xlfn.XLOOKUP(J$88, 'SENS Coal'!$D$110:$BA$110, 'SENS Coal'!$D$150:$BA$150)</f>
        <v>0</v>
      </c>
      <c r="K47" s="469">
        <f>_xlfn.XLOOKUP(K$88, 'SENS Coal'!$D$110:$BA$110, 'SENS Coal'!$D$150:$BA$150)</f>
        <v>0</v>
      </c>
      <c r="L47" s="469">
        <f>_xlfn.XLOOKUP(L$88, 'SENS Coal'!$D$110:$BA$110, 'SENS Coal'!$D$150:$BA$150)</f>
        <v>0</v>
      </c>
      <c r="M47" s="469">
        <f>_xlfn.XLOOKUP(M$88, 'SENS Coal'!$D$110:$BA$110, 'SENS Coal'!$D$150:$BA$150)</f>
        <v>0</v>
      </c>
      <c r="N47" s="469">
        <f>_xlfn.XLOOKUP(N$88, 'SENS Coal'!$D$110:$BA$110, 'SENS Coal'!$D$150:$BA$150)</f>
        <v>0</v>
      </c>
      <c r="O47" s="469">
        <f>_xlfn.XLOOKUP(O$88, 'SENS Coal'!$D$110:$BA$110, 'SENS Coal'!$D$150:$BA$150)</f>
        <v>0</v>
      </c>
      <c r="P47" s="469">
        <f>_xlfn.XLOOKUP(P$88, 'SENS Coal'!$D$110:$BA$110, 'SENS Coal'!$D$150:$BA$150)</f>
        <v>0</v>
      </c>
      <c r="Q47" s="469">
        <f>_xlfn.XLOOKUP(Q$88, 'SENS Coal'!$D$110:$BA$110, 'SENS Coal'!$D$150:$BA$150)</f>
        <v>0</v>
      </c>
      <c r="R47" s="469">
        <f>_xlfn.XLOOKUP(R$88, 'SENS Coal'!$D$110:$BA$110, 'SENS Coal'!$D$150:$BA$150)</f>
        <v>0</v>
      </c>
      <c r="S47" s="469">
        <f>_xlfn.XLOOKUP(S$88, 'SENS Coal'!$D$110:$BA$110, 'SENS Coal'!$D$150:$BA$150)</f>
        <v>0</v>
      </c>
      <c r="T47" s="469">
        <f>_xlfn.XLOOKUP(T$88, 'SENS Coal'!$D$110:$BA$110, 'SENS Coal'!$D$150:$BA$150)</f>
        <v>0</v>
      </c>
      <c r="U47" s="469">
        <f>_xlfn.XLOOKUP(U$88, 'SENS Coal'!$D$110:$BA$110, 'SENS Coal'!$D$150:$BA$150)</f>
        <v>0</v>
      </c>
      <c r="V47" s="469">
        <f>_xlfn.XLOOKUP(V$88, 'SENS Coal'!$D$110:$BA$110, 'SENS Coal'!$D$150:$BA$150)</f>
        <v>0</v>
      </c>
      <c r="W47" s="469">
        <f>_xlfn.XLOOKUP(W$88, 'SENS Coal'!$D$110:$BA$110, 'SENS Coal'!$D$150:$BA$150)</f>
        <v>0</v>
      </c>
      <c r="X47" s="469">
        <f>_xlfn.XLOOKUP(X$88, 'SENS Coal'!$D$110:$BA$110, 'SENS Coal'!$D$150:$BA$150)</f>
        <v>0</v>
      </c>
      <c r="Y47" s="469">
        <f>_xlfn.XLOOKUP(Y$88, 'SENS Coal'!$D$110:$BA$110, 'SENS Coal'!$D$150:$BA$150)</f>
        <v>0</v>
      </c>
      <c r="Z47" s="469">
        <f>_xlfn.XLOOKUP(Z$88, 'SENS Coal'!$D$110:$BA$110, 'SENS Coal'!$D$150:$BA$150)</f>
        <v>0</v>
      </c>
      <c r="AA47" s="469">
        <f>_xlfn.XLOOKUP(AA$88, 'SENS Coal'!$D$110:$BA$110, 'SENS Coal'!$D$150:$BA$150)</f>
        <v>0</v>
      </c>
      <c r="AB47" s="469">
        <f>_xlfn.XLOOKUP(AB$88, 'SENS Coal'!$D$110:$BA$110, 'SENS Coal'!$D$150:$BA$150)</f>
        <v>0</v>
      </c>
      <c r="AC47" s="469">
        <f>_xlfn.XLOOKUP(AC$88, 'SENS Coal'!$D$110:$BA$110, 'SENS Coal'!$D$150:$BA$150)</f>
        <v>0</v>
      </c>
      <c r="AD47" s="469">
        <f>_xlfn.XLOOKUP(AD$88, 'SENS Coal'!$D$110:$BA$110, 'SENS Coal'!$D$150:$BA$150)</f>
        <v>0</v>
      </c>
      <c r="AE47" s="469">
        <f>_xlfn.XLOOKUP(AE$88, 'SENS Coal'!$D$110:$BA$110, 'SENS Coal'!$D$150:$BA$150)</f>
        <v>0</v>
      </c>
      <c r="AF47" s="469">
        <f>_xlfn.XLOOKUP(AF$88, 'SENS Coal'!$D$110:$BA$110, 'SENS Coal'!$D$150:$BA$150)</f>
        <v>0</v>
      </c>
      <c r="AG47" s="469">
        <f>_xlfn.XLOOKUP(AG$88, 'SENS Coal'!$D$110:$BA$110, 'SENS Coal'!$D$150:$BA$150)</f>
        <v>0</v>
      </c>
      <c r="AH47" s="469">
        <f>_xlfn.XLOOKUP(AH$88, 'SENS Coal'!$D$110:$BA$110, 'SENS Coal'!$D$150:$BA$150)</f>
        <v>0</v>
      </c>
      <c r="AI47" s="469">
        <f>_xlfn.XLOOKUP(AI$88, 'SENS Coal'!$D$110:$BA$110, 'SENS Coal'!$D$150:$BA$150)</f>
        <v>0</v>
      </c>
      <c r="AJ47" s="469">
        <f>_xlfn.XLOOKUP(AJ$88, 'SENS Coal'!$D$110:$BA$110, 'SENS Coal'!$D$150:$BA$150)</f>
        <v>0</v>
      </c>
      <c r="AK47" s="469">
        <f>_xlfn.XLOOKUP(AK$88, 'SENS Coal'!$D$110:$BA$110, 'SENS Coal'!$D$150:$BA$150)</f>
        <v>0</v>
      </c>
      <c r="AL47" s="469">
        <f>_xlfn.XLOOKUP(AL$88, 'SENS Coal'!$D$110:$BA$110, 'SENS Coal'!$D$150:$BA$150)</f>
        <v>0</v>
      </c>
      <c r="AM47" s="469">
        <f>_xlfn.XLOOKUP(AM$88, 'SENS Coal'!$D$110:$BA$110, 'SENS Coal'!$D$150:$BA$150)</f>
        <v>0</v>
      </c>
      <c r="AN47" s="469">
        <f>_xlfn.XLOOKUP(AN$88, 'SENS Coal'!$D$110:$BA$110, 'SENS Coal'!$D$150:$BA$150)</f>
        <v>0</v>
      </c>
      <c r="AO47" s="469">
        <f>_xlfn.XLOOKUP(AO$88, 'SENS Coal'!$D$110:$BA$110, 'SENS Coal'!$D$150:$BA$150)</f>
        <v>0</v>
      </c>
      <c r="AP47" s="469">
        <f>_xlfn.XLOOKUP(AP$88, 'SENS Coal'!$D$110:$BA$110, 'SENS Coal'!$D$150:$BA$150)</f>
        <v>0</v>
      </c>
      <c r="AQ47" s="469">
        <f>_xlfn.XLOOKUP(AQ$88, 'SENS Coal'!$D$110:$BA$110, 'SENS Coal'!$D$150:$BA$150)</f>
        <v>0</v>
      </c>
      <c r="AR47" s="469">
        <f>_xlfn.XLOOKUP(AR$88, 'SENS Coal'!$D$110:$BA$110, 'SENS Coal'!$D$150:$BA$150)</f>
        <v>0</v>
      </c>
      <c r="AS47" s="469">
        <f>_xlfn.XLOOKUP(AS$88, 'SENS Coal'!$D$110:$BA$110, 'SENS Coal'!$D$150:$BA$150)</f>
        <v>0</v>
      </c>
      <c r="AT47" s="469">
        <f>_xlfn.XLOOKUP(AT$88, 'SENS Coal'!$D$110:$BA$110, 'SENS Coal'!$D$150:$BA$150)</f>
        <v>0</v>
      </c>
      <c r="AU47" s="469">
        <f>_xlfn.XLOOKUP(AU$88, 'SENS Coal'!$D$110:$BA$110, 'SENS Coal'!$D$150:$BA$150)</f>
        <v>0</v>
      </c>
      <c r="AV47" s="469">
        <f>_xlfn.XLOOKUP(AV$88, 'SENS Coal'!$D$110:$BA$110, 'SENS Coal'!$D$150:$BA$150)</f>
        <v>0</v>
      </c>
      <c r="AW47" s="469">
        <f>_xlfn.XLOOKUP(AW$88, 'SENS Coal'!$D$110:$BA$110, 'SENS Coal'!$D$150:$BA$150)</f>
        <v>0</v>
      </c>
      <c r="AX47" s="469">
        <f>_xlfn.XLOOKUP(AX$88, 'SENS Coal'!$D$110:$BA$110, 'SENS Coal'!$D$150:$BA$150)</f>
        <v>0</v>
      </c>
    </row>
    <row r="48" spans="1:50" ht="14.25" customHeight="1">
      <c r="A48" s="1"/>
      <c r="B48" s="84"/>
      <c r="C48" s="203"/>
      <c r="D48" s="79"/>
      <c r="E48" s="469"/>
      <c r="F48" s="469"/>
      <c r="G48" s="469"/>
      <c r="H48" s="469"/>
      <c r="I48" s="469"/>
      <c r="J48" s="469"/>
      <c r="K48" s="469"/>
      <c r="L48" s="469"/>
      <c r="M48" s="469"/>
      <c r="N48" s="469"/>
      <c r="O48" s="469"/>
      <c r="P48" s="469"/>
      <c r="Q48" s="469"/>
      <c r="R48" s="469"/>
      <c r="S48" s="469"/>
      <c r="T48" s="469"/>
      <c r="U48" s="469"/>
      <c r="V48" s="469"/>
      <c r="W48" s="469"/>
      <c r="X48" s="469"/>
      <c r="Y48" s="469"/>
      <c r="Z48" s="469"/>
      <c r="AA48" s="469"/>
      <c r="AB48" s="469"/>
      <c r="AC48" s="469"/>
      <c r="AD48" s="469"/>
      <c r="AE48" s="469"/>
      <c r="AF48" s="469"/>
      <c r="AG48" s="469"/>
      <c r="AH48" s="469"/>
      <c r="AI48" s="469"/>
      <c r="AJ48" s="469"/>
      <c r="AK48" s="469"/>
      <c r="AL48" s="469"/>
      <c r="AM48" s="469"/>
      <c r="AN48" s="469"/>
      <c r="AO48" s="469"/>
      <c r="AP48" s="469"/>
      <c r="AQ48" s="469"/>
      <c r="AR48" s="469"/>
      <c r="AS48" s="469"/>
      <c r="AT48" s="469"/>
      <c r="AU48" s="469"/>
      <c r="AV48" s="469"/>
      <c r="AW48" s="469"/>
      <c r="AX48" s="469"/>
    </row>
    <row r="49" spans="1:50" ht="14.25" customHeight="1">
      <c r="A49" s="1"/>
      <c r="B49" s="84"/>
      <c r="C49" s="227" t="s">
        <v>365</v>
      </c>
      <c r="D49" s="244"/>
      <c r="E49" s="228">
        <f>SUM(E31:E35)+SUM(E38:E41)+SUM(E44:E47)</f>
        <v>8862.6910684931499</v>
      </c>
      <c r="F49" s="228">
        <f t="shared" ref="F49:AX49" si="135">SUM(F31:F35)+SUM(F38:F41)+SUM(F44:F47)</f>
        <v>11059.805323398841</v>
      </c>
      <c r="G49" s="228">
        <f t="shared" si="135"/>
        <v>11378.330080551928</v>
      </c>
      <c r="H49" s="228">
        <f t="shared" si="135"/>
        <v>11609.084308821553</v>
      </c>
      <c r="I49" s="228">
        <f t="shared" si="135"/>
        <v>11863.190437190397</v>
      </c>
      <c r="J49" s="228">
        <f t="shared" si="135"/>
        <v>12106.566094884125</v>
      </c>
      <c r="K49" s="228">
        <f t="shared" si="135"/>
        <v>12350.314285793711</v>
      </c>
      <c r="L49" s="228">
        <f t="shared" si="135"/>
        <v>12599.002595807749</v>
      </c>
      <c r="M49" s="228">
        <f t="shared" si="135"/>
        <v>12852.731739850713</v>
      </c>
      <c r="N49" s="228">
        <f t="shared" si="135"/>
        <v>13111.60450468692</v>
      </c>
      <c r="O49" s="228">
        <f t="shared" si="135"/>
        <v>13375.725792084149</v>
      </c>
      <c r="P49" s="228">
        <f t="shared" si="135"/>
        <v>13645.202662892298</v>
      </c>
      <c r="Q49" s="228">
        <f t="shared" si="135"/>
        <v>13920.144382057009</v>
      </c>
      <c r="R49" s="228">
        <f t="shared" si="135"/>
        <v>14200.662464588531</v>
      </c>
      <c r="S49" s="228">
        <f t="shared" si="135"/>
        <v>14486.87072250661</v>
      </c>
      <c r="T49" s="228">
        <f t="shared" si="135"/>
        <v>14778.88531278254</v>
      </c>
      <c r="U49" s="228">
        <f t="shared" si="135"/>
        <v>15076.824786300205</v>
      </c>
      <c r="V49" s="228">
        <f t="shared" si="135"/>
        <v>15380.810137858156</v>
      </c>
      <c r="W49" s="228">
        <f t="shared" si="135"/>
        <v>15690.964857235469</v>
      </c>
      <c r="X49" s="228">
        <f t="shared" si="135"/>
        <v>16007.414981344607</v>
      </c>
      <c r="Y49" s="228">
        <f t="shared" si="135"/>
        <v>16330.289147494908</v>
      </c>
      <c r="Z49" s="228">
        <f t="shared" si="135"/>
        <v>16659.718647790975</v>
      </c>
      <c r="AA49" s="228">
        <f t="shared" si="135"/>
        <v>16995.837484690834</v>
      </c>
      <c r="AB49" s="228">
        <f t="shared" si="135"/>
        <v>17338.782427749044</v>
      </c>
      <c r="AC49" s="228">
        <f t="shared" si="135"/>
        <v>17688.693071570859</v>
      </c>
      <c r="AD49" s="228">
        <f t="shared" si="135"/>
        <v>18045.711895003777</v>
      </c>
      <c r="AE49" s="228">
        <f t="shared" si="135"/>
        <v>18409.98432159374</v>
      </c>
      <c r="AF49" s="228">
        <f t="shared" si="135"/>
        <v>18137.830976260811</v>
      </c>
      <c r="AG49" s="228">
        <f t="shared" si="135"/>
        <v>18502.717312912453</v>
      </c>
      <c r="AH49" s="228">
        <f t="shared" si="135"/>
        <v>18874.982445407011</v>
      </c>
      <c r="AI49" s="228">
        <f t="shared" si="135"/>
        <v>19231.461349489065</v>
      </c>
      <c r="AJ49" s="228">
        <f t="shared" si="135"/>
        <v>19618.995327363351</v>
      </c>
      <c r="AK49" s="228">
        <f t="shared" si="135"/>
        <v>20014.367127321668</v>
      </c>
      <c r="AL49" s="228">
        <f t="shared" si="135"/>
        <v>20417.736120081478</v>
      </c>
      <c r="AM49" s="228">
        <f t="shared" si="135"/>
        <v>20829.264942202881</v>
      </c>
      <c r="AN49" s="228">
        <f t="shared" si="135"/>
        <v>21249.119563758304</v>
      </c>
      <c r="AO49" s="228">
        <f t="shared" si="135"/>
        <v>21677.46935742618</v>
      </c>
      <c r="AP49" s="228">
        <f t="shared" si="135"/>
        <v>22114.487169039199</v>
      </c>
      <c r="AQ49" s="228">
        <f t="shared" si="135"/>
        <v>22560.349389618412</v>
      </c>
      <c r="AR49" s="228">
        <f t="shared" si="135"/>
        <v>23015.236028925152</v>
      </c>
      <c r="AS49" s="228">
        <f t="shared" si="135"/>
        <v>23479.330790563472</v>
      </c>
      <c r="AT49" s="228">
        <f t="shared" si="135"/>
        <v>23952.821148666346</v>
      </c>
      <c r="AU49" s="228">
        <f t="shared" si="135"/>
        <v>24435.898426200027</v>
      </c>
      <c r="AV49" s="228">
        <f t="shared" si="135"/>
        <v>24928.757874921186</v>
      </c>
      <c r="AW49" s="228">
        <f t="shared" si="135"/>
        <v>25431.598757022697</v>
      </c>
      <c r="AX49" s="228" t="e">
        <f t="shared" si="135"/>
        <v>#N/A</v>
      </c>
    </row>
    <row r="50" spans="1:50" ht="14.25" customHeight="1">
      <c r="A50" s="1"/>
      <c r="B50" s="84"/>
      <c r="C50" s="203"/>
      <c r="D50" s="79"/>
      <c r="E50" s="469"/>
      <c r="F50" s="469"/>
      <c r="G50" s="469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  <c r="AF50" s="469"/>
      <c r="AG50" s="469"/>
      <c r="AH50" s="469"/>
      <c r="AI50" s="469"/>
      <c r="AJ50" s="469"/>
      <c r="AK50" s="469"/>
      <c r="AL50" s="469"/>
      <c r="AM50" s="469"/>
      <c r="AN50" s="469"/>
      <c r="AO50" s="469"/>
      <c r="AP50" s="469"/>
      <c r="AQ50" s="469"/>
      <c r="AR50" s="469"/>
      <c r="AS50" s="469"/>
      <c r="AT50" s="469"/>
      <c r="AU50" s="469"/>
      <c r="AV50" s="469"/>
      <c r="AW50" s="469"/>
      <c r="AX50" s="469"/>
    </row>
    <row r="51" spans="1:50" ht="14.25" customHeight="1">
      <c r="A51" s="1"/>
      <c r="B51" s="84"/>
      <c r="C51" s="222" t="s">
        <v>366</v>
      </c>
      <c r="D51" s="79"/>
      <c r="E51" s="469">
        <f>_xlfn.XLOOKUP(E29, 'Real Estate'!$D$103:$BA$103, 'Real Estate'!$D$114:$BA$114)</f>
        <v>0</v>
      </c>
      <c r="F51" s="469">
        <f>_xlfn.XLOOKUP(F29, 'Real Estate'!$D$103:$BA$103, 'Real Estate'!$D$114:$BA$114)</f>
        <v>0</v>
      </c>
      <c r="G51" s="469">
        <f>_xlfn.XLOOKUP(G29, 'Real Estate'!$D$103:$BA$103, 'Real Estate'!$D$114:$BA$114)</f>
        <v>0</v>
      </c>
      <c r="H51" s="469">
        <f>_xlfn.XLOOKUP(H29, 'Real Estate'!$D$103:$BA$103, 'Real Estate'!$D$114:$BA$114)</f>
        <v>0</v>
      </c>
      <c r="I51" s="469">
        <f>_xlfn.XLOOKUP(I29, 'Real Estate'!$D$103:$BA$103, 'Real Estate'!$D$114:$BA$114)</f>
        <v>0</v>
      </c>
      <c r="J51" s="469">
        <f>_xlfn.XLOOKUP(J29, 'Real Estate'!$D$103:$BA$103, 'Real Estate'!$D$114:$BA$114)</f>
        <v>0</v>
      </c>
      <c r="K51" s="469">
        <f>_xlfn.XLOOKUP(K29, 'Real Estate'!$D$103:$BA$103, 'Real Estate'!$D$114:$BA$114)</f>
        <v>0</v>
      </c>
      <c r="L51" s="469">
        <f>_xlfn.XLOOKUP(L29, 'Real Estate'!$D$103:$BA$103, 'Real Estate'!$D$114:$BA$114)</f>
        <v>0</v>
      </c>
      <c r="M51" s="469">
        <f>_xlfn.XLOOKUP(M29, 'Real Estate'!$D$103:$BA$103, 'Real Estate'!$D$114:$BA$114)</f>
        <v>0</v>
      </c>
      <c r="N51" s="469">
        <f>_xlfn.XLOOKUP(N29, 'Real Estate'!$D$103:$BA$103, 'Real Estate'!$D$114:$BA$114)</f>
        <v>0</v>
      </c>
      <c r="O51" s="469">
        <f>_xlfn.XLOOKUP(O29, 'Real Estate'!$D$103:$BA$103, 'Real Estate'!$D$114:$BA$114)</f>
        <v>0</v>
      </c>
      <c r="P51" s="469">
        <f>_xlfn.XLOOKUP(P29, 'Real Estate'!$D$103:$BA$103, 'Real Estate'!$D$114:$BA$114)</f>
        <v>0</v>
      </c>
      <c r="Q51" s="469">
        <f>_xlfn.XLOOKUP(Q29, 'Real Estate'!$D$103:$BA$103, 'Real Estate'!$D$114:$BA$114)</f>
        <v>0</v>
      </c>
      <c r="R51" s="469">
        <f>_xlfn.XLOOKUP(R29, 'Real Estate'!$D$103:$BA$103, 'Real Estate'!$D$114:$BA$114)</f>
        <v>0</v>
      </c>
      <c r="S51" s="469">
        <f>_xlfn.XLOOKUP(S29, 'Real Estate'!$D$103:$BA$103, 'Real Estate'!$D$114:$BA$114)</f>
        <v>0</v>
      </c>
      <c r="T51" s="469">
        <f>_xlfn.XLOOKUP(T29, 'Real Estate'!$D$103:$BA$103, 'Real Estate'!$D$114:$BA$114)</f>
        <v>0</v>
      </c>
      <c r="U51" s="469">
        <f>_xlfn.XLOOKUP(U29, 'Real Estate'!$D$103:$BA$103, 'Real Estate'!$D$114:$BA$114)</f>
        <v>0</v>
      </c>
      <c r="V51" s="469">
        <f>_xlfn.XLOOKUP(V29, 'Real Estate'!$D$103:$BA$103, 'Real Estate'!$D$114:$BA$114)</f>
        <v>0</v>
      </c>
      <c r="W51" s="469">
        <f>_xlfn.XLOOKUP(W29, 'Real Estate'!$D$103:$BA$103, 'Real Estate'!$D$114:$BA$114)</f>
        <v>0</v>
      </c>
      <c r="X51" s="469">
        <f>_xlfn.XLOOKUP(X29, 'Real Estate'!$D$103:$BA$103, 'Real Estate'!$D$114:$BA$114)</f>
        <v>0</v>
      </c>
      <c r="Y51" s="469">
        <f>_xlfn.XLOOKUP(Y29, 'Real Estate'!$D$103:$BA$103, 'Real Estate'!$D$114:$BA$114)</f>
        <v>0</v>
      </c>
      <c r="Z51" s="469">
        <f>_xlfn.XLOOKUP(Z29, 'Real Estate'!$D$103:$BA$103, 'Real Estate'!$D$114:$BA$114)</f>
        <v>0</v>
      </c>
      <c r="AA51" s="469">
        <f>_xlfn.XLOOKUP(AA29, 'Real Estate'!$D$103:$BA$103, 'Real Estate'!$D$114:$BA$114)</f>
        <v>0</v>
      </c>
      <c r="AB51" s="469">
        <f>_xlfn.XLOOKUP(AB29, 'Real Estate'!$D$103:$BA$103, 'Real Estate'!$D$114:$BA$114)</f>
        <v>0</v>
      </c>
      <c r="AC51" s="469">
        <f>_xlfn.XLOOKUP(AC29, 'Real Estate'!$D$103:$BA$103, 'Real Estate'!$D$114:$BA$114)</f>
        <v>0</v>
      </c>
      <c r="AD51" s="469">
        <f>_xlfn.XLOOKUP(AD29, 'Real Estate'!$D$103:$BA$103, 'Real Estate'!$D$114:$BA$114)</f>
        <v>0</v>
      </c>
      <c r="AE51" s="469">
        <f>_xlfn.XLOOKUP(AE29, 'Real Estate'!$D$103:$BA$103, 'Real Estate'!$D$114:$BA$114)</f>
        <v>0</v>
      </c>
      <c r="AF51" s="469">
        <f>_xlfn.XLOOKUP(AF29, 'Real Estate'!$D$103:$BA$103, 'Real Estate'!$D$114:$BA$114)</f>
        <v>0</v>
      </c>
      <c r="AG51" s="469">
        <f>_xlfn.XLOOKUP(AG29, 'Real Estate'!$D$103:$BA$103, 'Real Estate'!$D$114:$BA$114)</f>
        <v>0</v>
      </c>
      <c r="AH51" s="469">
        <f>_xlfn.XLOOKUP(AH29, 'Real Estate'!$D$103:$BA$103, 'Real Estate'!$D$114:$BA$114)</f>
        <v>0</v>
      </c>
      <c r="AI51" s="469">
        <f>_xlfn.XLOOKUP(AI29, 'Real Estate'!$D$103:$BA$103, 'Real Estate'!$D$114:$BA$114)</f>
        <v>0</v>
      </c>
      <c r="AJ51" s="469">
        <f>_xlfn.XLOOKUP(AJ29, 'Real Estate'!$D$103:$BA$103, 'Real Estate'!$D$114:$BA$114)</f>
        <v>0</v>
      </c>
      <c r="AK51" s="469">
        <f>_xlfn.XLOOKUP(AK29, 'Real Estate'!$D$103:$BA$103, 'Real Estate'!$D$114:$BA$114)</f>
        <v>0</v>
      </c>
      <c r="AL51" s="469">
        <f>_xlfn.XLOOKUP(AL29, 'Real Estate'!$D$103:$BA$103, 'Real Estate'!$D$114:$BA$114)</f>
        <v>0</v>
      </c>
      <c r="AM51" s="469">
        <f>_xlfn.XLOOKUP(AM29, 'Real Estate'!$D$103:$BA$103, 'Real Estate'!$D$114:$BA$114)</f>
        <v>0</v>
      </c>
      <c r="AN51" s="469">
        <f>_xlfn.XLOOKUP(AN29, 'Real Estate'!$D$103:$BA$103, 'Real Estate'!$D$114:$BA$114)</f>
        <v>0</v>
      </c>
      <c r="AO51" s="469">
        <f>_xlfn.XLOOKUP(AO29, 'Real Estate'!$D$103:$BA$103, 'Real Estate'!$D$114:$BA$114)</f>
        <v>0</v>
      </c>
      <c r="AP51" s="469">
        <f>_xlfn.XLOOKUP(AP29, 'Real Estate'!$D$103:$BA$103, 'Real Estate'!$D$114:$BA$114)</f>
        <v>0</v>
      </c>
      <c r="AQ51" s="469">
        <f>_xlfn.XLOOKUP(AQ29, 'Real Estate'!$D$103:$BA$103, 'Real Estate'!$D$114:$BA$114)</f>
        <v>0</v>
      </c>
      <c r="AR51" s="469">
        <f>_xlfn.XLOOKUP(AR29, 'Real Estate'!$D$103:$BA$103, 'Real Estate'!$D$114:$BA$114)</f>
        <v>0</v>
      </c>
      <c r="AS51" s="469">
        <f>_xlfn.XLOOKUP(AS29, 'Real Estate'!$D$103:$BA$103, 'Real Estate'!$D$114:$BA$114)</f>
        <v>0</v>
      </c>
      <c r="AT51" s="469">
        <f>_xlfn.XLOOKUP(AT29, 'Real Estate'!$D$103:$BA$103, 'Real Estate'!$D$114:$BA$114)</f>
        <v>0</v>
      </c>
      <c r="AU51" s="469">
        <f>_xlfn.XLOOKUP(AU29, 'Real Estate'!$D$103:$BA$103, 'Real Estate'!$D$114:$BA$114)</f>
        <v>0</v>
      </c>
      <c r="AV51" s="469">
        <f>_xlfn.XLOOKUP(AV29, 'Real Estate'!$D$103:$BA$103, 'Real Estate'!$D$114:$BA$114)</f>
        <v>0</v>
      </c>
      <c r="AW51" s="469">
        <f>_xlfn.XLOOKUP(AW29, 'Real Estate'!$D$103:$BA$103, 'Real Estate'!$D$114:$BA$114)</f>
        <v>0</v>
      </c>
      <c r="AX51" s="469">
        <f>_xlfn.XLOOKUP(AX29, 'Real Estate'!$D$103:$BA$103, 'Real Estate'!$D$114:$BA$114)</f>
        <v>0</v>
      </c>
    </row>
    <row r="52" spans="1:50" ht="14.25" customHeight="1">
      <c r="A52" s="1"/>
      <c r="B52" s="84"/>
      <c r="C52" s="222"/>
      <c r="D52" s="79"/>
      <c r="E52" s="469"/>
      <c r="F52" s="469"/>
      <c r="G52" s="469"/>
      <c r="H52" s="469"/>
      <c r="I52" s="469"/>
      <c r="J52" s="469"/>
      <c r="K52" s="469"/>
      <c r="L52" s="469"/>
      <c r="M52" s="469"/>
      <c r="N52" s="469"/>
      <c r="O52" s="469"/>
      <c r="P52" s="469"/>
      <c r="Q52" s="469"/>
      <c r="R52" s="469"/>
      <c r="S52" s="469"/>
      <c r="T52" s="469"/>
      <c r="U52" s="469"/>
      <c r="V52" s="469"/>
      <c r="W52" s="469"/>
      <c r="X52" s="469"/>
      <c r="Y52" s="469"/>
      <c r="Z52" s="469"/>
      <c r="AA52" s="469"/>
      <c r="AB52" s="469"/>
      <c r="AC52" s="469"/>
      <c r="AD52" s="469"/>
      <c r="AE52" s="469"/>
      <c r="AF52" s="469"/>
      <c r="AG52" s="469"/>
      <c r="AH52" s="469"/>
      <c r="AI52" s="469"/>
      <c r="AJ52" s="469"/>
      <c r="AK52" s="469"/>
      <c r="AL52" s="469"/>
      <c r="AM52" s="469"/>
      <c r="AN52" s="469"/>
      <c r="AO52" s="469"/>
      <c r="AP52" s="469"/>
      <c r="AQ52" s="469"/>
      <c r="AR52" s="469"/>
      <c r="AS52" s="469"/>
      <c r="AT52" s="469"/>
      <c r="AU52" s="469"/>
      <c r="AV52" s="469"/>
      <c r="AW52" s="469"/>
      <c r="AX52" s="469"/>
    </row>
    <row r="53" spans="1:50" ht="14.25" customHeight="1">
      <c r="A53" s="1"/>
      <c r="B53" s="84"/>
      <c r="C53" s="222" t="s">
        <v>367</v>
      </c>
      <c r="D53" s="79"/>
      <c r="E53" s="469">
        <f>-_xlfn.XLOOKUP(E31, 'Real Estate'!$D$103:$BA$103, 'Real Estate'!$D$121:$BA$121)</f>
        <v>0</v>
      </c>
      <c r="F53" s="469">
        <f>-_xlfn.XLOOKUP(F31, 'Real Estate'!$D$103:$BA$103, 'Real Estate'!$D$121:$BA$121)</f>
        <v>0</v>
      </c>
      <c r="G53" s="469">
        <f>-_xlfn.XLOOKUP(G31, 'Real Estate'!$D$103:$BA$103, 'Real Estate'!$D$121:$BA$121)</f>
        <v>0</v>
      </c>
      <c r="H53" s="469">
        <f>-_xlfn.XLOOKUP(H31, 'Real Estate'!$D$103:$BA$103, 'Real Estate'!$D$121:$BA$121)</f>
        <v>0</v>
      </c>
      <c r="I53" s="469">
        <f>-_xlfn.XLOOKUP(I31, 'Real Estate'!$D$103:$BA$103, 'Real Estate'!$D$121:$BA$121)</f>
        <v>0</v>
      </c>
      <c r="J53" s="469">
        <f>-_xlfn.XLOOKUP(J31, 'Real Estate'!$D$103:$BA$103, 'Real Estate'!$D$121:$BA$121)</f>
        <v>0</v>
      </c>
      <c r="K53" s="469">
        <f>-_xlfn.XLOOKUP(K31, 'Real Estate'!$D$103:$BA$103, 'Real Estate'!$D$121:$BA$121)</f>
        <v>0</v>
      </c>
      <c r="L53" s="469">
        <f>-_xlfn.XLOOKUP(L31, 'Real Estate'!$D$103:$BA$103, 'Real Estate'!$D$121:$BA$121)</f>
        <v>0</v>
      </c>
      <c r="M53" s="469">
        <f>-_xlfn.XLOOKUP(M31, 'Real Estate'!$D$103:$BA$103, 'Real Estate'!$D$121:$BA$121)</f>
        <v>0</v>
      </c>
      <c r="N53" s="469">
        <f>-_xlfn.XLOOKUP(N31, 'Real Estate'!$D$103:$BA$103, 'Real Estate'!$D$121:$BA$121)</f>
        <v>0</v>
      </c>
      <c r="O53" s="469">
        <f>-_xlfn.XLOOKUP(O31, 'Real Estate'!$D$103:$BA$103, 'Real Estate'!$D$121:$BA$121)</f>
        <v>0</v>
      </c>
      <c r="P53" s="469">
        <f>-_xlfn.XLOOKUP(P31, 'Real Estate'!$D$103:$BA$103, 'Real Estate'!$D$121:$BA$121)</f>
        <v>0</v>
      </c>
      <c r="Q53" s="469">
        <f>-_xlfn.XLOOKUP(Q31, 'Real Estate'!$D$103:$BA$103, 'Real Estate'!$D$121:$BA$121)</f>
        <v>0</v>
      </c>
      <c r="R53" s="469">
        <f>-_xlfn.XLOOKUP(R31, 'Real Estate'!$D$103:$BA$103, 'Real Estate'!$D$121:$BA$121)</f>
        <v>0</v>
      </c>
      <c r="S53" s="469">
        <f>-_xlfn.XLOOKUP(S31, 'Real Estate'!$D$103:$BA$103, 'Real Estate'!$D$121:$BA$121)</f>
        <v>0</v>
      </c>
      <c r="T53" s="469">
        <f>-_xlfn.XLOOKUP(T31, 'Real Estate'!$D$103:$BA$103, 'Real Estate'!$D$121:$BA$121)</f>
        <v>0</v>
      </c>
      <c r="U53" s="469">
        <f>-_xlfn.XLOOKUP(U31, 'Real Estate'!$D$103:$BA$103, 'Real Estate'!$D$121:$BA$121)</f>
        <v>0</v>
      </c>
      <c r="V53" s="469">
        <f>-_xlfn.XLOOKUP(V31, 'Real Estate'!$D$103:$BA$103, 'Real Estate'!$D$121:$BA$121)</f>
        <v>0</v>
      </c>
      <c r="W53" s="469">
        <f>-_xlfn.XLOOKUP(W31, 'Real Estate'!$D$103:$BA$103, 'Real Estate'!$D$121:$BA$121)</f>
        <v>0</v>
      </c>
      <c r="X53" s="469">
        <f>-_xlfn.XLOOKUP(X31, 'Real Estate'!$D$103:$BA$103, 'Real Estate'!$D$121:$BA$121)</f>
        <v>0</v>
      </c>
      <c r="Y53" s="469">
        <f>-_xlfn.XLOOKUP(Y31, 'Real Estate'!$D$103:$BA$103, 'Real Estate'!$D$121:$BA$121)</f>
        <v>0</v>
      </c>
      <c r="Z53" s="469">
        <f>-_xlfn.XLOOKUP(Z31, 'Real Estate'!$D$103:$BA$103, 'Real Estate'!$D$121:$BA$121)</f>
        <v>0</v>
      </c>
      <c r="AA53" s="469">
        <f>-_xlfn.XLOOKUP(AA31, 'Real Estate'!$D$103:$BA$103, 'Real Estate'!$D$121:$BA$121)</f>
        <v>0</v>
      </c>
      <c r="AB53" s="469">
        <f>-_xlfn.XLOOKUP(AB31, 'Real Estate'!$D$103:$BA$103, 'Real Estate'!$D$121:$BA$121)</f>
        <v>0</v>
      </c>
      <c r="AC53" s="469">
        <f>-_xlfn.XLOOKUP(AC31, 'Real Estate'!$D$103:$BA$103, 'Real Estate'!$D$121:$BA$121)</f>
        <v>0</v>
      </c>
      <c r="AD53" s="469">
        <f>-_xlfn.XLOOKUP(AD31, 'Real Estate'!$D$103:$BA$103, 'Real Estate'!$D$121:$BA$121)</f>
        <v>0</v>
      </c>
      <c r="AE53" s="469">
        <f>-_xlfn.XLOOKUP(AE31, 'Real Estate'!$D$103:$BA$103, 'Real Estate'!$D$121:$BA$121)</f>
        <v>0</v>
      </c>
      <c r="AF53" s="469">
        <f>-_xlfn.XLOOKUP(AF31, 'Real Estate'!$D$103:$BA$103, 'Real Estate'!$D$121:$BA$121)</f>
        <v>0</v>
      </c>
      <c r="AG53" s="469">
        <f>-_xlfn.XLOOKUP(AG31, 'Real Estate'!$D$103:$BA$103, 'Real Estate'!$D$121:$BA$121)</f>
        <v>0</v>
      </c>
      <c r="AH53" s="469">
        <f>-_xlfn.XLOOKUP(AH31, 'Real Estate'!$D$103:$BA$103, 'Real Estate'!$D$121:$BA$121)</f>
        <v>0</v>
      </c>
      <c r="AI53" s="469">
        <f>-_xlfn.XLOOKUP(AI31, 'Real Estate'!$D$103:$BA$103, 'Real Estate'!$D$121:$BA$121)</f>
        <v>0</v>
      </c>
      <c r="AJ53" s="469">
        <f>-_xlfn.XLOOKUP(AJ31, 'Real Estate'!$D$103:$BA$103, 'Real Estate'!$D$121:$BA$121)</f>
        <v>0</v>
      </c>
      <c r="AK53" s="469">
        <f>-_xlfn.XLOOKUP(AK31, 'Real Estate'!$D$103:$BA$103, 'Real Estate'!$D$121:$BA$121)</f>
        <v>0</v>
      </c>
      <c r="AL53" s="469">
        <f>-_xlfn.XLOOKUP(AL31, 'Real Estate'!$D$103:$BA$103, 'Real Estate'!$D$121:$BA$121)</f>
        <v>0</v>
      </c>
      <c r="AM53" s="469">
        <f>-_xlfn.XLOOKUP(AM31, 'Real Estate'!$D$103:$BA$103, 'Real Estate'!$D$121:$BA$121)</f>
        <v>0</v>
      </c>
      <c r="AN53" s="469">
        <f>-_xlfn.XLOOKUP(AN31, 'Real Estate'!$D$103:$BA$103, 'Real Estate'!$D$121:$BA$121)</f>
        <v>0</v>
      </c>
      <c r="AO53" s="469">
        <f>-_xlfn.XLOOKUP(AO31, 'Real Estate'!$D$103:$BA$103, 'Real Estate'!$D$121:$BA$121)</f>
        <v>0</v>
      </c>
      <c r="AP53" s="469">
        <f>-_xlfn.XLOOKUP(AP31, 'Real Estate'!$D$103:$BA$103, 'Real Estate'!$D$121:$BA$121)</f>
        <v>0</v>
      </c>
      <c r="AQ53" s="469">
        <f>-_xlfn.XLOOKUP(AQ31, 'Real Estate'!$D$103:$BA$103, 'Real Estate'!$D$121:$BA$121)</f>
        <v>0</v>
      </c>
      <c r="AR53" s="469">
        <f>-_xlfn.XLOOKUP(AR31, 'Real Estate'!$D$103:$BA$103, 'Real Estate'!$D$121:$BA$121)</f>
        <v>0</v>
      </c>
      <c r="AS53" s="469">
        <f>-_xlfn.XLOOKUP(AS31, 'Real Estate'!$D$103:$BA$103, 'Real Estate'!$D$121:$BA$121)</f>
        <v>0</v>
      </c>
      <c r="AT53" s="469">
        <f>-_xlfn.XLOOKUP(AT31, 'Real Estate'!$D$103:$BA$103, 'Real Estate'!$D$121:$BA$121)</f>
        <v>0</v>
      </c>
      <c r="AU53" s="469">
        <f>-_xlfn.XLOOKUP(AU31, 'Real Estate'!$D$103:$BA$103, 'Real Estate'!$D$121:$BA$121)</f>
        <v>0</v>
      </c>
      <c r="AV53" s="469">
        <f>-_xlfn.XLOOKUP(AV31, 'Real Estate'!$D$103:$BA$103, 'Real Estate'!$D$121:$BA$121)</f>
        <v>0</v>
      </c>
      <c r="AW53" s="469">
        <f>-_xlfn.XLOOKUP(AW31, 'Real Estate'!$D$103:$BA$103, 'Real Estate'!$D$121:$BA$121)</f>
        <v>0</v>
      </c>
      <c r="AX53" s="469">
        <f>-_xlfn.XLOOKUP(AX31, 'Real Estate'!$D$103:$BA$103, 'Real Estate'!$D$121:$BA$121)</f>
        <v>0</v>
      </c>
    </row>
    <row r="54" spans="1:50" ht="14.25" customHeight="1">
      <c r="A54" s="1"/>
      <c r="B54" s="84"/>
      <c r="C54" s="222"/>
      <c r="D54" s="79"/>
      <c r="E54" s="469"/>
      <c r="F54" s="469"/>
      <c r="G54" s="469"/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69"/>
      <c r="AB54" s="469"/>
      <c r="AC54" s="469"/>
      <c r="AD54" s="469"/>
      <c r="AE54" s="469"/>
      <c r="AF54" s="469"/>
      <c r="AG54" s="469"/>
      <c r="AH54" s="469"/>
      <c r="AI54" s="469"/>
      <c r="AJ54" s="469"/>
      <c r="AK54" s="469"/>
      <c r="AL54" s="469"/>
      <c r="AM54" s="469"/>
      <c r="AN54" s="469"/>
      <c r="AO54" s="469"/>
      <c r="AP54" s="469"/>
      <c r="AQ54" s="469"/>
      <c r="AR54" s="469"/>
      <c r="AS54" s="469"/>
      <c r="AT54" s="469"/>
      <c r="AU54" s="469"/>
      <c r="AV54" s="469"/>
      <c r="AW54" s="469"/>
      <c r="AX54" s="469"/>
    </row>
    <row r="55" spans="1:50" ht="14.25" customHeight="1">
      <c r="A55" s="1"/>
      <c r="B55" s="84"/>
      <c r="C55" s="222" t="s">
        <v>368</v>
      </c>
      <c r="D55" s="79"/>
      <c r="E55" s="469">
        <f>_xlfn.XLOOKUP(E29, 'Real Estate'!$D$103:$BA$103, 'Real Estate'!$D$130:$BA$130)</f>
        <v>0</v>
      </c>
      <c r="F55" s="469">
        <f>_xlfn.XLOOKUP(F29, 'Real Estate'!$D$103:$BA$103, 'Real Estate'!$D$130:$BA$130)</f>
        <v>0</v>
      </c>
      <c r="G55" s="469">
        <f>_xlfn.XLOOKUP(G29, 'Real Estate'!$D$103:$BA$103, 'Real Estate'!$D$130:$BA$130)</f>
        <v>0</v>
      </c>
      <c r="H55" s="469">
        <f>_xlfn.XLOOKUP(H29, 'Real Estate'!$D$103:$BA$103, 'Real Estate'!$D$130:$BA$130)</f>
        <v>0</v>
      </c>
      <c r="I55" s="469">
        <f>_xlfn.XLOOKUP(I29, 'Real Estate'!$D$103:$BA$103, 'Real Estate'!$D$130:$BA$130)</f>
        <v>0</v>
      </c>
      <c r="J55" s="469">
        <f>_xlfn.XLOOKUP(J29, 'Real Estate'!$D$103:$BA$103, 'Real Estate'!$D$130:$BA$130)</f>
        <v>0</v>
      </c>
      <c r="K55" s="469">
        <f>_xlfn.XLOOKUP(K29, 'Real Estate'!$D$103:$BA$103, 'Real Estate'!$D$130:$BA$130)</f>
        <v>0</v>
      </c>
      <c r="L55" s="469">
        <f>_xlfn.XLOOKUP(L29, 'Real Estate'!$D$103:$BA$103, 'Real Estate'!$D$130:$BA$130)</f>
        <v>0</v>
      </c>
      <c r="M55" s="469">
        <f>_xlfn.XLOOKUP(M29, 'Real Estate'!$D$103:$BA$103, 'Real Estate'!$D$130:$BA$130)</f>
        <v>0</v>
      </c>
      <c r="N55" s="469">
        <f>_xlfn.XLOOKUP(N29, 'Real Estate'!$D$103:$BA$103, 'Real Estate'!$D$130:$BA$130)</f>
        <v>0</v>
      </c>
      <c r="O55" s="469">
        <f>_xlfn.XLOOKUP(O29, 'Real Estate'!$D$103:$BA$103, 'Real Estate'!$D$130:$BA$130)</f>
        <v>0</v>
      </c>
      <c r="P55" s="469">
        <f>_xlfn.XLOOKUP(P29, 'Real Estate'!$D$103:$BA$103, 'Real Estate'!$D$130:$BA$130)</f>
        <v>0</v>
      </c>
      <c r="Q55" s="469">
        <f>_xlfn.XLOOKUP(Q29, 'Real Estate'!$D$103:$BA$103, 'Real Estate'!$D$130:$BA$130)</f>
        <v>0</v>
      </c>
      <c r="R55" s="469">
        <f>_xlfn.XLOOKUP(R29, 'Real Estate'!$D$103:$BA$103, 'Real Estate'!$D$130:$BA$130)</f>
        <v>0</v>
      </c>
      <c r="S55" s="469">
        <f>_xlfn.XLOOKUP(S29, 'Real Estate'!$D$103:$BA$103, 'Real Estate'!$D$130:$BA$130)</f>
        <v>0</v>
      </c>
      <c r="T55" s="469">
        <f>_xlfn.XLOOKUP(T29, 'Real Estate'!$D$103:$BA$103, 'Real Estate'!$D$130:$BA$130)</f>
        <v>0</v>
      </c>
      <c r="U55" s="469">
        <f>_xlfn.XLOOKUP(U29, 'Real Estate'!$D$103:$BA$103, 'Real Estate'!$D$130:$BA$130)</f>
        <v>0</v>
      </c>
      <c r="V55" s="469">
        <f>_xlfn.XLOOKUP(V29, 'Real Estate'!$D$103:$BA$103, 'Real Estate'!$D$130:$BA$130)</f>
        <v>0</v>
      </c>
      <c r="W55" s="469">
        <f>_xlfn.XLOOKUP(W29, 'Real Estate'!$D$103:$BA$103, 'Real Estate'!$D$130:$BA$130)</f>
        <v>0</v>
      </c>
      <c r="X55" s="469">
        <f>_xlfn.XLOOKUP(X29, 'Real Estate'!$D$103:$BA$103, 'Real Estate'!$D$130:$BA$130)</f>
        <v>0</v>
      </c>
      <c r="Y55" s="469">
        <f>_xlfn.XLOOKUP(Y29, 'Real Estate'!$D$103:$BA$103, 'Real Estate'!$D$130:$BA$130)</f>
        <v>0</v>
      </c>
      <c r="Z55" s="469">
        <f>_xlfn.XLOOKUP(Z29, 'Real Estate'!$D$103:$BA$103, 'Real Estate'!$D$130:$BA$130)</f>
        <v>0</v>
      </c>
      <c r="AA55" s="469">
        <f>_xlfn.XLOOKUP(AA29, 'Real Estate'!$D$103:$BA$103, 'Real Estate'!$D$130:$BA$130)</f>
        <v>0</v>
      </c>
      <c r="AB55" s="469">
        <f>_xlfn.XLOOKUP(AB29, 'Real Estate'!$D$103:$BA$103, 'Real Estate'!$D$130:$BA$130)</f>
        <v>0</v>
      </c>
      <c r="AC55" s="469">
        <f>_xlfn.XLOOKUP(AC29, 'Real Estate'!$D$103:$BA$103, 'Real Estate'!$D$130:$BA$130)</f>
        <v>0</v>
      </c>
      <c r="AD55" s="469">
        <f>_xlfn.XLOOKUP(AD29, 'Real Estate'!$D$103:$BA$103, 'Real Estate'!$D$130:$BA$130)</f>
        <v>0</v>
      </c>
      <c r="AE55" s="469">
        <f>_xlfn.XLOOKUP(AE29, 'Real Estate'!$D$103:$BA$103, 'Real Estate'!$D$130:$BA$130)</f>
        <v>0</v>
      </c>
      <c r="AF55" s="469">
        <f>_xlfn.XLOOKUP(AF29, 'Real Estate'!$D$103:$BA$103, 'Real Estate'!$D$130:$BA$130)</f>
        <v>0</v>
      </c>
      <c r="AG55" s="469">
        <f>_xlfn.XLOOKUP(AG29, 'Real Estate'!$D$103:$BA$103, 'Real Estate'!$D$130:$BA$130)</f>
        <v>0</v>
      </c>
      <c r="AH55" s="469">
        <f>_xlfn.XLOOKUP(AH29, 'Real Estate'!$D$103:$BA$103, 'Real Estate'!$D$130:$BA$130)</f>
        <v>0</v>
      </c>
      <c r="AI55" s="469">
        <f>_xlfn.XLOOKUP(AI29, 'Real Estate'!$D$103:$BA$103, 'Real Estate'!$D$130:$BA$130)</f>
        <v>0</v>
      </c>
      <c r="AJ55" s="469">
        <f>_xlfn.XLOOKUP(AJ29, 'Real Estate'!$D$103:$BA$103, 'Real Estate'!$D$130:$BA$130)</f>
        <v>0</v>
      </c>
      <c r="AK55" s="469">
        <f>_xlfn.XLOOKUP(AK29, 'Real Estate'!$D$103:$BA$103, 'Real Estate'!$D$130:$BA$130)</f>
        <v>0</v>
      </c>
      <c r="AL55" s="469">
        <f>_xlfn.XLOOKUP(AL29, 'Real Estate'!$D$103:$BA$103, 'Real Estate'!$D$130:$BA$130)</f>
        <v>0</v>
      </c>
      <c r="AM55" s="469">
        <f>_xlfn.XLOOKUP(AM29, 'Real Estate'!$D$103:$BA$103, 'Real Estate'!$D$130:$BA$130)</f>
        <v>0</v>
      </c>
      <c r="AN55" s="469">
        <f>_xlfn.XLOOKUP(AN29, 'Real Estate'!$D$103:$BA$103, 'Real Estate'!$D$130:$BA$130)</f>
        <v>0</v>
      </c>
      <c r="AO55" s="469">
        <f>_xlfn.XLOOKUP(AO29, 'Real Estate'!$D$103:$BA$103, 'Real Estate'!$D$130:$BA$130)</f>
        <v>0</v>
      </c>
      <c r="AP55" s="469">
        <f>_xlfn.XLOOKUP(AP29, 'Real Estate'!$D$103:$BA$103, 'Real Estate'!$D$130:$BA$130)</f>
        <v>0</v>
      </c>
      <c r="AQ55" s="469">
        <f>_xlfn.XLOOKUP(AQ29, 'Real Estate'!$D$103:$BA$103, 'Real Estate'!$D$130:$BA$130)</f>
        <v>0</v>
      </c>
      <c r="AR55" s="469">
        <f>_xlfn.XLOOKUP(AR29, 'Real Estate'!$D$103:$BA$103, 'Real Estate'!$D$130:$BA$130)</f>
        <v>0</v>
      </c>
      <c r="AS55" s="469">
        <f>_xlfn.XLOOKUP(AS29, 'Real Estate'!$D$103:$BA$103, 'Real Estate'!$D$130:$BA$130)</f>
        <v>0</v>
      </c>
      <c r="AT55" s="469">
        <f>_xlfn.XLOOKUP(AT29, 'Real Estate'!$D$103:$BA$103, 'Real Estate'!$D$130:$BA$130)</f>
        <v>0</v>
      </c>
      <c r="AU55" s="469">
        <f>_xlfn.XLOOKUP(AU29, 'Real Estate'!$D$103:$BA$103, 'Real Estate'!$D$130:$BA$130)</f>
        <v>0</v>
      </c>
      <c r="AV55" s="469">
        <f>_xlfn.XLOOKUP(AV29, 'Real Estate'!$D$103:$BA$103, 'Real Estate'!$D$130:$BA$130)</f>
        <v>0</v>
      </c>
      <c r="AW55" s="469">
        <f>_xlfn.XLOOKUP(AW29, 'Real Estate'!$D$103:$BA$103, 'Real Estate'!$D$130:$BA$130)</f>
        <v>0</v>
      </c>
      <c r="AX55" s="469">
        <f>_xlfn.XLOOKUP(AX29, 'Real Estate'!$D$103:$BA$103, 'Real Estate'!$D$130:$BA$130)</f>
        <v>0</v>
      </c>
    </row>
    <row r="56" spans="1:50" ht="14.25" customHeight="1">
      <c r="A56" s="1"/>
      <c r="B56" s="84"/>
      <c r="C56" s="203"/>
      <c r="D56" s="79"/>
      <c r="E56" s="469"/>
      <c r="F56" s="469"/>
      <c r="G56" s="469"/>
      <c r="H56" s="469"/>
      <c r="I56" s="469"/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  <c r="X56" s="469"/>
      <c r="Y56" s="469"/>
      <c r="Z56" s="469"/>
      <c r="AA56" s="469"/>
      <c r="AB56" s="469"/>
      <c r="AC56" s="469"/>
      <c r="AD56" s="469"/>
      <c r="AE56" s="469"/>
      <c r="AF56" s="469"/>
      <c r="AG56" s="469"/>
      <c r="AH56" s="469"/>
      <c r="AI56" s="469"/>
      <c r="AJ56" s="469"/>
      <c r="AK56" s="469"/>
      <c r="AL56" s="469"/>
      <c r="AM56" s="469"/>
      <c r="AN56" s="469"/>
      <c r="AO56" s="469"/>
      <c r="AP56" s="469"/>
      <c r="AQ56" s="469"/>
      <c r="AR56" s="469"/>
      <c r="AS56" s="469"/>
      <c r="AT56" s="469"/>
      <c r="AU56" s="469"/>
      <c r="AV56" s="469"/>
      <c r="AW56" s="469"/>
      <c r="AX56" s="469"/>
    </row>
    <row r="57" spans="1:50" ht="14.25" customHeight="1">
      <c r="A57" s="1"/>
      <c r="B57" s="84"/>
      <c r="C57" s="227" t="s">
        <v>369</v>
      </c>
      <c r="D57" s="244"/>
      <c r="E57" s="228">
        <f>SUM(E55,E53, E51)</f>
        <v>0</v>
      </c>
      <c r="F57" s="228">
        <f t="shared" ref="F57:AX57" si="136">SUM(F55,F51)</f>
        <v>0</v>
      </c>
      <c r="G57" s="228">
        <f t="shared" si="136"/>
        <v>0</v>
      </c>
      <c r="H57" s="228">
        <f t="shared" si="136"/>
        <v>0</v>
      </c>
      <c r="I57" s="228">
        <f t="shared" si="136"/>
        <v>0</v>
      </c>
      <c r="J57" s="228">
        <f t="shared" si="136"/>
        <v>0</v>
      </c>
      <c r="K57" s="228">
        <f t="shared" si="136"/>
        <v>0</v>
      </c>
      <c r="L57" s="228">
        <f t="shared" si="136"/>
        <v>0</v>
      </c>
      <c r="M57" s="228">
        <f t="shared" si="136"/>
        <v>0</v>
      </c>
      <c r="N57" s="228">
        <f t="shared" si="136"/>
        <v>0</v>
      </c>
      <c r="O57" s="228">
        <f t="shared" si="136"/>
        <v>0</v>
      </c>
      <c r="P57" s="228">
        <f t="shared" si="136"/>
        <v>0</v>
      </c>
      <c r="Q57" s="228">
        <f t="shared" si="136"/>
        <v>0</v>
      </c>
      <c r="R57" s="228">
        <f t="shared" si="136"/>
        <v>0</v>
      </c>
      <c r="S57" s="228">
        <f t="shared" si="136"/>
        <v>0</v>
      </c>
      <c r="T57" s="228">
        <f t="shared" si="136"/>
        <v>0</v>
      </c>
      <c r="U57" s="228">
        <f t="shared" si="136"/>
        <v>0</v>
      </c>
      <c r="V57" s="228">
        <f t="shared" si="136"/>
        <v>0</v>
      </c>
      <c r="W57" s="228">
        <f t="shared" si="136"/>
        <v>0</v>
      </c>
      <c r="X57" s="228">
        <f t="shared" si="136"/>
        <v>0</v>
      </c>
      <c r="Y57" s="228">
        <f t="shared" si="136"/>
        <v>0</v>
      </c>
      <c r="Z57" s="228">
        <f t="shared" si="136"/>
        <v>0</v>
      </c>
      <c r="AA57" s="228">
        <f t="shared" si="136"/>
        <v>0</v>
      </c>
      <c r="AB57" s="228">
        <f t="shared" si="136"/>
        <v>0</v>
      </c>
      <c r="AC57" s="228">
        <f t="shared" si="136"/>
        <v>0</v>
      </c>
      <c r="AD57" s="228">
        <f t="shared" si="136"/>
        <v>0</v>
      </c>
      <c r="AE57" s="228">
        <f t="shared" si="136"/>
        <v>0</v>
      </c>
      <c r="AF57" s="228">
        <f t="shared" si="136"/>
        <v>0</v>
      </c>
      <c r="AG57" s="228">
        <f t="shared" si="136"/>
        <v>0</v>
      </c>
      <c r="AH57" s="228">
        <f t="shared" si="136"/>
        <v>0</v>
      </c>
      <c r="AI57" s="228">
        <f t="shared" si="136"/>
        <v>0</v>
      </c>
      <c r="AJ57" s="228">
        <f t="shared" si="136"/>
        <v>0</v>
      </c>
      <c r="AK57" s="228">
        <f t="shared" si="136"/>
        <v>0</v>
      </c>
      <c r="AL57" s="228">
        <f t="shared" si="136"/>
        <v>0</v>
      </c>
      <c r="AM57" s="228">
        <f t="shared" si="136"/>
        <v>0</v>
      </c>
      <c r="AN57" s="228">
        <f t="shared" si="136"/>
        <v>0</v>
      </c>
      <c r="AO57" s="228">
        <f t="shared" si="136"/>
        <v>0</v>
      </c>
      <c r="AP57" s="228">
        <f t="shared" si="136"/>
        <v>0</v>
      </c>
      <c r="AQ57" s="228">
        <f t="shared" si="136"/>
        <v>0</v>
      </c>
      <c r="AR57" s="228">
        <f t="shared" si="136"/>
        <v>0</v>
      </c>
      <c r="AS57" s="228">
        <f t="shared" si="136"/>
        <v>0</v>
      </c>
      <c r="AT57" s="228">
        <f t="shared" si="136"/>
        <v>0</v>
      </c>
      <c r="AU57" s="228">
        <f t="shared" si="136"/>
        <v>0</v>
      </c>
      <c r="AV57" s="228">
        <f t="shared" si="136"/>
        <v>0</v>
      </c>
      <c r="AW57" s="228">
        <f t="shared" si="136"/>
        <v>0</v>
      </c>
      <c r="AX57" s="228">
        <f t="shared" si="136"/>
        <v>0</v>
      </c>
    </row>
    <row r="58" spans="1:50" ht="14.25" customHeight="1">
      <c r="A58" s="1"/>
      <c r="B58" s="84"/>
      <c r="C58" s="226"/>
      <c r="D58" s="242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</row>
    <row r="59" spans="1:50" ht="14.25" customHeight="1">
      <c r="A59" s="1"/>
      <c r="B59" s="84"/>
      <c r="C59" s="222" t="s">
        <v>370</v>
      </c>
      <c r="D59" s="243"/>
      <c r="E59" s="471"/>
      <c r="F59" s="472"/>
      <c r="G59" s="472"/>
      <c r="H59" s="472"/>
      <c r="I59" s="472"/>
      <c r="J59" s="472"/>
      <c r="K59" s="472"/>
      <c r="L59" s="472"/>
      <c r="M59" s="472"/>
      <c r="N59" s="472"/>
      <c r="O59" s="472"/>
      <c r="P59" s="472"/>
      <c r="Q59" s="472"/>
      <c r="R59" s="472"/>
      <c r="S59" s="472"/>
      <c r="T59" s="472"/>
      <c r="U59" s="472"/>
      <c r="V59" s="472"/>
      <c r="W59" s="472"/>
      <c r="X59" s="472"/>
      <c r="Y59" s="472"/>
      <c r="Z59" s="472"/>
      <c r="AA59" s="472"/>
      <c r="AB59" s="472"/>
      <c r="AC59" s="472"/>
      <c r="AD59" s="472"/>
      <c r="AE59" s="472"/>
      <c r="AF59" s="472"/>
      <c r="AG59" s="472"/>
      <c r="AH59" s="472"/>
      <c r="AI59" s="472"/>
      <c r="AJ59" s="472"/>
      <c r="AK59" s="472"/>
      <c r="AL59" s="472"/>
      <c r="AM59" s="472"/>
      <c r="AN59" s="472"/>
      <c r="AO59" s="472"/>
      <c r="AP59" s="472"/>
      <c r="AQ59" s="472"/>
      <c r="AR59" s="472"/>
      <c r="AS59" s="472"/>
      <c r="AT59" s="472"/>
      <c r="AU59" s="472"/>
      <c r="AV59" s="472"/>
      <c r="AW59" s="472"/>
      <c r="AX59" s="472"/>
    </row>
    <row r="60" spans="1:50" ht="14.25" customHeight="1">
      <c r="A60" s="1"/>
      <c r="B60" s="84"/>
      <c r="C60" s="664" t="s">
        <v>371</v>
      </c>
      <c r="D60" s="79"/>
      <c r="E60" s="474">
        <f>_xlfn.XLOOKUP(E$88, 'GEN-SOLAR'!$D$110:$BA$110, 'GEN-SOLAR'!$D$116:$BA$116)</f>
        <v>0</v>
      </c>
      <c r="F60" s="474">
        <f>_xlfn.XLOOKUP(F$88, 'GEN-SOLAR'!$D$110:$BA$110, 'GEN-SOLAR'!$D$116:$BA$116)</f>
        <v>3.5740799999999999</v>
      </c>
      <c r="G60" s="474">
        <f>_xlfn.XLOOKUP(G$88, 'GEN-SOLAR'!$D$110:$BA$110, 'GEN-SOLAR'!$D$116:$BA$116)</f>
        <v>10.854762281023458</v>
      </c>
      <c r="H60" s="474">
        <f>_xlfn.XLOOKUP(H$88, 'GEN-SOLAR'!$D$110:$BA$110, 'GEN-SOLAR'!$D$116:$BA$116)</f>
        <v>10.961138951377485</v>
      </c>
      <c r="I60" s="474">
        <f>_xlfn.XLOOKUP(I$88, 'GEN-SOLAR'!$D$110:$BA$110, 'GEN-SOLAR'!$D$116:$BA$116)</f>
        <v>11.068275780734057</v>
      </c>
      <c r="J60" s="474">
        <f>_xlfn.XLOOKUP(J$88, 'GEN-SOLAR'!$D$110:$BA$110, 'GEN-SOLAR'!$D$116:$BA$116)</f>
        <v>11.176171805146858</v>
      </c>
      <c r="K60" s="474">
        <f>_xlfn.XLOOKUP(K$88, 'GEN-SOLAR'!$D$110:$BA$110, 'GEN-SOLAR'!$D$116:$BA$116)</f>
        <v>11.28482586318108</v>
      </c>
      <c r="L60" s="474">
        <f>_xlfn.XLOOKUP(L$88, 'GEN-SOLAR'!$D$110:$BA$110, 'GEN-SOLAR'!$D$116:$BA$116)</f>
        <v>11.39423659024226</v>
      </c>
      <c r="M60" s="474">
        <f>_xlfn.XLOOKUP(M$88, 'GEN-SOLAR'!$D$110:$BA$110, 'GEN-SOLAR'!$D$116:$BA$116)</f>
        <v>11.504402412779976</v>
      </c>
      <c r="N60" s="474">
        <f>_xlfn.XLOOKUP(N$88, 'GEN-SOLAR'!$D$110:$BA$110, 'GEN-SOLAR'!$D$116:$BA$116)</f>
        <v>11.615321542363919</v>
      </c>
      <c r="O60" s="474">
        <f>_xlfn.XLOOKUP(O$88, 'GEN-SOLAR'!$D$110:$BA$110, 'GEN-SOLAR'!$D$116:$BA$116)</f>
        <v>11.726991969629802</v>
      </c>
      <c r="P60" s="474">
        <f>_xlfn.XLOOKUP(P$88, 'GEN-SOLAR'!$D$110:$BA$110, 'GEN-SOLAR'!$D$116:$BA$116)</f>
        <v>11.839411458092584</v>
      </c>
      <c r="Q60" s="474">
        <f>_xlfn.XLOOKUP(Q$88, 'GEN-SOLAR'!$D$110:$BA$110, 'GEN-SOLAR'!$D$116:$BA$116)</f>
        <v>11.952577537824389</v>
      </c>
      <c r="R60" s="474">
        <f>_xlfn.XLOOKUP(R$88, 'GEN-SOLAR'!$D$110:$BA$110, 'GEN-SOLAR'!$D$116:$BA$116)</f>
        <v>12.066487498994384</v>
      </c>
      <c r="S60" s="474">
        <f>_xlfn.XLOOKUP(S$88, 'GEN-SOLAR'!$D$110:$BA$110, 'GEN-SOLAR'!$D$116:$BA$116)</f>
        <v>12.181138385268076</v>
      </c>
      <c r="T60" s="474">
        <f>_xlfn.XLOOKUP(T$88, 'GEN-SOLAR'!$D$110:$BA$110, 'GEN-SOLAR'!$D$116:$BA$116)</f>
        <v>12.296526987063066</v>
      </c>
      <c r="U60" s="474">
        <f>_xlfn.XLOOKUP(U$88, 'GEN-SOLAR'!$D$110:$BA$110, 'GEN-SOLAR'!$D$116:$BA$116)</f>
        <v>12.412649834658637</v>
      </c>
      <c r="V60" s="474">
        <f>_xlfn.XLOOKUP(V$88, 'GEN-SOLAR'!$D$110:$BA$110, 'GEN-SOLAR'!$D$116:$BA$116)</f>
        <v>12.529503191156159</v>
      </c>
      <c r="W60" s="474">
        <f>_xlfn.XLOOKUP(W$88, 'GEN-SOLAR'!$D$110:$BA$110, 'GEN-SOLAR'!$D$116:$BA$116)</f>
        <v>12.647083045287514</v>
      </c>
      <c r="X60" s="474">
        <f>_xlfn.XLOOKUP(X$88, 'GEN-SOLAR'!$D$110:$BA$110, 'GEN-SOLAR'!$D$116:$BA$116)</f>
        <v>12.765385104068516</v>
      </c>
      <c r="Y60" s="474">
        <f>_xlfn.XLOOKUP(Y$88, 'GEN-SOLAR'!$D$110:$BA$110, 'GEN-SOLAR'!$D$116:$BA$116)</f>
        <v>12.88440478529431</v>
      </c>
      <c r="Z60" s="474">
        <f>_xlfn.XLOOKUP(Z$88, 'GEN-SOLAR'!$D$110:$BA$110, 'GEN-SOLAR'!$D$116:$BA$116)</f>
        <v>13.004137209873669</v>
      </c>
      <c r="AA60" s="474">
        <f>_xlfn.XLOOKUP(AA$88, 'GEN-SOLAR'!$D$110:$BA$110, 'GEN-SOLAR'!$D$116:$BA$116)</f>
        <v>13.124577193999121</v>
      </c>
      <c r="AB60" s="474">
        <f>_xlfn.XLOOKUP(AB$88, 'GEN-SOLAR'!$D$110:$BA$110, 'GEN-SOLAR'!$D$116:$BA$116)</f>
        <v>13.245719241149537</v>
      </c>
      <c r="AC60" s="474">
        <f>_xlfn.XLOOKUP(AC$88, 'GEN-SOLAR'!$D$110:$BA$110, 'GEN-SOLAR'!$D$116:$BA$116)</f>
        <v>13.367557533922202</v>
      </c>
      <c r="AD60" s="474">
        <f>_xlfn.XLOOKUP(AD$88, 'GEN-SOLAR'!$D$110:$BA$110, 'GEN-SOLAR'!$D$116:$BA$116)</f>
        <v>13.490085925690764</v>
      </c>
      <c r="AE60" s="474">
        <f>_xlfn.XLOOKUP(AE$88, 'GEN-SOLAR'!$D$110:$BA$110, 'GEN-SOLAR'!$D$116:$BA$116)</f>
        <v>13.613297932085922</v>
      </c>
      <c r="AF60" s="474">
        <f>_xlfn.XLOOKUP(AF$88, 'GEN-SOLAR'!$D$110:$BA$110, 'GEN-SOLAR'!$D$116:$BA$116)</f>
        <v>0</v>
      </c>
      <c r="AG60" s="474">
        <f>_xlfn.XLOOKUP(AG$88, 'GEN-SOLAR'!$D$110:$BA$110, 'GEN-SOLAR'!$D$116:$BA$116)</f>
        <v>0</v>
      </c>
      <c r="AH60" s="474">
        <f>_xlfn.XLOOKUP(AH$88, 'GEN-SOLAR'!$D$110:$BA$110, 'GEN-SOLAR'!$D$116:$BA$116)</f>
        <v>0</v>
      </c>
      <c r="AI60" s="474">
        <f>_xlfn.XLOOKUP(AI$88, 'GEN-SOLAR'!$D$110:$BA$110, 'GEN-SOLAR'!$D$116:$BA$116)</f>
        <v>0</v>
      </c>
      <c r="AJ60" s="474">
        <f>_xlfn.XLOOKUP(AJ$88, 'GEN-SOLAR'!$D$110:$BA$110, 'GEN-SOLAR'!$D$116:$BA$116)</f>
        <v>0</v>
      </c>
      <c r="AK60" s="474">
        <f>_xlfn.XLOOKUP(AK$88, 'GEN-SOLAR'!$D$110:$BA$110, 'GEN-SOLAR'!$D$116:$BA$116)</f>
        <v>0</v>
      </c>
      <c r="AL60" s="474">
        <f>_xlfn.XLOOKUP(AL$88, 'GEN-SOLAR'!$D$110:$BA$110, 'GEN-SOLAR'!$D$116:$BA$116)</f>
        <v>0</v>
      </c>
      <c r="AM60" s="474">
        <f>_xlfn.XLOOKUP(AM$88, 'GEN-SOLAR'!$D$110:$BA$110, 'GEN-SOLAR'!$D$116:$BA$116)</f>
        <v>0</v>
      </c>
      <c r="AN60" s="474">
        <f>_xlfn.XLOOKUP(AN$88, 'GEN-SOLAR'!$D$110:$BA$110, 'GEN-SOLAR'!$D$116:$BA$116)</f>
        <v>0</v>
      </c>
      <c r="AO60" s="474">
        <f>_xlfn.XLOOKUP(AO$88, 'GEN-SOLAR'!$D$110:$BA$110, 'GEN-SOLAR'!$D$116:$BA$116)</f>
        <v>0</v>
      </c>
      <c r="AP60" s="474">
        <f>_xlfn.XLOOKUP(AP$88, 'GEN-SOLAR'!$D$110:$BA$110, 'GEN-SOLAR'!$D$116:$BA$116)</f>
        <v>0</v>
      </c>
      <c r="AQ60" s="474">
        <f>_xlfn.XLOOKUP(AQ$88, 'GEN-SOLAR'!$D$110:$BA$110, 'GEN-SOLAR'!$D$116:$BA$116)</f>
        <v>0</v>
      </c>
      <c r="AR60" s="474">
        <f>_xlfn.XLOOKUP(AR$88, 'GEN-SOLAR'!$D$110:$BA$110, 'GEN-SOLAR'!$D$116:$BA$116)</f>
        <v>0</v>
      </c>
      <c r="AS60" s="474">
        <f>_xlfn.XLOOKUP(AS$88, 'GEN-SOLAR'!$D$110:$BA$110, 'GEN-SOLAR'!$D$116:$BA$116)</f>
        <v>0</v>
      </c>
      <c r="AT60" s="474">
        <f>_xlfn.XLOOKUP(AT$88, 'GEN-SOLAR'!$D$110:$BA$110, 'GEN-SOLAR'!$D$116:$BA$116)</f>
        <v>0</v>
      </c>
      <c r="AU60" s="474">
        <f>_xlfn.XLOOKUP(AU$88, 'GEN-SOLAR'!$D$110:$BA$110, 'GEN-SOLAR'!$D$116:$BA$116)</f>
        <v>0</v>
      </c>
      <c r="AV60" s="474">
        <f>_xlfn.XLOOKUP(AV$88, 'GEN-SOLAR'!$D$110:$BA$110, 'GEN-SOLAR'!$D$116:$BA$116)</f>
        <v>0</v>
      </c>
      <c r="AW60" s="474">
        <f>_xlfn.XLOOKUP(AW$88, 'GEN-SOLAR'!$D$110:$BA$110, 'GEN-SOLAR'!$D$116:$BA$116)</f>
        <v>0</v>
      </c>
      <c r="AX60" s="474">
        <f>_xlfn.XLOOKUP(AX$88, 'GEN-SOLAR'!$D$110:$BA$110, 'GEN-SOLAR'!$D$116:$BA$116)</f>
        <v>0</v>
      </c>
    </row>
    <row r="61" spans="1:50" ht="14.25" customHeight="1">
      <c r="A61" s="1"/>
      <c r="B61" s="84"/>
      <c r="C61" s="203" t="s">
        <v>372</v>
      </c>
      <c r="D61" s="79"/>
      <c r="E61" s="474">
        <f>_xlfn.XLOOKUP(E$88, 'GEN-BESS'!$D$110:$BA$110, 'GEN-BESS'!$D$120:$BA$120)</f>
        <v>0</v>
      </c>
      <c r="F61" s="474">
        <f>_xlfn.XLOOKUP(F$88, 'GEN-BESS'!$D$110:$BA$110, 'GEN-BESS'!$D$120:$BA$120)</f>
        <v>5.4444879999999998</v>
      </c>
      <c r="G61" s="474">
        <f>_xlfn.XLOOKUP(G$88, 'GEN-BESS'!$D$110:$BA$110, 'GEN-BESS'!$D$120:$BA$120)</f>
        <v>6.6419135999999996</v>
      </c>
      <c r="H61" s="474">
        <f>_xlfn.XLOOKUP(H$88, 'GEN-BESS'!$D$110:$BA$110, 'GEN-BESS'!$D$120:$BA$120)</f>
        <v>6.7747518719999995</v>
      </c>
      <c r="I61" s="474">
        <f>_xlfn.XLOOKUP(I$88, 'GEN-BESS'!$D$110:$BA$110, 'GEN-BESS'!$D$120:$BA$120)</f>
        <v>6.9102469094399996</v>
      </c>
      <c r="J61" s="474">
        <f>_xlfn.XLOOKUP(J$88, 'GEN-BESS'!$D$110:$BA$110, 'GEN-BESS'!$D$120:$BA$120)</f>
        <v>7.0484518476288009</v>
      </c>
      <c r="K61" s="474">
        <f>_xlfn.XLOOKUP(K$88, 'GEN-BESS'!$D$110:$BA$110, 'GEN-BESS'!$D$120:$BA$120)</f>
        <v>7.1894208845813772</v>
      </c>
      <c r="L61" s="474">
        <f>_xlfn.XLOOKUP(L$88, 'GEN-BESS'!$D$110:$BA$110, 'GEN-BESS'!$D$120:$BA$120)</f>
        <v>7.3332093022730032</v>
      </c>
      <c r="M61" s="474">
        <f>_xlfn.XLOOKUP(M$88, 'GEN-BESS'!$D$110:$BA$110, 'GEN-BESS'!$D$120:$BA$120)</f>
        <v>7.4798734883184634</v>
      </c>
      <c r="N61" s="474">
        <f>_xlfn.XLOOKUP(N$88, 'GEN-BESS'!$D$110:$BA$110, 'GEN-BESS'!$D$120:$BA$120)</f>
        <v>7.6294709580848323</v>
      </c>
      <c r="O61" s="474">
        <f>_xlfn.XLOOKUP(O$88, 'GEN-BESS'!$D$110:$BA$110, 'GEN-BESS'!$D$120:$BA$120)</f>
        <v>7.7820603772465287</v>
      </c>
      <c r="P61" s="474">
        <f>_xlfn.XLOOKUP(P$88, 'GEN-BESS'!$D$110:$BA$110, 'GEN-BESS'!$D$120:$BA$120)</f>
        <v>7.9377015847914585</v>
      </c>
      <c r="Q61" s="474">
        <f>_xlfn.XLOOKUP(Q$88, 'GEN-BESS'!$D$110:$BA$110, 'GEN-BESS'!$D$120:$BA$120)</f>
        <v>8.0964556164872885</v>
      </c>
      <c r="R61" s="474">
        <f>_xlfn.XLOOKUP(R$88, 'GEN-BESS'!$D$110:$BA$110, 'GEN-BESS'!$D$120:$BA$120)</f>
        <v>8.2583847288170347</v>
      </c>
      <c r="S61" s="474">
        <f>_xlfn.XLOOKUP(S$88, 'GEN-BESS'!$D$110:$BA$110, 'GEN-BESS'!$D$120:$BA$120)</f>
        <v>8.4235524233933763</v>
      </c>
      <c r="T61" s="474">
        <f>_xlfn.XLOOKUP(T$88, 'GEN-BESS'!$D$110:$BA$110, 'GEN-BESS'!$D$120:$BA$120)</f>
        <v>8.5920234718612392</v>
      </c>
      <c r="U61" s="474">
        <f>_xlfn.XLOOKUP(U$88, 'GEN-BESS'!$D$110:$BA$110, 'GEN-BESS'!$D$120:$BA$120)</f>
        <v>8.7638639412984656</v>
      </c>
      <c r="V61" s="474">
        <f>_xlfn.XLOOKUP(V$88, 'GEN-BESS'!$D$110:$BA$110, 'GEN-BESS'!$D$120:$BA$120)</f>
        <v>8.9391412201244371</v>
      </c>
      <c r="W61" s="474">
        <f>_xlfn.XLOOKUP(W$88, 'GEN-BESS'!$D$110:$BA$110, 'GEN-BESS'!$D$120:$BA$120)</f>
        <v>9.1179240445269247</v>
      </c>
      <c r="X61" s="474">
        <f>_xlfn.XLOOKUP(X$88, 'GEN-BESS'!$D$110:$BA$110, 'GEN-BESS'!$D$120:$BA$120)</f>
        <v>9.3002825254174635</v>
      </c>
      <c r="Y61" s="474">
        <f>_xlfn.XLOOKUP(Y$88, 'GEN-BESS'!$D$110:$BA$110, 'GEN-BESS'!$D$120:$BA$120)</f>
        <v>9.4862881759258144</v>
      </c>
      <c r="Z61" s="474">
        <f>_xlfn.XLOOKUP(Z$88, 'GEN-BESS'!$D$110:$BA$110, 'GEN-BESS'!$D$120:$BA$120)</f>
        <v>9.6760139394443296</v>
      </c>
      <c r="AA61" s="474">
        <f>_xlfn.XLOOKUP(AA$88, 'GEN-BESS'!$D$110:$BA$110, 'GEN-BESS'!$D$120:$BA$120)</f>
        <v>9.8695342182332162</v>
      </c>
      <c r="AB61" s="474">
        <f>_xlfn.XLOOKUP(AB$88, 'GEN-BESS'!$D$110:$BA$110, 'GEN-BESS'!$D$120:$BA$120)</f>
        <v>10.066924902597878</v>
      </c>
      <c r="AC61" s="474">
        <f>_xlfn.XLOOKUP(AC$88, 'GEN-BESS'!$D$110:$BA$110, 'GEN-BESS'!$D$120:$BA$120)</f>
        <v>10.268263400649836</v>
      </c>
      <c r="AD61" s="474">
        <f>_xlfn.XLOOKUP(AD$88, 'GEN-BESS'!$D$110:$BA$110, 'GEN-BESS'!$D$120:$BA$120)</f>
        <v>10.473628668662833</v>
      </c>
      <c r="AE61" s="474">
        <f>_xlfn.XLOOKUP(AE$88, 'GEN-BESS'!$D$110:$BA$110, 'GEN-BESS'!$D$120:$BA$120)</f>
        <v>10.683101242036091</v>
      </c>
      <c r="AF61" s="474">
        <f>_xlfn.XLOOKUP(AF$88, 'GEN-BESS'!$D$110:$BA$110, 'GEN-BESS'!$D$120:$BA$120)</f>
        <v>0</v>
      </c>
      <c r="AG61" s="474">
        <f>_xlfn.XLOOKUP(AG$88, 'GEN-BESS'!$D$110:$BA$110, 'GEN-BESS'!$D$120:$BA$120)</f>
        <v>0</v>
      </c>
      <c r="AH61" s="474">
        <f>_xlfn.XLOOKUP(AH$88, 'GEN-BESS'!$D$110:$BA$110, 'GEN-BESS'!$D$120:$BA$120)</f>
        <v>0</v>
      </c>
      <c r="AI61" s="474">
        <f>_xlfn.XLOOKUP(AI$88, 'GEN-BESS'!$D$110:$BA$110, 'GEN-BESS'!$D$120:$BA$120)</f>
        <v>0</v>
      </c>
      <c r="AJ61" s="474">
        <f>_xlfn.XLOOKUP(AJ$88, 'GEN-BESS'!$D$110:$BA$110, 'GEN-BESS'!$D$120:$BA$120)</f>
        <v>0</v>
      </c>
      <c r="AK61" s="474">
        <f>_xlfn.XLOOKUP(AK$88, 'GEN-BESS'!$D$110:$BA$110, 'GEN-BESS'!$D$120:$BA$120)</f>
        <v>0</v>
      </c>
      <c r="AL61" s="474">
        <f>_xlfn.XLOOKUP(AL$88, 'GEN-BESS'!$D$110:$BA$110, 'GEN-BESS'!$D$120:$BA$120)</f>
        <v>0</v>
      </c>
      <c r="AM61" s="474">
        <f>_xlfn.XLOOKUP(AM$88, 'GEN-BESS'!$D$110:$BA$110, 'GEN-BESS'!$D$120:$BA$120)</f>
        <v>0</v>
      </c>
      <c r="AN61" s="474">
        <f>_xlfn.XLOOKUP(AN$88, 'GEN-BESS'!$D$110:$BA$110, 'GEN-BESS'!$D$120:$BA$120)</f>
        <v>0</v>
      </c>
      <c r="AO61" s="474">
        <f>_xlfn.XLOOKUP(AO$88, 'GEN-BESS'!$D$110:$BA$110, 'GEN-BESS'!$D$120:$BA$120)</f>
        <v>0</v>
      </c>
      <c r="AP61" s="474">
        <f>_xlfn.XLOOKUP(AP$88, 'GEN-BESS'!$D$110:$BA$110, 'GEN-BESS'!$D$120:$BA$120)</f>
        <v>0</v>
      </c>
      <c r="AQ61" s="474">
        <f>_xlfn.XLOOKUP(AQ$88, 'GEN-BESS'!$D$110:$BA$110, 'GEN-BESS'!$D$120:$BA$120)</f>
        <v>0</v>
      </c>
      <c r="AR61" s="474">
        <f>_xlfn.XLOOKUP(AR$88, 'GEN-BESS'!$D$110:$BA$110, 'GEN-BESS'!$D$120:$BA$120)</f>
        <v>0</v>
      </c>
      <c r="AS61" s="474">
        <f>_xlfn.XLOOKUP(AS$88, 'GEN-BESS'!$D$110:$BA$110, 'GEN-BESS'!$D$120:$BA$120)</f>
        <v>0</v>
      </c>
      <c r="AT61" s="474">
        <f>_xlfn.XLOOKUP(AT$88, 'GEN-BESS'!$D$110:$BA$110, 'GEN-BESS'!$D$120:$BA$120)</f>
        <v>0</v>
      </c>
      <c r="AU61" s="474">
        <f>_xlfn.XLOOKUP(AU$88, 'GEN-BESS'!$D$110:$BA$110, 'GEN-BESS'!$D$120:$BA$120)</f>
        <v>0</v>
      </c>
      <c r="AV61" s="474">
        <f>_xlfn.XLOOKUP(AV$88, 'GEN-BESS'!$D$110:$BA$110, 'GEN-BESS'!$D$120:$BA$120)</f>
        <v>0</v>
      </c>
      <c r="AW61" s="474">
        <f>_xlfn.XLOOKUP(AW$88, 'GEN-BESS'!$D$110:$BA$110, 'GEN-BESS'!$D$120:$BA$120)</f>
        <v>0</v>
      </c>
      <c r="AX61" s="474">
        <f>_xlfn.XLOOKUP(AX$88, 'GEN-BESS'!$D$110:$BA$110, 'GEN-BESS'!$D$120:$BA$120)</f>
        <v>0</v>
      </c>
    </row>
    <row r="62" spans="1:50">
      <c r="A62" s="1"/>
      <c r="B62" s="84"/>
      <c r="C62" s="664" t="s">
        <v>373</v>
      </c>
      <c r="D62" s="745"/>
      <c r="E62" s="474">
        <f>_xlfn.XLOOKUP(E$88, 'GEN-CCGT'!$D$110:$BA$110, 'GEN-CCGT'!$D$118:$BA$118)</f>
        <v>0</v>
      </c>
      <c r="F62" s="474">
        <f>_xlfn.XLOOKUP(F$88, 'GEN-CCGT'!$D$110:$BA$110, 'GEN-CCGT'!$D$118:$BA$118)</f>
        <v>0</v>
      </c>
      <c r="G62" s="474">
        <f>_xlfn.XLOOKUP(G$88, 'GEN-CCGT'!$D$110:$BA$110, 'GEN-CCGT'!$D$118:$BA$118)</f>
        <v>0</v>
      </c>
      <c r="H62" s="474">
        <f>_xlfn.XLOOKUP(H$88, 'GEN-CCGT'!$D$110:$BA$110, 'GEN-CCGT'!$D$118:$BA$118)</f>
        <v>31.642268156927994</v>
      </c>
      <c r="I62" s="474">
        <f>_xlfn.XLOOKUP(I$88, 'GEN-CCGT'!$D$110:$BA$110, 'GEN-CCGT'!$D$118:$BA$118)</f>
        <v>48.412670280099839</v>
      </c>
      <c r="J62" s="474">
        <f>_xlfn.XLOOKUP(J$88, 'GEN-CCGT'!$D$110:$BA$110, 'GEN-CCGT'!$D$118:$BA$118)</f>
        <v>49.257471376487594</v>
      </c>
      <c r="K62" s="474">
        <f>_xlfn.XLOOKUP(K$88, 'GEN-CCGT'!$D$110:$BA$110, 'GEN-CCGT'!$D$118:$BA$118)</f>
        <v>50.117014252007309</v>
      </c>
      <c r="L62" s="474">
        <f>_xlfn.XLOOKUP(L$88, 'GEN-CCGT'!$D$110:$BA$110, 'GEN-CCGT'!$D$118:$BA$118)</f>
        <v>50.991556150704817</v>
      </c>
      <c r="M62" s="474">
        <f>_xlfn.XLOOKUP(M$88, 'GEN-CCGT'!$D$110:$BA$110, 'GEN-CCGT'!$D$118:$BA$118)</f>
        <v>51.881358805534624</v>
      </c>
      <c r="N62" s="474">
        <f>_xlfn.XLOOKUP(N$88, 'GEN-CCGT'!$D$110:$BA$110, 'GEN-CCGT'!$D$118:$BA$118)</f>
        <v>52.786688516691207</v>
      </c>
      <c r="O62" s="474">
        <f>_xlfn.XLOOKUP(O$88, 'GEN-CCGT'!$D$110:$BA$110, 'GEN-CCGT'!$D$118:$BA$118)</f>
        <v>53.707816231307469</v>
      </c>
      <c r="P62" s="474">
        <f>_xlfn.XLOOKUP(P$88, 'GEN-CCGT'!$D$110:$BA$110, 'GEN-CCGT'!$D$118:$BA$118)</f>
        <v>54.645017624543776</v>
      </c>
      <c r="Q62" s="474">
        <f>_xlfn.XLOOKUP(Q$88, 'GEN-CCGT'!$D$110:$BA$110, 'GEN-CCGT'!$D$118:$BA$118)</f>
        <v>55.598573182092075</v>
      </c>
      <c r="R62" s="474">
        <f>_xlfn.XLOOKUP(R$88, 'GEN-CCGT'!$D$110:$BA$110, 'GEN-CCGT'!$D$118:$BA$118)</f>
        <v>56.568768284119592</v>
      </c>
      <c r="S62" s="474">
        <f>_xlfn.XLOOKUP(S$88, 'GEN-CCGT'!$D$110:$BA$110, 'GEN-CCGT'!$D$118:$BA$118)</f>
        <v>57.555893290677481</v>
      </c>
      <c r="T62" s="474">
        <f>_xlfn.XLOOKUP(T$88, 'GEN-CCGT'!$D$110:$BA$110, 'GEN-CCGT'!$D$118:$BA$118)</f>
        <v>58.560243628599785</v>
      </c>
      <c r="U62" s="474">
        <f>_xlfn.XLOOKUP(U$88, 'GEN-CCGT'!$D$110:$BA$110, 'GEN-CCGT'!$D$118:$BA$118)</f>
        <v>59.582119879918864</v>
      </c>
      <c r="V62" s="474">
        <f>_xlfn.XLOOKUP(V$88, 'GEN-CCGT'!$D$110:$BA$110, 'GEN-CCGT'!$D$118:$BA$118)</f>
        <v>60.621827871823456</v>
      </c>
      <c r="W62" s="474">
        <f>_xlfn.XLOOKUP(W$88, 'GEN-CCGT'!$D$110:$BA$110, 'GEN-CCGT'!$D$118:$BA$118)</f>
        <v>61.679678768186776</v>
      </c>
      <c r="X62" s="474">
        <f>_xlfn.XLOOKUP(X$88, 'GEN-CCGT'!$D$110:$BA$110, 'GEN-CCGT'!$D$118:$BA$118)</f>
        <v>62.755989162691641</v>
      </c>
      <c r="Y62" s="474">
        <f>_xlfn.XLOOKUP(Y$88, 'GEN-CCGT'!$D$110:$BA$110, 'GEN-CCGT'!$D$118:$BA$118)</f>
        <v>63.851081173580617</v>
      </c>
      <c r="Z62" s="474">
        <f>_xlfn.XLOOKUP(Z$88, 'GEN-CCGT'!$D$110:$BA$110, 'GEN-CCGT'!$D$118:$BA$118)</f>
        <v>64.96528254005959</v>
      </c>
      <c r="AA62" s="474">
        <f>_xlfn.XLOOKUP(AA$88, 'GEN-CCGT'!$D$110:$BA$110, 'GEN-CCGT'!$D$118:$BA$118)</f>
        <v>66.098926720383645</v>
      </c>
      <c r="AB62" s="474">
        <f>_xlfn.XLOOKUP(AB$88, 'GEN-CCGT'!$D$110:$BA$110, 'GEN-CCGT'!$D$118:$BA$118)</f>
        <v>67.25235299165432</v>
      </c>
      <c r="AC62" s="474">
        <f>_xlfn.XLOOKUP(AC$88, 'GEN-CCGT'!$D$110:$BA$110, 'GEN-CCGT'!$D$118:$BA$118)</f>
        <v>68.425906551358693</v>
      </c>
      <c r="AD62" s="474">
        <f>_xlfn.XLOOKUP(AD$88, 'GEN-CCGT'!$D$110:$BA$110, 'GEN-CCGT'!$D$118:$BA$118)</f>
        <v>69.619938620679932</v>
      </c>
      <c r="AE62" s="474">
        <f>_xlfn.XLOOKUP(AE$88, 'GEN-CCGT'!$D$110:$BA$110, 'GEN-CCGT'!$D$118:$BA$118)</f>
        <v>70.834806549610789</v>
      </c>
      <c r="AF62" s="474">
        <f>_xlfn.XLOOKUP(AF$88, 'GEN-CCGT'!$D$110:$BA$110, 'GEN-CCGT'!$D$118:$BA$118)</f>
        <v>72.070873923901488</v>
      </c>
      <c r="AG62" s="474">
        <f>_xlfn.XLOOKUP(AG$88, 'GEN-CCGT'!$D$110:$BA$110, 'GEN-CCGT'!$D$118:$BA$118)</f>
        <v>73.328510673873595</v>
      </c>
      <c r="AH62" s="474">
        <f>_xlfn.XLOOKUP(AH$88, 'GEN-CCGT'!$D$110:$BA$110, 'GEN-CCGT'!$D$118:$BA$118)</f>
        <v>0</v>
      </c>
      <c r="AI62" s="474">
        <f>_xlfn.XLOOKUP(AI$88, 'GEN-CCGT'!$D$110:$BA$110, 'GEN-CCGT'!$D$118:$BA$118)</f>
        <v>0</v>
      </c>
      <c r="AJ62" s="474">
        <f>_xlfn.XLOOKUP(AJ$88, 'GEN-CCGT'!$D$110:$BA$110, 'GEN-CCGT'!$D$118:$BA$118)</f>
        <v>0</v>
      </c>
      <c r="AK62" s="474">
        <f>_xlfn.XLOOKUP(AK$88, 'GEN-CCGT'!$D$110:$BA$110, 'GEN-CCGT'!$D$118:$BA$118)</f>
        <v>0</v>
      </c>
      <c r="AL62" s="474">
        <f>_xlfn.XLOOKUP(AL$88, 'GEN-CCGT'!$D$110:$BA$110, 'GEN-CCGT'!$D$118:$BA$118)</f>
        <v>0</v>
      </c>
      <c r="AM62" s="474">
        <f>_xlfn.XLOOKUP(AM$88, 'GEN-CCGT'!$D$110:$BA$110, 'GEN-CCGT'!$D$118:$BA$118)</f>
        <v>0</v>
      </c>
      <c r="AN62" s="474">
        <f>_xlfn.XLOOKUP(AN$88, 'GEN-CCGT'!$D$110:$BA$110, 'GEN-CCGT'!$D$118:$BA$118)</f>
        <v>0</v>
      </c>
      <c r="AO62" s="474">
        <f>_xlfn.XLOOKUP(AO$88, 'GEN-CCGT'!$D$110:$BA$110, 'GEN-CCGT'!$D$118:$BA$118)</f>
        <v>0</v>
      </c>
      <c r="AP62" s="474">
        <f>_xlfn.XLOOKUP(AP$88, 'GEN-CCGT'!$D$110:$BA$110, 'GEN-CCGT'!$D$118:$BA$118)</f>
        <v>0</v>
      </c>
      <c r="AQ62" s="474">
        <f>_xlfn.XLOOKUP(AQ$88, 'GEN-CCGT'!$D$110:$BA$110, 'GEN-CCGT'!$D$118:$BA$118)</f>
        <v>0</v>
      </c>
      <c r="AR62" s="474">
        <f>_xlfn.XLOOKUP(AR$88, 'GEN-CCGT'!$D$110:$BA$110, 'GEN-CCGT'!$D$118:$BA$118)</f>
        <v>0</v>
      </c>
      <c r="AS62" s="474">
        <f>_xlfn.XLOOKUP(AS$88, 'GEN-CCGT'!$D$110:$BA$110, 'GEN-CCGT'!$D$118:$BA$118)</f>
        <v>0</v>
      </c>
      <c r="AT62" s="474">
        <f>_xlfn.XLOOKUP(AT$88, 'GEN-CCGT'!$D$110:$BA$110, 'GEN-CCGT'!$D$118:$BA$118)</f>
        <v>0</v>
      </c>
      <c r="AU62" s="474">
        <f>_xlfn.XLOOKUP(AU$88, 'GEN-CCGT'!$D$110:$BA$110, 'GEN-CCGT'!$D$118:$BA$118)</f>
        <v>0</v>
      </c>
      <c r="AV62" s="474">
        <f>_xlfn.XLOOKUP(AV$88, 'GEN-CCGT'!$D$110:$BA$110, 'GEN-CCGT'!$D$118:$BA$118)</f>
        <v>0</v>
      </c>
      <c r="AW62" s="474">
        <f>_xlfn.XLOOKUP(AW$88, 'GEN-CCGT'!$D$110:$BA$110, 'GEN-CCGT'!$D$118:$BA$118)</f>
        <v>0</v>
      </c>
      <c r="AX62" s="474">
        <f>_xlfn.XLOOKUP(AX$88, 'GEN-CCGT'!$D$110:$BA$110, 'GEN-CCGT'!$D$118:$BA$118)</f>
        <v>0</v>
      </c>
    </row>
    <row r="63" spans="1:50">
      <c r="A63" s="1"/>
      <c r="B63" s="84"/>
      <c r="C63" s="664" t="s">
        <v>374</v>
      </c>
      <c r="D63" s="745"/>
      <c r="E63" s="469">
        <f>_xlfn.XLOOKUP(E$88, 'GEN-CARBON'!$D$110:$BA$110, 'GEN-CARBON'!$D$118:$BA$118)</f>
        <v>0</v>
      </c>
      <c r="F63" s="469">
        <f>_xlfn.XLOOKUP(F$88, 'GEN-CARBON'!$D$110:$BA$110, 'GEN-CARBON'!$D$118:$BA$118)</f>
        <v>0</v>
      </c>
      <c r="G63" s="469">
        <f>_xlfn.XLOOKUP(G$88, 'GEN-CARBON'!$D$110:$BA$110, 'GEN-CARBON'!$D$118:$BA$118)</f>
        <v>0</v>
      </c>
      <c r="H63" s="469">
        <f>_xlfn.XLOOKUP(H$88, 'GEN-CARBON'!$D$110:$BA$110, 'GEN-CARBON'!$D$118:$BA$118)</f>
        <v>0</v>
      </c>
      <c r="I63" s="469">
        <f>_xlfn.XLOOKUP(I$88, 'GEN-CARBON'!$D$110:$BA$110, 'GEN-CARBON'!$D$118:$BA$118)</f>
        <v>43.233959788911356</v>
      </c>
      <c r="J63" s="469">
        <f>_xlfn.XLOOKUP(J$88, 'GEN-CARBON'!$D$110:$BA$110, 'GEN-CARBON'!$D$118:$BA$118)</f>
        <v>52.742558254113796</v>
      </c>
      <c r="K63" s="469">
        <f>_xlfn.XLOOKUP(K$88, 'GEN-CARBON'!$D$110:$BA$110, 'GEN-CARBON'!$D$118:$BA$118)</f>
        <v>53.662915895648084</v>
      </c>
      <c r="L63" s="469">
        <f>_xlfn.XLOOKUP(L$88, 'GEN-CARBON'!$D$110:$BA$110, 'GEN-CARBON'!$D$118:$BA$118)</f>
        <v>54.599333778027137</v>
      </c>
      <c r="M63" s="469">
        <f>_xlfn.XLOOKUP(M$88, 'GEN-CARBON'!$D$110:$BA$110, 'GEN-CARBON'!$D$118:$BA$118)</f>
        <v>55.552092152453717</v>
      </c>
      <c r="N63" s="469">
        <f>_xlfn.XLOOKUP(N$88, 'GEN-CARBON'!$D$110:$BA$110, 'GEN-CARBON'!$D$118:$BA$118)</f>
        <v>56.521476160514034</v>
      </c>
      <c r="O63" s="469">
        <f>_xlfn.XLOOKUP(O$88, 'GEN-CARBON'!$D$110:$BA$110, 'GEN-CARBON'!$D$118:$BA$118)</f>
        <v>57.507775919515012</v>
      </c>
      <c r="P63" s="469">
        <f>_xlfn.XLOOKUP(P$88, 'GEN-CARBON'!$D$110:$BA$110, 'GEN-CARBON'!$D$118:$BA$118)</f>
        <v>58.511286609310538</v>
      </c>
      <c r="Q63" s="469">
        <f>_xlfn.XLOOKUP(Q$88, 'GEN-CARBON'!$D$110:$BA$110, 'GEN-CARBON'!$D$118:$BA$118)</f>
        <v>59.532308560643024</v>
      </c>
      <c r="R63" s="469">
        <f>_xlfn.XLOOKUP(R$88, 'GEN-CARBON'!$D$110:$BA$110, 'GEN-CARBON'!$D$118:$BA$118)</f>
        <v>60.57114734502624</v>
      </c>
      <c r="S63" s="469">
        <f>_xlfn.XLOOKUP(S$88, 'GEN-CARBON'!$D$110:$BA$110, 'GEN-CARBON'!$D$118:$BA$118)</f>
        <v>61.628113866196955</v>
      </c>
      <c r="T63" s="469">
        <f>_xlfn.XLOOKUP(T$88, 'GEN-CARBON'!$D$110:$BA$110, 'GEN-CARBON'!$D$118:$BA$118)</f>
        <v>62.703524453162075</v>
      </c>
      <c r="U63" s="469">
        <f>_xlfn.XLOOKUP(U$88, 'GEN-CARBON'!$D$110:$BA$110, 'GEN-CARBON'!$D$118:$BA$118)</f>
        <v>63.797700954869761</v>
      </c>
      <c r="V63" s="469">
        <f>_xlfn.XLOOKUP(V$88, 'GEN-CARBON'!$D$110:$BA$110, 'GEN-CARBON'!$D$118:$BA$118)</f>
        <v>64.910970836532243</v>
      </c>
      <c r="W63" s="469">
        <f>_xlfn.XLOOKUP(W$88, 'GEN-CARBON'!$D$110:$BA$110, 'GEN-CARBON'!$D$118:$BA$118)</f>
        <v>66.043667277629737</v>
      </c>
      <c r="X63" s="469">
        <f>_xlfn.XLOOKUP(X$88, 'GEN-CARBON'!$D$110:$BA$110, 'GEN-CARBON'!$D$118:$BA$118)</f>
        <v>67.196129271624386</v>
      </c>
      <c r="Y63" s="469">
        <f>_xlfn.XLOOKUP(Y$88, 'GEN-CARBON'!$D$110:$BA$110, 'GEN-CARBON'!$D$118:$BA$118)</f>
        <v>68.368701727414233</v>
      </c>
      <c r="Z63" s="469">
        <f>_xlfn.XLOOKUP(Z$88, 'GEN-CARBON'!$D$110:$BA$110, 'GEN-CARBON'!$D$118:$BA$118)</f>
        <v>69.561735572557609</v>
      </c>
      <c r="AA63" s="469">
        <f>_xlfn.XLOOKUP(AA$88, 'GEN-CARBON'!$D$110:$BA$110, 'GEN-CARBON'!$D$118:$BA$118)</f>
        <v>70.775587858298763</v>
      </c>
      <c r="AB63" s="469">
        <f>_xlfn.XLOOKUP(AB$88, 'GEN-CARBON'!$D$110:$BA$110, 'GEN-CARBON'!$D$118:$BA$118)</f>
        <v>72.01062186642605</v>
      </c>
      <c r="AC63" s="469">
        <f>_xlfn.XLOOKUP(AC$88, 'GEN-CARBON'!$D$110:$BA$110, 'GEN-CARBON'!$D$118:$BA$118)</f>
        <v>73.267207217995178</v>
      </c>
      <c r="AD63" s="469">
        <f>_xlfn.XLOOKUP(AD$88, 'GEN-CARBON'!$D$110:$BA$110, 'GEN-CARBON'!$D$118:$BA$118)</f>
        <v>74.545719983949212</v>
      </c>
      <c r="AE63" s="469">
        <f>_xlfn.XLOOKUP(AE$88, 'GEN-CARBON'!$D$110:$BA$110, 'GEN-CARBON'!$D$118:$BA$118)</f>
        <v>75.846542797669144</v>
      </c>
      <c r="AF63" s="469">
        <f>_xlfn.XLOOKUP(AF$88, 'GEN-CARBON'!$D$110:$BA$110, 'GEN-CARBON'!$D$118:$BA$118)</f>
        <v>77.17006496948845</v>
      </c>
      <c r="AG63" s="469">
        <f>_xlfn.XLOOKUP(AG$88, 'GEN-CARBON'!$D$110:$BA$110, 'GEN-CARBON'!$D$118:$BA$118)</f>
        <v>78.51668260320605</v>
      </c>
      <c r="AH63" s="469">
        <f>_xlfn.XLOOKUP(AH$88, 'GEN-CARBON'!$D$110:$BA$110, 'GEN-CARBON'!$D$118:$BA$118)</f>
        <v>79.886798714631979</v>
      </c>
      <c r="AI63" s="469">
        <f>_xlfn.XLOOKUP(AI$88, 'GEN-CARBON'!$D$110:$BA$110, 'GEN-CARBON'!$D$118:$BA$118)</f>
        <v>0</v>
      </c>
      <c r="AJ63" s="469">
        <f>_xlfn.XLOOKUP(AJ$88, 'GEN-CARBON'!$D$110:$BA$110, 'GEN-CARBON'!$D$118:$BA$118)</f>
        <v>0</v>
      </c>
      <c r="AK63" s="469">
        <f>_xlfn.XLOOKUP(AK$88, 'GEN-CARBON'!$D$110:$BA$110, 'GEN-CARBON'!$D$118:$BA$118)</f>
        <v>0</v>
      </c>
      <c r="AL63" s="469">
        <f>_xlfn.XLOOKUP(AL$88, 'GEN-CARBON'!$D$110:$BA$110, 'GEN-CARBON'!$D$118:$BA$118)</f>
        <v>0</v>
      </c>
      <c r="AM63" s="469">
        <f>_xlfn.XLOOKUP(AM$88, 'GEN-CARBON'!$D$110:$BA$110, 'GEN-CARBON'!$D$118:$BA$118)</f>
        <v>0</v>
      </c>
      <c r="AN63" s="469">
        <f>_xlfn.XLOOKUP(AN$88, 'GEN-CARBON'!$D$110:$BA$110, 'GEN-CARBON'!$D$118:$BA$118)</f>
        <v>0</v>
      </c>
      <c r="AO63" s="469">
        <f>_xlfn.XLOOKUP(AO$88, 'GEN-CARBON'!$D$110:$BA$110, 'GEN-CARBON'!$D$118:$BA$118)</f>
        <v>0</v>
      </c>
      <c r="AP63" s="469">
        <f>_xlfn.XLOOKUP(AP$88, 'GEN-CARBON'!$D$110:$BA$110, 'GEN-CARBON'!$D$118:$BA$118)</f>
        <v>0</v>
      </c>
      <c r="AQ63" s="469">
        <f>_xlfn.XLOOKUP(AQ$88, 'GEN-CARBON'!$D$110:$BA$110, 'GEN-CARBON'!$D$118:$BA$118)</f>
        <v>0</v>
      </c>
      <c r="AR63" s="469">
        <f>_xlfn.XLOOKUP(AR$88, 'GEN-CARBON'!$D$110:$BA$110, 'GEN-CARBON'!$D$118:$BA$118)</f>
        <v>0</v>
      </c>
      <c r="AS63" s="469">
        <f>_xlfn.XLOOKUP(AS$88, 'GEN-CARBON'!$D$110:$BA$110, 'GEN-CARBON'!$D$118:$BA$118)</f>
        <v>0</v>
      </c>
      <c r="AT63" s="469">
        <f>_xlfn.XLOOKUP(AT$88, 'GEN-CARBON'!$D$110:$BA$110, 'GEN-CARBON'!$D$118:$BA$118)</f>
        <v>0</v>
      </c>
      <c r="AU63" s="469">
        <f>_xlfn.XLOOKUP(AU$88, 'GEN-CARBON'!$D$110:$BA$110, 'GEN-CARBON'!$D$118:$BA$118)</f>
        <v>0</v>
      </c>
      <c r="AV63" s="469">
        <f>_xlfn.XLOOKUP(AV$88, 'GEN-CARBON'!$D$110:$BA$110, 'GEN-CARBON'!$D$118:$BA$118)</f>
        <v>0</v>
      </c>
      <c r="AW63" s="469">
        <f>_xlfn.XLOOKUP(AW$88, 'GEN-CARBON'!$D$110:$BA$110, 'GEN-CARBON'!$D$118:$BA$118)</f>
        <v>0</v>
      </c>
      <c r="AX63" s="469">
        <f>_xlfn.XLOOKUP(AX$88, 'GEN-CARBON'!$D$110:$BA$110, 'GEN-CARBON'!$D$118:$BA$118)</f>
        <v>0</v>
      </c>
    </row>
    <row r="64" spans="1:50" ht="14.25" customHeight="1">
      <c r="A64" s="1"/>
      <c r="B64" s="84"/>
      <c r="C64" s="203"/>
      <c r="D64" s="79"/>
      <c r="E64" s="471"/>
      <c r="F64" s="471"/>
      <c r="G64" s="471"/>
      <c r="H64" s="471"/>
      <c r="I64" s="471"/>
      <c r="J64" s="471"/>
      <c r="K64" s="471"/>
      <c r="L64" s="471"/>
      <c r="M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  <c r="Y64" s="471"/>
      <c r="Z64" s="471"/>
      <c r="AA64" s="471"/>
      <c r="AB64" s="471"/>
      <c r="AC64" s="471"/>
      <c r="AD64" s="471"/>
      <c r="AE64" s="471"/>
      <c r="AF64" s="471"/>
      <c r="AG64" s="471"/>
      <c r="AH64" s="471"/>
      <c r="AI64" s="471"/>
      <c r="AJ64" s="471"/>
      <c r="AK64" s="471"/>
      <c r="AL64" s="471"/>
      <c r="AM64" s="471"/>
      <c r="AN64" s="471"/>
      <c r="AO64" s="471"/>
      <c r="AP64" s="471"/>
      <c r="AQ64" s="471"/>
      <c r="AR64" s="471"/>
      <c r="AS64" s="471"/>
      <c r="AT64" s="471"/>
      <c r="AU64" s="471"/>
      <c r="AV64" s="471"/>
      <c r="AW64" s="471"/>
      <c r="AX64" s="471"/>
    </row>
    <row r="65" spans="1:50" ht="14.25" customHeight="1">
      <c r="A65" s="1"/>
      <c r="B65" s="84"/>
      <c r="C65" s="222" t="s">
        <v>375</v>
      </c>
      <c r="D65" s="243"/>
      <c r="E65" s="471"/>
      <c r="F65" s="471"/>
      <c r="G65" s="471"/>
      <c r="H65" s="471"/>
      <c r="I65" s="471"/>
      <c r="J65" s="471"/>
      <c r="K65" s="471"/>
      <c r="L65" s="471"/>
      <c r="M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  <c r="Y65" s="471"/>
      <c r="Z65" s="471"/>
      <c r="AA65" s="471"/>
      <c r="AB65" s="471"/>
      <c r="AC65" s="471"/>
      <c r="AD65" s="471"/>
      <c r="AE65" s="471"/>
      <c r="AF65" s="471"/>
      <c r="AG65" s="471"/>
      <c r="AH65" s="471"/>
      <c r="AI65" s="471"/>
      <c r="AJ65" s="471"/>
      <c r="AK65" s="471"/>
      <c r="AL65" s="471"/>
      <c r="AM65" s="471"/>
      <c r="AN65" s="471"/>
      <c r="AO65" s="471"/>
      <c r="AP65" s="471"/>
      <c r="AQ65" s="471"/>
      <c r="AR65" s="471"/>
      <c r="AS65" s="471"/>
      <c r="AT65" s="471"/>
      <c r="AU65" s="471"/>
      <c r="AV65" s="471"/>
      <c r="AW65" s="471"/>
      <c r="AX65" s="471"/>
    </row>
    <row r="66" spans="1:50" ht="14.25" customHeight="1">
      <c r="A66" s="1"/>
      <c r="B66" s="84"/>
      <c r="C66" s="203" t="s">
        <v>371</v>
      </c>
      <c r="D66" s="79"/>
      <c r="E66" s="474">
        <f>-_xlfn.XLOOKUP(E$88, 'GEN-SOLAR'!$D$110:$BA$110, 'GEN-SOLAR'!$D$122:$BA$122)</f>
        <v>0</v>
      </c>
      <c r="F66" s="474">
        <f>-_xlfn.XLOOKUP(F$88, 'GEN-SOLAR'!$D$110:$BA$110, 'GEN-SOLAR'!$D$122:$BA$122)</f>
        <v>-1.2316625830346446</v>
      </c>
      <c r="G66" s="474">
        <f>-_xlfn.XLOOKUP(G$88, 'GEN-SOLAR'!$D$110:$BA$110, 'GEN-SOLAR'!$D$122:$BA$122)</f>
        <v>-1.2686124605256839</v>
      </c>
      <c r="H66" s="474">
        <f>-_xlfn.XLOOKUP(H$88, 'GEN-SOLAR'!$D$110:$BA$110, 'GEN-SOLAR'!$D$122:$BA$122)</f>
        <v>-1.3066708343414546</v>
      </c>
      <c r="I66" s="474">
        <f>-_xlfn.XLOOKUP(I$88, 'GEN-SOLAR'!$D$110:$BA$110, 'GEN-SOLAR'!$D$122:$BA$122)</f>
        <v>-1.3458709593716982</v>
      </c>
      <c r="J66" s="474">
        <f>-_xlfn.XLOOKUP(J$88, 'GEN-SOLAR'!$D$110:$BA$110, 'GEN-SOLAR'!$D$122:$BA$122)</f>
        <v>-1.386247088152849</v>
      </c>
      <c r="K66" s="474">
        <f>-_xlfn.XLOOKUP(K$88, 'GEN-SOLAR'!$D$110:$BA$110, 'GEN-SOLAR'!$D$122:$BA$122)</f>
        <v>-1.4278345007974347</v>
      </c>
      <c r="L66" s="474">
        <f>-_xlfn.XLOOKUP(L$88, 'GEN-SOLAR'!$D$110:$BA$110, 'GEN-SOLAR'!$D$122:$BA$122)</f>
        <v>-1.470669535821358</v>
      </c>
      <c r="M66" s="474">
        <f>-_xlfn.XLOOKUP(M$88, 'GEN-SOLAR'!$D$110:$BA$110, 'GEN-SOLAR'!$D$122:$BA$122)</f>
        <v>-1.5147896218959986</v>
      </c>
      <c r="N66" s="474">
        <f>-_xlfn.XLOOKUP(N$88, 'GEN-SOLAR'!$D$110:$BA$110, 'GEN-SOLAR'!$D$122:$BA$122)</f>
        <v>-1.5602333105528785</v>
      </c>
      <c r="O66" s="474">
        <f>-_xlfn.XLOOKUP(O$88, 'GEN-SOLAR'!$D$110:$BA$110, 'GEN-SOLAR'!$D$122:$BA$122)</f>
        <v>-1.6070403098694652</v>
      </c>
      <c r="P66" s="474">
        <f>-_xlfn.XLOOKUP(P$88, 'GEN-SOLAR'!$D$110:$BA$110, 'GEN-SOLAR'!$D$122:$BA$122)</f>
        <v>-1.655251519165549</v>
      </c>
      <c r="Q66" s="474">
        <f>-_xlfn.XLOOKUP(Q$88, 'GEN-SOLAR'!$D$110:$BA$110, 'GEN-SOLAR'!$D$122:$BA$122)</f>
        <v>-1.7049090647405156</v>
      </c>
      <c r="R66" s="474">
        <f>-_xlfn.XLOOKUP(R$88, 'GEN-SOLAR'!$D$110:$BA$110, 'GEN-SOLAR'!$D$122:$BA$122)</f>
        <v>-1.7560563366827309</v>
      </c>
      <c r="S66" s="474">
        <f>-_xlfn.XLOOKUP(S$88, 'GEN-SOLAR'!$D$110:$BA$110, 'GEN-SOLAR'!$D$122:$BA$122)</f>
        <v>-1.8087380267832129</v>
      </c>
      <c r="T66" s="474">
        <f>-_xlfn.XLOOKUP(T$88, 'GEN-SOLAR'!$D$110:$BA$110, 'GEN-SOLAR'!$D$122:$BA$122)</f>
        <v>-1.8630001675867096</v>
      </c>
      <c r="U66" s="474">
        <f>-_xlfn.XLOOKUP(U$88, 'GEN-SOLAR'!$D$110:$BA$110, 'GEN-SOLAR'!$D$122:$BA$122)</f>
        <v>-1.9188901726143106</v>
      </c>
      <c r="V66" s="474">
        <f>-_xlfn.XLOOKUP(V$88, 'GEN-SOLAR'!$D$110:$BA$110, 'GEN-SOLAR'!$D$122:$BA$122)</f>
        <v>-1.9764568777927403</v>
      </c>
      <c r="W66" s="474">
        <f>-_xlfn.XLOOKUP(W$88, 'GEN-SOLAR'!$D$110:$BA$110, 'GEN-SOLAR'!$D$122:$BA$122)</f>
        <v>-2.035750584126522</v>
      </c>
      <c r="X66" s="474">
        <f>-_xlfn.XLOOKUP(X$88, 'GEN-SOLAR'!$D$110:$BA$110, 'GEN-SOLAR'!$D$122:$BA$122)</f>
        <v>-2.096823101650318</v>
      </c>
      <c r="Y66" s="474">
        <f>-_xlfn.XLOOKUP(Y$88, 'GEN-SOLAR'!$D$110:$BA$110, 'GEN-SOLAR'!$D$122:$BA$122)</f>
        <v>-2.1597277946998275</v>
      </c>
      <c r="Z66" s="474">
        <f>-_xlfn.XLOOKUP(Z$88, 'GEN-SOLAR'!$D$110:$BA$110, 'GEN-SOLAR'!$D$122:$BA$122)</f>
        <v>-2.2245196285408224</v>
      </c>
      <c r="AA66" s="474">
        <f>-_xlfn.XLOOKUP(AA$88, 'GEN-SOLAR'!$D$110:$BA$110, 'GEN-SOLAR'!$D$122:$BA$122)</f>
        <v>-2.2912552173970471</v>
      </c>
      <c r="AB66" s="474">
        <f>-_xlfn.XLOOKUP(AB$88, 'GEN-SOLAR'!$D$110:$BA$110, 'GEN-SOLAR'!$D$122:$BA$122)</f>
        <v>-2.3599928739189586</v>
      </c>
      <c r="AC66" s="474">
        <f>-_xlfn.XLOOKUP(AC$88, 'GEN-SOLAR'!$D$110:$BA$110, 'GEN-SOLAR'!$D$122:$BA$122)</f>
        <v>-2.4307926601365275</v>
      </c>
      <c r="AD66" s="474">
        <f>-_xlfn.XLOOKUP(AD$88, 'GEN-SOLAR'!$D$110:$BA$110, 'GEN-SOLAR'!$D$122:$BA$122)</f>
        <v>-2.5037164399406233</v>
      </c>
      <c r="AE66" s="474">
        <f>-_xlfn.XLOOKUP(AE$88, 'GEN-SOLAR'!$D$110:$BA$110, 'GEN-SOLAR'!$D$122:$BA$122)</f>
        <v>-2.5788279331388426</v>
      </c>
      <c r="AF66" s="474">
        <f>-_xlfn.XLOOKUP(AF$88, 'GEN-SOLAR'!$D$110:$BA$110, 'GEN-SOLAR'!$D$122:$BA$122)</f>
        <v>-2.1249525169443927E-6</v>
      </c>
      <c r="AG66" s="474">
        <f>-_xlfn.XLOOKUP(AG$88, 'GEN-SOLAR'!$D$110:$BA$110, 'GEN-SOLAR'!$D$122:$BA$122)</f>
        <v>-2.1887010924527248E-6</v>
      </c>
      <c r="AH66" s="474">
        <f>-_xlfn.XLOOKUP(AH$88, 'GEN-SOLAR'!$D$110:$BA$110, 'GEN-SOLAR'!$D$122:$BA$122)</f>
        <v>-2.2543621252263061E-6</v>
      </c>
      <c r="AI66" s="474">
        <f>-_xlfn.XLOOKUP(AI$88, 'GEN-SOLAR'!$D$110:$BA$110, 'GEN-SOLAR'!$D$122:$BA$122)</f>
        <v>-2.3219929889830952E-6</v>
      </c>
      <c r="AJ66" s="474">
        <f>-_xlfn.XLOOKUP(AJ$88, 'GEN-SOLAR'!$D$110:$BA$110, 'GEN-SOLAR'!$D$122:$BA$122)</f>
        <v>-2.3916527786525884E-6</v>
      </c>
      <c r="AK66" s="474">
        <f>-_xlfn.XLOOKUP(AK$88, 'GEN-SOLAR'!$D$110:$BA$110, 'GEN-SOLAR'!$D$122:$BA$122)</f>
        <v>-2.4634023620121658E-6</v>
      </c>
      <c r="AL66" s="474">
        <f>-_xlfn.XLOOKUP(AL$88, 'GEN-SOLAR'!$D$110:$BA$110, 'GEN-SOLAR'!$D$122:$BA$122)</f>
        <v>-2.537304432872531E-6</v>
      </c>
      <c r="AM66" s="474">
        <f>-_xlfn.XLOOKUP(AM$88, 'GEN-SOLAR'!$D$110:$BA$110, 'GEN-SOLAR'!$D$122:$BA$122)</f>
        <v>-2.6134235658587073E-6</v>
      </c>
      <c r="AN66" s="474">
        <f>-_xlfn.XLOOKUP(AN$88, 'GEN-SOLAR'!$D$110:$BA$110, 'GEN-SOLAR'!$D$122:$BA$122)</f>
        <v>-2.6918262728344683E-6</v>
      </c>
      <c r="AO66" s="474">
        <f>-_xlfn.XLOOKUP(AO$88, 'GEN-SOLAR'!$D$110:$BA$110, 'GEN-SOLAR'!$D$122:$BA$122)</f>
        <v>-2.7725810610195027E-6</v>
      </c>
      <c r="AP66" s="474">
        <f>-_xlfn.XLOOKUP(AP$88, 'GEN-SOLAR'!$D$110:$BA$110, 'GEN-SOLAR'!$D$122:$BA$122)</f>
        <v>-2.8557584928500874E-6</v>
      </c>
      <c r="AQ66" s="474">
        <f>-_xlfn.XLOOKUP(AQ$88, 'GEN-SOLAR'!$D$110:$BA$110, 'GEN-SOLAR'!$D$122:$BA$122)</f>
        <v>-2.9414312476355905E-6</v>
      </c>
      <c r="AR66" s="474">
        <f>-_xlfn.XLOOKUP(AR$88, 'GEN-SOLAR'!$D$110:$BA$110, 'GEN-SOLAR'!$D$122:$BA$122)</f>
        <v>-3.0296741850646581E-6</v>
      </c>
      <c r="AS66" s="474">
        <f>-_xlfn.XLOOKUP(AS$88, 'GEN-SOLAR'!$D$110:$BA$110, 'GEN-SOLAR'!$D$122:$BA$122)</f>
        <v>-3.1205644106165973E-6</v>
      </c>
      <c r="AT66" s="474">
        <f>-_xlfn.XLOOKUP(AT$88, 'GEN-SOLAR'!$D$110:$BA$110, 'GEN-SOLAR'!$D$122:$BA$122)</f>
        <v>-3.2141813429350959E-6</v>
      </c>
      <c r="AU66" s="474">
        <f>-_xlfn.XLOOKUP(AU$88, 'GEN-SOLAR'!$D$110:$BA$110, 'GEN-SOLAR'!$D$122:$BA$122)</f>
        <v>-3.310606783223149E-6</v>
      </c>
      <c r="AV66" s="474">
        <f>-_xlfn.XLOOKUP(AV$88, 'GEN-SOLAR'!$D$110:$BA$110, 'GEN-SOLAR'!$D$122:$BA$122)</f>
        <v>-3.4099249867198433E-6</v>
      </c>
      <c r="AW66" s="474">
        <f>-_xlfn.XLOOKUP(AW$88, 'GEN-SOLAR'!$D$110:$BA$110, 'GEN-SOLAR'!$D$122:$BA$122)</f>
        <v>-3.5122227363214387E-6</v>
      </c>
      <c r="AX66" s="474">
        <f>-_xlfn.XLOOKUP(AX$88, 'GEN-SOLAR'!$D$110:$BA$110, 'GEN-SOLAR'!$D$122:$BA$122)</f>
        <v>-3.6175894184110823E-6</v>
      </c>
    </row>
    <row r="67" spans="1:50" ht="14.25" customHeight="1">
      <c r="A67" s="1"/>
      <c r="B67" s="84"/>
      <c r="C67" s="203" t="s">
        <v>372</v>
      </c>
      <c r="D67" s="79"/>
      <c r="E67" s="474">
        <f>-_xlfn.XLOOKUP(E$88, 'GEN-BESS'!$D$110:$BA$110, 'GEN-BESS'!$D$125:$BA$125)</f>
        <v>0</v>
      </c>
      <c r="F67" s="474">
        <f>-_xlfn.XLOOKUP(F$88, 'GEN-BESS'!$D$110:$BA$110, 'GEN-BESS'!$D$125:$BA$125)</f>
        <v>-0.52</v>
      </c>
      <c r="G67" s="474">
        <f>-_xlfn.XLOOKUP(G$88, 'GEN-BESS'!$D$110:$BA$110, 'GEN-BESS'!$D$125:$BA$125)</f>
        <v>-0.53560000000000008</v>
      </c>
      <c r="H67" s="474">
        <f>-_xlfn.XLOOKUP(H$88, 'GEN-BESS'!$D$110:$BA$110, 'GEN-BESS'!$D$125:$BA$125)</f>
        <v>-0.55166800000000005</v>
      </c>
      <c r="I67" s="474">
        <f>-_xlfn.XLOOKUP(I$88, 'GEN-BESS'!$D$110:$BA$110, 'GEN-BESS'!$D$125:$BA$125)</f>
        <v>-0.56821803999999998</v>
      </c>
      <c r="J67" s="474">
        <f>-_xlfn.XLOOKUP(J$88, 'GEN-BESS'!$D$110:$BA$110, 'GEN-BESS'!$D$125:$BA$125)</f>
        <v>-0.58526458120000002</v>
      </c>
      <c r="K67" s="474">
        <f>-_xlfn.XLOOKUP(K$88, 'GEN-BESS'!$D$110:$BA$110, 'GEN-BESS'!$D$125:$BA$125)</f>
        <v>-0.60282251863599989</v>
      </c>
      <c r="L67" s="474">
        <f>-_xlfn.XLOOKUP(L$88, 'GEN-BESS'!$D$110:$BA$110, 'GEN-BESS'!$D$125:$BA$125)</f>
        <v>-0.62090719419508</v>
      </c>
      <c r="M67" s="474">
        <f>-_xlfn.XLOOKUP(M$88, 'GEN-BESS'!$D$110:$BA$110, 'GEN-BESS'!$D$125:$BA$125)</f>
        <v>-0.63953441002093236</v>
      </c>
      <c r="N67" s="474">
        <f>-_xlfn.XLOOKUP(N$88, 'GEN-BESS'!$D$110:$BA$110, 'GEN-BESS'!$D$125:$BA$125)</f>
        <v>-0.65872044232156035</v>
      </c>
      <c r="O67" s="474">
        <f>-_xlfn.XLOOKUP(O$88, 'GEN-BESS'!$D$110:$BA$110, 'GEN-BESS'!$D$125:$BA$125)</f>
        <v>-0.67848205559120711</v>
      </c>
      <c r="P67" s="474">
        <f>-_xlfn.XLOOKUP(P$88, 'GEN-BESS'!$D$110:$BA$110, 'GEN-BESS'!$D$125:$BA$125)</f>
        <v>-0.69883651725894336</v>
      </c>
      <c r="Q67" s="474">
        <f>-_xlfn.XLOOKUP(Q$88, 'GEN-BESS'!$D$110:$BA$110, 'GEN-BESS'!$D$125:$BA$125)</f>
        <v>-0.71980161277671173</v>
      </c>
      <c r="R67" s="474">
        <f>-_xlfn.XLOOKUP(R$88, 'GEN-BESS'!$D$110:$BA$110, 'GEN-BESS'!$D$125:$BA$125)</f>
        <v>-0.74139566116001288</v>
      </c>
      <c r="S67" s="474">
        <f>-_xlfn.XLOOKUP(S$88, 'GEN-BESS'!$D$110:$BA$110, 'GEN-BESS'!$D$125:$BA$125)</f>
        <v>-0.76363753099481324</v>
      </c>
      <c r="T67" s="474">
        <f>-_xlfn.XLOOKUP(T$88, 'GEN-BESS'!$D$110:$BA$110, 'GEN-BESS'!$D$125:$BA$125)</f>
        <v>-0.78654665692465775</v>
      </c>
      <c r="U67" s="474">
        <f>-_xlfn.XLOOKUP(U$88, 'GEN-BESS'!$D$110:$BA$110, 'GEN-BESS'!$D$125:$BA$125)</f>
        <v>-0.8101430566323975</v>
      </c>
      <c r="V67" s="474">
        <f>-_xlfn.XLOOKUP(V$88, 'GEN-BESS'!$D$110:$BA$110, 'GEN-BESS'!$D$125:$BA$125)</f>
        <v>-0.83444734833136935</v>
      </c>
      <c r="W67" s="474">
        <f>-_xlfn.XLOOKUP(W$88, 'GEN-BESS'!$D$110:$BA$110, 'GEN-BESS'!$D$125:$BA$125)</f>
        <v>-0.85948076878131041</v>
      </c>
      <c r="X67" s="474">
        <f>-_xlfn.XLOOKUP(X$88, 'GEN-BESS'!$D$110:$BA$110, 'GEN-BESS'!$D$125:$BA$125)</f>
        <v>-0.88526519184474972</v>
      </c>
      <c r="Y67" s="474">
        <f>-_xlfn.XLOOKUP(Y$88, 'GEN-BESS'!$D$110:$BA$110, 'GEN-BESS'!$D$125:$BA$125)</f>
        <v>-0.9118231476000922</v>
      </c>
      <c r="Z67" s="474">
        <f>-_xlfn.XLOOKUP(Z$88, 'GEN-BESS'!$D$110:$BA$110, 'GEN-BESS'!$D$125:$BA$125)</f>
        <v>-0.93917784202809496</v>
      </c>
      <c r="AA67" s="474">
        <f>-_xlfn.XLOOKUP(AA$88, 'GEN-BESS'!$D$110:$BA$110, 'GEN-BESS'!$D$125:$BA$125)</f>
        <v>-0.96735317728893766</v>
      </c>
      <c r="AB67" s="474">
        <f>-_xlfn.XLOOKUP(AB$88, 'GEN-BESS'!$D$110:$BA$110, 'GEN-BESS'!$D$125:$BA$125)</f>
        <v>-0.99637377260760585</v>
      </c>
      <c r="AC67" s="474">
        <f>-_xlfn.XLOOKUP(AC$88, 'GEN-BESS'!$D$110:$BA$110, 'GEN-BESS'!$D$125:$BA$125)</f>
        <v>-1.0262649857858341</v>
      </c>
      <c r="AD67" s="474">
        <f>-_xlfn.XLOOKUP(AD$88, 'GEN-BESS'!$D$110:$BA$110, 'GEN-BESS'!$D$125:$BA$125)</f>
        <v>-1.0570529353594089</v>
      </c>
      <c r="AE67" s="474">
        <f>-_xlfn.XLOOKUP(AE$88, 'GEN-BESS'!$D$110:$BA$110, 'GEN-BESS'!$D$125:$BA$125)</f>
        <v>-1.0887645234201913</v>
      </c>
      <c r="AF67" s="474">
        <f>-_xlfn.XLOOKUP(AF$88, 'GEN-BESS'!$D$110:$BA$110, 'GEN-BESS'!$D$125:$BA$125)</f>
        <v>0</v>
      </c>
      <c r="AG67" s="474">
        <f>-_xlfn.XLOOKUP(AG$88, 'GEN-BESS'!$D$110:$BA$110, 'GEN-BESS'!$D$125:$BA$125)</f>
        <v>0</v>
      </c>
      <c r="AH67" s="474">
        <f>-_xlfn.XLOOKUP(AH$88, 'GEN-BESS'!$D$110:$BA$110, 'GEN-BESS'!$D$125:$BA$125)</f>
        <v>0</v>
      </c>
      <c r="AI67" s="474">
        <f>-_xlfn.XLOOKUP(AI$88, 'GEN-BESS'!$D$110:$BA$110, 'GEN-BESS'!$D$125:$BA$125)</f>
        <v>0</v>
      </c>
      <c r="AJ67" s="474">
        <f>-_xlfn.XLOOKUP(AJ$88, 'GEN-BESS'!$D$110:$BA$110, 'GEN-BESS'!$D$125:$BA$125)</f>
        <v>0</v>
      </c>
      <c r="AK67" s="474">
        <f>-_xlfn.XLOOKUP(AK$88, 'GEN-BESS'!$D$110:$BA$110, 'GEN-BESS'!$D$125:$BA$125)</f>
        <v>0</v>
      </c>
      <c r="AL67" s="474">
        <f>-_xlfn.XLOOKUP(AL$88, 'GEN-BESS'!$D$110:$BA$110, 'GEN-BESS'!$D$125:$BA$125)</f>
        <v>0</v>
      </c>
      <c r="AM67" s="474">
        <f>-_xlfn.XLOOKUP(AM$88, 'GEN-BESS'!$D$110:$BA$110, 'GEN-BESS'!$D$125:$BA$125)</f>
        <v>0</v>
      </c>
      <c r="AN67" s="474">
        <f>-_xlfn.XLOOKUP(AN$88, 'GEN-BESS'!$D$110:$BA$110, 'GEN-BESS'!$D$125:$BA$125)</f>
        <v>0</v>
      </c>
      <c r="AO67" s="474">
        <f>-_xlfn.XLOOKUP(AO$88, 'GEN-BESS'!$D$110:$BA$110, 'GEN-BESS'!$D$125:$BA$125)</f>
        <v>0</v>
      </c>
      <c r="AP67" s="474">
        <f>-_xlfn.XLOOKUP(AP$88, 'GEN-BESS'!$D$110:$BA$110, 'GEN-BESS'!$D$125:$BA$125)</f>
        <v>0</v>
      </c>
      <c r="AQ67" s="474">
        <f>-_xlfn.XLOOKUP(AQ$88, 'GEN-BESS'!$D$110:$BA$110, 'GEN-BESS'!$D$125:$BA$125)</f>
        <v>0</v>
      </c>
      <c r="AR67" s="474">
        <f>-_xlfn.XLOOKUP(AR$88, 'GEN-BESS'!$D$110:$BA$110, 'GEN-BESS'!$D$125:$BA$125)</f>
        <v>0</v>
      </c>
      <c r="AS67" s="474">
        <f>-_xlfn.XLOOKUP(AS$88, 'GEN-BESS'!$D$110:$BA$110, 'GEN-BESS'!$D$125:$BA$125)</f>
        <v>0</v>
      </c>
      <c r="AT67" s="474">
        <f>-_xlfn.XLOOKUP(AT$88, 'GEN-BESS'!$D$110:$BA$110, 'GEN-BESS'!$D$125:$BA$125)</f>
        <v>0</v>
      </c>
      <c r="AU67" s="474">
        <f>-_xlfn.XLOOKUP(AU$88, 'GEN-BESS'!$D$110:$BA$110, 'GEN-BESS'!$D$125:$BA$125)</f>
        <v>0</v>
      </c>
      <c r="AV67" s="474">
        <f>-_xlfn.XLOOKUP(AV$88, 'GEN-BESS'!$D$110:$BA$110, 'GEN-BESS'!$D$125:$BA$125)</f>
        <v>0</v>
      </c>
      <c r="AW67" s="474">
        <f>-_xlfn.XLOOKUP(AW$88, 'GEN-BESS'!$D$110:$BA$110, 'GEN-BESS'!$D$125:$BA$125)</f>
        <v>0</v>
      </c>
      <c r="AX67" s="474">
        <f>-_xlfn.XLOOKUP(AX$88, 'GEN-BESS'!$D$110:$BA$110, 'GEN-BESS'!$D$125:$BA$125)</f>
        <v>0</v>
      </c>
    </row>
    <row r="68" spans="1:50" ht="14.25" customHeight="1">
      <c r="A68" s="1"/>
      <c r="B68" s="84"/>
      <c r="C68" s="664" t="s">
        <v>373</v>
      </c>
      <c r="D68" s="745"/>
      <c r="E68" s="474">
        <f>-_xlfn.XLOOKUP(E$88, 'GEN-CCGT'!$D$110:$BA$110, 'GEN-CCGT'!$D$124:$BA$124)</f>
        <v>0</v>
      </c>
      <c r="F68" s="474">
        <f>-_xlfn.XLOOKUP(F$88, 'GEN-CCGT'!$D$110:$BA$110, 'GEN-CCGT'!$D$124:$BA$124)</f>
        <v>0</v>
      </c>
      <c r="G68" s="474">
        <f>-_xlfn.XLOOKUP(G$88, 'GEN-CCGT'!$D$110:$BA$110, 'GEN-CCGT'!$D$124:$BA$124)</f>
        <v>0</v>
      </c>
      <c r="H68" s="474">
        <f>-_xlfn.XLOOKUP(H$88, 'GEN-CCGT'!$D$110:$BA$110, 'GEN-CCGT'!$D$124:$BA$124)</f>
        <v>-14.7909816</v>
      </c>
      <c r="I68" s="474">
        <f>-_xlfn.XLOOKUP(I$88, 'GEN-CCGT'!$D$110:$BA$110, 'GEN-CCGT'!$D$124:$BA$124)</f>
        <v>-22.237659899999997</v>
      </c>
      <c r="J68" s="474">
        <f>-_xlfn.XLOOKUP(J$88, 'GEN-CCGT'!$D$110:$BA$110, 'GEN-CCGT'!$D$124:$BA$124)</f>
        <v>-22.239182468999996</v>
      </c>
      <c r="K68" s="474">
        <f>-_xlfn.XLOOKUP(K$88, 'GEN-CCGT'!$D$110:$BA$110, 'GEN-CCGT'!$D$124:$BA$124)</f>
        <v>-22.242414733140002</v>
      </c>
      <c r="L68" s="474">
        <f>-_xlfn.XLOOKUP(L$88, 'GEN-CCGT'!$D$110:$BA$110, 'GEN-CCGT'!$D$124:$BA$124)</f>
        <v>-22.247403823229028</v>
      </c>
      <c r="M68" s="474">
        <f>-_xlfn.XLOOKUP(M$88, 'GEN-CCGT'!$D$110:$BA$110, 'GEN-CCGT'!$D$124:$BA$124)</f>
        <v>-22.254198294400492</v>
      </c>
      <c r="N68" s="474">
        <f>-_xlfn.XLOOKUP(N$88, 'GEN-CCGT'!$D$110:$BA$110, 'GEN-CCGT'!$D$124:$BA$124)</f>
        <v>-22.262848168815907</v>
      </c>
      <c r="O68" s="474">
        <f>-_xlfn.XLOOKUP(O$88, 'GEN-CCGT'!$D$110:$BA$110, 'GEN-CCGT'!$D$124:$BA$124)</f>
        <v>-22.273404979649822</v>
      </c>
      <c r="P68" s="474">
        <f>-_xlfn.XLOOKUP(P$88, 'GEN-CCGT'!$D$110:$BA$110, 'GEN-CCGT'!$D$124:$BA$124)</f>
        <v>-22.285921816394342</v>
      </c>
      <c r="Q68" s="474">
        <f>-_xlfn.XLOOKUP(Q$88, 'GEN-CCGT'!$D$110:$BA$110, 'GEN-CCGT'!$D$124:$BA$124)</f>
        <v>-22.300453371522799</v>
      </c>
      <c r="R68" s="474">
        <f>-_xlfn.XLOOKUP(R$88, 'GEN-CCGT'!$D$110:$BA$110, 'GEN-CCGT'!$D$124:$BA$124)</f>
        <v>-22.317055988553527</v>
      </c>
      <c r="S68" s="474">
        <f>-_xlfn.XLOOKUP(S$88, 'GEN-CCGT'!$D$110:$BA$110, 'GEN-CCGT'!$D$124:$BA$124)</f>
        <v>-22.335787711555461</v>
      </c>
      <c r="T68" s="474">
        <f>-_xlfn.XLOOKUP(T$88, 'GEN-CCGT'!$D$110:$BA$110, 'GEN-CCGT'!$D$124:$BA$124)</f>
        <v>-22.356708336139093</v>
      </c>
      <c r="U68" s="474">
        <f>-_xlfn.XLOOKUP(U$88, 'GEN-CCGT'!$D$110:$BA$110, 'GEN-CCGT'!$D$124:$BA$124)</f>
        <v>-22.379879461977133</v>
      </c>
      <c r="V68" s="474">
        <f>-_xlfn.XLOOKUP(V$88, 'GEN-CCGT'!$D$110:$BA$110, 'GEN-CCGT'!$D$124:$BA$124)</f>
        <v>-22.405364546900934</v>
      </c>
      <c r="W68" s="474">
        <f>-_xlfn.XLOOKUP(W$88, 'GEN-CCGT'!$D$110:$BA$110, 'GEN-CCGT'!$D$124:$BA$124)</f>
        <v>-22.43322896261979</v>
      </c>
      <c r="X68" s="474">
        <f>-_xlfn.XLOOKUP(X$88, 'GEN-CCGT'!$D$110:$BA$110, 'GEN-CCGT'!$D$124:$BA$124)</f>
        <v>-22.463540052111934</v>
      </c>
      <c r="Y68" s="474">
        <f>-_xlfn.XLOOKUP(Y$88, 'GEN-CCGT'!$D$110:$BA$110, 'GEN-CCGT'!$D$124:$BA$124)</f>
        <v>-22.496367188737302</v>
      </c>
      <c r="Z68" s="474">
        <f>-_xlfn.XLOOKUP(Z$88, 'GEN-CCGT'!$D$110:$BA$110, 'GEN-CCGT'!$D$124:$BA$124)</f>
        <v>-22.531781837123777</v>
      </c>
      <c r="AA68" s="474">
        <f>-_xlfn.XLOOKUP(AA$88, 'GEN-CCGT'!$D$110:$BA$110, 'GEN-CCGT'!$D$124:$BA$124)</f>
        <v>-22.569857615880039</v>
      </c>
      <c r="AB68" s="474">
        <f>-_xlfn.XLOOKUP(AB$88, 'GEN-CCGT'!$D$110:$BA$110, 'GEN-CCGT'!$D$124:$BA$124)</f>
        <v>-22.610670362189882</v>
      </c>
      <c r="AC68" s="474">
        <f>-_xlfn.XLOOKUP(AC$88, 'GEN-CCGT'!$D$110:$BA$110, 'GEN-CCGT'!$D$124:$BA$124)</f>
        <v>-22.654298198344435</v>
      </c>
      <c r="AD68" s="474">
        <f>-_xlfn.XLOOKUP(AD$88, 'GEN-CCGT'!$D$110:$BA$110, 'GEN-CCGT'!$D$124:$BA$124)</f>
        <v>-22.700821600270405</v>
      </c>
      <c r="AE68" s="474">
        <f>-_xlfn.XLOOKUP(AE$88, 'GEN-CCGT'!$D$110:$BA$110, 'GEN-CCGT'!$D$124:$BA$124)</f>
        <v>-22.750323468114214</v>
      </c>
      <c r="AF68" s="474">
        <f>-_xlfn.XLOOKUP(AF$88, 'GEN-CCGT'!$D$110:$BA$110, 'GEN-CCGT'!$D$124:$BA$124)</f>
        <v>-22.802889198943749</v>
      </c>
      <c r="AG68" s="474">
        <f>-_xlfn.XLOOKUP(AG$88, 'GEN-CCGT'!$D$110:$BA$110, 'GEN-CCGT'!$D$124:$BA$124)</f>
        <v>-22.858606761631197</v>
      </c>
      <c r="AH68" s="474">
        <f>-_xlfn.XLOOKUP(AH$88, 'GEN-CCGT'!$D$110:$BA$110, 'GEN-CCGT'!$D$124:$BA$124)</f>
        <v>0</v>
      </c>
      <c r="AI68" s="474">
        <f>-_xlfn.XLOOKUP(AI$88, 'GEN-CCGT'!$D$110:$BA$110, 'GEN-CCGT'!$D$124:$BA$124)</f>
        <v>0</v>
      </c>
      <c r="AJ68" s="474">
        <f>-_xlfn.XLOOKUP(AJ$88, 'GEN-CCGT'!$D$110:$BA$110, 'GEN-CCGT'!$D$124:$BA$124)</f>
        <v>0</v>
      </c>
      <c r="AK68" s="474">
        <f>-_xlfn.XLOOKUP(AK$88, 'GEN-CCGT'!$D$110:$BA$110, 'GEN-CCGT'!$D$124:$BA$124)</f>
        <v>0</v>
      </c>
      <c r="AL68" s="474">
        <f>-_xlfn.XLOOKUP(AL$88, 'GEN-CCGT'!$D$110:$BA$110, 'GEN-CCGT'!$D$124:$BA$124)</f>
        <v>0</v>
      </c>
      <c r="AM68" s="474">
        <f>-_xlfn.XLOOKUP(AM$88, 'GEN-CCGT'!$D$110:$BA$110, 'GEN-CCGT'!$D$124:$BA$124)</f>
        <v>0</v>
      </c>
      <c r="AN68" s="474">
        <f>-_xlfn.XLOOKUP(AN$88, 'GEN-CCGT'!$D$110:$BA$110, 'GEN-CCGT'!$D$124:$BA$124)</f>
        <v>0</v>
      </c>
      <c r="AO68" s="474">
        <f>-_xlfn.XLOOKUP(AO$88, 'GEN-CCGT'!$D$110:$BA$110, 'GEN-CCGT'!$D$124:$BA$124)</f>
        <v>0</v>
      </c>
      <c r="AP68" s="474">
        <f>-_xlfn.XLOOKUP(AP$88, 'GEN-CCGT'!$D$110:$BA$110, 'GEN-CCGT'!$D$124:$BA$124)</f>
        <v>0</v>
      </c>
      <c r="AQ68" s="474">
        <f>-_xlfn.XLOOKUP(AQ$88, 'GEN-CCGT'!$D$110:$BA$110, 'GEN-CCGT'!$D$124:$BA$124)</f>
        <v>0</v>
      </c>
      <c r="AR68" s="474">
        <f>-_xlfn.XLOOKUP(AR$88, 'GEN-CCGT'!$D$110:$BA$110, 'GEN-CCGT'!$D$124:$BA$124)</f>
        <v>0</v>
      </c>
      <c r="AS68" s="474">
        <f>-_xlfn.XLOOKUP(AS$88, 'GEN-CCGT'!$D$110:$BA$110, 'GEN-CCGT'!$D$124:$BA$124)</f>
        <v>0</v>
      </c>
      <c r="AT68" s="474">
        <f>-_xlfn.XLOOKUP(AT$88, 'GEN-CCGT'!$D$110:$BA$110, 'GEN-CCGT'!$D$124:$BA$124)</f>
        <v>0</v>
      </c>
      <c r="AU68" s="474">
        <f>-_xlfn.XLOOKUP(AU$88, 'GEN-CCGT'!$D$110:$BA$110, 'GEN-CCGT'!$D$124:$BA$124)</f>
        <v>0</v>
      </c>
      <c r="AV68" s="474">
        <f>-_xlfn.XLOOKUP(AV$88, 'GEN-CCGT'!$D$110:$BA$110, 'GEN-CCGT'!$D$124:$BA$124)</f>
        <v>0</v>
      </c>
      <c r="AW68" s="474">
        <f>-_xlfn.XLOOKUP(AW$88, 'GEN-CCGT'!$D$110:$BA$110, 'GEN-CCGT'!$D$124:$BA$124)</f>
        <v>0</v>
      </c>
      <c r="AX68" s="474">
        <f>-_xlfn.XLOOKUP(AX$88, 'GEN-CCGT'!$D$110:$BA$110, 'GEN-CCGT'!$D$124:$BA$124)</f>
        <v>0</v>
      </c>
    </row>
    <row r="69" spans="1:50" ht="14.25" customHeight="1">
      <c r="A69" s="1"/>
      <c r="B69" s="84"/>
      <c r="C69" s="664" t="s">
        <v>374</v>
      </c>
      <c r="D69" s="745"/>
      <c r="E69" s="469">
        <f>-_xlfn.XLOOKUP(E$88, 'GEN-CARBON'!$D$110:$BA$110, 'GEN-CARBON'!$D$124:$BA$124)</f>
        <v>0</v>
      </c>
      <c r="F69" s="469">
        <f>-_xlfn.XLOOKUP(F$88, 'GEN-CARBON'!$D$110:$BA$110, 'GEN-CARBON'!$D$124:$BA$124)</f>
        <v>0</v>
      </c>
      <c r="G69" s="469">
        <f>-_xlfn.XLOOKUP(G$88, 'GEN-CARBON'!$D$110:$BA$110, 'GEN-CARBON'!$D$124:$BA$124)</f>
        <v>0</v>
      </c>
      <c r="H69" s="469">
        <f>-_xlfn.XLOOKUP(H$88, 'GEN-CARBON'!$D$110:$BA$110, 'GEN-CARBON'!$D$124:$BA$124)</f>
        <v>0</v>
      </c>
      <c r="I69" s="469">
        <f>-_xlfn.XLOOKUP(I$88, 'GEN-CARBON'!$D$110:$BA$110, 'GEN-CARBON'!$D$124:$BA$124)</f>
        <v>-12.292310840963939</v>
      </c>
      <c r="J69" s="469">
        <f>-_xlfn.XLOOKUP(J$88, 'GEN-CARBON'!$D$110:$BA$110, 'GEN-CARBON'!$D$124:$BA$124)</f>
        <v>-14.881767118760855</v>
      </c>
      <c r="K69" s="469">
        <f>-_xlfn.XLOOKUP(K$88, 'GEN-CARBON'!$D$110:$BA$110, 'GEN-CARBON'!$D$124:$BA$124)</f>
        <v>-15.045412700963952</v>
      </c>
      <c r="L69" s="469">
        <f>-_xlfn.XLOOKUP(L$88, 'GEN-CARBON'!$D$110:$BA$110, 'GEN-CARBON'!$D$124:$BA$124)</f>
        <v>-15.214674669211545</v>
      </c>
      <c r="M69" s="469">
        <f>-_xlfn.XLOOKUP(M$88, 'GEN-CARBON'!$D$110:$BA$110, 'GEN-CARBON'!$D$124:$BA$124)</f>
        <v>-15.389719747538518</v>
      </c>
      <c r="N69" s="469">
        <f>-_xlfn.XLOOKUP(N$88, 'GEN-CARBON'!$D$110:$BA$110, 'GEN-CARBON'!$D$124:$BA$124)</f>
        <v>-15.57071966611967</v>
      </c>
      <c r="O69" s="469">
        <f>-_xlfn.XLOOKUP(O$88, 'GEN-CARBON'!$D$110:$BA$110, 'GEN-CARBON'!$D$124:$BA$124)</f>
        <v>-15.757851311442872</v>
      </c>
      <c r="P69" s="469">
        <f>-_xlfn.XLOOKUP(P$88, 'GEN-CARBON'!$D$110:$BA$110, 'GEN-CARBON'!$D$124:$BA$124)</f>
        <v>-15.951296880987419</v>
      </c>
      <c r="Q69" s="469">
        <f>-_xlfn.XLOOKUP(Q$88, 'GEN-CARBON'!$D$110:$BA$110, 'GEN-CARBON'!$D$124:$BA$124)</f>
        <v>-16.1512440425428</v>
      </c>
      <c r="R69" s="469">
        <f>-_xlfn.XLOOKUP(R$88, 'GEN-CARBON'!$D$110:$BA$110, 'GEN-CARBON'!$D$124:$BA$124)</f>
        <v>-16.357886098307031</v>
      </c>
      <c r="S69" s="469">
        <f>-_xlfn.XLOOKUP(S$88, 'GEN-CARBON'!$D$110:$BA$110, 'GEN-CARBON'!$D$124:$BA$124)</f>
        <v>-16.571422153907964</v>
      </c>
      <c r="T69" s="469">
        <f>-_xlfn.XLOOKUP(T$88, 'GEN-CARBON'!$D$110:$BA$110, 'GEN-CARBON'!$D$124:$BA$124)</f>
        <v>-16.792057292495301</v>
      </c>
      <c r="U69" s="469">
        <f>-_xlfn.XLOOKUP(U$88, 'GEN-CARBON'!$D$110:$BA$110, 'GEN-CARBON'!$D$124:$BA$124)</f>
        <v>-17.020002754055326</v>
      </c>
      <c r="V69" s="469">
        <f>-_xlfn.XLOOKUP(V$88, 'GEN-CARBON'!$D$110:$BA$110, 'GEN-CARBON'!$D$124:$BA$124)</f>
        <v>-17.255476120105193</v>
      </c>
      <c r="W69" s="469">
        <f>-_xlfn.XLOOKUP(W$88, 'GEN-CARBON'!$D$110:$BA$110, 'GEN-CARBON'!$D$124:$BA$124)</f>
        <v>-17.498701503927986</v>
      </c>
      <c r="X69" s="469">
        <f>-_xlfn.XLOOKUP(X$88, 'GEN-CARBON'!$D$110:$BA$110, 'GEN-CARBON'!$D$124:$BA$124)</f>
        <v>-17.749909746514916</v>
      </c>
      <c r="Y69" s="469">
        <f>-_xlfn.XLOOKUP(Y$88, 'GEN-CARBON'!$D$110:$BA$110, 'GEN-CARBON'!$D$124:$BA$124)</f>
        <v>-18.009338618385776</v>
      </c>
      <c r="Z69" s="469">
        <f>-_xlfn.XLOOKUP(Z$88, 'GEN-CARBON'!$D$110:$BA$110, 'GEN-CARBON'!$D$124:$BA$124)</f>
        <v>-18.277233027464071</v>
      </c>
      <c r="AA69" s="469">
        <f>-_xlfn.XLOOKUP(AA$88, 'GEN-CARBON'!$D$110:$BA$110, 'GEN-CARBON'!$D$124:$BA$124)</f>
        <v>-18.553845233188405</v>
      </c>
      <c r="AB69" s="469">
        <f>-_xlfn.XLOOKUP(AB$88, 'GEN-CARBON'!$D$110:$BA$110, 'GEN-CARBON'!$D$124:$BA$124)</f>
        <v>-18.839435067047216</v>
      </c>
      <c r="AC69" s="469">
        <f>-_xlfn.XLOOKUP(AC$88, 'GEN-CARBON'!$D$110:$BA$110, 'GEN-CARBON'!$D$124:$BA$124)</f>
        <v>-19.134270159729631</v>
      </c>
      <c r="AD69" s="469">
        <f>-_xlfn.XLOOKUP(AD$88, 'GEN-CARBON'!$D$110:$BA$110, 'GEN-CARBON'!$D$124:$BA$124)</f>
        <v>-19.438626175090842</v>
      </c>
      <c r="AE69" s="469">
        <f>-_xlfn.XLOOKUP(AE$88, 'GEN-CARBON'!$D$110:$BA$110, 'GEN-CARBON'!$D$124:$BA$124)</f>
        <v>-19.752787051136472</v>
      </c>
      <c r="AF69" s="469">
        <f>-_xlfn.XLOOKUP(AF$88, 'GEN-CARBON'!$D$110:$BA$110, 'GEN-CARBON'!$D$124:$BA$124)</f>
        <v>-20.07704524823648</v>
      </c>
      <c r="AG69" s="469">
        <f>-_xlfn.XLOOKUP(AG$88, 'GEN-CARBON'!$D$110:$BA$110, 'GEN-CARBON'!$D$124:$BA$124)</f>
        <v>-20.411702004785575</v>
      </c>
      <c r="AH69" s="469">
        <f>-_xlfn.XLOOKUP(AH$88, 'GEN-CARBON'!$D$110:$BA$110, 'GEN-CARBON'!$D$124:$BA$124)</f>
        <v>-20.757067600533389</v>
      </c>
      <c r="AI69" s="469">
        <f>-_xlfn.XLOOKUP(AI$88, 'GEN-CARBON'!$D$110:$BA$110, 'GEN-CARBON'!$D$124:$BA$124)</f>
        <v>0</v>
      </c>
      <c r="AJ69" s="469">
        <f>-_xlfn.XLOOKUP(AJ$88, 'GEN-CARBON'!$D$110:$BA$110, 'GEN-CARBON'!$D$124:$BA$124)</f>
        <v>0</v>
      </c>
      <c r="AK69" s="469">
        <f>-_xlfn.XLOOKUP(AK$88, 'GEN-CARBON'!$D$110:$BA$110, 'GEN-CARBON'!$D$124:$BA$124)</f>
        <v>0</v>
      </c>
      <c r="AL69" s="469">
        <f>-_xlfn.XLOOKUP(AL$88, 'GEN-CARBON'!$D$110:$BA$110, 'GEN-CARBON'!$D$124:$BA$124)</f>
        <v>0</v>
      </c>
      <c r="AM69" s="469">
        <f>-_xlfn.XLOOKUP(AM$88, 'GEN-CARBON'!$D$110:$BA$110, 'GEN-CARBON'!$D$124:$BA$124)</f>
        <v>0</v>
      </c>
      <c r="AN69" s="469">
        <f>-_xlfn.XLOOKUP(AN$88, 'GEN-CARBON'!$D$110:$BA$110, 'GEN-CARBON'!$D$124:$BA$124)</f>
        <v>0</v>
      </c>
      <c r="AO69" s="469">
        <f>-_xlfn.XLOOKUP(AO$88, 'GEN-CARBON'!$D$110:$BA$110, 'GEN-CARBON'!$D$124:$BA$124)</f>
        <v>0</v>
      </c>
      <c r="AP69" s="469">
        <f>-_xlfn.XLOOKUP(AP$88, 'GEN-CARBON'!$D$110:$BA$110, 'GEN-CARBON'!$D$124:$BA$124)</f>
        <v>0</v>
      </c>
      <c r="AQ69" s="469">
        <f>-_xlfn.XLOOKUP(AQ$88, 'GEN-CARBON'!$D$110:$BA$110, 'GEN-CARBON'!$D$124:$BA$124)</f>
        <v>0</v>
      </c>
      <c r="AR69" s="469">
        <f>-_xlfn.XLOOKUP(AR$88, 'GEN-CARBON'!$D$110:$BA$110, 'GEN-CARBON'!$D$124:$BA$124)</f>
        <v>0</v>
      </c>
      <c r="AS69" s="469">
        <f>-_xlfn.XLOOKUP(AS$88, 'GEN-CARBON'!$D$110:$BA$110, 'GEN-CARBON'!$D$124:$BA$124)</f>
        <v>0</v>
      </c>
      <c r="AT69" s="469">
        <f>-_xlfn.XLOOKUP(AT$88, 'GEN-CARBON'!$D$110:$BA$110, 'GEN-CARBON'!$D$124:$BA$124)</f>
        <v>0</v>
      </c>
      <c r="AU69" s="469">
        <f>-_xlfn.XLOOKUP(AU$88, 'GEN-CARBON'!$D$110:$BA$110, 'GEN-CARBON'!$D$124:$BA$124)</f>
        <v>0</v>
      </c>
      <c r="AV69" s="469">
        <f>-_xlfn.XLOOKUP(AV$88, 'GEN-CARBON'!$D$110:$BA$110, 'GEN-CARBON'!$D$124:$BA$124)</f>
        <v>0</v>
      </c>
      <c r="AW69" s="469">
        <f>-_xlfn.XLOOKUP(AW$88, 'GEN-CARBON'!$D$110:$BA$110, 'GEN-CARBON'!$D$124:$BA$124)</f>
        <v>0</v>
      </c>
      <c r="AX69" s="469">
        <f>-_xlfn.XLOOKUP(AX$88, 'GEN-CARBON'!$D$110:$BA$110, 'GEN-CARBON'!$D$124:$BA$124)</f>
        <v>0</v>
      </c>
    </row>
    <row r="70" spans="1:50" ht="14.25" customHeight="1">
      <c r="A70" s="1"/>
      <c r="B70" s="84"/>
      <c r="C70" s="664"/>
      <c r="D70" s="745"/>
      <c r="E70" s="469"/>
      <c r="F70" s="469"/>
      <c r="G70" s="469"/>
      <c r="H70" s="469"/>
      <c r="I70" s="469"/>
      <c r="J70" s="469"/>
      <c r="K70" s="469"/>
      <c r="L70" s="469"/>
      <c r="M70" s="469"/>
      <c r="N70" s="469"/>
      <c r="O70" s="469"/>
      <c r="P70" s="469"/>
      <c r="Q70" s="469"/>
      <c r="R70" s="469"/>
      <c r="S70" s="469"/>
      <c r="T70" s="469"/>
      <c r="U70" s="469"/>
      <c r="V70" s="469"/>
      <c r="W70" s="469"/>
      <c r="X70" s="469"/>
      <c r="Y70" s="469"/>
      <c r="Z70" s="469"/>
      <c r="AA70" s="469"/>
      <c r="AB70" s="469"/>
      <c r="AC70" s="469"/>
      <c r="AD70" s="469"/>
      <c r="AE70" s="469"/>
      <c r="AF70" s="469"/>
      <c r="AG70" s="469"/>
      <c r="AH70" s="469"/>
      <c r="AI70" s="469"/>
      <c r="AJ70" s="469"/>
      <c r="AK70" s="469"/>
      <c r="AL70" s="469"/>
      <c r="AM70" s="469"/>
      <c r="AN70" s="469"/>
      <c r="AO70" s="469"/>
      <c r="AP70" s="469"/>
      <c r="AQ70" s="469"/>
      <c r="AR70" s="469"/>
      <c r="AS70" s="469"/>
      <c r="AT70" s="469"/>
      <c r="AU70" s="469"/>
      <c r="AV70" s="469"/>
      <c r="AW70" s="469"/>
      <c r="AX70" s="469"/>
    </row>
    <row r="71" spans="1:50" ht="14.25" customHeight="1">
      <c r="A71" s="1"/>
      <c r="B71" s="84"/>
      <c r="C71" s="222" t="s">
        <v>376</v>
      </c>
      <c r="D71" s="745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69"/>
      <c r="Q71" s="469"/>
      <c r="R71" s="469"/>
      <c r="S71" s="469"/>
      <c r="T71" s="469"/>
      <c r="U71" s="469"/>
      <c r="V71" s="469"/>
      <c r="W71" s="469"/>
      <c r="X71" s="469"/>
      <c r="Y71" s="469"/>
      <c r="Z71" s="469"/>
      <c r="AA71" s="469"/>
      <c r="AB71" s="469"/>
      <c r="AC71" s="469"/>
      <c r="AD71" s="469"/>
      <c r="AE71" s="469"/>
      <c r="AF71" s="469"/>
      <c r="AG71" s="469"/>
      <c r="AH71" s="469"/>
      <c r="AI71" s="469"/>
      <c r="AJ71" s="469"/>
      <c r="AK71" s="469"/>
      <c r="AL71" s="469"/>
      <c r="AM71" s="469"/>
      <c r="AN71" s="469"/>
      <c r="AO71" s="469"/>
      <c r="AP71" s="469"/>
      <c r="AQ71" s="469"/>
      <c r="AR71" s="469"/>
      <c r="AS71" s="469"/>
      <c r="AT71" s="469"/>
      <c r="AU71" s="469"/>
      <c r="AV71" s="469"/>
      <c r="AW71" s="469"/>
      <c r="AX71" s="469"/>
    </row>
    <row r="72" spans="1:50" ht="14.25" customHeight="1">
      <c r="A72" s="1"/>
      <c r="B72" s="84"/>
      <c r="C72" s="203" t="s">
        <v>371</v>
      </c>
      <c r="D72" s="745"/>
      <c r="E72" s="474">
        <f>_xlfn.XLOOKUP(E$88, 'GEN-SOLAR'!$D$110:$BA$110, 'GEN-SOLAR'!$D$130:$BA$130)</f>
        <v>0</v>
      </c>
      <c r="F72" s="474">
        <f>_xlfn.XLOOKUP(F$88, 'GEN-SOLAR'!$D$110:$BA$110, 'GEN-SOLAR'!$D$130:$BA$130)</f>
        <v>0</v>
      </c>
      <c r="G72" s="474">
        <f>_xlfn.XLOOKUP(G$88, 'GEN-SOLAR'!$D$110:$BA$110, 'GEN-SOLAR'!$D$130:$BA$130)</f>
        <v>0</v>
      </c>
      <c r="H72" s="474">
        <f>_xlfn.XLOOKUP(H$88, 'GEN-SOLAR'!$D$110:$BA$110, 'GEN-SOLAR'!$D$130:$BA$130)</f>
        <v>0</v>
      </c>
      <c r="I72" s="474">
        <f>_xlfn.XLOOKUP(I$88, 'GEN-SOLAR'!$D$110:$BA$110, 'GEN-SOLAR'!$D$130:$BA$130)</f>
        <v>0</v>
      </c>
      <c r="J72" s="474">
        <f>_xlfn.XLOOKUP(J$88, 'GEN-SOLAR'!$D$110:$BA$110, 'GEN-SOLAR'!$D$130:$BA$130)</f>
        <v>0</v>
      </c>
      <c r="K72" s="474">
        <f>_xlfn.XLOOKUP(K$88, 'GEN-SOLAR'!$D$110:$BA$110, 'GEN-SOLAR'!$D$130:$BA$130)</f>
        <v>0</v>
      </c>
      <c r="L72" s="474">
        <f>_xlfn.XLOOKUP(L$88, 'GEN-SOLAR'!$D$110:$BA$110, 'GEN-SOLAR'!$D$130:$BA$130)</f>
        <v>0</v>
      </c>
      <c r="M72" s="474">
        <f>_xlfn.XLOOKUP(M$88, 'GEN-SOLAR'!$D$110:$BA$110, 'GEN-SOLAR'!$D$130:$BA$130)</f>
        <v>0</v>
      </c>
      <c r="N72" s="474">
        <f>_xlfn.XLOOKUP(N$88, 'GEN-SOLAR'!$D$110:$BA$110, 'GEN-SOLAR'!$D$130:$BA$130)</f>
        <v>0</v>
      </c>
      <c r="O72" s="474">
        <f>_xlfn.XLOOKUP(O$88, 'GEN-SOLAR'!$D$110:$BA$110, 'GEN-SOLAR'!$D$130:$BA$130)</f>
        <v>0</v>
      </c>
      <c r="P72" s="474">
        <f>_xlfn.XLOOKUP(P$88, 'GEN-SOLAR'!$D$110:$BA$110, 'GEN-SOLAR'!$D$130:$BA$130)</f>
        <v>0</v>
      </c>
      <c r="Q72" s="474">
        <f>_xlfn.XLOOKUP(Q$88, 'GEN-SOLAR'!$D$110:$BA$110, 'GEN-SOLAR'!$D$130:$BA$130)</f>
        <v>0</v>
      </c>
      <c r="R72" s="474">
        <f>_xlfn.XLOOKUP(R$88, 'GEN-SOLAR'!$D$110:$BA$110, 'GEN-SOLAR'!$D$130:$BA$130)</f>
        <v>0</v>
      </c>
      <c r="S72" s="474">
        <f>_xlfn.XLOOKUP(S$88, 'GEN-SOLAR'!$D$110:$BA$110, 'GEN-SOLAR'!$D$130:$BA$130)</f>
        <v>0</v>
      </c>
      <c r="T72" s="474">
        <f>_xlfn.XLOOKUP(T$88, 'GEN-SOLAR'!$D$110:$BA$110, 'GEN-SOLAR'!$D$130:$BA$130)</f>
        <v>0</v>
      </c>
      <c r="U72" s="474">
        <f>_xlfn.XLOOKUP(U$88, 'GEN-SOLAR'!$D$110:$BA$110, 'GEN-SOLAR'!$D$130:$BA$130)</f>
        <v>0</v>
      </c>
      <c r="V72" s="474">
        <f>_xlfn.XLOOKUP(V$88, 'GEN-SOLAR'!$D$110:$BA$110, 'GEN-SOLAR'!$D$130:$BA$130)</f>
        <v>0</v>
      </c>
      <c r="W72" s="474">
        <f>_xlfn.XLOOKUP(W$88, 'GEN-SOLAR'!$D$110:$BA$110, 'GEN-SOLAR'!$D$130:$BA$130)</f>
        <v>0</v>
      </c>
      <c r="X72" s="474">
        <f>_xlfn.XLOOKUP(X$88, 'GEN-SOLAR'!$D$110:$BA$110, 'GEN-SOLAR'!$D$130:$BA$130)</f>
        <v>0</v>
      </c>
      <c r="Y72" s="474">
        <f>_xlfn.XLOOKUP(Y$88, 'GEN-SOLAR'!$D$110:$BA$110, 'GEN-SOLAR'!$D$130:$BA$130)</f>
        <v>0</v>
      </c>
      <c r="Z72" s="474">
        <f>_xlfn.XLOOKUP(Z$88, 'GEN-SOLAR'!$D$110:$BA$110, 'GEN-SOLAR'!$D$130:$BA$130)</f>
        <v>0</v>
      </c>
      <c r="AA72" s="474">
        <f>_xlfn.XLOOKUP(AA$88, 'GEN-SOLAR'!$D$110:$BA$110, 'GEN-SOLAR'!$D$130:$BA$130)</f>
        <v>0</v>
      </c>
      <c r="AB72" s="474">
        <f>_xlfn.XLOOKUP(AB$88, 'GEN-SOLAR'!$D$110:$BA$110, 'GEN-SOLAR'!$D$130:$BA$130)</f>
        <v>0</v>
      </c>
      <c r="AC72" s="474">
        <f>_xlfn.XLOOKUP(AC$88, 'GEN-SOLAR'!$D$110:$BA$110, 'GEN-SOLAR'!$D$130:$BA$130)</f>
        <v>0</v>
      </c>
      <c r="AD72" s="474">
        <f>_xlfn.XLOOKUP(AD$88, 'GEN-SOLAR'!$D$110:$BA$110, 'GEN-SOLAR'!$D$130:$BA$130)</f>
        <v>0</v>
      </c>
      <c r="AE72" s="474">
        <f>_xlfn.XLOOKUP(AE$88, 'GEN-SOLAR'!$D$110:$BA$110, 'GEN-SOLAR'!$D$130:$BA$130)</f>
        <v>0</v>
      </c>
      <c r="AF72" s="474">
        <f>_xlfn.XLOOKUP(AF$88, 'GEN-SOLAR'!$D$110:$BA$110, 'GEN-SOLAR'!$D$130:$BA$130)</f>
        <v>0</v>
      </c>
      <c r="AG72" s="474">
        <f>_xlfn.XLOOKUP(AG$88, 'GEN-SOLAR'!$D$110:$BA$110, 'GEN-SOLAR'!$D$130:$BA$130)</f>
        <v>0</v>
      </c>
      <c r="AH72" s="474">
        <f>_xlfn.XLOOKUP(AH$88, 'GEN-SOLAR'!$D$110:$BA$110, 'GEN-SOLAR'!$D$130:$BA$130)</f>
        <v>0</v>
      </c>
      <c r="AI72" s="474">
        <f>_xlfn.XLOOKUP(AI$88, 'GEN-SOLAR'!$D$110:$BA$110, 'GEN-SOLAR'!$D$130:$BA$130)</f>
        <v>0</v>
      </c>
      <c r="AJ72" s="474">
        <f>_xlfn.XLOOKUP(AJ$88, 'GEN-SOLAR'!$D$110:$BA$110, 'GEN-SOLAR'!$D$130:$BA$130)</f>
        <v>0</v>
      </c>
      <c r="AK72" s="474">
        <f>_xlfn.XLOOKUP(AK$88, 'GEN-SOLAR'!$D$110:$BA$110, 'GEN-SOLAR'!$D$130:$BA$130)</f>
        <v>0</v>
      </c>
      <c r="AL72" s="474">
        <f>_xlfn.XLOOKUP(AL$88, 'GEN-SOLAR'!$D$110:$BA$110, 'GEN-SOLAR'!$D$130:$BA$130)</f>
        <v>0</v>
      </c>
      <c r="AM72" s="474">
        <f>_xlfn.XLOOKUP(AM$88, 'GEN-SOLAR'!$D$110:$BA$110, 'GEN-SOLAR'!$D$130:$BA$130)</f>
        <v>0</v>
      </c>
      <c r="AN72" s="474">
        <f>_xlfn.XLOOKUP(AN$88, 'GEN-SOLAR'!$D$110:$BA$110, 'GEN-SOLAR'!$D$130:$BA$130)</f>
        <v>0</v>
      </c>
      <c r="AO72" s="474">
        <f>_xlfn.XLOOKUP(AO$88, 'GEN-SOLAR'!$D$110:$BA$110, 'GEN-SOLAR'!$D$130:$BA$130)</f>
        <v>0</v>
      </c>
      <c r="AP72" s="474">
        <f>_xlfn.XLOOKUP(AP$88, 'GEN-SOLAR'!$D$110:$BA$110, 'GEN-SOLAR'!$D$130:$BA$130)</f>
        <v>0</v>
      </c>
      <c r="AQ72" s="474">
        <f>_xlfn.XLOOKUP(AQ$88, 'GEN-SOLAR'!$D$110:$BA$110, 'GEN-SOLAR'!$D$130:$BA$130)</f>
        <v>0</v>
      </c>
      <c r="AR72" s="474">
        <f>_xlfn.XLOOKUP(AR$88, 'GEN-SOLAR'!$D$110:$BA$110, 'GEN-SOLAR'!$D$130:$BA$130)</f>
        <v>0</v>
      </c>
      <c r="AS72" s="474">
        <f>_xlfn.XLOOKUP(AS$88, 'GEN-SOLAR'!$D$110:$BA$110, 'GEN-SOLAR'!$D$130:$BA$130)</f>
        <v>0</v>
      </c>
      <c r="AT72" s="474">
        <f>_xlfn.XLOOKUP(AT$88, 'GEN-SOLAR'!$D$110:$BA$110, 'GEN-SOLAR'!$D$130:$BA$130)</f>
        <v>0</v>
      </c>
      <c r="AU72" s="474">
        <f>_xlfn.XLOOKUP(AU$88, 'GEN-SOLAR'!$D$110:$BA$110, 'GEN-SOLAR'!$D$130:$BA$130)</f>
        <v>0</v>
      </c>
      <c r="AV72" s="474">
        <f>_xlfn.XLOOKUP(AV$88, 'GEN-SOLAR'!$D$110:$BA$110, 'GEN-SOLAR'!$D$130:$BA$130)</f>
        <v>0</v>
      </c>
      <c r="AW72" s="474">
        <f>_xlfn.XLOOKUP(AW$88, 'GEN-SOLAR'!$D$110:$BA$110, 'GEN-SOLAR'!$D$130:$BA$130)</f>
        <v>0</v>
      </c>
      <c r="AX72" s="474">
        <f>_xlfn.XLOOKUP(AX$88, 'GEN-SOLAR'!$D$110:$BA$110, 'GEN-SOLAR'!$D$130:$BA$130)</f>
        <v>0</v>
      </c>
    </row>
    <row r="73" spans="1:50" ht="14.25" customHeight="1">
      <c r="A73" s="1"/>
      <c r="B73" s="84"/>
      <c r="C73" s="203" t="s">
        <v>372</v>
      </c>
      <c r="D73" s="745"/>
      <c r="E73" s="474">
        <f>_xlfn.XLOOKUP(E$88, 'GEN-BESS'!$D$110:$BA$110, 'GEN-BESS'!$D$134:$BA$134)</f>
        <v>0</v>
      </c>
      <c r="F73" s="474">
        <f>_xlfn.XLOOKUP(F$88, 'GEN-BESS'!$D$110:$BA$110, 'GEN-BESS'!$D$134:$BA$134)</f>
        <v>0</v>
      </c>
      <c r="G73" s="474">
        <f>_xlfn.XLOOKUP(G$88, 'GEN-BESS'!$D$110:$BA$110, 'GEN-BESS'!$D$134:$BA$134)</f>
        <v>0</v>
      </c>
      <c r="H73" s="474">
        <f>_xlfn.XLOOKUP(H$88, 'GEN-BESS'!$D$110:$BA$110, 'GEN-BESS'!$D$134:$BA$134)</f>
        <v>0</v>
      </c>
      <c r="I73" s="474">
        <f>_xlfn.XLOOKUP(I$88, 'GEN-BESS'!$D$110:$BA$110, 'GEN-BESS'!$D$134:$BA$134)</f>
        <v>0</v>
      </c>
      <c r="J73" s="474">
        <f>_xlfn.XLOOKUP(J$88, 'GEN-BESS'!$D$110:$BA$110, 'GEN-BESS'!$D$134:$BA$134)</f>
        <v>0</v>
      </c>
      <c r="K73" s="474">
        <f>_xlfn.XLOOKUP(K$88, 'GEN-BESS'!$D$110:$BA$110, 'GEN-BESS'!$D$134:$BA$134)</f>
        <v>0</v>
      </c>
      <c r="L73" s="474">
        <f>_xlfn.XLOOKUP(L$88, 'GEN-BESS'!$D$110:$BA$110, 'GEN-BESS'!$D$134:$BA$134)</f>
        <v>0</v>
      </c>
      <c r="M73" s="474">
        <f>_xlfn.XLOOKUP(M$88, 'GEN-BESS'!$D$110:$BA$110, 'GEN-BESS'!$D$134:$BA$134)</f>
        <v>0</v>
      </c>
      <c r="N73" s="474">
        <f>_xlfn.XLOOKUP(N$88, 'GEN-BESS'!$D$110:$BA$110, 'GEN-BESS'!$D$134:$BA$134)</f>
        <v>0</v>
      </c>
      <c r="O73" s="474">
        <f>_xlfn.XLOOKUP(O$88, 'GEN-BESS'!$D$110:$BA$110, 'GEN-BESS'!$D$134:$BA$134)</f>
        <v>0</v>
      </c>
      <c r="P73" s="474">
        <f>_xlfn.XLOOKUP(P$88, 'GEN-BESS'!$D$110:$BA$110, 'GEN-BESS'!$D$134:$BA$134)</f>
        <v>0</v>
      </c>
      <c r="Q73" s="474">
        <f>_xlfn.XLOOKUP(Q$88, 'GEN-BESS'!$D$110:$BA$110, 'GEN-BESS'!$D$134:$BA$134)</f>
        <v>0</v>
      </c>
      <c r="R73" s="474">
        <f>_xlfn.XLOOKUP(R$88, 'GEN-BESS'!$D$110:$BA$110, 'GEN-BESS'!$D$134:$BA$134)</f>
        <v>0</v>
      </c>
      <c r="S73" s="474">
        <f>_xlfn.XLOOKUP(S$88, 'GEN-BESS'!$D$110:$BA$110, 'GEN-BESS'!$D$134:$BA$134)</f>
        <v>0</v>
      </c>
      <c r="T73" s="474">
        <f>_xlfn.XLOOKUP(T$88, 'GEN-BESS'!$D$110:$BA$110, 'GEN-BESS'!$D$134:$BA$134)</f>
        <v>0</v>
      </c>
      <c r="U73" s="474">
        <f>_xlfn.XLOOKUP(U$88, 'GEN-BESS'!$D$110:$BA$110, 'GEN-BESS'!$D$134:$BA$134)</f>
        <v>0</v>
      </c>
      <c r="V73" s="474">
        <f>_xlfn.XLOOKUP(V$88, 'GEN-BESS'!$D$110:$BA$110, 'GEN-BESS'!$D$134:$BA$134)</f>
        <v>0</v>
      </c>
      <c r="W73" s="474">
        <f>_xlfn.XLOOKUP(W$88, 'GEN-BESS'!$D$110:$BA$110, 'GEN-BESS'!$D$134:$BA$134)</f>
        <v>0</v>
      </c>
      <c r="X73" s="474">
        <f>_xlfn.XLOOKUP(X$88, 'GEN-BESS'!$D$110:$BA$110, 'GEN-BESS'!$D$134:$BA$134)</f>
        <v>0</v>
      </c>
      <c r="Y73" s="474">
        <f>_xlfn.XLOOKUP(Y$88, 'GEN-BESS'!$D$110:$BA$110, 'GEN-BESS'!$D$134:$BA$134)</f>
        <v>0</v>
      </c>
      <c r="Z73" s="474">
        <f>_xlfn.XLOOKUP(Z$88, 'GEN-BESS'!$D$110:$BA$110, 'GEN-BESS'!$D$134:$BA$134)</f>
        <v>0</v>
      </c>
      <c r="AA73" s="474">
        <f>_xlfn.XLOOKUP(AA$88, 'GEN-BESS'!$D$110:$BA$110, 'GEN-BESS'!$D$134:$BA$134)</f>
        <v>0</v>
      </c>
      <c r="AB73" s="474">
        <f>_xlfn.XLOOKUP(AB$88, 'GEN-BESS'!$D$110:$BA$110, 'GEN-BESS'!$D$134:$BA$134)</f>
        <v>0</v>
      </c>
      <c r="AC73" s="474">
        <f>_xlfn.XLOOKUP(AC$88, 'GEN-BESS'!$D$110:$BA$110, 'GEN-BESS'!$D$134:$BA$134)</f>
        <v>0</v>
      </c>
      <c r="AD73" s="474">
        <f>_xlfn.XLOOKUP(AD$88, 'GEN-BESS'!$D$110:$BA$110, 'GEN-BESS'!$D$134:$BA$134)</f>
        <v>0</v>
      </c>
      <c r="AE73" s="474">
        <f>_xlfn.XLOOKUP(AE$88, 'GEN-BESS'!$D$110:$BA$110, 'GEN-BESS'!$D$134:$BA$134)</f>
        <v>0</v>
      </c>
      <c r="AF73" s="474">
        <f>_xlfn.XLOOKUP(AF$88, 'GEN-BESS'!$D$110:$BA$110, 'GEN-BESS'!$D$134:$BA$134)</f>
        <v>0</v>
      </c>
      <c r="AG73" s="474">
        <f>_xlfn.XLOOKUP(AG$88, 'GEN-BESS'!$D$110:$BA$110, 'GEN-BESS'!$D$134:$BA$134)</f>
        <v>0</v>
      </c>
      <c r="AH73" s="474">
        <f>_xlfn.XLOOKUP(AH$88, 'GEN-BESS'!$D$110:$BA$110, 'GEN-BESS'!$D$134:$BA$134)</f>
        <v>0</v>
      </c>
      <c r="AI73" s="474">
        <f>_xlfn.XLOOKUP(AI$88, 'GEN-BESS'!$D$110:$BA$110, 'GEN-BESS'!$D$134:$BA$134)</f>
        <v>0</v>
      </c>
      <c r="AJ73" s="474">
        <f>_xlfn.XLOOKUP(AJ$88, 'GEN-BESS'!$D$110:$BA$110, 'GEN-BESS'!$D$134:$BA$134)</f>
        <v>0</v>
      </c>
      <c r="AK73" s="474">
        <f>_xlfn.XLOOKUP(AK$88, 'GEN-BESS'!$D$110:$BA$110, 'GEN-BESS'!$D$134:$BA$134)</f>
        <v>0</v>
      </c>
      <c r="AL73" s="474">
        <f>_xlfn.XLOOKUP(AL$88, 'GEN-BESS'!$D$110:$BA$110, 'GEN-BESS'!$D$134:$BA$134)</f>
        <v>0</v>
      </c>
      <c r="AM73" s="474">
        <f>_xlfn.XLOOKUP(AM$88, 'GEN-BESS'!$D$110:$BA$110, 'GEN-BESS'!$D$134:$BA$134)</f>
        <v>0</v>
      </c>
      <c r="AN73" s="474">
        <f>_xlfn.XLOOKUP(AN$88, 'GEN-BESS'!$D$110:$BA$110, 'GEN-BESS'!$D$134:$BA$134)</f>
        <v>0</v>
      </c>
      <c r="AO73" s="474">
        <f>_xlfn.XLOOKUP(AO$88, 'GEN-BESS'!$D$110:$BA$110, 'GEN-BESS'!$D$134:$BA$134)</f>
        <v>0</v>
      </c>
      <c r="AP73" s="474">
        <f>_xlfn.XLOOKUP(AP$88, 'GEN-BESS'!$D$110:$BA$110, 'GEN-BESS'!$D$134:$BA$134)</f>
        <v>0</v>
      </c>
      <c r="AQ73" s="474">
        <f>_xlfn.XLOOKUP(AQ$88, 'GEN-BESS'!$D$110:$BA$110, 'GEN-BESS'!$D$134:$BA$134)</f>
        <v>0</v>
      </c>
      <c r="AR73" s="474">
        <f>_xlfn.XLOOKUP(AR$88, 'GEN-BESS'!$D$110:$BA$110, 'GEN-BESS'!$D$134:$BA$134)</f>
        <v>0</v>
      </c>
      <c r="AS73" s="474">
        <f>_xlfn.XLOOKUP(AS$88, 'GEN-BESS'!$D$110:$BA$110, 'GEN-BESS'!$D$134:$BA$134)</f>
        <v>0</v>
      </c>
      <c r="AT73" s="474">
        <f>_xlfn.XLOOKUP(AT$88, 'GEN-BESS'!$D$110:$BA$110, 'GEN-BESS'!$D$134:$BA$134)</f>
        <v>0</v>
      </c>
      <c r="AU73" s="474">
        <f>_xlfn.XLOOKUP(AU$88, 'GEN-BESS'!$D$110:$BA$110, 'GEN-BESS'!$D$134:$BA$134)</f>
        <v>0</v>
      </c>
      <c r="AV73" s="474">
        <f>_xlfn.XLOOKUP(AV$88, 'GEN-BESS'!$D$110:$BA$110, 'GEN-BESS'!$D$134:$BA$134)</f>
        <v>0</v>
      </c>
      <c r="AW73" s="474">
        <f>_xlfn.XLOOKUP(AW$88, 'GEN-BESS'!$D$110:$BA$110, 'GEN-BESS'!$D$134:$BA$134)</f>
        <v>0</v>
      </c>
      <c r="AX73" s="474">
        <f>_xlfn.XLOOKUP(AX$88, 'GEN-BESS'!$D$110:$BA$110, 'GEN-BESS'!$D$134:$BA$134)</f>
        <v>0</v>
      </c>
    </row>
    <row r="74" spans="1:50" ht="14.25" customHeight="1">
      <c r="A74" s="1"/>
      <c r="B74" s="84"/>
      <c r="C74" s="664" t="s">
        <v>373</v>
      </c>
      <c r="D74" s="745"/>
      <c r="E74" s="474">
        <f>_xlfn.XLOOKUP(E$88, 'GEN-CCGT'!$D$110:$BA$110, 'GEN-CCGT'!$D$131:$BA$131)</f>
        <v>0</v>
      </c>
      <c r="F74" s="474">
        <f>_xlfn.XLOOKUP(F$88, 'GEN-CCGT'!$D$110:$BA$110, 'GEN-CCGT'!$D$131:$BA$131)</f>
        <v>0</v>
      </c>
      <c r="G74" s="474">
        <f>_xlfn.XLOOKUP(G$88, 'GEN-CCGT'!$D$110:$BA$110, 'GEN-CCGT'!$D$131:$BA$131)</f>
        <v>0</v>
      </c>
      <c r="H74" s="474">
        <f>_xlfn.XLOOKUP(H$88, 'GEN-CCGT'!$D$110:$BA$110, 'GEN-CCGT'!$D$131:$BA$131)</f>
        <v>0</v>
      </c>
      <c r="I74" s="474">
        <f>_xlfn.XLOOKUP(I$88, 'GEN-CCGT'!$D$110:$BA$110, 'GEN-CCGT'!$D$131:$BA$131)</f>
        <v>0</v>
      </c>
      <c r="J74" s="474">
        <f>_xlfn.XLOOKUP(J$88, 'GEN-CCGT'!$D$110:$BA$110, 'GEN-CCGT'!$D$131:$BA$131)</f>
        <v>0</v>
      </c>
      <c r="K74" s="474">
        <f>_xlfn.XLOOKUP(K$88, 'GEN-CCGT'!$D$110:$BA$110, 'GEN-CCGT'!$D$131:$BA$131)</f>
        <v>0</v>
      </c>
      <c r="L74" s="474">
        <f>_xlfn.XLOOKUP(L$88, 'GEN-CCGT'!$D$110:$BA$110, 'GEN-CCGT'!$D$131:$BA$131)</f>
        <v>0</v>
      </c>
      <c r="M74" s="474">
        <f>_xlfn.XLOOKUP(M$88, 'GEN-CCGT'!$D$110:$BA$110, 'GEN-CCGT'!$D$131:$BA$131)</f>
        <v>0</v>
      </c>
      <c r="N74" s="474">
        <f>_xlfn.XLOOKUP(N$88, 'GEN-CCGT'!$D$110:$BA$110, 'GEN-CCGT'!$D$131:$BA$131)</f>
        <v>0</v>
      </c>
      <c r="O74" s="474">
        <f>_xlfn.XLOOKUP(O$88, 'GEN-CCGT'!$D$110:$BA$110, 'GEN-CCGT'!$D$131:$BA$131)</f>
        <v>0</v>
      </c>
      <c r="P74" s="474">
        <f>_xlfn.XLOOKUP(P$88, 'GEN-CCGT'!$D$110:$BA$110, 'GEN-CCGT'!$D$131:$BA$131)</f>
        <v>0</v>
      </c>
      <c r="Q74" s="474">
        <f>_xlfn.XLOOKUP(Q$88, 'GEN-CCGT'!$D$110:$BA$110, 'GEN-CCGT'!$D$131:$BA$131)</f>
        <v>0</v>
      </c>
      <c r="R74" s="474">
        <f>_xlfn.XLOOKUP(R$88, 'GEN-CCGT'!$D$110:$BA$110, 'GEN-CCGT'!$D$131:$BA$131)</f>
        <v>0</v>
      </c>
      <c r="S74" s="474">
        <f>_xlfn.XLOOKUP(S$88, 'GEN-CCGT'!$D$110:$BA$110, 'GEN-CCGT'!$D$131:$BA$131)</f>
        <v>0</v>
      </c>
      <c r="T74" s="474">
        <f>_xlfn.XLOOKUP(T$88, 'GEN-CCGT'!$D$110:$BA$110, 'GEN-CCGT'!$D$131:$BA$131)</f>
        <v>0</v>
      </c>
      <c r="U74" s="474">
        <f>_xlfn.XLOOKUP(U$88, 'GEN-CCGT'!$D$110:$BA$110, 'GEN-CCGT'!$D$131:$BA$131)</f>
        <v>0</v>
      </c>
      <c r="V74" s="474">
        <f>_xlfn.XLOOKUP(V$88, 'GEN-CCGT'!$D$110:$BA$110, 'GEN-CCGT'!$D$131:$BA$131)</f>
        <v>0</v>
      </c>
      <c r="W74" s="474">
        <f>_xlfn.XLOOKUP(W$88, 'GEN-CCGT'!$D$110:$BA$110, 'GEN-CCGT'!$D$131:$BA$131)</f>
        <v>0</v>
      </c>
      <c r="X74" s="474">
        <f>_xlfn.XLOOKUP(X$88, 'GEN-CCGT'!$D$110:$BA$110, 'GEN-CCGT'!$D$131:$BA$131)</f>
        <v>0</v>
      </c>
      <c r="Y74" s="474">
        <f>_xlfn.XLOOKUP(Y$88, 'GEN-CCGT'!$D$110:$BA$110, 'GEN-CCGT'!$D$131:$BA$131)</f>
        <v>0</v>
      </c>
      <c r="Z74" s="474">
        <f>_xlfn.XLOOKUP(Z$88, 'GEN-CCGT'!$D$110:$BA$110, 'GEN-CCGT'!$D$131:$BA$131)</f>
        <v>0</v>
      </c>
      <c r="AA74" s="474">
        <f>_xlfn.XLOOKUP(AA$88, 'GEN-CCGT'!$D$110:$BA$110, 'GEN-CCGT'!$D$131:$BA$131)</f>
        <v>0</v>
      </c>
      <c r="AB74" s="474">
        <f>_xlfn.XLOOKUP(AB$88, 'GEN-CCGT'!$D$110:$BA$110, 'GEN-CCGT'!$D$131:$BA$131)</f>
        <v>0</v>
      </c>
      <c r="AC74" s="474">
        <f>_xlfn.XLOOKUP(AC$88, 'GEN-CCGT'!$D$110:$BA$110, 'GEN-CCGT'!$D$131:$BA$131)</f>
        <v>0</v>
      </c>
      <c r="AD74" s="474">
        <f>_xlfn.XLOOKUP(AD$88, 'GEN-CCGT'!$D$110:$BA$110, 'GEN-CCGT'!$D$131:$BA$131)</f>
        <v>0</v>
      </c>
      <c r="AE74" s="474">
        <f>_xlfn.XLOOKUP(AE$88, 'GEN-CCGT'!$D$110:$BA$110, 'GEN-CCGT'!$D$131:$BA$131)</f>
        <v>0</v>
      </c>
      <c r="AF74" s="474">
        <f>_xlfn.XLOOKUP(AF$88, 'GEN-CCGT'!$D$110:$BA$110, 'GEN-CCGT'!$D$131:$BA$131)</f>
        <v>0</v>
      </c>
      <c r="AG74" s="474">
        <f>_xlfn.XLOOKUP(AG$88, 'GEN-CCGT'!$D$110:$BA$110, 'GEN-CCGT'!$D$131:$BA$131)</f>
        <v>0</v>
      </c>
      <c r="AH74" s="474">
        <f>_xlfn.XLOOKUP(AH$88, 'GEN-CCGT'!$D$110:$BA$110, 'GEN-CCGT'!$D$131:$BA$131)</f>
        <v>0</v>
      </c>
      <c r="AI74" s="474">
        <f>_xlfn.XLOOKUP(AI$88, 'GEN-CCGT'!$D$110:$BA$110, 'GEN-CCGT'!$D$131:$BA$131)</f>
        <v>0</v>
      </c>
      <c r="AJ74" s="474">
        <f>_xlfn.XLOOKUP(AJ$88, 'GEN-CCGT'!$D$110:$BA$110, 'GEN-CCGT'!$D$131:$BA$131)</f>
        <v>0</v>
      </c>
      <c r="AK74" s="474">
        <f>_xlfn.XLOOKUP(AK$88, 'GEN-CCGT'!$D$110:$BA$110, 'GEN-CCGT'!$D$131:$BA$131)</f>
        <v>0</v>
      </c>
      <c r="AL74" s="474">
        <f>_xlfn.XLOOKUP(AL$88, 'GEN-CCGT'!$D$110:$BA$110, 'GEN-CCGT'!$D$131:$BA$131)</f>
        <v>0</v>
      </c>
      <c r="AM74" s="474">
        <f>_xlfn.XLOOKUP(AM$88, 'GEN-CCGT'!$D$110:$BA$110, 'GEN-CCGT'!$D$131:$BA$131)</f>
        <v>0</v>
      </c>
      <c r="AN74" s="474">
        <f>_xlfn.XLOOKUP(AN$88, 'GEN-CCGT'!$D$110:$BA$110, 'GEN-CCGT'!$D$131:$BA$131)</f>
        <v>0</v>
      </c>
      <c r="AO74" s="474">
        <f>_xlfn.XLOOKUP(AO$88, 'GEN-CCGT'!$D$110:$BA$110, 'GEN-CCGT'!$D$131:$BA$131)</f>
        <v>0</v>
      </c>
      <c r="AP74" s="474">
        <f>_xlfn.XLOOKUP(AP$88, 'GEN-CCGT'!$D$110:$BA$110, 'GEN-CCGT'!$D$131:$BA$131)</f>
        <v>0</v>
      </c>
      <c r="AQ74" s="474">
        <f>_xlfn.XLOOKUP(AQ$88, 'GEN-CCGT'!$D$110:$BA$110, 'GEN-CCGT'!$D$131:$BA$131)</f>
        <v>0</v>
      </c>
      <c r="AR74" s="474">
        <f>_xlfn.XLOOKUP(AR$88, 'GEN-CCGT'!$D$110:$BA$110, 'GEN-CCGT'!$D$131:$BA$131)</f>
        <v>0</v>
      </c>
      <c r="AS74" s="474">
        <f>_xlfn.XLOOKUP(AS$88, 'GEN-CCGT'!$D$110:$BA$110, 'GEN-CCGT'!$D$131:$BA$131)</f>
        <v>0</v>
      </c>
      <c r="AT74" s="474">
        <f>_xlfn.XLOOKUP(AT$88, 'GEN-CCGT'!$D$110:$BA$110, 'GEN-CCGT'!$D$131:$BA$131)</f>
        <v>0</v>
      </c>
      <c r="AU74" s="474">
        <f>_xlfn.XLOOKUP(AU$88, 'GEN-CCGT'!$D$110:$BA$110, 'GEN-CCGT'!$D$131:$BA$131)</f>
        <v>0</v>
      </c>
      <c r="AV74" s="474">
        <f>_xlfn.XLOOKUP(AV$88, 'GEN-CCGT'!$D$110:$BA$110, 'GEN-CCGT'!$D$131:$BA$131)</f>
        <v>0</v>
      </c>
      <c r="AW74" s="474">
        <f>_xlfn.XLOOKUP(AW$88, 'GEN-CCGT'!$D$110:$BA$110, 'GEN-CCGT'!$D$131:$BA$131)</f>
        <v>0</v>
      </c>
      <c r="AX74" s="474">
        <f>_xlfn.XLOOKUP(AX$88, 'GEN-CCGT'!$D$110:$BA$110, 'GEN-CCGT'!$D$131:$BA$131)</f>
        <v>0</v>
      </c>
    </row>
    <row r="75" spans="1:50" ht="14.25" customHeight="1">
      <c r="A75" s="1"/>
      <c r="B75" s="84"/>
      <c r="C75" s="664" t="s">
        <v>374</v>
      </c>
      <c r="D75" s="745"/>
      <c r="E75" s="469">
        <f>_xlfn.XLOOKUP(E$88, 'GEN-CARBON'!$D$110:$BA$110, 'GEN-CARBON'!$D$131:$BA$131)</f>
        <v>0</v>
      </c>
      <c r="F75" s="469">
        <f>_xlfn.XLOOKUP(F$88, 'GEN-CARBON'!$D$110:$BA$110, 'GEN-CARBON'!$D$131:$BA$131)</f>
        <v>0</v>
      </c>
      <c r="G75" s="469">
        <f>_xlfn.XLOOKUP(G$88, 'GEN-CARBON'!$D$110:$BA$110, 'GEN-CARBON'!$D$131:$BA$131)</f>
        <v>0</v>
      </c>
      <c r="H75" s="469">
        <f>_xlfn.XLOOKUP(H$88, 'GEN-CARBON'!$D$110:$BA$110, 'GEN-CARBON'!$D$131:$BA$131)</f>
        <v>0</v>
      </c>
      <c r="I75" s="469">
        <f>_xlfn.XLOOKUP(I$88, 'GEN-CARBON'!$D$110:$BA$110, 'GEN-CARBON'!$D$131:$BA$131)</f>
        <v>0</v>
      </c>
      <c r="J75" s="469">
        <f>_xlfn.XLOOKUP(J$88, 'GEN-CARBON'!$D$110:$BA$110, 'GEN-CARBON'!$D$131:$BA$131)</f>
        <v>0</v>
      </c>
      <c r="K75" s="469">
        <f>_xlfn.XLOOKUP(K$88, 'GEN-CARBON'!$D$110:$BA$110, 'GEN-CARBON'!$D$131:$BA$131)</f>
        <v>0</v>
      </c>
      <c r="L75" s="469">
        <f>_xlfn.XLOOKUP(L$88, 'GEN-CARBON'!$D$110:$BA$110, 'GEN-CARBON'!$D$131:$BA$131)</f>
        <v>0</v>
      </c>
      <c r="M75" s="469">
        <f>_xlfn.XLOOKUP(M$88, 'GEN-CARBON'!$D$110:$BA$110, 'GEN-CARBON'!$D$131:$BA$131)</f>
        <v>0</v>
      </c>
      <c r="N75" s="469">
        <f>_xlfn.XLOOKUP(N$88, 'GEN-CARBON'!$D$110:$BA$110, 'GEN-CARBON'!$D$131:$BA$131)</f>
        <v>0</v>
      </c>
      <c r="O75" s="469">
        <f>_xlfn.XLOOKUP(O$88, 'GEN-CARBON'!$D$110:$BA$110, 'GEN-CARBON'!$D$131:$BA$131)</f>
        <v>0</v>
      </c>
      <c r="P75" s="469">
        <f>_xlfn.XLOOKUP(P$88, 'GEN-CARBON'!$D$110:$BA$110, 'GEN-CARBON'!$D$131:$BA$131)</f>
        <v>0</v>
      </c>
      <c r="Q75" s="469">
        <f>_xlfn.XLOOKUP(Q$88, 'GEN-CARBON'!$D$110:$BA$110, 'GEN-CARBON'!$D$131:$BA$131)</f>
        <v>0</v>
      </c>
      <c r="R75" s="469">
        <f>_xlfn.XLOOKUP(R$88, 'GEN-CARBON'!$D$110:$BA$110, 'GEN-CARBON'!$D$131:$BA$131)</f>
        <v>0</v>
      </c>
      <c r="S75" s="469">
        <f>_xlfn.XLOOKUP(S$88, 'GEN-CARBON'!$D$110:$BA$110, 'GEN-CARBON'!$D$131:$BA$131)</f>
        <v>0</v>
      </c>
      <c r="T75" s="469">
        <f>_xlfn.XLOOKUP(T$88, 'GEN-CARBON'!$D$110:$BA$110, 'GEN-CARBON'!$D$131:$BA$131)</f>
        <v>0</v>
      </c>
      <c r="U75" s="469">
        <f>_xlfn.XLOOKUP(U$88, 'GEN-CARBON'!$D$110:$BA$110, 'GEN-CARBON'!$D$131:$BA$131)</f>
        <v>0</v>
      </c>
      <c r="V75" s="469">
        <f>_xlfn.XLOOKUP(V$88, 'GEN-CARBON'!$D$110:$BA$110, 'GEN-CARBON'!$D$131:$BA$131)</f>
        <v>0</v>
      </c>
      <c r="W75" s="469">
        <f>_xlfn.XLOOKUP(W$88, 'GEN-CARBON'!$D$110:$BA$110, 'GEN-CARBON'!$D$131:$BA$131)</f>
        <v>0</v>
      </c>
      <c r="X75" s="469">
        <f>_xlfn.XLOOKUP(X$88, 'GEN-CARBON'!$D$110:$BA$110, 'GEN-CARBON'!$D$131:$BA$131)</f>
        <v>0</v>
      </c>
      <c r="Y75" s="469">
        <f>_xlfn.XLOOKUP(Y$88, 'GEN-CARBON'!$D$110:$BA$110, 'GEN-CARBON'!$D$131:$BA$131)</f>
        <v>0</v>
      </c>
      <c r="Z75" s="469">
        <f>_xlfn.XLOOKUP(Z$88, 'GEN-CARBON'!$D$110:$BA$110, 'GEN-CARBON'!$D$131:$BA$131)</f>
        <v>0</v>
      </c>
      <c r="AA75" s="469">
        <f>_xlfn.XLOOKUP(AA$88, 'GEN-CARBON'!$D$110:$BA$110, 'GEN-CARBON'!$D$131:$BA$131)</f>
        <v>0</v>
      </c>
      <c r="AB75" s="469">
        <f>_xlfn.XLOOKUP(AB$88, 'GEN-CARBON'!$D$110:$BA$110, 'GEN-CARBON'!$D$131:$BA$131)</f>
        <v>0</v>
      </c>
      <c r="AC75" s="469">
        <f>_xlfn.XLOOKUP(AC$88, 'GEN-CARBON'!$D$110:$BA$110, 'GEN-CARBON'!$D$131:$BA$131)</f>
        <v>0</v>
      </c>
      <c r="AD75" s="469">
        <f>_xlfn.XLOOKUP(AD$88, 'GEN-CARBON'!$D$110:$BA$110, 'GEN-CARBON'!$D$131:$BA$131)</f>
        <v>0</v>
      </c>
      <c r="AE75" s="469">
        <f>_xlfn.XLOOKUP(AE$88, 'GEN-CARBON'!$D$110:$BA$110, 'GEN-CARBON'!$D$131:$BA$131)</f>
        <v>0</v>
      </c>
      <c r="AF75" s="469">
        <f>_xlfn.XLOOKUP(AF$88, 'GEN-CARBON'!$D$110:$BA$110, 'GEN-CARBON'!$D$131:$BA$131)</f>
        <v>0</v>
      </c>
      <c r="AG75" s="469">
        <f>_xlfn.XLOOKUP(AG$88, 'GEN-CARBON'!$D$110:$BA$110, 'GEN-CARBON'!$D$131:$BA$131)</f>
        <v>0</v>
      </c>
      <c r="AH75" s="469">
        <f>_xlfn.XLOOKUP(AH$88, 'GEN-CARBON'!$D$110:$BA$110, 'GEN-CARBON'!$D$131:$BA$131)</f>
        <v>0</v>
      </c>
      <c r="AI75" s="469">
        <f>_xlfn.XLOOKUP(AI$88, 'GEN-CARBON'!$D$110:$BA$110, 'GEN-CARBON'!$D$131:$BA$131)</f>
        <v>0</v>
      </c>
      <c r="AJ75" s="469">
        <f>_xlfn.XLOOKUP(AJ$88, 'GEN-CARBON'!$D$110:$BA$110, 'GEN-CARBON'!$D$131:$BA$131)</f>
        <v>0</v>
      </c>
      <c r="AK75" s="469">
        <f>_xlfn.XLOOKUP(AK$88, 'GEN-CARBON'!$D$110:$BA$110, 'GEN-CARBON'!$D$131:$BA$131)</f>
        <v>0</v>
      </c>
      <c r="AL75" s="469">
        <f>_xlfn.XLOOKUP(AL$88, 'GEN-CARBON'!$D$110:$BA$110, 'GEN-CARBON'!$D$131:$BA$131)</f>
        <v>0</v>
      </c>
      <c r="AM75" s="469">
        <f>_xlfn.XLOOKUP(AM$88, 'GEN-CARBON'!$D$110:$BA$110, 'GEN-CARBON'!$D$131:$BA$131)</f>
        <v>0</v>
      </c>
      <c r="AN75" s="469">
        <f>_xlfn.XLOOKUP(AN$88, 'GEN-CARBON'!$D$110:$BA$110, 'GEN-CARBON'!$D$131:$BA$131)</f>
        <v>0</v>
      </c>
      <c r="AO75" s="469">
        <f>_xlfn.XLOOKUP(AO$88, 'GEN-CARBON'!$D$110:$BA$110, 'GEN-CARBON'!$D$131:$BA$131)</f>
        <v>0</v>
      </c>
      <c r="AP75" s="469">
        <f>_xlfn.XLOOKUP(AP$88, 'GEN-CARBON'!$D$110:$BA$110, 'GEN-CARBON'!$D$131:$BA$131)</f>
        <v>0</v>
      </c>
      <c r="AQ75" s="469">
        <f>_xlfn.XLOOKUP(AQ$88, 'GEN-CARBON'!$D$110:$BA$110, 'GEN-CARBON'!$D$131:$BA$131)</f>
        <v>0</v>
      </c>
      <c r="AR75" s="469">
        <f>_xlfn.XLOOKUP(AR$88, 'GEN-CARBON'!$D$110:$BA$110, 'GEN-CARBON'!$D$131:$BA$131)</f>
        <v>0</v>
      </c>
      <c r="AS75" s="469">
        <f>_xlfn.XLOOKUP(AS$88, 'GEN-CARBON'!$D$110:$BA$110, 'GEN-CARBON'!$D$131:$BA$131)</f>
        <v>0</v>
      </c>
      <c r="AT75" s="469">
        <f>_xlfn.XLOOKUP(AT$88, 'GEN-CARBON'!$D$110:$BA$110, 'GEN-CARBON'!$D$131:$BA$131)</f>
        <v>0</v>
      </c>
      <c r="AU75" s="469">
        <f>_xlfn.XLOOKUP(AU$88, 'GEN-CARBON'!$D$110:$BA$110, 'GEN-CARBON'!$D$131:$BA$131)</f>
        <v>0</v>
      </c>
      <c r="AV75" s="469">
        <f>_xlfn.XLOOKUP(AV$88, 'GEN-CARBON'!$D$110:$BA$110, 'GEN-CARBON'!$D$131:$BA$131)</f>
        <v>0</v>
      </c>
      <c r="AW75" s="469">
        <f>_xlfn.XLOOKUP(AW$88, 'GEN-CARBON'!$D$110:$BA$110, 'GEN-CARBON'!$D$131:$BA$131)</f>
        <v>0</v>
      </c>
      <c r="AX75" s="469">
        <f>_xlfn.XLOOKUP(AX$88, 'GEN-CARBON'!$D$110:$BA$110, 'GEN-CARBON'!$D$131:$BA$131)</f>
        <v>0</v>
      </c>
    </row>
    <row r="76" spans="1:50" ht="14.25" customHeight="1">
      <c r="A76" s="1"/>
      <c r="B76" s="84"/>
      <c r="C76" s="664"/>
      <c r="D76" s="745"/>
      <c r="E76" s="469"/>
      <c r="F76" s="469"/>
      <c r="G76" s="469"/>
      <c r="H76" s="469"/>
      <c r="I76" s="469"/>
      <c r="J76" s="469"/>
      <c r="K76" s="469"/>
      <c r="L76" s="469"/>
      <c r="M76" s="469"/>
      <c r="N76" s="469"/>
      <c r="O76" s="469"/>
      <c r="P76" s="469"/>
      <c r="Q76" s="469"/>
      <c r="R76" s="469"/>
      <c r="S76" s="469"/>
      <c r="T76" s="469"/>
      <c r="U76" s="469"/>
      <c r="V76" s="469"/>
      <c r="W76" s="469"/>
      <c r="X76" s="469"/>
      <c r="Y76" s="469"/>
      <c r="Z76" s="469"/>
      <c r="AA76" s="469"/>
      <c r="AB76" s="469"/>
      <c r="AC76" s="469"/>
      <c r="AD76" s="469"/>
      <c r="AE76" s="469"/>
      <c r="AF76" s="469"/>
      <c r="AG76" s="469"/>
      <c r="AH76" s="469"/>
      <c r="AI76" s="469"/>
      <c r="AJ76" s="469"/>
      <c r="AK76" s="469"/>
      <c r="AL76" s="469"/>
      <c r="AM76" s="469"/>
      <c r="AN76" s="469"/>
      <c r="AO76" s="469"/>
      <c r="AP76" s="469"/>
      <c r="AQ76" s="469"/>
      <c r="AR76" s="469"/>
      <c r="AS76" s="469"/>
      <c r="AT76" s="469"/>
      <c r="AU76" s="469"/>
      <c r="AV76" s="469"/>
      <c r="AW76" s="469"/>
      <c r="AX76" s="469"/>
    </row>
    <row r="77" spans="1:50" ht="14.25" customHeight="1">
      <c r="A77" s="1"/>
      <c r="B77" s="84"/>
      <c r="C77" s="227" t="s">
        <v>377</v>
      </c>
      <c r="D77" s="244"/>
      <c r="E77" s="228">
        <f>SUM(E60:E63)+SUM(E66:E69)+SUM(E72:E75)</f>
        <v>0</v>
      </c>
      <c r="F77" s="228">
        <f t="shared" ref="F77:AX77" si="137">SUM(F60:F63)+SUM(F66:F69)+SUM(F72:F75)</f>
        <v>7.266905416965356</v>
      </c>
      <c r="G77" s="228">
        <f t="shared" si="137"/>
        <v>15.692463420497774</v>
      </c>
      <c r="H77" s="228">
        <f t="shared" si="137"/>
        <v>32.728838545964024</v>
      </c>
      <c r="I77" s="228">
        <f t="shared" si="137"/>
        <v>73.181093018849623</v>
      </c>
      <c r="J77" s="228">
        <f t="shared" si="137"/>
        <v>81.132192026263354</v>
      </c>
      <c r="K77" s="228">
        <f t="shared" si="137"/>
        <v>82.935692441880462</v>
      </c>
      <c r="L77" s="228">
        <f t="shared" si="137"/>
        <v>84.764680598790207</v>
      </c>
      <c r="M77" s="228">
        <f t="shared" si="137"/>
        <v>86.619484785230824</v>
      </c>
      <c r="N77" s="228">
        <f t="shared" si="137"/>
        <v>88.50043558984396</v>
      </c>
      <c r="O77" s="228">
        <f t="shared" si="137"/>
        <v>90.407865841145451</v>
      </c>
      <c r="P77" s="228">
        <f t="shared" si="137"/>
        <v>92.342110542932119</v>
      </c>
      <c r="Q77" s="228">
        <f t="shared" si="137"/>
        <v>94.303506805463968</v>
      </c>
      <c r="R77" s="228">
        <f t="shared" si="137"/>
        <v>96.292393772253959</v>
      </c>
      <c r="S77" s="228">
        <f t="shared" si="137"/>
        <v>98.309112542294457</v>
      </c>
      <c r="T77" s="228">
        <f t="shared" si="137"/>
        <v>100.3540060875404</v>
      </c>
      <c r="U77" s="228">
        <f t="shared" si="137"/>
        <v>102.42741916546655</v>
      </c>
      <c r="V77" s="228">
        <f t="shared" si="137"/>
        <v>104.52969822650606</v>
      </c>
      <c r="W77" s="228">
        <f t="shared" si="137"/>
        <v>106.66119131617533</v>
      </c>
      <c r="X77" s="228">
        <f t="shared" si="137"/>
        <v>108.8222479716801</v>
      </c>
      <c r="Y77" s="228">
        <f t="shared" si="137"/>
        <v>111.01321911279199</v>
      </c>
      <c r="Z77" s="228">
        <f t="shared" si="137"/>
        <v>113.23445692677845</v>
      </c>
      <c r="AA77" s="228">
        <f t="shared" si="137"/>
        <v>115.48631474716032</v>
      </c>
      <c r="AB77" s="228">
        <f t="shared" si="137"/>
        <v>117.76914692606412</v>
      </c>
      <c r="AC77" s="228">
        <f t="shared" si="137"/>
        <v>120.08330869992949</v>
      </c>
      <c r="AD77" s="228">
        <f t="shared" si="137"/>
        <v>122.42915604832149</v>
      </c>
      <c r="AE77" s="228">
        <f t="shared" si="137"/>
        <v>124.80704554559225</v>
      </c>
      <c r="AF77" s="228">
        <f t="shared" si="137"/>
        <v>106.36100232125719</v>
      </c>
      <c r="AG77" s="228">
        <f t="shared" si="137"/>
        <v>108.57488232196179</v>
      </c>
      <c r="AH77" s="228">
        <f t="shared" si="137"/>
        <v>59.12972885973646</v>
      </c>
      <c r="AI77" s="228">
        <f t="shared" si="137"/>
        <v>-2.3219929889830952E-6</v>
      </c>
      <c r="AJ77" s="228">
        <f t="shared" si="137"/>
        <v>-2.3916527786525884E-6</v>
      </c>
      <c r="AK77" s="228">
        <f t="shared" si="137"/>
        <v>-2.4634023620121658E-6</v>
      </c>
      <c r="AL77" s="228">
        <f t="shared" si="137"/>
        <v>-2.537304432872531E-6</v>
      </c>
      <c r="AM77" s="228">
        <f t="shared" si="137"/>
        <v>-2.6134235658587073E-6</v>
      </c>
      <c r="AN77" s="228">
        <f t="shared" si="137"/>
        <v>-2.6918262728344683E-6</v>
      </c>
      <c r="AO77" s="228">
        <f t="shared" si="137"/>
        <v>-2.7725810610195027E-6</v>
      </c>
      <c r="AP77" s="228">
        <f t="shared" si="137"/>
        <v>-2.8557584928500874E-6</v>
      </c>
      <c r="AQ77" s="228">
        <f t="shared" si="137"/>
        <v>-2.9414312476355905E-6</v>
      </c>
      <c r="AR77" s="228">
        <f t="shared" si="137"/>
        <v>-3.0296741850646581E-6</v>
      </c>
      <c r="AS77" s="228">
        <f t="shared" si="137"/>
        <v>-3.1205644106165973E-6</v>
      </c>
      <c r="AT77" s="228">
        <f t="shared" si="137"/>
        <v>-3.2141813429350959E-6</v>
      </c>
      <c r="AU77" s="228">
        <f t="shared" si="137"/>
        <v>-3.310606783223149E-6</v>
      </c>
      <c r="AV77" s="228">
        <f t="shared" si="137"/>
        <v>-3.4099249867198433E-6</v>
      </c>
      <c r="AW77" s="228">
        <f t="shared" si="137"/>
        <v>-3.5122227363214387E-6</v>
      </c>
      <c r="AX77" s="228">
        <f t="shared" si="137"/>
        <v>-3.6175894184110823E-6</v>
      </c>
    </row>
    <row r="78" spans="1:50" ht="14.25" customHeight="1">
      <c r="A78" s="2"/>
      <c r="B78" s="83"/>
      <c r="C78" s="98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</row>
    <row r="79" spans="1:50" ht="14.25" customHeight="1">
      <c r="A79" s="2"/>
      <c r="B79" s="83"/>
      <c r="C79" s="98" t="s">
        <v>378</v>
      </c>
      <c r="D79" s="84"/>
      <c r="E79" s="289">
        <f>SUM(E32:E35, E51, E60:E63)</f>
        <v>8743.0191780821915</v>
      </c>
      <c r="F79" s="289">
        <f t="shared" ref="F79:AX79" si="138">SUM(F32:F35, F51, F60:F63)</f>
        <v>10992.717824754078</v>
      </c>
      <c r="G79" s="289">
        <f t="shared" si="138"/>
        <v>11332.437067866746</v>
      </c>
      <c r="H79" s="289">
        <f t="shared" si="138"/>
        <v>11591.612884796474</v>
      </c>
      <c r="I79" s="289">
        <f t="shared" si="138"/>
        <v>11902.543779656318</v>
      </c>
      <c r="J79" s="289">
        <f t="shared" si="138"/>
        <v>12152.909470027706</v>
      </c>
      <c r="K79" s="289">
        <f t="shared" si="138"/>
        <v>12394.933219109129</v>
      </c>
      <c r="L79" s="289">
        <f t="shared" si="138"/>
        <v>12641.815270710043</v>
      </c>
      <c r="M79" s="289">
        <f t="shared" si="138"/>
        <v>12893.653365780972</v>
      </c>
      <c r="N79" s="289">
        <f t="shared" si="138"/>
        <v>13150.547218814905</v>
      </c>
      <c r="O79" s="289">
        <f t="shared" si="138"/>
        <v>13412.598557901487</v>
      </c>
      <c r="P79" s="289">
        <f t="shared" si="138"/>
        <v>13679.911165600101</v>
      </c>
      <c r="Q79" s="289">
        <f t="shared" si="138"/>
        <v>13952.590920648849</v>
      </c>
      <c r="R79" s="289">
        <f t="shared" si="138"/>
        <v>14230.745840526633</v>
      </c>
      <c r="S79" s="289">
        <f t="shared" si="138"/>
        <v>14514.486124886054</v>
      </c>
      <c r="T79" s="289">
        <f t="shared" si="138"/>
        <v>14803.92419987504</v>
      </c>
      <c r="U79" s="289">
        <f t="shared" si="138"/>
        <v>15099.174763365689</v>
      </c>
      <c r="V79" s="289">
        <f t="shared" si="138"/>
        <v>15400.354831109013</v>
      </c>
      <c r="W79" s="289">
        <f t="shared" si="138"/>
        <v>15707.583783834803</v>
      </c>
      <c r="X79" s="289">
        <f t="shared" si="138"/>
        <v>16020.983415316177</v>
      </c>
      <c r="Y79" s="289">
        <f t="shared" si="138"/>
        <v>16340.677981418774</v>
      </c>
      <c r="Z79" s="289">
        <f t="shared" si="138"/>
        <v>16666.794250154962</v>
      </c>
      <c r="AA79" s="289">
        <f t="shared" si="138"/>
        <v>16999.461552764024</v>
      </c>
      <c r="AB79" s="289">
        <f t="shared" si="138"/>
        <v>17338.811835839402</v>
      </c>
      <c r="AC79" s="289">
        <f t="shared" si="138"/>
        <v>17684.979714524867</v>
      </c>
      <c r="AD79" s="289">
        <f t="shared" si="138"/>
        <v>18038.102526801707</v>
      </c>
      <c r="AE79" s="289">
        <f t="shared" si="138"/>
        <v>18398.320388889646</v>
      </c>
      <c r="AF79" s="289">
        <f t="shared" si="138"/>
        <v>18021.483340806419</v>
      </c>
      <c r="AG79" s="289">
        <f t="shared" si="138"/>
        <v>18380.998563008139</v>
      </c>
      <c r="AH79" s="289">
        <f t="shared" si="138"/>
        <v>18673.090690320634</v>
      </c>
      <c r="AI79" s="289">
        <f t="shared" si="138"/>
        <v>18940.986261038222</v>
      </c>
      <c r="AJ79" s="289">
        <f t="shared" si="138"/>
        <v>19319.805986258983</v>
      </c>
      <c r="AK79" s="289">
        <f t="shared" si="138"/>
        <v>19706.202105984168</v>
      </c>
      <c r="AL79" s="289">
        <f t="shared" si="138"/>
        <v>20100.326148103853</v>
      </c>
      <c r="AM79" s="289">
        <f t="shared" si="138"/>
        <v>20502.332671065928</v>
      </c>
      <c r="AN79" s="289">
        <f t="shared" si="138"/>
        <v>20912.379324487243</v>
      </c>
      <c r="AO79" s="289">
        <f t="shared" si="138"/>
        <v>21330.626910976989</v>
      </c>
      <c r="AP79" s="289">
        <f t="shared" si="138"/>
        <v>21757.239449196531</v>
      </c>
      <c r="AQ79" s="289">
        <f t="shared" si="138"/>
        <v>22192.384238180464</v>
      </c>
      <c r="AR79" s="289">
        <f t="shared" si="138"/>
        <v>22636.231922944065</v>
      </c>
      <c r="AS79" s="289">
        <f t="shared" si="138"/>
        <v>23088.956561402953</v>
      </c>
      <c r="AT79" s="289">
        <f t="shared" si="138"/>
        <v>23550.735692631009</v>
      </c>
      <c r="AU79" s="289">
        <f t="shared" si="138"/>
        <v>24021.750406483632</v>
      </c>
      <c r="AV79" s="289">
        <f t="shared" si="138"/>
        <v>24502.185414613301</v>
      </c>
      <c r="AW79" s="289">
        <f t="shared" si="138"/>
        <v>24992.229122905574</v>
      </c>
      <c r="AX79" s="289" t="e">
        <f t="shared" si="138"/>
        <v>#N/A</v>
      </c>
    </row>
    <row r="80" spans="1:50" ht="14.25" customHeight="1">
      <c r="A80" s="2"/>
      <c r="B80" s="83"/>
      <c r="C80" s="98" t="s">
        <v>379</v>
      </c>
      <c r="D80" s="84"/>
      <c r="E80" s="289">
        <f>SUM(E66:E69, E38:E41)</f>
        <v>119.67189041095891</v>
      </c>
      <c r="F80" s="289">
        <f t="shared" ref="F80:AX80" si="139">SUM(F66:F69, F38:F41)</f>
        <v>74.354404061727621</v>
      </c>
      <c r="G80" s="289">
        <f t="shared" si="139"/>
        <v>61.585476105681572</v>
      </c>
      <c r="H80" s="289">
        <f t="shared" si="139"/>
        <v>50.200262571043005</v>
      </c>
      <c r="I80" s="289">
        <f t="shared" si="139"/>
        <v>33.827750552928109</v>
      </c>
      <c r="J80" s="289">
        <f t="shared" si="139"/>
        <v>34.788816882685452</v>
      </c>
      <c r="K80" s="289">
        <f t="shared" si="139"/>
        <v>38.3167591264612</v>
      </c>
      <c r="L80" s="289">
        <f t="shared" si="139"/>
        <v>41.952005696495391</v>
      </c>
      <c r="M80" s="289">
        <f t="shared" si="139"/>
        <v>45.69785885497145</v>
      </c>
      <c r="N80" s="289">
        <f t="shared" si="139"/>
        <v>49.5577214618597</v>
      </c>
      <c r="O80" s="289">
        <f t="shared" si="139"/>
        <v>53.535100023810102</v>
      </c>
      <c r="P80" s="289">
        <f t="shared" si="139"/>
        <v>57.633607835130348</v>
      </c>
      <c r="Q80" s="289">
        <f t="shared" si="139"/>
        <v>61.856968213625088</v>
      </c>
      <c r="R80" s="289">
        <f t="shared" si="139"/>
        <v>66.209017834153087</v>
      </c>
      <c r="S80" s="289">
        <f t="shared" si="139"/>
        <v>70.693710162848816</v>
      </c>
      <c r="T80" s="289">
        <f t="shared" si="139"/>
        <v>75.315118995039512</v>
      </c>
      <c r="U80" s="289">
        <f t="shared" si="139"/>
        <v>80.077442099983969</v>
      </c>
      <c r="V80" s="289">
        <f t="shared" si="139"/>
        <v>84.985004975649105</v>
      </c>
      <c r="W80" s="289">
        <f t="shared" si="139"/>
        <v>90.042264716842027</v>
      </c>
      <c r="X80" s="289">
        <f t="shared" si="139"/>
        <v>95.253814000109841</v>
      </c>
      <c r="Y80" s="289">
        <f t="shared" si="139"/>
        <v>100.62438518892709</v>
      </c>
      <c r="Z80" s="289">
        <f t="shared" si="139"/>
        <v>106.15885456279253</v>
      </c>
      <c r="AA80" s="289">
        <f t="shared" si="139"/>
        <v>111.86224667396795</v>
      </c>
      <c r="AB80" s="289">
        <f t="shared" si="139"/>
        <v>117.7397388357052</v>
      </c>
      <c r="AC80" s="289">
        <f t="shared" si="139"/>
        <v>123.79666574591946</v>
      </c>
      <c r="AD80" s="289">
        <f t="shared" si="139"/>
        <v>130.03852425038966</v>
      </c>
      <c r="AE80" s="289">
        <f t="shared" si="139"/>
        <v>136.4709782496879</v>
      </c>
      <c r="AF80" s="289">
        <f t="shared" si="139"/>
        <v>222.70863777564688</v>
      </c>
      <c r="AG80" s="289">
        <f t="shared" si="139"/>
        <v>230.2936322262762</v>
      </c>
      <c r="AH80" s="289">
        <f t="shared" si="139"/>
        <v>261.02148394611351</v>
      </c>
      <c r="AI80" s="289">
        <f t="shared" si="139"/>
        <v>290.47508612884923</v>
      </c>
      <c r="AJ80" s="289">
        <f t="shared" si="139"/>
        <v>299.18933871271463</v>
      </c>
      <c r="AK80" s="289">
        <f t="shared" si="139"/>
        <v>308.16501887409612</v>
      </c>
      <c r="AL80" s="289">
        <f t="shared" si="139"/>
        <v>317.40996944031895</v>
      </c>
      <c r="AM80" s="289">
        <f t="shared" si="139"/>
        <v>326.93226852352853</v>
      </c>
      <c r="AN80" s="289">
        <f t="shared" si="139"/>
        <v>336.74023657923442</v>
      </c>
      <c r="AO80" s="289">
        <f t="shared" si="139"/>
        <v>346.84244367661137</v>
      </c>
      <c r="AP80" s="289">
        <f t="shared" si="139"/>
        <v>357.24771698690972</v>
      </c>
      <c r="AQ80" s="289">
        <f t="shared" si="139"/>
        <v>367.96514849651709</v>
      </c>
      <c r="AR80" s="289">
        <f t="shared" si="139"/>
        <v>379.00410295141251</v>
      </c>
      <c r="AS80" s="289">
        <f t="shared" si="139"/>
        <v>390.37422603995486</v>
      </c>
      <c r="AT80" s="289">
        <f t="shared" si="139"/>
        <v>402.08545282115358</v>
      </c>
      <c r="AU80" s="289">
        <f t="shared" si="139"/>
        <v>414.14801640578827</v>
      </c>
      <c r="AV80" s="289">
        <f t="shared" si="139"/>
        <v>426.57245689796179</v>
      </c>
      <c r="AW80" s="289">
        <f t="shared" si="139"/>
        <v>439.36963060490058</v>
      </c>
      <c r="AX80" s="289" t="e">
        <f t="shared" si="139"/>
        <v>#N/A</v>
      </c>
    </row>
    <row r="81" spans="1:50" ht="14.25" customHeight="1">
      <c r="A81" s="2"/>
      <c r="B81" s="83"/>
      <c r="C81" s="98" t="s">
        <v>380</v>
      </c>
      <c r="D81" s="84"/>
      <c r="E81" s="289">
        <f>SUM(E72:E75, E55, E44:E47)</f>
        <v>0</v>
      </c>
      <c r="F81" s="289">
        <f t="shared" ref="F81:AX81" si="140">SUM(F72:F75, F55, F44:F47)</f>
        <v>0</v>
      </c>
      <c r="G81" s="289">
        <f t="shared" si="140"/>
        <v>0</v>
      </c>
      <c r="H81" s="289">
        <f t="shared" si="140"/>
        <v>0</v>
      </c>
      <c r="I81" s="289">
        <f t="shared" si="140"/>
        <v>0</v>
      </c>
      <c r="J81" s="289">
        <f t="shared" si="140"/>
        <v>0</v>
      </c>
      <c r="K81" s="289">
        <f t="shared" si="140"/>
        <v>0</v>
      </c>
      <c r="L81" s="289">
        <f t="shared" si="140"/>
        <v>0</v>
      </c>
      <c r="M81" s="289">
        <f t="shared" si="140"/>
        <v>0</v>
      </c>
      <c r="N81" s="289">
        <f t="shared" si="140"/>
        <v>0</v>
      </c>
      <c r="O81" s="289">
        <f t="shared" si="140"/>
        <v>0</v>
      </c>
      <c r="P81" s="289">
        <f t="shared" si="140"/>
        <v>0</v>
      </c>
      <c r="Q81" s="289">
        <f t="shared" si="140"/>
        <v>0</v>
      </c>
      <c r="R81" s="289">
        <f t="shared" si="140"/>
        <v>0</v>
      </c>
      <c r="S81" s="289">
        <f t="shared" si="140"/>
        <v>0</v>
      </c>
      <c r="T81" s="289">
        <f t="shared" si="140"/>
        <v>0</v>
      </c>
      <c r="U81" s="289">
        <f t="shared" si="140"/>
        <v>0</v>
      </c>
      <c r="V81" s="289">
        <f t="shared" si="140"/>
        <v>0</v>
      </c>
      <c r="W81" s="289">
        <f t="shared" si="140"/>
        <v>0</v>
      </c>
      <c r="X81" s="289">
        <f t="shared" si="140"/>
        <v>0</v>
      </c>
      <c r="Y81" s="289">
        <f t="shared" si="140"/>
        <v>0</v>
      </c>
      <c r="Z81" s="289">
        <f t="shared" si="140"/>
        <v>0</v>
      </c>
      <c r="AA81" s="289">
        <f t="shared" si="140"/>
        <v>0</v>
      </c>
      <c r="AB81" s="289">
        <f t="shared" si="140"/>
        <v>0</v>
      </c>
      <c r="AC81" s="289">
        <f t="shared" si="140"/>
        <v>0</v>
      </c>
      <c r="AD81" s="289">
        <f t="shared" si="140"/>
        <v>0</v>
      </c>
      <c r="AE81" s="289">
        <f t="shared" si="140"/>
        <v>0</v>
      </c>
      <c r="AF81" s="289">
        <f t="shared" si="140"/>
        <v>0</v>
      </c>
      <c r="AG81" s="289">
        <f t="shared" si="140"/>
        <v>0</v>
      </c>
      <c r="AH81" s="289">
        <f t="shared" si="140"/>
        <v>0</v>
      </c>
      <c r="AI81" s="289">
        <f t="shared" si="140"/>
        <v>0</v>
      </c>
      <c r="AJ81" s="289">
        <f t="shared" si="140"/>
        <v>0</v>
      </c>
      <c r="AK81" s="289">
        <f t="shared" si="140"/>
        <v>0</v>
      </c>
      <c r="AL81" s="289">
        <f t="shared" si="140"/>
        <v>0</v>
      </c>
      <c r="AM81" s="289">
        <f t="shared" si="140"/>
        <v>0</v>
      </c>
      <c r="AN81" s="289">
        <f t="shared" si="140"/>
        <v>0</v>
      </c>
      <c r="AO81" s="289">
        <f t="shared" si="140"/>
        <v>0</v>
      </c>
      <c r="AP81" s="289">
        <f t="shared" si="140"/>
        <v>0</v>
      </c>
      <c r="AQ81" s="289">
        <f t="shared" si="140"/>
        <v>0</v>
      </c>
      <c r="AR81" s="289">
        <f t="shared" si="140"/>
        <v>0</v>
      </c>
      <c r="AS81" s="289">
        <f t="shared" si="140"/>
        <v>0</v>
      </c>
      <c r="AT81" s="289">
        <f t="shared" si="140"/>
        <v>0</v>
      </c>
      <c r="AU81" s="289">
        <f t="shared" si="140"/>
        <v>0</v>
      </c>
      <c r="AV81" s="289">
        <f t="shared" si="140"/>
        <v>0</v>
      </c>
      <c r="AW81" s="289">
        <f t="shared" si="140"/>
        <v>0</v>
      </c>
      <c r="AX81" s="289" t="e">
        <f t="shared" si="140"/>
        <v>#N/A</v>
      </c>
    </row>
    <row r="82" spans="1:50" ht="14.25" customHeight="1" thickBot="1">
      <c r="A82" s="2"/>
      <c r="B82" s="83"/>
      <c r="C82" s="229" t="s">
        <v>381</v>
      </c>
      <c r="D82" s="245"/>
      <c r="E82" s="230">
        <f t="shared" ref="E82:AX82" si="141">E49+E57+E77</f>
        <v>8862.6910684931499</v>
      </c>
      <c r="F82" s="230">
        <f t="shared" si="141"/>
        <v>11067.072228815807</v>
      </c>
      <c r="G82" s="230">
        <f t="shared" si="141"/>
        <v>11394.022543972425</v>
      </c>
      <c r="H82" s="230">
        <f t="shared" si="141"/>
        <v>11641.813147367517</v>
      </c>
      <c r="I82" s="230">
        <f t="shared" si="141"/>
        <v>11936.371530209246</v>
      </c>
      <c r="J82" s="230">
        <f t="shared" si="141"/>
        <v>12187.698286910389</v>
      </c>
      <c r="K82" s="230">
        <f t="shared" si="141"/>
        <v>12433.249978235592</v>
      </c>
      <c r="L82" s="230">
        <f t="shared" si="141"/>
        <v>12683.767276406539</v>
      </c>
      <c r="M82" s="230">
        <f t="shared" si="141"/>
        <v>12939.351224635944</v>
      </c>
      <c r="N82" s="230">
        <f t="shared" si="141"/>
        <v>13200.104940276764</v>
      </c>
      <c r="O82" s="230">
        <f t="shared" si="141"/>
        <v>13466.133657925295</v>
      </c>
      <c r="P82" s="230">
        <f t="shared" si="141"/>
        <v>13737.544773435229</v>
      </c>
      <c r="Q82" s="230">
        <f t="shared" si="141"/>
        <v>14014.447888862473</v>
      </c>
      <c r="R82" s="230">
        <f t="shared" si="141"/>
        <v>14296.954858360785</v>
      </c>
      <c r="S82" s="230">
        <f t="shared" si="141"/>
        <v>14585.179835048904</v>
      </c>
      <c r="T82" s="230">
        <f t="shared" si="141"/>
        <v>14879.239318870081</v>
      </c>
      <c r="U82" s="230">
        <f t="shared" si="141"/>
        <v>15179.252205465671</v>
      </c>
      <c r="V82" s="230">
        <f t="shared" si="141"/>
        <v>15485.339836084662</v>
      </c>
      <c r="W82" s="230">
        <f t="shared" si="141"/>
        <v>15797.626048551645</v>
      </c>
      <c r="X82" s="230">
        <f t="shared" si="141"/>
        <v>16116.237229316288</v>
      </c>
      <c r="Y82" s="230">
        <f t="shared" si="141"/>
        <v>16441.302366607699</v>
      </c>
      <c r="Z82" s="230">
        <f t="shared" si="141"/>
        <v>16772.953104717752</v>
      </c>
      <c r="AA82" s="230">
        <f t="shared" si="141"/>
        <v>17111.323799437992</v>
      </c>
      <c r="AB82" s="230">
        <f t="shared" si="141"/>
        <v>17456.551574675108</v>
      </c>
      <c r="AC82" s="230">
        <f t="shared" si="141"/>
        <v>17808.776380270789</v>
      </c>
      <c r="AD82" s="230">
        <f t="shared" si="141"/>
        <v>18168.141051052098</v>
      </c>
      <c r="AE82" s="230">
        <f t="shared" si="141"/>
        <v>18534.791367139333</v>
      </c>
      <c r="AF82" s="230">
        <f t="shared" si="141"/>
        <v>18244.191978582068</v>
      </c>
      <c r="AG82" s="230">
        <f t="shared" si="141"/>
        <v>18611.292195234415</v>
      </c>
      <c r="AH82" s="230">
        <f t="shared" si="141"/>
        <v>18934.112174266749</v>
      </c>
      <c r="AI82" s="230">
        <f t="shared" si="141"/>
        <v>19231.461347167071</v>
      </c>
      <c r="AJ82" s="230">
        <f t="shared" si="141"/>
        <v>19618.995324971696</v>
      </c>
      <c r="AK82" s="230">
        <f t="shared" si="141"/>
        <v>20014.367124858265</v>
      </c>
      <c r="AL82" s="230">
        <f t="shared" si="141"/>
        <v>20417.736117544173</v>
      </c>
      <c r="AM82" s="230">
        <f t="shared" si="141"/>
        <v>20829.264939589459</v>
      </c>
      <c r="AN82" s="230">
        <f t="shared" si="141"/>
        <v>21249.119561066476</v>
      </c>
      <c r="AO82" s="230">
        <f t="shared" si="141"/>
        <v>21677.4693546536</v>
      </c>
      <c r="AP82" s="230">
        <f t="shared" si="141"/>
        <v>22114.48716618344</v>
      </c>
      <c r="AQ82" s="230">
        <f t="shared" si="141"/>
        <v>22560.349386676982</v>
      </c>
      <c r="AR82" s="230">
        <f t="shared" si="141"/>
        <v>23015.23602589548</v>
      </c>
      <c r="AS82" s="230">
        <f t="shared" si="141"/>
        <v>23479.330787442908</v>
      </c>
      <c r="AT82" s="230">
        <f t="shared" si="141"/>
        <v>23952.821145452166</v>
      </c>
      <c r="AU82" s="230">
        <f t="shared" si="141"/>
        <v>24435.898422889419</v>
      </c>
      <c r="AV82" s="230">
        <f t="shared" si="141"/>
        <v>24928.757871511261</v>
      </c>
      <c r="AW82" s="230">
        <f t="shared" si="141"/>
        <v>25431.598753510476</v>
      </c>
      <c r="AX82" s="230" t="e">
        <f t="shared" si="141"/>
        <v>#N/A</v>
      </c>
    </row>
    <row r="83" spans="1:50" ht="14.25" customHeight="1">
      <c r="A83" s="2"/>
      <c r="B83" s="2"/>
      <c r="C83" s="225"/>
      <c r="D83" s="225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1"/>
      <c r="AC83" s="211"/>
      <c r="AD83" s="211"/>
      <c r="AE83" s="211"/>
      <c r="AF83" s="211"/>
      <c r="AG83" s="211"/>
      <c r="AH83" s="211"/>
      <c r="AI83" s="211"/>
      <c r="AJ83" s="211"/>
      <c r="AK83" s="211"/>
      <c r="AL83" s="211"/>
      <c r="AM83" s="211"/>
      <c r="AN83" s="211"/>
      <c r="AO83" s="211"/>
      <c r="AP83" s="211"/>
      <c r="AQ83" s="211"/>
      <c r="AR83" s="211"/>
      <c r="AS83" s="211"/>
      <c r="AT83" s="211"/>
      <c r="AU83" s="211"/>
      <c r="AV83" s="211"/>
      <c r="AW83" s="211"/>
      <c r="AX83" s="211"/>
    </row>
    <row r="84" spans="1:50" ht="14.25" customHeight="1">
      <c r="A84" s="200"/>
      <c r="B84" s="200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</row>
    <row r="85" spans="1:50" ht="20" thickBot="1">
      <c r="A85" s="84" t="s">
        <v>351</v>
      </c>
      <c r="B85" s="1"/>
      <c r="C85" s="9" t="s">
        <v>382</v>
      </c>
      <c r="D85" s="9"/>
      <c r="E85" s="9"/>
      <c r="F85" s="10"/>
      <c r="G85" s="10"/>
      <c r="H85" s="10"/>
      <c r="I85" s="10"/>
      <c r="J85" s="10"/>
      <c r="K85" s="11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ht="14.25" customHeight="1">
      <c r="A86" s="1"/>
      <c r="B86" s="1"/>
      <c r="C86" s="12" t="s">
        <v>353</v>
      </c>
      <c r="D86" s="12"/>
      <c r="E86" s="43">
        <v>0</v>
      </c>
      <c r="F86" s="90">
        <f t="shared" ref="F86" si="142">E86+1</f>
        <v>1</v>
      </c>
      <c r="G86" s="90">
        <f t="shared" ref="G86" si="143">F86+1</f>
        <v>2</v>
      </c>
      <c r="H86" s="90">
        <f t="shared" ref="H86" si="144">G86+1</f>
        <v>3</v>
      </c>
      <c r="I86" s="90">
        <f t="shared" ref="I86" si="145">H86+1</f>
        <v>4</v>
      </c>
      <c r="J86" s="90">
        <f t="shared" ref="J86" si="146">I86+1</f>
        <v>5</v>
      </c>
      <c r="K86" s="90">
        <f t="shared" ref="K86" si="147">J86+1</f>
        <v>6</v>
      </c>
      <c r="L86" s="90">
        <f t="shared" ref="L86" si="148">K86+1</f>
        <v>7</v>
      </c>
      <c r="M86" s="90">
        <f t="shared" ref="M86" si="149">L86+1</f>
        <v>8</v>
      </c>
      <c r="N86" s="90">
        <f t="shared" ref="N86" si="150">M86+1</f>
        <v>9</v>
      </c>
      <c r="O86" s="90">
        <f t="shared" ref="O86" si="151">N86+1</f>
        <v>10</v>
      </c>
      <c r="P86" s="90">
        <f t="shared" ref="P86" si="152">O86+1</f>
        <v>11</v>
      </c>
      <c r="Q86" s="90">
        <f t="shared" ref="Q86" si="153">P86+1</f>
        <v>12</v>
      </c>
      <c r="R86" s="90">
        <f t="shared" ref="R86" si="154">Q86+1</f>
        <v>13</v>
      </c>
      <c r="S86" s="90">
        <f t="shared" ref="S86" si="155">R86+1</f>
        <v>14</v>
      </c>
      <c r="T86" s="90">
        <f t="shared" ref="T86" si="156">S86+1</f>
        <v>15</v>
      </c>
      <c r="U86" s="90">
        <f t="shared" ref="U86" si="157">T86+1</f>
        <v>16</v>
      </c>
      <c r="V86" s="90">
        <f t="shared" ref="V86" si="158">U86+1</f>
        <v>17</v>
      </c>
      <c r="W86" s="90">
        <f t="shared" ref="W86" si="159">V86+1</f>
        <v>18</v>
      </c>
      <c r="X86" s="90">
        <f t="shared" ref="X86" si="160">W86+1</f>
        <v>19</v>
      </c>
      <c r="Y86" s="90">
        <f t="shared" ref="Y86" si="161">X86+1</f>
        <v>20</v>
      </c>
      <c r="Z86" s="90">
        <f t="shared" ref="Z86" si="162">Y86+1</f>
        <v>21</v>
      </c>
      <c r="AA86" s="90">
        <f t="shared" ref="AA86" si="163">Z86+1</f>
        <v>22</v>
      </c>
      <c r="AB86" s="90">
        <f t="shared" ref="AB86" si="164">AA86+1</f>
        <v>23</v>
      </c>
      <c r="AC86" s="90">
        <f t="shared" ref="AC86" si="165">AB86+1</f>
        <v>24</v>
      </c>
      <c r="AD86" s="90">
        <f t="shared" ref="AD86" si="166">AC86+1</f>
        <v>25</v>
      </c>
      <c r="AE86" s="90">
        <f t="shared" ref="AE86" si="167">AD86+1</f>
        <v>26</v>
      </c>
      <c r="AF86" s="90">
        <f t="shared" ref="AF86" si="168">AE86+1</f>
        <v>27</v>
      </c>
      <c r="AG86" s="90">
        <f t="shared" ref="AG86" si="169">AF86+1</f>
        <v>28</v>
      </c>
      <c r="AH86" s="90">
        <f t="shared" ref="AH86" si="170">AG86+1</f>
        <v>29</v>
      </c>
      <c r="AI86" s="90">
        <f t="shared" ref="AI86" si="171">AH86+1</f>
        <v>30</v>
      </c>
      <c r="AJ86" s="90">
        <f t="shared" ref="AJ86" si="172">AI86+1</f>
        <v>31</v>
      </c>
      <c r="AK86" s="90">
        <f t="shared" ref="AK86" si="173">AJ86+1</f>
        <v>32</v>
      </c>
      <c r="AL86" s="90">
        <f t="shared" ref="AL86" si="174">AK86+1</f>
        <v>33</v>
      </c>
      <c r="AM86" s="90">
        <f t="shared" ref="AM86" si="175">AL86+1</f>
        <v>34</v>
      </c>
      <c r="AN86" s="90">
        <f t="shared" ref="AN86" si="176">AM86+1</f>
        <v>35</v>
      </c>
      <c r="AO86" s="90">
        <f t="shared" ref="AO86" si="177">AN86+1</f>
        <v>36</v>
      </c>
      <c r="AP86" s="90">
        <f t="shared" ref="AP86" si="178">AO86+1</f>
        <v>37</v>
      </c>
      <c r="AQ86" s="90">
        <f t="shared" ref="AQ86" si="179">AP86+1</f>
        <v>38</v>
      </c>
      <c r="AR86" s="90">
        <f t="shared" ref="AR86" si="180">AQ86+1</f>
        <v>39</v>
      </c>
      <c r="AS86" s="90">
        <f t="shared" ref="AS86" si="181">AR86+1</f>
        <v>40</v>
      </c>
      <c r="AT86" s="90">
        <f t="shared" ref="AT86" si="182">AS86+1</f>
        <v>41</v>
      </c>
      <c r="AU86" s="90">
        <f t="shared" ref="AU86" si="183">AT86+1</f>
        <v>42</v>
      </c>
      <c r="AV86" s="90">
        <f t="shared" ref="AV86" si="184">AU86+1</f>
        <v>43</v>
      </c>
      <c r="AW86" s="90">
        <f t="shared" ref="AW86" si="185">AV86+1</f>
        <v>44</v>
      </c>
      <c r="AX86" s="90">
        <f t="shared" ref="AX86" si="186">AW86+1</f>
        <v>45</v>
      </c>
    </row>
    <row r="87" spans="1:50" ht="14.25" customHeight="1" thickBot="1">
      <c r="A87" s="1"/>
      <c r="B87" s="1"/>
      <c r="C87" s="200"/>
      <c r="D87" s="200"/>
      <c r="E87" s="83"/>
      <c r="F87" s="808" t="s">
        <v>354</v>
      </c>
      <c r="G87" s="808"/>
      <c r="H87" s="808"/>
      <c r="I87" s="808"/>
      <c r="J87" s="808"/>
      <c r="K87" s="808"/>
      <c r="L87" s="808"/>
      <c r="M87" s="808"/>
      <c r="N87" s="808"/>
      <c r="O87" s="808"/>
      <c r="P87" s="808"/>
      <c r="Q87" s="808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</row>
    <row r="88" spans="1:50" ht="14.25" customHeight="1">
      <c r="A88" s="1"/>
      <c r="B88" s="84"/>
      <c r="C88" s="202"/>
      <c r="D88" s="240"/>
      <c r="E88" s="204">
        <f>E29</f>
        <v>2026</v>
      </c>
      <c r="F88" s="204">
        <f t="shared" ref="F88" si="187">E88+1</f>
        <v>2027</v>
      </c>
      <c r="G88" s="204">
        <f t="shared" ref="G88" si="188">F88+1</f>
        <v>2028</v>
      </c>
      <c r="H88" s="204">
        <f t="shared" ref="H88" si="189">G88+1</f>
        <v>2029</v>
      </c>
      <c r="I88" s="204">
        <f t="shared" ref="I88" si="190">H88+1</f>
        <v>2030</v>
      </c>
      <c r="J88" s="204">
        <f t="shared" ref="J88" si="191">I88+1</f>
        <v>2031</v>
      </c>
      <c r="K88" s="204">
        <f t="shared" ref="K88" si="192">J88+1</f>
        <v>2032</v>
      </c>
      <c r="L88" s="204">
        <f t="shared" ref="L88" si="193">K88+1</f>
        <v>2033</v>
      </c>
      <c r="M88" s="204">
        <f t="shared" ref="M88" si="194">L88+1</f>
        <v>2034</v>
      </c>
      <c r="N88" s="204">
        <f t="shared" ref="N88" si="195">M88+1</f>
        <v>2035</v>
      </c>
      <c r="O88" s="204">
        <f t="shared" ref="O88" si="196">N88+1</f>
        <v>2036</v>
      </c>
      <c r="P88" s="204">
        <f t="shared" ref="P88" si="197">O88+1</f>
        <v>2037</v>
      </c>
      <c r="Q88" s="204">
        <f t="shared" ref="Q88" si="198">P88+1</f>
        <v>2038</v>
      </c>
      <c r="R88" s="204">
        <f t="shared" ref="R88" si="199">Q88+1</f>
        <v>2039</v>
      </c>
      <c r="S88" s="204">
        <f t="shared" ref="S88" si="200">R88+1</f>
        <v>2040</v>
      </c>
      <c r="T88" s="204">
        <f t="shared" ref="T88" si="201">S88+1</f>
        <v>2041</v>
      </c>
      <c r="U88" s="204">
        <f t="shared" ref="U88" si="202">T88+1</f>
        <v>2042</v>
      </c>
      <c r="V88" s="204">
        <f t="shared" ref="V88" si="203">U88+1</f>
        <v>2043</v>
      </c>
      <c r="W88" s="204">
        <f t="shared" ref="W88" si="204">V88+1</f>
        <v>2044</v>
      </c>
      <c r="X88" s="204">
        <f t="shared" ref="X88" si="205">W88+1</f>
        <v>2045</v>
      </c>
      <c r="Y88" s="204">
        <f t="shared" ref="Y88" si="206">X88+1</f>
        <v>2046</v>
      </c>
      <c r="Z88" s="204">
        <f t="shared" ref="Z88" si="207">Y88+1</f>
        <v>2047</v>
      </c>
      <c r="AA88" s="204">
        <f t="shared" ref="AA88" si="208">Z88+1</f>
        <v>2048</v>
      </c>
      <c r="AB88" s="204">
        <f t="shared" ref="AB88" si="209">AA88+1</f>
        <v>2049</v>
      </c>
      <c r="AC88" s="204">
        <f t="shared" ref="AC88" si="210">AB88+1</f>
        <v>2050</v>
      </c>
      <c r="AD88" s="204">
        <f t="shared" ref="AD88" si="211">AC88+1</f>
        <v>2051</v>
      </c>
      <c r="AE88" s="204">
        <f t="shared" ref="AE88" si="212">AD88+1</f>
        <v>2052</v>
      </c>
      <c r="AF88" s="204">
        <f t="shared" ref="AF88" si="213">AE88+1</f>
        <v>2053</v>
      </c>
      <c r="AG88" s="204">
        <f t="shared" ref="AG88" si="214">AF88+1</f>
        <v>2054</v>
      </c>
      <c r="AH88" s="204">
        <f t="shared" ref="AH88" si="215">AG88+1</f>
        <v>2055</v>
      </c>
      <c r="AI88" s="204">
        <f t="shared" ref="AI88" si="216">AH88+1</f>
        <v>2056</v>
      </c>
      <c r="AJ88" s="204">
        <f t="shared" ref="AJ88" si="217">AI88+1</f>
        <v>2057</v>
      </c>
      <c r="AK88" s="204">
        <f t="shared" ref="AK88" si="218">AJ88+1</f>
        <v>2058</v>
      </c>
      <c r="AL88" s="204">
        <f t="shared" ref="AL88" si="219">AK88+1</f>
        <v>2059</v>
      </c>
      <c r="AM88" s="204">
        <f t="shared" ref="AM88" si="220">AL88+1</f>
        <v>2060</v>
      </c>
      <c r="AN88" s="204">
        <f t="shared" ref="AN88" si="221">AM88+1</f>
        <v>2061</v>
      </c>
      <c r="AO88" s="204">
        <f t="shared" ref="AO88" si="222">AN88+1</f>
        <v>2062</v>
      </c>
      <c r="AP88" s="204">
        <f t="shared" ref="AP88" si="223">AO88+1</f>
        <v>2063</v>
      </c>
      <c r="AQ88" s="204">
        <f t="shared" ref="AQ88" si="224">AP88+1</f>
        <v>2064</v>
      </c>
      <c r="AR88" s="204">
        <f t="shared" ref="AR88" si="225">AQ88+1</f>
        <v>2065</v>
      </c>
      <c r="AS88" s="204">
        <f t="shared" ref="AS88" si="226">AR88+1</f>
        <v>2066</v>
      </c>
      <c r="AT88" s="204">
        <f t="shared" ref="AT88" si="227">AS88+1</f>
        <v>2067</v>
      </c>
      <c r="AU88" s="204">
        <f t="shared" ref="AU88" si="228">AT88+1</f>
        <v>2068</v>
      </c>
      <c r="AV88" s="204">
        <f t="shared" ref="AV88" si="229">AU88+1</f>
        <v>2069</v>
      </c>
      <c r="AW88" s="204">
        <f t="shared" ref="AW88" si="230">AV88+1</f>
        <v>2070</v>
      </c>
      <c r="AX88" s="204">
        <f t="shared" ref="AX88" si="231">AW88+1</f>
        <v>2071</v>
      </c>
    </row>
    <row r="89" spans="1:50" ht="14.25" customHeight="1">
      <c r="A89" s="1"/>
      <c r="B89" s="84"/>
      <c r="C89" s="94"/>
      <c r="D89" s="205"/>
      <c r="E89" s="142">
        <f>E30</f>
        <v>46023</v>
      </c>
      <c r="F89" s="142">
        <f t="shared" ref="F89:AX89" si="232">F30</f>
        <v>46752</v>
      </c>
      <c r="G89" s="142">
        <f t="shared" si="232"/>
        <v>47118</v>
      </c>
      <c r="H89" s="142">
        <f t="shared" si="232"/>
        <v>47483</v>
      </c>
      <c r="I89" s="142">
        <f t="shared" si="232"/>
        <v>47848</v>
      </c>
      <c r="J89" s="142">
        <f t="shared" si="232"/>
        <v>48213</v>
      </c>
      <c r="K89" s="142">
        <f t="shared" si="232"/>
        <v>48579</v>
      </c>
      <c r="L89" s="142">
        <f t="shared" si="232"/>
        <v>48944</v>
      </c>
      <c r="M89" s="142">
        <f t="shared" si="232"/>
        <v>49309</v>
      </c>
      <c r="N89" s="142">
        <f t="shared" si="232"/>
        <v>49674</v>
      </c>
      <c r="O89" s="142">
        <f t="shared" si="232"/>
        <v>50040</v>
      </c>
      <c r="P89" s="142">
        <f t="shared" si="232"/>
        <v>50405</v>
      </c>
      <c r="Q89" s="142">
        <f t="shared" si="232"/>
        <v>50770</v>
      </c>
      <c r="R89" s="142">
        <f t="shared" si="232"/>
        <v>51135</v>
      </c>
      <c r="S89" s="142">
        <f t="shared" si="232"/>
        <v>51501</v>
      </c>
      <c r="T89" s="142">
        <f t="shared" si="232"/>
        <v>51866</v>
      </c>
      <c r="U89" s="142">
        <f t="shared" si="232"/>
        <v>52231</v>
      </c>
      <c r="V89" s="142">
        <f t="shared" si="232"/>
        <v>52596</v>
      </c>
      <c r="W89" s="142">
        <f t="shared" si="232"/>
        <v>52962</v>
      </c>
      <c r="X89" s="142">
        <f t="shared" si="232"/>
        <v>53327</v>
      </c>
      <c r="Y89" s="142">
        <f t="shared" si="232"/>
        <v>53692</v>
      </c>
      <c r="Z89" s="142">
        <f t="shared" si="232"/>
        <v>54057</v>
      </c>
      <c r="AA89" s="142">
        <f t="shared" si="232"/>
        <v>54423</v>
      </c>
      <c r="AB89" s="142">
        <f t="shared" si="232"/>
        <v>54788</v>
      </c>
      <c r="AC89" s="142">
        <f t="shared" si="232"/>
        <v>55153</v>
      </c>
      <c r="AD89" s="142">
        <f t="shared" si="232"/>
        <v>55518</v>
      </c>
      <c r="AE89" s="142">
        <f t="shared" si="232"/>
        <v>55884</v>
      </c>
      <c r="AF89" s="142">
        <f t="shared" si="232"/>
        <v>56249</v>
      </c>
      <c r="AG89" s="142">
        <f t="shared" si="232"/>
        <v>56614</v>
      </c>
      <c r="AH89" s="142">
        <f t="shared" si="232"/>
        <v>56979</v>
      </c>
      <c r="AI89" s="142">
        <f t="shared" si="232"/>
        <v>57345</v>
      </c>
      <c r="AJ89" s="142">
        <f t="shared" si="232"/>
        <v>57710</v>
      </c>
      <c r="AK89" s="142">
        <f t="shared" si="232"/>
        <v>58075</v>
      </c>
      <c r="AL89" s="142">
        <f t="shared" si="232"/>
        <v>58440</v>
      </c>
      <c r="AM89" s="142">
        <f t="shared" si="232"/>
        <v>58806</v>
      </c>
      <c r="AN89" s="142">
        <f t="shared" si="232"/>
        <v>59171</v>
      </c>
      <c r="AO89" s="142">
        <f t="shared" si="232"/>
        <v>59536</v>
      </c>
      <c r="AP89" s="142">
        <f t="shared" si="232"/>
        <v>59901</v>
      </c>
      <c r="AQ89" s="142">
        <f t="shared" si="232"/>
        <v>60267</v>
      </c>
      <c r="AR89" s="142">
        <f t="shared" si="232"/>
        <v>60632</v>
      </c>
      <c r="AS89" s="142">
        <f t="shared" si="232"/>
        <v>60997</v>
      </c>
      <c r="AT89" s="142">
        <f t="shared" si="232"/>
        <v>61362</v>
      </c>
      <c r="AU89" s="142">
        <f t="shared" si="232"/>
        <v>61728</v>
      </c>
      <c r="AV89" s="142">
        <f t="shared" si="232"/>
        <v>62093</v>
      </c>
      <c r="AW89" s="142">
        <f t="shared" si="232"/>
        <v>62458</v>
      </c>
      <c r="AX89" s="142">
        <f t="shared" si="232"/>
        <v>62823</v>
      </c>
    </row>
    <row r="90" spans="1:50" ht="14.25" customHeight="1">
      <c r="A90" s="1"/>
      <c r="B90" s="84"/>
      <c r="C90" s="222" t="s">
        <v>383</v>
      </c>
      <c r="D90" s="243"/>
      <c r="E90" s="476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</row>
    <row r="91" spans="1:50" ht="14.25" customHeight="1">
      <c r="A91" s="1"/>
      <c r="B91" s="84"/>
      <c r="C91" s="664" t="s">
        <v>122</v>
      </c>
      <c r="D91" s="745"/>
      <c r="E91" s="476">
        <f>'Power Summary'!C6</f>
        <v>0</v>
      </c>
      <c r="F91" s="476">
        <f>'Power Summary'!D6</f>
        <v>321200.00000000006</v>
      </c>
      <c r="G91" s="476">
        <f>'Power Summary'!E6</f>
        <v>481800.00000000006</v>
      </c>
      <c r="H91" s="476">
        <f>'Power Summary'!F6</f>
        <v>481800.00000000006</v>
      </c>
      <c r="I91" s="476">
        <f>'Power Summary'!G6</f>
        <v>481800.00000000006</v>
      </c>
      <c r="J91" s="476">
        <f>'Power Summary'!H6</f>
        <v>481800.00000000006</v>
      </c>
      <c r="K91" s="476">
        <f>'Power Summary'!I6</f>
        <v>481800.00000000006</v>
      </c>
      <c r="L91" s="476">
        <f>'Power Summary'!J6</f>
        <v>481800.00000000006</v>
      </c>
      <c r="M91" s="476">
        <f>'Power Summary'!K6</f>
        <v>481800.00000000006</v>
      </c>
      <c r="N91" s="476">
        <f>'Power Summary'!L6</f>
        <v>481800.00000000006</v>
      </c>
      <c r="O91" s="476">
        <f>'Power Summary'!M6</f>
        <v>481800.00000000006</v>
      </c>
      <c r="P91" s="476">
        <f>'Power Summary'!N6</f>
        <v>481800.00000000006</v>
      </c>
      <c r="Q91" s="476">
        <f>'Power Summary'!O6</f>
        <v>481800.00000000006</v>
      </c>
      <c r="R91" s="476">
        <f>'Power Summary'!P6</f>
        <v>481800.00000000006</v>
      </c>
      <c r="S91" s="476">
        <f>'Power Summary'!Q6</f>
        <v>481800.00000000006</v>
      </c>
      <c r="T91" s="476">
        <f>'Power Summary'!R6</f>
        <v>481800.00000000006</v>
      </c>
      <c r="U91" s="476">
        <f>'Power Summary'!S6</f>
        <v>481800.00000000006</v>
      </c>
      <c r="V91" s="476">
        <f>'Power Summary'!T6</f>
        <v>481800.00000000006</v>
      </c>
      <c r="W91" s="476">
        <f>'Power Summary'!U6</f>
        <v>481800.00000000006</v>
      </c>
      <c r="X91" s="476">
        <f>'Power Summary'!V6</f>
        <v>481800.00000000006</v>
      </c>
      <c r="Y91" s="476">
        <f>'Power Summary'!W6</f>
        <v>481800.00000000006</v>
      </c>
      <c r="Z91" s="476">
        <f>'Power Summary'!X6</f>
        <v>481800.00000000006</v>
      </c>
      <c r="AA91" s="476">
        <f>'Power Summary'!Y6</f>
        <v>481800.00000000006</v>
      </c>
      <c r="AB91" s="476">
        <f>'Power Summary'!Z6</f>
        <v>481800.00000000006</v>
      </c>
      <c r="AC91" s="476">
        <f>'Power Summary'!AA6</f>
        <v>481800.00000000006</v>
      </c>
      <c r="AD91" s="476">
        <f>'Power Summary'!AB6</f>
        <v>481800.00000000006</v>
      </c>
      <c r="AE91" s="476">
        <f>'Power Summary'!AC6</f>
        <v>481800.00000000006</v>
      </c>
      <c r="AF91" s="476">
        <f>'Power Summary'!AD6</f>
        <v>0</v>
      </c>
      <c r="AG91" s="476">
        <f>'Power Summary'!AE6</f>
        <v>0</v>
      </c>
      <c r="AH91" s="476">
        <f>'Power Summary'!AF6</f>
        <v>0</v>
      </c>
      <c r="AI91" s="476">
        <f>'Power Summary'!AG6</f>
        <v>0</v>
      </c>
      <c r="AJ91" s="476">
        <f>'Power Summary'!AH6</f>
        <v>0</v>
      </c>
      <c r="AK91" s="476">
        <f>'Power Summary'!AI6</f>
        <v>0</v>
      </c>
      <c r="AL91" s="476">
        <f>'Power Summary'!AJ6</f>
        <v>0</v>
      </c>
      <c r="AM91" s="476">
        <f>'Power Summary'!AK6</f>
        <v>0</v>
      </c>
      <c r="AN91" s="476">
        <f>'Power Summary'!AL6</f>
        <v>0</v>
      </c>
      <c r="AO91" s="476">
        <f>'Power Summary'!AM6</f>
        <v>0</v>
      </c>
      <c r="AP91" s="476">
        <f>'Power Summary'!AN6</f>
        <v>0</v>
      </c>
      <c r="AQ91" s="476">
        <f>'Power Summary'!AO6</f>
        <v>0</v>
      </c>
      <c r="AR91" s="476">
        <f>'Power Summary'!AP6</f>
        <v>0</v>
      </c>
      <c r="AS91" s="476">
        <f>'Power Summary'!AQ6</f>
        <v>0</v>
      </c>
      <c r="AT91" s="476">
        <f>'Power Summary'!AR6</f>
        <v>0</v>
      </c>
      <c r="AU91" s="476">
        <f>'Power Summary'!AS6</f>
        <v>0</v>
      </c>
      <c r="AV91" s="476">
        <f>'Power Summary'!AT6</f>
        <v>0</v>
      </c>
      <c r="AW91" s="476">
        <f>'Power Summary'!AU6</f>
        <v>0</v>
      </c>
      <c r="AX91" s="476">
        <f>'Power Summary'!AV6</f>
        <v>0</v>
      </c>
    </row>
    <row r="92" spans="1:50" ht="14.25" customHeight="1">
      <c r="A92" s="1"/>
      <c r="B92" s="84"/>
      <c r="C92" s="664" t="s">
        <v>384</v>
      </c>
      <c r="D92" s="745"/>
      <c r="E92" s="476">
        <f>'Power Summary'!C7</f>
        <v>2544480</v>
      </c>
      <c r="F92" s="476">
        <f>'Power Summary'!D7</f>
        <v>2544480</v>
      </c>
      <c r="G92" s="476">
        <f>'Power Summary'!E7</f>
        <v>2544480</v>
      </c>
      <c r="H92" s="476">
        <f>'Power Summary'!F7</f>
        <v>2544480</v>
      </c>
      <c r="I92" s="476">
        <f>'Power Summary'!G7</f>
        <v>2544480</v>
      </c>
      <c r="J92" s="476">
        <f>'Power Summary'!H7</f>
        <v>2544480</v>
      </c>
      <c r="K92" s="476">
        <f>'Power Summary'!I7</f>
        <v>2544480</v>
      </c>
      <c r="L92" s="476">
        <f>'Power Summary'!J7</f>
        <v>2544480</v>
      </c>
      <c r="M92" s="476">
        <f>'Power Summary'!K7</f>
        <v>2544480</v>
      </c>
      <c r="N92" s="476">
        <f>'Power Summary'!L7</f>
        <v>2544480</v>
      </c>
      <c r="O92" s="476">
        <f>'Power Summary'!M7</f>
        <v>2544480</v>
      </c>
      <c r="P92" s="476">
        <f>'Power Summary'!N7</f>
        <v>2544480</v>
      </c>
      <c r="Q92" s="476">
        <f>'Power Summary'!O7</f>
        <v>2544480</v>
      </c>
      <c r="R92" s="476">
        <f>'Power Summary'!P7</f>
        <v>2544480</v>
      </c>
      <c r="S92" s="476">
        <f>'Power Summary'!Q7</f>
        <v>2544480</v>
      </c>
      <c r="T92" s="476">
        <f>'Power Summary'!R7</f>
        <v>2544480</v>
      </c>
      <c r="U92" s="476">
        <f>'Power Summary'!S7</f>
        <v>2544480</v>
      </c>
      <c r="V92" s="476">
        <f>'Power Summary'!T7</f>
        <v>2544480</v>
      </c>
      <c r="W92" s="476">
        <f>'Power Summary'!U7</f>
        <v>2544480</v>
      </c>
      <c r="X92" s="476">
        <f>'Power Summary'!V7</f>
        <v>2544480</v>
      </c>
      <c r="Y92" s="476">
        <f>'Power Summary'!W7</f>
        <v>2544480</v>
      </c>
      <c r="Z92" s="476">
        <f>'Power Summary'!X7</f>
        <v>2544480</v>
      </c>
      <c r="AA92" s="476">
        <f>'Power Summary'!Y7</f>
        <v>2544480</v>
      </c>
      <c r="AB92" s="476">
        <f>'Power Summary'!Z7</f>
        <v>2544480</v>
      </c>
      <c r="AC92" s="476">
        <f>'Power Summary'!AA7</f>
        <v>2544480</v>
      </c>
      <c r="AD92" s="476">
        <f>'Power Summary'!AB7</f>
        <v>2544480</v>
      </c>
      <c r="AE92" s="476">
        <f>'Power Summary'!AC7</f>
        <v>2544480</v>
      </c>
      <c r="AF92" s="476">
        <f>'Power Summary'!AD7</f>
        <v>2544480</v>
      </c>
      <c r="AG92" s="476">
        <f>'Power Summary'!AE7</f>
        <v>2544480</v>
      </c>
      <c r="AH92" s="476">
        <f>'Power Summary'!AF7</f>
        <v>2544480</v>
      </c>
      <c r="AI92" s="476">
        <f>'Power Summary'!AG7</f>
        <v>2544480</v>
      </c>
      <c r="AJ92" s="476">
        <f>'Power Summary'!AH7</f>
        <v>2544480</v>
      </c>
      <c r="AK92" s="476">
        <f>'Power Summary'!AI7</f>
        <v>2544480</v>
      </c>
      <c r="AL92" s="476">
        <f>'Power Summary'!AJ7</f>
        <v>2544480</v>
      </c>
      <c r="AM92" s="476">
        <f>'Power Summary'!AK7</f>
        <v>2544480</v>
      </c>
      <c r="AN92" s="476">
        <f>'Power Summary'!AL7</f>
        <v>2544480</v>
      </c>
      <c r="AO92" s="476">
        <f>'Power Summary'!AM7</f>
        <v>2544480</v>
      </c>
      <c r="AP92" s="476">
        <f>'Power Summary'!AN7</f>
        <v>2544480</v>
      </c>
      <c r="AQ92" s="476">
        <f>'Power Summary'!AO7</f>
        <v>2544480</v>
      </c>
      <c r="AR92" s="476">
        <f>'Power Summary'!AP7</f>
        <v>2544480</v>
      </c>
      <c r="AS92" s="476">
        <f>'Power Summary'!AQ7</f>
        <v>2544480</v>
      </c>
      <c r="AT92" s="476">
        <f>'Power Summary'!AR7</f>
        <v>2544480</v>
      </c>
      <c r="AU92" s="476">
        <f>'Power Summary'!AS7</f>
        <v>2544480</v>
      </c>
      <c r="AV92" s="476">
        <f>'Power Summary'!AT7</f>
        <v>2544480</v>
      </c>
      <c r="AW92" s="476">
        <f>'Power Summary'!AU7</f>
        <v>2544480</v>
      </c>
      <c r="AX92" s="476">
        <f>'Power Summary'!AV7</f>
        <v>0</v>
      </c>
    </row>
    <row r="93" spans="1:50" ht="14.25" customHeight="1">
      <c r="A93" s="1"/>
      <c r="B93" s="84"/>
      <c r="C93" s="664" t="s">
        <v>357</v>
      </c>
      <c r="D93" s="745"/>
      <c r="E93" s="476">
        <f>'Power Summary'!C8</f>
        <v>0</v>
      </c>
      <c r="F93" s="476">
        <f>'Power Summary'!D8</f>
        <v>2628</v>
      </c>
      <c r="G93" s="476">
        <f>'Power Summary'!E8</f>
        <v>3504</v>
      </c>
      <c r="H93" s="476">
        <f>'Power Summary'!F8</f>
        <v>3504</v>
      </c>
      <c r="I93" s="476">
        <f>'Power Summary'!G8</f>
        <v>3504</v>
      </c>
      <c r="J93" s="476">
        <f>'Power Summary'!H8</f>
        <v>3504</v>
      </c>
      <c r="K93" s="476">
        <f>'Power Summary'!I8</f>
        <v>3504</v>
      </c>
      <c r="L93" s="476">
        <f>'Power Summary'!J8</f>
        <v>3504</v>
      </c>
      <c r="M93" s="476">
        <f>'Power Summary'!K8</f>
        <v>3504</v>
      </c>
      <c r="N93" s="476">
        <f>'Power Summary'!L8</f>
        <v>3504</v>
      </c>
      <c r="O93" s="476">
        <f>'Power Summary'!M8</f>
        <v>3504</v>
      </c>
      <c r="P93" s="476">
        <f>'Power Summary'!N8</f>
        <v>3504</v>
      </c>
      <c r="Q93" s="476">
        <f>'Power Summary'!O8</f>
        <v>3504</v>
      </c>
      <c r="R93" s="476">
        <f>'Power Summary'!P8</f>
        <v>3504</v>
      </c>
      <c r="S93" s="476">
        <f>'Power Summary'!Q8</f>
        <v>3504</v>
      </c>
      <c r="T93" s="476">
        <f>'Power Summary'!R8</f>
        <v>3504</v>
      </c>
      <c r="U93" s="476">
        <f>'Power Summary'!S8</f>
        <v>3504</v>
      </c>
      <c r="V93" s="476">
        <f>'Power Summary'!T8</f>
        <v>3504</v>
      </c>
      <c r="W93" s="476">
        <f>'Power Summary'!U8</f>
        <v>3504</v>
      </c>
      <c r="X93" s="476">
        <f>'Power Summary'!V8</f>
        <v>3504</v>
      </c>
      <c r="Y93" s="476">
        <f>'Power Summary'!W8</f>
        <v>3504</v>
      </c>
      <c r="Z93" s="476">
        <f>'Power Summary'!X8</f>
        <v>3504</v>
      </c>
      <c r="AA93" s="476">
        <f>'Power Summary'!Y8</f>
        <v>3504</v>
      </c>
      <c r="AB93" s="476">
        <f>'Power Summary'!Z8</f>
        <v>3504</v>
      </c>
      <c r="AC93" s="476">
        <f>'Power Summary'!AA8</f>
        <v>3504</v>
      </c>
      <c r="AD93" s="476">
        <f>'Power Summary'!AB8</f>
        <v>3504</v>
      </c>
      <c r="AE93" s="476">
        <f>'Power Summary'!AC8</f>
        <v>3504</v>
      </c>
      <c r="AF93" s="476">
        <f>'Power Summary'!AD8</f>
        <v>0</v>
      </c>
      <c r="AG93" s="476">
        <f>'Power Summary'!AE8</f>
        <v>0</v>
      </c>
      <c r="AH93" s="476">
        <f>'Power Summary'!AF8</f>
        <v>0</v>
      </c>
      <c r="AI93" s="476">
        <f>'Power Summary'!AG8</f>
        <v>0</v>
      </c>
      <c r="AJ93" s="476">
        <f>'Power Summary'!AH8</f>
        <v>0</v>
      </c>
      <c r="AK93" s="476">
        <f>'Power Summary'!AI8</f>
        <v>0</v>
      </c>
      <c r="AL93" s="476">
        <f>'Power Summary'!AJ8</f>
        <v>0</v>
      </c>
      <c r="AM93" s="476">
        <f>'Power Summary'!AK8</f>
        <v>0</v>
      </c>
      <c r="AN93" s="476">
        <f>'Power Summary'!AL8</f>
        <v>0</v>
      </c>
      <c r="AO93" s="476">
        <f>'Power Summary'!AM8</f>
        <v>0</v>
      </c>
      <c r="AP93" s="476">
        <f>'Power Summary'!AN8</f>
        <v>0</v>
      </c>
      <c r="AQ93" s="476">
        <f>'Power Summary'!AO8</f>
        <v>0</v>
      </c>
      <c r="AR93" s="476">
        <f>'Power Summary'!AP8</f>
        <v>0</v>
      </c>
      <c r="AS93" s="476">
        <f>'Power Summary'!AQ8</f>
        <v>0</v>
      </c>
      <c r="AT93" s="476">
        <f>'Power Summary'!AR8</f>
        <v>0</v>
      </c>
      <c r="AU93" s="476">
        <f>'Power Summary'!AS8</f>
        <v>0</v>
      </c>
      <c r="AV93" s="476">
        <f>'Power Summary'!AT8</f>
        <v>0</v>
      </c>
      <c r="AW93" s="476">
        <f>'Power Summary'!AU8</f>
        <v>0</v>
      </c>
      <c r="AX93" s="476">
        <f>'Power Summary'!AV8</f>
        <v>0</v>
      </c>
    </row>
    <row r="94" spans="1:50" ht="14.25" customHeight="1">
      <c r="A94" s="1"/>
      <c r="B94" s="84"/>
      <c r="C94" s="664" t="s">
        <v>358</v>
      </c>
      <c r="D94" s="745"/>
      <c r="E94" s="476">
        <f>'Power Summary'!C9</f>
        <v>0</v>
      </c>
      <c r="F94" s="476">
        <f>'Power Summary'!D9</f>
        <v>8593.56</v>
      </c>
      <c r="G94" s="476">
        <f>'Power Summary'!E9</f>
        <v>11458.08</v>
      </c>
      <c r="H94" s="476">
        <f>'Power Summary'!F9</f>
        <v>11458.08</v>
      </c>
      <c r="I94" s="476">
        <f>'Power Summary'!G9</f>
        <v>11458.08</v>
      </c>
      <c r="J94" s="476">
        <f>'Power Summary'!H9</f>
        <v>11458.08</v>
      </c>
      <c r="K94" s="476">
        <f>'Power Summary'!I9</f>
        <v>11458.08</v>
      </c>
      <c r="L94" s="476">
        <f>'Power Summary'!J9</f>
        <v>11458.08</v>
      </c>
      <c r="M94" s="476">
        <f>'Power Summary'!K9</f>
        <v>11458.08</v>
      </c>
      <c r="N94" s="476">
        <f>'Power Summary'!L9</f>
        <v>11458.08</v>
      </c>
      <c r="O94" s="476">
        <f>'Power Summary'!M9</f>
        <v>11458.08</v>
      </c>
      <c r="P94" s="476">
        <f>'Power Summary'!N9</f>
        <v>11458.08</v>
      </c>
      <c r="Q94" s="476">
        <f>'Power Summary'!O9</f>
        <v>11458.08</v>
      </c>
      <c r="R94" s="476">
        <f>'Power Summary'!P9</f>
        <v>11458.08</v>
      </c>
      <c r="S94" s="476">
        <f>'Power Summary'!Q9</f>
        <v>11458.08</v>
      </c>
      <c r="T94" s="476">
        <f>'Power Summary'!R9</f>
        <v>11458.08</v>
      </c>
      <c r="U94" s="476">
        <f>'Power Summary'!S9</f>
        <v>11458.08</v>
      </c>
      <c r="V94" s="476">
        <f>'Power Summary'!T9</f>
        <v>11458.08</v>
      </c>
      <c r="W94" s="476">
        <f>'Power Summary'!U9</f>
        <v>11458.08</v>
      </c>
      <c r="X94" s="476">
        <f>'Power Summary'!V9</f>
        <v>11458.08</v>
      </c>
      <c r="Y94" s="476">
        <f>'Power Summary'!W9</f>
        <v>11458.08</v>
      </c>
      <c r="Z94" s="476">
        <f>'Power Summary'!X9</f>
        <v>11458.08</v>
      </c>
      <c r="AA94" s="476">
        <f>'Power Summary'!Y9</f>
        <v>11458.08</v>
      </c>
      <c r="AB94" s="476">
        <f>'Power Summary'!Z9</f>
        <v>11458.08</v>
      </c>
      <c r="AC94" s="476">
        <f>'Power Summary'!AA9</f>
        <v>11458.08</v>
      </c>
      <c r="AD94" s="476">
        <f>'Power Summary'!AB9</f>
        <v>11458.08</v>
      </c>
      <c r="AE94" s="476">
        <f>'Power Summary'!AC9</f>
        <v>11458.08</v>
      </c>
      <c r="AF94" s="476">
        <f>'Power Summary'!AD9</f>
        <v>0</v>
      </c>
      <c r="AG94" s="476">
        <f>'Power Summary'!AE9</f>
        <v>0</v>
      </c>
      <c r="AH94" s="476">
        <f>'Power Summary'!AF9</f>
        <v>0</v>
      </c>
      <c r="AI94" s="476">
        <f>'Power Summary'!AG9</f>
        <v>0</v>
      </c>
      <c r="AJ94" s="476">
        <f>'Power Summary'!AH9</f>
        <v>0</v>
      </c>
      <c r="AK94" s="476">
        <f>'Power Summary'!AI9</f>
        <v>0</v>
      </c>
      <c r="AL94" s="476">
        <f>'Power Summary'!AJ9</f>
        <v>0</v>
      </c>
      <c r="AM94" s="476">
        <f>'Power Summary'!AK9</f>
        <v>0</v>
      </c>
      <c r="AN94" s="476">
        <f>'Power Summary'!AL9</f>
        <v>0</v>
      </c>
      <c r="AO94" s="476">
        <f>'Power Summary'!AM9</f>
        <v>0</v>
      </c>
      <c r="AP94" s="476">
        <f>'Power Summary'!AN9</f>
        <v>0</v>
      </c>
      <c r="AQ94" s="476">
        <f>'Power Summary'!AO9</f>
        <v>0</v>
      </c>
      <c r="AR94" s="476">
        <f>'Power Summary'!AP9</f>
        <v>0</v>
      </c>
      <c r="AS94" s="476">
        <f>'Power Summary'!AQ9</f>
        <v>0</v>
      </c>
      <c r="AT94" s="476">
        <f>'Power Summary'!AR9</f>
        <v>0</v>
      </c>
      <c r="AU94" s="476">
        <f>'Power Summary'!AS9</f>
        <v>0</v>
      </c>
      <c r="AV94" s="476">
        <f>'Power Summary'!AT9</f>
        <v>0</v>
      </c>
      <c r="AW94" s="476">
        <f>'Power Summary'!AU9</f>
        <v>0</v>
      </c>
      <c r="AX94" s="476">
        <f>'Power Summary'!AV9</f>
        <v>0</v>
      </c>
    </row>
    <row r="95" spans="1:50" ht="14.25" customHeight="1">
      <c r="A95" s="4"/>
      <c r="B95" s="221"/>
      <c r="C95" s="664" t="s">
        <v>385</v>
      </c>
      <c r="D95" s="745"/>
      <c r="E95" s="476">
        <f>'Power Summary'!C10</f>
        <v>0</v>
      </c>
      <c r="F95" s="476">
        <f>'Power Summary'!D10</f>
        <v>93644.444444444453</v>
      </c>
      <c r="G95" s="476">
        <f>'Power Summary'!E10</f>
        <v>112000</v>
      </c>
      <c r="H95" s="476">
        <f>'Power Summary'!F10</f>
        <v>112000</v>
      </c>
      <c r="I95" s="476">
        <f>'Power Summary'!G10</f>
        <v>112000</v>
      </c>
      <c r="J95" s="476">
        <f>'Power Summary'!H10</f>
        <v>112000</v>
      </c>
      <c r="K95" s="476">
        <f>'Power Summary'!I10</f>
        <v>112000</v>
      </c>
      <c r="L95" s="476">
        <f>'Power Summary'!J10</f>
        <v>112000</v>
      </c>
      <c r="M95" s="476">
        <f>'Power Summary'!K10</f>
        <v>112000</v>
      </c>
      <c r="N95" s="476">
        <f>'Power Summary'!L10</f>
        <v>112000</v>
      </c>
      <c r="O95" s="476">
        <f>'Power Summary'!M10</f>
        <v>112000</v>
      </c>
      <c r="P95" s="476">
        <f>'Power Summary'!N10</f>
        <v>112000</v>
      </c>
      <c r="Q95" s="476">
        <f>'Power Summary'!O10</f>
        <v>112000</v>
      </c>
      <c r="R95" s="476">
        <f>'Power Summary'!P10</f>
        <v>112000</v>
      </c>
      <c r="S95" s="476">
        <f>'Power Summary'!Q10</f>
        <v>112000</v>
      </c>
      <c r="T95" s="476">
        <f>'Power Summary'!R10</f>
        <v>112000</v>
      </c>
      <c r="U95" s="476">
        <f>'Power Summary'!S10</f>
        <v>112000</v>
      </c>
      <c r="V95" s="476">
        <f>'Power Summary'!T10</f>
        <v>112000</v>
      </c>
      <c r="W95" s="476">
        <f>'Power Summary'!U10</f>
        <v>112000</v>
      </c>
      <c r="X95" s="476">
        <f>'Power Summary'!V10</f>
        <v>112000</v>
      </c>
      <c r="Y95" s="476">
        <f>'Power Summary'!W10</f>
        <v>112000</v>
      </c>
      <c r="Z95" s="476">
        <f>'Power Summary'!X10</f>
        <v>112000</v>
      </c>
      <c r="AA95" s="476">
        <f>'Power Summary'!Y10</f>
        <v>112000</v>
      </c>
      <c r="AB95" s="476">
        <f>'Power Summary'!Z10</f>
        <v>112000</v>
      </c>
      <c r="AC95" s="476">
        <f>'Power Summary'!AA10</f>
        <v>112000</v>
      </c>
      <c r="AD95" s="476">
        <f>'Power Summary'!AB10</f>
        <v>112000</v>
      </c>
      <c r="AE95" s="476">
        <f>'Power Summary'!AC10</f>
        <v>112000</v>
      </c>
      <c r="AF95" s="476">
        <f>'Power Summary'!AD10</f>
        <v>0</v>
      </c>
      <c r="AG95" s="476">
        <f>'Power Summary'!AE10</f>
        <v>0</v>
      </c>
      <c r="AH95" s="476">
        <f>'Power Summary'!AF10</f>
        <v>0</v>
      </c>
      <c r="AI95" s="476">
        <f>'Power Summary'!AG10</f>
        <v>0</v>
      </c>
      <c r="AJ95" s="476">
        <f>'Power Summary'!AH10</f>
        <v>0</v>
      </c>
      <c r="AK95" s="476">
        <f>'Power Summary'!AI10</f>
        <v>0</v>
      </c>
      <c r="AL95" s="476">
        <f>'Power Summary'!AJ10</f>
        <v>0</v>
      </c>
      <c r="AM95" s="476">
        <f>'Power Summary'!AK10</f>
        <v>0</v>
      </c>
      <c r="AN95" s="476">
        <f>'Power Summary'!AL10</f>
        <v>0</v>
      </c>
      <c r="AO95" s="476">
        <f>'Power Summary'!AM10</f>
        <v>0</v>
      </c>
      <c r="AP95" s="476">
        <f>'Power Summary'!AN10</f>
        <v>0</v>
      </c>
      <c r="AQ95" s="476">
        <f>'Power Summary'!AO10</f>
        <v>0</v>
      </c>
      <c r="AR95" s="476">
        <f>'Power Summary'!AP10</f>
        <v>0</v>
      </c>
      <c r="AS95" s="476">
        <f>'Power Summary'!AQ10</f>
        <v>0</v>
      </c>
      <c r="AT95" s="476">
        <f>'Power Summary'!AR10</f>
        <v>0</v>
      </c>
      <c r="AU95" s="476">
        <f>'Power Summary'!AS10</f>
        <v>0</v>
      </c>
      <c r="AV95" s="476">
        <f>'Power Summary'!AT10</f>
        <v>0</v>
      </c>
      <c r="AW95" s="476">
        <f>'Power Summary'!AU10</f>
        <v>0</v>
      </c>
      <c r="AX95" s="476">
        <f>'Power Summary'!AV10</f>
        <v>0</v>
      </c>
    </row>
    <row r="96" spans="1:50" ht="14.25" customHeight="1">
      <c r="A96" s="1"/>
      <c r="B96" s="84"/>
      <c r="C96" s="98"/>
      <c r="D96" s="84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/>
      <c r="AE96" s="223"/>
      <c r="AF96" s="223"/>
      <c r="AG96" s="223"/>
      <c r="AH96" s="223"/>
      <c r="AI96" s="223"/>
      <c r="AJ96" s="223"/>
      <c r="AK96" s="223"/>
      <c r="AL96" s="223"/>
      <c r="AM96" s="223"/>
      <c r="AN96" s="223"/>
      <c r="AO96" s="223"/>
      <c r="AP96" s="223"/>
      <c r="AQ96" s="223"/>
      <c r="AR96" s="223"/>
      <c r="AS96" s="223"/>
      <c r="AT96" s="223"/>
      <c r="AU96" s="223"/>
      <c r="AV96" s="223"/>
      <c r="AW96" s="223"/>
      <c r="AX96" s="223"/>
    </row>
    <row r="97" spans="1:50" ht="14.25" customHeight="1">
      <c r="A97" s="1"/>
      <c r="B97" s="84"/>
      <c r="C97" s="101" t="s">
        <v>386</v>
      </c>
      <c r="D97" s="8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  <c r="AM97" s="223"/>
      <c r="AN97" s="223"/>
      <c r="AO97" s="223"/>
      <c r="AP97" s="223"/>
      <c r="AQ97" s="223"/>
      <c r="AR97" s="223"/>
      <c r="AS97" s="223"/>
      <c r="AT97" s="223"/>
      <c r="AU97" s="223"/>
      <c r="AV97" s="223"/>
      <c r="AW97" s="223"/>
      <c r="AX97" s="223"/>
    </row>
    <row r="98" spans="1:50" ht="14.25" customHeight="1">
      <c r="A98" s="1"/>
      <c r="B98" s="84"/>
      <c r="C98" s="98" t="s">
        <v>6</v>
      </c>
      <c r="D98" s="84"/>
      <c r="E98" s="476">
        <f>'Power Summary'!C19</f>
        <v>0</v>
      </c>
      <c r="F98" s="476">
        <f>'Power Summary'!D19</f>
        <v>58400</v>
      </c>
      <c r="G98" s="476">
        <f>'Power Summary'!E19</f>
        <v>173887.64387132286</v>
      </c>
      <c r="H98" s="476">
        <f>'Power Summary'!F19</f>
        <v>172148.7674326096</v>
      </c>
      <c r="I98" s="476">
        <f>'Power Summary'!G19</f>
        <v>170422.93256718674</v>
      </c>
      <c r="J98" s="476">
        <f>'Power Summary'!H19</f>
        <v>168710.05233123226</v>
      </c>
      <c r="K98" s="476">
        <f>'Power Summary'!I19</f>
        <v>167010.04032432317</v>
      </c>
      <c r="L98" s="476">
        <f>'Power Summary'!J19</f>
        <v>165322.8106861749</v>
      </c>
      <c r="M98" s="476">
        <f>'Power Summary'!K19</f>
        <v>163648.27809339995</v>
      </c>
      <c r="N98" s="476">
        <f>'Power Summary'!L19</f>
        <v>161986.35775628564</v>
      </c>
      <c r="O98" s="476">
        <f>'Power Summary'!M19</f>
        <v>160336.96541559012</v>
      </c>
      <c r="P98" s="476">
        <f>'Power Summary'!N19</f>
        <v>158700.01733935764</v>
      </c>
      <c r="Q98" s="476">
        <f>'Power Summary'!O19</f>
        <v>157075.43031975214</v>
      </c>
      <c r="R98" s="476">
        <f>'Power Summary'!P19</f>
        <v>155463.12166990916</v>
      </c>
      <c r="S98" s="476">
        <f>'Power Summary'!Q19</f>
        <v>153863.00922080665</v>
      </c>
      <c r="T98" s="476">
        <f>'Power Summary'!R19</f>
        <v>152275.01131815341</v>
      </c>
      <c r="U98" s="476">
        <f>'Power Summary'!S19</f>
        <v>150699.04681929617</v>
      </c>
      <c r="V98" s="476">
        <f>'Power Summary'!T19</f>
        <v>149135.03509014455</v>
      </c>
      <c r="W98" s="476">
        <f>'Power Summary'!U19</f>
        <v>147582.89600211396</v>
      </c>
      <c r="X98" s="476">
        <f>'Power Summary'!V19</f>
        <v>146042.54992908644</v>
      </c>
      <c r="Y98" s="476">
        <f>'Power Summary'!W19</f>
        <v>144513.91774438915</v>
      </c>
      <c r="Z98" s="476">
        <f>'Power Summary'!X19</f>
        <v>142996.92081779055</v>
      </c>
      <c r="AA98" s="476">
        <f>'Power Summary'!Y19</f>
        <v>141491.48101251441</v>
      </c>
      <c r="AB98" s="476">
        <f>'Power Summary'!Z19</f>
        <v>139997.52068227052</v>
      </c>
      <c r="AC98" s="476">
        <f>'Power Summary'!AA19</f>
        <v>138514.96266830381</v>
      </c>
      <c r="AD98" s="476">
        <f>'Power Summary'!AB19</f>
        <v>137043.73029645966</v>
      </c>
      <c r="AE98" s="476">
        <f>'Power Summary'!AC19</f>
        <v>135583.74737426726</v>
      </c>
      <c r="AF98" s="476">
        <f>'Power Summary'!AD19</f>
        <v>0</v>
      </c>
      <c r="AG98" s="476">
        <f>'Power Summary'!AE19</f>
        <v>0</v>
      </c>
      <c r="AH98" s="476">
        <f>'Power Summary'!AF19</f>
        <v>0</v>
      </c>
      <c r="AI98" s="476">
        <f>'Power Summary'!AG19</f>
        <v>0</v>
      </c>
      <c r="AJ98" s="476">
        <f>'Power Summary'!AH19</f>
        <v>0</v>
      </c>
      <c r="AK98" s="476">
        <f>'Power Summary'!AI19</f>
        <v>0</v>
      </c>
      <c r="AL98" s="476">
        <f>'Power Summary'!AJ19</f>
        <v>0</v>
      </c>
      <c r="AM98" s="476">
        <f>'Power Summary'!AK19</f>
        <v>0</v>
      </c>
      <c r="AN98" s="476">
        <f>'Power Summary'!AL19</f>
        <v>0</v>
      </c>
      <c r="AO98" s="476">
        <f>'Power Summary'!AM19</f>
        <v>0</v>
      </c>
      <c r="AP98" s="476">
        <f>'Power Summary'!AN19</f>
        <v>0</v>
      </c>
      <c r="AQ98" s="476">
        <f>'Power Summary'!AO19</f>
        <v>0</v>
      </c>
      <c r="AR98" s="476">
        <f>'Power Summary'!AP19</f>
        <v>0</v>
      </c>
      <c r="AS98" s="476">
        <f>'Power Summary'!AQ19</f>
        <v>0</v>
      </c>
      <c r="AT98" s="476">
        <f>'Power Summary'!AR19</f>
        <v>0</v>
      </c>
      <c r="AU98" s="476">
        <f>'Power Summary'!AS19</f>
        <v>0</v>
      </c>
      <c r="AV98" s="476">
        <f>'Power Summary'!AT19</f>
        <v>0</v>
      </c>
      <c r="AW98" s="476">
        <f>'Power Summary'!AU19</f>
        <v>0</v>
      </c>
      <c r="AX98" s="476">
        <f>'Power Summary'!AV19</f>
        <v>0</v>
      </c>
    </row>
    <row r="99" spans="1:50" ht="14.25" customHeight="1">
      <c r="A99" s="1"/>
      <c r="B99" s="84"/>
      <c r="C99" s="98" t="s">
        <v>387</v>
      </c>
      <c r="D99" s="84"/>
      <c r="E99" s="476">
        <f>'Power Summary'!C20</f>
        <v>0</v>
      </c>
      <c r="F99" s="476">
        <f>'Power Summary'!D20</f>
        <v>88962.222222222219</v>
      </c>
      <c r="G99" s="476">
        <f>'Power Summary'!E20</f>
        <v>106400</v>
      </c>
      <c r="H99" s="476">
        <f>'Power Summary'!F20</f>
        <v>106400</v>
      </c>
      <c r="I99" s="476">
        <f>'Power Summary'!G20</f>
        <v>106400</v>
      </c>
      <c r="J99" s="476">
        <f>'Power Summary'!H20</f>
        <v>106400</v>
      </c>
      <c r="K99" s="476">
        <f>'Power Summary'!I20</f>
        <v>106400</v>
      </c>
      <c r="L99" s="476">
        <f>'Power Summary'!J20</f>
        <v>106400</v>
      </c>
      <c r="M99" s="476">
        <f>'Power Summary'!K20</f>
        <v>106400</v>
      </c>
      <c r="N99" s="476">
        <f>'Power Summary'!L20</f>
        <v>106400</v>
      </c>
      <c r="O99" s="476">
        <f>'Power Summary'!M20</f>
        <v>106400</v>
      </c>
      <c r="P99" s="476">
        <f>'Power Summary'!N20</f>
        <v>106400</v>
      </c>
      <c r="Q99" s="476">
        <f>'Power Summary'!O20</f>
        <v>106400</v>
      </c>
      <c r="R99" s="476">
        <f>'Power Summary'!P20</f>
        <v>106400</v>
      </c>
      <c r="S99" s="476">
        <f>'Power Summary'!Q20</f>
        <v>106400</v>
      </c>
      <c r="T99" s="476">
        <f>'Power Summary'!R20</f>
        <v>106400</v>
      </c>
      <c r="U99" s="476">
        <f>'Power Summary'!S20</f>
        <v>106400</v>
      </c>
      <c r="V99" s="476">
        <f>'Power Summary'!T20</f>
        <v>106400</v>
      </c>
      <c r="W99" s="476">
        <f>'Power Summary'!U20</f>
        <v>106400</v>
      </c>
      <c r="X99" s="476">
        <f>'Power Summary'!V20</f>
        <v>106400</v>
      </c>
      <c r="Y99" s="476">
        <f>'Power Summary'!W20</f>
        <v>106400</v>
      </c>
      <c r="Z99" s="476">
        <f>'Power Summary'!X20</f>
        <v>106400</v>
      </c>
      <c r="AA99" s="476">
        <f>'Power Summary'!Y20</f>
        <v>106400</v>
      </c>
      <c r="AB99" s="476">
        <f>'Power Summary'!Z20</f>
        <v>106400</v>
      </c>
      <c r="AC99" s="476">
        <f>'Power Summary'!AA20</f>
        <v>106400</v>
      </c>
      <c r="AD99" s="476">
        <f>'Power Summary'!AB20</f>
        <v>106400</v>
      </c>
      <c r="AE99" s="476">
        <f>'Power Summary'!AC20</f>
        <v>106400</v>
      </c>
      <c r="AF99" s="476">
        <f>'Power Summary'!AD20</f>
        <v>0</v>
      </c>
      <c r="AG99" s="476">
        <f>'Power Summary'!AE20</f>
        <v>0</v>
      </c>
      <c r="AH99" s="476">
        <f>'Power Summary'!AF20</f>
        <v>0</v>
      </c>
      <c r="AI99" s="476">
        <f>'Power Summary'!AG20</f>
        <v>0</v>
      </c>
      <c r="AJ99" s="476">
        <f>'Power Summary'!AH20</f>
        <v>0</v>
      </c>
      <c r="AK99" s="476">
        <f>'Power Summary'!AI20</f>
        <v>0</v>
      </c>
      <c r="AL99" s="476">
        <f>'Power Summary'!AJ20</f>
        <v>0</v>
      </c>
      <c r="AM99" s="476">
        <f>'Power Summary'!AK20</f>
        <v>0</v>
      </c>
      <c r="AN99" s="476">
        <f>'Power Summary'!AL20</f>
        <v>0</v>
      </c>
      <c r="AO99" s="476">
        <f>'Power Summary'!AM20</f>
        <v>0</v>
      </c>
      <c r="AP99" s="476">
        <f>'Power Summary'!AN20</f>
        <v>0</v>
      </c>
      <c r="AQ99" s="476">
        <f>'Power Summary'!AO20</f>
        <v>0</v>
      </c>
      <c r="AR99" s="476">
        <f>'Power Summary'!AP20</f>
        <v>0</v>
      </c>
      <c r="AS99" s="476">
        <f>'Power Summary'!AQ20</f>
        <v>0</v>
      </c>
      <c r="AT99" s="476">
        <f>'Power Summary'!AR20</f>
        <v>0</v>
      </c>
      <c r="AU99" s="476">
        <f>'Power Summary'!AS20</f>
        <v>0</v>
      </c>
      <c r="AV99" s="476">
        <f>'Power Summary'!AT20</f>
        <v>0</v>
      </c>
      <c r="AW99" s="476">
        <f>'Power Summary'!AU20</f>
        <v>0</v>
      </c>
      <c r="AX99" s="476">
        <f>'Power Summary'!AV20</f>
        <v>0</v>
      </c>
    </row>
    <row r="100" spans="1:50" ht="14.25" customHeight="1">
      <c r="A100" s="1"/>
      <c r="B100" s="84"/>
      <c r="C100" s="98" t="s">
        <v>4</v>
      </c>
      <c r="D100" s="84"/>
      <c r="E100" s="476">
        <f>'Power Summary'!C21</f>
        <v>0</v>
      </c>
      <c r="F100" s="476">
        <f>'Power Summary'!D21</f>
        <v>0</v>
      </c>
      <c r="G100" s="476">
        <f>'Power Summary'!E21</f>
        <v>0</v>
      </c>
      <c r="H100" s="476">
        <f>'Power Summary'!F21</f>
        <v>496953.59999999998</v>
      </c>
      <c r="I100" s="476">
        <f>'Power Summary'!G21</f>
        <v>745430.4</v>
      </c>
      <c r="J100" s="476">
        <f>'Power Summary'!H21</f>
        <v>743566.82400000002</v>
      </c>
      <c r="K100" s="476">
        <f>'Power Summary'!I21</f>
        <v>741707.90694000013</v>
      </c>
      <c r="L100" s="476">
        <f>'Power Summary'!J21</f>
        <v>739853.63717265008</v>
      </c>
      <c r="M100" s="476">
        <f>'Power Summary'!K21</f>
        <v>738004.00307971844</v>
      </c>
      <c r="N100" s="476">
        <f>'Power Summary'!L21</f>
        <v>736158.99307201931</v>
      </c>
      <c r="O100" s="476">
        <f>'Power Summary'!M21</f>
        <v>734318.59558933927</v>
      </c>
      <c r="P100" s="476">
        <f>'Power Summary'!N21</f>
        <v>732482.79910036596</v>
      </c>
      <c r="Q100" s="476">
        <f>'Power Summary'!O21</f>
        <v>730651.59210261505</v>
      </c>
      <c r="R100" s="476">
        <f>'Power Summary'!P21</f>
        <v>728824.96312235855</v>
      </c>
      <c r="S100" s="476">
        <f>'Power Summary'!Q21</f>
        <v>727002.90071455261</v>
      </c>
      <c r="T100" s="476">
        <f>'Power Summary'!R21</f>
        <v>725185.39346276631</v>
      </c>
      <c r="U100" s="476">
        <f>'Power Summary'!S21</f>
        <v>723372.42997910944</v>
      </c>
      <c r="V100" s="476">
        <f>'Power Summary'!T21</f>
        <v>721563.99890416162</v>
      </c>
      <c r="W100" s="476">
        <f>'Power Summary'!U21</f>
        <v>719760.08890690131</v>
      </c>
      <c r="X100" s="476">
        <f>'Power Summary'!V21</f>
        <v>717960.68868463405</v>
      </c>
      <c r="Y100" s="476">
        <f>'Power Summary'!W21</f>
        <v>716165.78696292255</v>
      </c>
      <c r="Z100" s="476">
        <f>'Power Summary'!X21</f>
        <v>714375.37249551527</v>
      </c>
      <c r="AA100" s="476">
        <f>'Power Summary'!Y21</f>
        <v>712589.43406427652</v>
      </c>
      <c r="AB100" s="476">
        <f>'Power Summary'!Z21</f>
        <v>710807.96047911583</v>
      </c>
      <c r="AC100" s="476">
        <f>'Power Summary'!AA21</f>
        <v>709030.94057791808</v>
      </c>
      <c r="AD100" s="476">
        <f>'Power Summary'!AB21</f>
        <v>707258.36322647345</v>
      </c>
      <c r="AE100" s="476">
        <f>'Power Summary'!AC21</f>
        <v>705490.21731840726</v>
      </c>
      <c r="AF100" s="476">
        <f>'Power Summary'!AD21</f>
        <v>703726.4917751113</v>
      </c>
      <c r="AG100" s="476">
        <f>'Power Summary'!AE21</f>
        <v>701967.17554567347</v>
      </c>
      <c r="AH100" s="476">
        <f>'Power Summary'!AF21</f>
        <v>0</v>
      </c>
      <c r="AI100" s="476">
        <f>'Power Summary'!AG21</f>
        <v>0</v>
      </c>
      <c r="AJ100" s="476">
        <f>'Power Summary'!AH21</f>
        <v>0</v>
      </c>
      <c r="AK100" s="476">
        <f>'Power Summary'!AI21</f>
        <v>0</v>
      </c>
      <c r="AL100" s="476">
        <f>'Power Summary'!AJ21</f>
        <v>0</v>
      </c>
      <c r="AM100" s="476">
        <f>'Power Summary'!AK21</f>
        <v>0</v>
      </c>
      <c r="AN100" s="476">
        <f>'Power Summary'!AL21</f>
        <v>0</v>
      </c>
      <c r="AO100" s="476">
        <f>'Power Summary'!AM21</f>
        <v>0</v>
      </c>
      <c r="AP100" s="476">
        <f>'Power Summary'!AN21</f>
        <v>0</v>
      </c>
      <c r="AQ100" s="476">
        <f>'Power Summary'!AO21</f>
        <v>0</v>
      </c>
      <c r="AR100" s="476">
        <f>'Power Summary'!AP21</f>
        <v>0</v>
      </c>
      <c r="AS100" s="476">
        <f>'Power Summary'!AQ21</f>
        <v>0</v>
      </c>
      <c r="AT100" s="476">
        <f>'Power Summary'!AR21</f>
        <v>0</v>
      </c>
      <c r="AU100" s="476">
        <f>'Power Summary'!AS21</f>
        <v>0</v>
      </c>
      <c r="AV100" s="476">
        <f>'Power Summary'!AT21</f>
        <v>0</v>
      </c>
      <c r="AW100" s="476">
        <f>'Power Summary'!AU21</f>
        <v>0</v>
      </c>
      <c r="AX100" s="476">
        <f>'Power Summary'!AV21</f>
        <v>0</v>
      </c>
    </row>
    <row r="101" spans="1:50" ht="14.25" customHeight="1">
      <c r="A101" s="1"/>
      <c r="B101" s="84"/>
      <c r="C101" s="98" t="s">
        <v>9</v>
      </c>
      <c r="D101" s="84"/>
      <c r="E101" s="476">
        <f>'Power Summary'!C22</f>
        <v>0</v>
      </c>
      <c r="F101" s="476">
        <f>'Power Summary'!D22</f>
        <v>0</v>
      </c>
      <c r="G101" s="476">
        <f>'Power Summary'!E22</f>
        <v>0</v>
      </c>
      <c r="H101" s="476">
        <f>'Power Summary'!F22</f>
        <v>0</v>
      </c>
      <c r="I101" s="476">
        <f>'Power Summary'!G22</f>
        <v>665691.6</v>
      </c>
      <c r="J101" s="476">
        <f>'Power Summary'!H22</f>
        <v>796176</v>
      </c>
      <c r="K101" s="476">
        <f>'Power Summary'!I22</f>
        <v>794185.55999999994</v>
      </c>
      <c r="L101" s="476">
        <f>'Power Summary'!J22</f>
        <v>792200.09610000008</v>
      </c>
      <c r="M101" s="476">
        <f>'Power Summary'!K22</f>
        <v>790219.59585975017</v>
      </c>
      <c r="N101" s="476">
        <f>'Power Summary'!L22</f>
        <v>788244.04687010078</v>
      </c>
      <c r="O101" s="476">
        <f>'Power Summary'!M22</f>
        <v>786273.43675292563</v>
      </c>
      <c r="P101" s="476">
        <f>'Power Summary'!N22</f>
        <v>784307.75316104328</v>
      </c>
      <c r="Q101" s="476">
        <f>'Power Summary'!O22</f>
        <v>782346.98377814074</v>
      </c>
      <c r="R101" s="476">
        <f>'Power Summary'!P22</f>
        <v>780391.11631869536</v>
      </c>
      <c r="S101" s="476">
        <f>'Power Summary'!Q22</f>
        <v>778440.13852789858</v>
      </c>
      <c r="T101" s="476">
        <f>'Power Summary'!R22</f>
        <v>776494.03818157897</v>
      </c>
      <c r="U101" s="476">
        <f>'Power Summary'!S22</f>
        <v>774552.80308612506</v>
      </c>
      <c r="V101" s="476">
        <f>'Power Summary'!T22</f>
        <v>772616.42107840977</v>
      </c>
      <c r="W101" s="476">
        <f>'Power Summary'!U22</f>
        <v>770684.88002571382</v>
      </c>
      <c r="X101" s="476">
        <f>'Power Summary'!V22</f>
        <v>768758.16782564949</v>
      </c>
      <c r="Y101" s="476">
        <f>'Power Summary'!W22</f>
        <v>766836.27240608551</v>
      </c>
      <c r="Z101" s="476">
        <f>'Power Summary'!X22</f>
        <v>764919.18172507023</v>
      </c>
      <c r="AA101" s="476">
        <f>'Power Summary'!Y22</f>
        <v>763006.8837707577</v>
      </c>
      <c r="AB101" s="476">
        <f>'Power Summary'!Z22</f>
        <v>761099.36656133074</v>
      </c>
      <c r="AC101" s="476">
        <f>'Power Summary'!AA22</f>
        <v>759196.61814492743</v>
      </c>
      <c r="AD101" s="476">
        <f>'Power Summary'!AB22</f>
        <v>757298.62659956515</v>
      </c>
      <c r="AE101" s="476">
        <f>'Power Summary'!AC22</f>
        <v>755405.38003306638</v>
      </c>
      <c r="AF101" s="476">
        <f>'Power Summary'!AD22</f>
        <v>753516.86658298376</v>
      </c>
      <c r="AG101" s="476">
        <f>'Power Summary'!AE22</f>
        <v>751633.07441652624</v>
      </c>
      <c r="AH101" s="476">
        <f>'Power Summary'!AF22</f>
        <v>749753.99173048488</v>
      </c>
      <c r="AI101" s="476">
        <f>'Power Summary'!AG22</f>
        <v>0</v>
      </c>
      <c r="AJ101" s="476">
        <f>'Power Summary'!AH22</f>
        <v>0</v>
      </c>
      <c r="AK101" s="476">
        <f>'Power Summary'!AI22</f>
        <v>0</v>
      </c>
      <c r="AL101" s="476">
        <f>'Power Summary'!AJ22</f>
        <v>0</v>
      </c>
      <c r="AM101" s="476">
        <f>'Power Summary'!AK22</f>
        <v>0</v>
      </c>
      <c r="AN101" s="476">
        <f>'Power Summary'!AL22</f>
        <v>0</v>
      </c>
      <c r="AO101" s="476">
        <f>'Power Summary'!AM22</f>
        <v>0</v>
      </c>
      <c r="AP101" s="476">
        <f>'Power Summary'!AN22</f>
        <v>0</v>
      </c>
      <c r="AQ101" s="476">
        <f>'Power Summary'!AO22</f>
        <v>0</v>
      </c>
      <c r="AR101" s="476">
        <f>'Power Summary'!AP22</f>
        <v>0</v>
      </c>
      <c r="AS101" s="476">
        <f>'Power Summary'!AQ22</f>
        <v>0</v>
      </c>
      <c r="AT101" s="476">
        <f>'Power Summary'!AR22</f>
        <v>0</v>
      </c>
      <c r="AU101" s="476">
        <f>'Power Summary'!AS22</f>
        <v>0</v>
      </c>
      <c r="AV101" s="476">
        <f>'Power Summary'!AT22</f>
        <v>0</v>
      </c>
      <c r="AW101" s="476">
        <f>'Power Summary'!AU22</f>
        <v>0</v>
      </c>
      <c r="AX101" s="476">
        <f>'Power Summary'!AV22</f>
        <v>0</v>
      </c>
    </row>
    <row r="102" spans="1:50" ht="14.25" customHeight="1">
      <c r="A102" s="1"/>
      <c r="B102" s="84"/>
      <c r="C102" s="98"/>
      <c r="D102" s="84"/>
      <c r="E102" s="476"/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6"/>
      <c r="AC102" s="476"/>
      <c r="AD102" s="476"/>
      <c r="AE102" s="476"/>
      <c r="AF102" s="476"/>
      <c r="AG102" s="476"/>
      <c r="AH102" s="476"/>
      <c r="AI102" s="476"/>
      <c r="AJ102" s="476"/>
      <c r="AK102" s="476"/>
      <c r="AL102" s="476"/>
      <c r="AM102" s="476"/>
      <c r="AN102" s="476"/>
      <c r="AO102" s="476"/>
      <c r="AP102" s="476"/>
      <c r="AQ102" s="476"/>
      <c r="AR102" s="476"/>
      <c r="AS102" s="476"/>
      <c r="AT102" s="476"/>
      <c r="AU102" s="476"/>
      <c r="AV102" s="476"/>
      <c r="AW102" s="476"/>
      <c r="AX102" s="476"/>
    </row>
    <row r="103" spans="1:50" ht="14.25" customHeight="1">
      <c r="A103" s="1"/>
      <c r="B103" s="84"/>
      <c r="C103" s="477" t="s">
        <v>388</v>
      </c>
      <c r="D103" s="306"/>
      <c r="E103" s="77">
        <f>'Power Summary'!C24</f>
        <v>2544480</v>
      </c>
      <c r="F103" s="77">
        <f>'Power Summary'!D24</f>
        <v>2970546.0044444446</v>
      </c>
      <c r="G103" s="77">
        <f>'Power Summary'!E24</f>
        <v>3153242.08</v>
      </c>
      <c r="H103" s="77">
        <f>'Power Summary'!F24</f>
        <v>3153242.08</v>
      </c>
      <c r="I103" s="77">
        <f>'Power Summary'!G24</f>
        <v>3153242.08</v>
      </c>
      <c r="J103" s="77">
        <f>'Power Summary'!H24</f>
        <v>3153242.08</v>
      </c>
      <c r="K103" s="77">
        <f>'Power Summary'!I24</f>
        <v>3153242.08</v>
      </c>
      <c r="L103" s="77">
        <f>'Power Summary'!J24</f>
        <v>3153242.08</v>
      </c>
      <c r="M103" s="77">
        <f>'Power Summary'!K24</f>
        <v>3153242.08</v>
      </c>
      <c r="N103" s="77">
        <f>'Power Summary'!L24</f>
        <v>3153242.08</v>
      </c>
      <c r="O103" s="77">
        <f>'Power Summary'!M24</f>
        <v>3153242.08</v>
      </c>
      <c r="P103" s="77">
        <f>'Power Summary'!N24</f>
        <v>3153242.08</v>
      </c>
      <c r="Q103" s="77">
        <f>'Power Summary'!O24</f>
        <v>3153242.08</v>
      </c>
      <c r="R103" s="77">
        <f>'Power Summary'!P24</f>
        <v>3153242.08</v>
      </c>
      <c r="S103" s="77">
        <f>'Power Summary'!Q24</f>
        <v>3153242.08</v>
      </c>
      <c r="T103" s="77">
        <f>'Power Summary'!R24</f>
        <v>3153242.08</v>
      </c>
      <c r="U103" s="77">
        <f>'Power Summary'!S24</f>
        <v>3153242.08</v>
      </c>
      <c r="V103" s="77">
        <f>'Power Summary'!T24</f>
        <v>3153242.08</v>
      </c>
      <c r="W103" s="77">
        <f>'Power Summary'!U24</f>
        <v>3153242.08</v>
      </c>
      <c r="X103" s="77">
        <f>'Power Summary'!V24</f>
        <v>3153242.08</v>
      </c>
      <c r="Y103" s="77">
        <f>'Power Summary'!W24</f>
        <v>3153242.08</v>
      </c>
      <c r="Z103" s="77">
        <f>'Power Summary'!X24</f>
        <v>3153242.08</v>
      </c>
      <c r="AA103" s="77">
        <f>'Power Summary'!Y24</f>
        <v>3153242.08</v>
      </c>
      <c r="AB103" s="77">
        <f>'Power Summary'!Z24</f>
        <v>3153242.08</v>
      </c>
      <c r="AC103" s="77">
        <f>'Power Summary'!AA24</f>
        <v>3153242.08</v>
      </c>
      <c r="AD103" s="77">
        <f>'Power Summary'!AB24</f>
        <v>3153242.08</v>
      </c>
      <c r="AE103" s="77">
        <f>'Power Summary'!AC24</f>
        <v>3153242.08</v>
      </c>
      <c r="AF103" s="77">
        <f>'Power Summary'!AD24</f>
        <v>2544480</v>
      </c>
      <c r="AG103" s="77">
        <f>'Power Summary'!AE24</f>
        <v>2544480</v>
      </c>
      <c r="AH103" s="77">
        <f>'Power Summary'!AF24</f>
        <v>2544480</v>
      </c>
      <c r="AI103" s="77">
        <f>'Power Summary'!AG24</f>
        <v>2544480</v>
      </c>
      <c r="AJ103" s="77">
        <f>'Power Summary'!AH24</f>
        <v>2544480</v>
      </c>
      <c r="AK103" s="77">
        <f>'Power Summary'!AI24</f>
        <v>2544480</v>
      </c>
      <c r="AL103" s="77">
        <f>'Power Summary'!AJ24</f>
        <v>2544480</v>
      </c>
      <c r="AM103" s="77">
        <f>'Power Summary'!AK24</f>
        <v>2544480</v>
      </c>
      <c r="AN103" s="77">
        <f>'Power Summary'!AL24</f>
        <v>2544480</v>
      </c>
      <c r="AO103" s="77">
        <f>'Power Summary'!AM24</f>
        <v>2544480</v>
      </c>
      <c r="AP103" s="77">
        <f>'Power Summary'!AN24</f>
        <v>2544480</v>
      </c>
      <c r="AQ103" s="77">
        <f>'Power Summary'!AO24</f>
        <v>2544480</v>
      </c>
      <c r="AR103" s="77">
        <f>'Power Summary'!AP24</f>
        <v>2544480</v>
      </c>
      <c r="AS103" s="77">
        <f>'Power Summary'!AQ24</f>
        <v>2544480</v>
      </c>
      <c r="AT103" s="77">
        <f>'Power Summary'!AR24</f>
        <v>2544480</v>
      </c>
      <c r="AU103" s="77">
        <f>'Power Summary'!AS24</f>
        <v>2544480</v>
      </c>
      <c r="AV103" s="77">
        <f>'Power Summary'!AT24</f>
        <v>2544480</v>
      </c>
      <c r="AW103" s="77">
        <f>'Power Summary'!AU24</f>
        <v>2544480</v>
      </c>
      <c r="AX103" s="77">
        <f>'Power Summary'!AV24</f>
        <v>0</v>
      </c>
    </row>
    <row r="104" spans="1:50" ht="14.25" customHeight="1">
      <c r="A104" s="1"/>
      <c r="B104" s="84"/>
      <c r="C104" s="322" t="s">
        <v>389</v>
      </c>
      <c r="D104" s="83"/>
      <c r="E104" s="163">
        <f>'Power Summary'!C26</f>
        <v>0</v>
      </c>
      <c r="F104" s="163">
        <f>'Power Summary'!D26</f>
        <v>147362.22222222222</v>
      </c>
      <c r="G104" s="163">
        <f>'Power Summary'!E26</f>
        <v>280287.64387132286</v>
      </c>
      <c r="H104" s="163">
        <f>'Power Summary'!F26</f>
        <v>775502.36743260955</v>
      </c>
      <c r="I104" s="163">
        <f>'Power Summary'!G26</f>
        <v>1687944.9325671867</v>
      </c>
      <c r="J104" s="163">
        <f>'Power Summary'!H26</f>
        <v>1814852.8763312323</v>
      </c>
      <c r="K104" s="163">
        <f>'Power Summary'!I26</f>
        <v>1809303.5072643231</v>
      </c>
      <c r="L104" s="163">
        <f>'Power Summary'!J26</f>
        <v>1803776.5439588251</v>
      </c>
      <c r="M104" s="163">
        <f>'Power Summary'!K26</f>
        <v>1798271.8770328686</v>
      </c>
      <c r="N104" s="163">
        <f>'Power Summary'!L26</f>
        <v>1792789.3976984057</v>
      </c>
      <c r="O104" s="163">
        <f>'Power Summary'!M26</f>
        <v>1787328.9977578549</v>
      </c>
      <c r="P104" s="163">
        <f>'Power Summary'!N26</f>
        <v>1781890.569600767</v>
      </c>
      <c r="Q104" s="163">
        <f>'Power Summary'!O26</f>
        <v>1776474.006200508</v>
      </c>
      <c r="R104" s="163">
        <f>'Power Summary'!P26</f>
        <v>1771079.2011109632</v>
      </c>
      <c r="S104" s="163">
        <f>'Power Summary'!Q26</f>
        <v>1765706.048463258</v>
      </c>
      <c r="T104" s="163">
        <f>'Power Summary'!R26</f>
        <v>1760354.4429624986</v>
      </c>
      <c r="U104" s="163">
        <f>'Power Summary'!S26</f>
        <v>1755024.2798845307</v>
      </c>
      <c r="V104" s="163">
        <f>'Power Summary'!T26</f>
        <v>1749715.4550727159</v>
      </c>
      <c r="W104" s="163">
        <f>'Power Summary'!U26</f>
        <v>1744427.8649347289</v>
      </c>
      <c r="X104" s="163">
        <f>'Power Summary'!V26</f>
        <v>1739161.40643937</v>
      </c>
      <c r="Y104" s="163">
        <f>'Power Summary'!W26</f>
        <v>1733915.9771133973</v>
      </c>
      <c r="Z104" s="163">
        <f>'Power Summary'!X26</f>
        <v>1728691.4750383762</v>
      </c>
      <c r="AA104" s="163">
        <f>'Power Summary'!Y26</f>
        <v>1723487.7988475487</v>
      </c>
      <c r="AB104" s="163">
        <f>'Power Summary'!Z26</f>
        <v>1718304.8477227171</v>
      </c>
      <c r="AC104" s="163">
        <f>'Power Summary'!AA26</f>
        <v>1713142.5213911491</v>
      </c>
      <c r="AD104" s="163">
        <f>'Power Summary'!AB26</f>
        <v>1708000.7201224982</v>
      </c>
      <c r="AE104" s="163">
        <f>'Power Summary'!AC26</f>
        <v>1702879.3447257411</v>
      </c>
      <c r="AF104" s="163">
        <f>'Power Summary'!AD26</f>
        <v>1457243.3583580949</v>
      </c>
      <c r="AG104" s="163">
        <f>'Power Summary'!AE26</f>
        <v>1453600.2499621997</v>
      </c>
      <c r="AH104" s="163">
        <f>'Power Summary'!AF26</f>
        <v>749753.99173048488</v>
      </c>
      <c r="AI104" s="163">
        <f>'Power Summary'!AG26</f>
        <v>0</v>
      </c>
      <c r="AJ104" s="163">
        <f>'Power Summary'!AH26</f>
        <v>0</v>
      </c>
      <c r="AK104" s="163">
        <f>'Power Summary'!AI26</f>
        <v>0</v>
      </c>
      <c r="AL104" s="163">
        <f>'Power Summary'!AJ26</f>
        <v>0</v>
      </c>
      <c r="AM104" s="163">
        <f>'Power Summary'!AK26</f>
        <v>0</v>
      </c>
      <c r="AN104" s="163">
        <f>'Power Summary'!AL26</f>
        <v>0</v>
      </c>
      <c r="AO104" s="163">
        <f>'Power Summary'!AM26</f>
        <v>0</v>
      </c>
      <c r="AP104" s="163">
        <f>'Power Summary'!AN26</f>
        <v>0</v>
      </c>
      <c r="AQ104" s="163">
        <f>'Power Summary'!AO26</f>
        <v>0</v>
      </c>
      <c r="AR104" s="163">
        <f>'Power Summary'!AP26</f>
        <v>0</v>
      </c>
      <c r="AS104" s="163">
        <f>'Power Summary'!AQ26</f>
        <v>0</v>
      </c>
      <c r="AT104" s="163">
        <f>'Power Summary'!AR26</f>
        <v>0</v>
      </c>
      <c r="AU104" s="163">
        <f>'Power Summary'!AS26</f>
        <v>0</v>
      </c>
      <c r="AV104" s="163">
        <f>'Power Summary'!AT26</f>
        <v>0</v>
      </c>
      <c r="AW104" s="163">
        <f>'Power Summary'!AU26</f>
        <v>0</v>
      </c>
      <c r="AX104" s="163">
        <f>'Power Summary'!AV26</f>
        <v>0</v>
      </c>
    </row>
    <row r="105" spans="1:50" ht="14.25" customHeight="1" thickBot="1">
      <c r="A105" s="1"/>
      <c r="B105" s="84"/>
      <c r="C105" s="26" t="s">
        <v>390</v>
      </c>
      <c r="D105" s="24"/>
      <c r="E105" s="224">
        <f>'Power Summary'!C27</f>
        <v>2544480</v>
      </c>
      <c r="F105" s="224">
        <f>'Power Summary'!D27</f>
        <v>2823183.7822222225</v>
      </c>
      <c r="G105" s="224">
        <f>'Power Summary'!E27</f>
        <v>2872954.4361286773</v>
      </c>
      <c r="H105" s="224">
        <f>'Power Summary'!F27</f>
        <v>2377739.7125673904</v>
      </c>
      <c r="I105" s="224">
        <f>'Power Summary'!G27</f>
        <v>1465297.1474328134</v>
      </c>
      <c r="J105" s="224">
        <f>'Power Summary'!H27</f>
        <v>1338389.2036687678</v>
      </c>
      <c r="K105" s="224">
        <f>'Power Summary'!I27</f>
        <v>1343938.572735677</v>
      </c>
      <c r="L105" s="224">
        <f>'Power Summary'!J27</f>
        <v>1349465.536041175</v>
      </c>
      <c r="M105" s="224">
        <f>'Power Summary'!K27</f>
        <v>1354970.2029671315</v>
      </c>
      <c r="N105" s="224">
        <f>'Power Summary'!L27</f>
        <v>1360452.6823015944</v>
      </c>
      <c r="O105" s="224">
        <f>'Power Summary'!M27</f>
        <v>1365913.0822421452</v>
      </c>
      <c r="P105" s="224">
        <f>'Power Summary'!N27</f>
        <v>1371351.5103992331</v>
      </c>
      <c r="Q105" s="224">
        <f>'Power Summary'!O27</f>
        <v>1376768.0737994921</v>
      </c>
      <c r="R105" s="224">
        <f>'Power Summary'!P27</f>
        <v>1382162.8788890368</v>
      </c>
      <c r="S105" s="224">
        <f>'Power Summary'!Q27</f>
        <v>1387536.0315367421</v>
      </c>
      <c r="T105" s="224">
        <f>'Power Summary'!R27</f>
        <v>1392887.6370375014</v>
      </c>
      <c r="U105" s="224">
        <f>'Power Summary'!S27</f>
        <v>1398217.8001154694</v>
      </c>
      <c r="V105" s="224">
        <f>'Power Summary'!T27</f>
        <v>1403526.6249272842</v>
      </c>
      <c r="W105" s="224">
        <f>'Power Summary'!U27</f>
        <v>1408814.2150652711</v>
      </c>
      <c r="X105" s="224">
        <f>'Power Summary'!V27</f>
        <v>1414080.6735606301</v>
      </c>
      <c r="Y105" s="224">
        <f>'Power Summary'!W27</f>
        <v>1419326.1028866027</v>
      </c>
      <c r="Z105" s="224">
        <f>'Power Summary'!X27</f>
        <v>1424550.6049616239</v>
      </c>
      <c r="AA105" s="224">
        <f>'Power Summary'!Y27</f>
        <v>1429754.2811524514</v>
      </c>
      <c r="AB105" s="224">
        <f>'Power Summary'!Z27</f>
        <v>1434937.232277283</v>
      </c>
      <c r="AC105" s="224">
        <f>'Power Summary'!AA27</f>
        <v>1440099.5586088509</v>
      </c>
      <c r="AD105" s="224">
        <f>'Power Summary'!AB27</f>
        <v>1445241.3598775018</v>
      </c>
      <c r="AE105" s="224">
        <f>'Power Summary'!AC27</f>
        <v>1450362.735274259</v>
      </c>
      <c r="AF105" s="224">
        <f>'Power Summary'!AD27</f>
        <v>1087236.6416419051</v>
      </c>
      <c r="AG105" s="224">
        <f>'Power Summary'!AE27</f>
        <v>1090879.7500378003</v>
      </c>
      <c r="AH105" s="224">
        <f>'Power Summary'!AF27</f>
        <v>1794726.0082695151</v>
      </c>
      <c r="AI105" s="224">
        <f>'Power Summary'!AG27</f>
        <v>2544480</v>
      </c>
      <c r="AJ105" s="224">
        <f>'Power Summary'!AH27</f>
        <v>2544480</v>
      </c>
      <c r="AK105" s="224">
        <f>'Power Summary'!AI27</f>
        <v>2544480</v>
      </c>
      <c r="AL105" s="224">
        <f>'Power Summary'!AJ27</f>
        <v>2544480</v>
      </c>
      <c r="AM105" s="224">
        <f>'Power Summary'!AK27</f>
        <v>2544480</v>
      </c>
      <c r="AN105" s="224">
        <f>'Power Summary'!AL27</f>
        <v>2544480</v>
      </c>
      <c r="AO105" s="224">
        <f>'Power Summary'!AM27</f>
        <v>2544480</v>
      </c>
      <c r="AP105" s="224">
        <f>'Power Summary'!AN27</f>
        <v>2544480</v>
      </c>
      <c r="AQ105" s="224">
        <f>'Power Summary'!AO27</f>
        <v>2544480</v>
      </c>
      <c r="AR105" s="224">
        <f>'Power Summary'!AP27</f>
        <v>2544480</v>
      </c>
      <c r="AS105" s="224">
        <f>'Power Summary'!AQ27</f>
        <v>2544480</v>
      </c>
      <c r="AT105" s="224">
        <f>'Power Summary'!AR27</f>
        <v>2544480</v>
      </c>
      <c r="AU105" s="224">
        <f>'Power Summary'!AS27</f>
        <v>2544480</v>
      </c>
      <c r="AV105" s="224">
        <f>'Power Summary'!AT27</f>
        <v>2544480</v>
      </c>
      <c r="AW105" s="224">
        <f>'Power Summary'!AU27</f>
        <v>2544480</v>
      </c>
      <c r="AX105" s="224">
        <f>'Power Summary'!AV27</f>
        <v>0</v>
      </c>
    </row>
    <row r="106" spans="1:50" ht="14.25" customHeight="1">
      <c r="A106" s="1"/>
      <c r="B106" s="1"/>
      <c r="C106" s="83"/>
      <c r="D106" s="8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</row>
    <row r="107" spans="1:50" ht="14.25" customHeight="1">
      <c r="A107" s="1"/>
      <c r="B107" s="1"/>
      <c r="C107" s="2"/>
      <c r="D107" s="2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</row>
    <row r="108" spans="1:50" ht="20" thickBot="1">
      <c r="A108" s="1" t="s">
        <v>351</v>
      </c>
      <c r="B108" s="1"/>
      <c r="C108" s="9" t="s">
        <v>391</v>
      </c>
      <c r="D108" s="9"/>
      <c r="E108" s="9"/>
      <c r="F108" s="10"/>
      <c r="G108" s="10"/>
      <c r="H108" s="10"/>
      <c r="I108" s="10"/>
      <c r="J108" s="10"/>
      <c r="K108" s="11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ht="14.25" customHeight="1">
      <c r="A109" s="1"/>
      <c r="B109" s="1"/>
      <c r="C109" s="12" t="s">
        <v>392</v>
      </c>
      <c r="D109" s="12"/>
      <c r="E109" s="43">
        <v>0</v>
      </c>
      <c r="F109" s="90">
        <f t="shared" ref="F109" si="233">E109+1</f>
        <v>1</v>
      </c>
      <c r="G109" s="90">
        <f t="shared" ref="G109" si="234">F109+1</f>
        <v>2</v>
      </c>
      <c r="H109" s="90">
        <f t="shared" ref="H109" si="235">G109+1</f>
        <v>3</v>
      </c>
      <c r="I109" s="90">
        <f t="shared" ref="I109" si="236">H109+1</f>
        <v>4</v>
      </c>
      <c r="J109" s="90">
        <f t="shared" ref="J109" si="237">I109+1</f>
        <v>5</v>
      </c>
      <c r="K109" s="90">
        <f t="shared" ref="K109" si="238">J109+1</f>
        <v>6</v>
      </c>
      <c r="L109" s="90">
        <f t="shared" ref="L109" si="239">K109+1</f>
        <v>7</v>
      </c>
      <c r="M109" s="90">
        <f t="shared" ref="M109" si="240">L109+1</f>
        <v>8</v>
      </c>
      <c r="N109" s="90">
        <f t="shared" ref="N109" si="241">M109+1</f>
        <v>9</v>
      </c>
      <c r="O109" s="90">
        <f t="shared" ref="O109" si="242">N109+1</f>
        <v>10</v>
      </c>
      <c r="P109" s="90">
        <f t="shared" ref="P109" si="243">O109+1</f>
        <v>11</v>
      </c>
      <c r="Q109" s="90">
        <f t="shared" ref="Q109" si="244">P109+1</f>
        <v>12</v>
      </c>
      <c r="R109" s="90">
        <f t="shared" ref="R109" si="245">Q109+1</f>
        <v>13</v>
      </c>
      <c r="S109" s="90">
        <f t="shared" ref="S109" si="246">R109+1</f>
        <v>14</v>
      </c>
      <c r="T109" s="90">
        <f t="shared" ref="T109" si="247">S109+1</f>
        <v>15</v>
      </c>
      <c r="U109" s="90">
        <f t="shared" ref="U109" si="248">T109+1</f>
        <v>16</v>
      </c>
      <c r="V109" s="90">
        <f t="shared" ref="V109" si="249">U109+1</f>
        <v>17</v>
      </c>
      <c r="W109" s="90">
        <f t="shared" ref="W109" si="250">V109+1</f>
        <v>18</v>
      </c>
      <c r="X109" s="90">
        <f t="shared" ref="X109" si="251">W109+1</f>
        <v>19</v>
      </c>
      <c r="Y109" s="90">
        <f t="shared" ref="Y109" si="252">X109+1</f>
        <v>20</v>
      </c>
      <c r="Z109" s="90">
        <f t="shared" ref="Z109" si="253">Y109+1</f>
        <v>21</v>
      </c>
      <c r="AA109" s="90">
        <f t="shared" ref="AA109" si="254">Z109+1</f>
        <v>22</v>
      </c>
      <c r="AB109" s="90">
        <f t="shared" ref="AB109" si="255">AA109+1</f>
        <v>23</v>
      </c>
      <c r="AC109" s="90">
        <f t="shared" ref="AC109" si="256">AB109+1</f>
        <v>24</v>
      </c>
      <c r="AD109" s="90">
        <f t="shared" ref="AD109" si="257">AC109+1</f>
        <v>25</v>
      </c>
      <c r="AE109" s="90">
        <f t="shared" ref="AE109" si="258">AD109+1</f>
        <v>26</v>
      </c>
      <c r="AF109" s="90">
        <f t="shared" ref="AF109" si="259">AE109+1</f>
        <v>27</v>
      </c>
      <c r="AG109" s="90">
        <f t="shared" ref="AG109" si="260">AF109+1</f>
        <v>28</v>
      </c>
      <c r="AH109" s="90">
        <f t="shared" ref="AH109" si="261">AG109+1</f>
        <v>29</v>
      </c>
      <c r="AI109" s="90">
        <f t="shared" ref="AI109" si="262">AH109+1</f>
        <v>30</v>
      </c>
      <c r="AJ109" s="90">
        <f t="shared" ref="AJ109" si="263">AI109+1</f>
        <v>31</v>
      </c>
      <c r="AK109" s="90">
        <f t="shared" ref="AK109" si="264">AJ109+1</f>
        <v>32</v>
      </c>
      <c r="AL109" s="90">
        <f t="shared" ref="AL109" si="265">AK109+1</f>
        <v>33</v>
      </c>
      <c r="AM109" s="90">
        <f t="shared" ref="AM109" si="266">AL109+1</f>
        <v>34</v>
      </c>
      <c r="AN109" s="90">
        <f t="shared" ref="AN109" si="267">AM109+1</f>
        <v>35</v>
      </c>
      <c r="AO109" s="90">
        <f t="shared" ref="AO109" si="268">AN109+1</f>
        <v>36</v>
      </c>
      <c r="AP109" s="90">
        <f t="shared" ref="AP109" si="269">AO109+1</f>
        <v>37</v>
      </c>
      <c r="AQ109" s="90">
        <f t="shared" ref="AQ109" si="270">AP109+1</f>
        <v>38</v>
      </c>
      <c r="AR109" s="90">
        <f t="shared" ref="AR109" si="271">AQ109+1</f>
        <v>39</v>
      </c>
      <c r="AS109" s="90">
        <f t="shared" ref="AS109" si="272">AR109+1</f>
        <v>40</v>
      </c>
      <c r="AT109" s="90">
        <f t="shared" ref="AT109" si="273">AS109+1</f>
        <v>41</v>
      </c>
      <c r="AU109" s="90">
        <f t="shared" ref="AU109" si="274">AT109+1</f>
        <v>42</v>
      </c>
      <c r="AV109" s="90">
        <f t="shared" ref="AV109" si="275">AU109+1</f>
        <v>43</v>
      </c>
      <c r="AW109" s="90">
        <f t="shared" ref="AW109" si="276">AV109+1</f>
        <v>44</v>
      </c>
      <c r="AX109" s="90">
        <f t="shared" ref="AX109" si="277">AW109+1</f>
        <v>45</v>
      </c>
    </row>
    <row r="110" spans="1:50" ht="14.25" customHeight="1" thickBot="1">
      <c r="A110" s="1"/>
      <c r="B110" s="1"/>
      <c r="C110" s="200"/>
      <c r="D110" s="200"/>
      <c r="E110" s="83"/>
      <c r="F110" s="806" t="s">
        <v>354</v>
      </c>
      <c r="G110" s="806"/>
      <c r="H110" s="806"/>
      <c r="I110" s="806"/>
      <c r="J110" s="806"/>
      <c r="K110" s="806"/>
      <c r="L110" s="806"/>
      <c r="M110" s="806"/>
      <c r="N110" s="806"/>
      <c r="O110" s="806"/>
      <c r="P110" s="806"/>
      <c r="Q110" s="806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</row>
    <row r="111" spans="1:50" ht="14.25" customHeight="1">
      <c r="A111" s="1"/>
      <c r="B111" s="84"/>
      <c r="C111" s="202"/>
      <c r="D111" s="240"/>
      <c r="E111" s="204">
        <f>E88</f>
        <v>2026</v>
      </c>
      <c r="F111" s="204">
        <f t="shared" ref="F111" si="278">E111+1</f>
        <v>2027</v>
      </c>
      <c r="G111" s="204">
        <f t="shared" ref="G111" si="279">F111+1</f>
        <v>2028</v>
      </c>
      <c r="H111" s="204">
        <f t="shared" ref="H111" si="280">G111+1</f>
        <v>2029</v>
      </c>
      <c r="I111" s="204">
        <f t="shared" ref="I111" si="281">H111+1</f>
        <v>2030</v>
      </c>
      <c r="J111" s="204">
        <f t="shared" ref="J111" si="282">I111+1</f>
        <v>2031</v>
      </c>
      <c r="K111" s="204">
        <f t="shared" ref="K111" si="283">J111+1</f>
        <v>2032</v>
      </c>
      <c r="L111" s="204">
        <f t="shared" ref="L111" si="284">K111+1</f>
        <v>2033</v>
      </c>
      <c r="M111" s="204">
        <f t="shared" ref="M111" si="285">L111+1</f>
        <v>2034</v>
      </c>
      <c r="N111" s="204">
        <f t="shared" ref="N111" si="286">M111+1</f>
        <v>2035</v>
      </c>
      <c r="O111" s="204">
        <f t="shared" ref="O111" si="287">N111+1</f>
        <v>2036</v>
      </c>
      <c r="P111" s="204">
        <f t="shared" ref="P111" si="288">O111+1</f>
        <v>2037</v>
      </c>
      <c r="Q111" s="204">
        <f t="shared" ref="Q111" si="289">P111+1</f>
        <v>2038</v>
      </c>
      <c r="R111" s="204">
        <f t="shared" ref="R111" si="290">Q111+1</f>
        <v>2039</v>
      </c>
      <c r="S111" s="204">
        <f t="shared" ref="S111" si="291">R111+1</f>
        <v>2040</v>
      </c>
      <c r="T111" s="204">
        <f t="shared" ref="T111" si="292">S111+1</f>
        <v>2041</v>
      </c>
      <c r="U111" s="204">
        <f t="shared" ref="U111" si="293">T111+1</f>
        <v>2042</v>
      </c>
      <c r="V111" s="204">
        <f t="shared" ref="V111" si="294">U111+1</f>
        <v>2043</v>
      </c>
      <c r="W111" s="204">
        <f t="shared" ref="W111" si="295">V111+1</f>
        <v>2044</v>
      </c>
      <c r="X111" s="204">
        <f t="shared" ref="X111" si="296">W111+1</f>
        <v>2045</v>
      </c>
      <c r="Y111" s="204">
        <f t="shared" ref="Y111" si="297">X111+1</f>
        <v>2046</v>
      </c>
      <c r="Z111" s="204">
        <f t="shared" ref="Z111" si="298">Y111+1</f>
        <v>2047</v>
      </c>
      <c r="AA111" s="204">
        <f t="shared" ref="AA111" si="299">Z111+1</f>
        <v>2048</v>
      </c>
      <c r="AB111" s="204">
        <f t="shared" ref="AB111" si="300">AA111+1</f>
        <v>2049</v>
      </c>
      <c r="AC111" s="204">
        <f t="shared" ref="AC111" si="301">AB111+1</f>
        <v>2050</v>
      </c>
      <c r="AD111" s="204">
        <f t="shared" ref="AD111" si="302">AC111+1</f>
        <v>2051</v>
      </c>
      <c r="AE111" s="204">
        <f t="shared" ref="AE111" si="303">AD111+1</f>
        <v>2052</v>
      </c>
      <c r="AF111" s="204">
        <f t="shared" ref="AF111" si="304">AE111+1</f>
        <v>2053</v>
      </c>
      <c r="AG111" s="204">
        <f t="shared" ref="AG111" si="305">AF111+1</f>
        <v>2054</v>
      </c>
      <c r="AH111" s="204">
        <f t="shared" ref="AH111" si="306">AG111+1</f>
        <v>2055</v>
      </c>
      <c r="AI111" s="204">
        <f t="shared" ref="AI111" si="307">AH111+1</f>
        <v>2056</v>
      </c>
      <c r="AJ111" s="204">
        <f t="shared" ref="AJ111" si="308">AI111+1</f>
        <v>2057</v>
      </c>
      <c r="AK111" s="204">
        <f t="shared" ref="AK111" si="309">AJ111+1</f>
        <v>2058</v>
      </c>
      <c r="AL111" s="204">
        <f t="shared" ref="AL111" si="310">AK111+1</f>
        <v>2059</v>
      </c>
      <c r="AM111" s="204">
        <f t="shared" ref="AM111" si="311">AL111+1</f>
        <v>2060</v>
      </c>
      <c r="AN111" s="204">
        <f t="shared" ref="AN111" si="312">AM111+1</f>
        <v>2061</v>
      </c>
      <c r="AO111" s="204">
        <f t="shared" ref="AO111" si="313">AN111+1</f>
        <v>2062</v>
      </c>
      <c r="AP111" s="204">
        <f t="shared" ref="AP111" si="314">AO111+1</f>
        <v>2063</v>
      </c>
      <c r="AQ111" s="204">
        <f t="shared" ref="AQ111" si="315">AP111+1</f>
        <v>2064</v>
      </c>
      <c r="AR111" s="204">
        <f t="shared" ref="AR111" si="316">AQ111+1</f>
        <v>2065</v>
      </c>
      <c r="AS111" s="204">
        <f t="shared" ref="AS111" si="317">AR111+1</f>
        <v>2066</v>
      </c>
      <c r="AT111" s="204">
        <f t="shared" ref="AT111" si="318">AS111+1</f>
        <v>2067</v>
      </c>
      <c r="AU111" s="204">
        <f t="shared" ref="AU111" si="319">AT111+1</f>
        <v>2068</v>
      </c>
      <c r="AV111" s="204">
        <f t="shared" ref="AV111" si="320">AU111+1</f>
        <v>2069</v>
      </c>
      <c r="AW111" s="204">
        <f t="shared" ref="AW111" si="321">AV111+1</f>
        <v>2070</v>
      </c>
      <c r="AX111" s="204">
        <f t="shared" ref="AX111" si="322">AW111+1</f>
        <v>2071</v>
      </c>
    </row>
    <row r="112" spans="1:50" ht="14.25" customHeight="1">
      <c r="A112" s="1"/>
      <c r="B112" s="84"/>
      <c r="C112" s="94"/>
      <c r="D112" s="205"/>
      <c r="E112" s="142">
        <f>E89</f>
        <v>46023</v>
      </c>
      <c r="F112" s="142">
        <f t="shared" ref="F112:AX112" si="323">F89</f>
        <v>46752</v>
      </c>
      <c r="G112" s="142">
        <f t="shared" si="323"/>
        <v>47118</v>
      </c>
      <c r="H112" s="142">
        <f t="shared" si="323"/>
        <v>47483</v>
      </c>
      <c r="I112" s="142">
        <f t="shared" si="323"/>
        <v>47848</v>
      </c>
      <c r="J112" s="142">
        <f t="shared" si="323"/>
        <v>48213</v>
      </c>
      <c r="K112" s="142">
        <f t="shared" si="323"/>
        <v>48579</v>
      </c>
      <c r="L112" s="142">
        <f t="shared" si="323"/>
        <v>48944</v>
      </c>
      <c r="M112" s="142">
        <f t="shared" si="323"/>
        <v>49309</v>
      </c>
      <c r="N112" s="142">
        <f t="shared" si="323"/>
        <v>49674</v>
      </c>
      <c r="O112" s="142">
        <f t="shared" si="323"/>
        <v>50040</v>
      </c>
      <c r="P112" s="142">
        <f t="shared" si="323"/>
        <v>50405</v>
      </c>
      <c r="Q112" s="142">
        <f t="shared" si="323"/>
        <v>50770</v>
      </c>
      <c r="R112" s="142">
        <f t="shared" si="323"/>
        <v>51135</v>
      </c>
      <c r="S112" s="142">
        <f t="shared" si="323"/>
        <v>51501</v>
      </c>
      <c r="T112" s="142">
        <f t="shared" si="323"/>
        <v>51866</v>
      </c>
      <c r="U112" s="142">
        <f t="shared" si="323"/>
        <v>52231</v>
      </c>
      <c r="V112" s="142">
        <f t="shared" si="323"/>
        <v>52596</v>
      </c>
      <c r="W112" s="142">
        <f t="shared" si="323"/>
        <v>52962</v>
      </c>
      <c r="X112" s="142">
        <f t="shared" si="323"/>
        <v>53327</v>
      </c>
      <c r="Y112" s="142">
        <f t="shared" si="323"/>
        <v>53692</v>
      </c>
      <c r="Z112" s="142">
        <f t="shared" si="323"/>
        <v>54057</v>
      </c>
      <c r="AA112" s="142">
        <f t="shared" si="323"/>
        <v>54423</v>
      </c>
      <c r="AB112" s="142">
        <f t="shared" si="323"/>
        <v>54788</v>
      </c>
      <c r="AC112" s="142">
        <f t="shared" si="323"/>
        <v>55153</v>
      </c>
      <c r="AD112" s="142">
        <f t="shared" si="323"/>
        <v>55518</v>
      </c>
      <c r="AE112" s="142">
        <f t="shared" si="323"/>
        <v>55884</v>
      </c>
      <c r="AF112" s="142">
        <f t="shared" si="323"/>
        <v>56249</v>
      </c>
      <c r="AG112" s="142">
        <f t="shared" si="323"/>
        <v>56614</v>
      </c>
      <c r="AH112" s="142">
        <f t="shared" si="323"/>
        <v>56979</v>
      </c>
      <c r="AI112" s="142">
        <f t="shared" si="323"/>
        <v>57345</v>
      </c>
      <c r="AJ112" s="142">
        <f t="shared" si="323"/>
        <v>57710</v>
      </c>
      <c r="AK112" s="142">
        <f t="shared" si="323"/>
        <v>58075</v>
      </c>
      <c r="AL112" s="142">
        <f t="shared" si="323"/>
        <v>58440</v>
      </c>
      <c r="AM112" s="142">
        <f t="shared" si="323"/>
        <v>58806</v>
      </c>
      <c r="AN112" s="142">
        <f t="shared" si="323"/>
        <v>59171</v>
      </c>
      <c r="AO112" s="142">
        <f t="shared" si="323"/>
        <v>59536</v>
      </c>
      <c r="AP112" s="142">
        <f t="shared" si="323"/>
        <v>59901</v>
      </c>
      <c r="AQ112" s="142">
        <f t="shared" si="323"/>
        <v>60267</v>
      </c>
      <c r="AR112" s="142">
        <f t="shared" si="323"/>
        <v>60632</v>
      </c>
      <c r="AS112" s="142">
        <f t="shared" si="323"/>
        <v>60997</v>
      </c>
      <c r="AT112" s="142">
        <f t="shared" si="323"/>
        <v>61362</v>
      </c>
      <c r="AU112" s="142">
        <f t="shared" si="323"/>
        <v>61728</v>
      </c>
      <c r="AV112" s="142">
        <f t="shared" si="323"/>
        <v>62093</v>
      </c>
      <c r="AW112" s="142">
        <f t="shared" si="323"/>
        <v>62458</v>
      </c>
      <c r="AX112" s="142">
        <f t="shared" si="323"/>
        <v>62823</v>
      </c>
    </row>
    <row r="113" spans="1:50" ht="14.25" customHeight="1">
      <c r="A113" s="1"/>
      <c r="B113" s="84"/>
      <c r="C113" s="218" t="s">
        <v>393</v>
      </c>
      <c r="D113" s="246"/>
      <c r="E113" s="219">
        <f>Hydrogen!D118</f>
        <v>0</v>
      </c>
      <c r="F113" s="219">
        <f>Hydrogen!E118</f>
        <v>5776.2619372442023</v>
      </c>
      <c r="G113" s="219">
        <f>Hydrogen!F118</f>
        <v>8664.3929058663034</v>
      </c>
      <c r="H113" s="219">
        <f>Hydrogen!G118</f>
        <v>8664.3929058663034</v>
      </c>
      <c r="I113" s="219">
        <f>Hydrogen!H118</f>
        <v>8664.3929058663034</v>
      </c>
      <c r="J113" s="219">
        <f>Hydrogen!I118</f>
        <v>8664.3929058663034</v>
      </c>
      <c r="K113" s="219">
        <f>Hydrogen!J118</f>
        <v>8664.3929058663034</v>
      </c>
      <c r="L113" s="219">
        <f>Hydrogen!K118</f>
        <v>8664.3929058663034</v>
      </c>
      <c r="M113" s="219">
        <f>Hydrogen!L118</f>
        <v>8664.3929058663034</v>
      </c>
      <c r="N113" s="219">
        <f>Hydrogen!M118</f>
        <v>8664.3929058663034</v>
      </c>
      <c r="O113" s="219">
        <f>Hydrogen!N118</f>
        <v>8664.3929058663034</v>
      </c>
      <c r="P113" s="219">
        <f>Hydrogen!O118</f>
        <v>8664.3929058663034</v>
      </c>
      <c r="Q113" s="219">
        <f>Hydrogen!P118</f>
        <v>8664.3929058663034</v>
      </c>
      <c r="R113" s="219">
        <f>Hydrogen!Q118</f>
        <v>8664.3929058663034</v>
      </c>
      <c r="S113" s="219">
        <f>Hydrogen!R118</f>
        <v>8664.3929058663034</v>
      </c>
      <c r="T113" s="219">
        <f>Hydrogen!S118</f>
        <v>8664.3929058663034</v>
      </c>
      <c r="U113" s="219">
        <f>Hydrogen!T118</f>
        <v>8664.3929058663034</v>
      </c>
      <c r="V113" s="219">
        <f>Hydrogen!U118</f>
        <v>8664.3929058663034</v>
      </c>
      <c r="W113" s="219">
        <f>Hydrogen!V118</f>
        <v>8664.3929058663034</v>
      </c>
      <c r="X113" s="219">
        <f>Hydrogen!W118</f>
        <v>8664.3929058663034</v>
      </c>
      <c r="Y113" s="219">
        <f>Hydrogen!X118</f>
        <v>8664.3929058663034</v>
      </c>
      <c r="Z113" s="219">
        <f>Hydrogen!Y118</f>
        <v>8664.3929058663034</v>
      </c>
      <c r="AA113" s="219">
        <f>Hydrogen!Z118</f>
        <v>8664.3929058663034</v>
      </c>
      <c r="AB113" s="219">
        <f>Hydrogen!AA118</f>
        <v>8664.3929058663034</v>
      </c>
      <c r="AC113" s="219">
        <f>Hydrogen!AB118</f>
        <v>8664.3929058663034</v>
      </c>
      <c r="AD113" s="219">
        <f>Hydrogen!AC118</f>
        <v>8664.3929058663034</v>
      </c>
      <c r="AE113" s="219">
        <f>Hydrogen!AD118</f>
        <v>8664.3929058663034</v>
      </c>
      <c r="AF113" s="219">
        <f>Hydrogen!AE118</f>
        <v>0</v>
      </c>
      <c r="AG113" s="219">
        <f>Hydrogen!AF118</f>
        <v>0</v>
      </c>
      <c r="AH113" s="219">
        <f>Hydrogen!AG118</f>
        <v>0</v>
      </c>
      <c r="AI113" s="219">
        <f>Hydrogen!AH118</f>
        <v>0</v>
      </c>
      <c r="AJ113" s="219">
        <f>Hydrogen!AI118</f>
        <v>0</v>
      </c>
      <c r="AK113" s="219">
        <f>Hydrogen!AJ118</f>
        <v>0</v>
      </c>
      <c r="AL113" s="219">
        <f>Hydrogen!AK118</f>
        <v>0</v>
      </c>
      <c r="AM113" s="219">
        <f>Hydrogen!AL118</f>
        <v>0</v>
      </c>
      <c r="AN113" s="219">
        <f>Hydrogen!AM118</f>
        <v>0</v>
      </c>
      <c r="AO113" s="219">
        <f>Hydrogen!AN118</f>
        <v>0</v>
      </c>
      <c r="AP113" s="219">
        <f>Hydrogen!AO118</f>
        <v>0</v>
      </c>
      <c r="AQ113" s="219">
        <f>Hydrogen!AP118</f>
        <v>0</v>
      </c>
      <c r="AR113" s="219">
        <f>Hydrogen!AQ118</f>
        <v>0</v>
      </c>
      <c r="AS113" s="219">
        <f>Hydrogen!AR118</f>
        <v>0</v>
      </c>
      <c r="AT113" s="219">
        <f>Hydrogen!AS118</f>
        <v>0</v>
      </c>
      <c r="AU113" s="219">
        <f>Hydrogen!AT118</f>
        <v>0</v>
      </c>
      <c r="AV113" s="219">
        <f>Hydrogen!AU118</f>
        <v>0</v>
      </c>
      <c r="AW113" s="219">
        <f>Hydrogen!AV118</f>
        <v>0</v>
      </c>
      <c r="AX113" s="219">
        <f>Hydrogen!AW118</f>
        <v>0</v>
      </c>
    </row>
    <row r="114" spans="1:50" ht="14.25" customHeight="1">
      <c r="A114" s="1"/>
      <c r="B114" s="84"/>
      <c r="C114" s="478"/>
      <c r="D114" s="47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  <c r="AA114" s="219"/>
      <c r="AB114" s="219"/>
      <c r="AC114" s="219"/>
      <c r="AD114" s="219"/>
      <c r="AE114" s="219"/>
      <c r="AF114" s="219"/>
      <c r="AG114" s="219"/>
      <c r="AH114" s="219"/>
      <c r="AI114" s="219"/>
      <c r="AJ114" s="219"/>
      <c r="AK114" s="219"/>
      <c r="AL114" s="219"/>
      <c r="AM114" s="219"/>
      <c r="AN114" s="219"/>
      <c r="AO114" s="219"/>
      <c r="AP114" s="219"/>
      <c r="AQ114" s="219"/>
      <c r="AR114" s="219"/>
      <c r="AS114" s="219"/>
      <c r="AT114" s="219"/>
      <c r="AU114" s="219"/>
      <c r="AV114" s="219"/>
      <c r="AW114" s="219"/>
      <c r="AX114" s="219"/>
    </row>
    <row r="115" spans="1:50" ht="14.25" customHeight="1">
      <c r="A115" s="1"/>
      <c r="B115" s="84"/>
      <c r="C115" s="218" t="s">
        <v>357</v>
      </c>
      <c r="D115" s="246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19"/>
      <c r="AD115" s="219"/>
      <c r="AE115" s="219"/>
      <c r="AF115" s="219"/>
      <c r="AG115" s="219"/>
      <c r="AH115" s="219"/>
      <c r="AI115" s="219"/>
      <c r="AJ115" s="219"/>
      <c r="AK115" s="219"/>
      <c r="AL115" s="219"/>
      <c r="AM115" s="219"/>
      <c r="AN115" s="219"/>
      <c r="AO115" s="219"/>
      <c r="AP115" s="219"/>
      <c r="AQ115" s="219"/>
      <c r="AR115" s="219"/>
      <c r="AS115" s="219"/>
      <c r="AT115" s="219"/>
      <c r="AU115" s="219"/>
      <c r="AV115" s="219"/>
      <c r="AW115" s="219"/>
      <c r="AX115" s="219"/>
    </row>
    <row r="116" spans="1:50" ht="14.25" customHeight="1">
      <c r="A116" s="1"/>
      <c r="B116" s="84"/>
      <c r="C116" s="478" t="s">
        <v>394</v>
      </c>
      <c r="D116" s="479"/>
      <c r="E116" s="219">
        <f>'SENS Coal'!D118</f>
        <v>0</v>
      </c>
      <c r="F116" s="219">
        <f>'SENS Coal'!E118</f>
        <v>0.99338399999999993</v>
      </c>
      <c r="G116" s="219">
        <f>'SENS Coal'!F118</f>
        <v>1.3245119999999999</v>
      </c>
      <c r="H116" s="219">
        <f>'SENS Coal'!G118</f>
        <v>1.3245119999999999</v>
      </c>
      <c r="I116" s="219">
        <f>'SENS Coal'!H118</f>
        <v>1.3245119999999999</v>
      </c>
      <c r="J116" s="219">
        <f>'SENS Coal'!I118</f>
        <v>1.3245119999999999</v>
      </c>
      <c r="K116" s="219">
        <f>'SENS Coal'!J118</f>
        <v>1.3245119999999999</v>
      </c>
      <c r="L116" s="219">
        <f>'SENS Coal'!K118</f>
        <v>1.3245119999999999</v>
      </c>
      <c r="M116" s="219">
        <f>'SENS Coal'!L118</f>
        <v>1.3245119999999999</v>
      </c>
      <c r="N116" s="219">
        <f>'SENS Coal'!M118</f>
        <v>1.3245119999999999</v>
      </c>
      <c r="O116" s="219">
        <f>'SENS Coal'!N118</f>
        <v>1.3245119999999999</v>
      </c>
      <c r="P116" s="219">
        <f>'SENS Coal'!O118</f>
        <v>1.3245119999999999</v>
      </c>
      <c r="Q116" s="219">
        <f>'SENS Coal'!P118</f>
        <v>1.3245119999999999</v>
      </c>
      <c r="R116" s="219">
        <f>'SENS Coal'!Q118</f>
        <v>1.3245119999999999</v>
      </c>
      <c r="S116" s="219">
        <f>'SENS Coal'!R118</f>
        <v>1.3245119999999999</v>
      </c>
      <c r="T116" s="219">
        <f>'SENS Coal'!S118</f>
        <v>1.3245119999999999</v>
      </c>
      <c r="U116" s="219">
        <f>'SENS Coal'!T118</f>
        <v>1.3245119999999999</v>
      </c>
      <c r="V116" s="219">
        <f>'SENS Coal'!U118</f>
        <v>1.3245119999999999</v>
      </c>
      <c r="W116" s="219">
        <f>'SENS Coal'!V118</f>
        <v>1.3245119999999999</v>
      </c>
      <c r="X116" s="219">
        <f>'SENS Coal'!W118</f>
        <v>1.3245119999999999</v>
      </c>
      <c r="Y116" s="219">
        <f>'SENS Coal'!X118</f>
        <v>1.3245119999999999</v>
      </c>
      <c r="Z116" s="219">
        <f>'SENS Coal'!Y118</f>
        <v>1.3245119999999999</v>
      </c>
      <c r="AA116" s="219">
        <f>'SENS Coal'!Z118</f>
        <v>1.3245119999999999</v>
      </c>
      <c r="AB116" s="219">
        <f>'SENS Coal'!AA118</f>
        <v>1.3245119999999999</v>
      </c>
      <c r="AC116" s="219">
        <f>'SENS Coal'!AB118</f>
        <v>1.3245119999999999</v>
      </c>
      <c r="AD116" s="219">
        <f>'SENS Coal'!AC118</f>
        <v>1.3245119999999999</v>
      </c>
      <c r="AE116" s="219">
        <f>'SENS Coal'!AD118</f>
        <v>1.3245119999999999</v>
      </c>
      <c r="AF116" s="219">
        <f>'SENS Coal'!AE118</f>
        <v>0</v>
      </c>
      <c r="AG116" s="219">
        <f>'SENS Coal'!AF118</f>
        <v>0</v>
      </c>
      <c r="AH116" s="219">
        <f>'SENS Coal'!AG118</f>
        <v>0</v>
      </c>
      <c r="AI116" s="219">
        <f>'SENS Coal'!AH118</f>
        <v>0</v>
      </c>
      <c r="AJ116" s="219">
        <f>'SENS Coal'!AI118</f>
        <v>0</v>
      </c>
      <c r="AK116" s="219">
        <f>'SENS Coal'!AJ118</f>
        <v>0</v>
      </c>
      <c r="AL116" s="219">
        <f>'SENS Coal'!AK118</f>
        <v>0</v>
      </c>
      <c r="AM116" s="219">
        <f>'SENS Coal'!AL118</f>
        <v>0</v>
      </c>
      <c r="AN116" s="219">
        <f>'SENS Coal'!AM118</f>
        <v>0</v>
      </c>
      <c r="AO116" s="219">
        <f>'SENS Coal'!AN118</f>
        <v>0</v>
      </c>
      <c r="AP116" s="219">
        <f>'SENS Coal'!AO118</f>
        <v>0</v>
      </c>
      <c r="AQ116" s="219">
        <f>'SENS Coal'!AP118</f>
        <v>0</v>
      </c>
      <c r="AR116" s="219">
        <f>'SENS Coal'!AQ118</f>
        <v>0</v>
      </c>
      <c r="AS116" s="219">
        <f>'SENS Coal'!AR118</f>
        <v>0</v>
      </c>
      <c r="AT116" s="219">
        <f>'SENS Coal'!AS118</f>
        <v>0</v>
      </c>
      <c r="AU116" s="219">
        <f>'SENS Coal'!AT118</f>
        <v>0</v>
      </c>
      <c r="AV116" s="219">
        <f>'SENS Coal'!AU118</f>
        <v>0</v>
      </c>
      <c r="AW116" s="219">
        <f>'SENS Coal'!AV118</f>
        <v>0</v>
      </c>
      <c r="AX116" s="219">
        <f>'SENS Coal'!AW118</f>
        <v>0</v>
      </c>
    </row>
    <row r="117" spans="1:50" ht="14.25" customHeight="1">
      <c r="A117" s="1"/>
      <c r="B117" s="84"/>
      <c r="C117" s="478"/>
      <c r="D117" s="47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  <c r="AA117" s="219"/>
      <c r="AB117" s="219"/>
      <c r="AC117" s="219"/>
      <c r="AD117" s="219"/>
      <c r="AE117" s="219"/>
      <c r="AF117" s="219"/>
      <c r="AG117" s="219"/>
      <c r="AH117" s="219"/>
      <c r="AI117" s="219"/>
      <c r="AJ117" s="219"/>
      <c r="AK117" s="219"/>
      <c r="AL117" s="219"/>
      <c r="AM117" s="219"/>
      <c r="AN117" s="219"/>
      <c r="AO117" s="219"/>
      <c r="AP117" s="219"/>
      <c r="AQ117" s="219"/>
      <c r="AR117" s="219"/>
      <c r="AS117" s="219"/>
      <c r="AT117" s="219"/>
      <c r="AU117" s="219"/>
      <c r="AV117" s="219"/>
      <c r="AW117" s="219"/>
      <c r="AX117" s="219"/>
    </row>
    <row r="118" spans="1:50" ht="14.25" customHeight="1">
      <c r="A118" s="1"/>
      <c r="B118" s="84"/>
      <c r="C118" s="94" t="s">
        <v>395</v>
      </c>
      <c r="D118" s="205"/>
      <c r="E118" s="219">
        <f>'SENS Coal'!D120</f>
        <v>0</v>
      </c>
      <c r="F118" s="219">
        <f>'SENS Coal'!E120</f>
        <v>0.24437246399999998</v>
      </c>
      <c r="G118" s="219">
        <f>'SENS Coal'!F120</f>
        <v>0.32582995199999998</v>
      </c>
      <c r="H118" s="219">
        <f>'SENS Coal'!G120</f>
        <v>0.32582995199999998</v>
      </c>
      <c r="I118" s="219">
        <f>'SENS Coal'!H120</f>
        <v>0.32582995199999998</v>
      </c>
      <c r="J118" s="219">
        <f>'SENS Coal'!I120</f>
        <v>0.32582995199999998</v>
      </c>
      <c r="K118" s="219">
        <f>'SENS Coal'!J120</f>
        <v>0.32582995199999998</v>
      </c>
      <c r="L118" s="219">
        <f>'SENS Coal'!K120</f>
        <v>0.32582995199999998</v>
      </c>
      <c r="M118" s="219">
        <f>'SENS Coal'!L120</f>
        <v>0.32582995199999998</v>
      </c>
      <c r="N118" s="219">
        <f>'SENS Coal'!M120</f>
        <v>0.32582995199999998</v>
      </c>
      <c r="O118" s="219">
        <f>'SENS Coal'!N120</f>
        <v>0.32582995199999998</v>
      </c>
      <c r="P118" s="219">
        <f>'SENS Coal'!O120</f>
        <v>0.32582995199999998</v>
      </c>
      <c r="Q118" s="219">
        <f>'SENS Coal'!P120</f>
        <v>0.32582995199999998</v>
      </c>
      <c r="R118" s="219">
        <f>'SENS Coal'!Q120</f>
        <v>0.32582995199999998</v>
      </c>
      <c r="S118" s="219">
        <f>'SENS Coal'!R120</f>
        <v>0.32582995199999998</v>
      </c>
      <c r="T118" s="219">
        <f>'SENS Coal'!S120</f>
        <v>0.32582995199999998</v>
      </c>
      <c r="U118" s="219">
        <f>'SENS Coal'!T120</f>
        <v>0.32582995199999998</v>
      </c>
      <c r="V118" s="219">
        <f>'SENS Coal'!U120</f>
        <v>0.32582995199999998</v>
      </c>
      <c r="W118" s="219">
        <f>'SENS Coal'!V120</f>
        <v>0.32582995199999998</v>
      </c>
      <c r="X118" s="219">
        <f>'SENS Coal'!W120</f>
        <v>0.32582995199999998</v>
      </c>
      <c r="Y118" s="219">
        <f>'SENS Coal'!X120</f>
        <v>0.32582995199999998</v>
      </c>
      <c r="Z118" s="219">
        <f>'SENS Coal'!Y120</f>
        <v>0.32582995199999998</v>
      </c>
      <c r="AA118" s="219">
        <f>'SENS Coal'!Z120</f>
        <v>0.32582995199999998</v>
      </c>
      <c r="AB118" s="219">
        <f>'SENS Coal'!AA120</f>
        <v>0.32582995199999998</v>
      </c>
      <c r="AC118" s="219">
        <f>'SENS Coal'!AB120</f>
        <v>0.32582995199999998</v>
      </c>
      <c r="AD118" s="219">
        <f>'SENS Coal'!AC120</f>
        <v>0.32582995199999998</v>
      </c>
      <c r="AE118" s="219">
        <f>'SENS Coal'!AD120</f>
        <v>0.32582995199999998</v>
      </c>
      <c r="AF118" s="219">
        <f>'SENS Coal'!AE120</f>
        <v>0</v>
      </c>
      <c r="AG118" s="219">
        <f>'SENS Coal'!AF120</f>
        <v>0</v>
      </c>
      <c r="AH118" s="219">
        <f>'SENS Coal'!AG120</f>
        <v>0</v>
      </c>
      <c r="AI118" s="219">
        <f>'SENS Coal'!AH120</f>
        <v>0</v>
      </c>
      <c r="AJ118" s="219">
        <f>'SENS Coal'!AI120</f>
        <v>0</v>
      </c>
      <c r="AK118" s="219">
        <f>'SENS Coal'!AJ120</f>
        <v>0</v>
      </c>
      <c r="AL118" s="219">
        <f>'SENS Coal'!AK120</f>
        <v>0</v>
      </c>
      <c r="AM118" s="219">
        <f>'SENS Coal'!AL120</f>
        <v>0</v>
      </c>
      <c r="AN118" s="219">
        <f>'SENS Coal'!AM120</f>
        <v>0</v>
      </c>
      <c r="AO118" s="219">
        <f>'SENS Coal'!AN120</f>
        <v>0</v>
      </c>
      <c r="AP118" s="219">
        <f>'SENS Coal'!AO120</f>
        <v>0</v>
      </c>
      <c r="AQ118" s="219">
        <f>'SENS Coal'!AP120</f>
        <v>0</v>
      </c>
      <c r="AR118" s="219">
        <f>'SENS Coal'!AQ120</f>
        <v>0</v>
      </c>
      <c r="AS118" s="219">
        <f>'SENS Coal'!AR120</f>
        <v>0</v>
      </c>
      <c r="AT118" s="219">
        <f>'SENS Coal'!AS120</f>
        <v>0</v>
      </c>
      <c r="AU118" s="219">
        <f>'SENS Coal'!AT120</f>
        <v>0</v>
      </c>
      <c r="AV118" s="219">
        <f>'SENS Coal'!AU120</f>
        <v>0</v>
      </c>
      <c r="AW118" s="219">
        <f>'SENS Coal'!AV120</f>
        <v>0</v>
      </c>
      <c r="AX118" s="219">
        <f>'SENS Coal'!AW120</f>
        <v>0</v>
      </c>
    </row>
    <row r="119" spans="1:50" ht="14.25" customHeight="1">
      <c r="A119" s="1"/>
      <c r="B119" s="84"/>
      <c r="C119" s="94" t="s">
        <v>396</v>
      </c>
      <c r="D119" s="205"/>
      <c r="E119" s="219">
        <f>'SENS Coal'!D121</f>
        <v>0</v>
      </c>
      <c r="F119" s="219">
        <f>'SENS Coal'!E121</f>
        <v>89.26464676056338</v>
      </c>
      <c r="G119" s="219">
        <f>'SENS Coal'!F121</f>
        <v>119.01952901408451</v>
      </c>
      <c r="H119" s="219">
        <f>'SENS Coal'!G121</f>
        <v>119.01952901408451</v>
      </c>
      <c r="I119" s="219">
        <f>'SENS Coal'!H121</f>
        <v>119.01952901408451</v>
      </c>
      <c r="J119" s="219">
        <f>'SENS Coal'!I121</f>
        <v>119.01952901408451</v>
      </c>
      <c r="K119" s="219">
        <f>'SENS Coal'!J121</f>
        <v>119.01952901408451</v>
      </c>
      <c r="L119" s="219">
        <f>'SENS Coal'!K121</f>
        <v>119.01952901408451</v>
      </c>
      <c r="M119" s="219">
        <f>'SENS Coal'!L121</f>
        <v>119.01952901408451</v>
      </c>
      <c r="N119" s="219">
        <f>'SENS Coal'!M121</f>
        <v>119.01952901408451</v>
      </c>
      <c r="O119" s="219">
        <f>'SENS Coal'!N121</f>
        <v>119.01952901408451</v>
      </c>
      <c r="P119" s="219">
        <f>'SENS Coal'!O121</f>
        <v>119.01952901408451</v>
      </c>
      <c r="Q119" s="219">
        <f>'SENS Coal'!P121</f>
        <v>119.01952901408451</v>
      </c>
      <c r="R119" s="219">
        <f>'SENS Coal'!Q121</f>
        <v>119.01952901408451</v>
      </c>
      <c r="S119" s="219">
        <f>'SENS Coal'!R121</f>
        <v>119.01952901408451</v>
      </c>
      <c r="T119" s="219">
        <f>'SENS Coal'!S121</f>
        <v>119.01952901408451</v>
      </c>
      <c r="U119" s="219">
        <f>'SENS Coal'!T121</f>
        <v>119.01952901408451</v>
      </c>
      <c r="V119" s="219">
        <f>'SENS Coal'!U121</f>
        <v>119.01952901408451</v>
      </c>
      <c r="W119" s="219">
        <f>'SENS Coal'!V121</f>
        <v>119.01952901408451</v>
      </c>
      <c r="X119" s="219">
        <f>'SENS Coal'!W121</f>
        <v>119.01952901408451</v>
      </c>
      <c r="Y119" s="219">
        <f>'SENS Coal'!X121</f>
        <v>119.01952901408451</v>
      </c>
      <c r="Z119" s="219">
        <f>'SENS Coal'!Y121</f>
        <v>119.01952901408451</v>
      </c>
      <c r="AA119" s="219">
        <f>'SENS Coal'!Z121</f>
        <v>119.01952901408451</v>
      </c>
      <c r="AB119" s="219">
        <f>'SENS Coal'!AA121</f>
        <v>119.01952901408451</v>
      </c>
      <c r="AC119" s="219">
        <f>'SENS Coal'!AB121</f>
        <v>119.01952901408451</v>
      </c>
      <c r="AD119" s="219">
        <f>'SENS Coal'!AC121</f>
        <v>119.01952901408451</v>
      </c>
      <c r="AE119" s="219">
        <f>'SENS Coal'!AD121</f>
        <v>119.01952901408451</v>
      </c>
      <c r="AF119" s="219">
        <f>'SENS Coal'!AE121</f>
        <v>0</v>
      </c>
      <c r="AG119" s="219">
        <f>'SENS Coal'!AF121</f>
        <v>0</v>
      </c>
      <c r="AH119" s="219">
        <f>'SENS Coal'!AG121</f>
        <v>0</v>
      </c>
      <c r="AI119" s="219">
        <f>'SENS Coal'!AH121</f>
        <v>0</v>
      </c>
      <c r="AJ119" s="219">
        <f>'SENS Coal'!AI121</f>
        <v>0</v>
      </c>
      <c r="AK119" s="219">
        <f>'SENS Coal'!AJ121</f>
        <v>0</v>
      </c>
      <c r="AL119" s="219">
        <f>'SENS Coal'!AK121</f>
        <v>0</v>
      </c>
      <c r="AM119" s="219">
        <f>'SENS Coal'!AL121</f>
        <v>0</v>
      </c>
      <c r="AN119" s="219">
        <f>'SENS Coal'!AM121</f>
        <v>0</v>
      </c>
      <c r="AO119" s="219">
        <f>'SENS Coal'!AN121</f>
        <v>0</v>
      </c>
      <c r="AP119" s="219">
        <f>'SENS Coal'!AO121</f>
        <v>0</v>
      </c>
      <c r="AQ119" s="219">
        <f>'SENS Coal'!AP121</f>
        <v>0</v>
      </c>
      <c r="AR119" s="219">
        <f>'SENS Coal'!AQ121</f>
        <v>0</v>
      </c>
      <c r="AS119" s="219">
        <f>'SENS Coal'!AR121</f>
        <v>0</v>
      </c>
      <c r="AT119" s="219">
        <f>'SENS Coal'!AS121</f>
        <v>0</v>
      </c>
      <c r="AU119" s="219">
        <f>'SENS Coal'!AT121</f>
        <v>0</v>
      </c>
      <c r="AV119" s="219">
        <f>'SENS Coal'!AU121</f>
        <v>0</v>
      </c>
      <c r="AW119" s="219">
        <f>'SENS Coal'!AV121</f>
        <v>0</v>
      </c>
      <c r="AX119" s="219">
        <f>'SENS Coal'!AW121</f>
        <v>0</v>
      </c>
    </row>
    <row r="120" spans="1:50" ht="14.25" customHeight="1">
      <c r="A120" s="1"/>
      <c r="B120" s="84"/>
      <c r="C120" s="94" t="s">
        <v>397</v>
      </c>
      <c r="D120" s="205"/>
      <c r="E120" s="219">
        <f>'SENS Coal'!D122</f>
        <v>0</v>
      </c>
      <c r="F120" s="219">
        <f>'SENS Coal'!E122</f>
        <v>69.139526399999994</v>
      </c>
      <c r="G120" s="219">
        <f>'SENS Coal'!F122</f>
        <v>92.186035199999992</v>
      </c>
      <c r="H120" s="219">
        <f>'SENS Coal'!G122</f>
        <v>92.186035199999992</v>
      </c>
      <c r="I120" s="219">
        <f>'SENS Coal'!H122</f>
        <v>92.186035199999992</v>
      </c>
      <c r="J120" s="219">
        <f>'SENS Coal'!I122</f>
        <v>92.186035199999992</v>
      </c>
      <c r="K120" s="219">
        <f>'SENS Coal'!J122</f>
        <v>92.186035199999992</v>
      </c>
      <c r="L120" s="219">
        <f>'SENS Coal'!K122</f>
        <v>92.186035199999992</v>
      </c>
      <c r="M120" s="219">
        <f>'SENS Coal'!L122</f>
        <v>92.186035199999992</v>
      </c>
      <c r="N120" s="219">
        <f>'SENS Coal'!M122</f>
        <v>92.186035199999992</v>
      </c>
      <c r="O120" s="219">
        <f>'SENS Coal'!N122</f>
        <v>92.186035199999992</v>
      </c>
      <c r="P120" s="219">
        <f>'SENS Coal'!O122</f>
        <v>92.186035199999992</v>
      </c>
      <c r="Q120" s="219">
        <f>'SENS Coal'!P122</f>
        <v>92.186035199999992</v>
      </c>
      <c r="R120" s="219">
        <f>'SENS Coal'!Q122</f>
        <v>92.186035199999992</v>
      </c>
      <c r="S120" s="219">
        <f>'SENS Coal'!R122</f>
        <v>92.186035199999992</v>
      </c>
      <c r="T120" s="219">
        <f>'SENS Coal'!S122</f>
        <v>92.186035199999992</v>
      </c>
      <c r="U120" s="219">
        <f>'SENS Coal'!T122</f>
        <v>92.186035199999992</v>
      </c>
      <c r="V120" s="219">
        <f>'SENS Coal'!U122</f>
        <v>92.186035199999992</v>
      </c>
      <c r="W120" s="219">
        <f>'SENS Coal'!V122</f>
        <v>92.186035199999992</v>
      </c>
      <c r="X120" s="219">
        <f>'SENS Coal'!W122</f>
        <v>92.186035199999992</v>
      </c>
      <c r="Y120" s="219">
        <f>'SENS Coal'!X122</f>
        <v>92.186035199999992</v>
      </c>
      <c r="Z120" s="219">
        <f>'SENS Coal'!Y122</f>
        <v>92.186035199999992</v>
      </c>
      <c r="AA120" s="219">
        <f>'SENS Coal'!Z122</f>
        <v>92.186035199999992</v>
      </c>
      <c r="AB120" s="219">
        <f>'SENS Coal'!AA122</f>
        <v>92.186035199999992</v>
      </c>
      <c r="AC120" s="219">
        <f>'SENS Coal'!AB122</f>
        <v>92.186035199999992</v>
      </c>
      <c r="AD120" s="219">
        <f>'SENS Coal'!AC122</f>
        <v>92.186035199999992</v>
      </c>
      <c r="AE120" s="219">
        <f>'SENS Coal'!AD122</f>
        <v>92.186035199999992</v>
      </c>
      <c r="AF120" s="219">
        <f>'SENS Coal'!AE122</f>
        <v>0</v>
      </c>
      <c r="AG120" s="219">
        <f>'SENS Coal'!AF122</f>
        <v>0</v>
      </c>
      <c r="AH120" s="219">
        <f>'SENS Coal'!AG122</f>
        <v>0</v>
      </c>
      <c r="AI120" s="219">
        <f>'SENS Coal'!AH122</f>
        <v>0</v>
      </c>
      <c r="AJ120" s="219">
        <f>'SENS Coal'!AI122</f>
        <v>0</v>
      </c>
      <c r="AK120" s="219">
        <f>'SENS Coal'!AJ122</f>
        <v>0</v>
      </c>
      <c r="AL120" s="219">
        <f>'SENS Coal'!AK122</f>
        <v>0</v>
      </c>
      <c r="AM120" s="219">
        <f>'SENS Coal'!AL122</f>
        <v>0</v>
      </c>
      <c r="AN120" s="219">
        <f>'SENS Coal'!AM122</f>
        <v>0</v>
      </c>
      <c r="AO120" s="219">
        <f>'SENS Coal'!AN122</f>
        <v>0</v>
      </c>
      <c r="AP120" s="219">
        <f>'SENS Coal'!AO122</f>
        <v>0</v>
      </c>
      <c r="AQ120" s="219">
        <f>'SENS Coal'!AP122</f>
        <v>0</v>
      </c>
      <c r="AR120" s="219">
        <f>'SENS Coal'!AQ122</f>
        <v>0</v>
      </c>
      <c r="AS120" s="219">
        <f>'SENS Coal'!AR122</f>
        <v>0</v>
      </c>
      <c r="AT120" s="219">
        <f>'SENS Coal'!AS122</f>
        <v>0</v>
      </c>
      <c r="AU120" s="219">
        <f>'SENS Coal'!AT122</f>
        <v>0</v>
      </c>
      <c r="AV120" s="219">
        <f>'SENS Coal'!AU122</f>
        <v>0</v>
      </c>
      <c r="AW120" s="219">
        <f>'SENS Coal'!AV122</f>
        <v>0</v>
      </c>
      <c r="AX120" s="219">
        <f>'SENS Coal'!AW122</f>
        <v>0</v>
      </c>
    </row>
    <row r="121" spans="1:50" ht="14.25" customHeight="1">
      <c r="A121" s="2"/>
      <c r="B121" s="83"/>
      <c r="C121" s="94" t="s">
        <v>325</v>
      </c>
      <c r="D121" s="205"/>
      <c r="E121" s="219">
        <f>'SENS Coal'!D123</f>
        <v>0</v>
      </c>
      <c r="F121" s="219">
        <f>'SENS Coal'!E123</f>
        <v>6.9258732480000015E-2</v>
      </c>
      <c r="G121" s="219">
        <f>'SENS Coal'!F123</f>
        <v>9.234497664000002E-2</v>
      </c>
      <c r="H121" s="219">
        <f>'SENS Coal'!G123</f>
        <v>9.234497664000002E-2</v>
      </c>
      <c r="I121" s="219">
        <f>'SENS Coal'!H123</f>
        <v>9.234497664000002E-2</v>
      </c>
      <c r="J121" s="219">
        <f>'SENS Coal'!I123</f>
        <v>9.234497664000002E-2</v>
      </c>
      <c r="K121" s="219">
        <f>'SENS Coal'!J123</f>
        <v>9.234497664000002E-2</v>
      </c>
      <c r="L121" s="219">
        <f>'SENS Coal'!K123</f>
        <v>9.234497664000002E-2</v>
      </c>
      <c r="M121" s="219">
        <f>'SENS Coal'!L123</f>
        <v>9.234497664000002E-2</v>
      </c>
      <c r="N121" s="219">
        <f>'SENS Coal'!M123</f>
        <v>9.234497664000002E-2</v>
      </c>
      <c r="O121" s="219">
        <f>'SENS Coal'!N123</f>
        <v>9.234497664000002E-2</v>
      </c>
      <c r="P121" s="219">
        <f>'SENS Coal'!O123</f>
        <v>9.234497664000002E-2</v>
      </c>
      <c r="Q121" s="219">
        <f>'SENS Coal'!P123</f>
        <v>9.234497664000002E-2</v>
      </c>
      <c r="R121" s="219">
        <f>'SENS Coal'!Q123</f>
        <v>9.234497664000002E-2</v>
      </c>
      <c r="S121" s="219">
        <f>'SENS Coal'!R123</f>
        <v>9.234497664000002E-2</v>
      </c>
      <c r="T121" s="219">
        <f>'SENS Coal'!S123</f>
        <v>9.234497664000002E-2</v>
      </c>
      <c r="U121" s="219">
        <f>'SENS Coal'!T123</f>
        <v>9.234497664000002E-2</v>
      </c>
      <c r="V121" s="219">
        <f>'SENS Coal'!U123</f>
        <v>9.234497664000002E-2</v>
      </c>
      <c r="W121" s="219">
        <f>'SENS Coal'!V123</f>
        <v>9.234497664000002E-2</v>
      </c>
      <c r="X121" s="219">
        <f>'SENS Coal'!W123</f>
        <v>9.234497664000002E-2</v>
      </c>
      <c r="Y121" s="219">
        <f>'SENS Coal'!X123</f>
        <v>9.234497664000002E-2</v>
      </c>
      <c r="Z121" s="219">
        <f>'SENS Coal'!Y123</f>
        <v>9.234497664000002E-2</v>
      </c>
      <c r="AA121" s="219">
        <f>'SENS Coal'!Z123</f>
        <v>9.234497664000002E-2</v>
      </c>
      <c r="AB121" s="219">
        <f>'SENS Coal'!AA123</f>
        <v>9.234497664000002E-2</v>
      </c>
      <c r="AC121" s="219">
        <f>'SENS Coal'!AB123</f>
        <v>9.234497664000002E-2</v>
      </c>
      <c r="AD121" s="219">
        <f>'SENS Coal'!AC123</f>
        <v>9.234497664000002E-2</v>
      </c>
      <c r="AE121" s="219">
        <f>'SENS Coal'!AD123</f>
        <v>9.234497664000002E-2</v>
      </c>
      <c r="AF121" s="219">
        <f>'SENS Coal'!AE123</f>
        <v>0</v>
      </c>
      <c r="AG121" s="219">
        <f>'SENS Coal'!AF123</f>
        <v>0</v>
      </c>
      <c r="AH121" s="219">
        <f>'SENS Coal'!AG123</f>
        <v>0</v>
      </c>
      <c r="AI121" s="219">
        <f>'SENS Coal'!AH123</f>
        <v>0</v>
      </c>
      <c r="AJ121" s="219">
        <f>'SENS Coal'!AI123</f>
        <v>0</v>
      </c>
      <c r="AK121" s="219">
        <f>'SENS Coal'!AJ123</f>
        <v>0</v>
      </c>
      <c r="AL121" s="219">
        <f>'SENS Coal'!AK123</f>
        <v>0</v>
      </c>
      <c r="AM121" s="219">
        <f>'SENS Coal'!AL123</f>
        <v>0</v>
      </c>
      <c r="AN121" s="219">
        <f>'SENS Coal'!AM123</f>
        <v>0</v>
      </c>
      <c r="AO121" s="219">
        <f>'SENS Coal'!AN123</f>
        <v>0</v>
      </c>
      <c r="AP121" s="219">
        <f>'SENS Coal'!AO123</f>
        <v>0</v>
      </c>
      <c r="AQ121" s="219">
        <f>'SENS Coal'!AP123</f>
        <v>0</v>
      </c>
      <c r="AR121" s="219">
        <f>'SENS Coal'!AQ123</f>
        <v>0</v>
      </c>
      <c r="AS121" s="219">
        <f>'SENS Coal'!AR123</f>
        <v>0</v>
      </c>
      <c r="AT121" s="219">
        <f>'SENS Coal'!AS123</f>
        <v>0</v>
      </c>
      <c r="AU121" s="219">
        <f>'SENS Coal'!AT123</f>
        <v>0</v>
      </c>
      <c r="AV121" s="219">
        <f>'SENS Coal'!AU123</f>
        <v>0</v>
      </c>
      <c r="AW121" s="219">
        <f>'SENS Coal'!AV123</f>
        <v>0</v>
      </c>
      <c r="AX121" s="219">
        <f>'SENS Coal'!AW123</f>
        <v>0</v>
      </c>
    </row>
    <row r="122" spans="1:50" ht="14.25" customHeight="1">
      <c r="A122" s="2"/>
      <c r="B122" s="83"/>
      <c r="C122" s="94"/>
      <c r="D122" s="205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  <c r="AB122" s="219"/>
      <c r="AC122" s="219"/>
      <c r="AD122" s="219"/>
      <c r="AE122" s="219"/>
      <c r="AF122" s="219"/>
      <c r="AG122" s="219"/>
      <c r="AH122" s="219"/>
      <c r="AI122" s="219"/>
      <c r="AJ122" s="219"/>
      <c r="AK122" s="219"/>
      <c r="AL122" s="219"/>
      <c r="AM122" s="219"/>
      <c r="AN122" s="219"/>
      <c r="AO122" s="219"/>
      <c r="AP122" s="219"/>
      <c r="AQ122" s="219"/>
      <c r="AR122" s="219"/>
      <c r="AS122" s="219"/>
      <c r="AT122" s="219"/>
      <c r="AU122" s="219"/>
      <c r="AV122" s="219"/>
      <c r="AW122" s="219"/>
      <c r="AX122" s="219"/>
    </row>
    <row r="123" spans="1:50" ht="14.25" customHeight="1">
      <c r="A123" s="200"/>
      <c r="B123" s="200"/>
      <c r="C123" s="96" t="s">
        <v>358</v>
      </c>
      <c r="D123" s="251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  <c r="AB123" s="219"/>
      <c r="AC123" s="219"/>
      <c r="AD123" s="219"/>
      <c r="AE123" s="219"/>
      <c r="AF123" s="219"/>
      <c r="AG123" s="219"/>
      <c r="AH123" s="219"/>
      <c r="AI123" s="219"/>
      <c r="AJ123" s="219"/>
      <c r="AK123" s="219"/>
      <c r="AL123" s="219"/>
      <c r="AM123" s="219"/>
      <c r="AN123" s="219"/>
      <c r="AO123" s="219"/>
      <c r="AP123" s="219"/>
      <c r="AQ123" s="219"/>
      <c r="AR123" s="219"/>
      <c r="AS123" s="219"/>
      <c r="AT123" s="219"/>
      <c r="AU123" s="219"/>
      <c r="AV123" s="219"/>
      <c r="AW123" s="219"/>
      <c r="AX123" s="219"/>
    </row>
    <row r="124" spans="1:50" ht="14.25" customHeight="1">
      <c r="A124" s="1"/>
      <c r="B124" s="84"/>
      <c r="C124" s="94" t="s">
        <v>398</v>
      </c>
      <c r="D124" s="205"/>
      <c r="E124" s="219">
        <f>'SENS Tires'!D118</f>
        <v>0</v>
      </c>
      <c r="F124" s="219">
        <f>'SENS Tires'!E118</f>
        <v>6.6225599999999996E-2</v>
      </c>
      <c r="G124" s="219">
        <f>'SENS Tires'!F118</f>
        <v>8.8300799999999985E-2</v>
      </c>
      <c r="H124" s="219">
        <f>'SENS Tires'!G118</f>
        <v>8.8300799999999985E-2</v>
      </c>
      <c r="I124" s="219">
        <f>'SENS Tires'!H118</f>
        <v>8.8300799999999985E-2</v>
      </c>
      <c r="J124" s="219">
        <f>'SENS Tires'!I118</f>
        <v>8.8300799999999985E-2</v>
      </c>
      <c r="K124" s="219">
        <f>'SENS Tires'!J118</f>
        <v>8.8300799999999985E-2</v>
      </c>
      <c r="L124" s="219">
        <f>'SENS Tires'!K118</f>
        <v>8.8300799999999985E-2</v>
      </c>
      <c r="M124" s="219">
        <f>'SENS Tires'!L118</f>
        <v>8.8300799999999985E-2</v>
      </c>
      <c r="N124" s="219">
        <f>'SENS Tires'!M118</f>
        <v>8.8300799999999985E-2</v>
      </c>
      <c r="O124" s="219">
        <f>'SENS Tires'!N118</f>
        <v>8.8300799999999985E-2</v>
      </c>
      <c r="P124" s="219">
        <f>'SENS Tires'!O118</f>
        <v>8.8300799999999985E-2</v>
      </c>
      <c r="Q124" s="219">
        <f>'SENS Tires'!P118</f>
        <v>8.8300799999999985E-2</v>
      </c>
      <c r="R124" s="219">
        <f>'SENS Tires'!Q118</f>
        <v>8.8300799999999985E-2</v>
      </c>
      <c r="S124" s="219">
        <f>'SENS Tires'!R118</f>
        <v>8.8300799999999985E-2</v>
      </c>
      <c r="T124" s="219">
        <f>'SENS Tires'!S118</f>
        <v>8.8300799999999985E-2</v>
      </c>
      <c r="U124" s="219">
        <f>'SENS Tires'!T118</f>
        <v>8.8300799999999985E-2</v>
      </c>
      <c r="V124" s="219">
        <f>'SENS Tires'!U118</f>
        <v>8.8300799999999985E-2</v>
      </c>
      <c r="W124" s="219">
        <f>'SENS Tires'!V118</f>
        <v>8.8300799999999985E-2</v>
      </c>
      <c r="X124" s="219">
        <f>'SENS Tires'!W118</f>
        <v>8.8300799999999985E-2</v>
      </c>
      <c r="Y124" s="219">
        <f>'SENS Tires'!X118</f>
        <v>8.8300799999999985E-2</v>
      </c>
      <c r="Z124" s="219">
        <f>'SENS Tires'!Y118</f>
        <v>8.8300799999999985E-2</v>
      </c>
      <c r="AA124" s="219">
        <f>'SENS Tires'!Z118</f>
        <v>8.8300799999999985E-2</v>
      </c>
      <c r="AB124" s="219">
        <f>'SENS Tires'!AA118</f>
        <v>8.8300799999999985E-2</v>
      </c>
      <c r="AC124" s="219">
        <f>'SENS Tires'!AB118</f>
        <v>8.8300799999999985E-2</v>
      </c>
      <c r="AD124" s="219">
        <f>'SENS Tires'!AC118</f>
        <v>8.8300799999999985E-2</v>
      </c>
      <c r="AE124" s="219">
        <f>'SENS Tires'!AD118</f>
        <v>8.8300799999999985E-2</v>
      </c>
      <c r="AF124" s="219">
        <f>'SENS Tires'!AE118</f>
        <v>0</v>
      </c>
      <c r="AG124" s="219">
        <f>'SENS Tires'!AF118</f>
        <v>0</v>
      </c>
      <c r="AH124" s="219">
        <f>'SENS Tires'!AG118</f>
        <v>0</v>
      </c>
      <c r="AI124" s="219">
        <f>'SENS Tires'!AH118</f>
        <v>0</v>
      </c>
      <c r="AJ124" s="219">
        <f>'SENS Tires'!AI118</f>
        <v>0</v>
      </c>
      <c r="AK124" s="219">
        <f>'SENS Tires'!AJ118</f>
        <v>0</v>
      </c>
      <c r="AL124" s="219">
        <f>'SENS Tires'!AK118</f>
        <v>0</v>
      </c>
      <c r="AM124" s="219">
        <f>'SENS Tires'!AL118</f>
        <v>0</v>
      </c>
      <c r="AN124" s="219">
        <f>'SENS Tires'!AM118</f>
        <v>0</v>
      </c>
      <c r="AO124" s="219">
        <f>'SENS Tires'!AN118</f>
        <v>0</v>
      </c>
      <c r="AP124" s="219">
        <f>'SENS Tires'!AO118</f>
        <v>0</v>
      </c>
      <c r="AQ124" s="219">
        <f>'SENS Tires'!AP118</f>
        <v>0</v>
      </c>
      <c r="AR124" s="219">
        <f>'SENS Tires'!AQ118</f>
        <v>0</v>
      </c>
      <c r="AS124" s="219">
        <f>'SENS Tires'!AR118</f>
        <v>0</v>
      </c>
      <c r="AT124" s="219">
        <f>'SENS Tires'!AS118</f>
        <v>0</v>
      </c>
      <c r="AU124" s="219">
        <f>'SENS Tires'!AT118</f>
        <v>0</v>
      </c>
      <c r="AV124" s="219">
        <f>'SENS Tires'!AU118</f>
        <v>0</v>
      </c>
      <c r="AW124" s="219">
        <f>'SENS Tires'!AV118</f>
        <v>0</v>
      </c>
      <c r="AX124" s="219">
        <f>'SENS Tires'!AW118</f>
        <v>0</v>
      </c>
    </row>
    <row r="125" spans="1:50" ht="14.25" customHeight="1">
      <c r="A125" s="1"/>
      <c r="B125" s="84"/>
      <c r="C125" s="94"/>
      <c r="D125" s="205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  <c r="AB125" s="219"/>
      <c r="AC125" s="219"/>
      <c r="AD125" s="219"/>
      <c r="AE125" s="219"/>
      <c r="AF125" s="219"/>
      <c r="AG125" s="219"/>
      <c r="AH125" s="219"/>
      <c r="AI125" s="219"/>
      <c r="AJ125" s="219"/>
      <c r="AK125" s="219"/>
      <c r="AL125" s="219"/>
      <c r="AM125" s="219"/>
      <c r="AN125" s="219"/>
      <c r="AO125" s="219"/>
      <c r="AP125" s="219"/>
      <c r="AQ125" s="219"/>
      <c r="AR125" s="219"/>
      <c r="AS125" s="219"/>
      <c r="AT125" s="219"/>
      <c r="AU125" s="219"/>
      <c r="AV125" s="219"/>
      <c r="AW125" s="219"/>
      <c r="AX125" s="219"/>
    </row>
    <row r="126" spans="1:50" ht="14.25" customHeight="1">
      <c r="A126" s="1"/>
      <c r="B126" s="84"/>
      <c r="C126" s="94" t="s">
        <v>399</v>
      </c>
      <c r="D126" s="205"/>
      <c r="E126" s="211">
        <f>'SENS Tires'!D120</f>
        <v>0</v>
      </c>
      <c r="F126" s="211">
        <f>'SENS Tires'!E120</f>
        <v>2.9801519999999998E-2</v>
      </c>
      <c r="G126" s="211">
        <f>'SENS Tires'!F120</f>
        <v>3.9735359999999997E-2</v>
      </c>
      <c r="H126" s="211">
        <f>'SENS Tires'!G120</f>
        <v>3.9735359999999997E-2</v>
      </c>
      <c r="I126" s="211">
        <f>'SENS Tires'!H120</f>
        <v>3.9735359999999997E-2</v>
      </c>
      <c r="J126" s="211">
        <f>'SENS Tires'!I120</f>
        <v>3.9735359999999997E-2</v>
      </c>
      <c r="K126" s="211">
        <f>'SENS Tires'!J120</f>
        <v>3.9735359999999997E-2</v>
      </c>
      <c r="L126" s="211">
        <f>'SENS Tires'!K120</f>
        <v>3.9735359999999997E-2</v>
      </c>
      <c r="M126" s="211">
        <f>'SENS Tires'!L120</f>
        <v>3.9735359999999997E-2</v>
      </c>
      <c r="N126" s="211">
        <f>'SENS Tires'!M120</f>
        <v>3.9735359999999997E-2</v>
      </c>
      <c r="O126" s="211">
        <f>'SENS Tires'!N120</f>
        <v>3.9735359999999997E-2</v>
      </c>
      <c r="P126" s="211">
        <f>'SENS Tires'!O120</f>
        <v>3.9735359999999997E-2</v>
      </c>
      <c r="Q126" s="211">
        <f>'SENS Tires'!P120</f>
        <v>3.9735359999999997E-2</v>
      </c>
      <c r="R126" s="211">
        <f>'SENS Tires'!Q120</f>
        <v>3.9735359999999997E-2</v>
      </c>
      <c r="S126" s="211">
        <f>'SENS Tires'!R120</f>
        <v>3.9735359999999997E-2</v>
      </c>
      <c r="T126" s="211">
        <f>'SENS Tires'!S120</f>
        <v>3.9735359999999997E-2</v>
      </c>
      <c r="U126" s="211">
        <f>'SENS Tires'!T120</f>
        <v>3.9735359999999997E-2</v>
      </c>
      <c r="V126" s="211">
        <f>'SENS Tires'!U120</f>
        <v>3.9735359999999997E-2</v>
      </c>
      <c r="W126" s="211">
        <f>'SENS Tires'!V120</f>
        <v>3.9735359999999997E-2</v>
      </c>
      <c r="X126" s="211">
        <f>'SENS Tires'!W120</f>
        <v>3.9735359999999997E-2</v>
      </c>
      <c r="Y126" s="211">
        <f>'SENS Tires'!X120</f>
        <v>3.9735359999999997E-2</v>
      </c>
      <c r="Z126" s="211">
        <f>'SENS Tires'!Y120</f>
        <v>3.9735359999999997E-2</v>
      </c>
      <c r="AA126" s="211">
        <f>'SENS Tires'!Z120</f>
        <v>3.9735359999999997E-2</v>
      </c>
      <c r="AB126" s="211">
        <f>'SENS Tires'!AA120</f>
        <v>3.9735359999999997E-2</v>
      </c>
      <c r="AC126" s="211">
        <f>'SENS Tires'!AB120</f>
        <v>3.9735359999999997E-2</v>
      </c>
      <c r="AD126" s="211">
        <f>'SENS Tires'!AC120</f>
        <v>3.9735359999999997E-2</v>
      </c>
      <c r="AE126" s="211">
        <f>'SENS Tires'!AD120</f>
        <v>3.9735359999999997E-2</v>
      </c>
      <c r="AF126" s="211">
        <f>'SENS Tires'!AE120</f>
        <v>0</v>
      </c>
      <c r="AG126" s="211">
        <f>'SENS Tires'!AF120</f>
        <v>0</v>
      </c>
      <c r="AH126" s="211">
        <f>'SENS Tires'!AG120</f>
        <v>0</v>
      </c>
      <c r="AI126" s="211">
        <f>'SENS Tires'!AH120</f>
        <v>0</v>
      </c>
      <c r="AJ126" s="211">
        <f>'SENS Tires'!AI120</f>
        <v>0</v>
      </c>
      <c r="AK126" s="211">
        <f>'SENS Tires'!AJ120</f>
        <v>0</v>
      </c>
      <c r="AL126" s="211">
        <f>'SENS Tires'!AK120</f>
        <v>0</v>
      </c>
      <c r="AM126" s="211">
        <f>'SENS Tires'!AL120</f>
        <v>0</v>
      </c>
      <c r="AN126" s="211">
        <f>'SENS Tires'!AM120</f>
        <v>0</v>
      </c>
      <c r="AO126" s="211">
        <f>'SENS Tires'!AN120</f>
        <v>0</v>
      </c>
      <c r="AP126" s="211">
        <f>'SENS Tires'!AO120</f>
        <v>0</v>
      </c>
      <c r="AQ126" s="211">
        <f>'SENS Tires'!AP120</f>
        <v>0</v>
      </c>
      <c r="AR126" s="211">
        <f>'SENS Tires'!AQ120</f>
        <v>0</v>
      </c>
      <c r="AS126" s="211">
        <f>'SENS Tires'!AR120</f>
        <v>0</v>
      </c>
      <c r="AT126" s="211">
        <f>'SENS Tires'!AS120</f>
        <v>0</v>
      </c>
      <c r="AU126" s="211">
        <f>'SENS Tires'!AT120</f>
        <v>0</v>
      </c>
      <c r="AV126" s="211">
        <f>'SENS Tires'!AU120</f>
        <v>0</v>
      </c>
      <c r="AW126" s="211">
        <f>'SENS Tires'!AV120</f>
        <v>0</v>
      </c>
      <c r="AX126" s="211">
        <f>'SENS Tires'!AW120</f>
        <v>0</v>
      </c>
    </row>
    <row r="127" spans="1:50" ht="14.25" customHeight="1">
      <c r="A127" s="2"/>
      <c r="B127" s="83"/>
      <c r="C127" s="94" t="s">
        <v>400</v>
      </c>
      <c r="D127" s="205"/>
      <c r="E127" s="211">
        <f>'SENS Tires'!D121</f>
        <v>0</v>
      </c>
      <c r="F127" s="211">
        <f>'SENS Tires'!E121</f>
        <v>2.9801519999999998E-2</v>
      </c>
      <c r="G127" s="211">
        <f>'SENS Tires'!F121</f>
        <v>3.9735359999999997E-2</v>
      </c>
      <c r="H127" s="211">
        <f>'SENS Tires'!G121</f>
        <v>3.9735359999999997E-2</v>
      </c>
      <c r="I127" s="211">
        <f>'SENS Tires'!H121</f>
        <v>3.9735359999999997E-2</v>
      </c>
      <c r="J127" s="211">
        <f>'SENS Tires'!I121</f>
        <v>3.9735359999999997E-2</v>
      </c>
      <c r="K127" s="211">
        <f>'SENS Tires'!J121</f>
        <v>3.9735359999999997E-2</v>
      </c>
      <c r="L127" s="211">
        <f>'SENS Tires'!K121</f>
        <v>3.9735359999999997E-2</v>
      </c>
      <c r="M127" s="211">
        <f>'SENS Tires'!L121</f>
        <v>3.9735359999999997E-2</v>
      </c>
      <c r="N127" s="211">
        <f>'SENS Tires'!M121</f>
        <v>3.9735359999999997E-2</v>
      </c>
      <c r="O127" s="211">
        <f>'SENS Tires'!N121</f>
        <v>3.9735359999999997E-2</v>
      </c>
      <c r="P127" s="211">
        <f>'SENS Tires'!O121</f>
        <v>3.9735359999999997E-2</v>
      </c>
      <c r="Q127" s="211">
        <f>'SENS Tires'!P121</f>
        <v>3.9735359999999997E-2</v>
      </c>
      <c r="R127" s="211">
        <f>'SENS Tires'!Q121</f>
        <v>3.9735359999999997E-2</v>
      </c>
      <c r="S127" s="211">
        <f>'SENS Tires'!R121</f>
        <v>3.9735359999999997E-2</v>
      </c>
      <c r="T127" s="211">
        <f>'SENS Tires'!S121</f>
        <v>3.9735359999999997E-2</v>
      </c>
      <c r="U127" s="211">
        <f>'SENS Tires'!T121</f>
        <v>3.9735359999999997E-2</v>
      </c>
      <c r="V127" s="211">
        <f>'SENS Tires'!U121</f>
        <v>3.9735359999999997E-2</v>
      </c>
      <c r="W127" s="211">
        <f>'SENS Tires'!V121</f>
        <v>3.9735359999999997E-2</v>
      </c>
      <c r="X127" s="211">
        <f>'SENS Tires'!W121</f>
        <v>3.9735359999999997E-2</v>
      </c>
      <c r="Y127" s="211">
        <f>'SENS Tires'!X121</f>
        <v>3.9735359999999997E-2</v>
      </c>
      <c r="Z127" s="211">
        <f>'SENS Tires'!Y121</f>
        <v>3.9735359999999997E-2</v>
      </c>
      <c r="AA127" s="211">
        <f>'SENS Tires'!Z121</f>
        <v>3.9735359999999997E-2</v>
      </c>
      <c r="AB127" s="211">
        <f>'SENS Tires'!AA121</f>
        <v>3.9735359999999997E-2</v>
      </c>
      <c r="AC127" s="211">
        <f>'SENS Tires'!AB121</f>
        <v>3.9735359999999997E-2</v>
      </c>
      <c r="AD127" s="211">
        <f>'SENS Tires'!AC121</f>
        <v>3.9735359999999997E-2</v>
      </c>
      <c r="AE127" s="211">
        <f>'SENS Tires'!AD121</f>
        <v>3.9735359999999997E-2</v>
      </c>
      <c r="AF127" s="211">
        <f>'SENS Tires'!AE121</f>
        <v>0</v>
      </c>
      <c r="AG127" s="211">
        <f>'SENS Tires'!AF121</f>
        <v>0</v>
      </c>
      <c r="AH127" s="211">
        <f>'SENS Tires'!AG121</f>
        <v>0</v>
      </c>
      <c r="AI127" s="211">
        <f>'SENS Tires'!AH121</f>
        <v>0</v>
      </c>
      <c r="AJ127" s="211">
        <f>'SENS Tires'!AI121</f>
        <v>0</v>
      </c>
      <c r="AK127" s="211">
        <f>'SENS Tires'!AJ121</f>
        <v>0</v>
      </c>
      <c r="AL127" s="211">
        <f>'SENS Tires'!AK121</f>
        <v>0</v>
      </c>
      <c r="AM127" s="211">
        <f>'SENS Tires'!AL121</f>
        <v>0</v>
      </c>
      <c r="AN127" s="211">
        <f>'SENS Tires'!AM121</f>
        <v>0</v>
      </c>
      <c r="AO127" s="211">
        <f>'SENS Tires'!AN121</f>
        <v>0</v>
      </c>
      <c r="AP127" s="211">
        <f>'SENS Tires'!AO121</f>
        <v>0</v>
      </c>
      <c r="AQ127" s="211">
        <f>'SENS Tires'!AP121</f>
        <v>0</v>
      </c>
      <c r="AR127" s="211">
        <f>'SENS Tires'!AQ121</f>
        <v>0</v>
      </c>
      <c r="AS127" s="211">
        <f>'SENS Tires'!AR121</f>
        <v>0</v>
      </c>
      <c r="AT127" s="211">
        <f>'SENS Tires'!AS121</f>
        <v>0</v>
      </c>
      <c r="AU127" s="211">
        <f>'SENS Tires'!AT121</f>
        <v>0</v>
      </c>
      <c r="AV127" s="211">
        <f>'SENS Tires'!AU121</f>
        <v>0</v>
      </c>
      <c r="AW127" s="211">
        <f>'SENS Tires'!AV121</f>
        <v>0</v>
      </c>
      <c r="AX127" s="211">
        <f>'SENS Tires'!AW121</f>
        <v>0</v>
      </c>
    </row>
    <row r="128" spans="1:50" ht="14.25" customHeight="1" thickBot="1">
      <c r="A128" s="1"/>
      <c r="B128" s="84"/>
      <c r="C128" s="508" t="s">
        <v>401</v>
      </c>
      <c r="D128" s="509"/>
      <c r="E128" s="220">
        <f>'SENS Tires'!D122</f>
        <v>0</v>
      </c>
      <c r="F128" s="220">
        <f>'SENS Tires'!E122</f>
        <v>6.6225599999999996E-3</v>
      </c>
      <c r="G128" s="220">
        <f>'SENS Tires'!F122</f>
        <v>8.8300799999999988E-3</v>
      </c>
      <c r="H128" s="220">
        <f>'SENS Tires'!G122</f>
        <v>8.8300799999999988E-3</v>
      </c>
      <c r="I128" s="220">
        <f>'SENS Tires'!H122</f>
        <v>8.8300799999999988E-3</v>
      </c>
      <c r="J128" s="220">
        <f>'SENS Tires'!I122</f>
        <v>8.8300799999999988E-3</v>
      </c>
      <c r="K128" s="220">
        <f>'SENS Tires'!J122</f>
        <v>8.8300799999999988E-3</v>
      </c>
      <c r="L128" s="220">
        <f>'SENS Tires'!K122</f>
        <v>8.8300799999999988E-3</v>
      </c>
      <c r="M128" s="220">
        <f>'SENS Tires'!L122</f>
        <v>8.8300799999999988E-3</v>
      </c>
      <c r="N128" s="220">
        <f>'SENS Tires'!M122</f>
        <v>8.8300799999999988E-3</v>
      </c>
      <c r="O128" s="220">
        <f>'SENS Tires'!N122</f>
        <v>8.8300799999999988E-3</v>
      </c>
      <c r="P128" s="220">
        <f>'SENS Tires'!O122</f>
        <v>8.8300799999999988E-3</v>
      </c>
      <c r="Q128" s="220">
        <f>'SENS Tires'!P122</f>
        <v>8.8300799999999988E-3</v>
      </c>
      <c r="R128" s="220">
        <f>'SENS Tires'!Q122</f>
        <v>8.8300799999999988E-3</v>
      </c>
      <c r="S128" s="220">
        <f>'SENS Tires'!R122</f>
        <v>8.8300799999999988E-3</v>
      </c>
      <c r="T128" s="220">
        <f>'SENS Tires'!S122</f>
        <v>8.8300799999999988E-3</v>
      </c>
      <c r="U128" s="220">
        <f>'SENS Tires'!T122</f>
        <v>8.8300799999999988E-3</v>
      </c>
      <c r="V128" s="220">
        <f>'SENS Tires'!U122</f>
        <v>8.8300799999999988E-3</v>
      </c>
      <c r="W128" s="220">
        <f>'SENS Tires'!V122</f>
        <v>8.8300799999999988E-3</v>
      </c>
      <c r="X128" s="220">
        <f>'SENS Tires'!W122</f>
        <v>8.8300799999999988E-3</v>
      </c>
      <c r="Y128" s="220">
        <f>'SENS Tires'!X122</f>
        <v>8.8300799999999988E-3</v>
      </c>
      <c r="Z128" s="220">
        <f>'SENS Tires'!Y122</f>
        <v>8.8300799999999988E-3</v>
      </c>
      <c r="AA128" s="220">
        <f>'SENS Tires'!Z122</f>
        <v>8.8300799999999988E-3</v>
      </c>
      <c r="AB128" s="220">
        <f>'SENS Tires'!AA122</f>
        <v>8.8300799999999988E-3</v>
      </c>
      <c r="AC128" s="220">
        <f>'SENS Tires'!AB122</f>
        <v>8.8300799999999988E-3</v>
      </c>
      <c r="AD128" s="220">
        <f>'SENS Tires'!AC122</f>
        <v>8.8300799999999988E-3</v>
      </c>
      <c r="AE128" s="220">
        <f>'SENS Tires'!AD122</f>
        <v>8.8300799999999988E-3</v>
      </c>
      <c r="AF128" s="220">
        <f>'SENS Tires'!AE122</f>
        <v>0</v>
      </c>
      <c r="AG128" s="220">
        <f>'SENS Tires'!AF122</f>
        <v>0</v>
      </c>
      <c r="AH128" s="220">
        <f>'SENS Tires'!AG122</f>
        <v>0</v>
      </c>
      <c r="AI128" s="220">
        <f>'SENS Tires'!AH122</f>
        <v>0</v>
      </c>
      <c r="AJ128" s="220">
        <f>'SENS Tires'!AI122</f>
        <v>0</v>
      </c>
      <c r="AK128" s="220">
        <f>'SENS Tires'!AJ122</f>
        <v>0</v>
      </c>
      <c r="AL128" s="220">
        <f>'SENS Tires'!AK122</f>
        <v>0</v>
      </c>
      <c r="AM128" s="220">
        <f>'SENS Tires'!AL122</f>
        <v>0</v>
      </c>
      <c r="AN128" s="220">
        <f>'SENS Tires'!AM122</f>
        <v>0</v>
      </c>
      <c r="AO128" s="220">
        <f>'SENS Tires'!AN122</f>
        <v>0</v>
      </c>
      <c r="AP128" s="220">
        <f>'SENS Tires'!AO122</f>
        <v>0</v>
      </c>
      <c r="AQ128" s="220">
        <f>'SENS Tires'!AP122</f>
        <v>0</v>
      </c>
      <c r="AR128" s="220">
        <f>'SENS Tires'!AQ122</f>
        <v>0</v>
      </c>
      <c r="AS128" s="220">
        <f>'SENS Tires'!AR122</f>
        <v>0</v>
      </c>
      <c r="AT128" s="220">
        <f>'SENS Tires'!AS122</f>
        <v>0</v>
      </c>
      <c r="AU128" s="220">
        <f>'SENS Tires'!AT122</f>
        <v>0</v>
      </c>
      <c r="AV128" s="220">
        <f>'SENS Tires'!AU122</f>
        <v>0</v>
      </c>
      <c r="AW128" s="220">
        <f>'SENS Tires'!AV122</f>
        <v>0</v>
      </c>
      <c r="AX128" s="220">
        <f>'SENS Tires'!AW122</f>
        <v>0</v>
      </c>
    </row>
    <row r="129" spans="1:50" ht="14.25" customHeight="1">
      <c r="A129" s="1"/>
      <c r="B129" s="1"/>
      <c r="C129" s="205"/>
      <c r="D129" s="205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11"/>
      <c r="AG129" s="211"/>
      <c r="AH129" s="211"/>
      <c r="AI129" s="211"/>
      <c r="AJ129" s="211"/>
      <c r="AK129" s="211"/>
      <c r="AL129" s="211"/>
      <c r="AM129" s="211"/>
      <c r="AN129" s="211"/>
      <c r="AO129" s="211"/>
      <c r="AP129" s="211"/>
      <c r="AQ129" s="211"/>
      <c r="AR129" s="211"/>
      <c r="AS129" s="211"/>
      <c r="AT129" s="211"/>
      <c r="AU129" s="211"/>
      <c r="AV129" s="211"/>
      <c r="AW129" s="211"/>
      <c r="AX129" s="211"/>
    </row>
    <row r="130" spans="1:50" ht="14.25" customHeight="1">
      <c r="A130" s="1"/>
      <c r="B130" s="1"/>
      <c r="C130" s="44"/>
      <c r="D130" s="44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ht="20" thickBot="1">
      <c r="A131" s="1" t="s">
        <v>351</v>
      </c>
      <c r="B131" s="1"/>
      <c r="C131" s="9" t="s">
        <v>402</v>
      </c>
      <c r="D131" s="9"/>
      <c r="E131" s="9"/>
      <c r="F131" s="10"/>
      <c r="G131" s="10"/>
      <c r="H131" s="10"/>
      <c r="I131" s="10"/>
      <c r="J131" s="10"/>
      <c r="K131" s="11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ht="14.25" customHeight="1">
      <c r="A132" s="1"/>
      <c r="B132" s="1"/>
      <c r="C132" s="12" t="s">
        <v>353</v>
      </c>
      <c r="D132" s="12"/>
      <c r="E132" s="90">
        <v>0</v>
      </c>
      <c r="F132" s="90">
        <f t="shared" ref="F132:R132" si="324">E132+1</f>
        <v>1</v>
      </c>
      <c r="G132" s="90">
        <f t="shared" si="324"/>
        <v>2</v>
      </c>
      <c r="H132" s="90">
        <f t="shared" si="324"/>
        <v>3</v>
      </c>
      <c r="I132" s="90">
        <f t="shared" si="324"/>
        <v>4</v>
      </c>
      <c r="J132" s="90">
        <f t="shared" si="324"/>
        <v>5</v>
      </c>
      <c r="K132" s="90">
        <f t="shared" si="324"/>
        <v>6</v>
      </c>
      <c r="L132" s="90">
        <f t="shared" si="324"/>
        <v>7</v>
      </c>
      <c r="M132" s="90">
        <f t="shared" si="324"/>
        <v>8</v>
      </c>
      <c r="N132" s="90">
        <f t="shared" si="324"/>
        <v>9</v>
      </c>
      <c r="O132" s="90">
        <f t="shared" si="324"/>
        <v>10</v>
      </c>
      <c r="P132" s="90">
        <f t="shared" si="324"/>
        <v>11</v>
      </c>
      <c r="Q132" s="90">
        <f t="shared" si="324"/>
        <v>12</v>
      </c>
      <c r="R132" s="90">
        <f t="shared" si="324"/>
        <v>13</v>
      </c>
      <c r="S132" s="90">
        <f t="shared" ref="S132" si="325">R132+1</f>
        <v>14</v>
      </c>
      <c r="T132" s="90">
        <f t="shared" ref="T132" si="326">S132+1</f>
        <v>15</v>
      </c>
      <c r="U132" s="90">
        <f t="shared" ref="U132" si="327">T132+1</f>
        <v>16</v>
      </c>
      <c r="V132" s="90">
        <f t="shared" ref="V132" si="328">U132+1</f>
        <v>17</v>
      </c>
      <c r="W132" s="90">
        <f t="shared" ref="W132" si="329">V132+1</f>
        <v>18</v>
      </c>
      <c r="X132" s="90">
        <f t="shared" ref="X132" si="330">W132+1</f>
        <v>19</v>
      </c>
      <c r="Y132" s="90">
        <f t="shared" ref="Y132" si="331">X132+1</f>
        <v>20</v>
      </c>
      <c r="Z132" s="90">
        <f t="shared" ref="Z132" si="332">Y132+1</f>
        <v>21</v>
      </c>
      <c r="AA132" s="90">
        <f t="shared" ref="AA132" si="333">Z132+1</f>
        <v>22</v>
      </c>
      <c r="AB132" s="90">
        <f t="shared" ref="AB132" si="334">AA132+1</f>
        <v>23</v>
      </c>
      <c r="AC132" s="90">
        <f t="shared" ref="AC132" si="335">AB132+1</f>
        <v>24</v>
      </c>
      <c r="AD132" s="90">
        <f t="shared" ref="AD132" si="336">AC132+1</f>
        <v>25</v>
      </c>
      <c r="AE132" s="90">
        <f t="shared" ref="AE132" si="337">AD132+1</f>
        <v>26</v>
      </c>
      <c r="AF132" s="90">
        <f t="shared" ref="AF132" si="338">AE132+1</f>
        <v>27</v>
      </c>
      <c r="AG132" s="90">
        <f t="shared" ref="AG132" si="339">AF132+1</f>
        <v>28</v>
      </c>
      <c r="AH132" s="90">
        <f t="shared" ref="AH132" si="340">AG132+1</f>
        <v>29</v>
      </c>
      <c r="AI132" s="90">
        <f t="shared" ref="AI132" si="341">AH132+1</f>
        <v>30</v>
      </c>
      <c r="AJ132" s="90">
        <f t="shared" ref="AJ132" si="342">AI132+1</f>
        <v>31</v>
      </c>
      <c r="AK132" s="90">
        <f t="shared" ref="AK132" si="343">AJ132+1</f>
        <v>32</v>
      </c>
      <c r="AL132" s="90">
        <f t="shared" ref="AL132" si="344">AK132+1</f>
        <v>33</v>
      </c>
      <c r="AM132" s="90">
        <f t="shared" ref="AM132" si="345">AL132+1</f>
        <v>34</v>
      </c>
      <c r="AN132" s="90">
        <f t="shared" ref="AN132" si="346">AM132+1</f>
        <v>35</v>
      </c>
      <c r="AO132" s="90">
        <f t="shared" ref="AO132" si="347">AN132+1</f>
        <v>36</v>
      </c>
      <c r="AP132" s="90">
        <f t="shared" ref="AP132" si="348">AO132+1</f>
        <v>37</v>
      </c>
      <c r="AQ132" s="90">
        <f t="shared" ref="AQ132" si="349">AP132+1</f>
        <v>38</v>
      </c>
      <c r="AR132" s="90">
        <f t="shared" ref="AR132" si="350">AQ132+1</f>
        <v>39</v>
      </c>
      <c r="AS132" s="90">
        <f t="shared" ref="AS132" si="351">AR132+1</f>
        <v>40</v>
      </c>
      <c r="AT132" s="90">
        <f t="shared" ref="AT132" si="352">AS132+1</f>
        <v>41</v>
      </c>
      <c r="AU132" s="90">
        <f t="shared" ref="AU132" si="353">AT132+1</f>
        <v>42</v>
      </c>
      <c r="AV132" s="90">
        <f t="shared" ref="AV132" si="354">AU132+1</f>
        <v>43</v>
      </c>
      <c r="AW132" s="90">
        <f t="shared" ref="AW132" si="355">AV132+1</f>
        <v>44</v>
      </c>
      <c r="AX132" s="90">
        <f t="shared" ref="AX132" si="356">AW132+1</f>
        <v>45</v>
      </c>
    </row>
    <row r="133" spans="1:50" ht="14.25" customHeight="1" thickBot="1">
      <c r="A133" s="1"/>
      <c r="B133" s="1"/>
      <c r="C133" s="2"/>
      <c r="D133" s="2"/>
      <c r="E133" s="2"/>
      <c r="F133" s="806" t="s">
        <v>354</v>
      </c>
      <c r="G133" s="806"/>
      <c r="H133" s="806"/>
      <c r="I133" s="806"/>
      <c r="J133" s="806"/>
      <c r="K133" s="806"/>
      <c r="L133" s="806"/>
      <c r="M133" s="806"/>
      <c r="N133" s="806"/>
      <c r="O133" s="806"/>
      <c r="P133" s="806"/>
      <c r="Q133" s="806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</row>
    <row r="134" spans="1:50" ht="14.25" customHeight="1">
      <c r="A134" s="1"/>
      <c r="C134" s="206"/>
      <c r="D134" s="247"/>
      <c r="E134" s="204">
        <f>E6</f>
        <v>2026</v>
      </c>
      <c r="F134" s="204">
        <f t="shared" ref="F134:R134" si="357">E134+1</f>
        <v>2027</v>
      </c>
      <c r="G134" s="204">
        <f t="shared" si="357"/>
        <v>2028</v>
      </c>
      <c r="H134" s="204">
        <f t="shared" si="357"/>
        <v>2029</v>
      </c>
      <c r="I134" s="204">
        <f t="shared" si="357"/>
        <v>2030</v>
      </c>
      <c r="J134" s="204">
        <f t="shared" si="357"/>
        <v>2031</v>
      </c>
      <c r="K134" s="204">
        <f t="shared" si="357"/>
        <v>2032</v>
      </c>
      <c r="L134" s="204">
        <f t="shared" si="357"/>
        <v>2033</v>
      </c>
      <c r="M134" s="204">
        <f t="shared" si="357"/>
        <v>2034</v>
      </c>
      <c r="N134" s="204">
        <f t="shared" si="357"/>
        <v>2035</v>
      </c>
      <c r="O134" s="204">
        <f t="shared" si="357"/>
        <v>2036</v>
      </c>
      <c r="P134" s="204">
        <f t="shared" si="357"/>
        <v>2037</v>
      </c>
      <c r="Q134" s="204">
        <f t="shared" si="357"/>
        <v>2038</v>
      </c>
      <c r="R134" s="204">
        <f t="shared" si="357"/>
        <v>2039</v>
      </c>
      <c r="S134" s="204">
        <f t="shared" ref="S134" si="358">R134+1</f>
        <v>2040</v>
      </c>
      <c r="T134" s="204">
        <f t="shared" ref="T134" si="359">S134+1</f>
        <v>2041</v>
      </c>
      <c r="U134" s="204">
        <f t="shared" ref="U134" si="360">T134+1</f>
        <v>2042</v>
      </c>
      <c r="V134" s="204">
        <f t="shared" ref="V134" si="361">U134+1</f>
        <v>2043</v>
      </c>
      <c r="W134" s="204">
        <f t="shared" ref="W134" si="362">V134+1</f>
        <v>2044</v>
      </c>
      <c r="X134" s="204">
        <f t="shared" ref="X134" si="363">W134+1</f>
        <v>2045</v>
      </c>
      <c r="Y134" s="204">
        <f t="shared" ref="Y134" si="364">X134+1</f>
        <v>2046</v>
      </c>
      <c r="Z134" s="204">
        <f t="shared" ref="Z134" si="365">Y134+1</f>
        <v>2047</v>
      </c>
      <c r="AA134" s="204">
        <f t="shared" ref="AA134" si="366">Z134+1</f>
        <v>2048</v>
      </c>
      <c r="AB134" s="204">
        <f t="shared" ref="AB134" si="367">AA134+1</f>
        <v>2049</v>
      </c>
      <c r="AC134" s="204">
        <f t="shared" ref="AC134" si="368">AB134+1</f>
        <v>2050</v>
      </c>
      <c r="AD134" s="204">
        <f t="shared" ref="AD134" si="369">AC134+1</f>
        <v>2051</v>
      </c>
      <c r="AE134" s="204">
        <f t="shared" ref="AE134" si="370">AD134+1</f>
        <v>2052</v>
      </c>
      <c r="AF134" s="204">
        <f t="shared" ref="AF134" si="371">AE134+1</f>
        <v>2053</v>
      </c>
      <c r="AG134" s="204">
        <f t="shared" ref="AG134" si="372">AF134+1</f>
        <v>2054</v>
      </c>
      <c r="AH134" s="204">
        <f t="shared" ref="AH134" si="373">AG134+1</f>
        <v>2055</v>
      </c>
      <c r="AI134" s="204">
        <f t="shared" ref="AI134" si="374">AH134+1</f>
        <v>2056</v>
      </c>
      <c r="AJ134" s="204">
        <f t="shared" ref="AJ134" si="375">AI134+1</f>
        <v>2057</v>
      </c>
      <c r="AK134" s="204">
        <f t="shared" ref="AK134" si="376">AJ134+1</f>
        <v>2058</v>
      </c>
      <c r="AL134" s="204">
        <f t="shared" ref="AL134" si="377">AK134+1</f>
        <v>2059</v>
      </c>
      <c r="AM134" s="204">
        <f t="shared" ref="AM134" si="378">AL134+1</f>
        <v>2060</v>
      </c>
      <c r="AN134" s="204">
        <f t="shared" ref="AN134" si="379">AM134+1</f>
        <v>2061</v>
      </c>
      <c r="AO134" s="204">
        <f t="shared" ref="AO134" si="380">AN134+1</f>
        <v>2062</v>
      </c>
      <c r="AP134" s="204">
        <f t="shared" ref="AP134" si="381">AO134+1</f>
        <v>2063</v>
      </c>
      <c r="AQ134" s="204">
        <f t="shared" ref="AQ134" si="382">AP134+1</f>
        <v>2064</v>
      </c>
      <c r="AR134" s="204">
        <f t="shared" ref="AR134" si="383">AQ134+1</f>
        <v>2065</v>
      </c>
      <c r="AS134" s="204">
        <f t="shared" ref="AS134" si="384">AR134+1</f>
        <v>2066</v>
      </c>
      <c r="AT134" s="204">
        <f t="shared" ref="AT134" si="385">AS134+1</f>
        <v>2067</v>
      </c>
      <c r="AU134" s="204">
        <f t="shared" ref="AU134" si="386">AT134+1</f>
        <v>2068</v>
      </c>
      <c r="AV134" s="204">
        <f t="shared" ref="AV134" si="387">AU134+1</f>
        <v>2069</v>
      </c>
      <c r="AW134" s="204">
        <f t="shared" ref="AW134" si="388">AV134+1</f>
        <v>2070</v>
      </c>
      <c r="AX134" s="204">
        <f t="shared" ref="AX134" si="389">AW134+1</f>
        <v>2071</v>
      </c>
    </row>
    <row r="135" spans="1:50" ht="14.25" customHeight="1">
      <c r="A135" s="1"/>
      <c r="B135" s="84"/>
      <c r="C135" s="207"/>
      <c r="D135" s="92"/>
      <c r="E135" s="93">
        <f>E7</f>
        <v>46023</v>
      </c>
      <c r="F135" s="93">
        <f t="shared" ref="F135:R135" si="390">F7</f>
        <v>46752</v>
      </c>
      <c r="G135" s="93">
        <f t="shared" si="390"/>
        <v>47118</v>
      </c>
      <c r="H135" s="93">
        <f t="shared" si="390"/>
        <v>47483</v>
      </c>
      <c r="I135" s="93">
        <f t="shared" si="390"/>
        <v>47848</v>
      </c>
      <c r="J135" s="93">
        <f t="shared" si="390"/>
        <v>48213</v>
      </c>
      <c r="K135" s="93">
        <f t="shared" si="390"/>
        <v>48579</v>
      </c>
      <c r="L135" s="93">
        <f t="shared" si="390"/>
        <v>48944</v>
      </c>
      <c r="M135" s="93">
        <f t="shared" si="390"/>
        <v>49309</v>
      </c>
      <c r="N135" s="93">
        <f t="shared" si="390"/>
        <v>49674</v>
      </c>
      <c r="O135" s="93">
        <f t="shared" si="390"/>
        <v>50040</v>
      </c>
      <c r="P135" s="93">
        <f t="shared" si="390"/>
        <v>50405</v>
      </c>
      <c r="Q135" s="93">
        <f t="shared" si="390"/>
        <v>50770</v>
      </c>
      <c r="R135" s="93">
        <f t="shared" si="390"/>
        <v>51135</v>
      </c>
      <c r="S135" s="93">
        <f t="shared" ref="S135:AX135" si="391">S7</f>
        <v>51501</v>
      </c>
      <c r="T135" s="93">
        <f t="shared" si="391"/>
        <v>51866</v>
      </c>
      <c r="U135" s="93">
        <f t="shared" si="391"/>
        <v>52231</v>
      </c>
      <c r="V135" s="93">
        <f t="shared" si="391"/>
        <v>52596</v>
      </c>
      <c r="W135" s="93">
        <f t="shared" si="391"/>
        <v>52962</v>
      </c>
      <c r="X135" s="93">
        <f t="shared" si="391"/>
        <v>53327</v>
      </c>
      <c r="Y135" s="93">
        <f t="shared" si="391"/>
        <v>53692</v>
      </c>
      <c r="Z135" s="93">
        <f t="shared" si="391"/>
        <v>54057</v>
      </c>
      <c r="AA135" s="93">
        <f t="shared" si="391"/>
        <v>54423</v>
      </c>
      <c r="AB135" s="93">
        <f t="shared" si="391"/>
        <v>54788</v>
      </c>
      <c r="AC135" s="93">
        <f t="shared" si="391"/>
        <v>55153</v>
      </c>
      <c r="AD135" s="93">
        <f t="shared" si="391"/>
        <v>55518</v>
      </c>
      <c r="AE135" s="93">
        <f t="shared" si="391"/>
        <v>55884</v>
      </c>
      <c r="AF135" s="93">
        <f t="shared" si="391"/>
        <v>56249</v>
      </c>
      <c r="AG135" s="93">
        <f t="shared" si="391"/>
        <v>56614</v>
      </c>
      <c r="AH135" s="93">
        <f t="shared" si="391"/>
        <v>56979</v>
      </c>
      <c r="AI135" s="93">
        <f t="shared" si="391"/>
        <v>57345</v>
      </c>
      <c r="AJ135" s="93">
        <f t="shared" si="391"/>
        <v>57710</v>
      </c>
      <c r="AK135" s="93">
        <f t="shared" si="391"/>
        <v>58075</v>
      </c>
      <c r="AL135" s="93">
        <f t="shared" si="391"/>
        <v>58440</v>
      </c>
      <c r="AM135" s="93">
        <f t="shared" si="391"/>
        <v>58806</v>
      </c>
      <c r="AN135" s="93">
        <f t="shared" si="391"/>
        <v>59171</v>
      </c>
      <c r="AO135" s="93">
        <f t="shared" si="391"/>
        <v>59536</v>
      </c>
      <c r="AP135" s="93">
        <f t="shared" si="391"/>
        <v>59901</v>
      </c>
      <c r="AQ135" s="93">
        <f t="shared" si="391"/>
        <v>60267</v>
      </c>
      <c r="AR135" s="93">
        <f t="shared" si="391"/>
        <v>60632</v>
      </c>
      <c r="AS135" s="93">
        <f t="shared" si="391"/>
        <v>60997</v>
      </c>
      <c r="AT135" s="93">
        <f t="shared" si="391"/>
        <v>61362</v>
      </c>
      <c r="AU135" s="93">
        <f t="shared" si="391"/>
        <v>61728</v>
      </c>
      <c r="AV135" s="93">
        <f t="shared" si="391"/>
        <v>62093</v>
      </c>
      <c r="AW135" s="93">
        <f t="shared" si="391"/>
        <v>62458</v>
      </c>
      <c r="AX135" s="93">
        <f t="shared" si="391"/>
        <v>62823</v>
      </c>
    </row>
    <row r="136" spans="1:50" ht="14.25" customHeight="1">
      <c r="A136" s="1"/>
      <c r="B136" s="84"/>
      <c r="C136" s="98" t="s">
        <v>403</v>
      </c>
      <c r="D136" s="84"/>
      <c r="E136" s="208" t="e">
        <f>_xlfn.XLOOKUP(E$134, 'Real Estate'!$D$25:$BA$25, 'Real Estate'!$D27:$BA27)+_xlfn.XLOOKUP(E$134, 'GEN-CCGT'!$D$32:$BA$32, 'GEN-CCGT'!$D34:$BA34)+_xlfn.XLOOKUP(E$134, 'GEN-SOLAR'!$D$32:$BA$32, 'GEN-SOLAR'!$D34:$BA34)+_xlfn.XLOOKUP(E$134, 'GEN-BESS'!$D$32:$BA$32, 'GEN-BESS'!$D34:$BA34)+_xlfn.XLOOKUP(E$134, 'GEN-CARBON'!$D$32:$BA$32, 'GEN-CARBON'!$D34:$BA34)+_xlfn.XLOOKUP(E$134, Load!$D$32:$BA$32, Load!$D34:$BA34)+_xlfn.XLOOKUP(E$134, Hydrogen!$D$32:$BA$32, Hydrogen!$D34:$BA34)+_xlfn.XLOOKUP(E$134, 'SENS Tires'!$D$32:$BA$32, 'SENS Tires'!$D34:$BA34)+_xlfn.XLOOKUP(E$134, 'SENS Coal'!$D$32:$BA$32, 'SENS Coal'!$D34:$BA34)</f>
        <v>#N/A</v>
      </c>
      <c r="F136" s="208">
        <f>_xlfn.XLOOKUP(F$134, 'Real Estate'!$D$25:$BA$25, 'Real Estate'!$D27:$BA27)+_xlfn.XLOOKUP(F$134, 'GEN-CCGT'!$D$32:$BA$32, 'GEN-CCGT'!$D34:$BA34)+_xlfn.XLOOKUP(F$134, 'GEN-SOLAR'!$D$32:$BA$32, 'GEN-SOLAR'!$D34:$BA34)+_xlfn.XLOOKUP(F$134, 'GEN-BESS'!$D$32:$BA$32, 'GEN-BESS'!$D34:$BA34)+_xlfn.XLOOKUP(F$134, 'GEN-CARBON'!$D$32:$BA$32, 'GEN-CARBON'!$D34:$BA34)+_xlfn.XLOOKUP(F$134, Load!$D$32:$BA$32, Load!$D34:$BA34)+_xlfn.XLOOKUP(F$134, Hydrogen!$D$32:$BA$32, Hydrogen!$D34:$BA34)+_xlfn.XLOOKUP(F$134, 'SENS Tires'!$D$32:$BA$32, 'SENS Tires'!$D34:$BA34)+_xlfn.XLOOKUP(F$134, 'SENS Coal'!$D$32:$BA$32, 'SENS Coal'!$D34:$BA34)</f>
        <v>9146.3667844322463</v>
      </c>
      <c r="G136" s="208">
        <f>_xlfn.XLOOKUP(G$134, 'Real Estate'!$D$25:$BA$25, 'Real Estate'!$D27:$BA27)+_xlfn.XLOOKUP(G$134, 'GEN-CCGT'!$D$32:$BA$32, 'GEN-CCGT'!$D34:$BA34)+_xlfn.XLOOKUP(G$134, 'GEN-SOLAR'!$D$32:$BA$32, 'GEN-SOLAR'!$D34:$BA34)+_xlfn.XLOOKUP(G$134, 'GEN-BESS'!$D$32:$BA$32, 'GEN-BESS'!$D34:$BA34)+_xlfn.XLOOKUP(G$134, 'GEN-CARBON'!$D$32:$BA$32, 'GEN-CARBON'!$D34:$BA34)+_xlfn.XLOOKUP(G$134, Load!$D$32:$BA$32, Load!$D34:$BA34)+_xlfn.XLOOKUP(G$134, Hydrogen!$D$32:$BA$32, Hydrogen!$D34:$BA34)+_xlfn.XLOOKUP(G$134, 'SENS Tires'!$D$32:$BA$32, 'SENS Tires'!$D34:$BA34)+_xlfn.XLOOKUP(G$134, 'SENS Coal'!$D$32:$BA$32, 'SENS Coal'!$D34:$BA34)</f>
        <v>11182.947673243656</v>
      </c>
      <c r="H136" s="208">
        <f>_xlfn.XLOOKUP(H$134, 'Real Estate'!$D$25:$BA$25, 'Real Estate'!$D27:$BA27)+_xlfn.XLOOKUP(H$134, 'GEN-CCGT'!$D$32:$BA$32, 'GEN-CCGT'!$D34:$BA34)+_xlfn.XLOOKUP(H$134, 'GEN-SOLAR'!$D$32:$BA$32, 'GEN-SOLAR'!$D34:$BA34)+_xlfn.XLOOKUP(H$134, 'GEN-BESS'!$D$32:$BA$32, 'GEN-BESS'!$D34:$BA34)+_xlfn.XLOOKUP(H$134, 'GEN-CARBON'!$D$32:$BA$32, 'GEN-CARBON'!$D34:$BA34)+_xlfn.XLOOKUP(H$134, Load!$D$32:$BA$32, Load!$D34:$BA34)+_xlfn.XLOOKUP(H$134, Hydrogen!$D$32:$BA$32, Hydrogen!$D34:$BA34)+_xlfn.XLOOKUP(H$134, 'SENS Tires'!$D$32:$BA$32, 'SENS Tires'!$D34:$BA34)+_xlfn.XLOOKUP(H$134, 'SENS Coal'!$D$32:$BA$32, 'SENS Coal'!$D34:$BA34)</f>
        <v>11426.53921101004</v>
      </c>
      <c r="I136" s="208">
        <f>_xlfn.XLOOKUP(I$134, 'Real Estate'!$D$25:$BA$25, 'Real Estate'!$D27:$BA27)+_xlfn.XLOOKUP(I$134, 'GEN-CCGT'!$D$32:$BA$32, 'GEN-CCGT'!$D34:$BA34)+_xlfn.XLOOKUP(I$134, 'GEN-SOLAR'!$D$32:$BA$32, 'GEN-SOLAR'!$D34:$BA34)+_xlfn.XLOOKUP(I$134, 'GEN-BESS'!$D$32:$BA$32, 'GEN-BESS'!$D34:$BA34)+_xlfn.XLOOKUP(I$134, 'GEN-CARBON'!$D$32:$BA$32, 'GEN-CARBON'!$D34:$BA34)+_xlfn.XLOOKUP(I$134, Load!$D$32:$BA$32, Load!$D34:$BA34)+_xlfn.XLOOKUP(I$134, Hydrogen!$D$32:$BA$32, Hydrogen!$D34:$BA34)+_xlfn.XLOOKUP(I$134, 'SENS Tires'!$D$32:$BA$32, 'SENS Tires'!$D34:$BA34)+_xlfn.XLOOKUP(I$134, 'SENS Coal'!$D$32:$BA$32, 'SENS Coal'!$D34:$BA34)</f>
        <v>11716.815219864055</v>
      </c>
      <c r="J136" s="208">
        <f>_xlfn.XLOOKUP(J$134, 'Real Estate'!$D$25:$BA$25, 'Real Estate'!$D27:$BA27)+_xlfn.XLOOKUP(J$134, 'GEN-CCGT'!$D$32:$BA$32, 'GEN-CCGT'!$D34:$BA34)+_xlfn.XLOOKUP(J$134, 'GEN-SOLAR'!$D$32:$BA$32, 'GEN-SOLAR'!$D34:$BA34)+_xlfn.XLOOKUP(J$134, 'GEN-BESS'!$D$32:$BA$32, 'GEN-BESS'!$D34:$BA34)+_xlfn.XLOOKUP(J$134, 'GEN-CARBON'!$D$32:$BA$32, 'GEN-CARBON'!$D34:$BA34)+_xlfn.XLOOKUP(J$134, Load!$D$32:$BA$32, Load!$D34:$BA34)+_xlfn.XLOOKUP(J$134, Hydrogen!$D$32:$BA$32, Hydrogen!$D34:$BA34)+_xlfn.XLOOKUP(J$134, 'SENS Tires'!$D$32:$BA$32, 'SENS Tires'!$D34:$BA34)+_xlfn.XLOOKUP(J$134, 'SENS Coal'!$D$32:$BA$32, 'SENS Coal'!$D34:$BA34)</f>
        <v>11963.774648239914</v>
      </c>
      <c r="K136" s="208">
        <f>_xlfn.XLOOKUP(K$134, 'Real Estate'!$D$25:$BA$25, 'Real Estate'!$D27:$BA27)+_xlfn.XLOOKUP(K$134, 'GEN-CCGT'!$D$32:$BA$32, 'GEN-CCGT'!$D34:$BA34)+_xlfn.XLOOKUP(K$134, 'GEN-SOLAR'!$D$32:$BA$32, 'GEN-SOLAR'!$D34:$BA34)+_xlfn.XLOOKUP(K$134, 'GEN-BESS'!$D$32:$BA$32, 'GEN-BESS'!$D34:$BA34)+_xlfn.XLOOKUP(K$134, 'GEN-CARBON'!$D$32:$BA$32, 'GEN-CARBON'!$D34:$BA34)+_xlfn.XLOOKUP(K$134, Load!$D$32:$BA$32, Load!$D34:$BA34)+_xlfn.XLOOKUP(K$134, Hydrogen!$D$32:$BA$32, Hydrogen!$D34:$BA34)+_xlfn.XLOOKUP(K$134, 'SENS Tires'!$D$32:$BA$32, 'SENS Tires'!$D34:$BA34)+_xlfn.XLOOKUP(K$134, 'SENS Coal'!$D$32:$BA$32, 'SENS Coal'!$D34:$BA34)</f>
        <v>12204.87237860978</v>
      </c>
      <c r="L136" s="208">
        <f>_xlfn.XLOOKUP(L$134, 'Real Estate'!$D$25:$BA$25, 'Real Estate'!$D27:$BA27)+_xlfn.XLOOKUP(L$134, 'GEN-CCGT'!$D$32:$BA$32, 'GEN-CCGT'!$D34:$BA34)+_xlfn.XLOOKUP(L$134, 'GEN-SOLAR'!$D$32:$BA$32, 'GEN-SOLAR'!$D34:$BA34)+_xlfn.XLOOKUP(L$134, 'GEN-BESS'!$D$32:$BA$32, 'GEN-BESS'!$D34:$BA34)+_xlfn.XLOOKUP(L$134, 'GEN-CARBON'!$D$32:$BA$32, 'GEN-CARBON'!$D34:$BA34)+_xlfn.XLOOKUP(L$134, Load!$D$32:$BA$32, Load!$D34:$BA34)+_xlfn.XLOOKUP(L$134, Hydrogen!$D$32:$BA$32, Hydrogen!$D34:$BA34)+_xlfn.XLOOKUP(L$134, 'SENS Tires'!$D$32:$BA$32, 'SENS Tires'!$D34:$BA34)+_xlfn.XLOOKUP(L$134, 'SENS Coal'!$D$32:$BA$32, 'SENS Coal'!$D34:$BA34)</f>
        <v>12450.847371960828</v>
      </c>
      <c r="M136" s="208">
        <f>_xlfn.XLOOKUP(M$134, 'Real Estate'!$D$25:$BA$25, 'Real Estate'!$D27:$BA27)+_xlfn.XLOOKUP(M$134, 'GEN-CCGT'!$D$32:$BA$32, 'GEN-CCGT'!$D34:$BA34)+_xlfn.XLOOKUP(M$134, 'GEN-SOLAR'!$D$32:$BA$32, 'GEN-SOLAR'!$D34:$BA34)+_xlfn.XLOOKUP(M$134, 'GEN-BESS'!$D$32:$BA$32, 'GEN-BESS'!$D34:$BA34)+_xlfn.XLOOKUP(M$134, 'GEN-CARBON'!$D$32:$BA$32, 'GEN-CARBON'!$D34:$BA34)+_xlfn.XLOOKUP(M$134, Load!$D$32:$BA$32, Load!$D34:$BA34)+_xlfn.XLOOKUP(M$134, Hydrogen!$D$32:$BA$32, Hydrogen!$D34:$BA34)+_xlfn.XLOOKUP(M$134, 'SENS Tires'!$D$32:$BA$32, 'SENS Tires'!$D34:$BA34)+_xlfn.XLOOKUP(M$134, 'SENS Coal'!$D$32:$BA$32, 'SENS Coal'!$D34:$BA34)</f>
        <v>12701.798926689104</v>
      </c>
      <c r="N136" s="208">
        <f>_xlfn.XLOOKUP(N$134, 'Real Estate'!$D$25:$BA$25, 'Real Estate'!$D27:$BA27)+_xlfn.XLOOKUP(N$134, 'GEN-CCGT'!$D$32:$BA$32, 'GEN-CCGT'!$D34:$BA34)+_xlfn.XLOOKUP(N$134, 'GEN-SOLAR'!$D$32:$BA$32, 'GEN-SOLAR'!$D34:$BA34)+_xlfn.XLOOKUP(N$134, 'GEN-BESS'!$D$32:$BA$32, 'GEN-BESS'!$D34:$BA34)+_xlfn.XLOOKUP(N$134, 'GEN-CARBON'!$D$32:$BA$32, 'GEN-CARBON'!$D34:$BA34)+_xlfn.XLOOKUP(N$134, Load!$D$32:$BA$32, Load!$D34:$BA34)+_xlfn.XLOOKUP(N$134, Hydrogen!$D$32:$BA$32, Hydrogen!$D34:$BA34)+_xlfn.XLOOKUP(N$134, 'SENS Tires'!$D$32:$BA$32, 'SENS Tires'!$D34:$BA34)+_xlfn.XLOOKUP(N$134, 'SENS Coal'!$D$32:$BA$32, 'SENS Coal'!$D34:$BA34)</f>
        <v>12957.828381096417</v>
      </c>
      <c r="O136" s="208">
        <f>_xlfn.XLOOKUP(O$134, 'Real Estate'!$D$25:$BA$25, 'Real Estate'!$D27:$BA27)+_xlfn.XLOOKUP(O$134, 'GEN-CCGT'!$D$32:$BA$32, 'GEN-CCGT'!$D34:$BA34)+_xlfn.XLOOKUP(O$134, 'GEN-SOLAR'!$D$32:$BA$32, 'GEN-SOLAR'!$D34:$BA34)+_xlfn.XLOOKUP(O$134, 'GEN-BESS'!$D$32:$BA$32, 'GEN-BESS'!$D34:$BA34)+_xlfn.XLOOKUP(O$134, 'GEN-CARBON'!$D$32:$BA$32, 'GEN-CARBON'!$D34:$BA34)+_xlfn.XLOOKUP(O$134, Load!$D$32:$BA$32, Load!$D34:$BA34)+_xlfn.XLOOKUP(O$134, Hydrogen!$D$32:$BA$32, Hydrogen!$D34:$BA34)+_xlfn.XLOOKUP(O$134, 'SENS Tires'!$D$32:$BA$32, 'SENS Tires'!$D34:$BA34)+_xlfn.XLOOKUP(O$134, 'SENS Coal'!$D$32:$BA$32, 'SENS Coal'!$D34:$BA34)</f>
        <v>13219.039155828528</v>
      </c>
      <c r="P136" s="208">
        <f>_xlfn.XLOOKUP(P$134, 'Real Estate'!$D$25:$BA$25, 'Real Estate'!$D27:$BA27)+_xlfn.XLOOKUP(P$134, 'GEN-CCGT'!$D$32:$BA$32, 'GEN-CCGT'!$D34:$BA34)+_xlfn.XLOOKUP(P$134, 'GEN-SOLAR'!$D$32:$BA$32, 'GEN-SOLAR'!$D34:$BA34)+_xlfn.XLOOKUP(P$134, 'GEN-BESS'!$D$32:$BA$32, 'GEN-BESS'!$D34:$BA34)+_xlfn.XLOOKUP(P$134, 'GEN-CARBON'!$D$32:$BA$32, 'GEN-CARBON'!$D34:$BA34)+_xlfn.XLOOKUP(P$134, Load!$D$32:$BA$32, Load!$D34:$BA34)+_xlfn.XLOOKUP(P$134, Hydrogen!$D$32:$BA$32, Hydrogen!$D34:$BA34)+_xlfn.XLOOKUP(P$134, 'SENS Tires'!$D$32:$BA$32, 'SENS Tires'!$D34:$BA34)+_xlfn.XLOOKUP(P$134, 'SENS Coal'!$D$32:$BA$32, 'SENS Coal'!$D34:$BA34)</f>
        <v>13485.536797211729</v>
      </c>
      <c r="Q136" s="208">
        <f>_xlfn.XLOOKUP(Q$134, 'Real Estate'!$D$25:$BA$25, 'Real Estate'!$D27:$BA27)+_xlfn.XLOOKUP(Q$134, 'GEN-CCGT'!$D$32:$BA$32, 'GEN-CCGT'!$D34:$BA34)+_xlfn.XLOOKUP(Q$134, 'GEN-SOLAR'!$D$32:$BA$32, 'GEN-SOLAR'!$D34:$BA34)+_xlfn.XLOOKUP(Q$134, 'GEN-BESS'!$D$32:$BA$32, 'GEN-BESS'!$D34:$BA34)+_xlfn.XLOOKUP(Q$134, 'GEN-CARBON'!$D$32:$BA$32, 'GEN-CARBON'!$D34:$BA34)+_xlfn.XLOOKUP(Q$134, Load!$D$32:$BA$32, Load!$D34:$BA34)+_xlfn.XLOOKUP(Q$134, Hydrogen!$D$32:$BA$32, Hydrogen!$D34:$BA34)+_xlfn.XLOOKUP(Q$134, 'SENS Tires'!$D$32:$BA$32, 'SENS Tires'!$D34:$BA34)+_xlfn.XLOOKUP(Q$134, 'SENS Coal'!$D$32:$BA$32, 'SENS Coal'!$D34:$BA34)</f>
        <v>13757.429021507158</v>
      </c>
      <c r="R136" s="208">
        <f>_xlfn.XLOOKUP(R$134, 'Real Estate'!$D$25:$BA$25, 'Real Estate'!$D27:$BA27)+_xlfn.XLOOKUP(R$134, 'GEN-CCGT'!$D$32:$BA$32, 'GEN-CCGT'!$D34:$BA34)+_xlfn.XLOOKUP(R$134, 'GEN-SOLAR'!$D$32:$BA$32, 'GEN-SOLAR'!$D34:$BA34)+_xlfn.XLOOKUP(R$134, 'GEN-BESS'!$D$32:$BA$32, 'GEN-BESS'!$D34:$BA34)+_xlfn.XLOOKUP(R$134, 'GEN-CARBON'!$D$32:$BA$32, 'GEN-CARBON'!$D34:$BA34)+_xlfn.XLOOKUP(R$134, Load!$D$32:$BA$32, Load!$D34:$BA34)+_xlfn.XLOOKUP(R$134, Hydrogen!$D$32:$BA$32, Hydrogen!$D34:$BA34)+_xlfn.XLOOKUP(R$134, 'SENS Tires'!$D$32:$BA$32, 'SENS Tires'!$D34:$BA34)+_xlfn.XLOOKUP(R$134, 'SENS Coal'!$D$32:$BA$32, 'SENS Coal'!$D34:$BA34)</f>
        <v>14034.825760102809</v>
      </c>
      <c r="S136" s="208">
        <f>_xlfn.XLOOKUP(S$134, 'Real Estate'!$D$25:$BA$25, 'Real Estate'!$D27:$BA27)+_xlfn.XLOOKUP(S$134, 'GEN-CCGT'!$D$32:$BA$32, 'GEN-CCGT'!$D34:$BA34)+_xlfn.XLOOKUP(S$134, 'GEN-SOLAR'!$D$32:$BA$32, 'GEN-SOLAR'!$D34:$BA34)+_xlfn.XLOOKUP(S$134, 'GEN-BESS'!$D$32:$BA$32, 'GEN-BESS'!$D34:$BA34)+_xlfn.XLOOKUP(S$134, 'GEN-CARBON'!$D$32:$BA$32, 'GEN-CARBON'!$D34:$BA34)+_xlfn.XLOOKUP(S$134, Load!$D$32:$BA$32, Load!$D34:$BA34)+_xlfn.XLOOKUP(S$134, Hydrogen!$D$32:$BA$32, Hydrogen!$D34:$BA34)+_xlfn.XLOOKUP(S$134, 'SENS Tires'!$D$32:$BA$32, 'SENS Tires'!$D34:$BA34)+_xlfn.XLOOKUP(S$134, 'SENS Coal'!$D$32:$BA$32, 'SENS Coal'!$D34:$BA34)</f>
        <v>14317.839205663538</v>
      </c>
      <c r="T136" s="208">
        <f>_xlfn.XLOOKUP(T$134, 'Real Estate'!$D$25:$BA$25, 'Real Estate'!$D27:$BA27)+_xlfn.XLOOKUP(T$134, 'GEN-CCGT'!$D$32:$BA$32, 'GEN-CCGT'!$D34:$BA34)+_xlfn.XLOOKUP(T$134, 'GEN-SOLAR'!$D$32:$BA$32, 'GEN-SOLAR'!$D34:$BA34)+_xlfn.XLOOKUP(T$134, 'GEN-BESS'!$D$32:$BA$32, 'GEN-BESS'!$D34:$BA34)+_xlfn.XLOOKUP(T$134, 'GEN-CARBON'!$D$32:$BA$32, 'GEN-CARBON'!$D34:$BA34)+_xlfn.XLOOKUP(T$134, Load!$D$32:$BA$32, Load!$D34:$BA34)+_xlfn.XLOOKUP(T$134, Hydrogen!$D$32:$BA$32, Hydrogen!$D34:$BA34)+_xlfn.XLOOKUP(T$134, 'SENS Tires'!$D$32:$BA$32, 'SENS Tires'!$D34:$BA34)+_xlfn.XLOOKUP(T$134, 'SENS Coal'!$D$32:$BA$32, 'SENS Coal'!$D34:$BA34)</f>
        <v>14606.583859259918</v>
      </c>
      <c r="U136" s="208">
        <f>_xlfn.XLOOKUP(U$134, 'Real Estate'!$D$25:$BA$25, 'Real Estate'!$D27:$BA27)+_xlfn.XLOOKUP(U$134, 'GEN-CCGT'!$D$32:$BA$32, 'GEN-CCGT'!$D34:$BA34)+_xlfn.XLOOKUP(U$134, 'GEN-SOLAR'!$D$32:$BA$32, 'GEN-SOLAR'!$D34:$BA34)+_xlfn.XLOOKUP(U$134, 'GEN-BESS'!$D$32:$BA$32, 'GEN-BESS'!$D34:$BA34)+_xlfn.XLOOKUP(U$134, 'GEN-CARBON'!$D$32:$BA$32, 'GEN-CARBON'!$D34:$BA34)+_xlfn.XLOOKUP(U$134, Load!$D$32:$BA$32, Load!$D34:$BA34)+_xlfn.XLOOKUP(U$134, Hydrogen!$D$32:$BA$32, Hydrogen!$D34:$BA34)+_xlfn.XLOOKUP(U$134, 'SENS Tires'!$D$32:$BA$32, 'SENS Tires'!$D34:$BA34)+_xlfn.XLOOKUP(U$134, 'SENS Coal'!$D$32:$BA$32, 'SENS Coal'!$D34:$BA34)</f>
        <v>14901.176578497096</v>
      </c>
      <c r="V136" s="208">
        <f>_xlfn.XLOOKUP(V$134, 'Real Estate'!$D$25:$BA$25, 'Real Estate'!$D27:$BA27)+_xlfn.XLOOKUP(V$134, 'GEN-CCGT'!$D$32:$BA$32, 'GEN-CCGT'!$D34:$BA34)+_xlfn.XLOOKUP(V$134, 'GEN-SOLAR'!$D$32:$BA$32, 'GEN-SOLAR'!$D34:$BA34)+_xlfn.XLOOKUP(V$134, 'GEN-BESS'!$D$32:$BA$32, 'GEN-BESS'!$D34:$BA34)+_xlfn.XLOOKUP(V$134, 'GEN-CARBON'!$D$32:$BA$32, 'GEN-CARBON'!$D34:$BA34)+_xlfn.XLOOKUP(V$134, Load!$D$32:$BA$32, Load!$D34:$BA34)+_xlfn.XLOOKUP(V$134, Hydrogen!$D$32:$BA$32, Hydrogen!$D34:$BA34)+_xlfn.XLOOKUP(V$134, 'SENS Tires'!$D$32:$BA$32, 'SENS Tires'!$D34:$BA34)+_xlfn.XLOOKUP(V$134, 'SENS Coal'!$D$32:$BA$32, 'SENS Coal'!$D34:$BA34)</f>
        <v>15201.736626665517</v>
      </c>
      <c r="W136" s="208">
        <f>_xlfn.XLOOKUP(W$134, 'Real Estate'!$D$25:$BA$25, 'Real Estate'!$D27:$BA27)+_xlfn.XLOOKUP(W$134, 'GEN-CCGT'!$D$32:$BA$32, 'GEN-CCGT'!$D34:$BA34)+_xlfn.XLOOKUP(W$134, 'GEN-SOLAR'!$D$32:$BA$32, 'GEN-SOLAR'!$D34:$BA34)+_xlfn.XLOOKUP(W$134, 'GEN-BESS'!$D$32:$BA$32, 'GEN-BESS'!$D34:$BA34)+_xlfn.XLOOKUP(W$134, 'GEN-CARBON'!$D$32:$BA$32, 'GEN-CARBON'!$D34:$BA34)+_xlfn.XLOOKUP(W$134, Load!$D$32:$BA$32, Load!$D34:$BA34)+_xlfn.XLOOKUP(W$134, Hydrogen!$D$32:$BA$32, Hydrogen!$D34:$BA34)+_xlfn.XLOOKUP(W$134, 'SENS Tires'!$D$32:$BA$32, 'SENS Tires'!$D34:$BA34)+_xlfn.XLOOKUP(W$134, 'SENS Coal'!$D$32:$BA$32, 'SENS Coal'!$D34:$BA34)</f>
        <v>15508.385722935593</v>
      </c>
      <c r="X136" s="208">
        <f>_xlfn.XLOOKUP(X$134, 'Real Estate'!$D$25:$BA$25, 'Real Estate'!$D27:$BA27)+_xlfn.XLOOKUP(X$134, 'GEN-CCGT'!$D$32:$BA$32, 'GEN-CCGT'!$D34:$BA34)+_xlfn.XLOOKUP(X$134, 'GEN-SOLAR'!$D$32:$BA$32, 'GEN-SOLAR'!$D34:$BA34)+_xlfn.XLOOKUP(X$134, 'GEN-BESS'!$D$32:$BA$32, 'GEN-BESS'!$D34:$BA34)+_xlfn.XLOOKUP(X$134, 'GEN-CARBON'!$D$32:$BA$32, 'GEN-CARBON'!$D34:$BA34)+_xlfn.XLOOKUP(X$134, Load!$D$32:$BA$32, Load!$D34:$BA34)+_xlfn.XLOOKUP(X$134, Hydrogen!$D$32:$BA$32, Hydrogen!$D34:$BA34)+_xlfn.XLOOKUP(X$134, 'SENS Tires'!$D$32:$BA$32, 'SENS Tires'!$D34:$BA34)+_xlfn.XLOOKUP(X$134, 'SENS Coal'!$D$32:$BA$32, 'SENS Coal'!$D34:$BA34)</f>
        <v>15821.24809361913</v>
      </c>
      <c r="Y136" s="208">
        <f>_xlfn.XLOOKUP(Y$134, 'Real Estate'!$D$25:$BA$25, 'Real Estate'!$D27:$BA27)+_xlfn.XLOOKUP(Y$134, 'GEN-CCGT'!$D$32:$BA$32, 'GEN-CCGT'!$D34:$BA34)+_xlfn.XLOOKUP(Y$134, 'GEN-SOLAR'!$D$32:$BA$32, 'GEN-SOLAR'!$D34:$BA34)+_xlfn.XLOOKUP(Y$134, 'GEN-BESS'!$D$32:$BA$32, 'GEN-BESS'!$D34:$BA34)+_xlfn.XLOOKUP(Y$134, 'GEN-CARBON'!$D$32:$BA$32, 'GEN-CARBON'!$D34:$BA34)+_xlfn.XLOOKUP(Y$134, Load!$D$32:$BA$32, Load!$D34:$BA34)+_xlfn.XLOOKUP(Y$134, Hydrogen!$D$32:$BA$32, Hydrogen!$D34:$BA34)+_xlfn.XLOOKUP(Y$134, 'SENS Tires'!$D$32:$BA$32, 'SENS Tires'!$D34:$BA34)+_xlfn.XLOOKUP(Y$134, 'SENS Coal'!$D$32:$BA$32, 'SENS Coal'!$D34:$BA34)</f>
        <v>16140.450524520744</v>
      </c>
      <c r="Z136" s="208">
        <f>_xlfn.XLOOKUP(Z$134, 'Real Estate'!$D$25:$BA$25, 'Real Estate'!$D27:$BA27)+_xlfn.XLOOKUP(Z$134, 'GEN-CCGT'!$D$32:$BA$32, 'GEN-CCGT'!$D34:$BA34)+_xlfn.XLOOKUP(Z$134, 'GEN-SOLAR'!$D$32:$BA$32, 'GEN-SOLAR'!$D34:$BA34)+_xlfn.XLOOKUP(Z$134, 'GEN-BESS'!$D$32:$BA$32, 'GEN-BESS'!$D34:$BA34)+_xlfn.XLOOKUP(Z$134, 'GEN-CARBON'!$D$32:$BA$32, 'GEN-CARBON'!$D34:$BA34)+_xlfn.XLOOKUP(Z$134, Load!$D$32:$BA$32, Load!$D34:$BA34)+_xlfn.XLOOKUP(Z$134, Hydrogen!$D$32:$BA$32, Hydrogen!$D34:$BA34)+_xlfn.XLOOKUP(Z$134, 'SENS Tires'!$D$32:$BA$32, 'SENS Tires'!$D34:$BA34)+_xlfn.XLOOKUP(Z$134, 'SENS Coal'!$D$32:$BA$32, 'SENS Coal'!$D34:$BA34)</f>
        <v>16466.12241440294</v>
      </c>
      <c r="AA136" s="208">
        <f>_xlfn.XLOOKUP(AA$134, 'Real Estate'!$D$25:$BA$25, 'Real Estate'!$D27:$BA27)+_xlfn.XLOOKUP(AA$134, 'GEN-CCGT'!$D$32:$BA$32, 'GEN-CCGT'!$D34:$BA34)+_xlfn.XLOOKUP(AA$134, 'GEN-SOLAR'!$D$32:$BA$32, 'GEN-SOLAR'!$D34:$BA34)+_xlfn.XLOOKUP(AA$134, 'GEN-BESS'!$D$32:$BA$32, 'GEN-BESS'!$D34:$BA34)+_xlfn.XLOOKUP(AA$134, 'GEN-CARBON'!$D$32:$BA$32, 'GEN-CARBON'!$D34:$BA34)+_xlfn.XLOOKUP(AA$134, Load!$D$32:$BA$32, Load!$D34:$BA34)+_xlfn.XLOOKUP(AA$134, Hydrogen!$D$32:$BA$32, Hydrogen!$D34:$BA34)+_xlfn.XLOOKUP(AA$134, 'SENS Tires'!$D$32:$BA$32, 'SENS Tires'!$D34:$BA34)+_xlfn.XLOOKUP(AA$134, 'SENS Coal'!$D$32:$BA$32, 'SENS Coal'!$D34:$BA34)</f>
        <v>16798.395829589175</v>
      </c>
      <c r="AB136" s="208">
        <f>_xlfn.XLOOKUP(AB$134, 'Real Estate'!$D$25:$BA$25, 'Real Estate'!$D27:$BA27)+_xlfn.XLOOKUP(AB$134, 'GEN-CCGT'!$D$32:$BA$32, 'GEN-CCGT'!$D34:$BA34)+_xlfn.XLOOKUP(AB$134, 'GEN-SOLAR'!$D$32:$BA$32, 'GEN-SOLAR'!$D34:$BA34)+_xlfn.XLOOKUP(AB$134, 'GEN-BESS'!$D$32:$BA$32, 'GEN-BESS'!$D34:$BA34)+_xlfn.XLOOKUP(AB$134, 'GEN-CARBON'!$D$32:$BA$32, 'GEN-CARBON'!$D34:$BA34)+_xlfn.XLOOKUP(AB$134, Load!$D$32:$BA$32, Load!$D34:$BA34)+_xlfn.XLOOKUP(AB$134, Hydrogen!$D$32:$BA$32, Hydrogen!$D34:$BA34)+_xlfn.XLOOKUP(AB$134, 'SENS Tires'!$D$32:$BA$32, 'SENS Tires'!$D34:$BA34)+_xlfn.XLOOKUP(AB$134, 'SENS Coal'!$D$32:$BA$32, 'SENS Coal'!$D34:$BA34)</f>
        <v>17137.405559729774</v>
      </c>
      <c r="AC136" s="208">
        <f>_xlfn.XLOOKUP(AC$134, 'Real Estate'!$D$25:$BA$25, 'Real Estate'!$D27:$BA27)+_xlfn.XLOOKUP(AC$134, 'GEN-CCGT'!$D$32:$BA$32, 'GEN-CCGT'!$D34:$BA34)+_xlfn.XLOOKUP(AC$134, 'GEN-SOLAR'!$D$32:$BA$32, 'GEN-SOLAR'!$D34:$BA34)+_xlfn.XLOOKUP(AC$134, 'GEN-BESS'!$D$32:$BA$32, 'GEN-BESS'!$D34:$BA34)+_xlfn.XLOOKUP(AC$134, 'GEN-CARBON'!$D$32:$BA$32, 'GEN-CARBON'!$D34:$BA34)+_xlfn.XLOOKUP(AC$134, Load!$D$32:$BA$32, Load!$D34:$BA34)+_xlfn.XLOOKUP(AC$134, Hydrogen!$D$32:$BA$32, Hydrogen!$D34:$BA34)+_xlfn.XLOOKUP(AC$134, 'SENS Tires'!$D$32:$BA$32, 'SENS Tires'!$D34:$BA34)+_xlfn.XLOOKUP(AC$134, 'SENS Coal'!$D$32:$BA$32, 'SENS Coal'!$D34:$BA34)</f>
        <v>17483.289174756021</v>
      </c>
      <c r="AD136" s="208">
        <f>_xlfn.XLOOKUP(AD$134, 'Real Estate'!$D$25:$BA$25, 'Real Estate'!$D27:$BA27)+_xlfn.XLOOKUP(AD$134, 'GEN-CCGT'!$D$32:$BA$32, 'GEN-CCGT'!$D34:$BA34)+_xlfn.XLOOKUP(AD$134, 'GEN-SOLAR'!$D$32:$BA$32, 'GEN-SOLAR'!$D34:$BA34)+_xlfn.XLOOKUP(AD$134, 'GEN-BESS'!$D$32:$BA$32, 'GEN-BESS'!$D34:$BA34)+_xlfn.XLOOKUP(AD$134, 'GEN-CARBON'!$D$32:$BA$32, 'GEN-CARBON'!$D34:$BA34)+_xlfn.XLOOKUP(AD$134, Load!$D$32:$BA$32, Load!$D34:$BA34)+_xlfn.XLOOKUP(AD$134, Hydrogen!$D$32:$BA$32, Hydrogen!$D34:$BA34)+_xlfn.XLOOKUP(AD$134, 'SENS Tires'!$D$32:$BA$32, 'SENS Tires'!$D34:$BA34)+_xlfn.XLOOKUP(AD$134, 'SENS Coal'!$D$32:$BA$32, 'SENS Coal'!$D34:$BA34)</f>
        <v>17836.1870830484</v>
      </c>
      <c r="AE136" s="208">
        <f>_xlfn.XLOOKUP(AE$134, 'Real Estate'!$D$25:$BA$25, 'Real Estate'!$D27:$BA27)+_xlfn.XLOOKUP(AE$134, 'GEN-CCGT'!$D$32:$BA$32, 'GEN-CCGT'!$D34:$BA34)+_xlfn.XLOOKUP(AE$134, 'GEN-SOLAR'!$D$32:$BA$32, 'GEN-SOLAR'!$D34:$BA34)+_xlfn.XLOOKUP(AE$134, 'GEN-BESS'!$D$32:$BA$32, 'GEN-BESS'!$D34:$BA34)+_xlfn.XLOOKUP(AE$134, 'GEN-CARBON'!$D$32:$BA$32, 'GEN-CARBON'!$D34:$BA34)+_xlfn.XLOOKUP(AE$134, Load!$D$32:$BA$32, Load!$D34:$BA34)+_xlfn.XLOOKUP(AE$134, Hydrogen!$D$32:$BA$32, Hydrogen!$D34:$BA34)+_xlfn.XLOOKUP(AE$134, 'SENS Tires'!$D$32:$BA$32, 'SENS Tires'!$D34:$BA34)+_xlfn.XLOOKUP(AE$134, 'SENS Coal'!$D$32:$BA$32, 'SENS Coal'!$D34:$BA34)</f>
        <v>18196.242590845548</v>
      </c>
      <c r="AF136" s="208">
        <f>_xlfn.XLOOKUP(AF$134, 'Real Estate'!$D$25:$BA$25, 'Real Estate'!$D27:$BA27)+_xlfn.XLOOKUP(AF$134, 'GEN-CCGT'!$D$32:$BA$32, 'GEN-CCGT'!$D34:$BA34)+_xlfn.XLOOKUP(AF$134, 'GEN-SOLAR'!$D$32:$BA$32, 'GEN-SOLAR'!$D34:$BA34)+_xlfn.XLOOKUP(AF$134, 'GEN-BESS'!$D$32:$BA$32, 'GEN-BESS'!$D34:$BA34)+_xlfn.XLOOKUP(AF$134, 'GEN-CARBON'!$D$32:$BA$32, 'GEN-CARBON'!$D34:$BA34)+_xlfn.XLOOKUP(AF$134, Load!$D$32:$BA$32, Load!$D34:$BA34)+_xlfn.XLOOKUP(AF$134, Hydrogen!$D$32:$BA$32, Hydrogen!$D34:$BA34)+_xlfn.XLOOKUP(AF$134, 'SENS Tires'!$D$32:$BA$32, 'SENS Tires'!$D34:$BA34)+_xlfn.XLOOKUP(AF$134, 'SENS Coal'!$D$32:$BA$32, 'SENS Coal'!$D34:$BA34)</f>
        <v>17898.917825964516</v>
      </c>
      <c r="AG136" s="208">
        <f>_xlfn.XLOOKUP(AG$134, 'Real Estate'!$D$25:$BA$25, 'Real Estate'!$D27:$BA27)+_xlfn.XLOOKUP(AG$134, 'GEN-CCGT'!$D$32:$BA$32, 'GEN-CCGT'!$D34:$BA34)+_xlfn.XLOOKUP(AG$134, 'GEN-SOLAR'!$D$32:$BA$32, 'GEN-SOLAR'!$D34:$BA34)+_xlfn.XLOOKUP(AG$134, 'GEN-BESS'!$D$32:$BA$32, 'GEN-BESS'!$D34:$BA34)+_xlfn.XLOOKUP(AG$134, 'GEN-CARBON'!$D$32:$BA$32, 'GEN-CARBON'!$D34:$BA34)+_xlfn.XLOOKUP(AG$134, Load!$D$32:$BA$32, Load!$D34:$BA34)+_xlfn.XLOOKUP(AG$134, Hydrogen!$D$32:$BA$32, Hydrogen!$D34:$BA34)+_xlfn.XLOOKUP(AG$134, 'SENS Tires'!$D$32:$BA$32, 'SENS Tires'!$D34:$BA34)+_xlfn.XLOOKUP(AG$134, 'SENS Coal'!$D$32:$BA$32, 'SENS Coal'!$D34:$BA34)</f>
        <v>18259.159526742671</v>
      </c>
      <c r="AH136" s="208">
        <f>_xlfn.XLOOKUP(AH$134, 'Real Estate'!$D$25:$BA$25, 'Real Estate'!$D27:$BA27)+_xlfn.XLOOKUP(AH$134, 'GEN-CCGT'!$D$32:$BA$32, 'GEN-CCGT'!$D34:$BA34)+_xlfn.XLOOKUP(AH$134, 'GEN-SOLAR'!$D$32:$BA$32, 'GEN-SOLAR'!$D34:$BA34)+_xlfn.XLOOKUP(AH$134, 'GEN-BESS'!$D$32:$BA$32, 'GEN-BESS'!$D34:$BA34)+_xlfn.XLOOKUP(AH$134, 'GEN-CARBON'!$D$32:$BA$32, 'GEN-CARBON'!$D34:$BA34)+_xlfn.XLOOKUP(AH$134, Load!$D$32:$BA$32, Load!$D34:$BA34)+_xlfn.XLOOKUP(AH$134, Hydrogen!$D$32:$BA$32, Hydrogen!$D34:$BA34)+_xlfn.XLOOKUP(AH$134, 'SENS Tires'!$D$32:$BA$32, 'SENS Tires'!$D34:$BA34)+_xlfn.XLOOKUP(AH$134, 'SENS Coal'!$D$32:$BA$32, 'SENS Coal'!$D34:$BA34)</f>
        <v>18574.985228598678</v>
      </c>
      <c r="AI136" s="208">
        <f>_xlfn.XLOOKUP(AI$134, 'Real Estate'!$D$25:$BA$25, 'Real Estate'!$D27:$BA27)+_xlfn.XLOOKUP(AI$134, 'GEN-CCGT'!$D$32:$BA$32, 'GEN-CCGT'!$D34:$BA34)+_xlfn.XLOOKUP(AI$134, 'GEN-SOLAR'!$D$32:$BA$32, 'GEN-SOLAR'!$D34:$BA34)+_xlfn.XLOOKUP(AI$134, 'GEN-BESS'!$D$32:$BA$32, 'GEN-BESS'!$D34:$BA34)+_xlfn.XLOOKUP(AI$134, 'GEN-CARBON'!$D$32:$BA$32, 'GEN-CARBON'!$D34:$BA34)+_xlfn.XLOOKUP(AI$134, Load!$D$32:$BA$32, Load!$D34:$BA34)+_xlfn.XLOOKUP(AI$134, Hydrogen!$D$32:$BA$32, Hydrogen!$D34:$BA34)+_xlfn.XLOOKUP(AI$134, 'SENS Tires'!$D$32:$BA$32, 'SENS Tires'!$D34:$BA34)+_xlfn.XLOOKUP(AI$134, 'SENS Coal'!$D$32:$BA$32, 'SENS Coal'!$D34:$BA34)</f>
        <v>18865.201690064954</v>
      </c>
      <c r="AJ136" s="208">
        <f>_xlfn.XLOOKUP(AJ$134, 'Real Estate'!$D$25:$BA$25, 'Real Estate'!$D27:$BA27)+_xlfn.XLOOKUP(AJ$134, 'GEN-CCGT'!$D$32:$BA$32, 'GEN-CCGT'!$D34:$BA34)+_xlfn.XLOOKUP(AJ$134, 'GEN-SOLAR'!$D$32:$BA$32, 'GEN-SOLAR'!$D34:$BA34)+_xlfn.XLOOKUP(AJ$134, 'GEN-BESS'!$D$32:$BA$32, 'GEN-BESS'!$D34:$BA34)+_xlfn.XLOOKUP(AJ$134, 'GEN-CARBON'!$D$32:$BA$32, 'GEN-CARBON'!$D34:$BA34)+_xlfn.XLOOKUP(AJ$134, Load!$D$32:$BA$32, Load!$D34:$BA34)+_xlfn.XLOOKUP(AJ$134, Hydrogen!$D$32:$BA$32, Hydrogen!$D34:$BA34)+_xlfn.XLOOKUP(AJ$134, 'SENS Tires'!$D$32:$BA$32, 'SENS Tires'!$D34:$BA34)+_xlfn.XLOOKUP(AJ$134, 'SENS Coal'!$D$32:$BA$32, 'SENS Coal'!$D34:$BA34)</f>
        <v>19245.461797031236</v>
      </c>
      <c r="AK136" s="208">
        <f>_xlfn.XLOOKUP(AK$134, 'Real Estate'!$D$25:$BA$25, 'Real Estate'!$D27:$BA27)+_xlfn.XLOOKUP(AK$134, 'GEN-CCGT'!$D$32:$BA$32, 'GEN-CCGT'!$D34:$BA34)+_xlfn.XLOOKUP(AK$134, 'GEN-SOLAR'!$D$32:$BA$32, 'GEN-SOLAR'!$D34:$BA34)+_xlfn.XLOOKUP(AK$134, 'GEN-BESS'!$D$32:$BA$32, 'GEN-BESS'!$D34:$BA34)+_xlfn.XLOOKUP(AK$134, 'GEN-CARBON'!$D$32:$BA$32, 'GEN-CARBON'!$D34:$BA34)+_xlfn.XLOOKUP(AK$134, Load!$D$32:$BA$32, Load!$D34:$BA34)+_xlfn.XLOOKUP(AK$134, Hydrogen!$D$32:$BA$32, Hydrogen!$D34:$BA34)+_xlfn.XLOOKUP(AK$134, 'SENS Tires'!$D$32:$BA$32, 'SENS Tires'!$D34:$BA34)+_xlfn.XLOOKUP(AK$134, 'SENS Coal'!$D$32:$BA$32, 'SENS Coal'!$D34:$BA34)</f>
        <v>19633.415788331786</v>
      </c>
      <c r="AL136" s="208">
        <f>_xlfn.XLOOKUP(AL$134, 'Real Estate'!$D$25:$BA$25, 'Real Estate'!$D27:$BA27)+_xlfn.XLOOKUP(AL$134, 'GEN-CCGT'!$D$32:$BA$32, 'GEN-CCGT'!$D34:$BA34)+_xlfn.XLOOKUP(AL$134, 'GEN-SOLAR'!$D$32:$BA$32, 'GEN-SOLAR'!$D34:$BA34)+_xlfn.XLOOKUP(AL$134, 'GEN-BESS'!$D$32:$BA$32, 'GEN-BESS'!$D34:$BA34)+_xlfn.XLOOKUP(AL$134, 'GEN-CARBON'!$D$32:$BA$32, 'GEN-CARBON'!$D34:$BA34)+_xlfn.XLOOKUP(AL$134, Load!$D$32:$BA$32, Load!$D34:$BA34)+_xlfn.XLOOKUP(AL$134, Hydrogen!$D$32:$BA$32, Hydrogen!$D34:$BA34)+_xlfn.XLOOKUP(AL$134, 'SENS Tires'!$D$32:$BA$32, 'SENS Tires'!$D34:$BA34)+_xlfn.XLOOKUP(AL$134, 'SENS Coal'!$D$32:$BA$32, 'SENS Coal'!$D34:$BA34)</f>
        <v>20029.220202119155</v>
      </c>
      <c r="AM136" s="208">
        <f>_xlfn.XLOOKUP(AM$134, 'Real Estate'!$D$25:$BA$25, 'Real Estate'!$D27:$BA27)+_xlfn.XLOOKUP(AM$134, 'GEN-CCGT'!$D$32:$BA$32, 'GEN-CCGT'!$D34:$BA34)+_xlfn.XLOOKUP(AM$134, 'GEN-SOLAR'!$D$32:$BA$32, 'GEN-SOLAR'!$D34:$BA34)+_xlfn.XLOOKUP(AM$134, 'GEN-BESS'!$D$32:$BA$32, 'GEN-BESS'!$D34:$BA34)+_xlfn.XLOOKUP(AM$134, 'GEN-CARBON'!$D$32:$BA$32, 'GEN-CARBON'!$D34:$BA34)+_xlfn.XLOOKUP(AM$134, Load!$D$32:$BA$32, Load!$D34:$BA34)+_xlfn.XLOOKUP(AM$134, Hydrogen!$D$32:$BA$32, Hydrogen!$D34:$BA34)+_xlfn.XLOOKUP(AM$134, 'SENS Tires'!$D$32:$BA$32, 'SENS Tires'!$D34:$BA34)+_xlfn.XLOOKUP(AM$134, 'SENS Coal'!$D$32:$BA$32, 'SENS Coal'!$D34:$BA34)</f>
        <v>20433.034787122888</v>
      </c>
      <c r="AN136" s="208">
        <f>_xlfn.XLOOKUP(AN$134, 'Real Estate'!$D$25:$BA$25, 'Real Estate'!$D27:$BA27)+_xlfn.XLOOKUP(AN$134, 'GEN-CCGT'!$D$32:$BA$32, 'GEN-CCGT'!$D34:$BA34)+_xlfn.XLOOKUP(AN$134, 'GEN-SOLAR'!$D$32:$BA$32, 'GEN-SOLAR'!$D34:$BA34)+_xlfn.XLOOKUP(AN$134, 'GEN-BESS'!$D$32:$BA$32, 'GEN-BESS'!$D34:$BA34)+_xlfn.XLOOKUP(AN$134, 'GEN-CARBON'!$D$32:$BA$32, 'GEN-CARBON'!$D34:$BA34)+_xlfn.XLOOKUP(AN$134, Load!$D$32:$BA$32, Load!$D34:$BA34)+_xlfn.XLOOKUP(AN$134, Hydrogen!$D$32:$BA$32, Hydrogen!$D34:$BA34)+_xlfn.XLOOKUP(AN$134, 'SENS Tires'!$D$32:$BA$32, 'SENS Tires'!$D34:$BA34)+_xlfn.XLOOKUP(AN$134, 'SENS Coal'!$D$32:$BA$32, 'SENS Coal'!$D34:$BA34)</f>
        <v>20845.022569255536</v>
      </c>
      <c r="AO136" s="208">
        <f>_xlfn.XLOOKUP(AO$134, 'Real Estate'!$D$25:$BA$25, 'Real Estate'!$D27:$BA27)+_xlfn.XLOOKUP(AO$134, 'GEN-CCGT'!$D$32:$BA$32, 'GEN-CCGT'!$D34:$BA34)+_xlfn.XLOOKUP(AO$134, 'GEN-SOLAR'!$D$32:$BA$32, 'GEN-SOLAR'!$D34:$BA34)+_xlfn.XLOOKUP(AO$134, 'GEN-BESS'!$D$32:$BA$32, 'GEN-BESS'!$D34:$BA34)+_xlfn.XLOOKUP(AO$134, 'GEN-CARBON'!$D$32:$BA$32, 'GEN-CARBON'!$D34:$BA34)+_xlfn.XLOOKUP(AO$134, Load!$D$32:$BA$32, Load!$D34:$BA34)+_xlfn.XLOOKUP(AO$134, Hydrogen!$D$32:$BA$32, Hydrogen!$D34:$BA34)+_xlfn.XLOOKUP(AO$134, 'SENS Tires'!$D$32:$BA$32, 'SENS Tires'!$D34:$BA34)+_xlfn.XLOOKUP(AO$134, 'SENS Coal'!$D$32:$BA$32, 'SENS Coal'!$D34:$BA34)</f>
        <v>21265.349919622538</v>
      </c>
      <c r="AP136" s="208">
        <f>_xlfn.XLOOKUP(AP$134, 'Real Estate'!$D$25:$BA$25, 'Real Estate'!$D27:$BA27)+_xlfn.XLOOKUP(AP$134, 'GEN-CCGT'!$D$32:$BA$32, 'GEN-CCGT'!$D34:$BA34)+_xlfn.XLOOKUP(AP$134, 'GEN-SOLAR'!$D$32:$BA$32, 'GEN-SOLAR'!$D34:$BA34)+_xlfn.XLOOKUP(AP$134, 'GEN-BESS'!$D$32:$BA$32, 'GEN-BESS'!$D34:$BA34)+_xlfn.XLOOKUP(AP$134, 'GEN-CARBON'!$D$32:$BA$32, 'GEN-CARBON'!$D34:$BA34)+_xlfn.XLOOKUP(AP$134, Load!$D$32:$BA$32, Load!$D34:$BA34)+_xlfn.XLOOKUP(AP$134, Hydrogen!$D$32:$BA$32, Hydrogen!$D34:$BA34)+_xlfn.XLOOKUP(AP$134, 'SENS Tires'!$D$32:$BA$32, 'SENS Tires'!$D34:$BA34)+_xlfn.XLOOKUP(AP$134, 'SENS Coal'!$D$32:$BA$32, 'SENS Coal'!$D34:$BA34)</f>
        <v>21694.18662396634</v>
      </c>
      <c r="AQ136" s="208">
        <f>_xlfn.XLOOKUP(AQ$134, 'Real Estate'!$D$25:$BA$25, 'Real Estate'!$D27:$BA27)+_xlfn.XLOOKUP(AQ$134, 'GEN-CCGT'!$D$32:$BA$32, 'GEN-CCGT'!$D34:$BA34)+_xlfn.XLOOKUP(AQ$134, 'GEN-SOLAR'!$D$32:$BA$32, 'GEN-SOLAR'!$D34:$BA34)+_xlfn.XLOOKUP(AQ$134, 'GEN-BESS'!$D$32:$BA$32, 'GEN-BESS'!$D34:$BA34)+_xlfn.XLOOKUP(AQ$134, 'GEN-CARBON'!$D$32:$BA$32, 'GEN-CARBON'!$D34:$BA34)+_xlfn.XLOOKUP(AQ$134, Load!$D$32:$BA$32, Load!$D34:$BA34)+_xlfn.XLOOKUP(AQ$134, Hydrogen!$D$32:$BA$32, Hydrogen!$D34:$BA34)+_xlfn.XLOOKUP(AQ$134, 'SENS Tires'!$D$32:$BA$32, 'SENS Tires'!$D34:$BA34)+_xlfn.XLOOKUP(AQ$134, 'SENS Coal'!$D$32:$BA$32, 'SENS Coal'!$D34:$BA34)</f>
        <v>22131.705953575565</v>
      </c>
      <c r="AR136" s="208">
        <f>_xlfn.XLOOKUP(AR$134, 'Real Estate'!$D$25:$BA$25, 'Real Estate'!$D27:$BA27)+_xlfn.XLOOKUP(AR$134, 'GEN-CCGT'!$D$32:$BA$32, 'GEN-CCGT'!$D34:$BA34)+_xlfn.XLOOKUP(AR$134, 'GEN-SOLAR'!$D$32:$BA$32, 'GEN-SOLAR'!$D34:$BA34)+_xlfn.XLOOKUP(AR$134, 'GEN-BESS'!$D$32:$BA$32, 'GEN-BESS'!$D34:$BA34)+_xlfn.XLOOKUP(AR$134, 'GEN-CARBON'!$D$32:$BA$32, 'GEN-CARBON'!$D34:$BA34)+_xlfn.XLOOKUP(AR$134, Load!$D$32:$BA$32, Load!$D34:$BA34)+_xlfn.XLOOKUP(AR$134, Hydrogen!$D$32:$BA$32, Hydrogen!$D34:$BA34)+_xlfn.XLOOKUP(AR$134, 'SENS Tires'!$D$32:$BA$32, 'SENS Tires'!$D34:$BA34)+_xlfn.XLOOKUP(AR$134, 'SENS Coal'!$D$32:$BA$32, 'SENS Coal'!$D34:$BA34)</f>
        <v>22578.084737690868</v>
      </c>
      <c r="AS136" s="208">
        <f>_xlfn.XLOOKUP(AS$134, 'Real Estate'!$D$25:$BA$25, 'Real Estate'!$D27:$BA27)+_xlfn.XLOOKUP(AS$134, 'GEN-CCGT'!$D$32:$BA$32, 'GEN-CCGT'!$D34:$BA34)+_xlfn.XLOOKUP(AS$134, 'GEN-SOLAR'!$D$32:$BA$32, 'GEN-SOLAR'!$D34:$BA34)+_xlfn.XLOOKUP(AS$134, 'GEN-BESS'!$D$32:$BA$32, 'GEN-BESS'!$D34:$BA34)+_xlfn.XLOOKUP(AS$134, 'GEN-CARBON'!$D$32:$BA$32, 'GEN-CARBON'!$D34:$BA34)+_xlfn.XLOOKUP(AS$134, Load!$D$32:$BA$32, Load!$D34:$BA34)+_xlfn.XLOOKUP(AS$134, Hydrogen!$D$32:$BA$32, Hydrogen!$D34:$BA34)+_xlfn.XLOOKUP(AS$134, 'SENS Tires'!$D$32:$BA$32, 'SENS Tires'!$D34:$BA34)+_xlfn.XLOOKUP(AS$134, 'SENS Coal'!$D$32:$BA$32, 'SENS Coal'!$D34:$BA34)</f>
        <v>23033.503437439784</v>
      </c>
      <c r="AT136" s="208">
        <f>_xlfn.XLOOKUP(AT$134, 'Real Estate'!$D$25:$BA$25, 'Real Estate'!$D27:$BA27)+_xlfn.XLOOKUP(AT$134, 'GEN-CCGT'!$D$32:$BA$32, 'GEN-CCGT'!$D34:$BA34)+_xlfn.XLOOKUP(AT$134, 'GEN-SOLAR'!$D$32:$BA$32, 'GEN-SOLAR'!$D34:$BA34)+_xlfn.XLOOKUP(AT$134, 'GEN-BESS'!$D$32:$BA$32, 'GEN-BESS'!$D34:$BA34)+_xlfn.XLOOKUP(AT$134, 'GEN-CARBON'!$D$32:$BA$32, 'GEN-CARBON'!$D34:$BA34)+_xlfn.XLOOKUP(AT$134, Load!$D$32:$BA$32, Load!$D34:$BA34)+_xlfn.XLOOKUP(AT$134, Hydrogen!$D$32:$BA$32, Hydrogen!$D34:$BA34)+_xlfn.XLOOKUP(AT$134, 'SENS Tires'!$D$32:$BA$32, 'SENS Tires'!$D34:$BA34)+_xlfn.XLOOKUP(AT$134, 'SENS Coal'!$D$32:$BA$32, 'SENS Coal'!$D34:$BA34)</f>
        <v>23498.14622133354</v>
      </c>
      <c r="AU136" s="208">
        <f>_xlfn.XLOOKUP(AU$134, 'Real Estate'!$D$25:$BA$25, 'Real Estate'!$D27:$BA27)+_xlfn.XLOOKUP(AU$134, 'GEN-CCGT'!$D$32:$BA$32, 'GEN-CCGT'!$D34:$BA34)+_xlfn.XLOOKUP(AU$134, 'GEN-SOLAR'!$D$32:$BA$32, 'GEN-SOLAR'!$D34:$BA34)+_xlfn.XLOOKUP(AU$134, 'GEN-BESS'!$D$32:$BA$32, 'GEN-BESS'!$D34:$BA34)+_xlfn.XLOOKUP(AU$134, 'GEN-CARBON'!$D$32:$BA$32, 'GEN-CARBON'!$D34:$BA34)+_xlfn.XLOOKUP(AU$134, Load!$D$32:$BA$32, Load!$D34:$BA34)+_xlfn.XLOOKUP(AU$134, Hydrogen!$D$32:$BA$32, Hydrogen!$D34:$BA34)+_xlfn.XLOOKUP(AU$134, 'SENS Tires'!$D$32:$BA$32, 'SENS Tires'!$D34:$BA34)+_xlfn.XLOOKUP(AU$134, 'SENS Coal'!$D$32:$BA$32, 'SENS Coal'!$D34:$BA34)</f>
        <v>23972.201042359517</v>
      </c>
      <c r="AV136" s="208">
        <f>_xlfn.XLOOKUP(AV$134, 'Real Estate'!$D$25:$BA$25, 'Real Estate'!$D27:$BA27)+_xlfn.XLOOKUP(AV$134, 'GEN-CCGT'!$D$32:$BA$32, 'GEN-CCGT'!$D34:$BA34)+_xlfn.XLOOKUP(AV$134, 'GEN-SOLAR'!$D$32:$BA$32, 'GEN-SOLAR'!$D34:$BA34)+_xlfn.XLOOKUP(AV$134, 'GEN-BESS'!$D$32:$BA$32, 'GEN-BESS'!$D34:$BA34)+_xlfn.XLOOKUP(AV$134, 'GEN-CARBON'!$D$32:$BA$32, 'GEN-CARBON'!$D34:$BA34)+_xlfn.XLOOKUP(AV$134, Load!$D$32:$BA$32, Load!$D34:$BA34)+_xlfn.XLOOKUP(AV$134, Hydrogen!$D$32:$BA$32, Hydrogen!$D34:$BA34)+_xlfn.XLOOKUP(AV$134, 'SENS Tires'!$D$32:$BA$32, 'SENS Tires'!$D34:$BA34)+_xlfn.XLOOKUP(AV$134, 'SENS Coal'!$D$32:$BA$32, 'SENS Coal'!$D34:$BA34)</f>
        <v>24455.859716703992</v>
      </c>
      <c r="AW136" s="208">
        <f>_xlfn.XLOOKUP(AW$134, 'Real Estate'!$D$25:$BA$25, 'Real Estate'!$D27:$BA27)+_xlfn.XLOOKUP(AW$134, 'GEN-CCGT'!$D$32:$BA$32, 'GEN-CCGT'!$D34:$BA34)+_xlfn.XLOOKUP(AW$134, 'GEN-SOLAR'!$D$32:$BA$32, 'GEN-SOLAR'!$D34:$BA34)+_xlfn.XLOOKUP(AW$134, 'GEN-BESS'!$D$32:$BA$32, 'GEN-BESS'!$D34:$BA34)+_xlfn.XLOOKUP(AW$134, 'GEN-CARBON'!$D$32:$BA$32, 'GEN-CARBON'!$D34:$BA34)+_xlfn.XLOOKUP(AW$134, Load!$D$32:$BA$32, Load!$D34:$BA34)+_xlfn.XLOOKUP(AW$134, Hydrogen!$D$32:$BA$32, Hydrogen!$D34:$BA34)+_xlfn.XLOOKUP(AW$134, 'SENS Tires'!$D$32:$BA$32, 'SENS Tires'!$D34:$BA34)+_xlfn.XLOOKUP(AW$134, 'SENS Coal'!$D$32:$BA$32, 'SENS Coal'!$D34:$BA34)</f>
        <v>24949.31800414027</v>
      </c>
      <c r="AX136" s="208">
        <f>_xlfn.XLOOKUP(AX$134, 'Real Estate'!$D$25:$BA$25, 'Real Estate'!$D27:$BA27)+_xlfn.XLOOKUP(AX$134, 'GEN-CCGT'!$D$32:$BA$32, 'GEN-CCGT'!$D34:$BA34)+_xlfn.XLOOKUP(AX$134, 'GEN-SOLAR'!$D$32:$BA$32, 'GEN-SOLAR'!$D34:$BA34)+_xlfn.XLOOKUP(AX$134, 'GEN-BESS'!$D$32:$BA$32, 'GEN-BESS'!$D34:$BA34)+_xlfn.XLOOKUP(AX$134, 'GEN-CARBON'!$D$32:$BA$32, 'GEN-CARBON'!$D34:$BA34)+_xlfn.XLOOKUP(AX$134, Load!$D$32:$BA$32, Load!$D34:$BA34)+_xlfn.XLOOKUP(AX$134, Hydrogen!$D$32:$BA$32, Hydrogen!$D34:$BA34)+_xlfn.XLOOKUP(AX$134, 'SENS Tires'!$D$32:$BA$32, 'SENS Tires'!$D34:$BA34)+_xlfn.XLOOKUP(AX$134, 'SENS Coal'!$D$32:$BA$32, 'SENS Coal'!$D34:$BA34)</f>
        <v>25452.775690118357</v>
      </c>
    </row>
    <row r="137" spans="1:50" ht="14.25" customHeight="1">
      <c r="B137" s="84"/>
      <c r="C137" s="209" t="str">
        <f>"   Less: Taxes @ "&amp;TEXT(SUM('Assumptions &amp; Inputs'!$E$13,'Assumptions &amp; Inputs'!$E$14),"0.0%")</f>
        <v xml:space="preserve">   Less: Taxes @ 25.0%</v>
      </c>
      <c r="D137" s="248"/>
      <c r="E137" s="210" t="e">
        <f>_xlfn.XLOOKUP(E$134, 'Real Estate'!$D$25:$BA$25, 'Real Estate'!$D28:$BA28)+_xlfn.XLOOKUP(E$134, 'GEN-CCGT'!$D$32:$BA$32, 'GEN-CCGT'!$D35:$BA35)+_xlfn.XLOOKUP(E$134, 'GEN-SOLAR'!$D$32:$BA$32, 'GEN-SOLAR'!$D35:$BA35)+_xlfn.XLOOKUP(E$134, 'GEN-BESS'!$D$32:$BA$32, 'GEN-BESS'!$D35:$BA35)+_xlfn.XLOOKUP(E$134, 'GEN-CARBON'!$D$32:$BA$32, 'GEN-CARBON'!$D35:$BA35)+_xlfn.XLOOKUP(E$134, Load!$D$32:$BA$32, Load!$D35:$BA35)+_xlfn.XLOOKUP(E$134, Hydrogen!$D$32:$BA$32, Hydrogen!$D35:$BA35)+_xlfn.XLOOKUP(E$134, 'SENS Tires'!$D$32:$BA$32, 'SENS Tires'!$D35:$BA35)+_xlfn.XLOOKUP(E$134, 'SENS Coal'!$D$32:$BA$32, 'SENS Coal'!$D35:$BA35)</f>
        <v>#N/A</v>
      </c>
      <c r="F137" s="210">
        <f>_xlfn.XLOOKUP(F$134, 'Real Estate'!$D$25:$BA$25, 'Real Estate'!$D28:$BA28)+_xlfn.XLOOKUP(F$134, 'GEN-CCGT'!$D$32:$BA$32, 'GEN-CCGT'!$D35:$BA35)+_xlfn.XLOOKUP(F$134, 'GEN-SOLAR'!$D$32:$BA$32, 'GEN-SOLAR'!$D35:$BA35)+_xlfn.XLOOKUP(F$134, 'GEN-BESS'!$D$32:$BA$32, 'GEN-BESS'!$D35:$BA35)+_xlfn.XLOOKUP(F$134, 'GEN-CARBON'!$D$32:$BA$32, 'GEN-CARBON'!$D35:$BA35)+_xlfn.XLOOKUP(F$134, Load!$D$32:$BA$32, Load!$D35:$BA35)+_xlfn.XLOOKUP(F$134, Hydrogen!$D$32:$BA$32, Hydrogen!$D35:$BA35)+_xlfn.XLOOKUP(F$134, 'SENS Tires'!$D$32:$BA$32, 'SENS Tires'!$D35:$BA35)+_xlfn.XLOOKUP(F$134, 'SENS Coal'!$D$32:$BA$32, 'SENS Coal'!$D35:$BA35)</f>
        <v>-2375.5323295360413</v>
      </c>
      <c r="G137" s="210">
        <f>_xlfn.XLOOKUP(G$134, 'Real Estate'!$D$25:$BA$25, 'Real Estate'!$D28:$BA28)+_xlfn.XLOOKUP(G$134, 'GEN-CCGT'!$D$32:$BA$32, 'GEN-CCGT'!$D35:$BA35)+_xlfn.XLOOKUP(G$134, 'GEN-SOLAR'!$D$32:$BA$32, 'GEN-SOLAR'!$D35:$BA35)+_xlfn.XLOOKUP(G$134, 'GEN-BESS'!$D$32:$BA$32, 'GEN-BESS'!$D35:$BA35)+_xlfn.XLOOKUP(G$134, 'GEN-CARBON'!$D$32:$BA$32, 'GEN-CARBON'!$D35:$BA35)+_xlfn.XLOOKUP(G$134, Load!$D$32:$BA$32, Load!$D35:$BA35)+_xlfn.XLOOKUP(G$134, Hydrogen!$D$32:$BA$32, Hydrogen!$D35:$BA35)+_xlfn.XLOOKUP(G$134, 'SENS Tires'!$D$32:$BA$32, 'SENS Tires'!$D35:$BA35)+_xlfn.XLOOKUP(G$134, 'SENS Coal'!$D$32:$BA$32, 'SENS Coal'!$D35:$BA35)</f>
        <v>-2904.1350400590782</v>
      </c>
      <c r="H137" s="210">
        <f>_xlfn.XLOOKUP(H$134, 'Real Estate'!$D$25:$BA$25, 'Real Estate'!$D28:$BA28)+_xlfn.XLOOKUP(H$134, 'GEN-CCGT'!$D$32:$BA$32, 'GEN-CCGT'!$D35:$BA35)+_xlfn.XLOOKUP(H$134, 'GEN-SOLAR'!$D$32:$BA$32, 'GEN-SOLAR'!$D35:$BA35)+_xlfn.XLOOKUP(H$134, 'GEN-BESS'!$D$32:$BA$32, 'GEN-BESS'!$D35:$BA35)+_xlfn.XLOOKUP(H$134, 'GEN-CARBON'!$D$32:$BA$32, 'GEN-CARBON'!$D35:$BA35)+_xlfn.XLOOKUP(H$134, Load!$D$32:$BA$32, Load!$D35:$BA35)+_xlfn.XLOOKUP(H$134, Hydrogen!$D$32:$BA$32, Hydrogen!$D35:$BA35)+_xlfn.XLOOKUP(H$134, 'SENS Tires'!$D$32:$BA$32, 'SENS Tires'!$D35:$BA35)+_xlfn.XLOOKUP(H$134, 'SENS Coal'!$D$32:$BA$32, 'SENS Coal'!$D35:$BA35)</f>
        <v>-2967.3999022792068</v>
      </c>
      <c r="I137" s="210">
        <f>_xlfn.XLOOKUP(I$134, 'Real Estate'!$D$25:$BA$25, 'Real Estate'!$D28:$BA28)+_xlfn.XLOOKUP(I$134, 'GEN-CCGT'!$D$32:$BA$32, 'GEN-CCGT'!$D35:$BA35)+_xlfn.XLOOKUP(I$134, 'GEN-SOLAR'!$D$32:$BA$32, 'GEN-SOLAR'!$D35:$BA35)+_xlfn.XLOOKUP(I$134, 'GEN-BESS'!$D$32:$BA$32, 'GEN-BESS'!$D35:$BA35)+_xlfn.XLOOKUP(I$134, 'GEN-CARBON'!$D$32:$BA$32, 'GEN-CARBON'!$D35:$BA35)+_xlfn.XLOOKUP(I$134, Load!$D$32:$BA$32, Load!$D35:$BA35)+_xlfn.XLOOKUP(I$134, Hydrogen!$D$32:$BA$32, Hydrogen!$D35:$BA35)+_xlfn.XLOOKUP(I$134, 'SENS Tires'!$D$32:$BA$32, 'SENS Tires'!$D35:$BA35)+_xlfn.XLOOKUP(I$134, 'SENS Coal'!$D$32:$BA$32, 'SENS Coal'!$D35:$BA35)</f>
        <v>-3042.6251574197618</v>
      </c>
      <c r="J137" s="210">
        <f>_xlfn.XLOOKUP(J$134, 'Real Estate'!$D$25:$BA$25, 'Real Estate'!$D28:$BA28)+_xlfn.XLOOKUP(J$134, 'GEN-CCGT'!$D$32:$BA$32, 'GEN-CCGT'!$D35:$BA35)+_xlfn.XLOOKUP(J$134, 'GEN-SOLAR'!$D$32:$BA$32, 'GEN-SOLAR'!$D35:$BA35)+_xlfn.XLOOKUP(J$134, 'GEN-BESS'!$D$32:$BA$32, 'GEN-BESS'!$D35:$BA35)+_xlfn.XLOOKUP(J$134, 'GEN-CARBON'!$D$32:$BA$32, 'GEN-CARBON'!$D35:$BA35)+_xlfn.XLOOKUP(J$134, Load!$D$32:$BA$32, Load!$D35:$BA35)+_xlfn.XLOOKUP(J$134, Hydrogen!$D$32:$BA$32, Hydrogen!$D35:$BA35)+_xlfn.XLOOKUP(J$134, 'SENS Tires'!$D$32:$BA$32, 'SENS Tires'!$D35:$BA35)+_xlfn.XLOOKUP(J$134, 'SENS Coal'!$D$32:$BA$32, 'SENS Coal'!$D35:$BA35)</f>
        <v>-3106.7224756179362</v>
      </c>
      <c r="K137" s="210">
        <f>_xlfn.XLOOKUP(K$134, 'Real Estate'!$D$25:$BA$25, 'Real Estate'!$D28:$BA28)+_xlfn.XLOOKUP(K$134, 'GEN-CCGT'!$D$32:$BA$32, 'GEN-CCGT'!$D35:$BA35)+_xlfn.XLOOKUP(K$134, 'GEN-SOLAR'!$D$32:$BA$32, 'GEN-SOLAR'!$D35:$BA35)+_xlfn.XLOOKUP(K$134, 'GEN-BESS'!$D$32:$BA$32, 'GEN-BESS'!$D35:$BA35)+_xlfn.XLOOKUP(K$134, 'GEN-CARBON'!$D$32:$BA$32, 'GEN-CARBON'!$D35:$BA35)+_xlfn.XLOOKUP(K$134, Load!$D$32:$BA$32, Load!$D35:$BA35)+_xlfn.XLOOKUP(K$134, Hydrogen!$D$32:$BA$32, Hydrogen!$D35:$BA35)+_xlfn.XLOOKUP(K$134, 'SENS Tires'!$D$32:$BA$32, 'SENS Tires'!$D35:$BA35)+_xlfn.XLOOKUP(K$134, 'SENS Coal'!$D$32:$BA$32, 'SENS Coal'!$D35:$BA35)</f>
        <v>-3169.335726163903</v>
      </c>
      <c r="L137" s="210">
        <f>_xlfn.XLOOKUP(L$134, 'Real Estate'!$D$25:$BA$25, 'Real Estate'!$D28:$BA28)+_xlfn.XLOOKUP(L$134, 'GEN-CCGT'!$D$32:$BA$32, 'GEN-CCGT'!$D35:$BA35)+_xlfn.XLOOKUP(L$134, 'GEN-SOLAR'!$D$32:$BA$32, 'GEN-SOLAR'!$D35:$BA35)+_xlfn.XLOOKUP(L$134, 'GEN-BESS'!$D$32:$BA$32, 'GEN-BESS'!$D35:$BA35)+_xlfn.XLOOKUP(L$134, 'GEN-CARBON'!$D$32:$BA$32, 'GEN-CARBON'!$D35:$BA35)+_xlfn.XLOOKUP(L$134, Load!$D$32:$BA$32, Load!$D35:$BA35)+_xlfn.XLOOKUP(L$134, Hydrogen!$D$32:$BA$32, Hydrogen!$D35:$BA35)+_xlfn.XLOOKUP(L$134, 'SENS Tires'!$D$32:$BA$32, 'SENS Tires'!$D35:$BA35)+_xlfn.XLOOKUP(L$134, 'SENS Coal'!$D$32:$BA$32, 'SENS Coal'!$D35:$BA35)</f>
        <v>-3233.2156080070172</v>
      </c>
      <c r="M137" s="210">
        <f>_xlfn.XLOOKUP(M$134, 'Real Estate'!$D$25:$BA$25, 'Real Estate'!$D28:$BA28)+_xlfn.XLOOKUP(M$134, 'GEN-CCGT'!$D$32:$BA$32, 'GEN-CCGT'!$D35:$BA35)+_xlfn.XLOOKUP(M$134, 'GEN-SOLAR'!$D$32:$BA$32, 'GEN-SOLAR'!$D35:$BA35)+_xlfn.XLOOKUP(M$134, 'GEN-BESS'!$D$32:$BA$32, 'GEN-BESS'!$D35:$BA35)+_xlfn.XLOOKUP(M$134, 'GEN-CARBON'!$D$32:$BA$32, 'GEN-CARBON'!$D35:$BA35)+_xlfn.XLOOKUP(M$134, Load!$D$32:$BA$32, Load!$D35:$BA35)+_xlfn.XLOOKUP(M$134, Hydrogen!$D$32:$BA$32, Hydrogen!$D35:$BA35)+_xlfn.XLOOKUP(M$134, 'SENS Tires'!$D$32:$BA$32, 'SENS Tires'!$D35:$BA35)+_xlfn.XLOOKUP(M$134, 'SENS Coal'!$D$32:$BA$32, 'SENS Coal'!$D35:$BA35)</f>
        <v>-3298.3879096247347</v>
      </c>
      <c r="N137" s="210">
        <f>_xlfn.XLOOKUP(N$134, 'Real Estate'!$D$25:$BA$25, 'Real Estate'!$D28:$BA28)+_xlfn.XLOOKUP(N$134, 'GEN-CCGT'!$D$32:$BA$32, 'GEN-CCGT'!$D35:$BA35)+_xlfn.XLOOKUP(N$134, 'GEN-SOLAR'!$D$32:$BA$32, 'GEN-SOLAR'!$D35:$BA35)+_xlfn.XLOOKUP(N$134, 'GEN-BESS'!$D$32:$BA$32, 'GEN-BESS'!$D35:$BA35)+_xlfn.XLOOKUP(N$134, 'GEN-CARBON'!$D$32:$BA$32, 'GEN-CARBON'!$D35:$BA35)+_xlfn.XLOOKUP(N$134, Load!$D$32:$BA$32, Load!$D35:$BA35)+_xlfn.XLOOKUP(N$134, Hydrogen!$D$32:$BA$32, Hydrogen!$D35:$BA35)+_xlfn.XLOOKUP(N$134, 'SENS Tires'!$D$32:$BA$32, 'SENS Tires'!$D35:$BA35)+_xlfn.XLOOKUP(N$134, 'SENS Coal'!$D$32:$BA$32, 'SENS Coal'!$D35:$BA35)</f>
        <v>-3364.8789492878268</v>
      </c>
      <c r="O137" s="210">
        <f>_xlfn.XLOOKUP(O$134, 'Real Estate'!$D$25:$BA$25, 'Real Estate'!$D28:$BA28)+_xlfn.XLOOKUP(O$134, 'GEN-CCGT'!$D$32:$BA$32, 'GEN-CCGT'!$D35:$BA35)+_xlfn.XLOOKUP(O$134, 'GEN-SOLAR'!$D$32:$BA$32, 'GEN-SOLAR'!$D35:$BA35)+_xlfn.XLOOKUP(O$134, 'GEN-BESS'!$D$32:$BA$32, 'GEN-BESS'!$D35:$BA35)+_xlfn.XLOOKUP(O$134, 'GEN-CARBON'!$D$32:$BA$32, 'GEN-CARBON'!$D35:$BA35)+_xlfn.XLOOKUP(O$134, Load!$D$32:$BA$32, Load!$D35:$BA35)+_xlfn.XLOOKUP(O$134, Hydrogen!$D$32:$BA$32, Hydrogen!$D35:$BA35)+_xlfn.XLOOKUP(O$134, 'SENS Tires'!$D$32:$BA$32, 'SENS Tires'!$D35:$BA35)+_xlfn.XLOOKUP(O$134, 'SENS Coal'!$D$32:$BA$32, 'SENS Coal'!$D35:$BA35)</f>
        <v>-3432.7155860826761</v>
      </c>
      <c r="P137" s="210">
        <f>_xlfn.XLOOKUP(P$134, 'Real Estate'!$D$25:$BA$25, 'Real Estate'!$D28:$BA28)+_xlfn.XLOOKUP(P$134, 'GEN-CCGT'!$D$32:$BA$32, 'GEN-CCGT'!$D35:$BA35)+_xlfn.XLOOKUP(P$134, 'GEN-SOLAR'!$D$32:$BA$32, 'GEN-SOLAR'!$D35:$BA35)+_xlfn.XLOOKUP(P$134, 'GEN-BESS'!$D$32:$BA$32, 'GEN-BESS'!$D35:$BA35)+_xlfn.XLOOKUP(P$134, 'GEN-CARBON'!$D$32:$BA$32, 'GEN-CARBON'!$D35:$BA35)+_xlfn.XLOOKUP(P$134, Load!$D$32:$BA$32, Load!$D35:$BA35)+_xlfn.XLOOKUP(P$134, Hydrogen!$D$32:$BA$32, Hydrogen!$D35:$BA35)+_xlfn.XLOOKUP(P$134, 'SENS Tires'!$D$32:$BA$32, 'SENS Tires'!$D35:$BA35)+_xlfn.XLOOKUP(P$134, 'SENS Coal'!$D$32:$BA$32, 'SENS Coal'!$D35:$BA35)</f>
        <v>-3501.9252311668988</v>
      </c>
      <c r="Q137" s="210">
        <f>_xlfn.XLOOKUP(Q$134, 'Real Estate'!$D$25:$BA$25, 'Real Estate'!$D28:$BA28)+_xlfn.XLOOKUP(Q$134, 'GEN-CCGT'!$D$32:$BA$32, 'GEN-CCGT'!$D35:$BA35)+_xlfn.XLOOKUP(Q$134, 'GEN-SOLAR'!$D$32:$BA$32, 'GEN-SOLAR'!$D35:$BA35)+_xlfn.XLOOKUP(Q$134, 'GEN-BESS'!$D$32:$BA$32, 'GEN-BESS'!$D35:$BA35)+_xlfn.XLOOKUP(Q$134, 'GEN-CARBON'!$D$32:$BA$32, 'GEN-CARBON'!$D35:$BA35)+_xlfn.XLOOKUP(Q$134, Load!$D$32:$BA$32, Load!$D35:$BA35)+_xlfn.XLOOKUP(Q$134, Hydrogen!$D$32:$BA$32, Hydrogen!$D35:$BA35)+_xlfn.XLOOKUP(Q$134, 'SENS Tires'!$D$32:$BA$32, 'SENS Tires'!$D35:$BA35)+_xlfn.XLOOKUP(Q$134, 'SENS Coal'!$D$32:$BA$32, 'SENS Coal'!$D35:$BA35)</f>
        <v>-3572.5358592633647</v>
      </c>
      <c r="R137" s="210">
        <f>_xlfn.XLOOKUP(R$134, 'Real Estate'!$D$25:$BA$25, 'Real Estate'!$D28:$BA28)+_xlfn.XLOOKUP(R$134, 'GEN-CCGT'!$D$32:$BA$32, 'GEN-CCGT'!$D35:$BA35)+_xlfn.XLOOKUP(R$134, 'GEN-SOLAR'!$D$32:$BA$32, 'GEN-SOLAR'!$D35:$BA35)+_xlfn.XLOOKUP(R$134, 'GEN-BESS'!$D$32:$BA$32, 'GEN-BESS'!$D35:$BA35)+_xlfn.XLOOKUP(R$134, 'GEN-CARBON'!$D$32:$BA$32, 'GEN-CARBON'!$D35:$BA35)+_xlfn.XLOOKUP(R$134, Load!$D$32:$BA$32, Load!$D35:$BA35)+_xlfn.XLOOKUP(R$134, Hydrogen!$D$32:$BA$32, Hydrogen!$D35:$BA35)+_xlfn.XLOOKUP(R$134, 'SENS Tires'!$D$32:$BA$32, 'SENS Tires'!$D35:$BA35)+_xlfn.XLOOKUP(R$134, 'SENS Coal'!$D$32:$BA$32, 'SENS Coal'!$D35:$BA35)</f>
        <v>-3644.5760203977566</v>
      </c>
      <c r="S137" s="210">
        <f>_xlfn.XLOOKUP(S$134, 'Real Estate'!$D$25:$BA$25, 'Real Estate'!$D28:$BA28)+_xlfn.XLOOKUP(S$134, 'GEN-CCGT'!$D$32:$BA$32, 'GEN-CCGT'!$D35:$BA35)+_xlfn.XLOOKUP(S$134, 'GEN-SOLAR'!$D$32:$BA$32, 'GEN-SOLAR'!$D35:$BA35)+_xlfn.XLOOKUP(S$134, 'GEN-BESS'!$D$32:$BA$32, 'GEN-BESS'!$D35:$BA35)+_xlfn.XLOOKUP(S$134, 'GEN-CARBON'!$D$32:$BA$32, 'GEN-CARBON'!$D35:$BA35)+_xlfn.XLOOKUP(S$134, Load!$D$32:$BA$32, Load!$D35:$BA35)+_xlfn.XLOOKUP(S$134, Hydrogen!$D$32:$BA$32, Hydrogen!$D35:$BA35)+_xlfn.XLOOKUP(S$134, 'SENS Tires'!$D$32:$BA$32, 'SENS Tires'!$D35:$BA35)+_xlfn.XLOOKUP(S$134, 'SENS Coal'!$D$32:$BA$32, 'SENS Coal'!$D35:$BA35)</f>
        <v>-3718.0748518849705</v>
      </c>
      <c r="T137" s="210">
        <f>_xlfn.XLOOKUP(T$134, 'Real Estate'!$D$25:$BA$25, 'Real Estate'!$D28:$BA28)+_xlfn.XLOOKUP(T$134, 'GEN-CCGT'!$D$32:$BA$32, 'GEN-CCGT'!$D35:$BA35)+_xlfn.XLOOKUP(T$134, 'GEN-SOLAR'!$D$32:$BA$32, 'GEN-SOLAR'!$D35:$BA35)+_xlfn.XLOOKUP(T$134, 'GEN-BESS'!$D$32:$BA$32, 'GEN-BESS'!$D35:$BA35)+_xlfn.XLOOKUP(T$134, 'GEN-CARBON'!$D$32:$BA$32, 'GEN-CARBON'!$D35:$BA35)+_xlfn.XLOOKUP(T$134, Load!$D$32:$BA$32, Load!$D35:$BA35)+_xlfn.XLOOKUP(T$134, Hydrogen!$D$32:$BA$32, Hydrogen!$D35:$BA35)+_xlfn.XLOOKUP(T$134, 'SENS Tires'!$D$32:$BA$32, 'SENS Tires'!$D35:$BA35)+_xlfn.XLOOKUP(T$134, 'SENS Coal'!$D$32:$BA$32, 'SENS Coal'!$D35:$BA35)</f>
        <v>-3793.0620905697674</v>
      </c>
      <c r="U137" s="210">
        <f>_xlfn.XLOOKUP(U$134, 'Real Estate'!$D$25:$BA$25, 'Real Estate'!$D28:$BA28)+_xlfn.XLOOKUP(U$134, 'GEN-CCGT'!$D$32:$BA$32, 'GEN-CCGT'!$D35:$BA35)+_xlfn.XLOOKUP(U$134, 'GEN-SOLAR'!$D$32:$BA$32, 'GEN-SOLAR'!$D35:$BA35)+_xlfn.XLOOKUP(U$134, 'GEN-BESS'!$D$32:$BA$32, 'GEN-BESS'!$D35:$BA35)+_xlfn.XLOOKUP(U$134, 'GEN-CARBON'!$D$32:$BA$32, 'GEN-CARBON'!$D35:$BA35)+_xlfn.XLOOKUP(U$134, Load!$D$32:$BA$32, Load!$D35:$BA35)+_xlfn.XLOOKUP(U$134, Hydrogen!$D$32:$BA$32, Hydrogen!$D35:$BA35)+_xlfn.XLOOKUP(U$134, 'SENS Tires'!$D$32:$BA$32, 'SENS Tires'!$D35:$BA35)+_xlfn.XLOOKUP(U$134, 'SENS Coal'!$D$32:$BA$32, 'SENS Coal'!$D35:$BA35)</f>
        <v>-3869.5680853271583</v>
      </c>
      <c r="V137" s="210">
        <f>_xlfn.XLOOKUP(V$134, 'Real Estate'!$D$25:$BA$25, 'Real Estate'!$D28:$BA28)+_xlfn.XLOOKUP(V$134, 'GEN-CCGT'!$D$32:$BA$32, 'GEN-CCGT'!$D35:$BA35)+_xlfn.XLOOKUP(V$134, 'GEN-SOLAR'!$D$32:$BA$32, 'GEN-SOLAR'!$D35:$BA35)+_xlfn.XLOOKUP(V$134, 'GEN-BESS'!$D$32:$BA$32, 'GEN-BESS'!$D35:$BA35)+_xlfn.XLOOKUP(V$134, 'GEN-CARBON'!$D$32:$BA$32, 'GEN-CARBON'!$D35:$BA35)+_xlfn.XLOOKUP(V$134, Load!$D$32:$BA$32, Load!$D35:$BA35)+_xlfn.XLOOKUP(V$134, Hydrogen!$D$32:$BA$32, Hydrogen!$D35:$BA35)+_xlfn.XLOOKUP(V$134, 'SENS Tires'!$D$32:$BA$32, 'SENS Tires'!$D35:$BA35)+_xlfn.XLOOKUP(V$134, 'SENS Coal'!$D$32:$BA$32, 'SENS Coal'!$D35:$BA35)</f>
        <v>-3947.623809828222</v>
      </c>
      <c r="W137" s="210">
        <f>_xlfn.XLOOKUP(W$134, 'Real Estate'!$D$25:$BA$25, 'Real Estate'!$D28:$BA28)+_xlfn.XLOOKUP(W$134, 'GEN-CCGT'!$D$32:$BA$32, 'GEN-CCGT'!$D35:$BA35)+_xlfn.XLOOKUP(W$134, 'GEN-SOLAR'!$D$32:$BA$32, 'GEN-SOLAR'!$D35:$BA35)+_xlfn.XLOOKUP(W$134, 'GEN-BESS'!$D$32:$BA$32, 'GEN-BESS'!$D35:$BA35)+_xlfn.XLOOKUP(W$134, 'GEN-CARBON'!$D$32:$BA$32, 'GEN-CARBON'!$D35:$BA35)+_xlfn.XLOOKUP(W$134, Load!$D$32:$BA$32, Load!$D35:$BA35)+_xlfn.XLOOKUP(W$134, Hydrogen!$D$32:$BA$32, Hydrogen!$D35:$BA35)+_xlfn.XLOOKUP(W$134, 'SENS Tires'!$D$32:$BA$32, 'SENS Tires'!$D35:$BA35)+_xlfn.XLOOKUP(W$134, 'SENS Coal'!$D$32:$BA$32, 'SENS Coal'!$D35:$BA35)</f>
        <v>-4027.2608755770739</v>
      </c>
      <c r="X137" s="210">
        <f>_xlfn.XLOOKUP(X$134, 'Real Estate'!$D$25:$BA$25, 'Real Estate'!$D28:$BA28)+_xlfn.XLOOKUP(X$134, 'GEN-CCGT'!$D$32:$BA$32, 'GEN-CCGT'!$D35:$BA35)+_xlfn.XLOOKUP(X$134, 'GEN-SOLAR'!$D$32:$BA$32, 'GEN-SOLAR'!$D35:$BA35)+_xlfn.XLOOKUP(X$134, 'GEN-BESS'!$D$32:$BA$32, 'GEN-BESS'!$D35:$BA35)+_xlfn.XLOOKUP(X$134, 'GEN-CARBON'!$D$32:$BA$32, 'GEN-CARBON'!$D35:$BA35)+_xlfn.XLOOKUP(X$134, Load!$D$32:$BA$32, Load!$D35:$BA35)+_xlfn.XLOOKUP(X$134, Hydrogen!$D$32:$BA$32, Hydrogen!$D35:$BA35)+_xlfn.XLOOKUP(X$134, 'SENS Tires'!$D$32:$BA$32, 'SENS Tires'!$D35:$BA35)+_xlfn.XLOOKUP(X$134, 'SENS Coal'!$D$32:$BA$32, 'SENS Coal'!$D35:$BA35)</f>
        <v>-4108.5115452249274</v>
      </c>
      <c r="Y137" s="210">
        <f>_xlfn.XLOOKUP(Y$134, 'Real Estate'!$D$25:$BA$25, 'Real Estate'!$D28:$BA28)+_xlfn.XLOOKUP(Y$134, 'GEN-CCGT'!$D$32:$BA$32, 'GEN-CCGT'!$D35:$BA35)+_xlfn.XLOOKUP(Y$134, 'GEN-SOLAR'!$D$32:$BA$32, 'GEN-SOLAR'!$D35:$BA35)+_xlfn.XLOOKUP(Y$134, 'GEN-BESS'!$D$32:$BA$32, 'GEN-BESS'!$D35:$BA35)+_xlfn.XLOOKUP(Y$134, 'GEN-CARBON'!$D$32:$BA$32, 'GEN-CARBON'!$D35:$BA35)+_xlfn.XLOOKUP(Y$134, Load!$D$32:$BA$32, Load!$D35:$BA35)+_xlfn.XLOOKUP(Y$134, Hydrogen!$D$32:$BA$32, Hydrogen!$D35:$BA35)+_xlfn.XLOOKUP(Y$134, 'SENS Tires'!$D$32:$BA$32, 'SENS Tires'!$D35:$BA35)+_xlfn.XLOOKUP(Y$134, 'SENS Coal'!$D$32:$BA$32, 'SENS Coal'!$D35:$BA35)</f>
        <v>-4191.4087461672671</v>
      </c>
      <c r="Z137" s="210">
        <f>_xlfn.XLOOKUP(Z$134, 'Real Estate'!$D$25:$BA$25, 'Real Estate'!$D28:$BA28)+_xlfn.XLOOKUP(Z$134, 'GEN-CCGT'!$D$32:$BA$32, 'GEN-CCGT'!$D35:$BA35)+_xlfn.XLOOKUP(Z$134, 'GEN-SOLAR'!$D$32:$BA$32, 'GEN-SOLAR'!$D35:$BA35)+_xlfn.XLOOKUP(Z$134, 'GEN-BESS'!$D$32:$BA$32, 'GEN-BESS'!$D35:$BA35)+_xlfn.XLOOKUP(Z$134, 'GEN-CARBON'!$D$32:$BA$32, 'GEN-CARBON'!$D35:$BA35)+_xlfn.XLOOKUP(Z$134, Load!$D$32:$BA$32, Load!$D35:$BA35)+_xlfn.XLOOKUP(Z$134, Hydrogen!$D$32:$BA$32, Hydrogen!$D35:$BA35)+_xlfn.XLOOKUP(Z$134, 'SENS Tires'!$D$32:$BA$32, 'SENS Tires'!$D35:$BA35)+_xlfn.XLOOKUP(Z$134, 'SENS Coal'!$D$32:$BA$32, 'SENS Coal'!$D35:$BA35)</f>
        <v>-4275.9860844302884</v>
      </c>
      <c r="AA137" s="210">
        <f>_xlfn.XLOOKUP(AA$134, 'Real Estate'!$D$25:$BA$25, 'Real Estate'!$D28:$BA28)+_xlfn.XLOOKUP(AA$134, 'GEN-CCGT'!$D$32:$BA$32, 'GEN-CCGT'!$D35:$BA35)+_xlfn.XLOOKUP(AA$134, 'GEN-SOLAR'!$D$32:$BA$32, 'GEN-SOLAR'!$D35:$BA35)+_xlfn.XLOOKUP(AA$134, 'GEN-BESS'!$D$32:$BA$32, 'GEN-BESS'!$D35:$BA35)+_xlfn.XLOOKUP(AA$134, 'GEN-CARBON'!$D$32:$BA$32, 'GEN-CARBON'!$D35:$BA35)+_xlfn.XLOOKUP(AA$134, Load!$D$32:$BA$32, Load!$D35:$BA35)+_xlfn.XLOOKUP(AA$134, Hydrogen!$D$32:$BA$32, Hydrogen!$D35:$BA35)+_xlfn.XLOOKUP(AA$134, 'SENS Tires'!$D$32:$BA$32, 'SENS Tires'!$D35:$BA35)+_xlfn.XLOOKUP(AA$134, 'SENS Coal'!$D$32:$BA$32, 'SENS Coal'!$D35:$BA35)</f>
        <v>-4362.2778588529382</v>
      </c>
      <c r="AB137" s="210">
        <f>_xlfn.XLOOKUP(AB$134, 'Real Estate'!$D$25:$BA$25, 'Real Estate'!$D28:$BA28)+_xlfn.XLOOKUP(AB$134, 'GEN-CCGT'!$D$32:$BA$32, 'GEN-CCGT'!$D35:$BA35)+_xlfn.XLOOKUP(AB$134, 'GEN-SOLAR'!$D$32:$BA$32, 'GEN-SOLAR'!$D35:$BA35)+_xlfn.XLOOKUP(AB$134, 'GEN-BESS'!$D$32:$BA$32, 'GEN-BESS'!$D35:$BA35)+_xlfn.XLOOKUP(AB$134, 'GEN-CARBON'!$D$32:$BA$32, 'GEN-CARBON'!$D35:$BA35)+_xlfn.XLOOKUP(AB$134, Load!$D$32:$BA$32, Load!$D35:$BA35)+_xlfn.XLOOKUP(AB$134, Hydrogen!$D$32:$BA$32, Hydrogen!$D35:$BA35)+_xlfn.XLOOKUP(AB$134, 'SENS Tires'!$D$32:$BA$32, 'SENS Tires'!$D35:$BA35)+_xlfn.XLOOKUP(AB$134, 'SENS Coal'!$D$32:$BA$32, 'SENS Coal'!$D35:$BA35)</f>
        <v>-4450.3190755709766</v>
      </c>
      <c r="AC137" s="210">
        <f>_xlfn.XLOOKUP(AC$134, 'Real Estate'!$D$25:$BA$25, 'Real Estate'!$D28:$BA28)+_xlfn.XLOOKUP(AC$134, 'GEN-CCGT'!$D$32:$BA$32, 'GEN-CCGT'!$D35:$BA35)+_xlfn.XLOOKUP(AC$134, 'GEN-SOLAR'!$D$32:$BA$32, 'GEN-SOLAR'!$D35:$BA35)+_xlfn.XLOOKUP(AC$134, 'GEN-BESS'!$D$32:$BA$32, 'GEN-BESS'!$D35:$BA35)+_xlfn.XLOOKUP(AC$134, 'GEN-CARBON'!$D$32:$BA$32, 'GEN-CARBON'!$D35:$BA35)+_xlfn.XLOOKUP(AC$134, Load!$D$32:$BA$32, Load!$D35:$BA35)+_xlfn.XLOOKUP(AC$134, Hydrogen!$D$32:$BA$32, Hydrogen!$D35:$BA35)+_xlfn.XLOOKUP(AC$134, 'SENS Tires'!$D$32:$BA$32, 'SENS Tires'!$D35:$BA35)+_xlfn.XLOOKUP(AC$134, 'SENS Coal'!$D$32:$BA$32, 'SENS Coal'!$D35:$BA35)</f>
        <v>-4540.1454628096944</v>
      </c>
      <c r="AD137" s="210">
        <f>_xlfn.XLOOKUP(AD$134, 'Real Estate'!$D$25:$BA$25, 'Real Estate'!$D28:$BA28)+_xlfn.XLOOKUP(AD$134, 'GEN-CCGT'!$D$32:$BA$32, 'GEN-CCGT'!$D35:$BA35)+_xlfn.XLOOKUP(AD$134, 'GEN-SOLAR'!$D$32:$BA$32, 'GEN-SOLAR'!$D35:$BA35)+_xlfn.XLOOKUP(AD$134, 'GEN-BESS'!$D$32:$BA$32, 'GEN-BESS'!$D35:$BA35)+_xlfn.XLOOKUP(AD$134, 'GEN-CARBON'!$D$32:$BA$32, 'GEN-CARBON'!$D35:$BA35)+_xlfn.XLOOKUP(AD$134, Load!$D$32:$BA$32, Load!$D35:$BA35)+_xlfn.XLOOKUP(AD$134, Hydrogen!$D$32:$BA$32, Hydrogen!$D35:$BA35)+_xlfn.XLOOKUP(AD$134, 'SENS Tires'!$D$32:$BA$32, 'SENS Tires'!$D35:$BA35)+_xlfn.XLOOKUP(AD$134, 'SENS Coal'!$D$32:$BA$32, 'SENS Coal'!$D35:$BA35)</f>
        <v>-4631.7934859919733</v>
      </c>
      <c r="AE137" s="210">
        <f>_xlfn.XLOOKUP(AE$134, 'Real Estate'!$D$25:$BA$25, 'Real Estate'!$D28:$BA28)+_xlfn.XLOOKUP(AE$134, 'GEN-CCGT'!$D$32:$BA$32, 'GEN-CCGT'!$D35:$BA35)+_xlfn.XLOOKUP(AE$134, 'GEN-SOLAR'!$D$32:$BA$32, 'GEN-SOLAR'!$D35:$BA35)+_xlfn.XLOOKUP(AE$134, 'GEN-BESS'!$D$32:$BA$32, 'GEN-BESS'!$D35:$BA35)+_xlfn.XLOOKUP(AE$134, 'GEN-CARBON'!$D$32:$BA$32, 'GEN-CARBON'!$D35:$BA35)+_xlfn.XLOOKUP(AE$134, Load!$D$32:$BA$32, Load!$D35:$BA35)+_xlfn.XLOOKUP(AE$134, Hydrogen!$D$32:$BA$32, Hydrogen!$D35:$BA35)+_xlfn.XLOOKUP(AE$134, 'SENS Tires'!$D$32:$BA$32, 'SENS Tires'!$D35:$BA35)+_xlfn.XLOOKUP(AE$134, 'SENS Coal'!$D$32:$BA$32, 'SENS Coal'!$D35:$BA35)</f>
        <v>-4725.3003631686361</v>
      </c>
      <c r="AF137" s="210">
        <f>_xlfn.XLOOKUP(AF$134, 'Real Estate'!$D$25:$BA$25, 'Real Estate'!$D28:$BA28)+_xlfn.XLOOKUP(AF$134, 'GEN-CCGT'!$D$32:$BA$32, 'GEN-CCGT'!$D35:$BA35)+_xlfn.XLOOKUP(AF$134, 'GEN-SOLAR'!$D$32:$BA$32, 'GEN-SOLAR'!$D35:$BA35)+_xlfn.XLOOKUP(AF$134, 'GEN-BESS'!$D$32:$BA$32, 'GEN-BESS'!$D35:$BA35)+_xlfn.XLOOKUP(AF$134, 'GEN-CARBON'!$D$32:$BA$32, 'GEN-CARBON'!$D35:$BA35)+_xlfn.XLOOKUP(AF$134, Load!$D$32:$BA$32, Load!$D35:$BA35)+_xlfn.XLOOKUP(AF$134, Hydrogen!$D$32:$BA$32, Hydrogen!$D35:$BA35)+_xlfn.XLOOKUP(AF$134, 'SENS Tires'!$D$32:$BA$32, 'SENS Tires'!$D35:$BA35)+_xlfn.XLOOKUP(AF$134, 'SENS Coal'!$D$32:$BA$32, 'SENS Coal'!$D35:$BA35)</f>
        <v>-4653.4837280063603</v>
      </c>
      <c r="AG137" s="210">
        <f>_xlfn.XLOOKUP(AG$134, 'Real Estate'!$D$25:$BA$25, 'Real Estate'!$D28:$BA28)+_xlfn.XLOOKUP(AG$134, 'GEN-CCGT'!$D$32:$BA$32, 'GEN-CCGT'!$D35:$BA35)+_xlfn.XLOOKUP(AG$134, 'GEN-SOLAR'!$D$32:$BA$32, 'GEN-SOLAR'!$D35:$BA35)+_xlfn.XLOOKUP(AG$134, 'GEN-BESS'!$D$32:$BA$32, 'GEN-BESS'!$D35:$BA35)+_xlfn.XLOOKUP(AG$134, 'GEN-CARBON'!$D$32:$BA$32, 'GEN-CARBON'!$D35:$BA35)+_xlfn.XLOOKUP(AG$134, Load!$D$32:$BA$32, Load!$D35:$BA35)+_xlfn.XLOOKUP(AG$134, Hydrogen!$D$32:$BA$32, Hydrogen!$D35:$BA35)+_xlfn.XLOOKUP(AG$134, 'SENS Tires'!$D$32:$BA$32, 'SENS Tires'!$D35:$BA35)+_xlfn.XLOOKUP(AG$134, 'SENS Coal'!$D$32:$BA$32, 'SENS Coal'!$D35:$BA35)</f>
        <v>-4747.1471574934985</v>
      </c>
      <c r="AH137" s="210">
        <f>_xlfn.XLOOKUP(AH$134, 'Real Estate'!$D$25:$BA$25, 'Real Estate'!$D28:$BA28)+_xlfn.XLOOKUP(AH$134, 'GEN-CCGT'!$D$32:$BA$32, 'GEN-CCGT'!$D35:$BA35)+_xlfn.XLOOKUP(AH$134, 'GEN-SOLAR'!$D$32:$BA$32, 'GEN-SOLAR'!$D35:$BA35)+_xlfn.XLOOKUP(AH$134, 'GEN-BESS'!$D$32:$BA$32, 'GEN-BESS'!$D35:$BA35)+_xlfn.XLOOKUP(AH$134, 'GEN-CARBON'!$D$32:$BA$32, 'GEN-CARBON'!$D35:$BA35)+_xlfn.XLOOKUP(AH$134, Load!$D$32:$BA$32, Load!$D35:$BA35)+_xlfn.XLOOKUP(AH$134, Hydrogen!$D$32:$BA$32, Hydrogen!$D35:$BA35)+_xlfn.XLOOKUP(AH$134, 'SENS Tires'!$D$32:$BA$32, 'SENS Tires'!$D35:$BA35)+_xlfn.XLOOKUP(AH$134, 'SENS Coal'!$D$32:$BA$32, 'SENS Coal'!$D35:$BA35)</f>
        <v>-4829.262425793203</v>
      </c>
      <c r="AI137" s="210">
        <f>_xlfn.XLOOKUP(AI$134, 'Real Estate'!$D$25:$BA$25, 'Real Estate'!$D28:$BA28)+_xlfn.XLOOKUP(AI$134, 'GEN-CCGT'!$D$32:$BA$32, 'GEN-CCGT'!$D35:$BA35)+_xlfn.XLOOKUP(AI$134, 'GEN-SOLAR'!$D$32:$BA$32, 'GEN-SOLAR'!$D35:$BA35)+_xlfn.XLOOKUP(AI$134, 'GEN-BESS'!$D$32:$BA$32, 'GEN-BESS'!$D35:$BA35)+_xlfn.XLOOKUP(AI$134, 'GEN-CARBON'!$D$32:$BA$32, 'GEN-CARBON'!$D35:$BA35)+_xlfn.XLOOKUP(AI$134, Load!$D$32:$BA$32, Load!$D35:$BA35)+_xlfn.XLOOKUP(AI$134, Hydrogen!$D$32:$BA$32, Hydrogen!$D35:$BA35)+_xlfn.XLOOKUP(AI$134, 'SENS Tires'!$D$32:$BA$32, 'SENS Tires'!$D35:$BA35)+_xlfn.XLOOKUP(AI$134, 'SENS Coal'!$D$32:$BA$32, 'SENS Coal'!$D35:$BA35)</f>
        <v>-4904.9524400206064</v>
      </c>
      <c r="AJ137" s="210">
        <f>_xlfn.XLOOKUP(AJ$134, 'Real Estate'!$D$25:$BA$25, 'Real Estate'!$D28:$BA28)+_xlfn.XLOOKUP(AJ$134, 'GEN-CCGT'!$D$32:$BA$32, 'GEN-CCGT'!$D35:$BA35)+_xlfn.XLOOKUP(AJ$134, 'GEN-SOLAR'!$D$32:$BA$32, 'GEN-SOLAR'!$D35:$BA35)+_xlfn.XLOOKUP(AJ$134, 'GEN-BESS'!$D$32:$BA$32, 'GEN-BESS'!$D35:$BA35)+_xlfn.XLOOKUP(AJ$134, 'GEN-CARBON'!$D$32:$BA$32, 'GEN-CARBON'!$D35:$BA35)+_xlfn.XLOOKUP(AJ$134, Load!$D$32:$BA$32, Load!$D35:$BA35)+_xlfn.XLOOKUP(AJ$134, Hydrogen!$D$32:$BA$32, Hydrogen!$D35:$BA35)+_xlfn.XLOOKUP(AJ$134, 'SENS Tires'!$D$32:$BA$32, 'SENS Tires'!$D35:$BA35)+_xlfn.XLOOKUP(AJ$134, 'SENS Coal'!$D$32:$BA$32, 'SENS Coal'!$D35:$BA35)</f>
        <v>-5003.8200678499516</v>
      </c>
      <c r="AK137" s="210">
        <f>_xlfn.XLOOKUP(AK$134, 'Real Estate'!$D$25:$BA$25, 'Real Estate'!$D28:$BA28)+_xlfn.XLOOKUP(AK$134, 'GEN-CCGT'!$D$32:$BA$32, 'GEN-CCGT'!$D35:$BA35)+_xlfn.XLOOKUP(AK$134, 'GEN-SOLAR'!$D$32:$BA$32, 'GEN-SOLAR'!$D35:$BA35)+_xlfn.XLOOKUP(AK$134, 'GEN-BESS'!$D$32:$BA$32, 'GEN-BESS'!$D35:$BA35)+_xlfn.XLOOKUP(AK$134, 'GEN-CARBON'!$D$32:$BA$32, 'GEN-CARBON'!$D35:$BA35)+_xlfn.XLOOKUP(AK$134, Load!$D$32:$BA$32, Load!$D35:$BA35)+_xlfn.XLOOKUP(AK$134, Hydrogen!$D$32:$BA$32, Hydrogen!$D35:$BA35)+_xlfn.XLOOKUP(AK$134, 'SENS Tires'!$D$32:$BA$32, 'SENS Tires'!$D35:$BA35)+_xlfn.XLOOKUP(AK$134, 'SENS Coal'!$D$32:$BA$32, 'SENS Coal'!$D35:$BA35)</f>
        <v>-5104.6881056067486</v>
      </c>
      <c r="AL137" s="210">
        <f>_xlfn.XLOOKUP(AL$134, 'Real Estate'!$D$25:$BA$25, 'Real Estate'!$D28:$BA28)+_xlfn.XLOOKUP(AL$134, 'GEN-CCGT'!$D$32:$BA$32, 'GEN-CCGT'!$D35:$BA35)+_xlfn.XLOOKUP(AL$134, 'GEN-SOLAR'!$D$32:$BA$32, 'GEN-SOLAR'!$D35:$BA35)+_xlfn.XLOOKUP(AL$134, 'GEN-BESS'!$D$32:$BA$32, 'GEN-BESS'!$D35:$BA35)+_xlfn.XLOOKUP(AL$134, 'GEN-CARBON'!$D$32:$BA$32, 'GEN-CARBON'!$D35:$BA35)+_xlfn.XLOOKUP(AL$134, Load!$D$32:$BA$32, Load!$D35:$BA35)+_xlfn.XLOOKUP(AL$134, Hydrogen!$D$32:$BA$32, Hydrogen!$D35:$BA35)+_xlfn.XLOOKUP(AL$134, 'SENS Tires'!$D$32:$BA$32, 'SENS Tires'!$D35:$BA35)+_xlfn.XLOOKUP(AL$134, 'SENS Coal'!$D$32:$BA$32, 'SENS Coal'!$D35:$BA35)</f>
        <v>-5207.5972532106798</v>
      </c>
      <c r="AM137" s="210">
        <f>_xlfn.XLOOKUP(AM$134, 'Real Estate'!$D$25:$BA$25, 'Real Estate'!$D28:$BA28)+_xlfn.XLOOKUP(AM$134, 'GEN-CCGT'!$D$32:$BA$32, 'GEN-CCGT'!$D35:$BA35)+_xlfn.XLOOKUP(AM$134, 'GEN-SOLAR'!$D$32:$BA$32, 'GEN-SOLAR'!$D35:$BA35)+_xlfn.XLOOKUP(AM$134, 'GEN-BESS'!$D$32:$BA$32, 'GEN-BESS'!$D35:$BA35)+_xlfn.XLOOKUP(AM$134, 'GEN-CARBON'!$D$32:$BA$32, 'GEN-CARBON'!$D35:$BA35)+_xlfn.XLOOKUP(AM$134, Load!$D$32:$BA$32, Load!$D35:$BA35)+_xlfn.XLOOKUP(AM$134, Hydrogen!$D$32:$BA$32, Hydrogen!$D35:$BA35)+_xlfn.XLOOKUP(AM$134, 'SENS Tires'!$D$32:$BA$32, 'SENS Tires'!$D35:$BA35)+_xlfn.XLOOKUP(AM$134, 'SENS Coal'!$D$32:$BA$32, 'SENS Coal'!$D35:$BA35)</f>
        <v>-5312.5890453314414</v>
      </c>
      <c r="AN137" s="210">
        <f>_xlfn.XLOOKUP(AN$134, 'Real Estate'!$D$25:$BA$25, 'Real Estate'!$D28:$BA28)+_xlfn.XLOOKUP(AN$134, 'GEN-CCGT'!$D$32:$BA$32, 'GEN-CCGT'!$D35:$BA35)+_xlfn.XLOOKUP(AN$134, 'GEN-SOLAR'!$D$32:$BA$32, 'GEN-SOLAR'!$D35:$BA35)+_xlfn.XLOOKUP(AN$134, 'GEN-BESS'!$D$32:$BA$32, 'GEN-BESS'!$D35:$BA35)+_xlfn.XLOOKUP(AN$134, 'GEN-CARBON'!$D$32:$BA$32, 'GEN-CARBON'!$D35:$BA35)+_xlfn.XLOOKUP(AN$134, Load!$D$32:$BA$32, Load!$D35:$BA35)+_xlfn.XLOOKUP(AN$134, Hydrogen!$D$32:$BA$32, Hydrogen!$D35:$BA35)+_xlfn.XLOOKUP(AN$134, 'SENS Tires'!$D$32:$BA$32, 'SENS Tires'!$D35:$BA35)+_xlfn.XLOOKUP(AN$134, 'SENS Coal'!$D$32:$BA$32, 'SENS Coal'!$D35:$BA35)</f>
        <v>-5419.7058687063145</v>
      </c>
      <c r="AO137" s="210">
        <f>_xlfn.XLOOKUP(AO$134, 'Real Estate'!$D$25:$BA$25, 'Real Estate'!$D28:$BA28)+_xlfn.XLOOKUP(AO$134, 'GEN-CCGT'!$D$32:$BA$32, 'GEN-CCGT'!$D35:$BA35)+_xlfn.XLOOKUP(AO$134, 'GEN-SOLAR'!$D$32:$BA$32, 'GEN-SOLAR'!$D35:$BA35)+_xlfn.XLOOKUP(AO$134, 'GEN-BESS'!$D$32:$BA$32, 'GEN-BESS'!$D35:$BA35)+_xlfn.XLOOKUP(AO$134, 'GEN-CARBON'!$D$32:$BA$32, 'GEN-CARBON'!$D35:$BA35)+_xlfn.XLOOKUP(AO$134, Load!$D$32:$BA$32, Load!$D35:$BA35)+_xlfn.XLOOKUP(AO$134, Hydrogen!$D$32:$BA$32, Hydrogen!$D35:$BA35)+_xlfn.XLOOKUP(AO$134, 'SENS Tires'!$D$32:$BA$32, 'SENS Tires'!$D35:$BA35)+_xlfn.XLOOKUP(AO$134, 'SENS Coal'!$D$32:$BA$32, 'SENS Coal'!$D35:$BA35)</f>
        <v>-5528.9909798227318</v>
      </c>
      <c r="AP137" s="210">
        <f>_xlfn.XLOOKUP(AP$134, 'Real Estate'!$D$25:$BA$25, 'Real Estate'!$D28:$BA28)+_xlfn.XLOOKUP(AP$134, 'GEN-CCGT'!$D$32:$BA$32, 'GEN-CCGT'!$D35:$BA35)+_xlfn.XLOOKUP(AP$134, 'GEN-SOLAR'!$D$32:$BA$32, 'GEN-SOLAR'!$D35:$BA35)+_xlfn.XLOOKUP(AP$134, 'GEN-BESS'!$D$32:$BA$32, 'GEN-BESS'!$D35:$BA35)+_xlfn.XLOOKUP(AP$134, 'GEN-CARBON'!$D$32:$BA$32, 'GEN-CARBON'!$D35:$BA35)+_xlfn.XLOOKUP(AP$134, Load!$D$32:$BA$32, Load!$D35:$BA35)+_xlfn.XLOOKUP(AP$134, Hydrogen!$D$32:$BA$32, Hydrogen!$D35:$BA35)+_xlfn.XLOOKUP(AP$134, 'SENS Tires'!$D$32:$BA$32, 'SENS Tires'!$D35:$BA35)+_xlfn.XLOOKUP(AP$134, 'SENS Coal'!$D$32:$BA$32, 'SENS Coal'!$D35:$BA35)</f>
        <v>-5640.4885229737456</v>
      </c>
      <c r="AQ137" s="210">
        <f>_xlfn.XLOOKUP(AQ$134, 'Real Estate'!$D$25:$BA$25, 'Real Estate'!$D28:$BA28)+_xlfn.XLOOKUP(AQ$134, 'GEN-CCGT'!$D$32:$BA$32, 'GEN-CCGT'!$D35:$BA35)+_xlfn.XLOOKUP(AQ$134, 'GEN-SOLAR'!$D$32:$BA$32, 'GEN-SOLAR'!$D35:$BA35)+_xlfn.XLOOKUP(AQ$134, 'GEN-BESS'!$D$32:$BA$32, 'GEN-BESS'!$D35:$BA35)+_xlfn.XLOOKUP(AQ$134, 'GEN-CARBON'!$D$32:$BA$32, 'GEN-CARBON'!$D35:$BA35)+_xlfn.XLOOKUP(AQ$134, Load!$D$32:$BA$32, Load!$D35:$BA35)+_xlfn.XLOOKUP(AQ$134, Hydrogen!$D$32:$BA$32, Hydrogen!$D35:$BA35)+_xlfn.XLOOKUP(AQ$134, 'SENS Tires'!$D$32:$BA$32, 'SENS Tires'!$D35:$BA35)+_xlfn.XLOOKUP(AQ$134, 'SENS Coal'!$D$32:$BA$32, 'SENS Coal'!$D35:$BA35)</f>
        <v>-5754.2435486944196</v>
      </c>
      <c r="AR137" s="210">
        <f>_xlfn.XLOOKUP(AR$134, 'Real Estate'!$D$25:$BA$25, 'Real Estate'!$D28:$BA28)+_xlfn.XLOOKUP(AR$134, 'GEN-CCGT'!$D$32:$BA$32, 'GEN-CCGT'!$D35:$BA35)+_xlfn.XLOOKUP(AR$134, 'GEN-SOLAR'!$D$32:$BA$32, 'GEN-SOLAR'!$D35:$BA35)+_xlfn.XLOOKUP(AR$134, 'GEN-BESS'!$D$32:$BA$32, 'GEN-BESS'!$D35:$BA35)+_xlfn.XLOOKUP(AR$134, 'GEN-CARBON'!$D$32:$BA$32, 'GEN-CARBON'!$D35:$BA35)+_xlfn.XLOOKUP(AR$134, Load!$D$32:$BA$32, Load!$D35:$BA35)+_xlfn.XLOOKUP(AR$134, Hydrogen!$D$32:$BA$32, Hydrogen!$D35:$BA35)+_xlfn.XLOOKUP(AR$134, 'SENS Tires'!$D$32:$BA$32, 'SENS Tires'!$D35:$BA35)+_xlfn.XLOOKUP(AR$134, 'SENS Coal'!$D$32:$BA$32, 'SENS Coal'!$D35:$BA35)</f>
        <v>-5870.3020325873422</v>
      </c>
      <c r="AS137" s="210">
        <f>_xlfn.XLOOKUP(AS$134, 'Real Estate'!$D$25:$BA$25, 'Real Estate'!$D28:$BA28)+_xlfn.XLOOKUP(AS$134, 'GEN-CCGT'!$D$32:$BA$32, 'GEN-CCGT'!$D35:$BA35)+_xlfn.XLOOKUP(AS$134, 'GEN-SOLAR'!$D$32:$BA$32, 'GEN-SOLAR'!$D35:$BA35)+_xlfn.XLOOKUP(AS$134, 'GEN-BESS'!$D$32:$BA$32, 'GEN-BESS'!$D35:$BA35)+_xlfn.XLOOKUP(AS$134, 'GEN-CARBON'!$D$32:$BA$32, 'GEN-CARBON'!$D35:$BA35)+_xlfn.XLOOKUP(AS$134, Load!$D$32:$BA$32, Load!$D35:$BA35)+_xlfn.XLOOKUP(AS$134, Hydrogen!$D$32:$BA$32, Hydrogen!$D35:$BA35)+_xlfn.XLOOKUP(AS$134, 'SENS Tires'!$D$32:$BA$32, 'SENS Tires'!$D35:$BA35)+_xlfn.XLOOKUP(AS$134, 'SENS Coal'!$D$32:$BA$32, 'SENS Coal'!$D35:$BA35)</f>
        <v>-5988.7108945456903</v>
      </c>
      <c r="AT137" s="210">
        <f>_xlfn.XLOOKUP(AT$134, 'Real Estate'!$D$25:$BA$25, 'Real Estate'!$D28:$BA28)+_xlfn.XLOOKUP(AT$134, 'GEN-CCGT'!$D$32:$BA$32, 'GEN-CCGT'!$D35:$BA35)+_xlfn.XLOOKUP(AT$134, 'GEN-SOLAR'!$D$32:$BA$32, 'GEN-SOLAR'!$D35:$BA35)+_xlfn.XLOOKUP(AT$134, 'GEN-BESS'!$D$32:$BA$32, 'GEN-BESS'!$D35:$BA35)+_xlfn.XLOOKUP(AT$134, 'GEN-CARBON'!$D$32:$BA$32, 'GEN-CARBON'!$D35:$BA35)+_xlfn.XLOOKUP(AT$134, Load!$D$32:$BA$32, Load!$D35:$BA35)+_xlfn.XLOOKUP(AT$134, Hydrogen!$D$32:$BA$32, Hydrogen!$D35:$BA35)+_xlfn.XLOOKUP(AT$134, 'SENS Tires'!$D$32:$BA$32, 'SENS Tires'!$D35:$BA35)+_xlfn.XLOOKUP(AT$134, 'SENS Coal'!$D$32:$BA$32, 'SENS Coal'!$D35:$BA35)</f>
        <v>-6109.5180183824077</v>
      </c>
      <c r="AU137" s="210">
        <f>_xlfn.XLOOKUP(AU$134, 'Real Estate'!$D$25:$BA$25, 'Real Estate'!$D28:$BA28)+_xlfn.XLOOKUP(AU$134, 'GEN-CCGT'!$D$32:$BA$32, 'GEN-CCGT'!$D35:$BA35)+_xlfn.XLOOKUP(AU$134, 'GEN-SOLAR'!$D$32:$BA$32, 'GEN-SOLAR'!$D35:$BA35)+_xlfn.XLOOKUP(AU$134, 'GEN-BESS'!$D$32:$BA$32, 'GEN-BESS'!$D35:$BA35)+_xlfn.XLOOKUP(AU$134, 'GEN-CARBON'!$D$32:$BA$32, 'GEN-CARBON'!$D35:$BA35)+_xlfn.XLOOKUP(AU$134, Load!$D$32:$BA$32, Load!$D35:$BA35)+_xlfn.XLOOKUP(AU$134, Hydrogen!$D$32:$BA$32, Hydrogen!$D35:$BA35)+_xlfn.XLOOKUP(AU$134, 'SENS Tires'!$D$32:$BA$32, 'SENS Tires'!$D35:$BA35)+_xlfn.XLOOKUP(AU$134, 'SENS Coal'!$D$32:$BA$32, 'SENS Coal'!$D35:$BA35)</f>
        <v>-6232.7722718742325</v>
      </c>
      <c r="AV137" s="210">
        <f>_xlfn.XLOOKUP(AV$134, 'Real Estate'!$D$25:$BA$25, 'Real Estate'!$D28:$BA28)+_xlfn.XLOOKUP(AV$134, 'GEN-CCGT'!$D$32:$BA$32, 'GEN-CCGT'!$D35:$BA35)+_xlfn.XLOOKUP(AV$134, 'GEN-SOLAR'!$D$32:$BA$32, 'GEN-SOLAR'!$D35:$BA35)+_xlfn.XLOOKUP(AV$134, 'GEN-BESS'!$D$32:$BA$32, 'GEN-BESS'!$D35:$BA35)+_xlfn.XLOOKUP(AV$134, 'GEN-CARBON'!$D$32:$BA$32, 'GEN-CARBON'!$D35:$BA35)+_xlfn.XLOOKUP(AV$134, Load!$D$32:$BA$32, Load!$D35:$BA35)+_xlfn.XLOOKUP(AV$134, Hydrogen!$D$32:$BA$32, Hydrogen!$D35:$BA35)+_xlfn.XLOOKUP(AV$134, 'SENS Tires'!$D$32:$BA$32, 'SENS Tires'!$D35:$BA35)+_xlfn.XLOOKUP(AV$134, 'SENS Coal'!$D$32:$BA$32, 'SENS Coal'!$D35:$BA35)</f>
        <v>-6358.5235272296186</v>
      </c>
      <c r="AW137" s="210">
        <f>_xlfn.XLOOKUP(AW$134, 'Real Estate'!$D$25:$BA$25, 'Real Estate'!$D28:$BA28)+_xlfn.XLOOKUP(AW$134, 'GEN-CCGT'!$D$32:$BA$32, 'GEN-CCGT'!$D35:$BA35)+_xlfn.XLOOKUP(AW$134, 'GEN-SOLAR'!$D$32:$BA$32, 'GEN-SOLAR'!$D35:$BA35)+_xlfn.XLOOKUP(AW$134, 'GEN-BESS'!$D$32:$BA$32, 'GEN-BESS'!$D35:$BA35)+_xlfn.XLOOKUP(AW$134, 'GEN-CARBON'!$D$32:$BA$32, 'GEN-CARBON'!$D35:$BA35)+_xlfn.XLOOKUP(AW$134, Load!$D$32:$BA$32, Load!$D35:$BA35)+_xlfn.XLOOKUP(AW$134, Hydrogen!$D$32:$BA$32, Hydrogen!$D35:$BA35)+_xlfn.XLOOKUP(AW$134, 'SENS Tires'!$D$32:$BA$32, 'SENS Tires'!$D35:$BA35)+_xlfn.XLOOKUP(AW$134, 'SENS Coal'!$D$32:$BA$32, 'SENS Coal'!$D35:$BA35)</f>
        <v>-6486.822681989649</v>
      </c>
      <c r="AX137" s="210">
        <f>_xlfn.XLOOKUP(AX$134, 'Real Estate'!$D$25:$BA$25, 'Real Estate'!$D28:$BA28)+_xlfn.XLOOKUP(AX$134, 'GEN-CCGT'!$D$32:$BA$32, 'GEN-CCGT'!$D35:$BA35)+_xlfn.XLOOKUP(AX$134, 'GEN-SOLAR'!$D$32:$BA$32, 'GEN-SOLAR'!$D35:$BA35)+_xlfn.XLOOKUP(AX$134, 'GEN-BESS'!$D$32:$BA$32, 'GEN-BESS'!$D35:$BA35)+_xlfn.XLOOKUP(AX$134, 'GEN-CARBON'!$D$32:$BA$32, 'GEN-CARBON'!$D35:$BA35)+_xlfn.XLOOKUP(AX$134, Load!$D$32:$BA$32, Load!$D35:$BA35)+_xlfn.XLOOKUP(AX$134, Hydrogen!$D$32:$BA$32, Hydrogen!$D35:$BA35)+_xlfn.XLOOKUP(AX$134, 'SENS Tires'!$D$32:$BA$32, 'SENS Tires'!$D35:$BA35)+_xlfn.XLOOKUP(AX$134, 'SENS Coal'!$D$32:$BA$32, 'SENS Coal'!$D35:$BA35)</f>
        <v>-6617.7216803713454</v>
      </c>
    </row>
    <row r="138" spans="1:50" ht="14.25" customHeight="1">
      <c r="A138" s="1"/>
      <c r="B138" s="84"/>
      <c r="C138" s="98" t="s">
        <v>404</v>
      </c>
      <c r="D138" s="84"/>
      <c r="E138" s="211" t="e">
        <f>_xlfn.XLOOKUP(E$134, 'Real Estate'!$D$25:$BA$25, 'Real Estate'!$D29:$BA29)+_xlfn.XLOOKUP(E$134, 'GEN-CCGT'!$D$32:$BA$32, 'GEN-CCGT'!$D36:$BA36)+_xlfn.XLOOKUP(E$134, 'GEN-SOLAR'!$D$32:$BA$32, 'GEN-SOLAR'!$D36:$BA36)+_xlfn.XLOOKUP(E$134, 'GEN-BESS'!$D$32:$BA$32, 'GEN-BESS'!$D36:$BA36)+_xlfn.XLOOKUP(E$134, 'GEN-CARBON'!$D$32:$BA$32, 'GEN-CARBON'!$D36:$BA36)+_xlfn.XLOOKUP(E$134, Load!$D$32:$BA$32, Load!$D36:$BA36)+_xlfn.XLOOKUP(E$134, Hydrogen!$D$32:$BA$32, Hydrogen!$D36:$BA36)+_xlfn.XLOOKUP(E$134, 'SENS Tires'!$D$32:$BA$32, 'SENS Tires'!$D36:$BA36)+_xlfn.XLOOKUP(E$134, 'SENS Coal'!$D$32:$BA$32, 'SENS Coal'!$D36:$BA36)</f>
        <v>#N/A</v>
      </c>
      <c r="F138" s="211">
        <f>_xlfn.XLOOKUP(F$134, 'Real Estate'!$D$25:$BA$25, 'Real Estate'!$D29:$BA29)+_xlfn.XLOOKUP(F$134, 'GEN-CCGT'!$D$32:$BA$32, 'GEN-CCGT'!$D36:$BA36)+_xlfn.XLOOKUP(F$134, 'GEN-SOLAR'!$D$32:$BA$32, 'GEN-SOLAR'!$D36:$BA36)+_xlfn.XLOOKUP(F$134, 'GEN-BESS'!$D$32:$BA$32, 'GEN-BESS'!$D36:$BA36)+_xlfn.XLOOKUP(F$134, 'GEN-CARBON'!$D$32:$BA$32, 'GEN-CARBON'!$D36:$BA36)+_xlfn.XLOOKUP(F$134, Load!$D$32:$BA$32, Load!$D36:$BA36)+_xlfn.XLOOKUP(F$134, Hydrogen!$D$32:$BA$32, Hydrogen!$D36:$BA36)+_xlfn.XLOOKUP(F$134, 'SENS Tires'!$D$32:$BA$32, 'SENS Tires'!$D36:$BA36)+_xlfn.XLOOKUP(F$134, 'SENS Coal'!$D$32:$BA$32, 'SENS Coal'!$D36:$BA36)</f>
        <v>6770.8344548962023</v>
      </c>
      <c r="G138" s="211">
        <f>_xlfn.XLOOKUP(G$134, 'Real Estate'!$D$25:$BA$25, 'Real Estate'!$D29:$BA29)+_xlfn.XLOOKUP(G$134, 'GEN-CCGT'!$D$32:$BA$32, 'GEN-CCGT'!$D36:$BA36)+_xlfn.XLOOKUP(G$134, 'GEN-SOLAR'!$D$32:$BA$32, 'GEN-SOLAR'!$D36:$BA36)+_xlfn.XLOOKUP(G$134, 'GEN-BESS'!$D$32:$BA$32, 'GEN-BESS'!$D36:$BA36)+_xlfn.XLOOKUP(G$134, 'GEN-CARBON'!$D$32:$BA$32, 'GEN-CARBON'!$D36:$BA36)+_xlfn.XLOOKUP(G$134, Load!$D$32:$BA$32, Load!$D36:$BA36)+_xlfn.XLOOKUP(G$134, Hydrogen!$D$32:$BA$32, Hydrogen!$D36:$BA36)+_xlfn.XLOOKUP(G$134, 'SENS Tires'!$D$32:$BA$32, 'SENS Tires'!$D36:$BA36)+_xlfn.XLOOKUP(G$134, 'SENS Coal'!$D$32:$BA$32, 'SENS Coal'!$D36:$BA36)</f>
        <v>8278.8126331845779</v>
      </c>
      <c r="H138" s="211">
        <f>_xlfn.XLOOKUP(H$134, 'Real Estate'!$D$25:$BA$25, 'Real Estate'!$D29:$BA29)+_xlfn.XLOOKUP(H$134, 'GEN-CCGT'!$D$32:$BA$32, 'GEN-CCGT'!$D36:$BA36)+_xlfn.XLOOKUP(H$134, 'GEN-SOLAR'!$D$32:$BA$32, 'GEN-SOLAR'!$D36:$BA36)+_xlfn.XLOOKUP(H$134, 'GEN-BESS'!$D$32:$BA$32, 'GEN-BESS'!$D36:$BA36)+_xlfn.XLOOKUP(H$134, 'GEN-CARBON'!$D$32:$BA$32, 'GEN-CARBON'!$D36:$BA36)+_xlfn.XLOOKUP(H$134, Load!$D$32:$BA$32, Load!$D36:$BA36)+_xlfn.XLOOKUP(H$134, Hydrogen!$D$32:$BA$32, Hydrogen!$D36:$BA36)+_xlfn.XLOOKUP(H$134, 'SENS Tires'!$D$32:$BA$32, 'SENS Tires'!$D36:$BA36)+_xlfn.XLOOKUP(H$134, 'SENS Coal'!$D$32:$BA$32, 'SENS Coal'!$D36:$BA36)</f>
        <v>8459.1393087308334</v>
      </c>
      <c r="I138" s="211">
        <f>_xlfn.XLOOKUP(I$134, 'Real Estate'!$D$25:$BA$25, 'Real Estate'!$D29:$BA29)+_xlfn.XLOOKUP(I$134, 'GEN-CCGT'!$D$32:$BA$32, 'GEN-CCGT'!$D36:$BA36)+_xlfn.XLOOKUP(I$134, 'GEN-SOLAR'!$D$32:$BA$32, 'GEN-SOLAR'!$D36:$BA36)+_xlfn.XLOOKUP(I$134, 'GEN-BESS'!$D$32:$BA$32, 'GEN-BESS'!$D36:$BA36)+_xlfn.XLOOKUP(I$134, 'GEN-CARBON'!$D$32:$BA$32, 'GEN-CARBON'!$D36:$BA36)+_xlfn.XLOOKUP(I$134, Load!$D$32:$BA$32, Load!$D36:$BA36)+_xlfn.XLOOKUP(I$134, Hydrogen!$D$32:$BA$32, Hydrogen!$D36:$BA36)+_xlfn.XLOOKUP(I$134, 'SENS Tires'!$D$32:$BA$32, 'SENS Tires'!$D36:$BA36)+_xlfn.XLOOKUP(I$134, 'SENS Coal'!$D$32:$BA$32, 'SENS Coal'!$D36:$BA36)</f>
        <v>8674.1900624442951</v>
      </c>
      <c r="J138" s="211">
        <f>_xlfn.XLOOKUP(J$134, 'Real Estate'!$D$25:$BA$25, 'Real Estate'!$D29:$BA29)+_xlfn.XLOOKUP(J$134, 'GEN-CCGT'!$D$32:$BA$32, 'GEN-CCGT'!$D36:$BA36)+_xlfn.XLOOKUP(J$134, 'GEN-SOLAR'!$D$32:$BA$32, 'GEN-SOLAR'!$D36:$BA36)+_xlfn.XLOOKUP(J$134, 'GEN-BESS'!$D$32:$BA$32, 'GEN-BESS'!$D36:$BA36)+_xlfn.XLOOKUP(J$134, 'GEN-CARBON'!$D$32:$BA$32, 'GEN-CARBON'!$D36:$BA36)+_xlfn.XLOOKUP(J$134, Load!$D$32:$BA$32, Load!$D36:$BA36)+_xlfn.XLOOKUP(J$134, Hydrogen!$D$32:$BA$32, Hydrogen!$D36:$BA36)+_xlfn.XLOOKUP(J$134, 'SENS Tires'!$D$32:$BA$32, 'SENS Tires'!$D36:$BA36)+_xlfn.XLOOKUP(J$134, 'SENS Coal'!$D$32:$BA$32, 'SENS Coal'!$D36:$BA36)</f>
        <v>8857.0521726219795</v>
      </c>
      <c r="K138" s="211">
        <f>_xlfn.XLOOKUP(K$134, 'Real Estate'!$D$25:$BA$25, 'Real Estate'!$D29:$BA29)+_xlfn.XLOOKUP(K$134, 'GEN-CCGT'!$D$32:$BA$32, 'GEN-CCGT'!$D36:$BA36)+_xlfn.XLOOKUP(K$134, 'GEN-SOLAR'!$D$32:$BA$32, 'GEN-SOLAR'!$D36:$BA36)+_xlfn.XLOOKUP(K$134, 'GEN-BESS'!$D$32:$BA$32, 'GEN-BESS'!$D36:$BA36)+_xlfn.XLOOKUP(K$134, 'GEN-CARBON'!$D$32:$BA$32, 'GEN-CARBON'!$D36:$BA36)+_xlfn.XLOOKUP(K$134, Load!$D$32:$BA$32, Load!$D36:$BA36)+_xlfn.XLOOKUP(K$134, Hydrogen!$D$32:$BA$32, Hydrogen!$D36:$BA36)+_xlfn.XLOOKUP(K$134, 'SENS Tires'!$D$32:$BA$32, 'SENS Tires'!$D36:$BA36)+_xlfn.XLOOKUP(K$134, 'SENS Coal'!$D$32:$BA$32, 'SENS Coal'!$D36:$BA36)</f>
        <v>9035.5366524458786</v>
      </c>
      <c r="L138" s="211">
        <f>_xlfn.XLOOKUP(L$134, 'Real Estate'!$D$25:$BA$25, 'Real Estate'!$D29:$BA29)+_xlfn.XLOOKUP(L$134, 'GEN-CCGT'!$D$32:$BA$32, 'GEN-CCGT'!$D36:$BA36)+_xlfn.XLOOKUP(L$134, 'GEN-SOLAR'!$D$32:$BA$32, 'GEN-SOLAR'!$D36:$BA36)+_xlfn.XLOOKUP(L$134, 'GEN-BESS'!$D$32:$BA$32, 'GEN-BESS'!$D36:$BA36)+_xlfn.XLOOKUP(L$134, 'GEN-CARBON'!$D$32:$BA$32, 'GEN-CARBON'!$D36:$BA36)+_xlfn.XLOOKUP(L$134, Load!$D$32:$BA$32, Load!$D36:$BA36)+_xlfn.XLOOKUP(L$134, Hydrogen!$D$32:$BA$32, Hydrogen!$D36:$BA36)+_xlfn.XLOOKUP(L$134, 'SENS Tires'!$D$32:$BA$32, 'SENS Tires'!$D36:$BA36)+_xlfn.XLOOKUP(L$134, 'SENS Coal'!$D$32:$BA$32, 'SENS Coal'!$D36:$BA36)</f>
        <v>9217.6317639538138</v>
      </c>
      <c r="M138" s="211">
        <f>_xlfn.XLOOKUP(M$134, 'Real Estate'!$D$25:$BA$25, 'Real Estate'!$D29:$BA29)+_xlfn.XLOOKUP(M$134, 'GEN-CCGT'!$D$32:$BA$32, 'GEN-CCGT'!$D36:$BA36)+_xlfn.XLOOKUP(M$134, 'GEN-SOLAR'!$D$32:$BA$32, 'GEN-SOLAR'!$D36:$BA36)+_xlfn.XLOOKUP(M$134, 'GEN-BESS'!$D$32:$BA$32, 'GEN-BESS'!$D36:$BA36)+_xlfn.XLOOKUP(M$134, 'GEN-CARBON'!$D$32:$BA$32, 'GEN-CARBON'!$D36:$BA36)+_xlfn.XLOOKUP(M$134, Load!$D$32:$BA$32, Load!$D36:$BA36)+_xlfn.XLOOKUP(M$134, Hydrogen!$D$32:$BA$32, Hydrogen!$D36:$BA36)+_xlfn.XLOOKUP(M$134, 'SENS Tires'!$D$32:$BA$32, 'SENS Tires'!$D36:$BA36)+_xlfn.XLOOKUP(M$134, 'SENS Coal'!$D$32:$BA$32, 'SENS Coal'!$D36:$BA36)</f>
        <v>9403.4110170643726</v>
      </c>
      <c r="N138" s="211">
        <f>_xlfn.XLOOKUP(N$134, 'Real Estate'!$D$25:$BA$25, 'Real Estate'!$D29:$BA29)+_xlfn.XLOOKUP(N$134, 'GEN-CCGT'!$D$32:$BA$32, 'GEN-CCGT'!$D36:$BA36)+_xlfn.XLOOKUP(N$134, 'GEN-SOLAR'!$D$32:$BA$32, 'GEN-SOLAR'!$D36:$BA36)+_xlfn.XLOOKUP(N$134, 'GEN-BESS'!$D$32:$BA$32, 'GEN-BESS'!$D36:$BA36)+_xlfn.XLOOKUP(N$134, 'GEN-CARBON'!$D$32:$BA$32, 'GEN-CARBON'!$D36:$BA36)+_xlfn.XLOOKUP(N$134, Load!$D$32:$BA$32, Load!$D36:$BA36)+_xlfn.XLOOKUP(N$134, Hydrogen!$D$32:$BA$32, Hydrogen!$D36:$BA36)+_xlfn.XLOOKUP(N$134, 'SENS Tires'!$D$32:$BA$32, 'SENS Tires'!$D36:$BA36)+_xlfn.XLOOKUP(N$134, 'SENS Coal'!$D$32:$BA$32, 'SENS Coal'!$D36:$BA36)</f>
        <v>9592.949431808589</v>
      </c>
      <c r="O138" s="211">
        <f>_xlfn.XLOOKUP(O$134, 'Real Estate'!$D$25:$BA$25, 'Real Estate'!$D29:$BA29)+_xlfn.XLOOKUP(O$134, 'GEN-CCGT'!$D$32:$BA$32, 'GEN-CCGT'!$D36:$BA36)+_xlfn.XLOOKUP(O$134, 'GEN-SOLAR'!$D$32:$BA$32, 'GEN-SOLAR'!$D36:$BA36)+_xlfn.XLOOKUP(O$134, 'GEN-BESS'!$D$32:$BA$32, 'GEN-BESS'!$D36:$BA36)+_xlfn.XLOOKUP(O$134, 'GEN-CARBON'!$D$32:$BA$32, 'GEN-CARBON'!$D36:$BA36)+_xlfn.XLOOKUP(O$134, Load!$D$32:$BA$32, Load!$D36:$BA36)+_xlfn.XLOOKUP(O$134, Hydrogen!$D$32:$BA$32, Hydrogen!$D36:$BA36)+_xlfn.XLOOKUP(O$134, 'SENS Tires'!$D$32:$BA$32, 'SENS Tires'!$D36:$BA36)+_xlfn.XLOOKUP(O$134, 'SENS Coal'!$D$32:$BA$32, 'SENS Coal'!$D36:$BA36)</f>
        <v>9786.3235697458513</v>
      </c>
      <c r="P138" s="211">
        <f>_xlfn.XLOOKUP(P$134, 'Real Estate'!$D$25:$BA$25, 'Real Estate'!$D29:$BA29)+_xlfn.XLOOKUP(P$134, 'GEN-CCGT'!$D$32:$BA$32, 'GEN-CCGT'!$D36:$BA36)+_xlfn.XLOOKUP(P$134, 'GEN-SOLAR'!$D$32:$BA$32, 'GEN-SOLAR'!$D36:$BA36)+_xlfn.XLOOKUP(P$134, 'GEN-BESS'!$D$32:$BA$32, 'GEN-BESS'!$D36:$BA36)+_xlfn.XLOOKUP(P$134, 'GEN-CARBON'!$D$32:$BA$32, 'GEN-CARBON'!$D36:$BA36)+_xlfn.XLOOKUP(P$134, Load!$D$32:$BA$32, Load!$D36:$BA36)+_xlfn.XLOOKUP(P$134, Hydrogen!$D$32:$BA$32, Hydrogen!$D36:$BA36)+_xlfn.XLOOKUP(P$134, 'SENS Tires'!$D$32:$BA$32, 'SENS Tires'!$D36:$BA36)+_xlfn.XLOOKUP(P$134, 'SENS Coal'!$D$32:$BA$32, 'SENS Coal'!$D36:$BA36)</f>
        <v>9983.6115660448322</v>
      </c>
      <c r="Q138" s="211">
        <f>_xlfn.XLOOKUP(Q$134, 'Real Estate'!$D$25:$BA$25, 'Real Estate'!$D29:$BA29)+_xlfn.XLOOKUP(Q$134, 'GEN-CCGT'!$D$32:$BA$32, 'GEN-CCGT'!$D36:$BA36)+_xlfn.XLOOKUP(Q$134, 'GEN-SOLAR'!$D$32:$BA$32, 'GEN-SOLAR'!$D36:$BA36)+_xlfn.XLOOKUP(Q$134, 'GEN-BESS'!$D$32:$BA$32, 'GEN-BESS'!$D36:$BA36)+_xlfn.XLOOKUP(Q$134, 'GEN-CARBON'!$D$32:$BA$32, 'GEN-CARBON'!$D36:$BA36)+_xlfn.XLOOKUP(Q$134, Load!$D$32:$BA$32, Load!$D36:$BA36)+_xlfn.XLOOKUP(Q$134, Hydrogen!$D$32:$BA$32, Hydrogen!$D36:$BA36)+_xlfn.XLOOKUP(Q$134, 'SENS Tires'!$D$32:$BA$32, 'SENS Tires'!$D36:$BA36)+_xlfn.XLOOKUP(Q$134, 'SENS Coal'!$D$32:$BA$32, 'SENS Coal'!$D36:$BA36)</f>
        <v>10184.893162243794</v>
      </c>
      <c r="R138" s="211">
        <f>_xlfn.XLOOKUP(R$134, 'Real Estate'!$D$25:$BA$25, 'Real Estate'!$D29:$BA29)+_xlfn.XLOOKUP(R$134, 'GEN-CCGT'!$D$32:$BA$32, 'GEN-CCGT'!$D36:$BA36)+_xlfn.XLOOKUP(R$134, 'GEN-SOLAR'!$D$32:$BA$32, 'GEN-SOLAR'!$D36:$BA36)+_xlfn.XLOOKUP(R$134, 'GEN-BESS'!$D$32:$BA$32, 'GEN-BESS'!$D36:$BA36)+_xlfn.XLOOKUP(R$134, 'GEN-CARBON'!$D$32:$BA$32, 'GEN-CARBON'!$D36:$BA36)+_xlfn.XLOOKUP(R$134, Load!$D$32:$BA$32, Load!$D36:$BA36)+_xlfn.XLOOKUP(R$134, Hydrogen!$D$32:$BA$32, Hydrogen!$D36:$BA36)+_xlfn.XLOOKUP(R$134, 'SENS Tires'!$D$32:$BA$32, 'SENS Tires'!$D36:$BA36)+_xlfn.XLOOKUP(R$134, 'SENS Coal'!$D$32:$BA$32, 'SENS Coal'!$D36:$BA36)</f>
        <v>10390.249739705056</v>
      </c>
      <c r="S138" s="211">
        <f>_xlfn.XLOOKUP(S$134, 'Real Estate'!$D$25:$BA$25, 'Real Estate'!$D29:$BA29)+_xlfn.XLOOKUP(S$134, 'GEN-CCGT'!$D$32:$BA$32, 'GEN-CCGT'!$D36:$BA36)+_xlfn.XLOOKUP(S$134, 'GEN-SOLAR'!$D$32:$BA$32, 'GEN-SOLAR'!$D36:$BA36)+_xlfn.XLOOKUP(S$134, 'GEN-BESS'!$D$32:$BA$32, 'GEN-BESS'!$D36:$BA36)+_xlfn.XLOOKUP(S$134, 'GEN-CARBON'!$D$32:$BA$32, 'GEN-CARBON'!$D36:$BA36)+_xlfn.XLOOKUP(S$134, Load!$D$32:$BA$32, Load!$D36:$BA36)+_xlfn.XLOOKUP(S$134, Hydrogen!$D$32:$BA$32, Hydrogen!$D36:$BA36)+_xlfn.XLOOKUP(S$134, 'SENS Tires'!$D$32:$BA$32, 'SENS Tires'!$D36:$BA36)+_xlfn.XLOOKUP(S$134, 'SENS Coal'!$D$32:$BA$32, 'SENS Coal'!$D36:$BA36)</f>
        <v>10599.764353778566</v>
      </c>
      <c r="T138" s="211">
        <f>_xlfn.XLOOKUP(T$134, 'Real Estate'!$D$25:$BA$25, 'Real Estate'!$D29:$BA29)+_xlfn.XLOOKUP(T$134, 'GEN-CCGT'!$D$32:$BA$32, 'GEN-CCGT'!$D36:$BA36)+_xlfn.XLOOKUP(T$134, 'GEN-SOLAR'!$D$32:$BA$32, 'GEN-SOLAR'!$D36:$BA36)+_xlfn.XLOOKUP(T$134, 'GEN-BESS'!$D$32:$BA$32, 'GEN-BESS'!$D36:$BA36)+_xlfn.XLOOKUP(T$134, 'GEN-CARBON'!$D$32:$BA$32, 'GEN-CARBON'!$D36:$BA36)+_xlfn.XLOOKUP(T$134, Load!$D$32:$BA$32, Load!$D36:$BA36)+_xlfn.XLOOKUP(T$134, Hydrogen!$D$32:$BA$32, Hydrogen!$D36:$BA36)+_xlfn.XLOOKUP(T$134, 'SENS Tires'!$D$32:$BA$32, 'SENS Tires'!$D36:$BA36)+_xlfn.XLOOKUP(T$134, 'SENS Coal'!$D$32:$BA$32, 'SENS Coal'!$D36:$BA36)</f>
        <v>10813.521768690149</v>
      </c>
      <c r="U138" s="211">
        <f>_xlfn.XLOOKUP(U$134, 'Real Estate'!$D$25:$BA$25, 'Real Estate'!$D29:$BA29)+_xlfn.XLOOKUP(U$134, 'GEN-CCGT'!$D$32:$BA$32, 'GEN-CCGT'!$D36:$BA36)+_xlfn.XLOOKUP(U$134, 'GEN-SOLAR'!$D$32:$BA$32, 'GEN-SOLAR'!$D36:$BA36)+_xlfn.XLOOKUP(U$134, 'GEN-BESS'!$D$32:$BA$32, 'GEN-BESS'!$D36:$BA36)+_xlfn.XLOOKUP(U$134, 'GEN-CARBON'!$D$32:$BA$32, 'GEN-CARBON'!$D36:$BA36)+_xlfn.XLOOKUP(U$134, Load!$D$32:$BA$32, Load!$D36:$BA36)+_xlfn.XLOOKUP(U$134, Hydrogen!$D$32:$BA$32, Hydrogen!$D36:$BA36)+_xlfn.XLOOKUP(U$134, 'SENS Tires'!$D$32:$BA$32, 'SENS Tires'!$D36:$BA36)+_xlfn.XLOOKUP(U$134, 'SENS Coal'!$D$32:$BA$32, 'SENS Coal'!$D36:$BA36)</f>
        <v>11031.608493169937</v>
      </c>
      <c r="V138" s="211">
        <f>_xlfn.XLOOKUP(V$134, 'Real Estate'!$D$25:$BA$25, 'Real Estate'!$D29:$BA29)+_xlfn.XLOOKUP(V$134, 'GEN-CCGT'!$D$32:$BA$32, 'GEN-CCGT'!$D36:$BA36)+_xlfn.XLOOKUP(V$134, 'GEN-SOLAR'!$D$32:$BA$32, 'GEN-SOLAR'!$D36:$BA36)+_xlfn.XLOOKUP(V$134, 'GEN-BESS'!$D$32:$BA$32, 'GEN-BESS'!$D36:$BA36)+_xlfn.XLOOKUP(V$134, 'GEN-CARBON'!$D$32:$BA$32, 'GEN-CARBON'!$D36:$BA36)+_xlfn.XLOOKUP(V$134, Load!$D$32:$BA$32, Load!$D36:$BA36)+_xlfn.XLOOKUP(V$134, Hydrogen!$D$32:$BA$32, Hydrogen!$D36:$BA36)+_xlfn.XLOOKUP(V$134, 'SENS Tires'!$D$32:$BA$32, 'SENS Tires'!$D36:$BA36)+_xlfn.XLOOKUP(V$134, 'SENS Coal'!$D$32:$BA$32, 'SENS Coal'!$D36:$BA36)</f>
        <v>11254.112816837298</v>
      </c>
      <c r="W138" s="211">
        <f>_xlfn.XLOOKUP(W$134, 'Real Estate'!$D$25:$BA$25, 'Real Estate'!$D29:$BA29)+_xlfn.XLOOKUP(W$134, 'GEN-CCGT'!$D$32:$BA$32, 'GEN-CCGT'!$D36:$BA36)+_xlfn.XLOOKUP(W$134, 'GEN-SOLAR'!$D$32:$BA$32, 'GEN-SOLAR'!$D36:$BA36)+_xlfn.XLOOKUP(W$134, 'GEN-BESS'!$D$32:$BA$32, 'GEN-BESS'!$D36:$BA36)+_xlfn.XLOOKUP(W$134, 'GEN-CARBON'!$D$32:$BA$32, 'GEN-CARBON'!$D36:$BA36)+_xlfn.XLOOKUP(W$134, Load!$D$32:$BA$32, Load!$D36:$BA36)+_xlfn.XLOOKUP(W$134, Hydrogen!$D$32:$BA$32, Hydrogen!$D36:$BA36)+_xlfn.XLOOKUP(W$134, 'SENS Tires'!$D$32:$BA$32, 'SENS Tires'!$D36:$BA36)+_xlfn.XLOOKUP(W$134, 'SENS Coal'!$D$32:$BA$32, 'SENS Coal'!$D36:$BA36)</f>
        <v>11481.124847358518</v>
      </c>
      <c r="X138" s="211">
        <f>_xlfn.XLOOKUP(X$134, 'Real Estate'!$D$25:$BA$25, 'Real Estate'!$D29:$BA29)+_xlfn.XLOOKUP(X$134, 'GEN-CCGT'!$D$32:$BA$32, 'GEN-CCGT'!$D36:$BA36)+_xlfn.XLOOKUP(X$134, 'GEN-SOLAR'!$D$32:$BA$32, 'GEN-SOLAR'!$D36:$BA36)+_xlfn.XLOOKUP(X$134, 'GEN-BESS'!$D$32:$BA$32, 'GEN-BESS'!$D36:$BA36)+_xlfn.XLOOKUP(X$134, 'GEN-CARBON'!$D$32:$BA$32, 'GEN-CARBON'!$D36:$BA36)+_xlfn.XLOOKUP(X$134, Load!$D$32:$BA$32, Load!$D36:$BA36)+_xlfn.XLOOKUP(X$134, Hydrogen!$D$32:$BA$32, Hydrogen!$D36:$BA36)+_xlfn.XLOOKUP(X$134, 'SENS Tires'!$D$32:$BA$32, 'SENS Tires'!$D36:$BA36)+_xlfn.XLOOKUP(X$134, 'SENS Coal'!$D$32:$BA$32, 'SENS Coal'!$D36:$BA36)</f>
        <v>11712.736548394199</v>
      </c>
      <c r="Y138" s="211">
        <f>_xlfn.XLOOKUP(Y$134, 'Real Estate'!$D$25:$BA$25, 'Real Estate'!$D29:$BA29)+_xlfn.XLOOKUP(Y$134, 'GEN-CCGT'!$D$32:$BA$32, 'GEN-CCGT'!$D36:$BA36)+_xlfn.XLOOKUP(Y$134, 'GEN-SOLAR'!$D$32:$BA$32, 'GEN-SOLAR'!$D36:$BA36)+_xlfn.XLOOKUP(Y$134, 'GEN-BESS'!$D$32:$BA$32, 'GEN-BESS'!$D36:$BA36)+_xlfn.XLOOKUP(Y$134, 'GEN-CARBON'!$D$32:$BA$32, 'GEN-CARBON'!$D36:$BA36)+_xlfn.XLOOKUP(Y$134, Load!$D$32:$BA$32, Load!$D36:$BA36)+_xlfn.XLOOKUP(Y$134, Hydrogen!$D$32:$BA$32, Hydrogen!$D36:$BA36)+_xlfn.XLOOKUP(Y$134, 'SENS Tires'!$D$32:$BA$32, 'SENS Tires'!$D36:$BA36)+_xlfn.XLOOKUP(Y$134, 'SENS Coal'!$D$32:$BA$32, 'SENS Coal'!$D36:$BA36)</f>
        <v>11949.041778353478</v>
      </c>
      <c r="Z138" s="211">
        <f>_xlfn.XLOOKUP(Z$134, 'Real Estate'!$D$25:$BA$25, 'Real Estate'!$D29:$BA29)+_xlfn.XLOOKUP(Z$134, 'GEN-CCGT'!$D$32:$BA$32, 'GEN-CCGT'!$D36:$BA36)+_xlfn.XLOOKUP(Z$134, 'GEN-SOLAR'!$D$32:$BA$32, 'GEN-SOLAR'!$D36:$BA36)+_xlfn.XLOOKUP(Z$134, 'GEN-BESS'!$D$32:$BA$32, 'GEN-BESS'!$D36:$BA36)+_xlfn.XLOOKUP(Z$134, 'GEN-CARBON'!$D$32:$BA$32, 'GEN-CARBON'!$D36:$BA36)+_xlfn.XLOOKUP(Z$134, Load!$D$32:$BA$32, Load!$D36:$BA36)+_xlfn.XLOOKUP(Z$134, Hydrogen!$D$32:$BA$32, Hydrogen!$D36:$BA36)+_xlfn.XLOOKUP(Z$134, 'SENS Tires'!$D$32:$BA$32, 'SENS Tires'!$D36:$BA36)+_xlfn.XLOOKUP(Z$134, 'SENS Coal'!$D$32:$BA$32, 'SENS Coal'!$D36:$BA36)</f>
        <v>12190.136329972653</v>
      </c>
      <c r="AA138" s="211">
        <f>_xlfn.XLOOKUP(AA$134, 'Real Estate'!$D$25:$BA$25, 'Real Estate'!$D29:$BA29)+_xlfn.XLOOKUP(AA$134, 'GEN-CCGT'!$D$32:$BA$32, 'GEN-CCGT'!$D36:$BA36)+_xlfn.XLOOKUP(AA$134, 'GEN-SOLAR'!$D$32:$BA$32, 'GEN-SOLAR'!$D36:$BA36)+_xlfn.XLOOKUP(AA$134, 'GEN-BESS'!$D$32:$BA$32, 'GEN-BESS'!$D36:$BA36)+_xlfn.XLOOKUP(AA$134, 'GEN-CARBON'!$D$32:$BA$32, 'GEN-CARBON'!$D36:$BA36)+_xlfn.XLOOKUP(AA$134, Load!$D$32:$BA$32, Load!$D36:$BA36)+_xlfn.XLOOKUP(AA$134, Hydrogen!$D$32:$BA$32, Hydrogen!$D36:$BA36)+_xlfn.XLOOKUP(AA$134, 'SENS Tires'!$D$32:$BA$32, 'SENS Tires'!$D36:$BA36)+_xlfn.XLOOKUP(AA$134, 'SENS Coal'!$D$32:$BA$32, 'SENS Coal'!$D36:$BA36)</f>
        <v>12436.117970736237</v>
      </c>
      <c r="AB138" s="211">
        <f>_xlfn.XLOOKUP(AB$134, 'Real Estate'!$D$25:$BA$25, 'Real Estate'!$D29:$BA29)+_xlfn.XLOOKUP(AB$134, 'GEN-CCGT'!$D$32:$BA$32, 'GEN-CCGT'!$D36:$BA36)+_xlfn.XLOOKUP(AB$134, 'GEN-SOLAR'!$D$32:$BA$32, 'GEN-SOLAR'!$D36:$BA36)+_xlfn.XLOOKUP(AB$134, 'GEN-BESS'!$D$32:$BA$32, 'GEN-BESS'!$D36:$BA36)+_xlfn.XLOOKUP(AB$134, 'GEN-CARBON'!$D$32:$BA$32, 'GEN-CARBON'!$D36:$BA36)+_xlfn.XLOOKUP(AB$134, Load!$D$32:$BA$32, Load!$D36:$BA36)+_xlfn.XLOOKUP(AB$134, Hydrogen!$D$32:$BA$32, Hydrogen!$D36:$BA36)+_xlfn.XLOOKUP(AB$134, 'SENS Tires'!$D$32:$BA$32, 'SENS Tires'!$D36:$BA36)+_xlfn.XLOOKUP(AB$134, 'SENS Coal'!$D$32:$BA$32, 'SENS Coal'!$D36:$BA36)</f>
        <v>12687.086484158795</v>
      </c>
      <c r="AC138" s="211">
        <f>_xlfn.XLOOKUP(AC$134, 'Real Estate'!$D$25:$BA$25, 'Real Estate'!$D29:$BA29)+_xlfn.XLOOKUP(AC$134, 'GEN-CCGT'!$D$32:$BA$32, 'GEN-CCGT'!$D36:$BA36)+_xlfn.XLOOKUP(AC$134, 'GEN-SOLAR'!$D$32:$BA$32, 'GEN-SOLAR'!$D36:$BA36)+_xlfn.XLOOKUP(AC$134, 'GEN-BESS'!$D$32:$BA$32, 'GEN-BESS'!$D36:$BA36)+_xlfn.XLOOKUP(AC$134, 'GEN-CARBON'!$D$32:$BA$32, 'GEN-CARBON'!$D36:$BA36)+_xlfn.XLOOKUP(AC$134, Load!$D$32:$BA$32, Load!$D36:$BA36)+_xlfn.XLOOKUP(AC$134, Hydrogen!$D$32:$BA$32, Hydrogen!$D36:$BA36)+_xlfn.XLOOKUP(AC$134, 'SENS Tires'!$D$32:$BA$32, 'SENS Tires'!$D36:$BA36)+_xlfn.XLOOKUP(AC$134, 'SENS Coal'!$D$32:$BA$32, 'SENS Coal'!$D36:$BA36)</f>
        <v>12943.143711946328</v>
      </c>
      <c r="AD138" s="211">
        <f>_xlfn.XLOOKUP(AD$134, 'Real Estate'!$D$25:$BA$25, 'Real Estate'!$D29:$BA29)+_xlfn.XLOOKUP(AD$134, 'GEN-CCGT'!$D$32:$BA$32, 'GEN-CCGT'!$D36:$BA36)+_xlfn.XLOOKUP(AD$134, 'GEN-SOLAR'!$D$32:$BA$32, 'GEN-SOLAR'!$D36:$BA36)+_xlfn.XLOOKUP(AD$134, 'GEN-BESS'!$D$32:$BA$32, 'GEN-BESS'!$D36:$BA36)+_xlfn.XLOOKUP(AD$134, 'GEN-CARBON'!$D$32:$BA$32, 'GEN-CARBON'!$D36:$BA36)+_xlfn.XLOOKUP(AD$134, Load!$D$32:$BA$32, Load!$D36:$BA36)+_xlfn.XLOOKUP(AD$134, Hydrogen!$D$32:$BA$32, Hydrogen!$D36:$BA36)+_xlfn.XLOOKUP(AD$134, 'SENS Tires'!$D$32:$BA$32, 'SENS Tires'!$D36:$BA36)+_xlfn.XLOOKUP(AD$134, 'SENS Coal'!$D$32:$BA$32, 'SENS Coal'!$D36:$BA36)</f>
        <v>13204.393597056427</v>
      </c>
      <c r="AE138" s="211">
        <f>_xlfn.XLOOKUP(AE$134, 'Real Estate'!$D$25:$BA$25, 'Real Estate'!$D29:$BA29)+_xlfn.XLOOKUP(AE$134, 'GEN-CCGT'!$D$32:$BA$32, 'GEN-CCGT'!$D36:$BA36)+_xlfn.XLOOKUP(AE$134, 'GEN-SOLAR'!$D$32:$BA$32, 'GEN-SOLAR'!$D36:$BA36)+_xlfn.XLOOKUP(AE$134, 'GEN-BESS'!$D$32:$BA$32, 'GEN-BESS'!$D36:$BA36)+_xlfn.XLOOKUP(AE$134, 'GEN-CARBON'!$D$32:$BA$32, 'GEN-CARBON'!$D36:$BA36)+_xlfn.XLOOKUP(AE$134, Load!$D$32:$BA$32, Load!$D36:$BA36)+_xlfn.XLOOKUP(AE$134, Hydrogen!$D$32:$BA$32, Hydrogen!$D36:$BA36)+_xlfn.XLOOKUP(AE$134, 'SENS Tires'!$D$32:$BA$32, 'SENS Tires'!$D36:$BA36)+_xlfn.XLOOKUP(AE$134, 'SENS Coal'!$D$32:$BA$32, 'SENS Coal'!$D36:$BA36)</f>
        <v>13470.942227676913</v>
      </c>
      <c r="AF138" s="211">
        <f>_xlfn.XLOOKUP(AF$134, 'Real Estate'!$D$25:$BA$25, 'Real Estate'!$D29:$BA29)+_xlfn.XLOOKUP(AF$134, 'GEN-CCGT'!$D$32:$BA$32, 'GEN-CCGT'!$D36:$BA36)+_xlfn.XLOOKUP(AF$134, 'GEN-SOLAR'!$D$32:$BA$32, 'GEN-SOLAR'!$D36:$BA36)+_xlfn.XLOOKUP(AF$134, 'GEN-BESS'!$D$32:$BA$32, 'GEN-BESS'!$D36:$BA36)+_xlfn.XLOOKUP(AF$134, 'GEN-CARBON'!$D$32:$BA$32, 'GEN-CARBON'!$D36:$BA36)+_xlfn.XLOOKUP(AF$134, Load!$D$32:$BA$32, Load!$D36:$BA36)+_xlfn.XLOOKUP(AF$134, Hydrogen!$D$32:$BA$32, Hydrogen!$D36:$BA36)+_xlfn.XLOOKUP(AF$134, 'SENS Tires'!$D$32:$BA$32, 'SENS Tires'!$D36:$BA36)+_xlfn.XLOOKUP(AF$134, 'SENS Coal'!$D$32:$BA$32, 'SENS Coal'!$D36:$BA36)</f>
        <v>13245.434097958154</v>
      </c>
      <c r="AG138" s="211">
        <f>_xlfn.XLOOKUP(AG$134, 'Real Estate'!$D$25:$BA$25, 'Real Estate'!$D29:$BA29)+_xlfn.XLOOKUP(AG$134, 'GEN-CCGT'!$D$32:$BA$32, 'GEN-CCGT'!$D36:$BA36)+_xlfn.XLOOKUP(AG$134, 'GEN-SOLAR'!$D$32:$BA$32, 'GEN-SOLAR'!$D36:$BA36)+_xlfn.XLOOKUP(AG$134, 'GEN-BESS'!$D$32:$BA$32, 'GEN-BESS'!$D36:$BA36)+_xlfn.XLOOKUP(AG$134, 'GEN-CARBON'!$D$32:$BA$32, 'GEN-CARBON'!$D36:$BA36)+_xlfn.XLOOKUP(AG$134, Load!$D$32:$BA$32, Load!$D36:$BA36)+_xlfn.XLOOKUP(AG$134, Hydrogen!$D$32:$BA$32, Hydrogen!$D36:$BA36)+_xlfn.XLOOKUP(AG$134, 'SENS Tires'!$D$32:$BA$32, 'SENS Tires'!$D36:$BA36)+_xlfn.XLOOKUP(AG$134, 'SENS Coal'!$D$32:$BA$32, 'SENS Coal'!$D36:$BA36)</f>
        <v>13512.012369249174</v>
      </c>
      <c r="AH138" s="211">
        <f>_xlfn.XLOOKUP(AH$134, 'Real Estate'!$D$25:$BA$25, 'Real Estate'!$D29:$BA29)+_xlfn.XLOOKUP(AH$134, 'GEN-CCGT'!$D$32:$BA$32, 'GEN-CCGT'!$D36:$BA36)+_xlfn.XLOOKUP(AH$134, 'GEN-SOLAR'!$D$32:$BA$32, 'GEN-SOLAR'!$D36:$BA36)+_xlfn.XLOOKUP(AH$134, 'GEN-BESS'!$D$32:$BA$32, 'GEN-BESS'!$D36:$BA36)+_xlfn.XLOOKUP(AH$134, 'GEN-CARBON'!$D$32:$BA$32, 'GEN-CARBON'!$D36:$BA36)+_xlfn.XLOOKUP(AH$134, Load!$D$32:$BA$32, Load!$D36:$BA36)+_xlfn.XLOOKUP(AH$134, Hydrogen!$D$32:$BA$32, Hydrogen!$D36:$BA36)+_xlfn.XLOOKUP(AH$134, 'SENS Tires'!$D$32:$BA$32, 'SENS Tires'!$D36:$BA36)+_xlfn.XLOOKUP(AH$134, 'SENS Coal'!$D$32:$BA$32, 'SENS Coal'!$D36:$BA36)</f>
        <v>13745.722802805476</v>
      </c>
      <c r="AI138" s="211">
        <f>_xlfn.XLOOKUP(AI$134, 'Real Estate'!$D$25:$BA$25, 'Real Estate'!$D29:$BA29)+_xlfn.XLOOKUP(AI$134, 'GEN-CCGT'!$D$32:$BA$32, 'GEN-CCGT'!$D36:$BA36)+_xlfn.XLOOKUP(AI$134, 'GEN-SOLAR'!$D$32:$BA$32, 'GEN-SOLAR'!$D36:$BA36)+_xlfn.XLOOKUP(AI$134, 'GEN-BESS'!$D$32:$BA$32, 'GEN-BESS'!$D36:$BA36)+_xlfn.XLOOKUP(AI$134, 'GEN-CARBON'!$D$32:$BA$32, 'GEN-CARBON'!$D36:$BA36)+_xlfn.XLOOKUP(AI$134, Load!$D$32:$BA$32, Load!$D36:$BA36)+_xlfn.XLOOKUP(AI$134, Hydrogen!$D$32:$BA$32, Hydrogen!$D36:$BA36)+_xlfn.XLOOKUP(AI$134, 'SENS Tires'!$D$32:$BA$32, 'SENS Tires'!$D36:$BA36)+_xlfn.XLOOKUP(AI$134, 'SENS Coal'!$D$32:$BA$32, 'SENS Coal'!$D36:$BA36)</f>
        <v>13960.249250044348</v>
      </c>
      <c r="AJ138" s="211">
        <f>_xlfn.XLOOKUP(AJ$134, 'Real Estate'!$D$25:$BA$25, 'Real Estate'!$D29:$BA29)+_xlfn.XLOOKUP(AJ$134, 'GEN-CCGT'!$D$32:$BA$32, 'GEN-CCGT'!$D36:$BA36)+_xlfn.XLOOKUP(AJ$134, 'GEN-SOLAR'!$D$32:$BA$32, 'GEN-SOLAR'!$D36:$BA36)+_xlfn.XLOOKUP(AJ$134, 'GEN-BESS'!$D$32:$BA$32, 'GEN-BESS'!$D36:$BA36)+_xlfn.XLOOKUP(AJ$134, 'GEN-CARBON'!$D$32:$BA$32, 'GEN-CARBON'!$D36:$BA36)+_xlfn.XLOOKUP(AJ$134, Load!$D$32:$BA$32, Load!$D36:$BA36)+_xlfn.XLOOKUP(AJ$134, Hydrogen!$D$32:$BA$32, Hydrogen!$D36:$BA36)+_xlfn.XLOOKUP(AJ$134, 'SENS Tires'!$D$32:$BA$32, 'SENS Tires'!$D36:$BA36)+_xlfn.XLOOKUP(AJ$134, 'SENS Coal'!$D$32:$BA$32, 'SENS Coal'!$D36:$BA36)</f>
        <v>14241.641729181283</v>
      </c>
      <c r="AK138" s="211">
        <f>_xlfn.XLOOKUP(AK$134, 'Real Estate'!$D$25:$BA$25, 'Real Estate'!$D29:$BA29)+_xlfn.XLOOKUP(AK$134, 'GEN-CCGT'!$D$32:$BA$32, 'GEN-CCGT'!$D36:$BA36)+_xlfn.XLOOKUP(AK$134, 'GEN-SOLAR'!$D$32:$BA$32, 'GEN-SOLAR'!$D36:$BA36)+_xlfn.XLOOKUP(AK$134, 'GEN-BESS'!$D$32:$BA$32, 'GEN-BESS'!$D36:$BA36)+_xlfn.XLOOKUP(AK$134, 'GEN-CARBON'!$D$32:$BA$32, 'GEN-CARBON'!$D36:$BA36)+_xlfn.XLOOKUP(AK$134, Load!$D$32:$BA$32, Load!$D36:$BA36)+_xlfn.XLOOKUP(AK$134, Hydrogen!$D$32:$BA$32, Hydrogen!$D36:$BA36)+_xlfn.XLOOKUP(AK$134, 'SENS Tires'!$D$32:$BA$32, 'SENS Tires'!$D36:$BA36)+_xlfn.XLOOKUP(AK$134, 'SENS Coal'!$D$32:$BA$32, 'SENS Coal'!$D36:$BA36)</f>
        <v>14528.727682725037</v>
      </c>
      <c r="AL138" s="211">
        <f>_xlfn.XLOOKUP(AL$134, 'Real Estate'!$D$25:$BA$25, 'Real Estate'!$D29:$BA29)+_xlfn.XLOOKUP(AL$134, 'GEN-CCGT'!$D$32:$BA$32, 'GEN-CCGT'!$D36:$BA36)+_xlfn.XLOOKUP(AL$134, 'GEN-SOLAR'!$D$32:$BA$32, 'GEN-SOLAR'!$D36:$BA36)+_xlfn.XLOOKUP(AL$134, 'GEN-BESS'!$D$32:$BA$32, 'GEN-BESS'!$D36:$BA36)+_xlfn.XLOOKUP(AL$134, 'GEN-CARBON'!$D$32:$BA$32, 'GEN-CARBON'!$D36:$BA36)+_xlfn.XLOOKUP(AL$134, Load!$D$32:$BA$32, Load!$D36:$BA36)+_xlfn.XLOOKUP(AL$134, Hydrogen!$D$32:$BA$32, Hydrogen!$D36:$BA36)+_xlfn.XLOOKUP(AL$134, 'SENS Tires'!$D$32:$BA$32, 'SENS Tires'!$D36:$BA36)+_xlfn.XLOOKUP(AL$134, 'SENS Coal'!$D$32:$BA$32, 'SENS Coal'!$D36:$BA36)</f>
        <v>14821.622948908476</v>
      </c>
      <c r="AM138" s="211">
        <f>_xlfn.XLOOKUP(AM$134, 'Real Estate'!$D$25:$BA$25, 'Real Estate'!$D29:$BA29)+_xlfn.XLOOKUP(AM$134, 'GEN-CCGT'!$D$32:$BA$32, 'GEN-CCGT'!$D36:$BA36)+_xlfn.XLOOKUP(AM$134, 'GEN-SOLAR'!$D$32:$BA$32, 'GEN-SOLAR'!$D36:$BA36)+_xlfn.XLOOKUP(AM$134, 'GEN-BESS'!$D$32:$BA$32, 'GEN-BESS'!$D36:$BA36)+_xlfn.XLOOKUP(AM$134, 'GEN-CARBON'!$D$32:$BA$32, 'GEN-CARBON'!$D36:$BA36)+_xlfn.XLOOKUP(AM$134, Load!$D$32:$BA$32, Load!$D36:$BA36)+_xlfn.XLOOKUP(AM$134, Hydrogen!$D$32:$BA$32, Hydrogen!$D36:$BA36)+_xlfn.XLOOKUP(AM$134, 'SENS Tires'!$D$32:$BA$32, 'SENS Tires'!$D36:$BA36)+_xlfn.XLOOKUP(AM$134, 'SENS Coal'!$D$32:$BA$32, 'SENS Coal'!$D36:$BA36)</f>
        <v>15120.445741791449</v>
      </c>
      <c r="AN138" s="211">
        <f>_xlfn.XLOOKUP(AN$134, 'Real Estate'!$D$25:$BA$25, 'Real Estate'!$D29:$BA29)+_xlfn.XLOOKUP(AN$134, 'GEN-CCGT'!$D$32:$BA$32, 'GEN-CCGT'!$D36:$BA36)+_xlfn.XLOOKUP(AN$134, 'GEN-SOLAR'!$D$32:$BA$32, 'GEN-SOLAR'!$D36:$BA36)+_xlfn.XLOOKUP(AN$134, 'GEN-BESS'!$D$32:$BA$32, 'GEN-BESS'!$D36:$BA36)+_xlfn.XLOOKUP(AN$134, 'GEN-CARBON'!$D$32:$BA$32, 'GEN-CARBON'!$D36:$BA36)+_xlfn.XLOOKUP(AN$134, Load!$D$32:$BA$32, Load!$D36:$BA36)+_xlfn.XLOOKUP(AN$134, Hydrogen!$D$32:$BA$32, Hydrogen!$D36:$BA36)+_xlfn.XLOOKUP(AN$134, 'SENS Tires'!$D$32:$BA$32, 'SENS Tires'!$D36:$BA36)+_xlfn.XLOOKUP(AN$134, 'SENS Coal'!$D$32:$BA$32, 'SENS Coal'!$D36:$BA36)</f>
        <v>15425.316700549221</v>
      </c>
      <c r="AO138" s="211">
        <f>_xlfn.XLOOKUP(AO$134, 'Real Estate'!$D$25:$BA$25, 'Real Estate'!$D29:$BA29)+_xlfn.XLOOKUP(AO$134, 'GEN-CCGT'!$D$32:$BA$32, 'GEN-CCGT'!$D36:$BA36)+_xlfn.XLOOKUP(AO$134, 'GEN-SOLAR'!$D$32:$BA$32, 'GEN-SOLAR'!$D36:$BA36)+_xlfn.XLOOKUP(AO$134, 'GEN-BESS'!$D$32:$BA$32, 'GEN-BESS'!$D36:$BA36)+_xlfn.XLOOKUP(AO$134, 'GEN-CARBON'!$D$32:$BA$32, 'GEN-CARBON'!$D36:$BA36)+_xlfn.XLOOKUP(AO$134, Load!$D$32:$BA$32, Load!$D36:$BA36)+_xlfn.XLOOKUP(AO$134, Hydrogen!$D$32:$BA$32, Hydrogen!$D36:$BA36)+_xlfn.XLOOKUP(AO$134, 'SENS Tires'!$D$32:$BA$32, 'SENS Tires'!$D36:$BA36)+_xlfn.XLOOKUP(AO$134, 'SENS Coal'!$D$32:$BA$32, 'SENS Coal'!$D36:$BA36)</f>
        <v>15736.358939799808</v>
      </c>
      <c r="AP138" s="211">
        <f>_xlfn.XLOOKUP(AP$134, 'Real Estate'!$D$25:$BA$25, 'Real Estate'!$D29:$BA29)+_xlfn.XLOOKUP(AP$134, 'GEN-CCGT'!$D$32:$BA$32, 'GEN-CCGT'!$D36:$BA36)+_xlfn.XLOOKUP(AP$134, 'GEN-SOLAR'!$D$32:$BA$32, 'GEN-SOLAR'!$D36:$BA36)+_xlfn.XLOOKUP(AP$134, 'GEN-BESS'!$D$32:$BA$32, 'GEN-BESS'!$D36:$BA36)+_xlfn.XLOOKUP(AP$134, 'GEN-CARBON'!$D$32:$BA$32, 'GEN-CARBON'!$D36:$BA36)+_xlfn.XLOOKUP(AP$134, Load!$D$32:$BA$32, Load!$D36:$BA36)+_xlfn.XLOOKUP(AP$134, Hydrogen!$D$32:$BA$32, Hydrogen!$D36:$BA36)+_xlfn.XLOOKUP(AP$134, 'SENS Tires'!$D$32:$BA$32, 'SENS Tires'!$D36:$BA36)+_xlfn.XLOOKUP(AP$134, 'SENS Coal'!$D$32:$BA$32, 'SENS Coal'!$D36:$BA36)</f>
        <v>16053.698100992597</v>
      </c>
      <c r="AQ138" s="211">
        <f>_xlfn.XLOOKUP(AQ$134, 'Real Estate'!$D$25:$BA$25, 'Real Estate'!$D29:$BA29)+_xlfn.XLOOKUP(AQ$134, 'GEN-CCGT'!$D$32:$BA$32, 'GEN-CCGT'!$D36:$BA36)+_xlfn.XLOOKUP(AQ$134, 'GEN-SOLAR'!$D$32:$BA$32, 'GEN-SOLAR'!$D36:$BA36)+_xlfn.XLOOKUP(AQ$134, 'GEN-BESS'!$D$32:$BA$32, 'GEN-BESS'!$D36:$BA36)+_xlfn.XLOOKUP(AQ$134, 'GEN-CARBON'!$D$32:$BA$32, 'GEN-CARBON'!$D36:$BA36)+_xlfn.XLOOKUP(AQ$134, Load!$D$32:$BA$32, Load!$D36:$BA36)+_xlfn.XLOOKUP(AQ$134, Hydrogen!$D$32:$BA$32, Hydrogen!$D36:$BA36)+_xlfn.XLOOKUP(AQ$134, 'SENS Tires'!$D$32:$BA$32, 'SENS Tires'!$D36:$BA36)+_xlfn.XLOOKUP(AQ$134, 'SENS Coal'!$D$32:$BA$32, 'SENS Coal'!$D36:$BA36)</f>
        <v>16377.462404881146</v>
      </c>
      <c r="AR138" s="211">
        <f>_xlfn.XLOOKUP(AR$134, 'Real Estate'!$D$25:$BA$25, 'Real Estate'!$D29:$BA29)+_xlfn.XLOOKUP(AR$134, 'GEN-CCGT'!$D$32:$BA$32, 'GEN-CCGT'!$D36:$BA36)+_xlfn.XLOOKUP(AR$134, 'GEN-SOLAR'!$D$32:$BA$32, 'GEN-SOLAR'!$D36:$BA36)+_xlfn.XLOOKUP(AR$134, 'GEN-BESS'!$D$32:$BA$32, 'GEN-BESS'!$D36:$BA36)+_xlfn.XLOOKUP(AR$134, 'GEN-CARBON'!$D$32:$BA$32, 'GEN-CARBON'!$D36:$BA36)+_xlfn.XLOOKUP(AR$134, Load!$D$32:$BA$32, Load!$D36:$BA36)+_xlfn.XLOOKUP(AR$134, Hydrogen!$D$32:$BA$32, Hydrogen!$D36:$BA36)+_xlfn.XLOOKUP(AR$134, 'SENS Tires'!$D$32:$BA$32, 'SENS Tires'!$D36:$BA36)+_xlfn.XLOOKUP(AR$134, 'SENS Coal'!$D$32:$BA$32, 'SENS Coal'!$D36:$BA36)</f>
        <v>16795.221923529964</v>
      </c>
      <c r="AS138" s="211">
        <f>_xlfn.XLOOKUP(AS$134, 'Real Estate'!$D$25:$BA$25, 'Real Estate'!$D29:$BA29)+_xlfn.XLOOKUP(AS$134, 'GEN-CCGT'!$D$32:$BA$32, 'GEN-CCGT'!$D36:$BA36)+_xlfn.XLOOKUP(AS$134, 'GEN-SOLAR'!$D$32:$BA$32, 'GEN-SOLAR'!$D36:$BA36)+_xlfn.XLOOKUP(AS$134, 'GEN-BESS'!$D$32:$BA$32, 'GEN-BESS'!$D36:$BA36)+_xlfn.XLOOKUP(AS$134, 'GEN-CARBON'!$D$32:$BA$32, 'GEN-CARBON'!$D36:$BA36)+_xlfn.XLOOKUP(AS$134, Load!$D$32:$BA$32, Load!$D36:$BA36)+_xlfn.XLOOKUP(AS$134, Hydrogen!$D$32:$BA$32, Hydrogen!$D36:$BA36)+_xlfn.XLOOKUP(AS$134, 'SENS Tires'!$D$32:$BA$32, 'SENS Tires'!$D36:$BA36)+_xlfn.XLOOKUP(AS$134, 'SENS Coal'!$D$32:$BA$32, 'SENS Coal'!$D36:$BA36)</f>
        <v>17044.792542894091</v>
      </c>
      <c r="AT138" s="211">
        <f>_xlfn.XLOOKUP(AT$134, 'Real Estate'!$D$25:$BA$25, 'Real Estate'!$D29:$BA29)+_xlfn.XLOOKUP(AT$134, 'GEN-CCGT'!$D$32:$BA$32, 'GEN-CCGT'!$D36:$BA36)+_xlfn.XLOOKUP(AT$134, 'GEN-SOLAR'!$D$32:$BA$32, 'GEN-SOLAR'!$D36:$BA36)+_xlfn.XLOOKUP(AT$134, 'GEN-BESS'!$D$32:$BA$32, 'GEN-BESS'!$D36:$BA36)+_xlfn.XLOOKUP(AT$134, 'GEN-CARBON'!$D$32:$BA$32, 'GEN-CARBON'!$D36:$BA36)+_xlfn.XLOOKUP(AT$134, Load!$D$32:$BA$32, Load!$D36:$BA36)+_xlfn.XLOOKUP(AT$134, Hydrogen!$D$32:$BA$32, Hydrogen!$D36:$BA36)+_xlfn.XLOOKUP(AT$134, 'SENS Tires'!$D$32:$BA$32, 'SENS Tires'!$D36:$BA36)+_xlfn.XLOOKUP(AT$134, 'SENS Coal'!$D$32:$BA$32, 'SENS Coal'!$D36:$BA36)</f>
        <v>17388.628202951135</v>
      </c>
      <c r="AU138" s="211">
        <f>_xlfn.XLOOKUP(AU$134, 'Real Estate'!$D$25:$BA$25, 'Real Estate'!$D29:$BA29)+_xlfn.XLOOKUP(AU$134, 'GEN-CCGT'!$D$32:$BA$32, 'GEN-CCGT'!$D36:$BA36)+_xlfn.XLOOKUP(AU$134, 'GEN-SOLAR'!$D$32:$BA$32, 'GEN-SOLAR'!$D36:$BA36)+_xlfn.XLOOKUP(AU$134, 'GEN-BESS'!$D$32:$BA$32, 'GEN-BESS'!$D36:$BA36)+_xlfn.XLOOKUP(AU$134, 'GEN-CARBON'!$D$32:$BA$32, 'GEN-CARBON'!$D36:$BA36)+_xlfn.XLOOKUP(AU$134, Load!$D$32:$BA$32, Load!$D36:$BA36)+_xlfn.XLOOKUP(AU$134, Hydrogen!$D$32:$BA$32, Hydrogen!$D36:$BA36)+_xlfn.XLOOKUP(AU$134, 'SENS Tires'!$D$32:$BA$32, 'SENS Tires'!$D36:$BA36)+_xlfn.XLOOKUP(AU$134, 'SENS Coal'!$D$32:$BA$32, 'SENS Coal'!$D36:$BA36)</f>
        <v>17739.428770485283</v>
      </c>
      <c r="AV138" s="211">
        <f>_xlfn.XLOOKUP(AV$134, 'Real Estate'!$D$25:$BA$25, 'Real Estate'!$D29:$BA29)+_xlfn.XLOOKUP(AV$134, 'GEN-CCGT'!$D$32:$BA$32, 'GEN-CCGT'!$D36:$BA36)+_xlfn.XLOOKUP(AV$134, 'GEN-SOLAR'!$D$32:$BA$32, 'GEN-SOLAR'!$D36:$BA36)+_xlfn.XLOOKUP(AV$134, 'GEN-BESS'!$D$32:$BA$32, 'GEN-BESS'!$D36:$BA36)+_xlfn.XLOOKUP(AV$134, 'GEN-CARBON'!$D$32:$BA$32, 'GEN-CARBON'!$D36:$BA36)+_xlfn.XLOOKUP(AV$134, Load!$D$32:$BA$32, Load!$D36:$BA36)+_xlfn.XLOOKUP(AV$134, Hydrogen!$D$32:$BA$32, Hydrogen!$D36:$BA36)+_xlfn.XLOOKUP(AV$134, 'SENS Tires'!$D$32:$BA$32, 'SENS Tires'!$D36:$BA36)+_xlfn.XLOOKUP(AV$134, 'SENS Coal'!$D$32:$BA$32, 'SENS Coal'!$D36:$BA36)</f>
        <v>18097.336189474376</v>
      </c>
      <c r="AW138" s="211">
        <f>_xlfn.XLOOKUP(AW$134, 'Real Estate'!$D$25:$BA$25, 'Real Estate'!$D29:$BA29)+_xlfn.XLOOKUP(AW$134, 'GEN-CCGT'!$D$32:$BA$32, 'GEN-CCGT'!$D36:$BA36)+_xlfn.XLOOKUP(AW$134, 'GEN-SOLAR'!$D$32:$BA$32, 'GEN-SOLAR'!$D36:$BA36)+_xlfn.XLOOKUP(AW$134, 'GEN-BESS'!$D$32:$BA$32, 'GEN-BESS'!$D36:$BA36)+_xlfn.XLOOKUP(AW$134, 'GEN-CARBON'!$D$32:$BA$32, 'GEN-CARBON'!$D36:$BA36)+_xlfn.XLOOKUP(AW$134, Load!$D$32:$BA$32, Load!$D36:$BA36)+_xlfn.XLOOKUP(AW$134, Hydrogen!$D$32:$BA$32, Hydrogen!$D36:$BA36)+_xlfn.XLOOKUP(AW$134, 'SENS Tires'!$D$32:$BA$32, 'SENS Tires'!$D36:$BA36)+_xlfn.XLOOKUP(AW$134, 'SENS Coal'!$D$32:$BA$32, 'SENS Coal'!$D36:$BA36)</f>
        <v>18462.495322150622</v>
      </c>
      <c r="AX138" s="211">
        <f>_xlfn.XLOOKUP(AX$134, 'Real Estate'!$D$25:$BA$25, 'Real Estate'!$D29:$BA29)+_xlfn.XLOOKUP(AX$134, 'GEN-CCGT'!$D$32:$BA$32, 'GEN-CCGT'!$D36:$BA36)+_xlfn.XLOOKUP(AX$134, 'GEN-SOLAR'!$D$32:$BA$32, 'GEN-SOLAR'!$D36:$BA36)+_xlfn.XLOOKUP(AX$134, 'GEN-BESS'!$D$32:$BA$32, 'GEN-BESS'!$D36:$BA36)+_xlfn.XLOOKUP(AX$134, 'GEN-CARBON'!$D$32:$BA$32, 'GEN-CARBON'!$D36:$BA36)+_xlfn.XLOOKUP(AX$134, Load!$D$32:$BA$32, Load!$D36:$BA36)+_xlfn.XLOOKUP(AX$134, Hydrogen!$D$32:$BA$32, Hydrogen!$D36:$BA36)+_xlfn.XLOOKUP(AX$134, 'SENS Tires'!$D$32:$BA$32, 'SENS Tires'!$D36:$BA36)+_xlfn.XLOOKUP(AX$134, 'SENS Coal'!$D$32:$BA$32, 'SENS Coal'!$D36:$BA36)</f>
        <v>18835.054009747011</v>
      </c>
    </row>
    <row r="139" spans="1:50" ht="14.25" customHeight="1">
      <c r="A139" s="1"/>
      <c r="B139" s="84"/>
      <c r="C139" s="212" t="s">
        <v>405</v>
      </c>
      <c r="D139" s="249"/>
      <c r="E139" s="456">
        <f>_xlfn.XLOOKUP(E$134, 'Real Estate'!$D$25:$BA$25, 'Real Estate'!$D30:$BA30)+_xlfn.XLOOKUP(E$134, 'GEN-CCGT'!$D$32:$BA$32, 'GEN-CCGT'!$D37:$BA37)+_xlfn.XLOOKUP(E$134, 'GEN-SOLAR'!$D$32:$BA$32, 'GEN-SOLAR'!$D37:$BA37)+_xlfn.XLOOKUP(E$134, 'GEN-BESS'!$D$32:$BA$32, 'GEN-BESS'!$D37:$BA37)+_xlfn.XLOOKUP(E$134, 'GEN-CARBON'!$D$32:$BA$32, 'GEN-CARBON'!$D37:$BA37)+_xlfn.XLOOKUP(E$134, Load!$D$32:$BA$32, Load!$D37:$BA37)+_xlfn.XLOOKUP(E$134, Hydrogen!$D$32:$BA$32, Hydrogen!$D37:$BA37)+_xlfn.XLOOKUP(E$134, 'SENS Tires'!$D$32:$BA$32, 'SENS Tires'!$D37:$BA37)+_xlfn.XLOOKUP(E$134, 'SENS Coal'!$D$32:$BA$32, 'SENS Coal'!$D37:$BA37)</f>
        <v>0</v>
      </c>
      <c r="F139" s="456">
        <f>_xlfn.XLOOKUP(F$134, 'Real Estate'!$D$25:$BA$25, 'Real Estate'!$D30:$BA30)+_xlfn.XLOOKUP(F$134, 'GEN-CCGT'!$D$32:$BA$32, 'GEN-CCGT'!$D37:$BA37)+_xlfn.XLOOKUP(F$134, 'GEN-SOLAR'!$D$32:$BA$32, 'GEN-SOLAR'!$D37:$BA37)+_xlfn.XLOOKUP(F$134, 'GEN-BESS'!$D$32:$BA$32, 'GEN-BESS'!$D37:$BA37)+_xlfn.XLOOKUP(F$134, 'GEN-CARBON'!$D$32:$BA$32, 'GEN-CARBON'!$D37:$BA37)+_xlfn.XLOOKUP(F$134, Load!$D$32:$BA$32, Load!$D37:$BA37)+_xlfn.XLOOKUP(F$134, Hydrogen!$D$32:$BA$32, Hydrogen!$D37:$BA37)+_xlfn.XLOOKUP(F$134, 'SENS Tires'!$D$32:$BA$32, 'SENS Tires'!$D37:$BA37)+_xlfn.XLOOKUP(F$134, 'SENS Coal'!$D$32:$BA$32, 'SENS Coal'!$D37:$BA37)</f>
        <v>0</v>
      </c>
      <c r="G139" s="456">
        <f>_xlfn.XLOOKUP(G$134, 'Real Estate'!$D$25:$BA$25, 'Real Estate'!$D30:$BA30)+_xlfn.XLOOKUP(G$134, 'GEN-CCGT'!$D$32:$BA$32, 'GEN-CCGT'!$D37:$BA37)+_xlfn.XLOOKUP(G$134, 'GEN-SOLAR'!$D$32:$BA$32, 'GEN-SOLAR'!$D37:$BA37)+_xlfn.XLOOKUP(G$134, 'GEN-BESS'!$D$32:$BA$32, 'GEN-BESS'!$D37:$BA37)+_xlfn.XLOOKUP(G$134, 'GEN-CARBON'!$D$32:$BA$32, 'GEN-CARBON'!$D37:$BA37)+_xlfn.XLOOKUP(G$134, Load!$D$32:$BA$32, Load!$D37:$BA37)+_xlfn.XLOOKUP(G$134, Hydrogen!$D$32:$BA$32, Hydrogen!$D37:$BA37)+_xlfn.XLOOKUP(G$134, 'SENS Tires'!$D$32:$BA$32, 'SENS Tires'!$D37:$BA37)+_xlfn.XLOOKUP(G$134, 'SENS Coal'!$D$32:$BA$32, 'SENS Coal'!$D37:$BA37)</f>
        <v>1124.9548630136987</v>
      </c>
      <c r="H139" s="456">
        <f>_xlfn.XLOOKUP(H$134, 'Real Estate'!$D$25:$BA$25, 'Real Estate'!$D30:$BA30)+_xlfn.XLOOKUP(H$134, 'GEN-CCGT'!$D$32:$BA$32, 'GEN-CCGT'!$D37:$BA37)+_xlfn.XLOOKUP(H$134, 'GEN-SOLAR'!$D$32:$BA$32, 'GEN-SOLAR'!$D37:$BA37)+_xlfn.XLOOKUP(H$134, 'GEN-BESS'!$D$32:$BA$32, 'GEN-BESS'!$D37:$BA37)+_xlfn.XLOOKUP(H$134, 'GEN-CARBON'!$D$32:$BA$32, 'GEN-CARBON'!$D37:$BA37)+_xlfn.XLOOKUP(H$134, Load!$D$32:$BA$32, Load!$D37:$BA37)+_xlfn.XLOOKUP(H$134, Hydrogen!$D$32:$BA$32, Hydrogen!$D37:$BA37)+_xlfn.XLOOKUP(H$134, 'SENS Tires'!$D$32:$BA$32, 'SENS Tires'!$D37:$BA37)+_xlfn.XLOOKUP(H$134, 'SENS Coal'!$D$32:$BA$32, 'SENS Coal'!$D37:$BA37)</f>
        <v>1124.9548630136987</v>
      </c>
      <c r="I139" s="456">
        <f>_xlfn.XLOOKUP(I$134, 'Real Estate'!$D$25:$BA$25, 'Real Estate'!$D30:$BA30)+_xlfn.XLOOKUP(I$134, 'GEN-CCGT'!$D$32:$BA$32, 'GEN-CCGT'!$D37:$BA37)+_xlfn.XLOOKUP(I$134, 'GEN-SOLAR'!$D$32:$BA$32, 'GEN-SOLAR'!$D37:$BA37)+_xlfn.XLOOKUP(I$134, 'GEN-BESS'!$D$32:$BA$32, 'GEN-BESS'!$D37:$BA37)+_xlfn.XLOOKUP(I$134, 'GEN-CARBON'!$D$32:$BA$32, 'GEN-CARBON'!$D37:$BA37)+_xlfn.XLOOKUP(I$134, Load!$D$32:$BA$32, Load!$D37:$BA37)+_xlfn.XLOOKUP(I$134, Hydrogen!$D$32:$BA$32, Hydrogen!$D37:$BA37)+_xlfn.XLOOKUP(I$134, 'SENS Tires'!$D$32:$BA$32, 'SENS Tires'!$D37:$BA37)+_xlfn.XLOOKUP(I$134, 'SENS Coal'!$D$32:$BA$32, 'SENS Coal'!$D37:$BA37)</f>
        <v>1129.1348630136986</v>
      </c>
      <c r="J139" s="456">
        <f>_xlfn.XLOOKUP(J$134, 'Real Estate'!$D$25:$BA$25, 'Real Estate'!$D30:$BA30)+_xlfn.XLOOKUP(J$134, 'GEN-CCGT'!$D$32:$BA$32, 'GEN-CCGT'!$D37:$BA37)+_xlfn.XLOOKUP(J$134, 'GEN-SOLAR'!$D$32:$BA$32, 'GEN-SOLAR'!$D37:$BA37)+_xlfn.XLOOKUP(J$134, 'GEN-BESS'!$D$32:$BA$32, 'GEN-BESS'!$D37:$BA37)+_xlfn.XLOOKUP(J$134, 'GEN-CARBON'!$D$32:$BA$32, 'GEN-CARBON'!$D37:$BA37)+_xlfn.XLOOKUP(J$134, Load!$D$32:$BA$32, Load!$D37:$BA37)+_xlfn.XLOOKUP(J$134, Hydrogen!$D$32:$BA$32, Hydrogen!$D37:$BA37)+_xlfn.XLOOKUP(J$134, 'SENS Tires'!$D$32:$BA$32, 'SENS Tires'!$D37:$BA37)+_xlfn.XLOOKUP(J$134, 'SENS Coal'!$D$32:$BA$32, 'SENS Coal'!$D37:$BA37)</f>
        <v>1142.8148630136986</v>
      </c>
      <c r="K139" s="456">
        <f>_xlfn.XLOOKUP(K$134, 'Real Estate'!$D$25:$BA$25, 'Real Estate'!$D30:$BA30)+_xlfn.XLOOKUP(K$134, 'GEN-CCGT'!$D$32:$BA$32, 'GEN-CCGT'!$D37:$BA37)+_xlfn.XLOOKUP(K$134, 'GEN-SOLAR'!$D$32:$BA$32, 'GEN-SOLAR'!$D37:$BA37)+_xlfn.XLOOKUP(K$134, 'GEN-BESS'!$D$32:$BA$32, 'GEN-BESS'!$D37:$BA37)+_xlfn.XLOOKUP(K$134, 'GEN-CARBON'!$D$32:$BA$32, 'GEN-CARBON'!$D37:$BA37)+_xlfn.XLOOKUP(K$134, Load!$D$32:$BA$32, Load!$D37:$BA37)+_xlfn.XLOOKUP(K$134, Hydrogen!$D$32:$BA$32, Hydrogen!$D37:$BA37)+_xlfn.XLOOKUP(K$134, 'SENS Tires'!$D$32:$BA$32, 'SENS Tires'!$D37:$BA37)+_xlfn.XLOOKUP(K$134, 'SENS Coal'!$D$32:$BA$32, 'SENS Coal'!$D37:$BA37)</f>
        <v>1142.8148630136986</v>
      </c>
      <c r="L139" s="456">
        <f>_xlfn.XLOOKUP(L$134, 'Real Estate'!$D$25:$BA$25, 'Real Estate'!$D30:$BA30)+_xlfn.XLOOKUP(L$134, 'GEN-CCGT'!$D$32:$BA$32, 'GEN-CCGT'!$D37:$BA37)+_xlfn.XLOOKUP(L$134, 'GEN-SOLAR'!$D$32:$BA$32, 'GEN-SOLAR'!$D37:$BA37)+_xlfn.XLOOKUP(L$134, 'GEN-BESS'!$D$32:$BA$32, 'GEN-BESS'!$D37:$BA37)+_xlfn.XLOOKUP(L$134, 'GEN-CARBON'!$D$32:$BA$32, 'GEN-CARBON'!$D37:$BA37)+_xlfn.XLOOKUP(L$134, Load!$D$32:$BA$32, Load!$D37:$BA37)+_xlfn.XLOOKUP(L$134, Hydrogen!$D$32:$BA$32, Hydrogen!$D37:$BA37)+_xlfn.XLOOKUP(L$134, 'SENS Tires'!$D$32:$BA$32, 'SENS Tires'!$D37:$BA37)+_xlfn.XLOOKUP(L$134, 'SENS Coal'!$D$32:$BA$32, 'SENS Coal'!$D37:$BA37)</f>
        <v>1142.8148630136986</v>
      </c>
      <c r="M139" s="456">
        <f>_xlfn.XLOOKUP(M$134, 'Real Estate'!$D$25:$BA$25, 'Real Estate'!$D30:$BA30)+_xlfn.XLOOKUP(M$134, 'GEN-CCGT'!$D$32:$BA$32, 'GEN-CCGT'!$D37:$BA37)+_xlfn.XLOOKUP(M$134, 'GEN-SOLAR'!$D$32:$BA$32, 'GEN-SOLAR'!$D37:$BA37)+_xlfn.XLOOKUP(M$134, 'GEN-BESS'!$D$32:$BA$32, 'GEN-BESS'!$D37:$BA37)+_xlfn.XLOOKUP(M$134, 'GEN-CARBON'!$D$32:$BA$32, 'GEN-CARBON'!$D37:$BA37)+_xlfn.XLOOKUP(M$134, Load!$D$32:$BA$32, Load!$D37:$BA37)+_xlfn.XLOOKUP(M$134, Hydrogen!$D$32:$BA$32, Hydrogen!$D37:$BA37)+_xlfn.XLOOKUP(M$134, 'SENS Tires'!$D$32:$BA$32, 'SENS Tires'!$D37:$BA37)+_xlfn.XLOOKUP(M$134, 'SENS Coal'!$D$32:$BA$32, 'SENS Coal'!$D37:$BA37)</f>
        <v>1142.8148630136986</v>
      </c>
      <c r="N139" s="456">
        <f>_xlfn.XLOOKUP(N$134, 'Real Estate'!$D$25:$BA$25, 'Real Estate'!$D30:$BA30)+_xlfn.XLOOKUP(N$134, 'GEN-CCGT'!$D$32:$BA$32, 'GEN-CCGT'!$D37:$BA37)+_xlfn.XLOOKUP(N$134, 'GEN-SOLAR'!$D$32:$BA$32, 'GEN-SOLAR'!$D37:$BA37)+_xlfn.XLOOKUP(N$134, 'GEN-BESS'!$D$32:$BA$32, 'GEN-BESS'!$D37:$BA37)+_xlfn.XLOOKUP(N$134, 'GEN-CARBON'!$D$32:$BA$32, 'GEN-CARBON'!$D37:$BA37)+_xlfn.XLOOKUP(N$134, Load!$D$32:$BA$32, Load!$D37:$BA37)+_xlfn.XLOOKUP(N$134, Hydrogen!$D$32:$BA$32, Hydrogen!$D37:$BA37)+_xlfn.XLOOKUP(N$134, 'SENS Tires'!$D$32:$BA$32, 'SENS Tires'!$D37:$BA37)+_xlfn.XLOOKUP(N$134, 'SENS Coal'!$D$32:$BA$32, 'SENS Coal'!$D37:$BA37)</f>
        <v>1142.8148630136986</v>
      </c>
      <c r="O139" s="456">
        <f>_xlfn.XLOOKUP(O$134, 'Real Estate'!$D$25:$BA$25, 'Real Estate'!$D30:$BA30)+_xlfn.XLOOKUP(O$134, 'GEN-CCGT'!$D$32:$BA$32, 'GEN-CCGT'!$D37:$BA37)+_xlfn.XLOOKUP(O$134, 'GEN-SOLAR'!$D$32:$BA$32, 'GEN-SOLAR'!$D37:$BA37)+_xlfn.XLOOKUP(O$134, 'GEN-BESS'!$D$32:$BA$32, 'GEN-BESS'!$D37:$BA37)+_xlfn.XLOOKUP(O$134, 'GEN-CARBON'!$D$32:$BA$32, 'GEN-CARBON'!$D37:$BA37)+_xlfn.XLOOKUP(O$134, Load!$D$32:$BA$32, Load!$D37:$BA37)+_xlfn.XLOOKUP(O$134, Hydrogen!$D$32:$BA$32, Hydrogen!$D37:$BA37)+_xlfn.XLOOKUP(O$134, 'SENS Tires'!$D$32:$BA$32, 'SENS Tires'!$D37:$BA37)+_xlfn.XLOOKUP(O$134, 'SENS Coal'!$D$32:$BA$32, 'SENS Coal'!$D37:$BA37)</f>
        <v>1142.8148630136986</v>
      </c>
      <c r="P139" s="456">
        <f>_xlfn.XLOOKUP(P$134, 'Real Estate'!$D$25:$BA$25, 'Real Estate'!$D30:$BA30)+_xlfn.XLOOKUP(P$134, 'GEN-CCGT'!$D$32:$BA$32, 'GEN-CCGT'!$D37:$BA37)+_xlfn.XLOOKUP(P$134, 'GEN-SOLAR'!$D$32:$BA$32, 'GEN-SOLAR'!$D37:$BA37)+_xlfn.XLOOKUP(P$134, 'GEN-BESS'!$D$32:$BA$32, 'GEN-BESS'!$D37:$BA37)+_xlfn.XLOOKUP(P$134, 'GEN-CARBON'!$D$32:$BA$32, 'GEN-CARBON'!$D37:$BA37)+_xlfn.XLOOKUP(P$134, Load!$D$32:$BA$32, Load!$D37:$BA37)+_xlfn.XLOOKUP(P$134, Hydrogen!$D$32:$BA$32, Hydrogen!$D37:$BA37)+_xlfn.XLOOKUP(P$134, 'SENS Tires'!$D$32:$BA$32, 'SENS Tires'!$D37:$BA37)+_xlfn.XLOOKUP(P$134, 'SENS Coal'!$D$32:$BA$32, 'SENS Coal'!$D37:$BA37)</f>
        <v>39.045000000000002</v>
      </c>
      <c r="Q139" s="456">
        <f>_xlfn.XLOOKUP(Q$134, 'Real Estate'!$D$25:$BA$25, 'Real Estate'!$D30:$BA30)+_xlfn.XLOOKUP(Q$134, 'GEN-CCGT'!$D$32:$BA$32, 'GEN-CCGT'!$D37:$BA37)+_xlfn.XLOOKUP(Q$134, 'GEN-SOLAR'!$D$32:$BA$32, 'GEN-SOLAR'!$D37:$BA37)+_xlfn.XLOOKUP(Q$134, 'GEN-BESS'!$D$32:$BA$32, 'GEN-BESS'!$D37:$BA37)+_xlfn.XLOOKUP(Q$134, 'GEN-CARBON'!$D$32:$BA$32, 'GEN-CARBON'!$D37:$BA37)+_xlfn.XLOOKUP(Q$134, Load!$D$32:$BA$32, Load!$D37:$BA37)+_xlfn.XLOOKUP(Q$134, Hydrogen!$D$32:$BA$32, Hydrogen!$D37:$BA37)+_xlfn.XLOOKUP(Q$134, 'SENS Tires'!$D$32:$BA$32, 'SENS Tires'!$D37:$BA37)+_xlfn.XLOOKUP(Q$134, 'SENS Coal'!$D$32:$BA$32, 'SENS Coal'!$D37:$BA37)</f>
        <v>39.045000000000002</v>
      </c>
      <c r="R139" s="456">
        <f>_xlfn.XLOOKUP(R$134, 'Real Estate'!$D$25:$BA$25, 'Real Estate'!$D30:$BA30)+_xlfn.XLOOKUP(R$134, 'GEN-CCGT'!$D$32:$BA$32, 'GEN-CCGT'!$D37:$BA37)+_xlfn.XLOOKUP(R$134, 'GEN-SOLAR'!$D$32:$BA$32, 'GEN-SOLAR'!$D37:$BA37)+_xlfn.XLOOKUP(R$134, 'GEN-BESS'!$D$32:$BA$32, 'GEN-BESS'!$D37:$BA37)+_xlfn.XLOOKUP(R$134, 'GEN-CARBON'!$D$32:$BA$32, 'GEN-CARBON'!$D37:$BA37)+_xlfn.XLOOKUP(R$134, Load!$D$32:$BA$32, Load!$D37:$BA37)+_xlfn.XLOOKUP(R$134, Hydrogen!$D$32:$BA$32, Hydrogen!$D37:$BA37)+_xlfn.XLOOKUP(R$134, 'SENS Tires'!$D$32:$BA$32, 'SENS Tires'!$D37:$BA37)+_xlfn.XLOOKUP(R$134, 'SENS Coal'!$D$32:$BA$32, 'SENS Coal'!$D37:$BA37)</f>
        <v>39.045000000000002</v>
      </c>
      <c r="S139" s="456">
        <f>_xlfn.XLOOKUP(S$134, 'Real Estate'!$D$25:$BA$25, 'Real Estate'!$D30:$BA30)+_xlfn.XLOOKUP(S$134, 'GEN-CCGT'!$D$32:$BA$32, 'GEN-CCGT'!$D37:$BA37)+_xlfn.XLOOKUP(S$134, 'GEN-SOLAR'!$D$32:$BA$32, 'GEN-SOLAR'!$D37:$BA37)+_xlfn.XLOOKUP(S$134, 'GEN-BESS'!$D$32:$BA$32, 'GEN-BESS'!$D37:$BA37)+_xlfn.XLOOKUP(S$134, 'GEN-CARBON'!$D$32:$BA$32, 'GEN-CARBON'!$D37:$BA37)+_xlfn.XLOOKUP(S$134, Load!$D$32:$BA$32, Load!$D37:$BA37)+_xlfn.XLOOKUP(S$134, Hydrogen!$D$32:$BA$32, Hydrogen!$D37:$BA37)+_xlfn.XLOOKUP(S$134, 'SENS Tires'!$D$32:$BA$32, 'SENS Tires'!$D37:$BA37)+_xlfn.XLOOKUP(S$134, 'SENS Coal'!$D$32:$BA$32, 'SENS Coal'!$D37:$BA37)</f>
        <v>39.045000000000002</v>
      </c>
      <c r="T139" s="456">
        <f>_xlfn.XLOOKUP(T$134, 'Real Estate'!$D$25:$BA$25, 'Real Estate'!$D30:$BA30)+_xlfn.XLOOKUP(T$134, 'GEN-CCGT'!$D$32:$BA$32, 'GEN-CCGT'!$D37:$BA37)+_xlfn.XLOOKUP(T$134, 'GEN-SOLAR'!$D$32:$BA$32, 'GEN-SOLAR'!$D37:$BA37)+_xlfn.XLOOKUP(T$134, 'GEN-BESS'!$D$32:$BA$32, 'GEN-BESS'!$D37:$BA37)+_xlfn.XLOOKUP(T$134, 'GEN-CARBON'!$D$32:$BA$32, 'GEN-CARBON'!$D37:$BA37)+_xlfn.XLOOKUP(T$134, Load!$D$32:$BA$32, Load!$D37:$BA37)+_xlfn.XLOOKUP(T$134, Hydrogen!$D$32:$BA$32, Hydrogen!$D37:$BA37)+_xlfn.XLOOKUP(T$134, 'SENS Tires'!$D$32:$BA$32, 'SENS Tires'!$D37:$BA37)+_xlfn.XLOOKUP(T$134, 'SENS Coal'!$D$32:$BA$32, 'SENS Coal'!$D37:$BA37)</f>
        <v>39.045000000000002</v>
      </c>
      <c r="U139" s="456">
        <f>_xlfn.XLOOKUP(U$134, 'Real Estate'!$D$25:$BA$25, 'Real Estate'!$D30:$BA30)+_xlfn.XLOOKUP(U$134, 'GEN-CCGT'!$D$32:$BA$32, 'GEN-CCGT'!$D37:$BA37)+_xlfn.XLOOKUP(U$134, 'GEN-SOLAR'!$D$32:$BA$32, 'GEN-SOLAR'!$D37:$BA37)+_xlfn.XLOOKUP(U$134, 'GEN-BESS'!$D$32:$BA$32, 'GEN-BESS'!$D37:$BA37)+_xlfn.XLOOKUP(U$134, 'GEN-CARBON'!$D$32:$BA$32, 'GEN-CARBON'!$D37:$BA37)+_xlfn.XLOOKUP(U$134, Load!$D$32:$BA$32, Load!$D37:$BA37)+_xlfn.XLOOKUP(U$134, Hydrogen!$D$32:$BA$32, Hydrogen!$D37:$BA37)+_xlfn.XLOOKUP(U$134, 'SENS Tires'!$D$32:$BA$32, 'SENS Tires'!$D37:$BA37)+_xlfn.XLOOKUP(U$134, 'SENS Coal'!$D$32:$BA$32, 'SENS Coal'!$D37:$BA37)</f>
        <v>39.045000000000002</v>
      </c>
      <c r="V139" s="456">
        <f>_xlfn.XLOOKUP(V$134, 'Real Estate'!$D$25:$BA$25, 'Real Estate'!$D30:$BA30)+_xlfn.XLOOKUP(V$134, 'GEN-CCGT'!$D$32:$BA$32, 'GEN-CCGT'!$D37:$BA37)+_xlfn.XLOOKUP(V$134, 'GEN-SOLAR'!$D$32:$BA$32, 'GEN-SOLAR'!$D37:$BA37)+_xlfn.XLOOKUP(V$134, 'GEN-BESS'!$D$32:$BA$32, 'GEN-BESS'!$D37:$BA37)+_xlfn.XLOOKUP(V$134, 'GEN-CARBON'!$D$32:$BA$32, 'GEN-CARBON'!$D37:$BA37)+_xlfn.XLOOKUP(V$134, Load!$D$32:$BA$32, Load!$D37:$BA37)+_xlfn.XLOOKUP(V$134, Hydrogen!$D$32:$BA$32, Hydrogen!$D37:$BA37)+_xlfn.XLOOKUP(V$134, 'SENS Tires'!$D$32:$BA$32, 'SENS Tires'!$D37:$BA37)+_xlfn.XLOOKUP(V$134, 'SENS Coal'!$D$32:$BA$32, 'SENS Coal'!$D37:$BA37)</f>
        <v>39.045000000000002</v>
      </c>
      <c r="W139" s="456">
        <f>_xlfn.XLOOKUP(W$134, 'Real Estate'!$D$25:$BA$25, 'Real Estate'!$D30:$BA30)+_xlfn.XLOOKUP(W$134, 'GEN-CCGT'!$D$32:$BA$32, 'GEN-CCGT'!$D37:$BA37)+_xlfn.XLOOKUP(W$134, 'GEN-SOLAR'!$D$32:$BA$32, 'GEN-SOLAR'!$D37:$BA37)+_xlfn.XLOOKUP(W$134, 'GEN-BESS'!$D$32:$BA$32, 'GEN-BESS'!$D37:$BA37)+_xlfn.XLOOKUP(W$134, 'GEN-CARBON'!$D$32:$BA$32, 'GEN-CARBON'!$D37:$BA37)+_xlfn.XLOOKUP(W$134, Load!$D$32:$BA$32, Load!$D37:$BA37)+_xlfn.XLOOKUP(W$134, Hydrogen!$D$32:$BA$32, Hydrogen!$D37:$BA37)+_xlfn.XLOOKUP(W$134, 'SENS Tires'!$D$32:$BA$32, 'SENS Tires'!$D37:$BA37)+_xlfn.XLOOKUP(W$134, 'SENS Coal'!$D$32:$BA$32, 'SENS Coal'!$D37:$BA37)</f>
        <v>39.045000000000002</v>
      </c>
      <c r="X139" s="456">
        <f>_xlfn.XLOOKUP(X$134, 'Real Estate'!$D$25:$BA$25, 'Real Estate'!$D30:$BA30)+_xlfn.XLOOKUP(X$134, 'GEN-CCGT'!$D$32:$BA$32, 'GEN-CCGT'!$D37:$BA37)+_xlfn.XLOOKUP(X$134, 'GEN-SOLAR'!$D$32:$BA$32, 'GEN-SOLAR'!$D37:$BA37)+_xlfn.XLOOKUP(X$134, 'GEN-BESS'!$D$32:$BA$32, 'GEN-BESS'!$D37:$BA37)+_xlfn.XLOOKUP(X$134, 'GEN-CARBON'!$D$32:$BA$32, 'GEN-CARBON'!$D37:$BA37)+_xlfn.XLOOKUP(X$134, Load!$D$32:$BA$32, Load!$D37:$BA37)+_xlfn.XLOOKUP(X$134, Hydrogen!$D$32:$BA$32, Hydrogen!$D37:$BA37)+_xlfn.XLOOKUP(X$134, 'SENS Tires'!$D$32:$BA$32, 'SENS Tires'!$D37:$BA37)+_xlfn.XLOOKUP(X$134, 'SENS Coal'!$D$32:$BA$32, 'SENS Coal'!$D37:$BA37)</f>
        <v>39.045000000000002</v>
      </c>
      <c r="Y139" s="456">
        <f>_xlfn.XLOOKUP(Y$134, 'Real Estate'!$D$25:$BA$25, 'Real Estate'!$D30:$BA30)+_xlfn.XLOOKUP(Y$134, 'GEN-CCGT'!$D$32:$BA$32, 'GEN-CCGT'!$D37:$BA37)+_xlfn.XLOOKUP(Y$134, 'GEN-SOLAR'!$D$32:$BA$32, 'GEN-SOLAR'!$D37:$BA37)+_xlfn.XLOOKUP(Y$134, 'GEN-BESS'!$D$32:$BA$32, 'GEN-BESS'!$D37:$BA37)+_xlfn.XLOOKUP(Y$134, 'GEN-CARBON'!$D$32:$BA$32, 'GEN-CARBON'!$D37:$BA37)+_xlfn.XLOOKUP(Y$134, Load!$D$32:$BA$32, Load!$D37:$BA37)+_xlfn.XLOOKUP(Y$134, Hydrogen!$D$32:$BA$32, Hydrogen!$D37:$BA37)+_xlfn.XLOOKUP(Y$134, 'SENS Tires'!$D$32:$BA$32, 'SENS Tires'!$D37:$BA37)+_xlfn.XLOOKUP(Y$134, 'SENS Coal'!$D$32:$BA$32, 'SENS Coal'!$D37:$BA37)</f>
        <v>39.045000000000002</v>
      </c>
      <c r="Z139" s="456">
        <f>_xlfn.XLOOKUP(Z$134, 'Real Estate'!$D$25:$BA$25, 'Real Estate'!$D30:$BA30)+_xlfn.XLOOKUP(Z$134, 'GEN-CCGT'!$D$32:$BA$32, 'GEN-CCGT'!$D37:$BA37)+_xlfn.XLOOKUP(Z$134, 'GEN-SOLAR'!$D$32:$BA$32, 'GEN-SOLAR'!$D37:$BA37)+_xlfn.XLOOKUP(Z$134, 'GEN-BESS'!$D$32:$BA$32, 'GEN-BESS'!$D37:$BA37)+_xlfn.XLOOKUP(Z$134, 'GEN-CARBON'!$D$32:$BA$32, 'GEN-CARBON'!$D37:$BA37)+_xlfn.XLOOKUP(Z$134, Load!$D$32:$BA$32, Load!$D37:$BA37)+_xlfn.XLOOKUP(Z$134, Hydrogen!$D$32:$BA$32, Hydrogen!$D37:$BA37)+_xlfn.XLOOKUP(Z$134, 'SENS Tires'!$D$32:$BA$32, 'SENS Tires'!$D37:$BA37)+_xlfn.XLOOKUP(Z$134, 'SENS Coal'!$D$32:$BA$32, 'SENS Coal'!$D37:$BA37)</f>
        <v>39.045000000000002</v>
      </c>
      <c r="AA139" s="456">
        <f>_xlfn.XLOOKUP(AA$134, 'Real Estate'!$D$25:$BA$25, 'Real Estate'!$D30:$BA30)+_xlfn.XLOOKUP(AA$134, 'GEN-CCGT'!$D$32:$BA$32, 'GEN-CCGT'!$D37:$BA37)+_xlfn.XLOOKUP(AA$134, 'GEN-SOLAR'!$D$32:$BA$32, 'GEN-SOLAR'!$D37:$BA37)+_xlfn.XLOOKUP(AA$134, 'GEN-BESS'!$D$32:$BA$32, 'GEN-BESS'!$D37:$BA37)+_xlfn.XLOOKUP(AA$134, 'GEN-CARBON'!$D$32:$BA$32, 'GEN-CARBON'!$D37:$BA37)+_xlfn.XLOOKUP(AA$134, Load!$D$32:$BA$32, Load!$D37:$BA37)+_xlfn.XLOOKUP(AA$134, Hydrogen!$D$32:$BA$32, Hydrogen!$D37:$BA37)+_xlfn.XLOOKUP(AA$134, 'SENS Tires'!$D$32:$BA$32, 'SENS Tires'!$D37:$BA37)+_xlfn.XLOOKUP(AA$134, 'SENS Coal'!$D$32:$BA$32, 'SENS Coal'!$D37:$BA37)</f>
        <v>39.045000000000002</v>
      </c>
      <c r="AB139" s="456">
        <f>_xlfn.XLOOKUP(AB$134, 'Real Estate'!$D$25:$BA$25, 'Real Estate'!$D30:$BA30)+_xlfn.XLOOKUP(AB$134, 'GEN-CCGT'!$D$32:$BA$32, 'GEN-CCGT'!$D37:$BA37)+_xlfn.XLOOKUP(AB$134, 'GEN-SOLAR'!$D$32:$BA$32, 'GEN-SOLAR'!$D37:$BA37)+_xlfn.XLOOKUP(AB$134, 'GEN-BESS'!$D$32:$BA$32, 'GEN-BESS'!$D37:$BA37)+_xlfn.XLOOKUP(AB$134, 'GEN-CARBON'!$D$32:$BA$32, 'GEN-CARBON'!$D37:$BA37)+_xlfn.XLOOKUP(AB$134, Load!$D$32:$BA$32, Load!$D37:$BA37)+_xlfn.XLOOKUP(AB$134, Hydrogen!$D$32:$BA$32, Hydrogen!$D37:$BA37)+_xlfn.XLOOKUP(AB$134, 'SENS Tires'!$D$32:$BA$32, 'SENS Tires'!$D37:$BA37)+_xlfn.XLOOKUP(AB$134, 'SENS Coal'!$D$32:$BA$32, 'SENS Coal'!$D37:$BA37)</f>
        <v>39.045000000000002</v>
      </c>
      <c r="AC139" s="456">
        <f>_xlfn.XLOOKUP(AC$134, 'Real Estate'!$D$25:$BA$25, 'Real Estate'!$D30:$BA30)+_xlfn.XLOOKUP(AC$134, 'GEN-CCGT'!$D$32:$BA$32, 'GEN-CCGT'!$D37:$BA37)+_xlfn.XLOOKUP(AC$134, 'GEN-SOLAR'!$D$32:$BA$32, 'GEN-SOLAR'!$D37:$BA37)+_xlfn.XLOOKUP(AC$134, 'GEN-BESS'!$D$32:$BA$32, 'GEN-BESS'!$D37:$BA37)+_xlfn.XLOOKUP(AC$134, 'GEN-CARBON'!$D$32:$BA$32, 'GEN-CARBON'!$D37:$BA37)+_xlfn.XLOOKUP(AC$134, Load!$D$32:$BA$32, Load!$D37:$BA37)+_xlfn.XLOOKUP(AC$134, Hydrogen!$D$32:$BA$32, Hydrogen!$D37:$BA37)+_xlfn.XLOOKUP(AC$134, 'SENS Tires'!$D$32:$BA$32, 'SENS Tires'!$D37:$BA37)+_xlfn.XLOOKUP(AC$134, 'SENS Coal'!$D$32:$BA$32, 'SENS Coal'!$D37:$BA37)</f>
        <v>39.045000000000002</v>
      </c>
      <c r="AD139" s="456">
        <f>_xlfn.XLOOKUP(AD$134, 'Real Estate'!$D$25:$BA$25, 'Real Estate'!$D30:$BA30)+_xlfn.XLOOKUP(AD$134, 'GEN-CCGT'!$D$32:$BA$32, 'GEN-CCGT'!$D37:$BA37)+_xlfn.XLOOKUP(AD$134, 'GEN-SOLAR'!$D$32:$BA$32, 'GEN-SOLAR'!$D37:$BA37)+_xlfn.XLOOKUP(AD$134, 'GEN-BESS'!$D$32:$BA$32, 'GEN-BESS'!$D37:$BA37)+_xlfn.XLOOKUP(AD$134, 'GEN-CARBON'!$D$32:$BA$32, 'GEN-CARBON'!$D37:$BA37)+_xlfn.XLOOKUP(AD$134, Load!$D$32:$BA$32, Load!$D37:$BA37)+_xlfn.XLOOKUP(AD$134, Hydrogen!$D$32:$BA$32, Hydrogen!$D37:$BA37)+_xlfn.XLOOKUP(AD$134, 'SENS Tires'!$D$32:$BA$32, 'SENS Tires'!$D37:$BA37)+_xlfn.XLOOKUP(AD$134, 'SENS Coal'!$D$32:$BA$32, 'SENS Coal'!$D37:$BA37)</f>
        <v>39.045000000000002</v>
      </c>
      <c r="AE139" s="456">
        <f>_xlfn.XLOOKUP(AE$134, 'Real Estate'!$D$25:$BA$25, 'Real Estate'!$D30:$BA30)+_xlfn.XLOOKUP(AE$134, 'GEN-CCGT'!$D$32:$BA$32, 'GEN-CCGT'!$D37:$BA37)+_xlfn.XLOOKUP(AE$134, 'GEN-SOLAR'!$D$32:$BA$32, 'GEN-SOLAR'!$D37:$BA37)+_xlfn.XLOOKUP(AE$134, 'GEN-BESS'!$D$32:$BA$32, 'GEN-BESS'!$D37:$BA37)+_xlfn.XLOOKUP(AE$134, 'GEN-CARBON'!$D$32:$BA$32, 'GEN-CARBON'!$D37:$BA37)+_xlfn.XLOOKUP(AE$134, Load!$D$32:$BA$32, Load!$D37:$BA37)+_xlfn.XLOOKUP(AE$134, Hydrogen!$D$32:$BA$32, Hydrogen!$D37:$BA37)+_xlfn.XLOOKUP(AE$134, 'SENS Tires'!$D$32:$BA$32, 'SENS Tires'!$D37:$BA37)+_xlfn.XLOOKUP(AE$134, 'SENS Coal'!$D$32:$BA$32, 'SENS Coal'!$D37:$BA37)</f>
        <v>39.045000000000002</v>
      </c>
      <c r="AF139" s="456">
        <f>_xlfn.XLOOKUP(AF$134, 'Real Estate'!$D$25:$BA$25, 'Real Estate'!$D30:$BA30)+_xlfn.XLOOKUP(AF$134, 'GEN-CCGT'!$D$32:$BA$32, 'GEN-CCGT'!$D37:$BA37)+_xlfn.XLOOKUP(AF$134, 'GEN-SOLAR'!$D$32:$BA$32, 'GEN-SOLAR'!$D37:$BA37)+_xlfn.XLOOKUP(AF$134, 'GEN-BESS'!$D$32:$BA$32, 'GEN-BESS'!$D37:$BA37)+_xlfn.XLOOKUP(AF$134, 'GEN-CARBON'!$D$32:$BA$32, 'GEN-CARBON'!$D37:$BA37)+_xlfn.XLOOKUP(AF$134, Load!$D$32:$BA$32, Load!$D37:$BA37)+_xlfn.XLOOKUP(AF$134, Hydrogen!$D$32:$BA$32, Hydrogen!$D37:$BA37)+_xlfn.XLOOKUP(AF$134, 'SENS Tires'!$D$32:$BA$32, 'SENS Tires'!$D37:$BA37)+_xlfn.XLOOKUP(AF$134, 'SENS Coal'!$D$32:$BA$32, 'SENS Coal'!$D37:$BA37)</f>
        <v>17.86</v>
      </c>
      <c r="AG139" s="456">
        <f>_xlfn.XLOOKUP(AG$134, 'Real Estate'!$D$25:$BA$25, 'Real Estate'!$D30:$BA30)+_xlfn.XLOOKUP(AG$134, 'GEN-CCGT'!$D$32:$BA$32, 'GEN-CCGT'!$D37:$BA37)+_xlfn.XLOOKUP(AG$134, 'GEN-SOLAR'!$D$32:$BA$32, 'GEN-SOLAR'!$D37:$BA37)+_xlfn.XLOOKUP(AG$134, 'GEN-BESS'!$D$32:$BA$32, 'GEN-BESS'!$D37:$BA37)+_xlfn.XLOOKUP(AG$134, 'GEN-CARBON'!$D$32:$BA$32, 'GEN-CARBON'!$D37:$BA37)+_xlfn.XLOOKUP(AG$134, Load!$D$32:$BA$32, Load!$D37:$BA37)+_xlfn.XLOOKUP(AG$134, Hydrogen!$D$32:$BA$32, Hydrogen!$D37:$BA37)+_xlfn.XLOOKUP(AG$134, 'SENS Tires'!$D$32:$BA$32, 'SENS Tires'!$D37:$BA37)+_xlfn.XLOOKUP(AG$134, 'SENS Coal'!$D$32:$BA$32, 'SENS Coal'!$D37:$BA37)</f>
        <v>17.86</v>
      </c>
      <c r="AH139" s="456">
        <f>_xlfn.XLOOKUP(AH$134, 'Real Estate'!$D$25:$BA$25, 'Real Estate'!$D30:$BA30)+_xlfn.XLOOKUP(AH$134, 'GEN-CCGT'!$D$32:$BA$32, 'GEN-CCGT'!$D37:$BA37)+_xlfn.XLOOKUP(AH$134, 'GEN-SOLAR'!$D$32:$BA$32, 'GEN-SOLAR'!$D37:$BA37)+_xlfn.XLOOKUP(AH$134, 'GEN-BESS'!$D$32:$BA$32, 'GEN-BESS'!$D37:$BA37)+_xlfn.XLOOKUP(AH$134, 'GEN-CARBON'!$D$32:$BA$32, 'GEN-CARBON'!$D37:$BA37)+_xlfn.XLOOKUP(AH$134, Load!$D$32:$BA$32, Load!$D37:$BA37)+_xlfn.XLOOKUP(AH$134, Hydrogen!$D$32:$BA$32, Hydrogen!$D37:$BA37)+_xlfn.XLOOKUP(AH$134, 'SENS Tires'!$D$32:$BA$32, 'SENS Tires'!$D37:$BA37)+_xlfn.XLOOKUP(AH$134, 'SENS Coal'!$D$32:$BA$32, 'SENS Coal'!$D37:$BA37)</f>
        <v>13.68</v>
      </c>
      <c r="AI139" s="456">
        <f>_xlfn.XLOOKUP(AI$134, 'Real Estate'!$D$25:$BA$25, 'Real Estate'!$D30:$BA30)+_xlfn.XLOOKUP(AI$134, 'GEN-CCGT'!$D$32:$BA$32, 'GEN-CCGT'!$D37:$BA37)+_xlfn.XLOOKUP(AI$134, 'GEN-SOLAR'!$D$32:$BA$32, 'GEN-SOLAR'!$D37:$BA37)+_xlfn.XLOOKUP(AI$134, 'GEN-BESS'!$D$32:$BA$32, 'GEN-BESS'!$D37:$BA37)+_xlfn.XLOOKUP(AI$134, 'GEN-CARBON'!$D$32:$BA$32, 'GEN-CARBON'!$D37:$BA37)+_xlfn.XLOOKUP(AI$134, Load!$D$32:$BA$32, Load!$D37:$BA37)+_xlfn.XLOOKUP(AI$134, Hydrogen!$D$32:$BA$32, Hydrogen!$D37:$BA37)+_xlfn.XLOOKUP(AI$134, 'SENS Tires'!$D$32:$BA$32, 'SENS Tires'!$D37:$BA37)+_xlfn.XLOOKUP(AI$134, 'SENS Coal'!$D$32:$BA$32, 'SENS Coal'!$D37:$BA37)</f>
        <v>0</v>
      </c>
      <c r="AJ139" s="456">
        <f>_xlfn.XLOOKUP(AJ$134, 'Real Estate'!$D$25:$BA$25, 'Real Estate'!$D30:$BA30)+_xlfn.XLOOKUP(AJ$134, 'GEN-CCGT'!$D$32:$BA$32, 'GEN-CCGT'!$D37:$BA37)+_xlfn.XLOOKUP(AJ$134, 'GEN-SOLAR'!$D$32:$BA$32, 'GEN-SOLAR'!$D37:$BA37)+_xlfn.XLOOKUP(AJ$134, 'GEN-BESS'!$D$32:$BA$32, 'GEN-BESS'!$D37:$BA37)+_xlfn.XLOOKUP(AJ$134, 'GEN-CARBON'!$D$32:$BA$32, 'GEN-CARBON'!$D37:$BA37)+_xlfn.XLOOKUP(AJ$134, Load!$D$32:$BA$32, Load!$D37:$BA37)+_xlfn.XLOOKUP(AJ$134, Hydrogen!$D$32:$BA$32, Hydrogen!$D37:$BA37)+_xlfn.XLOOKUP(AJ$134, 'SENS Tires'!$D$32:$BA$32, 'SENS Tires'!$D37:$BA37)+_xlfn.XLOOKUP(AJ$134, 'SENS Coal'!$D$32:$BA$32, 'SENS Coal'!$D37:$BA37)</f>
        <v>0</v>
      </c>
      <c r="AK139" s="456">
        <f>_xlfn.XLOOKUP(AK$134, 'Real Estate'!$D$25:$BA$25, 'Real Estate'!$D30:$BA30)+_xlfn.XLOOKUP(AK$134, 'GEN-CCGT'!$D$32:$BA$32, 'GEN-CCGT'!$D37:$BA37)+_xlfn.XLOOKUP(AK$134, 'GEN-SOLAR'!$D$32:$BA$32, 'GEN-SOLAR'!$D37:$BA37)+_xlfn.XLOOKUP(AK$134, 'GEN-BESS'!$D$32:$BA$32, 'GEN-BESS'!$D37:$BA37)+_xlfn.XLOOKUP(AK$134, 'GEN-CARBON'!$D$32:$BA$32, 'GEN-CARBON'!$D37:$BA37)+_xlfn.XLOOKUP(AK$134, Load!$D$32:$BA$32, Load!$D37:$BA37)+_xlfn.XLOOKUP(AK$134, Hydrogen!$D$32:$BA$32, Hydrogen!$D37:$BA37)+_xlfn.XLOOKUP(AK$134, 'SENS Tires'!$D$32:$BA$32, 'SENS Tires'!$D37:$BA37)+_xlfn.XLOOKUP(AK$134, 'SENS Coal'!$D$32:$BA$32, 'SENS Coal'!$D37:$BA37)</f>
        <v>0</v>
      </c>
      <c r="AL139" s="456">
        <f>_xlfn.XLOOKUP(AL$134, 'Real Estate'!$D$25:$BA$25, 'Real Estate'!$D30:$BA30)+_xlfn.XLOOKUP(AL$134, 'GEN-CCGT'!$D$32:$BA$32, 'GEN-CCGT'!$D37:$BA37)+_xlfn.XLOOKUP(AL$134, 'GEN-SOLAR'!$D$32:$BA$32, 'GEN-SOLAR'!$D37:$BA37)+_xlfn.XLOOKUP(AL$134, 'GEN-BESS'!$D$32:$BA$32, 'GEN-BESS'!$D37:$BA37)+_xlfn.XLOOKUP(AL$134, 'GEN-CARBON'!$D$32:$BA$32, 'GEN-CARBON'!$D37:$BA37)+_xlfn.XLOOKUP(AL$134, Load!$D$32:$BA$32, Load!$D37:$BA37)+_xlfn.XLOOKUP(AL$134, Hydrogen!$D$32:$BA$32, Hydrogen!$D37:$BA37)+_xlfn.XLOOKUP(AL$134, 'SENS Tires'!$D$32:$BA$32, 'SENS Tires'!$D37:$BA37)+_xlfn.XLOOKUP(AL$134, 'SENS Coal'!$D$32:$BA$32, 'SENS Coal'!$D37:$BA37)</f>
        <v>0</v>
      </c>
      <c r="AM139" s="456">
        <f>_xlfn.XLOOKUP(AM$134, 'Real Estate'!$D$25:$BA$25, 'Real Estate'!$D30:$BA30)+_xlfn.XLOOKUP(AM$134, 'GEN-CCGT'!$D$32:$BA$32, 'GEN-CCGT'!$D37:$BA37)+_xlfn.XLOOKUP(AM$134, 'GEN-SOLAR'!$D$32:$BA$32, 'GEN-SOLAR'!$D37:$BA37)+_xlfn.XLOOKUP(AM$134, 'GEN-BESS'!$D$32:$BA$32, 'GEN-BESS'!$D37:$BA37)+_xlfn.XLOOKUP(AM$134, 'GEN-CARBON'!$D$32:$BA$32, 'GEN-CARBON'!$D37:$BA37)+_xlfn.XLOOKUP(AM$134, Load!$D$32:$BA$32, Load!$D37:$BA37)+_xlfn.XLOOKUP(AM$134, Hydrogen!$D$32:$BA$32, Hydrogen!$D37:$BA37)+_xlfn.XLOOKUP(AM$134, 'SENS Tires'!$D$32:$BA$32, 'SENS Tires'!$D37:$BA37)+_xlfn.XLOOKUP(AM$134, 'SENS Coal'!$D$32:$BA$32, 'SENS Coal'!$D37:$BA37)</f>
        <v>0</v>
      </c>
      <c r="AN139" s="456">
        <f>_xlfn.XLOOKUP(AN$134, 'Real Estate'!$D$25:$BA$25, 'Real Estate'!$D30:$BA30)+_xlfn.XLOOKUP(AN$134, 'GEN-CCGT'!$D$32:$BA$32, 'GEN-CCGT'!$D37:$BA37)+_xlfn.XLOOKUP(AN$134, 'GEN-SOLAR'!$D$32:$BA$32, 'GEN-SOLAR'!$D37:$BA37)+_xlfn.XLOOKUP(AN$134, 'GEN-BESS'!$D$32:$BA$32, 'GEN-BESS'!$D37:$BA37)+_xlfn.XLOOKUP(AN$134, 'GEN-CARBON'!$D$32:$BA$32, 'GEN-CARBON'!$D37:$BA37)+_xlfn.XLOOKUP(AN$134, Load!$D$32:$BA$32, Load!$D37:$BA37)+_xlfn.XLOOKUP(AN$134, Hydrogen!$D$32:$BA$32, Hydrogen!$D37:$BA37)+_xlfn.XLOOKUP(AN$134, 'SENS Tires'!$D$32:$BA$32, 'SENS Tires'!$D37:$BA37)+_xlfn.XLOOKUP(AN$134, 'SENS Coal'!$D$32:$BA$32, 'SENS Coal'!$D37:$BA37)</f>
        <v>0</v>
      </c>
      <c r="AO139" s="456">
        <f>_xlfn.XLOOKUP(AO$134, 'Real Estate'!$D$25:$BA$25, 'Real Estate'!$D30:$BA30)+_xlfn.XLOOKUP(AO$134, 'GEN-CCGT'!$D$32:$BA$32, 'GEN-CCGT'!$D37:$BA37)+_xlfn.XLOOKUP(AO$134, 'GEN-SOLAR'!$D$32:$BA$32, 'GEN-SOLAR'!$D37:$BA37)+_xlfn.XLOOKUP(AO$134, 'GEN-BESS'!$D$32:$BA$32, 'GEN-BESS'!$D37:$BA37)+_xlfn.XLOOKUP(AO$134, 'GEN-CARBON'!$D$32:$BA$32, 'GEN-CARBON'!$D37:$BA37)+_xlfn.XLOOKUP(AO$134, Load!$D$32:$BA$32, Load!$D37:$BA37)+_xlfn.XLOOKUP(AO$134, Hydrogen!$D$32:$BA$32, Hydrogen!$D37:$BA37)+_xlfn.XLOOKUP(AO$134, 'SENS Tires'!$D$32:$BA$32, 'SENS Tires'!$D37:$BA37)+_xlfn.XLOOKUP(AO$134, 'SENS Coal'!$D$32:$BA$32, 'SENS Coal'!$D37:$BA37)</f>
        <v>0</v>
      </c>
      <c r="AP139" s="456">
        <f>_xlfn.XLOOKUP(AP$134, 'Real Estate'!$D$25:$BA$25, 'Real Estate'!$D30:$BA30)+_xlfn.XLOOKUP(AP$134, 'GEN-CCGT'!$D$32:$BA$32, 'GEN-CCGT'!$D37:$BA37)+_xlfn.XLOOKUP(AP$134, 'GEN-SOLAR'!$D$32:$BA$32, 'GEN-SOLAR'!$D37:$BA37)+_xlfn.XLOOKUP(AP$134, 'GEN-BESS'!$D$32:$BA$32, 'GEN-BESS'!$D37:$BA37)+_xlfn.XLOOKUP(AP$134, 'GEN-CARBON'!$D$32:$BA$32, 'GEN-CARBON'!$D37:$BA37)+_xlfn.XLOOKUP(AP$134, Load!$D$32:$BA$32, Load!$D37:$BA37)+_xlfn.XLOOKUP(AP$134, Hydrogen!$D$32:$BA$32, Hydrogen!$D37:$BA37)+_xlfn.XLOOKUP(AP$134, 'SENS Tires'!$D$32:$BA$32, 'SENS Tires'!$D37:$BA37)+_xlfn.XLOOKUP(AP$134, 'SENS Coal'!$D$32:$BA$32, 'SENS Coal'!$D37:$BA37)</f>
        <v>0</v>
      </c>
      <c r="AQ139" s="456">
        <f>_xlfn.XLOOKUP(AQ$134, 'Real Estate'!$D$25:$BA$25, 'Real Estate'!$D30:$BA30)+_xlfn.XLOOKUP(AQ$134, 'GEN-CCGT'!$D$32:$BA$32, 'GEN-CCGT'!$D37:$BA37)+_xlfn.XLOOKUP(AQ$134, 'GEN-SOLAR'!$D$32:$BA$32, 'GEN-SOLAR'!$D37:$BA37)+_xlfn.XLOOKUP(AQ$134, 'GEN-BESS'!$D$32:$BA$32, 'GEN-BESS'!$D37:$BA37)+_xlfn.XLOOKUP(AQ$134, 'GEN-CARBON'!$D$32:$BA$32, 'GEN-CARBON'!$D37:$BA37)+_xlfn.XLOOKUP(AQ$134, Load!$D$32:$BA$32, Load!$D37:$BA37)+_xlfn.XLOOKUP(AQ$134, Hydrogen!$D$32:$BA$32, Hydrogen!$D37:$BA37)+_xlfn.XLOOKUP(AQ$134, 'SENS Tires'!$D$32:$BA$32, 'SENS Tires'!$D37:$BA37)+_xlfn.XLOOKUP(AQ$134, 'SENS Coal'!$D$32:$BA$32, 'SENS Coal'!$D37:$BA37)</f>
        <v>0</v>
      </c>
      <c r="AR139" s="456">
        <f>_xlfn.XLOOKUP(AR$134, 'Real Estate'!$D$25:$BA$25, 'Real Estate'!$D30:$BA30)+_xlfn.XLOOKUP(AR$134, 'GEN-CCGT'!$D$32:$BA$32, 'GEN-CCGT'!$D37:$BA37)+_xlfn.XLOOKUP(AR$134, 'GEN-SOLAR'!$D$32:$BA$32, 'GEN-SOLAR'!$D37:$BA37)+_xlfn.XLOOKUP(AR$134, 'GEN-BESS'!$D$32:$BA$32, 'GEN-BESS'!$D37:$BA37)+_xlfn.XLOOKUP(AR$134, 'GEN-CARBON'!$D$32:$BA$32, 'GEN-CARBON'!$D37:$BA37)+_xlfn.XLOOKUP(AR$134, Load!$D$32:$BA$32, Load!$D37:$BA37)+_xlfn.XLOOKUP(AR$134, Hydrogen!$D$32:$BA$32, Hydrogen!$D37:$BA37)+_xlfn.XLOOKUP(AR$134, 'SENS Tires'!$D$32:$BA$32, 'SENS Tires'!$D37:$BA37)+_xlfn.XLOOKUP(AR$134, 'SENS Coal'!$D$32:$BA$32, 'SENS Coal'!$D37:$BA37)</f>
        <v>0</v>
      </c>
      <c r="AS139" s="456">
        <f>_xlfn.XLOOKUP(AS$134, 'Real Estate'!$D$25:$BA$25, 'Real Estate'!$D30:$BA30)+_xlfn.XLOOKUP(AS$134, 'GEN-CCGT'!$D$32:$BA$32, 'GEN-CCGT'!$D37:$BA37)+_xlfn.XLOOKUP(AS$134, 'GEN-SOLAR'!$D$32:$BA$32, 'GEN-SOLAR'!$D37:$BA37)+_xlfn.XLOOKUP(AS$134, 'GEN-BESS'!$D$32:$BA$32, 'GEN-BESS'!$D37:$BA37)+_xlfn.XLOOKUP(AS$134, 'GEN-CARBON'!$D$32:$BA$32, 'GEN-CARBON'!$D37:$BA37)+_xlfn.XLOOKUP(AS$134, Load!$D$32:$BA$32, Load!$D37:$BA37)+_xlfn.XLOOKUP(AS$134, Hydrogen!$D$32:$BA$32, Hydrogen!$D37:$BA37)+_xlfn.XLOOKUP(AS$134, 'SENS Tires'!$D$32:$BA$32, 'SENS Tires'!$D37:$BA37)+_xlfn.XLOOKUP(AS$134, 'SENS Coal'!$D$32:$BA$32, 'SENS Coal'!$D37:$BA37)</f>
        <v>0</v>
      </c>
      <c r="AT139" s="456">
        <f>_xlfn.XLOOKUP(AT$134, 'Real Estate'!$D$25:$BA$25, 'Real Estate'!$D30:$BA30)+_xlfn.XLOOKUP(AT$134, 'GEN-CCGT'!$D$32:$BA$32, 'GEN-CCGT'!$D37:$BA37)+_xlfn.XLOOKUP(AT$134, 'GEN-SOLAR'!$D$32:$BA$32, 'GEN-SOLAR'!$D37:$BA37)+_xlfn.XLOOKUP(AT$134, 'GEN-BESS'!$D$32:$BA$32, 'GEN-BESS'!$D37:$BA37)+_xlfn.XLOOKUP(AT$134, 'GEN-CARBON'!$D$32:$BA$32, 'GEN-CARBON'!$D37:$BA37)+_xlfn.XLOOKUP(AT$134, Load!$D$32:$BA$32, Load!$D37:$BA37)+_xlfn.XLOOKUP(AT$134, Hydrogen!$D$32:$BA$32, Hydrogen!$D37:$BA37)+_xlfn.XLOOKUP(AT$134, 'SENS Tires'!$D$32:$BA$32, 'SENS Tires'!$D37:$BA37)+_xlfn.XLOOKUP(AT$134, 'SENS Coal'!$D$32:$BA$32, 'SENS Coal'!$D37:$BA37)</f>
        <v>0</v>
      </c>
      <c r="AU139" s="456">
        <f>_xlfn.XLOOKUP(AU$134, 'Real Estate'!$D$25:$BA$25, 'Real Estate'!$D30:$BA30)+_xlfn.XLOOKUP(AU$134, 'GEN-CCGT'!$D$32:$BA$32, 'GEN-CCGT'!$D37:$BA37)+_xlfn.XLOOKUP(AU$134, 'GEN-SOLAR'!$D$32:$BA$32, 'GEN-SOLAR'!$D37:$BA37)+_xlfn.XLOOKUP(AU$134, 'GEN-BESS'!$D$32:$BA$32, 'GEN-BESS'!$D37:$BA37)+_xlfn.XLOOKUP(AU$134, 'GEN-CARBON'!$D$32:$BA$32, 'GEN-CARBON'!$D37:$BA37)+_xlfn.XLOOKUP(AU$134, Load!$D$32:$BA$32, Load!$D37:$BA37)+_xlfn.XLOOKUP(AU$134, Hydrogen!$D$32:$BA$32, Hydrogen!$D37:$BA37)+_xlfn.XLOOKUP(AU$134, 'SENS Tires'!$D$32:$BA$32, 'SENS Tires'!$D37:$BA37)+_xlfn.XLOOKUP(AU$134, 'SENS Coal'!$D$32:$BA$32, 'SENS Coal'!$D37:$BA37)</f>
        <v>0</v>
      </c>
      <c r="AV139" s="456">
        <f>_xlfn.XLOOKUP(AV$134, 'Real Estate'!$D$25:$BA$25, 'Real Estate'!$D30:$BA30)+_xlfn.XLOOKUP(AV$134, 'GEN-CCGT'!$D$32:$BA$32, 'GEN-CCGT'!$D37:$BA37)+_xlfn.XLOOKUP(AV$134, 'GEN-SOLAR'!$D$32:$BA$32, 'GEN-SOLAR'!$D37:$BA37)+_xlfn.XLOOKUP(AV$134, 'GEN-BESS'!$D$32:$BA$32, 'GEN-BESS'!$D37:$BA37)+_xlfn.XLOOKUP(AV$134, 'GEN-CARBON'!$D$32:$BA$32, 'GEN-CARBON'!$D37:$BA37)+_xlfn.XLOOKUP(AV$134, Load!$D$32:$BA$32, Load!$D37:$BA37)+_xlfn.XLOOKUP(AV$134, Hydrogen!$D$32:$BA$32, Hydrogen!$D37:$BA37)+_xlfn.XLOOKUP(AV$134, 'SENS Tires'!$D$32:$BA$32, 'SENS Tires'!$D37:$BA37)+_xlfn.XLOOKUP(AV$134, 'SENS Coal'!$D$32:$BA$32, 'SENS Coal'!$D37:$BA37)</f>
        <v>0</v>
      </c>
      <c r="AW139" s="456">
        <f>_xlfn.XLOOKUP(AW$134, 'Real Estate'!$D$25:$BA$25, 'Real Estate'!$D30:$BA30)+_xlfn.XLOOKUP(AW$134, 'GEN-CCGT'!$D$32:$BA$32, 'GEN-CCGT'!$D37:$BA37)+_xlfn.XLOOKUP(AW$134, 'GEN-SOLAR'!$D$32:$BA$32, 'GEN-SOLAR'!$D37:$BA37)+_xlfn.XLOOKUP(AW$134, 'GEN-BESS'!$D$32:$BA$32, 'GEN-BESS'!$D37:$BA37)+_xlfn.XLOOKUP(AW$134, 'GEN-CARBON'!$D$32:$BA$32, 'GEN-CARBON'!$D37:$BA37)+_xlfn.XLOOKUP(AW$134, Load!$D$32:$BA$32, Load!$D37:$BA37)+_xlfn.XLOOKUP(AW$134, Hydrogen!$D$32:$BA$32, Hydrogen!$D37:$BA37)+_xlfn.XLOOKUP(AW$134, 'SENS Tires'!$D$32:$BA$32, 'SENS Tires'!$D37:$BA37)+_xlfn.XLOOKUP(AW$134, 'SENS Coal'!$D$32:$BA$32, 'SENS Coal'!$D37:$BA37)</f>
        <v>0</v>
      </c>
      <c r="AX139" s="456">
        <f>_xlfn.XLOOKUP(AX$134, 'Real Estate'!$D$25:$BA$25, 'Real Estate'!$D30:$BA30)+_xlfn.XLOOKUP(AX$134, 'GEN-CCGT'!$D$32:$BA$32, 'GEN-CCGT'!$D37:$BA37)+_xlfn.XLOOKUP(AX$134, 'GEN-SOLAR'!$D$32:$BA$32, 'GEN-SOLAR'!$D37:$BA37)+_xlfn.XLOOKUP(AX$134, 'GEN-BESS'!$D$32:$BA$32, 'GEN-BESS'!$D37:$BA37)+_xlfn.XLOOKUP(AX$134, 'GEN-CARBON'!$D$32:$BA$32, 'GEN-CARBON'!$D37:$BA37)+_xlfn.XLOOKUP(AX$134, Load!$D$32:$BA$32, Load!$D37:$BA37)+_xlfn.XLOOKUP(AX$134, Hydrogen!$D$32:$BA$32, Hydrogen!$D37:$BA37)+_xlfn.XLOOKUP(AX$134, 'SENS Tires'!$D$32:$BA$32, 'SENS Tires'!$D37:$BA37)+_xlfn.XLOOKUP(AX$134, 'SENS Coal'!$D$32:$BA$32, 'SENS Coal'!$D37:$BA37)</f>
        <v>0</v>
      </c>
    </row>
    <row r="140" spans="1:50" ht="14.25" customHeight="1">
      <c r="A140" s="44"/>
      <c r="B140" s="205"/>
      <c r="C140" s="212" t="s">
        <v>406</v>
      </c>
      <c r="D140" s="249"/>
      <c r="E140" s="213">
        <f t="shared" ref="E140:AX140" si="392">E22</f>
        <v>-12251.216248097413</v>
      </c>
      <c r="F140" s="213">
        <f t="shared" si="392"/>
        <v>-215.29166666666666</v>
      </c>
      <c r="G140" s="213">
        <f t="shared" si="392"/>
        <v>-126.66666666666666</v>
      </c>
      <c r="H140" s="213">
        <f t="shared" si="392"/>
        <v>-93.055555555555557</v>
      </c>
      <c r="I140" s="213">
        <f t="shared" si="392"/>
        <v>-7.5</v>
      </c>
      <c r="J140" s="213">
        <f t="shared" si="392"/>
        <v>0</v>
      </c>
      <c r="K140" s="213">
        <f t="shared" si="392"/>
        <v>0</v>
      </c>
      <c r="L140" s="213">
        <f t="shared" si="392"/>
        <v>0</v>
      </c>
      <c r="M140" s="213">
        <f t="shared" si="392"/>
        <v>0</v>
      </c>
      <c r="N140" s="213">
        <f t="shared" si="392"/>
        <v>0</v>
      </c>
      <c r="O140" s="213">
        <f t="shared" si="392"/>
        <v>0</v>
      </c>
      <c r="P140" s="213">
        <f t="shared" si="392"/>
        <v>0</v>
      </c>
      <c r="Q140" s="213">
        <f t="shared" si="392"/>
        <v>0</v>
      </c>
      <c r="R140" s="213">
        <f t="shared" si="392"/>
        <v>0</v>
      </c>
      <c r="S140" s="213">
        <f t="shared" si="392"/>
        <v>0</v>
      </c>
      <c r="T140" s="213">
        <f t="shared" si="392"/>
        <v>0</v>
      </c>
      <c r="U140" s="213">
        <f t="shared" si="392"/>
        <v>0</v>
      </c>
      <c r="V140" s="213">
        <f t="shared" si="392"/>
        <v>0</v>
      </c>
      <c r="W140" s="213">
        <f t="shared" si="392"/>
        <v>0</v>
      </c>
      <c r="X140" s="213">
        <f t="shared" si="392"/>
        <v>0</v>
      </c>
      <c r="Y140" s="213">
        <f t="shared" si="392"/>
        <v>0</v>
      </c>
      <c r="Z140" s="213">
        <f t="shared" si="392"/>
        <v>0</v>
      </c>
      <c r="AA140" s="213">
        <f t="shared" si="392"/>
        <v>0</v>
      </c>
      <c r="AB140" s="213">
        <f t="shared" si="392"/>
        <v>0</v>
      </c>
      <c r="AC140" s="213">
        <f t="shared" si="392"/>
        <v>0</v>
      </c>
      <c r="AD140" s="213">
        <f t="shared" si="392"/>
        <v>0</v>
      </c>
      <c r="AE140" s="213">
        <f t="shared" si="392"/>
        <v>0</v>
      </c>
      <c r="AF140" s="213">
        <f t="shared" si="392"/>
        <v>0</v>
      </c>
      <c r="AG140" s="213">
        <f t="shared" si="392"/>
        <v>0</v>
      </c>
      <c r="AH140" s="213">
        <f t="shared" si="392"/>
        <v>0</v>
      </c>
      <c r="AI140" s="213">
        <f t="shared" si="392"/>
        <v>0</v>
      </c>
      <c r="AJ140" s="213">
        <f t="shared" si="392"/>
        <v>0</v>
      </c>
      <c r="AK140" s="213">
        <f t="shared" si="392"/>
        <v>0</v>
      </c>
      <c r="AL140" s="213">
        <f t="shared" si="392"/>
        <v>0</v>
      </c>
      <c r="AM140" s="213">
        <f t="shared" si="392"/>
        <v>0</v>
      </c>
      <c r="AN140" s="213">
        <f t="shared" si="392"/>
        <v>0</v>
      </c>
      <c r="AO140" s="213">
        <f t="shared" si="392"/>
        <v>0</v>
      </c>
      <c r="AP140" s="213">
        <f t="shared" si="392"/>
        <v>0</v>
      </c>
      <c r="AQ140" s="213">
        <f t="shared" si="392"/>
        <v>0</v>
      </c>
      <c r="AR140" s="213">
        <f t="shared" si="392"/>
        <v>0</v>
      </c>
      <c r="AS140" s="213">
        <f t="shared" si="392"/>
        <v>0</v>
      </c>
      <c r="AT140" s="213">
        <f t="shared" si="392"/>
        <v>0</v>
      </c>
      <c r="AU140" s="213">
        <f t="shared" si="392"/>
        <v>0</v>
      </c>
      <c r="AV140" s="213">
        <f t="shared" si="392"/>
        <v>0</v>
      </c>
      <c r="AW140" s="213">
        <f t="shared" si="392"/>
        <v>0</v>
      </c>
      <c r="AX140" s="213">
        <f t="shared" si="392"/>
        <v>0</v>
      </c>
    </row>
    <row r="141" spans="1:50" ht="14.25" customHeight="1">
      <c r="A141" s="44"/>
      <c r="B141" s="205"/>
      <c r="C141" s="212" t="s">
        <v>407</v>
      </c>
      <c r="D141" s="249"/>
      <c r="E141" s="159">
        <f>_xlfn.XLOOKUP(E$134, 'Real Estate'!$D$25:$BA$25, 'Real Estate'!$D32:$BA32)+_xlfn.XLOOKUP(E$134, 'GEN-CCGT'!$D$32:$BA$32, 'GEN-CCGT'!$D39:$BA39)+_xlfn.XLOOKUP(E$134, 'GEN-SOLAR'!$D$32:$BA$32, 'GEN-SOLAR'!$D39:$BA39)+_xlfn.XLOOKUP(E$134, 'GEN-BESS'!$D$32:$BA$32, 'GEN-BESS'!$D39:$BA39)+_xlfn.XLOOKUP(E$134, 'GEN-CARBON'!$D$32:$BA$32, 'GEN-CARBON'!$D39:$BA39)+_xlfn.XLOOKUP(E$134, Load!$D$32:$BA$32, Load!$D39:$BA39)+_xlfn.XLOOKUP(E$134, Hydrogen!$D$32:$BA$32, Hydrogen!$D39:$BA39)+_xlfn.XLOOKUP(E$134, 'SENS Tires'!$D$32:$BA$32, 'SENS Tires'!$D39:$BA39)+_xlfn.XLOOKUP(E$134, 'SENS Coal'!$D$32:$BA$32, 'SENS Coal'!$D39:$BA39)</f>
        <v>0</v>
      </c>
      <c r="F141" s="159">
        <f>_xlfn.XLOOKUP(F$134, 'Real Estate'!$D$25:$BA$25, 'Real Estate'!$D32:$BA32)+_xlfn.XLOOKUP(F$134, 'GEN-CCGT'!$D$32:$BA$32, 'GEN-CCGT'!$D39:$BA39)+_xlfn.XLOOKUP(F$134, 'GEN-SOLAR'!$D$32:$BA$32, 'GEN-SOLAR'!$D39:$BA39)+_xlfn.XLOOKUP(F$134, 'GEN-BESS'!$D$32:$BA$32, 'GEN-BESS'!$D39:$BA39)+_xlfn.XLOOKUP(F$134, 'GEN-CARBON'!$D$32:$BA$32, 'GEN-CARBON'!$D39:$BA39)+_xlfn.XLOOKUP(F$134, Load!$D$32:$BA$32, Load!$D39:$BA39)+_xlfn.XLOOKUP(F$134, Hydrogen!$D$32:$BA$32, Hydrogen!$D39:$BA39)+_xlfn.XLOOKUP(F$134, 'SENS Tires'!$D$32:$BA$32, 'SENS Tires'!$D39:$BA39)+_xlfn.XLOOKUP(F$134, 'SENS Coal'!$D$32:$BA$32, 'SENS Coal'!$D39:$BA39)</f>
        <v>0</v>
      </c>
      <c r="G141" s="159">
        <f>_xlfn.XLOOKUP(G$134, 'Real Estate'!$D$25:$BA$25, 'Real Estate'!$D32:$BA32)+_xlfn.XLOOKUP(G$134, 'GEN-CCGT'!$D$32:$BA$32, 'GEN-CCGT'!$D39:$BA39)+_xlfn.XLOOKUP(G$134, 'GEN-SOLAR'!$D$32:$BA$32, 'GEN-SOLAR'!$D39:$BA39)+_xlfn.XLOOKUP(G$134, 'GEN-BESS'!$D$32:$BA$32, 'GEN-BESS'!$D39:$BA39)+_xlfn.XLOOKUP(G$134, 'GEN-CARBON'!$D$32:$BA$32, 'GEN-CARBON'!$D39:$BA39)+_xlfn.XLOOKUP(G$134, Load!$D$32:$BA$32, Load!$D39:$BA39)+_xlfn.XLOOKUP(G$134, Hydrogen!$D$32:$BA$32, Hydrogen!$D39:$BA39)+_xlfn.XLOOKUP(G$134, 'SENS Tires'!$D$32:$BA$32, 'SENS Tires'!$D39:$BA39)+_xlfn.XLOOKUP(G$134, 'SENS Coal'!$D$32:$BA$32, 'SENS Coal'!$D39:$BA39)</f>
        <v>0</v>
      </c>
      <c r="H141" s="159">
        <f>_xlfn.XLOOKUP(H$134, 'Real Estate'!$D$25:$BA$25, 'Real Estate'!$D32:$BA32)+_xlfn.XLOOKUP(H$134, 'GEN-CCGT'!$D$32:$BA$32, 'GEN-CCGT'!$D39:$BA39)+_xlfn.XLOOKUP(H$134, 'GEN-SOLAR'!$D$32:$BA$32, 'GEN-SOLAR'!$D39:$BA39)+_xlfn.XLOOKUP(H$134, 'GEN-BESS'!$D$32:$BA$32, 'GEN-BESS'!$D39:$BA39)+_xlfn.XLOOKUP(H$134, 'GEN-CARBON'!$D$32:$BA$32, 'GEN-CARBON'!$D39:$BA39)+_xlfn.XLOOKUP(H$134, Load!$D$32:$BA$32, Load!$D39:$BA39)+_xlfn.XLOOKUP(H$134, Hydrogen!$D$32:$BA$32, Hydrogen!$D39:$BA39)+_xlfn.XLOOKUP(H$134, 'SENS Tires'!$D$32:$BA$32, 'SENS Tires'!$D39:$BA39)+_xlfn.XLOOKUP(H$134, 'SENS Coal'!$D$32:$BA$32, 'SENS Coal'!$D39:$BA39)</f>
        <v>0</v>
      </c>
      <c r="I141" s="159">
        <f>_xlfn.XLOOKUP(I$134, 'Real Estate'!$D$25:$BA$25, 'Real Estate'!$D32:$BA32)+_xlfn.XLOOKUP(I$134, 'GEN-CCGT'!$D$32:$BA$32, 'GEN-CCGT'!$D39:$BA39)+_xlfn.XLOOKUP(I$134, 'GEN-SOLAR'!$D$32:$BA$32, 'GEN-SOLAR'!$D39:$BA39)+_xlfn.XLOOKUP(I$134, 'GEN-BESS'!$D$32:$BA$32, 'GEN-BESS'!$D39:$BA39)+_xlfn.XLOOKUP(I$134, 'GEN-CARBON'!$D$32:$BA$32, 'GEN-CARBON'!$D39:$BA39)+_xlfn.XLOOKUP(I$134, Load!$D$32:$BA$32, Load!$D39:$BA39)+_xlfn.XLOOKUP(I$134, Hydrogen!$D$32:$BA$32, Hydrogen!$D39:$BA39)+_xlfn.XLOOKUP(I$134, 'SENS Tires'!$D$32:$BA$32, 'SENS Tires'!$D39:$BA39)+_xlfn.XLOOKUP(I$134, 'SENS Coal'!$D$32:$BA$32, 'SENS Coal'!$D39:$BA39)</f>
        <v>0</v>
      </c>
      <c r="J141" s="159">
        <f>_xlfn.XLOOKUP(J$134, 'Real Estate'!$D$25:$BA$25, 'Real Estate'!$D32:$BA32)+_xlfn.XLOOKUP(J$134, 'GEN-CCGT'!$D$32:$BA$32, 'GEN-CCGT'!$D39:$BA39)+_xlfn.XLOOKUP(J$134, 'GEN-SOLAR'!$D$32:$BA$32, 'GEN-SOLAR'!$D39:$BA39)+_xlfn.XLOOKUP(J$134, 'GEN-BESS'!$D$32:$BA$32, 'GEN-BESS'!$D39:$BA39)+_xlfn.XLOOKUP(J$134, 'GEN-CARBON'!$D$32:$BA$32, 'GEN-CARBON'!$D39:$BA39)+_xlfn.XLOOKUP(J$134, Load!$D$32:$BA$32, Load!$D39:$BA39)+_xlfn.XLOOKUP(J$134, Hydrogen!$D$32:$BA$32, Hydrogen!$D39:$BA39)+_xlfn.XLOOKUP(J$134, 'SENS Tires'!$D$32:$BA$32, 'SENS Tires'!$D39:$BA39)+_xlfn.XLOOKUP(J$134, 'SENS Coal'!$D$32:$BA$32, 'SENS Coal'!$D39:$BA39)</f>
        <v>0</v>
      </c>
      <c r="K141" s="159">
        <f>_xlfn.XLOOKUP(K$134, 'Real Estate'!$D$25:$BA$25, 'Real Estate'!$D32:$BA32)+_xlfn.XLOOKUP(K$134, 'GEN-CCGT'!$D$32:$BA$32, 'GEN-CCGT'!$D39:$BA39)+_xlfn.XLOOKUP(K$134, 'GEN-SOLAR'!$D$32:$BA$32, 'GEN-SOLAR'!$D39:$BA39)+_xlfn.XLOOKUP(K$134, 'GEN-BESS'!$D$32:$BA$32, 'GEN-BESS'!$D39:$BA39)+_xlfn.XLOOKUP(K$134, 'GEN-CARBON'!$D$32:$BA$32, 'GEN-CARBON'!$D39:$BA39)+_xlfn.XLOOKUP(K$134, Load!$D$32:$BA$32, Load!$D39:$BA39)+_xlfn.XLOOKUP(K$134, Hydrogen!$D$32:$BA$32, Hydrogen!$D39:$BA39)+_xlfn.XLOOKUP(K$134, 'SENS Tires'!$D$32:$BA$32, 'SENS Tires'!$D39:$BA39)+_xlfn.XLOOKUP(K$134, 'SENS Coal'!$D$32:$BA$32, 'SENS Coal'!$D39:$BA39)</f>
        <v>0</v>
      </c>
      <c r="L141" s="159">
        <f>_xlfn.XLOOKUP(L$134, 'Real Estate'!$D$25:$BA$25, 'Real Estate'!$D32:$BA32)+_xlfn.XLOOKUP(L$134, 'GEN-CCGT'!$D$32:$BA$32, 'GEN-CCGT'!$D39:$BA39)+_xlfn.XLOOKUP(L$134, 'GEN-SOLAR'!$D$32:$BA$32, 'GEN-SOLAR'!$D39:$BA39)+_xlfn.XLOOKUP(L$134, 'GEN-BESS'!$D$32:$BA$32, 'GEN-BESS'!$D39:$BA39)+_xlfn.XLOOKUP(L$134, 'GEN-CARBON'!$D$32:$BA$32, 'GEN-CARBON'!$D39:$BA39)+_xlfn.XLOOKUP(L$134, Load!$D$32:$BA$32, Load!$D39:$BA39)+_xlfn.XLOOKUP(L$134, Hydrogen!$D$32:$BA$32, Hydrogen!$D39:$BA39)+_xlfn.XLOOKUP(L$134, 'SENS Tires'!$D$32:$BA$32, 'SENS Tires'!$D39:$BA39)+_xlfn.XLOOKUP(L$134, 'SENS Coal'!$D$32:$BA$32, 'SENS Coal'!$D39:$BA39)</f>
        <v>0</v>
      </c>
      <c r="M141" s="159">
        <f>_xlfn.XLOOKUP(M$134, 'Real Estate'!$D$25:$BA$25, 'Real Estate'!$D32:$BA32)+_xlfn.XLOOKUP(M$134, 'GEN-CCGT'!$D$32:$BA$32, 'GEN-CCGT'!$D39:$BA39)+_xlfn.XLOOKUP(M$134, 'GEN-SOLAR'!$D$32:$BA$32, 'GEN-SOLAR'!$D39:$BA39)+_xlfn.XLOOKUP(M$134, 'GEN-BESS'!$D$32:$BA$32, 'GEN-BESS'!$D39:$BA39)+_xlfn.XLOOKUP(M$134, 'GEN-CARBON'!$D$32:$BA$32, 'GEN-CARBON'!$D39:$BA39)+_xlfn.XLOOKUP(M$134, Load!$D$32:$BA$32, Load!$D39:$BA39)+_xlfn.XLOOKUP(M$134, Hydrogen!$D$32:$BA$32, Hydrogen!$D39:$BA39)+_xlfn.XLOOKUP(M$134, 'SENS Tires'!$D$32:$BA$32, 'SENS Tires'!$D39:$BA39)+_xlfn.XLOOKUP(M$134, 'SENS Coal'!$D$32:$BA$32, 'SENS Coal'!$D39:$BA39)</f>
        <v>0</v>
      </c>
      <c r="N141" s="159">
        <f>_xlfn.XLOOKUP(N$134, 'Real Estate'!$D$25:$BA$25, 'Real Estate'!$D32:$BA32)+_xlfn.XLOOKUP(N$134, 'GEN-CCGT'!$D$32:$BA$32, 'GEN-CCGT'!$D39:$BA39)+_xlfn.XLOOKUP(N$134, 'GEN-SOLAR'!$D$32:$BA$32, 'GEN-SOLAR'!$D39:$BA39)+_xlfn.XLOOKUP(N$134, 'GEN-BESS'!$D$32:$BA$32, 'GEN-BESS'!$D39:$BA39)+_xlfn.XLOOKUP(N$134, 'GEN-CARBON'!$D$32:$BA$32, 'GEN-CARBON'!$D39:$BA39)+_xlfn.XLOOKUP(N$134, Load!$D$32:$BA$32, Load!$D39:$BA39)+_xlfn.XLOOKUP(N$134, Hydrogen!$D$32:$BA$32, Hydrogen!$D39:$BA39)+_xlfn.XLOOKUP(N$134, 'SENS Tires'!$D$32:$BA$32, 'SENS Tires'!$D39:$BA39)+_xlfn.XLOOKUP(N$134, 'SENS Coal'!$D$32:$BA$32, 'SENS Coal'!$D39:$BA39)</f>
        <v>0</v>
      </c>
      <c r="O141" s="159">
        <f>_xlfn.XLOOKUP(O$134, 'Real Estate'!$D$25:$BA$25, 'Real Estate'!$D32:$BA32)+_xlfn.XLOOKUP(O$134, 'GEN-CCGT'!$D$32:$BA$32, 'GEN-CCGT'!$D39:$BA39)+_xlfn.XLOOKUP(O$134, 'GEN-SOLAR'!$D$32:$BA$32, 'GEN-SOLAR'!$D39:$BA39)+_xlfn.XLOOKUP(O$134, 'GEN-BESS'!$D$32:$BA$32, 'GEN-BESS'!$D39:$BA39)+_xlfn.XLOOKUP(O$134, 'GEN-CARBON'!$D$32:$BA$32, 'GEN-CARBON'!$D39:$BA39)+_xlfn.XLOOKUP(O$134, Load!$D$32:$BA$32, Load!$D39:$BA39)+_xlfn.XLOOKUP(O$134, Hydrogen!$D$32:$BA$32, Hydrogen!$D39:$BA39)+_xlfn.XLOOKUP(O$134, 'SENS Tires'!$D$32:$BA$32, 'SENS Tires'!$D39:$BA39)+_xlfn.XLOOKUP(O$134, 'SENS Coal'!$D$32:$BA$32, 'SENS Coal'!$D39:$BA39)</f>
        <v>0</v>
      </c>
      <c r="P141" s="159">
        <f>_xlfn.XLOOKUP(P$134, 'Real Estate'!$D$25:$BA$25, 'Real Estate'!$D32:$BA32)+_xlfn.XLOOKUP(P$134, 'GEN-CCGT'!$D$32:$BA$32, 'GEN-CCGT'!$D39:$BA39)+_xlfn.XLOOKUP(P$134, 'GEN-SOLAR'!$D$32:$BA$32, 'GEN-SOLAR'!$D39:$BA39)+_xlfn.XLOOKUP(P$134, 'GEN-BESS'!$D$32:$BA$32, 'GEN-BESS'!$D39:$BA39)+_xlfn.XLOOKUP(P$134, 'GEN-CARBON'!$D$32:$BA$32, 'GEN-CARBON'!$D39:$BA39)+_xlfn.XLOOKUP(P$134, Load!$D$32:$BA$32, Load!$D39:$BA39)+_xlfn.XLOOKUP(P$134, Hydrogen!$D$32:$BA$32, Hydrogen!$D39:$BA39)+_xlfn.XLOOKUP(P$134, 'SENS Tires'!$D$32:$BA$32, 'SENS Tires'!$D39:$BA39)+_xlfn.XLOOKUP(P$134, 'SENS Coal'!$D$32:$BA$32, 'SENS Coal'!$D39:$BA39)</f>
        <v>0</v>
      </c>
      <c r="Q141" s="159">
        <f>_xlfn.XLOOKUP(Q$134, 'Real Estate'!$D$25:$BA$25, 'Real Estate'!$D32:$BA32)+_xlfn.XLOOKUP(Q$134, 'GEN-CCGT'!$D$32:$BA$32, 'GEN-CCGT'!$D39:$BA39)+_xlfn.XLOOKUP(Q$134, 'GEN-SOLAR'!$D$32:$BA$32, 'GEN-SOLAR'!$D39:$BA39)+_xlfn.XLOOKUP(Q$134, 'GEN-BESS'!$D$32:$BA$32, 'GEN-BESS'!$D39:$BA39)+_xlfn.XLOOKUP(Q$134, 'GEN-CARBON'!$D$32:$BA$32, 'GEN-CARBON'!$D39:$BA39)+_xlfn.XLOOKUP(Q$134, Load!$D$32:$BA$32, Load!$D39:$BA39)+_xlfn.XLOOKUP(Q$134, Hydrogen!$D$32:$BA$32, Hydrogen!$D39:$BA39)+_xlfn.XLOOKUP(Q$134, 'SENS Tires'!$D$32:$BA$32, 'SENS Tires'!$D39:$BA39)+_xlfn.XLOOKUP(Q$134, 'SENS Coal'!$D$32:$BA$32, 'SENS Coal'!$D39:$BA39)</f>
        <v>0</v>
      </c>
      <c r="R141" s="159">
        <f>_xlfn.XLOOKUP(R$134, 'Real Estate'!$D$25:$BA$25, 'Real Estate'!$D32:$BA32)+_xlfn.XLOOKUP(R$134, 'GEN-CCGT'!$D$32:$BA$32, 'GEN-CCGT'!$D39:$BA39)+_xlfn.XLOOKUP(R$134, 'GEN-SOLAR'!$D$32:$BA$32, 'GEN-SOLAR'!$D39:$BA39)+_xlfn.XLOOKUP(R$134, 'GEN-BESS'!$D$32:$BA$32, 'GEN-BESS'!$D39:$BA39)+_xlfn.XLOOKUP(R$134, 'GEN-CARBON'!$D$32:$BA$32, 'GEN-CARBON'!$D39:$BA39)+_xlfn.XLOOKUP(R$134, Load!$D$32:$BA$32, Load!$D39:$BA39)+_xlfn.XLOOKUP(R$134, Hydrogen!$D$32:$BA$32, Hydrogen!$D39:$BA39)+_xlfn.XLOOKUP(R$134, 'SENS Tires'!$D$32:$BA$32, 'SENS Tires'!$D39:$BA39)+_xlfn.XLOOKUP(R$134, 'SENS Coal'!$D$32:$BA$32, 'SENS Coal'!$D39:$BA39)</f>
        <v>0</v>
      </c>
      <c r="S141" s="159">
        <f>_xlfn.XLOOKUP(S$134, 'Real Estate'!$D$25:$BA$25, 'Real Estate'!$D32:$BA32)+_xlfn.XLOOKUP(S$134, 'GEN-CCGT'!$D$32:$BA$32, 'GEN-CCGT'!$D39:$BA39)+_xlfn.XLOOKUP(S$134, 'GEN-SOLAR'!$D$32:$BA$32, 'GEN-SOLAR'!$D39:$BA39)+_xlfn.XLOOKUP(S$134, 'GEN-BESS'!$D$32:$BA$32, 'GEN-BESS'!$D39:$BA39)+_xlfn.XLOOKUP(S$134, 'GEN-CARBON'!$D$32:$BA$32, 'GEN-CARBON'!$D39:$BA39)+_xlfn.XLOOKUP(S$134, Load!$D$32:$BA$32, Load!$D39:$BA39)+_xlfn.XLOOKUP(S$134, Hydrogen!$D$32:$BA$32, Hydrogen!$D39:$BA39)+_xlfn.XLOOKUP(S$134, 'SENS Tires'!$D$32:$BA$32, 'SENS Tires'!$D39:$BA39)+_xlfn.XLOOKUP(S$134, 'SENS Coal'!$D$32:$BA$32, 'SENS Coal'!$D39:$BA39)</f>
        <v>0</v>
      </c>
      <c r="T141" s="159">
        <f>_xlfn.XLOOKUP(T$134, 'Real Estate'!$D$25:$BA$25, 'Real Estate'!$D32:$BA32)+_xlfn.XLOOKUP(T$134, 'GEN-CCGT'!$D$32:$BA$32, 'GEN-CCGT'!$D39:$BA39)+_xlfn.XLOOKUP(T$134, 'GEN-SOLAR'!$D$32:$BA$32, 'GEN-SOLAR'!$D39:$BA39)+_xlfn.XLOOKUP(T$134, 'GEN-BESS'!$D$32:$BA$32, 'GEN-BESS'!$D39:$BA39)+_xlfn.XLOOKUP(T$134, 'GEN-CARBON'!$D$32:$BA$32, 'GEN-CARBON'!$D39:$BA39)+_xlfn.XLOOKUP(T$134, Load!$D$32:$BA$32, Load!$D39:$BA39)+_xlfn.XLOOKUP(T$134, Hydrogen!$D$32:$BA$32, Hydrogen!$D39:$BA39)+_xlfn.XLOOKUP(T$134, 'SENS Tires'!$D$32:$BA$32, 'SENS Tires'!$D39:$BA39)+_xlfn.XLOOKUP(T$134, 'SENS Coal'!$D$32:$BA$32, 'SENS Coal'!$D39:$BA39)</f>
        <v>0</v>
      </c>
      <c r="U141" s="159">
        <f>_xlfn.XLOOKUP(U$134, 'Real Estate'!$D$25:$BA$25, 'Real Estate'!$D32:$BA32)+_xlfn.XLOOKUP(U$134, 'GEN-CCGT'!$D$32:$BA$32, 'GEN-CCGT'!$D39:$BA39)+_xlfn.XLOOKUP(U$134, 'GEN-SOLAR'!$D$32:$BA$32, 'GEN-SOLAR'!$D39:$BA39)+_xlfn.XLOOKUP(U$134, 'GEN-BESS'!$D$32:$BA$32, 'GEN-BESS'!$D39:$BA39)+_xlfn.XLOOKUP(U$134, 'GEN-CARBON'!$D$32:$BA$32, 'GEN-CARBON'!$D39:$BA39)+_xlfn.XLOOKUP(U$134, Load!$D$32:$BA$32, Load!$D39:$BA39)+_xlfn.XLOOKUP(U$134, Hydrogen!$D$32:$BA$32, Hydrogen!$D39:$BA39)+_xlfn.XLOOKUP(U$134, 'SENS Tires'!$D$32:$BA$32, 'SENS Tires'!$D39:$BA39)+_xlfn.XLOOKUP(U$134, 'SENS Coal'!$D$32:$BA$32, 'SENS Coal'!$D39:$BA39)</f>
        <v>0</v>
      </c>
      <c r="V141" s="159">
        <f>_xlfn.XLOOKUP(V$134, 'Real Estate'!$D$25:$BA$25, 'Real Estate'!$D32:$BA32)+_xlfn.XLOOKUP(V$134, 'GEN-CCGT'!$D$32:$BA$32, 'GEN-CCGT'!$D39:$BA39)+_xlfn.XLOOKUP(V$134, 'GEN-SOLAR'!$D$32:$BA$32, 'GEN-SOLAR'!$D39:$BA39)+_xlfn.XLOOKUP(V$134, 'GEN-BESS'!$D$32:$BA$32, 'GEN-BESS'!$D39:$BA39)+_xlfn.XLOOKUP(V$134, 'GEN-CARBON'!$D$32:$BA$32, 'GEN-CARBON'!$D39:$BA39)+_xlfn.XLOOKUP(V$134, Load!$D$32:$BA$32, Load!$D39:$BA39)+_xlfn.XLOOKUP(V$134, Hydrogen!$D$32:$BA$32, Hydrogen!$D39:$BA39)+_xlfn.XLOOKUP(V$134, 'SENS Tires'!$D$32:$BA$32, 'SENS Tires'!$D39:$BA39)+_xlfn.XLOOKUP(V$134, 'SENS Coal'!$D$32:$BA$32, 'SENS Coal'!$D39:$BA39)</f>
        <v>0</v>
      </c>
      <c r="W141" s="159">
        <f>_xlfn.XLOOKUP(W$134, 'Real Estate'!$D$25:$BA$25, 'Real Estate'!$D32:$BA32)+_xlfn.XLOOKUP(W$134, 'GEN-CCGT'!$D$32:$BA$32, 'GEN-CCGT'!$D39:$BA39)+_xlfn.XLOOKUP(W$134, 'GEN-SOLAR'!$D$32:$BA$32, 'GEN-SOLAR'!$D39:$BA39)+_xlfn.XLOOKUP(W$134, 'GEN-BESS'!$D$32:$BA$32, 'GEN-BESS'!$D39:$BA39)+_xlfn.XLOOKUP(W$134, 'GEN-CARBON'!$D$32:$BA$32, 'GEN-CARBON'!$D39:$BA39)+_xlfn.XLOOKUP(W$134, Load!$D$32:$BA$32, Load!$D39:$BA39)+_xlfn.XLOOKUP(W$134, Hydrogen!$D$32:$BA$32, Hydrogen!$D39:$BA39)+_xlfn.XLOOKUP(W$134, 'SENS Tires'!$D$32:$BA$32, 'SENS Tires'!$D39:$BA39)+_xlfn.XLOOKUP(W$134, 'SENS Coal'!$D$32:$BA$32, 'SENS Coal'!$D39:$BA39)</f>
        <v>0</v>
      </c>
      <c r="X141" s="159">
        <f>_xlfn.XLOOKUP(X$134, 'Real Estate'!$D$25:$BA$25, 'Real Estate'!$D32:$BA32)+_xlfn.XLOOKUP(X$134, 'GEN-CCGT'!$D$32:$BA$32, 'GEN-CCGT'!$D39:$BA39)+_xlfn.XLOOKUP(X$134, 'GEN-SOLAR'!$D$32:$BA$32, 'GEN-SOLAR'!$D39:$BA39)+_xlfn.XLOOKUP(X$134, 'GEN-BESS'!$D$32:$BA$32, 'GEN-BESS'!$D39:$BA39)+_xlfn.XLOOKUP(X$134, 'GEN-CARBON'!$D$32:$BA$32, 'GEN-CARBON'!$D39:$BA39)+_xlfn.XLOOKUP(X$134, Load!$D$32:$BA$32, Load!$D39:$BA39)+_xlfn.XLOOKUP(X$134, Hydrogen!$D$32:$BA$32, Hydrogen!$D39:$BA39)+_xlfn.XLOOKUP(X$134, 'SENS Tires'!$D$32:$BA$32, 'SENS Tires'!$D39:$BA39)+_xlfn.XLOOKUP(X$134, 'SENS Coal'!$D$32:$BA$32, 'SENS Coal'!$D39:$BA39)</f>
        <v>0</v>
      </c>
      <c r="Y141" s="159">
        <f>_xlfn.XLOOKUP(Y$134, 'Real Estate'!$D$25:$BA$25, 'Real Estate'!$D32:$BA32)+_xlfn.XLOOKUP(Y$134, 'GEN-CCGT'!$D$32:$BA$32, 'GEN-CCGT'!$D39:$BA39)+_xlfn.XLOOKUP(Y$134, 'GEN-SOLAR'!$D$32:$BA$32, 'GEN-SOLAR'!$D39:$BA39)+_xlfn.XLOOKUP(Y$134, 'GEN-BESS'!$D$32:$BA$32, 'GEN-BESS'!$D39:$BA39)+_xlfn.XLOOKUP(Y$134, 'GEN-CARBON'!$D$32:$BA$32, 'GEN-CARBON'!$D39:$BA39)+_xlfn.XLOOKUP(Y$134, Load!$D$32:$BA$32, Load!$D39:$BA39)+_xlfn.XLOOKUP(Y$134, Hydrogen!$D$32:$BA$32, Hydrogen!$D39:$BA39)+_xlfn.XLOOKUP(Y$134, 'SENS Tires'!$D$32:$BA$32, 'SENS Tires'!$D39:$BA39)+_xlfn.XLOOKUP(Y$134, 'SENS Coal'!$D$32:$BA$32, 'SENS Coal'!$D39:$BA39)</f>
        <v>0</v>
      </c>
      <c r="Z141" s="159">
        <f>_xlfn.XLOOKUP(Z$134, 'Real Estate'!$D$25:$BA$25, 'Real Estate'!$D32:$BA32)+_xlfn.XLOOKUP(Z$134, 'GEN-CCGT'!$D$32:$BA$32, 'GEN-CCGT'!$D39:$BA39)+_xlfn.XLOOKUP(Z$134, 'GEN-SOLAR'!$D$32:$BA$32, 'GEN-SOLAR'!$D39:$BA39)+_xlfn.XLOOKUP(Z$134, 'GEN-BESS'!$D$32:$BA$32, 'GEN-BESS'!$D39:$BA39)+_xlfn.XLOOKUP(Z$134, 'GEN-CARBON'!$D$32:$BA$32, 'GEN-CARBON'!$D39:$BA39)+_xlfn.XLOOKUP(Z$134, Load!$D$32:$BA$32, Load!$D39:$BA39)+_xlfn.XLOOKUP(Z$134, Hydrogen!$D$32:$BA$32, Hydrogen!$D39:$BA39)+_xlfn.XLOOKUP(Z$134, 'SENS Tires'!$D$32:$BA$32, 'SENS Tires'!$D39:$BA39)+_xlfn.XLOOKUP(Z$134, 'SENS Coal'!$D$32:$BA$32, 'SENS Coal'!$D39:$BA39)</f>
        <v>0</v>
      </c>
      <c r="AA141" s="159">
        <f>_xlfn.XLOOKUP(AA$134, 'Real Estate'!$D$25:$BA$25, 'Real Estate'!$D32:$BA32)+_xlfn.XLOOKUP(AA$134, 'GEN-CCGT'!$D$32:$BA$32, 'GEN-CCGT'!$D39:$BA39)+_xlfn.XLOOKUP(AA$134, 'GEN-SOLAR'!$D$32:$BA$32, 'GEN-SOLAR'!$D39:$BA39)+_xlfn.XLOOKUP(AA$134, 'GEN-BESS'!$D$32:$BA$32, 'GEN-BESS'!$D39:$BA39)+_xlfn.XLOOKUP(AA$134, 'GEN-CARBON'!$D$32:$BA$32, 'GEN-CARBON'!$D39:$BA39)+_xlfn.XLOOKUP(AA$134, Load!$D$32:$BA$32, Load!$D39:$BA39)+_xlfn.XLOOKUP(AA$134, Hydrogen!$D$32:$BA$32, Hydrogen!$D39:$BA39)+_xlfn.XLOOKUP(AA$134, 'SENS Tires'!$D$32:$BA$32, 'SENS Tires'!$D39:$BA39)+_xlfn.XLOOKUP(AA$134, 'SENS Coal'!$D$32:$BA$32, 'SENS Coal'!$D39:$BA39)</f>
        <v>0</v>
      </c>
      <c r="AB141" s="159">
        <f>_xlfn.XLOOKUP(AB$134, 'Real Estate'!$D$25:$BA$25, 'Real Estate'!$D32:$BA32)+_xlfn.XLOOKUP(AB$134, 'GEN-CCGT'!$D$32:$BA$32, 'GEN-CCGT'!$D39:$BA39)+_xlfn.XLOOKUP(AB$134, 'GEN-SOLAR'!$D$32:$BA$32, 'GEN-SOLAR'!$D39:$BA39)+_xlfn.XLOOKUP(AB$134, 'GEN-BESS'!$D$32:$BA$32, 'GEN-BESS'!$D39:$BA39)+_xlfn.XLOOKUP(AB$134, 'GEN-CARBON'!$D$32:$BA$32, 'GEN-CARBON'!$D39:$BA39)+_xlfn.XLOOKUP(AB$134, Load!$D$32:$BA$32, Load!$D39:$BA39)+_xlfn.XLOOKUP(AB$134, Hydrogen!$D$32:$BA$32, Hydrogen!$D39:$BA39)+_xlfn.XLOOKUP(AB$134, 'SENS Tires'!$D$32:$BA$32, 'SENS Tires'!$D39:$BA39)+_xlfn.XLOOKUP(AB$134, 'SENS Coal'!$D$32:$BA$32, 'SENS Coal'!$D39:$BA39)</f>
        <v>0</v>
      </c>
      <c r="AC141" s="159">
        <f>_xlfn.XLOOKUP(AC$134, 'Real Estate'!$D$25:$BA$25, 'Real Estate'!$D32:$BA32)+_xlfn.XLOOKUP(AC$134, 'GEN-CCGT'!$D$32:$BA$32, 'GEN-CCGT'!$D39:$BA39)+_xlfn.XLOOKUP(AC$134, 'GEN-SOLAR'!$D$32:$BA$32, 'GEN-SOLAR'!$D39:$BA39)+_xlfn.XLOOKUP(AC$134, 'GEN-BESS'!$D$32:$BA$32, 'GEN-BESS'!$D39:$BA39)+_xlfn.XLOOKUP(AC$134, 'GEN-CARBON'!$D$32:$BA$32, 'GEN-CARBON'!$D39:$BA39)+_xlfn.XLOOKUP(AC$134, Load!$D$32:$BA$32, Load!$D39:$BA39)+_xlfn.XLOOKUP(AC$134, Hydrogen!$D$32:$BA$32, Hydrogen!$D39:$BA39)+_xlfn.XLOOKUP(AC$134, 'SENS Tires'!$D$32:$BA$32, 'SENS Tires'!$D39:$BA39)+_xlfn.XLOOKUP(AC$134, 'SENS Coal'!$D$32:$BA$32, 'SENS Coal'!$D39:$BA39)</f>
        <v>0</v>
      </c>
      <c r="AD141" s="159">
        <f>_xlfn.XLOOKUP(AD$134, 'Real Estate'!$D$25:$BA$25, 'Real Estate'!$D32:$BA32)+_xlfn.XLOOKUP(AD$134, 'GEN-CCGT'!$D$32:$BA$32, 'GEN-CCGT'!$D39:$BA39)+_xlfn.XLOOKUP(AD$134, 'GEN-SOLAR'!$D$32:$BA$32, 'GEN-SOLAR'!$D39:$BA39)+_xlfn.XLOOKUP(AD$134, 'GEN-BESS'!$D$32:$BA$32, 'GEN-BESS'!$D39:$BA39)+_xlfn.XLOOKUP(AD$134, 'GEN-CARBON'!$D$32:$BA$32, 'GEN-CARBON'!$D39:$BA39)+_xlfn.XLOOKUP(AD$134, Load!$D$32:$BA$32, Load!$D39:$BA39)+_xlfn.XLOOKUP(AD$134, Hydrogen!$D$32:$BA$32, Hydrogen!$D39:$BA39)+_xlfn.XLOOKUP(AD$134, 'SENS Tires'!$D$32:$BA$32, 'SENS Tires'!$D39:$BA39)+_xlfn.XLOOKUP(AD$134, 'SENS Coal'!$D$32:$BA$32, 'SENS Coal'!$D39:$BA39)</f>
        <v>0</v>
      </c>
      <c r="AE141" s="159">
        <f>_xlfn.XLOOKUP(AE$134, 'Real Estate'!$D$25:$BA$25, 'Real Estate'!$D32:$BA32)+_xlfn.XLOOKUP(AE$134, 'GEN-CCGT'!$D$32:$BA$32, 'GEN-CCGT'!$D39:$BA39)+_xlfn.XLOOKUP(AE$134, 'GEN-SOLAR'!$D$32:$BA$32, 'GEN-SOLAR'!$D39:$BA39)+_xlfn.XLOOKUP(AE$134, 'GEN-BESS'!$D$32:$BA$32, 'GEN-BESS'!$D39:$BA39)+_xlfn.XLOOKUP(AE$134, 'GEN-CARBON'!$D$32:$BA$32, 'GEN-CARBON'!$D39:$BA39)+_xlfn.XLOOKUP(AE$134, Load!$D$32:$BA$32, Load!$D39:$BA39)+_xlfn.XLOOKUP(AE$134, Hydrogen!$D$32:$BA$32, Hydrogen!$D39:$BA39)+_xlfn.XLOOKUP(AE$134, 'SENS Tires'!$D$32:$BA$32, 'SENS Tires'!$D39:$BA39)+_xlfn.XLOOKUP(AE$134, 'SENS Coal'!$D$32:$BA$32, 'SENS Coal'!$D39:$BA39)</f>
        <v>0</v>
      </c>
      <c r="AF141" s="159">
        <f>_xlfn.XLOOKUP(AF$134, 'Real Estate'!$D$25:$BA$25, 'Real Estate'!$D32:$BA32)+_xlfn.XLOOKUP(AF$134, 'GEN-CCGT'!$D$32:$BA$32, 'GEN-CCGT'!$D39:$BA39)+_xlfn.XLOOKUP(AF$134, 'GEN-SOLAR'!$D$32:$BA$32, 'GEN-SOLAR'!$D39:$BA39)+_xlfn.XLOOKUP(AF$134, 'GEN-BESS'!$D$32:$BA$32, 'GEN-BESS'!$D39:$BA39)+_xlfn.XLOOKUP(AF$134, 'GEN-CARBON'!$D$32:$BA$32, 'GEN-CARBON'!$D39:$BA39)+_xlfn.XLOOKUP(AF$134, Load!$D$32:$BA$32, Load!$D39:$BA39)+_xlfn.XLOOKUP(AF$134, Hydrogen!$D$32:$BA$32, Hydrogen!$D39:$BA39)+_xlfn.XLOOKUP(AF$134, 'SENS Tires'!$D$32:$BA$32, 'SENS Tires'!$D39:$BA39)+_xlfn.XLOOKUP(AF$134, 'SENS Coal'!$D$32:$BA$32, 'SENS Coal'!$D39:$BA39)</f>
        <v>0</v>
      </c>
      <c r="AG141" s="159">
        <f>_xlfn.XLOOKUP(AG$134, 'Real Estate'!$D$25:$BA$25, 'Real Estate'!$D32:$BA32)+_xlfn.XLOOKUP(AG$134, 'GEN-CCGT'!$D$32:$BA$32, 'GEN-CCGT'!$D39:$BA39)+_xlfn.XLOOKUP(AG$134, 'GEN-SOLAR'!$D$32:$BA$32, 'GEN-SOLAR'!$D39:$BA39)+_xlfn.XLOOKUP(AG$134, 'GEN-BESS'!$D$32:$BA$32, 'GEN-BESS'!$D39:$BA39)+_xlfn.XLOOKUP(AG$134, 'GEN-CARBON'!$D$32:$BA$32, 'GEN-CARBON'!$D39:$BA39)+_xlfn.XLOOKUP(AG$134, Load!$D$32:$BA$32, Load!$D39:$BA39)+_xlfn.XLOOKUP(AG$134, Hydrogen!$D$32:$BA$32, Hydrogen!$D39:$BA39)+_xlfn.XLOOKUP(AG$134, 'SENS Tires'!$D$32:$BA$32, 'SENS Tires'!$D39:$BA39)+_xlfn.XLOOKUP(AG$134, 'SENS Coal'!$D$32:$BA$32, 'SENS Coal'!$D39:$BA39)</f>
        <v>0</v>
      </c>
      <c r="AH141" s="159">
        <f>_xlfn.XLOOKUP(AH$134, 'Real Estate'!$D$25:$BA$25, 'Real Estate'!$D32:$BA32)+_xlfn.XLOOKUP(AH$134, 'GEN-CCGT'!$D$32:$BA$32, 'GEN-CCGT'!$D39:$BA39)+_xlfn.XLOOKUP(AH$134, 'GEN-SOLAR'!$D$32:$BA$32, 'GEN-SOLAR'!$D39:$BA39)+_xlfn.XLOOKUP(AH$134, 'GEN-BESS'!$D$32:$BA$32, 'GEN-BESS'!$D39:$BA39)+_xlfn.XLOOKUP(AH$134, 'GEN-CARBON'!$D$32:$BA$32, 'GEN-CARBON'!$D39:$BA39)+_xlfn.XLOOKUP(AH$134, Load!$D$32:$BA$32, Load!$D39:$BA39)+_xlfn.XLOOKUP(AH$134, Hydrogen!$D$32:$BA$32, Hydrogen!$D39:$BA39)+_xlfn.XLOOKUP(AH$134, 'SENS Tires'!$D$32:$BA$32, 'SENS Tires'!$D39:$BA39)+_xlfn.XLOOKUP(AH$134, 'SENS Coal'!$D$32:$BA$32, 'SENS Coal'!$D39:$BA39)</f>
        <v>0</v>
      </c>
      <c r="AI141" s="159">
        <f>_xlfn.XLOOKUP(AI$134, 'Real Estate'!$D$25:$BA$25, 'Real Estate'!$D32:$BA32)+_xlfn.XLOOKUP(AI$134, 'GEN-CCGT'!$D$32:$BA$32, 'GEN-CCGT'!$D39:$BA39)+_xlfn.XLOOKUP(AI$134, 'GEN-SOLAR'!$D$32:$BA$32, 'GEN-SOLAR'!$D39:$BA39)+_xlfn.XLOOKUP(AI$134, 'GEN-BESS'!$D$32:$BA$32, 'GEN-BESS'!$D39:$BA39)+_xlfn.XLOOKUP(AI$134, 'GEN-CARBON'!$D$32:$BA$32, 'GEN-CARBON'!$D39:$BA39)+_xlfn.XLOOKUP(AI$134, Load!$D$32:$BA$32, Load!$D39:$BA39)+_xlfn.XLOOKUP(AI$134, Hydrogen!$D$32:$BA$32, Hydrogen!$D39:$BA39)+_xlfn.XLOOKUP(AI$134, 'SENS Tires'!$D$32:$BA$32, 'SENS Tires'!$D39:$BA39)+_xlfn.XLOOKUP(AI$134, 'SENS Coal'!$D$32:$BA$32, 'SENS Coal'!$D39:$BA39)</f>
        <v>0</v>
      </c>
      <c r="AJ141" s="159">
        <f>_xlfn.XLOOKUP(AJ$134, 'Real Estate'!$D$25:$BA$25, 'Real Estate'!$D32:$BA32)+_xlfn.XLOOKUP(AJ$134, 'GEN-CCGT'!$D$32:$BA$32, 'GEN-CCGT'!$D39:$BA39)+_xlfn.XLOOKUP(AJ$134, 'GEN-SOLAR'!$D$32:$BA$32, 'GEN-SOLAR'!$D39:$BA39)+_xlfn.XLOOKUP(AJ$134, 'GEN-BESS'!$D$32:$BA$32, 'GEN-BESS'!$D39:$BA39)+_xlfn.XLOOKUP(AJ$134, 'GEN-CARBON'!$D$32:$BA$32, 'GEN-CARBON'!$D39:$BA39)+_xlfn.XLOOKUP(AJ$134, Load!$D$32:$BA$32, Load!$D39:$BA39)+_xlfn.XLOOKUP(AJ$134, Hydrogen!$D$32:$BA$32, Hydrogen!$D39:$BA39)+_xlfn.XLOOKUP(AJ$134, 'SENS Tires'!$D$32:$BA$32, 'SENS Tires'!$D39:$BA39)+_xlfn.XLOOKUP(AJ$134, 'SENS Coal'!$D$32:$BA$32, 'SENS Coal'!$D39:$BA39)</f>
        <v>0</v>
      </c>
      <c r="AK141" s="159">
        <f>_xlfn.XLOOKUP(AK$134, 'Real Estate'!$D$25:$BA$25, 'Real Estate'!$D32:$BA32)+_xlfn.XLOOKUP(AK$134, 'GEN-CCGT'!$D$32:$BA$32, 'GEN-CCGT'!$D39:$BA39)+_xlfn.XLOOKUP(AK$134, 'GEN-SOLAR'!$D$32:$BA$32, 'GEN-SOLAR'!$D39:$BA39)+_xlfn.XLOOKUP(AK$134, 'GEN-BESS'!$D$32:$BA$32, 'GEN-BESS'!$D39:$BA39)+_xlfn.XLOOKUP(AK$134, 'GEN-CARBON'!$D$32:$BA$32, 'GEN-CARBON'!$D39:$BA39)+_xlfn.XLOOKUP(AK$134, Load!$D$32:$BA$32, Load!$D39:$BA39)+_xlfn.XLOOKUP(AK$134, Hydrogen!$D$32:$BA$32, Hydrogen!$D39:$BA39)+_xlfn.XLOOKUP(AK$134, 'SENS Tires'!$D$32:$BA$32, 'SENS Tires'!$D39:$BA39)+_xlfn.XLOOKUP(AK$134, 'SENS Coal'!$D$32:$BA$32, 'SENS Coal'!$D39:$BA39)</f>
        <v>0</v>
      </c>
      <c r="AL141" s="159">
        <f>_xlfn.XLOOKUP(AL$134, 'Real Estate'!$D$25:$BA$25, 'Real Estate'!$D32:$BA32)+_xlfn.XLOOKUP(AL$134, 'GEN-CCGT'!$D$32:$BA$32, 'GEN-CCGT'!$D39:$BA39)+_xlfn.XLOOKUP(AL$134, 'GEN-SOLAR'!$D$32:$BA$32, 'GEN-SOLAR'!$D39:$BA39)+_xlfn.XLOOKUP(AL$134, 'GEN-BESS'!$D$32:$BA$32, 'GEN-BESS'!$D39:$BA39)+_xlfn.XLOOKUP(AL$134, 'GEN-CARBON'!$D$32:$BA$32, 'GEN-CARBON'!$D39:$BA39)+_xlfn.XLOOKUP(AL$134, Load!$D$32:$BA$32, Load!$D39:$BA39)+_xlfn.XLOOKUP(AL$134, Hydrogen!$D$32:$BA$32, Hydrogen!$D39:$BA39)+_xlfn.XLOOKUP(AL$134, 'SENS Tires'!$D$32:$BA$32, 'SENS Tires'!$D39:$BA39)+_xlfn.XLOOKUP(AL$134, 'SENS Coal'!$D$32:$BA$32, 'SENS Coal'!$D39:$BA39)</f>
        <v>0</v>
      </c>
      <c r="AM141" s="159">
        <f>_xlfn.XLOOKUP(AM$134, 'Real Estate'!$D$25:$BA$25, 'Real Estate'!$D32:$BA32)+_xlfn.XLOOKUP(AM$134, 'GEN-CCGT'!$D$32:$BA$32, 'GEN-CCGT'!$D39:$BA39)+_xlfn.XLOOKUP(AM$134, 'GEN-SOLAR'!$D$32:$BA$32, 'GEN-SOLAR'!$D39:$BA39)+_xlfn.XLOOKUP(AM$134, 'GEN-BESS'!$D$32:$BA$32, 'GEN-BESS'!$D39:$BA39)+_xlfn.XLOOKUP(AM$134, 'GEN-CARBON'!$D$32:$BA$32, 'GEN-CARBON'!$D39:$BA39)+_xlfn.XLOOKUP(AM$134, Load!$D$32:$BA$32, Load!$D39:$BA39)+_xlfn.XLOOKUP(AM$134, Hydrogen!$D$32:$BA$32, Hydrogen!$D39:$BA39)+_xlfn.XLOOKUP(AM$134, 'SENS Tires'!$D$32:$BA$32, 'SENS Tires'!$D39:$BA39)+_xlfn.XLOOKUP(AM$134, 'SENS Coal'!$D$32:$BA$32, 'SENS Coal'!$D39:$BA39)</f>
        <v>0</v>
      </c>
      <c r="AN141" s="159">
        <f>_xlfn.XLOOKUP(AN$134, 'Real Estate'!$D$25:$BA$25, 'Real Estate'!$D32:$BA32)+_xlfn.XLOOKUP(AN$134, 'GEN-CCGT'!$D$32:$BA$32, 'GEN-CCGT'!$D39:$BA39)+_xlfn.XLOOKUP(AN$134, 'GEN-SOLAR'!$D$32:$BA$32, 'GEN-SOLAR'!$D39:$BA39)+_xlfn.XLOOKUP(AN$134, 'GEN-BESS'!$D$32:$BA$32, 'GEN-BESS'!$D39:$BA39)+_xlfn.XLOOKUP(AN$134, 'GEN-CARBON'!$D$32:$BA$32, 'GEN-CARBON'!$D39:$BA39)+_xlfn.XLOOKUP(AN$134, Load!$D$32:$BA$32, Load!$D39:$BA39)+_xlfn.XLOOKUP(AN$134, Hydrogen!$D$32:$BA$32, Hydrogen!$D39:$BA39)+_xlfn.XLOOKUP(AN$134, 'SENS Tires'!$D$32:$BA$32, 'SENS Tires'!$D39:$BA39)+_xlfn.XLOOKUP(AN$134, 'SENS Coal'!$D$32:$BA$32, 'SENS Coal'!$D39:$BA39)</f>
        <v>0</v>
      </c>
      <c r="AO141" s="159">
        <f>_xlfn.XLOOKUP(AO$134, 'Real Estate'!$D$25:$BA$25, 'Real Estate'!$D32:$BA32)+_xlfn.XLOOKUP(AO$134, 'GEN-CCGT'!$D$32:$BA$32, 'GEN-CCGT'!$D39:$BA39)+_xlfn.XLOOKUP(AO$134, 'GEN-SOLAR'!$D$32:$BA$32, 'GEN-SOLAR'!$D39:$BA39)+_xlfn.XLOOKUP(AO$134, 'GEN-BESS'!$D$32:$BA$32, 'GEN-BESS'!$D39:$BA39)+_xlfn.XLOOKUP(AO$134, 'GEN-CARBON'!$D$32:$BA$32, 'GEN-CARBON'!$D39:$BA39)+_xlfn.XLOOKUP(AO$134, Load!$D$32:$BA$32, Load!$D39:$BA39)+_xlfn.XLOOKUP(AO$134, Hydrogen!$D$32:$BA$32, Hydrogen!$D39:$BA39)+_xlfn.XLOOKUP(AO$134, 'SENS Tires'!$D$32:$BA$32, 'SENS Tires'!$D39:$BA39)+_xlfn.XLOOKUP(AO$134, 'SENS Coal'!$D$32:$BA$32, 'SENS Coal'!$D39:$BA39)</f>
        <v>0</v>
      </c>
      <c r="AP141" s="159">
        <f>_xlfn.XLOOKUP(AP$134, 'Real Estate'!$D$25:$BA$25, 'Real Estate'!$D32:$BA32)+_xlfn.XLOOKUP(AP$134, 'GEN-CCGT'!$D$32:$BA$32, 'GEN-CCGT'!$D39:$BA39)+_xlfn.XLOOKUP(AP$134, 'GEN-SOLAR'!$D$32:$BA$32, 'GEN-SOLAR'!$D39:$BA39)+_xlfn.XLOOKUP(AP$134, 'GEN-BESS'!$D$32:$BA$32, 'GEN-BESS'!$D39:$BA39)+_xlfn.XLOOKUP(AP$134, 'GEN-CARBON'!$D$32:$BA$32, 'GEN-CARBON'!$D39:$BA39)+_xlfn.XLOOKUP(AP$134, Load!$D$32:$BA$32, Load!$D39:$BA39)+_xlfn.XLOOKUP(AP$134, Hydrogen!$D$32:$BA$32, Hydrogen!$D39:$BA39)+_xlfn.XLOOKUP(AP$134, 'SENS Tires'!$D$32:$BA$32, 'SENS Tires'!$D39:$BA39)+_xlfn.XLOOKUP(AP$134, 'SENS Coal'!$D$32:$BA$32, 'SENS Coal'!$D39:$BA39)</f>
        <v>0</v>
      </c>
      <c r="AQ141" s="159">
        <f>_xlfn.XLOOKUP(AQ$134, 'Real Estate'!$D$25:$BA$25, 'Real Estate'!$D32:$BA32)+_xlfn.XLOOKUP(AQ$134, 'GEN-CCGT'!$D$32:$BA$32, 'GEN-CCGT'!$D39:$BA39)+_xlfn.XLOOKUP(AQ$134, 'GEN-SOLAR'!$D$32:$BA$32, 'GEN-SOLAR'!$D39:$BA39)+_xlfn.XLOOKUP(AQ$134, 'GEN-BESS'!$D$32:$BA$32, 'GEN-BESS'!$D39:$BA39)+_xlfn.XLOOKUP(AQ$134, 'GEN-CARBON'!$D$32:$BA$32, 'GEN-CARBON'!$D39:$BA39)+_xlfn.XLOOKUP(AQ$134, Load!$D$32:$BA$32, Load!$D39:$BA39)+_xlfn.XLOOKUP(AQ$134, Hydrogen!$D$32:$BA$32, Hydrogen!$D39:$BA39)+_xlfn.XLOOKUP(AQ$134, 'SENS Tires'!$D$32:$BA$32, 'SENS Tires'!$D39:$BA39)+_xlfn.XLOOKUP(AQ$134, 'SENS Coal'!$D$32:$BA$32, 'SENS Coal'!$D39:$BA39)</f>
        <v>0</v>
      </c>
      <c r="AR141" s="159">
        <f>_xlfn.XLOOKUP(AR$134, 'Real Estate'!$D$25:$BA$25, 'Real Estate'!$D32:$BA32)+_xlfn.XLOOKUP(AR$134, 'GEN-CCGT'!$D$32:$BA$32, 'GEN-CCGT'!$D39:$BA39)+_xlfn.XLOOKUP(AR$134, 'GEN-SOLAR'!$D$32:$BA$32, 'GEN-SOLAR'!$D39:$BA39)+_xlfn.XLOOKUP(AR$134, 'GEN-BESS'!$D$32:$BA$32, 'GEN-BESS'!$D39:$BA39)+_xlfn.XLOOKUP(AR$134, 'GEN-CARBON'!$D$32:$BA$32, 'GEN-CARBON'!$D39:$BA39)+_xlfn.XLOOKUP(AR$134, Load!$D$32:$BA$32, Load!$D39:$BA39)+_xlfn.XLOOKUP(AR$134, Hydrogen!$D$32:$BA$32, Hydrogen!$D39:$BA39)+_xlfn.XLOOKUP(AR$134, 'SENS Tires'!$D$32:$BA$32, 'SENS Tires'!$D39:$BA39)+_xlfn.XLOOKUP(AR$134, 'SENS Coal'!$D$32:$BA$32, 'SENS Coal'!$D39:$BA39)</f>
        <v>0</v>
      </c>
      <c r="AS141" s="159">
        <f>_xlfn.XLOOKUP(AS$134, 'Real Estate'!$D$25:$BA$25, 'Real Estate'!$D32:$BA32)+_xlfn.XLOOKUP(AS$134, 'GEN-CCGT'!$D$32:$BA$32, 'GEN-CCGT'!$D39:$BA39)+_xlfn.XLOOKUP(AS$134, 'GEN-SOLAR'!$D$32:$BA$32, 'GEN-SOLAR'!$D39:$BA39)+_xlfn.XLOOKUP(AS$134, 'GEN-BESS'!$D$32:$BA$32, 'GEN-BESS'!$D39:$BA39)+_xlfn.XLOOKUP(AS$134, 'GEN-CARBON'!$D$32:$BA$32, 'GEN-CARBON'!$D39:$BA39)+_xlfn.XLOOKUP(AS$134, Load!$D$32:$BA$32, Load!$D39:$BA39)+_xlfn.XLOOKUP(AS$134, Hydrogen!$D$32:$BA$32, Hydrogen!$D39:$BA39)+_xlfn.XLOOKUP(AS$134, 'SENS Tires'!$D$32:$BA$32, 'SENS Tires'!$D39:$BA39)+_xlfn.XLOOKUP(AS$134, 'SENS Coal'!$D$32:$BA$32, 'SENS Coal'!$D39:$BA39)</f>
        <v>0</v>
      </c>
      <c r="AT141" s="159">
        <f>_xlfn.XLOOKUP(AT$134, 'Real Estate'!$D$25:$BA$25, 'Real Estate'!$D32:$BA32)+_xlfn.XLOOKUP(AT$134, 'GEN-CCGT'!$D$32:$BA$32, 'GEN-CCGT'!$D39:$BA39)+_xlfn.XLOOKUP(AT$134, 'GEN-SOLAR'!$D$32:$BA$32, 'GEN-SOLAR'!$D39:$BA39)+_xlfn.XLOOKUP(AT$134, 'GEN-BESS'!$D$32:$BA$32, 'GEN-BESS'!$D39:$BA39)+_xlfn.XLOOKUP(AT$134, 'GEN-CARBON'!$D$32:$BA$32, 'GEN-CARBON'!$D39:$BA39)+_xlfn.XLOOKUP(AT$134, Load!$D$32:$BA$32, Load!$D39:$BA39)+_xlfn.XLOOKUP(AT$134, Hydrogen!$D$32:$BA$32, Hydrogen!$D39:$BA39)+_xlfn.XLOOKUP(AT$134, 'SENS Tires'!$D$32:$BA$32, 'SENS Tires'!$D39:$BA39)+_xlfn.XLOOKUP(AT$134, 'SENS Coal'!$D$32:$BA$32, 'SENS Coal'!$D39:$BA39)</f>
        <v>0</v>
      </c>
      <c r="AU141" s="159">
        <f>_xlfn.XLOOKUP(AU$134, 'Real Estate'!$D$25:$BA$25, 'Real Estate'!$D32:$BA32)+_xlfn.XLOOKUP(AU$134, 'GEN-CCGT'!$D$32:$BA$32, 'GEN-CCGT'!$D39:$BA39)+_xlfn.XLOOKUP(AU$134, 'GEN-SOLAR'!$D$32:$BA$32, 'GEN-SOLAR'!$D39:$BA39)+_xlfn.XLOOKUP(AU$134, 'GEN-BESS'!$D$32:$BA$32, 'GEN-BESS'!$D39:$BA39)+_xlfn.XLOOKUP(AU$134, 'GEN-CARBON'!$D$32:$BA$32, 'GEN-CARBON'!$D39:$BA39)+_xlfn.XLOOKUP(AU$134, Load!$D$32:$BA$32, Load!$D39:$BA39)+_xlfn.XLOOKUP(AU$134, Hydrogen!$D$32:$BA$32, Hydrogen!$D39:$BA39)+_xlfn.XLOOKUP(AU$134, 'SENS Tires'!$D$32:$BA$32, 'SENS Tires'!$D39:$BA39)+_xlfn.XLOOKUP(AU$134, 'SENS Coal'!$D$32:$BA$32, 'SENS Coal'!$D39:$BA39)</f>
        <v>0</v>
      </c>
      <c r="AV141" s="159">
        <f>_xlfn.XLOOKUP(AV$134, 'Real Estate'!$D$25:$BA$25, 'Real Estate'!$D32:$BA32)+_xlfn.XLOOKUP(AV$134, 'GEN-CCGT'!$D$32:$BA$32, 'GEN-CCGT'!$D39:$BA39)+_xlfn.XLOOKUP(AV$134, 'GEN-SOLAR'!$D$32:$BA$32, 'GEN-SOLAR'!$D39:$BA39)+_xlfn.XLOOKUP(AV$134, 'GEN-BESS'!$D$32:$BA$32, 'GEN-BESS'!$D39:$BA39)+_xlfn.XLOOKUP(AV$134, 'GEN-CARBON'!$D$32:$BA$32, 'GEN-CARBON'!$D39:$BA39)+_xlfn.XLOOKUP(AV$134, Load!$D$32:$BA$32, Load!$D39:$BA39)+_xlfn.XLOOKUP(AV$134, Hydrogen!$D$32:$BA$32, Hydrogen!$D39:$BA39)+_xlfn.XLOOKUP(AV$134, 'SENS Tires'!$D$32:$BA$32, 'SENS Tires'!$D39:$BA39)+_xlfn.XLOOKUP(AV$134, 'SENS Coal'!$D$32:$BA$32, 'SENS Coal'!$D39:$BA39)</f>
        <v>0</v>
      </c>
      <c r="AW141" s="159">
        <f>_xlfn.XLOOKUP(AW$134, 'Real Estate'!$D$25:$BA$25, 'Real Estate'!$D32:$BA32)+_xlfn.XLOOKUP(AW$134, 'GEN-CCGT'!$D$32:$BA$32, 'GEN-CCGT'!$D39:$BA39)+_xlfn.XLOOKUP(AW$134, 'GEN-SOLAR'!$D$32:$BA$32, 'GEN-SOLAR'!$D39:$BA39)+_xlfn.XLOOKUP(AW$134, 'GEN-BESS'!$D$32:$BA$32, 'GEN-BESS'!$D39:$BA39)+_xlfn.XLOOKUP(AW$134, 'GEN-CARBON'!$D$32:$BA$32, 'GEN-CARBON'!$D39:$BA39)+_xlfn.XLOOKUP(AW$134, Load!$D$32:$BA$32, Load!$D39:$BA39)+_xlfn.XLOOKUP(AW$134, Hydrogen!$D$32:$BA$32, Hydrogen!$D39:$BA39)+_xlfn.XLOOKUP(AW$134, 'SENS Tires'!$D$32:$BA$32, 'SENS Tires'!$D39:$BA39)+_xlfn.XLOOKUP(AW$134, 'SENS Coal'!$D$32:$BA$32, 'SENS Coal'!$D39:$BA39)</f>
        <v>0</v>
      </c>
      <c r="AX141" s="159">
        <f>_xlfn.XLOOKUP(AX$134, 'Real Estate'!$D$25:$BA$25, 'Real Estate'!$D32:$BA32)+_xlfn.XLOOKUP(AX$134, 'GEN-CCGT'!$D$32:$BA$32, 'GEN-CCGT'!$D39:$BA39)+_xlfn.XLOOKUP(AX$134, 'GEN-SOLAR'!$D$32:$BA$32, 'GEN-SOLAR'!$D39:$BA39)+_xlfn.XLOOKUP(AX$134, 'GEN-BESS'!$D$32:$BA$32, 'GEN-BESS'!$D39:$BA39)+_xlfn.XLOOKUP(AX$134, 'GEN-CARBON'!$D$32:$BA$32, 'GEN-CARBON'!$D39:$BA39)+_xlfn.XLOOKUP(AX$134, Load!$D$32:$BA$32, Load!$D39:$BA39)+_xlfn.XLOOKUP(AX$134, Hydrogen!$D$32:$BA$32, Hydrogen!$D39:$BA39)+_xlfn.XLOOKUP(AX$134, 'SENS Tires'!$D$32:$BA$32, 'SENS Tires'!$D39:$BA39)+_xlfn.XLOOKUP(AX$134, 'SENS Coal'!$D$32:$BA$32, 'SENS Coal'!$D39:$BA39)</f>
        <v>0</v>
      </c>
    </row>
    <row r="142" spans="1:50" ht="14.25" customHeight="1">
      <c r="A142" s="44"/>
      <c r="B142" s="205" t="s">
        <v>351</v>
      </c>
      <c r="C142" s="214" t="s">
        <v>408</v>
      </c>
      <c r="D142" s="20"/>
      <c r="E142" s="21" t="e">
        <f>_xlfn.XLOOKUP(E$134, 'Real Estate'!$D$25:$BA$25, 'Real Estate'!$D33:$BA33)+_xlfn.XLOOKUP(E$134, 'GEN-CCGT'!$D$32:$BA$32, 'GEN-CCGT'!$D40:$BA40)+_xlfn.XLOOKUP(E$134, 'GEN-SOLAR'!$D$32:$BA$32, 'GEN-SOLAR'!$D40:$BA40)+_xlfn.XLOOKUP(E$134, 'GEN-BESS'!$D$32:$BA$32, 'GEN-BESS'!$D40:$BA40)+_xlfn.XLOOKUP(E$134, 'GEN-CARBON'!$D$32:$BA$32, 'GEN-CARBON'!$D40:$BA40)+_xlfn.XLOOKUP(E$134, Load!$D$32:$BA$32, Load!$D40:$BA40)+_xlfn.XLOOKUP(E$134, Hydrogen!$D$32:$BA$32, Hydrogen!$D40:$BA40)+_xlfn.XLOOKUP(E$134, 'SENS Tires'!$D$32:$BA$32, 'SENS Tires'!$D40:$BA40)+_xlfn.XLOOKUP(E$134, 'SENS Coal'!$D$32:$BA$32, 'SENS Coal'!$D40:$BA40)</f>
        <v>#N/A</v>
      </c>
      <c r="F142" s="21">
        <f>_xlfn.XLOOKUP(F$134, 'Real Estate'!$D$25:$BA$25, 'Real Estate'!$D33:$BA33)+_xlfn.XLOOKUP(F$134, 'GEN-CCGT'!$D$32:$BA$32, 'GEN-CCGT'!$D40:$BA40)+_xlfn.XLOOKUP(F$134, 'GEN-SOLAR'!$D$32:$BA$32, 'GEN-SOLAR'!$D40:$BA40)+_xlfn.XLOOKUP(F$134, 'GEN-BESS'!$D$32:$BA$32, 'GEN-BESS'!$D40:$BA40)+_xlfn.XLOOKUP(F$134, 'GEN-CARBON'!$D$32:$BA$32, 'GEN-CARBON'!$D40:$BA40)+_xlfn.XLOOKUP(F$134, Load!$D$32:$BA$32, Load!$D40:$BA40)+_xlfn.XLOOKUP(F$134, Hydrogen!$D$32:$BA$32, Hydrogen!$D40:$BA40)+_xlfn.XLOOKUP(F$134, 'SENS Tires'!$D$32:$BA$32, 'SENS Tires'!$D40:$BA40)+_xlfn.XLOOKUP(F$134, 'SENS Coal'!$D$32:$BA$32, 'SENS Coal'!$D40:$BA40)</f>
        <v>6555.5427882295362</v>
      </c>
      <c r="G142" s="21">
        <f>_xlfn.XLOOKUP(G$134, 'Real Estate'!$D$25:$BA$25, 'Real Estate'!$D33:$BA33)+_xlfn.XLOOKUP(G$134, 'GEN-CCGT'!$D$32:$BA$32, 'GEN-CCGT'!$D40:$BA40)+_xlfn.XLOOKUP(G$134, 'GEN-SOLAR'!$D$32:$BA$32, 'GEN-SOLAR'!$D40:$BA40)+_xlfn.XLOOKUP(G$134, 'GEN-BESS'!$D$32:$BA$32, 'GEN-BESS'!$D40:$BA40)+_xlfn.XLOOKUP(G$134, 'GEN-CARBON'!$D$32:$BA$32, 'GEN-CARBON'!$D40:$BA40)+_xlfn.XLOOKUP(G$134, Load!$D$32:$BA$32, Load!$D40:$BA40)+_xlfn.XLOOKUP(G$134, Hydrogen!$D$32:$BA$32, Hydrogen!$D40:$BA40)+_xlfn.XLOOKUP(G$134, 'SENS Tires'!$D$32:$BA$32, 'SENS Tires'!$D40:$BA40)+_xlfn.XLOOKUP(G$134, 'SENS Coal'!$D$32:$BA$32, 'SENS Coal'!$D40:$BA40)</f>
        <v>9277.1008295316096</v>
      </c>
      <c r="H142" s="21">
        <f>_xlfn.XLOOKUP(H$134, 'Real Estate'!$D$25:$BA$25, 'Real Estate'!$D33:$BA33)+_xlfn.XLOOKUP(H$134, 'GEN-CCGT'!$D$32:$BA$32, 'GEN-CCGT'!$D40:$BA40)+_xlfn.XLOOKUP(H$134, 'GEN-SOLAR'!$D$32:$BA$32, 'GEN-SOLAR'!$D40:$BA40)+_xlfn.XLOOKUP(H$134, 'GEN-BESS'!$D$32:$BA$32, 'GEN-BESS'!$D40:$BA40)+_xlfn.XLOOKUP(H$134, 'GEN-CARBON'!$D$32:$BA$32, 'GEN-CARBON'!$D40:$BA40)+_xlfn.XLOOKUP(H$134, Load!$D$32:$BA$32, Load!$D40:$BA40)+_xlfn.XLOOKUP(H$134, Hydrogen!$D$32:$BA$32, Hydrogen!$D40:$BA40)+_xlfn.XLOOKUP(H$134, 'SENS Tires'!$D$32:$BA$32, 'SENS Tires'!$D40:$BA40)+_xlfn.XLOOKUP(H$134, 'SENS Coal'!$D$32:$BA$32, 'SENS Coal'!$D40:$BA40)</f>
        <v>9491.0386161889746</v>
      </c>
      <c r="I142" s="21">
        <f>_xlfn.XLOOKUP(I$134, 'Real Estate'!$D$25:$BA$25, 'Real Estate'!$D33:$BA33)+_xlfn.XLOOKUP(I$134, 'GEN-CCGT'!$D$32:$BA$32, 'GEN-CCGT'!$D40:$BA40)+_xlfn.XLOOKUP(I$134, 'GEN-SOLAR'!$D$32:$BA$32, 'GEN-SOLAR'!$D40:$BA40)+_xlfn.XLOOKUP(I$134, 'GEN-BESS'!$D$32:$BA$32, 'GEN-BESS'!$D40:$BA40)+_xlfn.XLOOKUP(I$134, 'GEN-CARBON'!$D$32:$BA$32, 'GEN-CARBON'!$D40:$BA40)+_xlfn.XLOOKUP(I$134, Load!$D$32:$BA$32, Load!$D40:$BA40)+_xlfn.XLOOKUP(I$134, Hydrogen!$D$32:$BA$32, Hydrogen!$D40:$BA40)+_xlfn.XLOOKUP(I$134, 'SENS Tires'!$D$32:$BA$32, 'SENS Tires'!$D40:$BA40)+_xlfn.XLOOKUP(I$134, 'SENS Coal'!$D$32:$BA$32, 'SENS Coal'!$D40:$BA40)</f>
        <v>9795.8249254579932</v>
      </c>
      <c r="J142" s="21">
        <f>_xlfn.XLOOKUP(J$134, 'Real Estate'!$D$25:$BA$25, 'Real Estate'!$D33:$BA33)+_xlfn.XLOOKUP(J$134, 'GEN-CCGT'!$D$32:$BA$32, 'GEN-CCGT'!$D40:$BA40)+_xlfn.XLOOKUP(J$134, 'GEN-SOLAR'!$D$32:$BA$32, 'GEN-SOLAR'!$D40:$BA40)+_xlfn.XLOOKUP(J$134, 'GEN-BESS'!$D$32:$BA$32, 'GEN-BESS'!$D40:$BA40)+_xlfn.XLOOKUP(J$134, 'GEN-CARBON'!$D$32:$BA$32, 'GEN-CARBON'!$D40:$BA40)+_xlfn.XLOOKUP(J$134, Load!$D$32:$BA$32, Load!$D40:$BA40)+_xlfn.XLOOKUP(J$134, Hydrogen!$D$32:$BA$32, Hydrogen!$D40:$BA40)+_xlfn.XLOOKUP(J$134, 'SENS Tires'!$D$32:$BA$32, 'SENS Tires'!$D40:$BA40)+_xlfn.XLOOKUP(J$134, 'SENS Coal'!$D$32:$BA$32, 'SENS Coal'!$D40:$BA40)</f>
        <v>9999.8670356356797</v>
      </c>
      <c r="K142" s="21">
        <f>_xlfn.XLOOKUP(K$134, 'Real Estate'!$D$25:$BA$25, 'Real Estate'!$D33:$BA33)+_xlfn.XLOOKUP(K$134, 'GEN-CCGT'!$D$32:$BA$32, 'GEN-CCGT'!$D40:$BA40)+_xlfn.XLOOKUP(K$134, 'GEN-SOLAR'!$D$32:$BA$32, 'GEN-SOLAR'!$D40:$BA40)+_xlfn.XLOOKUP(K$134, 'GEN-BESS'!$D$32:$BA$32, 'GEN-BESS'!$D40:$BA40)+_xlfn.XLOOKUP(K$134, 'GEN-CARBON'!$D$32:$BA$32, 'GEN-CARBON'!$D40:$BA40)+_xlfn.XLOOKUP(K$134, Load!$D$32:$BA$32, Load!$D40:$BA40)+_xlfn.XLOOKUP(K$134, Hydrogen!$D$32:$BA$32, Hydrogen!$D40:$BA40)+_xlfn.XLOOKUP(K$134, 'SENS Tires'!$D$32:$BA$32, 'SENS Tires'!$D40:$BA40)+_xlfn.XLOOKUP(K$134, 'SENS Coal'!$D$32:$BA$32, 'SENS Coal'!$D40:$BA40)</f>
        <v>10178.351515459575</v>
      </c>
      <c r="L142" s="21">
        <f>_xlfn.XLOOKUP(L$134, 'Real Estate'!$D$25:$BA$25, 'Real Estate'!$D33:$BA33)+_xlfn.XLOOKUP(L$134, 'GEN-CCGT'!$D$32:$BA$32, 'GEN-CCGT'!$D40:$BA40)+_xlfn.XLOOKUP(L$134, 'GEN-SOLAR'!$D$32:$BA$32, 'GEN-SOLAR'!$D40:$BA40)+_xlfn.XLOOKUP(L$134, 'GEN-BESS'!$D$32:$BA$32, 'GEN-BESS'!$D40:$BA40)+_xlfn.XLOOKUP(L$134, 'GEN-CARBON'!$D$32:$BA$32, 'GEN-CARBON'!$D40:$BA40)+_xlfn.XLOOKUP(L$134, Load!$D$32:$BA$32, Load!$D40:$BA40)+_xlfn.XLOOKUP(L$134, Hydrogen!$D$32:$BA$32, Hydrogen!$D40:$BA40)+_xlfn.XLOOKUP(L$134, 'SENS Tires'!$D$32:$BA$32, 'SENS Tires'!$D40:$BA40)+_xlfn.XLOOKUP(L$134, 'SENS Coal'!$D$32:$BA$32, 'SENS Coal'!$D40:$BA40)</f>
        <v>10360.446626967512</v>
      </c>
      <c r="M142" s="21">
        <f>_xlfn.XLOOKUP(M$134, 'Real Estate'!$D$25:$BA$25, 'Real Estate'!$D33:$BA33)+_xlfn.XLOOKUP(M$134, 'GEN-CCGT'!$D$32:$BA$32, 'GEN-CCGT'!$D40:$BA40)+_xlfn.XLOOKUP(M$134, 'GEN-SOLAR'!$D$32:$BA$32, 'GEN-SOLAR'!$D40:$BA40)+_xlfn.XLOOKUP(M$134, 'GEN-BESS'!$D$32:$BA$32, 'GEN-BESS'!$D40:$BA40)+_xlfn.XLOOKUP(M$134, 'GEN-CARBON'!$D$32:$BA$32, 'GEN-CARBON'!$D40:$BA40)+_xlfn.XLOOKUP(M$134, Load!$D$32:$BA$32, Load!$D40:$BA40)+_xlfn.XLOOKUP(M$134, Hydrogen!$D$32:$BA$32, Hydrogen!$D40:$BA40)+_xlfn.XLOOKUP(M$134, 'SENS Tires'!$D$32:$BA$32, 'SENS Tires'!$D40:$BA40)+_xlfn.XLOOKUP(M$134, 'SENS Coal'!$D$32:$BA$32, 'SENS Coal'!$D40:$BA40)</f>
        <v>10546.225880078069</v>
      </c>
      <c r="N142" s="21">
        <f>_xlfn.XLOOKUP(N$134, 'Real Estate'!$D$25:$BA$25, 'Real Estate'!$D33:$BA33)+_xlfn.XLOOKUP(N$134, 'GEN-CCGT'!$D$32:$BA$32, 'GEN-CCGT'!$D40:$BA40)+_xlfn.XLOOKUP(N$134, 'GEN-SOLAR'!$D$32:$BA$32, 'GEN-SOLAR'!$D40:$BA40)+_xlfn.XLOOKUP(N$134, 'GEN-BESS'!$D$32:$BA$32, 'GEN-BESS'!$D40:$BA40)+_xlfn.XLOOKUP(N$134, 'GEN-CARBON'!$D$32:$BA$32, 'GEN-CARBON'!$D40:$BA40)+_xlfn.XLOOKUP(N$134, Load!$D$32:$BA$32, Load!$D40:$BA40)+_xlfn.XLOOKUP(N$134, Hydrogen!$D$32:$BA$32, Hydrogen!$D40:$BA40)+_xlfn.XLOOKUP(N$134, 'SENS Tires'!$D$32:$BA$32, 'SENS Tires'!$D40:$BA40)+_xlfn.XLOOKUP(N$134, 'SENS Coal'!$D$32:$BA$32, 'SENS Coal'!$D40:$BA40)</f>
        <v>10735.764294822287</v>
      </c>
      <c r="O142" s="21">
        <f>_xlfn.XLOOKUP(O$134, 'Real Estate'!$D$25:$BA$25, 'Real Estate'!$D33:$BA33)+_xlfn.XLOOKUP(O$134, 'GEN-CCGT'!$D$32:$BA$32, 'GEN-CCGT'!$D40:$BA40)+_xlfn.XLOOKUP(O$134, 'GEN-SOLAR'!$D$32:$BA$32, 'GEN-SOLAR'!$D40:$BA40)+_xlfn.XLOOKUP(O$134, 'GEN-BESS'!$D$32:$BA$32, 'GEN-BESS'!$D40:$BA40)+_xlfn.XLOOKUP(O$134, 'GEN-CARBON'!$D$32:$BA$32, 'GEN-CARBON'!$D40:$BA40)+_xlfn.XLOOKUP(O$134, Load!$D$32:$BA$32, Load!$D40:$BA40)+_xlfn.XLOOKUP(O$134, Hydrogen!$D$32:$BA$32, Hydrogen!$D40:$BA40)+_xlfn.XLOOKUP(O$134, 'SENS Tires'!$D$32:$BA$32, 'SENS Tires'!$D40:$BA40)+_xlfn.XLOOKUP(O$134, 'SENS Coal'!$D$32:$BA$32, 'SENS Coal'!$D40:$BA40)</f>
        <v>10929.138432759552</v>
      </c>
      <c r="P142" s="21">
        <f>_xlfn.XLOOKUP(P$134, 'Real Estate'!$D$25:$BA$25, 'Real Estate'!$D33:$BA33)+_xlfn.XLOOKUP(P$134, 'GEN-CCGT'!$D$32:$BA$32, 'GEN-CCGT'!$D40:$BA40)+_xlfn.XLOOKUP(P$134, 'GEN-SOLAR'!$D$32:$BA$32, 'GEN-SOLAR'!$D40:$BA40)+_xlfn.XLOOKUP(P$134, 'GEN-BESS'!$D$32:$BA$32, 'GEN-BESS'!$D40:$BA40)+_xlfn.XLOOKUP(P$134, 'GEN-CARBON'!$D$32:$BA$32, 'GEN-CARBON'!$D40:$BA40)+_xlfn.XLOOKUP(P$134, Load!$D$32:$BA$32, Load!$D40:$BA40)+_xlfn.XLOOKUP(P$134, Hydrogen!$D$32:$BA$32, Hydrogen!$D40:$BA40)+_xlfn.XLOOKUP(P$134, 'SENS Tires'!$D$32:$BA$32, 'SENS Tires'!$D40:$BA40)+_xlfn.XLOOKUP(P$134, 'SENS Coal'!$D$32:$BA$32, 'SENS Coal'!$D40:$BA40)</f>
        <v>10022.65656604483</v>
      </c>
      <c r="Q142" s="21">
        <f>_xlfn.XLOOKUP(Q$134, 'Real Estate'!$D$25:$BA$25, 'Real Estate'!$D33:$BA33)+_xlfn.XLOOKUP(Q$134, 'GEN-CCGT'!$D$32:$BA$32, 'GEN-CCGT'!$D40:$BA40)+_xlfn.XLOOKUP(Q$134, 'GEN-SOLAR'!$D$32:$BA$32, 'GEN-SOLAR'!$D40:$BA40)+_xlfn.XLOOKUP(Q$134, 'GEN-BESS'!$D$32:$BA$32, 'GEN-BESS'!$D40:$BA40)+_xlfn.XLOOKUP(Q$134, 'GEN-CARBON'!$D$32:$BA$32, 'GEN-CARBON'!$D40:$BA40)+_xlfn.XLOOKUP(Q$134, Load!$D$32:$BA$32, Load!$D40:$BA40)+_xlfn.XLOOKUP(Q$134, Hydrogen!$D$32:$BA$32, Hydrogen!$D40:$BA40)+_xlfn.XLOOKUP(Q$134, 'SENS Tires'!$D$32:$BA$32, 'SENS Tires'!$D40:$BA40)+_xlfn.XLOOKUP(Q$134, 'SENS Coal'!$D$32:$BA$32, 'SENS Coal'!$D40:$BA40)</f>
        <v>10223.938162243794</v>
      </c>
      <c r="R142" s="21">
        <f>_xlfn.XLOOKUP(R$134, 'Real Estate'!$D$25:$BA$25, 'Real Estate'!$D33:$BA33)+_xlfn.XLOOKUP(R$134, 'GEN-CCGT'!$D$32:$BA$32, 'GEN-CCGT'!$D40:$BA40)+_xlfn.XLOOKUP(R$134, 'GEN-SOLAR'!$D$32:$BA$32, 'GEN-SOLAR'!$D40:$BA40)+_xlfn.XLOOKUP(R$134, 'GEN-BESS'!$D$32:$BA$32, 'GEN-BESS'!$D40:$BA40)+_xlfn.XLOOKUP(R$134, 'GEN-CARBON'!$D$32:$BA$32, 'GEN-CARBON'!$D40:$BA40)+_xlfn.XLOOKUP(R$134, Load!$D$32:$BA$32, Load!$D40:$BA40)+_xlfn.XLOOKUP(R$134, Hydrogen!$D$32:$BA$32, Hydrogen!$D40:$BA40)+_xlfn.XLOOKUP(R$134, 'SENS Tires'!$D$32:$BA$32, 'SENS Tires'!$D40:$BA40)+_xlfn.XLOOKUP(R$134, 'SENS Coal'!$D$32:$BA$32, 'SENS Coal'!$D40:$BA40)</f>
        <v>10429.294739705054</v>
      </c>
      <c r="S142" s="21">
        <f>_xlfn.XLOOKUP(S$134, 'Real Estate'!$D$25:$BA$25, 'Real Estate'!$D33:$BA33)+_xlfn.XLOOKUP(S$134, 'GEN-CCGT'!$D$32:$BA$32, 'GEN-CCGT'!$D40:$BA40)+_xlfn.XLOOKUP(S$134, 'GEN-SOLAR'!$D$32:$BA$32, 'GEN-SOLAR'!$D40:$BA40)+_xlfn.XLOOKUP(S$134, 'GEN-BESS'!$D$32:$BA$32, 'GEN-BESS'!$D40:$BA40)+_xlfn.XLOOKUP(S$134, 'GEN-CARBON'!$D$32:$BA$32, 'GEN-CARBON'!$D40:$BA40)+_xlfn.XLOOKUP(S$134, Load!$D$32:$BA$32, Load!$D40:$BA40)+_xlfn.XLOOKUP(S$134, Hydrogen!$D$32:$BA$32, Hydrogen!$D40:$BA40)+_xlfn.XLOOKUP(S$134, 'SENS Tires'!$D$32:$BA$32, 'SENS Tires'!$D40:$BA40)+_xlfn.XLOOKUP(S$134, 'SENS Coal'!$D$32:$BA$32, 'SENS Coal'!$D40:$BA40)</f>
        <v>10638.809353778566</v>
      </c>
      <c r="T142" s="21">
        <f>_xlfn.XLOOKUP(T$134, 'Real Estate'!$D$25:$BA$25, 'Real Estate'!$D33:$BA33)+_xlfn.XLOOKUP(T$134, 'GEN-CCGT'!$D$32:$BA$32, 'GEN-CCGT'!$D40:$BA40)+_xlfn.XLOOKUP(T$134, 'GEN-SOLAR'!$D$32:$BA$32, 'GEN-SOLAR'!$D40:$BA40)+_xlfn.XLOOKUP(T$134, 'GEN-BESS'!$D$32:$BA$32, 'GEN-BESS'!$D40:$BA40)+_xlfn.XLOOKUP(T$134, 'GEN-CARBON'!$D$32:$BA$32, 'GEN-CARBON'!$D40:$BA40)+_xlfn.XLOOKUP(T$134, Load!$D$32:$BA$32, Load!$D40:$BA40)+_xlfn.XLOOKUP(T$134, Hydrogen!$D$32:$BA$32, Hydrogen!$D40:$BA40)+_xlfn.XLOOKUP(T$134, 'SENS Tires'!$D$32:$BA$32, 'SENS Tires'!$D40:$BA40)+_xlfn.XLOOKUP(T$134, 'SENS Coal'!$D$32:$BA$32, 'SENS Coal'!$D40:$BA40)</f>
        <v>10852.566768690151</v>
      </c>
      <c r="U142" s="21">
        <f>_xlfn.XLOOKUP(U$134, 'Real Estate'!$D$25:$BA$25, 'Real Estate'!$D33:$BA33)+_xlfn.XLOOKUP(U$134, 'GEN-CCGT'!$D$32:$BA$32, 'GEN-CCGT'!$D40:$BA40)+_xlfn.XLOOKUP(U$134, 'GEN-SOLAR'!$D$32:$BA$32, 'GEN-SOLAR'!$D40:$BA40)+_xlfn.XLOOKUP(U$134, 'GEN-BESS'!$D$32:$BA$32, 'GEN-BESS'!$D40:$BA40)+_xlfn.XLOOKUP(U$134, 'GEN-CARBON'!$D$32:$BA$32, 'GEN-CARBON'!$D40:$BA40)+_xlfn.XLOOKUP(U$134, Load!$D$32:$BA$32, Load!$D40:$BA40)+_xlfn.XLOOKUP(U$134, Hydrogen!$D$32:$BA$32, Hydrogen!$D40:$BA40)+_xlfn.XLOOKUP(U$134, 'SENS Tires'!$D$32:$BA$32, 'SENS Tires'!$D40:$BA40)+_xlfn.XLOOKUP(U$134, 'SENS Coal'!$D$32:$BA$32, 'SENS Coal'!$D40:$BA40)</f>
        <v>11070.653493169937</v>
      </c>
      <c r="V142" s="21">
        <f>_xlfn.XLOOKUP(V$134, 'Real Estate'!$D$25:$BA$25, 'Real Estate'!$D33:$BA33)+_xlfn.XLOOKUP(V$134, 'GEN-CCGT'!$D$32:$BA$32, 'GEN-CCGT'!$D40:$BA40)+_xlfn.XLOOKUP(V$134, 'GEN-SOLAR'!$D$32:$BA$32, 'GEN-SOLAR'!$D40:$BA40)+_xlfn.XLOOKUP(V$134, 'GEN-BESS'!$D$32:$BA$32, 'GEN-BESS'!$D40:$BA40)+_xlfn.XLOOKUP(V$134, 'GEN-CARBON'!$D$32:$BA$32, 'GEN-CARBON'!$D40:$BA40)+_xlfn.XLOOKUP(V$134, Load!$D$32:$BA$32, Load!$D40:$BA40)+_xlfn.XLOOKUP(V$134, Hydrogen!$D$32:$BA$32, Hydrogen!$D40:$BA40)+_xlfn.XLOOKUP(V$134, 'SENS Tires'!$D$32:$BA$32, 'SENS Tires'!$D40:$BA40)+_xlfn.XLOOKUP(V$134, 'SENS Coal'!$D$32:$BA$32, 'SENS Coal'!$D40:$BA40)</f>
        <v>11293.157816837296</v>
      </c>
      <c r="W142" s="21">
        <f>_xlfn.XLOOKUP(W$134, 'Real Estate'!$D$25:$BA$25, 'Real Estate'!$D33:$BA33)+_xlfn.XLOOKUP(W$134, 'GEN-CCGT'!$D$32:$BA$32, 'GEN-CCGT'!$D40:$BA40)+_xlfn.XLOOKUP(W$134, 'GEN-SOLAR'!$D$32:$BA$32, 'GEN-SOLAR'!$D40:$BA40)+_xlfn.XLOOKUP(W$134, 'GEN-BESS'!$D$32:$BA$32, 'GEN-BESS'!$D40:$BA40)+_xlfn.XLOOKUP(W$134, 'GEN-CARBON'!$D$32:$BA$32, 'GEN-CARBON'!$D40:$BA40)+_xlfn.XLOOKUP(W$134, Load!$D$32:$BA$32, Load!$D40:$BA40)+_xlfn.XLOOKUP(W$134, Hydrogen!$D$32:$BA$32, Hydrogen!$D40:$BA40)+_xlfn.XLOOKUP(W$134, 'SENS Tires'!$D$32:$BA$32, 'SENS Tires'!$D40:$BA40)+_xlfn.XLOOKUP(W$134, 'SENS Coal'!$D$32:$BA$32, 'SENS Coal'!$D40:$BA40)</f>
        <v>11520.169847358517</v>
      </c>
      <c r="X142" s="21">
        <f>_xlfn.XLOOKUP(X$134, 'Real Estate'!$D$25:$BA$25, 'Real Estate'!$D33:$BA33)+_xlfn.XLOOKUP(X$134, 'GEN-CCGT'!$D$32:$BA$32, 'GEN-CCGT'!$D40:$BA40)+_xlfn.XLOOKUP(X$134, 'GEN-SOLAR'!$D$32:$BA$32, 'GEN-SOLAR'!$D40:$BA40)+_xlfn.XLOOKUP(X$134, 'GEN-BESS'!$D$32:$BA$32, 'GEN-BESS'!$D40:$BA40)+_xlfn.XLOOKUP(X$134, 'GEN-CARBON'!$D$32:$BA$32, 'GEN-CARBON'!$D40:$BA40)+_xlfn.XLOOKUP(X$134, Load!$D$32:$BA$32, Load!$D40:$BA40)+_xlfn.XLOOKUP(X$134, Hydrogen!$D$32:$BA$32, Hydrogen!$D40:$BA40)+_xlfn.XLOOKUP(X$134, 'SENS Tires'!$D$32:$BA$32, 'SENS Tires'!$D40:$BA40)+_xlfn.XLOOKUP(X$134, 'SENS Coal'!$D$32:$BA$32, 'SENS Coal'!$D40:$BA40)</f>
        <v>11751.781548394203</v>
      </c>
      <c r="Y142" s="21">
        <f>_xlfn.XLOOKUP(Y$134, 'Real Estate'!$D$25:$BA$25, 'Real Estate'!$D33:$BA33)+_xlfn.XLOOKUP(Y$134, 'GEN-CCGT'!$D$32:$BA$32, 'GEN-CCGT'!$D40:$BA40)+_xlfn.XLOOKUP(Y$134, 'GEN-SOLAR'!$D$32:$BA$32, 'GEN-SOLAR'!$D40:$BA40)+_xlfn.XLOOKUP(Y$134, 'GEN-BESS'!$D$32:$BA$32, 'GEN-BESS'!$D40:$BA40)+_xlfn.XLOOKUP(Y$134, 'GEN-CARBON'!$D$32:$BA$32, 'GEN-CARBON'!$D40:$BA40)+_xlfn.XLOOKUP(Y$134, Load!$D$32:$BA$32, Load!$D40:$BA40)+_xlfn.XLOOKUP(Y$134, Hydrogen!$D$32:$BA$32, Hydrogen!$D40:$BA40)+_xlfn.XLOOKUP(Y$134, 'SENS Tires'!$D$32:$BA$32, 'SENS Tires'!$D40:$BA40)+_xlfn.XLOOKUP(Y$134, 'SENS Coal'!$D$32:$BA$32, 'SENS Coal'!$D40:$BA40)</f>
        <v>11988.086778353478</v>
      </c>
      <c r="Z142" s="21">
        <f>_xlfn.XLOOKUP(Z$134, 'Real Estate'!$D$25:$BA$25, 'Real Estate'!$D33:$BA33)+_xlfn.XLOOKUP(Z$134, 'GEN-CCGT'!$D$32:$BA$32, 'GEN-CCGT'!$D40:$BA40)+_xlfn.XLOOKUP(Z$134, 'GEN-SOLAR'!$D$32:$BA$32, 'GEN-SOLAR'!$D40:$BA40)+_xlfn.XLOOKUP(Z$134, 'GEN-BESS'!$D$32:$BA$32, 'GEN-BESS'!$D40:$BA40)+_xlfn.XLOOKUP(Z$134, 'GEN-CARBON'!$D$32:$BA$32, 'GEN-CARBON'!$D40:$BA40)+_xlfn.XLOOKUP(Z$134, Load!$D$32:$BA$32, Load!$D40:$BA40)+_xlfn.XLOOKUP(Z$134, Hydrogen!$D$32:$BA$32, Hydrogen!$D40:$BA40)+_xlfn.XLOOKUP(Z$134, 'SENS Tires'!$D$32:$BA$32, 'SENS Tires'!$D40:$BA40)+_xlfn.XLOOKUP(Z$134, 'SENS Coal'!$D$32:$BA$32, 'SENS Coal'!$D40:$BA40)</f>
        <v>12229.181329972651</v>
      </c>
      <c r="AA142" s="21">
        <f>_xlfn.XLOOKUP(AA$134, 'Real Estate'!$D$25:$BA$25, 'Real Estate'!$D33:$BA33)+_xlfn.XLOOKUP(AA$134, 'GEN-CCGT'!$D$32:$BA$32, 'GEN-CCGT'!$D40:$BA40)+_xlfn.XLOOKUP(AA$134, 'GEN-SOLAR'!$D$32:$BA$32, 'GEN-SOLAR'!$D40:$BA40)+_xlfn.XLOOKUP(AA$134, 'GEN-BESS'!$D$32:$BA$32, 'GEN-BESS'!$D40:$BA40)+_xlfn.XLOOKUP(AA$134, 'GEN-CARBON'!$D$32:$BA$32, 'GEN-CARBON'!$D40:$BA40)+_xlfn.XLOOKUP(AA$134, Load!$D$32:$BA$32, Load!$D40:$BA40)+_xlfn.XLOOKUP(AA$134, Hydrogen!$D$32:$BA$32, Hydrogen!$D40:$BA40)+_xlfn.XLOOKUP(AA$134, 'SENS Tires'!$D$32:$BA$32, 'SENS Tires'!$D40:$BA40)+_xlfn.XLOOKUP(AA$134, 'SENS Coal'!$D$32:$BA$32, 'SENS Coal'!$D40:$BA40)</f>
        <v>12475.162970736234</v>
      </c>
      <c r="AB142" s="21">
        <f>_xlfn.XLOOKUP(AB$134, 'Real Estate'!$D$25:$BA$25, 'Real Estate'!$D33:$BA33)+_xlfn.XLOOKUP(AB$134, 'GEN-CCGT'!$D$32:$BA$32, 'GEN-CCGT'!$D40:$BA40)+_xlfn.XLOOKUP(AB$134, 'GEN-SOLAR'!$D$32:$BA$32, 'GEN-SOLAR'!$D40:$BA40)+_xlfn.XLOOKUP(AB$134, 'GEN-BESS'!$D$32:$BA$32, 'GEN-BESS'!$D40:$BA40)+_xlfn.XLOOKUP(AB$134, 'GEN-CARBON'!$D$32:$BA$32, 'GEN-CARBON'!$D40:$BA40)+_xlfn.XLOOKUP(AB$134, Load!$D$32:$BA$32, Load!$D40:$BA40)+_xlfn.XLOOKUP(AB$134, Hydrogen!$D$32:$BA$32, Hydrogen!$D40:$BA40)+_xlfn.XLOOKUP(AB$134, 'SENS Tires'!$D$32:$BA$32, 'SENS Tires'!$D40:$BA40)+_xlfn.XLOOKUP(AB$134, 'SENS Coal'!$D$32:$BA$32, 'SENS Coal'!$D40:$BA40)</f>
        <v>12726.131484158796</v>
      </c>
      <c r="AC142" s="21">
        <f>_xlfn.XLOOKUP(AC$134, 'Real Estate'!$D$25:$BA$25, 'Real Estate'!$D33:$BA33)+_xlfn.XLOOKUP(AC$134, 'GEN-CCGT'!$D$32:$BA$32, 'GEN-CCGT'!$D40:$BA40)+_xlfn.XLOOKUP(AC$134, 'GEN-SOLAR'!$D$32:$BA$32, 'GEN-SOLAR'!$D40:$BA40)+_xlfn.XLOOKUP(AC$134, 'GEN-BESS'!$D$32:$BA$32, 'GEN-BESS'!$D40:$BA40)+_xlfn.XLOOKUP(AC$134, 'GEN-CARBON'!$D$32:$BA$32, 'GEN-CARBON'!$D40:$BA40)+_xlfn.XLOOKUP(AC$134, Load!$D$32:$BA$32, Load!$D40:$BA40)+_xlfn.XLOOKUP(AC$134, Hydrogen!$D$32:$BA$32, Hydrogen!$D40:$BA40)+_xlfn.XLOOKUP(AC$134, 'SENS Tires'!$D$32:$BA$32, 'SENS Tires'!$D40:$BA40)+_xlfn.XLOOKUP(AC$134, 'SENS Coal'!$D$32:$BA$32, 'SENS Coal'!$D40:$BA40)</f>
        <v>12982.188711946326</v>
      </c>
      <c r="AD142" s="21">
        <f>_xlfn.XLOOKUP(AD$134, 'Real Estate'!$D$25:$BA$25, 'Real Estate'!$D33:$BA33)+_xlfn.XLOOKUP(AD$134, 'GEN-CCGT'!$D$32:$BA$32, 'GEN-CCGT'!$D40:$BA40)+_xlfn.XLOOKUP(AD$134, 'GEN-SOLAR'!$D$32:$BA$32, 'GEN-SOLAR'!$D40:$BA40)+_xlfn.XLOOKUP(AD$134, 'GEN-BESS'!$D$32:$BA$32, 'GEN-BESS'!$D40:$BA40)+_xlfn.XLOOKUP(AD$134, 'GEN-CARBON'!$D$32:$BA$32, 'GEN-CARBON'!$D40:$BA40)+_xlfn.XLOOKUP(AD$134, Load!$D$32:$BA$32, Load!$D40:$BA40)+_xlfn.XLOOKUP(AD$134, Hydrogen!$D$32:$BA$32, Hydrogen!$D40:$BA40)+_xlfn.XLOOKUP(AD$134, 'SENS Tires'!$D$32:$BA$32, 'SENS Tires'!$D40:$BA40)+_xlfn.XLOOKUP(AD$134, 'SENS Coal'!$D$32:$BA$32, 'SENS Coal'!$D40:$BA40)</f>
        <v>13243.438597056425</v>
      </c>
      <c r="AE142" s="21">
        <f>_xlfn.XLOOKUP(AE$134, 'Real Estate'!$D$25:$BA$25, 'Real Estate'!$D33:$BA33)+_xlfn.XLOOKUP(AE$134, 'GEN-CCGT'!$D$32:$BA$32, 'GEN-CCGT'!$D40:$BA40)+_xlfn.XLOOKUP(AE$134, 'GEN-SOLAR'!$D$32:$BA$32, 'GEN-SOLAR'!$D40:$BA40)+_xlfn.XLOOKUP(AE$134, 'GEN-BESS'!$D$32:$BA$32, 'GEN-BESS'!$D40:$BA40)+_xlfn.XLOOKUP(AE$134, 'GEN-CARBON'!$D$32:$BA$32, 'GEN-CARBON'!$D40:$BA40)+_xlfn.XLOOKUP(AE$134, Load!$D$32:$BA$32, Load!$D40:$BA40)+_xlfn.XLOOKUP(AE$134, Hydrogen!$D$32:$BA$32, Hydrogen!$D40:$BA40)+_xlfn.XLOOKUP(AE$134, 'SENS Tires'!$D$32:$BA$32, 'SENS Tires'!$D40:$BA40)+_xlfn.XLOOKUP(AE$134, 'SENS Coal'!$D$32:$BA$32, 'SENS Coal'!$D40:$BA40)</f>
        <v>13509.987227676911</v>
      </c>
      <c r="AF142" s="21">
        <f>_xlfn.XLOOKUP(AF$134, 'Real Estate'!$D$25:$BA$25, 'Real Estate'!$D33:$BA33)+_xlfn.XLOOKUP(AF$134, 'GEN-CCGT'!$D$32:$BA$32, 'GEN-CCGT'!$D40:$BA40)+_xlfn.XLOOKUP(AF$134, 'GEN-SOLAR'!$D$32:$BA$32, 'GEN-SOLAR'!$D40:$BA40)+_xlfn.XLOOKUP(AF$134, 'GEN-BESS'!$D$32:$BA$32, 'GEN-BESS'!$D40:$BA40)+_xlfn.XLOOKUP(AF$134, 'GEN-CARBON'!$D$32:$BA$32, 'GEN-CARBON'!$D40:$BA40)+_xlfn.XLOOKUP(AF$134, Load!$D$32:$BA$32, Load!$D40:$BA40)+_xlfn.XLOOKUP(AF$134, Hydrogen!$D$32:$BA$32, Hydrogen!$D40:$BA40)+_xlfn.XLOOKUP(AF$134, 'SENS Tires'!$D$32:$BA$32, 'SENS Tires'!$D40:$BA40)+_xlfn.XLOOKUP(AF$134, 'SENS Coal'!$D$32:$BA$32, 'SENS Coal'!$D40:$BA40)</f>
        <v>13263.294097958154</v>
      </c>
      <c r="AG142" s="21">
        <f>_xlfn.XLOOKUP(AG$134, 'Real Estate'!$D$25:$BA$25, 'Real Estate'!$D33:$BA33)+_xlfn.XLOOKUP(AG$134, 'GEN-CCGT'!$D$32:$BA$32, 'GEN-CCGT'!$D40:$BA40)+_xlfn.XLOOKUP(AG$134, 'GEN-SOLAR'!$D$32:$BA$32, 'GEN-SOLAR'!$D40:$BA40)+_xlfn.XLOOKUP(AG$134, 'GEN-BESS'!$D$32:$BA$32, 'GEN-BESS'!$D40:$BA40)+_xlfn.XLOOKUP(AG$134, 'GEN-CARBON'!$D$32:$BA$32, 'GEN-CARBON'!$D40:$BA40)+_xlfn.XLOOKUP(AG$134, Load!$D$32:$BA$32, Load!$D40:$BA40)+_xlfn.XLOOKUP(AG$134, Hydrogen!$D$32:$BA$32, Hydrogen!$D40:$BA40)+_xlfn.XLOOKUP(AG$134, 'SENS Tires'!$D$32:$BA$32, 'SENS Tires'!$D40:$BA40)+_xlfn.XLOOKUP(AG$134, 'SENS Coal'!$D$32:$BA$32, 'SENS Coal'!$D40:$BA40)</f>
        <v>13529.872369249173</v>
      </c>
      <c r="AH142" s="21">
        <f>_xlfn.XLOOKUP(AH$134, 'Real Estate'!$D$25:$BA$25, 'Real Estate'!$D33:$BA33)+_xlfn.XLOOKUP(AH$134, 'GEN-CCGT'!$D$32:$BA$32, 'GEN-CCGT'!$D40:$BA40)+_xlfn.XLOOKUP(AH$134, 'GEN-SOLAR'!$D$32:$BA$32, 'GEN-SOLAR'!$D40:$BA40)+_xlfn.XLOOKUP(AH$134, 'GEN-BESS'!$D$32:$BA$32, 'GEN-BESS'!$D40:$BA40)+_xlfn.XLOOKUP(AH$134, 'GEN-CARBON'!$D$32:$BA$32, 'GEN-CARBON'!$D40:$BA40)+_xlfn.XLOOKUP(AH$134, Load!$D$32:$BA$32, Load!$D40:$BA40)+_xlfn.XLOOKUP(AH$134, Hydrogen!$D$32:$BA$32, Hydrogen!$D40:$BA40)+_xlfn.XLOOKUP(AH$134, 'SENS Tires'!$D$32:$BA$32, 'SENS Tires'!$D40:$BA40)+_xlfn.XLOOKUP(AH$134, 'SENS Coal'!$D$32:$BA$32, 'SENS Coal'!$D40:$BA40)</f>
        <v>13759.402802805476</v>
      </c>
      <c r="AI142" s="21">
        <f>_xlfn.XLOOKUP(AI$134, 'Real Estate'!$D$25:$BA$25, 'Real Estate'!$D33:$BA33)+_xlfn.XLOOKUP(AI$134, 'GEN-CCGT'!$D$32:$BA$32, 'GEN-CCGT'!$D40:$BA40)+_xlfn.XLOOKUP(AI$134, 'GEN-SOLAR'!$D$32:$BA$32, 'GEN-SOLAR'!$D40:$BA40)+_xlfn.XLOOKUP(AI$134, 'GEN-BESS'!$D$32:$BA$32, 'GEN-BESS'!$D40:$BA40)+_xlfn.XLOOKUP(AI$134, 'GEN-CARBON'!$D$32:$BA$32, 'GEN-CARBON'!$D40:$BA40)+_xlfn.XLOOKUP(AI$134, Load!$D$32:$BA$32, Load!$D40:$BA40)+_xlfn.XLOOKUP(AI$134, Hydrogen!$D$32:$BA$32, Hydrogen!$D40:$BA40)+_xlfn.XLOOKUP(AI$134, 'SENS Tires'!$D$32:$BA$32, 'SENS Tires'!$D40:$BA40)+_xlfn.XLOOKUP(AI$134, 'SENS Coal'!$D$32:$BA$32, 'SENS Coal'!$D40:$BA40)</f>
        <v>13960.249250044348</v>
      </c>
      <c r="AJ142" s="21">
        <f>_xlfn.XLOOKUP(AJ$134, 'Real Estate'!$D$25:$BA$25, 'Real Estate'!$D33:$BA33)+_xlfn.XLOOKUP(AJ$134, 'GEN-CCGT'!$D$32:$BA$32, 'GEN-CCGT'!$D40:$BA40)+_xlfn.XLOOKUP(AJ$134, 'GEN-SOLAR'!$D$32:$BA$32, 'GEN-SOLAR'!$D40:$BA40)+_xlfn.XLOOKUP(AJ$134, 'GEN-BESS'!$D$32:$BA$32, 'GEN-BESS'!$D40:$BA40)+_xlfn.XLOOKUP(AJ$134, 'GEN-CARBON'!$D$32:$BA$32, 'GEN-CARBON'!$D40:$BA40)+_xlfn.XLOOKUP(AJ$134, Load!$D$32:$BA$32, Load!$D40:$BA40)+_xlfn.XLOOKUP(AJ$134, Hydrogen!$D$32:$BA$32, Hydrogen!$D40:$BA40)+_xlfn.XLOOKUP(AJ$134, 'SENS Tires'!$D$32:$BA$32, 'SENS Tires'!$D40:$BA40)+_xlfn.XLOOKUP(AJ$134, 'SENS Coal'!$D$32:$BA$32, 'SENS Coal'!$D40:$BA40)</f>
        <v>14241.641729181283</v>
      </c>
      <c r="AK142" s="21">
        <f>_xlfn.XLOOKUP(AK$134, 'Real Estate'!$D$25:$BA$25, 'Real Estate'!$D33:$BA33)+_xlfn.XLOOKUP(AK$134, 'GEN-CCGT'!$D$32:$BA$32, 'GEN-CCGT'!$D40:$BA40)+_xlfn.XLOOKUP(AK$134, 'GEN-SOLAR'!$D$32:$BA$32, 'GEN-SOLAR'!$D40:$BA40)+_xlfn.XLOOKUP(AK$134, 'GEN-BESS'!$D$32:$BA$32, 'GEN-BESS'!$D40:$BA40)+_xlfn.XLOOKUP(AK$134, 'GEN-CARBON'!$D$32:$BA$32, 'GEN-CARBON'!$D40:$BA40)+_xlfn.XLOOKUP(AK$134, Load!$D$32:$BA$32, Load!$D40:$BA40)+_xlfn.XLOOKUP(AK$134, Hydrogen!$D$32:$BA$32, Hydrogen!$D40:$BA40)+_xlfn.XLOOKUP(AK$134, 'SENS Tires'!$D$32:$BA$32, 'SENS Tires'!$D40:$BA40)+_xlfn.XLOOKUP(AK$134, 'SENS Coal'!$D$32:$BA$32, 'SENS Coal'!$D40:$BA40)</f>
        <v>14528.727682725037</v>
      </c>
      <c r="AL142" s="21">
        <f>_xlfn.XLOOKUP(AL$134, 'Real Estate'!$D$25:$BA$25, 'Real Estate'!$D33:$BA33)+_xlfn.XLOOKUP(AL$134, 'GEN-CCGT'!$D$32:$BA$32, 'GEN-CCGT'!$D40:$BA40)+_xlfn.XLOOKUP(AL$134, 'GEN-SOLAR'!$D$32:$BA$32, 'GEN-SOLAR'!$D40:$BA40)+_xlfn.XLOOKUP(AL$134, 'GEN-BESS'!$D$32:$BA$32, 'GEN-BESS'!$D40:$BA40)+_xlfn.XLOOKUP(AL$134, 'GEN-CARBON'!$D$32:$BA$32, 'GEN-CARBON'!$D40:$BA40)+_xlfn.XLOOKUP(AL$134, Load!$D$32:$BA$32, Load!$D40:$BA40)+_xlfn.XLOOKUP(AL$134, Hydrogen!$D$32:$BA$32, Hydrogen!$D40:$BA40)+_xlfn.XLOOKUP(AL$134, 'SENS Tires'!$D$32:$BA$32, 'SENS Tires'!$D40:$BA40)+_xlfn.XLOOKUP(AL$134, 'SENS Coal'!$D$32:$BA$32, 'SENS Coal'!$D40:$BA40)</f>
        <v>14821.622948908476</v>
      </c>
      <c r="AM142" s="21">
        <f>_xlfn.XLOOKUP(AM$134, 'Real Estate'!$D$25:$BA$25, 'Real Estate'!$D33:$BA33)+_xlfn.XLOOKUP(AM$134, 'GEN-CCGT'!$D$32:$BA$32, 'GEN-CCGT'!$D40:$BA40)+_xlfn.XLOOKUP(AM$134, 'GEN-SOLAR'!$D$32:$BA$32, 'GEN-SOLAR'!$D40:$BA40)+_xlfn.XLOOKUP(AM$134, 'GEN-BESS'!$D$32:$BA$32, 'GEN-BESS'!$D40:$BA40)+_xlfn.XLOOKUP(AM$134, 'GEN-CARBON'!$D$32:$BA$32, 'GEN-CARBON'!$D40:$BA40)+_xlfn.XLOOKUP(AM$134, Load!$D$32:$BA$32, Load!$D40:$BA40)+_xlfn.XLOOKUP(AM$134, Hydrogen!$D$32:$BA$32, Hydrogen!$D40:$BA40)+_xlfn.XLOOKUP(AM$134, 'SENS Tires'!$D$32:$BA$32, 'SENS Tires'!$D40:$BA40)+_xlfn.XLOOKUP(AM$134, 'SENS Coal'!$D$32:$BA$32, 'SENS Coal'!$D40:$BA40)</f>
        <v>15120.445741791449</v>
      </c>
      <c r="AN142" s="21">
        <f>_xlfn.XLOOKUP(AN$134, 'Real Estate'!$D$25:$BA$25, 'Real Estate'!$D33:$BA33)+_xlfn.XLOOKUP(AN$134, 'GEN-CCGT'!$D$32:$BA$32, 'GEN-CCGT'!$D40:$BA40)+_xlfn.XLOOKUP(AN$134, 'GEN-SOLAR'!$D$32:$BA$32, 'GEN-SOLAR'!$D40:$BA40)+_xlfn.XLOOKUP(AN$134, 'GEN-BESS'!$D$32:$BA$32, 'GEN-BESS'!$D40:$BA40)+_xlfn.XLOOKUP(AN$134, 'GEN-CARBON'!$D$32:$BA$32, 'GEN-CARBON'!$D40:$BA40)+_xlfn.XLOOKUP(AN$134, Load!$D$32:$BA$32, Load!$D40:$BA40)+_xlfn.XLOOKUP(AN$134, Hydrogen!$D$32:$BA$32, Hydrogen!$D40:$BA40)+_xlfn.XLOOKUP(AN$134, 'SENS Tires'!$D$32:$BA$32, 'SENS Tires'!$D40:$BA40)+_xlfn.XLOOKUP(AN$134, 'SENS Coal'!$D$32:$BA$32, 'SENS Coal'!$D40:$BA40)</f>
        <v>15425.316700549221</v>
      </c>
      <c r="AO142" s="21">
        <f>_xlfn.XLOOKUP(AO$134, 'Real Estate'!$D$25:$BA$25, 'Real Estate'!$D33:$BA33)+_xlfn.XLOOKUP(AO$134, 'GEN-CCGT'!$D$32:$BA$32, 'GEN-CCGT'!$D40:$BA40)+_xlfn.XLOOKUP(AO$134, 'GEN-SOLAR'!$D$32:$BA$32, 'GEN-SOLAR'!$D40:$BA40)+_xlfn.XLOOKUP(AO$134, 'GEN-BESS'!$D$32:$BA$32, 'GEN-BESS'!$D40:$BA40)+_xlfn.XLOOKUP(AO$134, 'GEN-CARBON'!$D$32:$BA$32, 'GEN-CARBON'!$D40:$BA40)+_xlfn.XLOOKUP(AO$134, Load!$D$32:$BA$32, Load!$D40:$BA40)+_xlfn.XLOOKUP(AO$134, Hydrogen!$D$32:$BA$32, Hydrogen!$D40:$BA40)+_xlfn.XLOOKUP(AO$134, 'SENS Tires'!$D$32:$BA$32, 'SENS Tires'!$D40:$BA40)+_xlfn.XLOOKUP(AO$134, 'SENS Coal'!$D$32:$BA$32, 'SENS Coal'!$D40:$BA40)</f>
        <v>15736.358939799808</v>
      </c>
      <c r="AP142" s="21">
        <f>_xlfn.XLOOKUP(AP$134, 'Real Estate'!$D$25:$BA$25, 'Real Estate'!$D33:$BA33)+_xlfn.XLOOKUP(AP$134, 'GEN-CCGT'!$D$32:$BA$32, 'GEN-CCGT'!$D40:$BA40)+_xlfn.XLOOKUP(AP$134, 'GEN-SOLAR'!$D$32:$BA$32, 'GEN-SOLAR'!$D40:$BA40)+_xlfn.XLOOKUP(AP$134, 'GEN-BESS'!$D$32:$BA$32, 'GEN-BESS'!$D40:$BA40)+_xlfn.XLOOKUP(AP$134, 'GEN-CARBON'!$D$32:$BA$32, 'GEN-CARBON'!$D40:$BA40)+_xlfn.XLOOKUP(AP$134, Load!$D$32:$BA$32, Load!$D40:$BA40)+_xlfn.XLOOKUP(AP$134, Hydrogen!$D$32:$BA$32, Hydrogen!$D40:$BA40)+_xlfn.XLOOKUP(AP$134, 'SENS Tires'!$D$32:$BA$32, 'SENS Tires'!$D40:$BA40)+_xlfn.XLOOKUP(AP$134, 'SENS Coal'!$D$32:$BA$32, 'SENS Coal'!$D40:$BA40)</f>
        <v>16053.698100992597</v>
      </c>
      <c r="AQ142" s="21">
        <f>_xlfn.XLOOKUP(AQ$134, 'Real Estate'!$D$25:$BA$25, 'Real Estate'!$D33:$BA33)+_xlfn.XLOOKUP(AQ$134, 'GEN-CCGT'!$D$32:$BA$32, 'GEN-CCGT'!$D40:$BA40)+_xlfn.XLOOKUP(AQ$134, 'GEN-SOLAR'!$D$32:$BA$32, 'GEN-SOLAR'!$D40:$BA40)+_xlfn.XLOOKUP(AQ$134, 'GEN-BESS'!$D$32:$BA$32, 'GEN-BESS'!$D40:$BA40)+_xlfn.XLOOKUP(AQ$134, 'GEN-CARBON'!$D$32:$BA$32, 'GEN-CARBON'!$D40:$BA40)+_xlfn.XLOOKUP(AQ$134, Load!$D$32:$BA$32, Load!$D40:$BA40)+_xlfn.XLOOKUP(AQ$134, Hydrogen!$D$32:$BA$32, Hydrogen!$D40:$BA40)+_xlfn.XLOOKUP(AQ$134, 'SENS Tires'!$D$32:$BA$32, 'SENS Tires'!$D40:$BA40)+_xlfn.XLOOKUP(AQ$134, 'SENS Coal'!$D$32:$BA$32, 'SENS Coal'!$D40:$BA40)</f>
        <v>16377.462404881146</v>
      </c>
      <c r="AR142" s="21">
        <f>_xlfn.XLOOKUP(AR$134, 'Real Estate'!$D$25:$BA$25, 'Real Estate'!$D33:$BA33)+_xlfn.XLOOKUP(AR$134, 'GEN-CCGT'!$D$32:$BA$32, 'GEN-CCGT'!$D40:$BA40)+_xlfn.XLOOKUP(AR$134, 'GEN-SOLAR'!$D$32:$BA$32, 'GEN-SOLAR'!$D40:$BA40)+_xlfn.XLOOKUP(AR$134, 'GEN-BESS'!$D$32:$BA$32, 'GEN-BESS'!$D40:$BA40)+_xlfn.XLOOKUP(AR$134, 'GEN-CARBON'!$D$32:$BA$32, 'GEN-CARBON'!$D40:$BA40)+_xlfn.XLOOKUP(AR$134, Load!$D$32:$BA$32, Load!$D40:$BA40)+_xlfn.XLOOKUP(AR$134, Hydrogen!$D$32:$BA$32, Hydrogen!$D40:$BA40)+_xlfn.XLOOKUP(AR$134, 'SENS Tires'!$D$32:$BA$32, 'SENS Tires'!$D40:$BA40)+_xlfn.XLOOKUP(AR$134, 'SENS Coal'!$D$32:$BA$32, 'SENS Coal'!$D40:$BA40)</f>
        <v>16882.6611419564</v>
      </c>
      <c r="AS142" s="21">
        <f>_xlfn.XLOOKUP(AS$134, 'Real Estate'!$D$25:$BA$25, 'Real Estate'!$D33:$BA33)+_xlfn.XLOOKUP(AS$134, 'GEN-CCGT'!$D$32:$BA$32, 'GEN-CCGT'!$D40:$BA40)+_xlfn.XLOOKUP(AS$134, 'GEN-SOLAR'!$D$32:$BA$32, 'GEN-SOLAR'!$D40:$BA40)+_xlfn.XLOOKUP(AS$134, 'GEN-BESS'!$D$32:$BA$32, 'GEN-BESS'!$D40:$BA40)+_xlfn.XLOOKUP(AS$134, 'GEN-CARBON'!$D$32:$BA$32, 'GEN-CARBON'!$D40:$BA40)+_xlfn.XLOOKUP(AS$134, Load!$D$32:$BA$32, Load!$D40:$BA40)+_xlfn.XLOOKUP(AS$134, Hydrogen!$D$32:$BA$32, Hydrogen!$D40:$BA40)+_xlfn.XLOOKUP(AS$134, 'SENS Tires'!$D$32:$BA$32, 'SENS Tires'!$D40:$BA40)+_xlfn.XLOOKUP(AS$134, 'SENS Coal'!$D$32:$BA$32, 'SENS Coal'!$D40:$BA40)</f>
        <v>17044.792542894091</v>
      </c>
      <c r="AT142" s="21">
        <f>_xlfn.XLOOKUP(AT$134, 'Real Estate'!$D$25:$BA$25, 'Real Estate'!$D33:$BA33)+_xlfn.XLOOKUP(AT$134, 'GEN-CCGT'!$D$32:$BA$32, 'GEN-CCGT'!$D40:$BA40)+_xlfn.XLOOKUP(AT$134, 'GEN-SOLAR'!$D$32:$BA$32, 'GEN-SOLAR'!$D40:$BA40)+_xlfn.XLOOKUP(AT$134, 'GEN-BESS'!$D$32:$BA$32, 'GEN-BESS'!$D40:$BA40)+_xlfn.XLOOKUP(AT$134, 'GEN-CARBON'!$D$32:$BA$32, 'GEN-CARBON'!$D40:$BA40)+_xlfn.XLOOKUP(AT$134, Load!$D$32:$BA$32, Load!$D40:$BA40)+_xlfn.XLOOKUP(AT$134, Hydrogen!$D$32:$BA$32, Hydrogen!$D40:$BA40)+_xlfn.XLOOKUP(AT$134, 'SENS Tires'!$D$32:$BA$32, 'SENS Tires'!$D40:$BA40)+_xlfn.XLOOKUP(AT$134, 'SENS Coal'!$D$32:$BA$32, 'SENS Coal'!$D40:$BA40)</f>
        <v>17388.628202951135</v>
      </c>
      <c r="AU142" s="21">
        <f>_xlfn.XLOOKUP(AU$134, 'Real Estate'!$D$25:$BA$25, 'Real Estate'!$D33:$BA33)+_xlfn.XLOOKUP(AU$134, 'GEN-CCGT'!$D$32:$BA$32, 'GEN-CCGT'!$D40:$BA40)+_xlfn.XLOOKUP(AU$134, 'GEN-SOLAR'!$D$32:$BA$32, 'GEN-SOLAR'!$D40:$BA40)+_xlfn.XLOOKUP(AU$134, 'GEN-BESS'!$D$32:$BA$32, 'GEN-BESS'!$D40:$BA40)+_xlfn.XLOOKUP(AU$134, 'GEN-CARBON'!$D$32:$BA$32, 'GEN-CARBON'!$D40:$BA40)+_xlfn.XLOOKUP(AU$134, Load!$D$32:$BA$32, Load!$D40:$BA40)+_xlfn.XLOOKUP(AU$134, Hydrogen!$D$32:$BA$32, Hydrogen!$D40:$BA40)+_xlfn.XLOOKUP(AU$134, 'SENS Tires'!$D$32:$BA$32, 'SENS Tires'!$D40:$BA40)+_xlfn.XLOOKUP(AU$134, 'SENS Coal'!$D$32:$BA$32, 'SENS Coal'!$D40:$BA40)</f>
        <v>17739.428770485283</v>
      </c>
      <c r="AV142" s="21">
        <f>_xlfn.XLOOKUP(AV$134, 'Real Estate'!$D$25:$BA$25, 'Real Estate'!$D33:$BA33)+_xlfn.XLOOKUP(AV$134, 'GEN-CCGT'!$D$32:$BA$32, 'GEN-CCGT'!$D40:$BA40)+_xlfn.XLOOKUP(AV$134, 'GEN-SOLAR'!$D$32:$BA$32, 'GEN-SOLAR'!$D40:$BA40)+_xlfn.XLOOKUP(AV$134, 'GEN-BESS'!$D$32:$BA$32, 'GEN-BESS'!$D40:$BA40)+_xlfn.XLOOKUP(AV$134, 'GEN-CARBON'!$D$32:$BA$32, 'GEN-CARBON'!$D40:$BA40)+_xlfn.XLOOKUP(AV$134, Load!$D$32:$BA$32, Load!$D40:$BA40)+_xlfn.XLOOKUP(AV$134, Hydrogen!$D$32:$BA$32, Hydrogen!$D40:$BA40)+_xlfn.XLOOKUP(AV$134, 'SENS Tires'!$D$32:$BA$32, 'SENS Tires'!$D40:$BA40)+_xlfn.XLOOKUP(AV$134, 'SENS Coal'!$D$32:$BA$32, 'SENS Coal'!$D40:$BA40)</f>
        <v>18097.336189474376</v>
      </c>
      <c r="AW142" s="21">
        <f>_xlfn.XLOOKUP(AW$134, 'Real Estate'!$D$25:$BA$25, 'Real Estate'!$D33:$BA33)+_xlfn.XLOOKUP(AW$134, 'GEN-CCGT'!$D$32:$BA$32, 'GEN-CCGT'!$D40:$BA40)+_xlfn.XLOOKUP(AW$134, 'GEN-SOLAR'!$D$32:$BA$32, 'GEN-SOLAR'!$D40:$BA40)+_xlfn.XLOOKUP(AW$134, 'GEN-BESS'!$D$32:$BA$32, 'GEN-BESS'!$D40:$BA40)+_xlfn.XLOOKUP(AW$134, 'GEN-CARBON'!$D$32:$BA$32, 'GEN-CARBON'!$D40:$BA40)+_xlfn.XLOOKUP(AW$134, Load!$D$32:$BA$32, Load!$D40:$BA40)+_xlfn.XLOOKUP(AW$134, Hydrogen!$D$32:$BA$32, Hydrogen!$D40:$BA40)+_xlfn.XLOOKUP(AW$134, 'SENS Tires'!$D$32:$BA$32, 'SENS Tires'!$D40:$BA40)+_xlfn.XLOOKUP(AW$134, 'SENS Coal'!$D$32:$BA$32, 'SENS Coal'!$D40:$BA40)</f>
        <v>18462.495322150622</v>
      </c>
      <c r="AX142" s="21">
        <f>_xlfn.XLOOKUP(AX$134, 'Real Estate'!$D$25:$BA$25, 'Real Estate'!$D33:$BA33)+_xlfn.XLOOKUP(AX$134, 'GEN-CCGT'!$D$32:$BA$32, 'GEN-CCGT'!$D40:$BA40)+_xlfn.XLOOKUP(AX$134, 'GEN-SOLAR'!$D$32:$BA$32, 'GEN-SOLAR'!$D40:$BA40)+_xlfn.XLOOKUP(AX$134, 'GEN-BESS'!$D$32:$BA$32, 'GEN-BESS'!$D40:$BA40)+_xlfn.XLOOKUP(AX$134, 'GEN-CARBON'!$D$32:$BA$32, 'GEN-CARBON'!$D40:$BA40)+_xlfn.XLOOKUP(AX$134, Load!$D$32:$BA$32, Load!$D40:$BA40)+_xlfn.XLOOKUP(AX$134, Hydrogen!$D$32:$BA$32, Hydrogen!$D40:$BA40)+_xlfn.XLOOKUP(AX$134, 'SENS Tires'!$D$32:$BA$32, 'SENS Tires'!$D40:$BA40)+_xlfn.XLOOKUP(AX$134, 'SENS Coal'!$D$32:$BA$32, 'SENS Coal'!$D40:$BA40)</f>
        <v>18835.054009747011</v>
      </c>
    </row>
    <row r="143" spans="1:50" ht="14.25" customHeight="1">
      <c r="A143" s="44"/>
      <c r="B143" s="205"/>
      <c r="C143" s="98" t="s">
        <v>409</v>
      </c>
      <c r="D143" s="84"/>
      <c r="E143" s="208">
        <f>_xlfn.XLOOKUP(E$134, 'Real Estate'!$D$25:$BA$25, 'Real Estate'!$D34:$BA34)+_xlfn.XLOOKUP(E$134, 'GEN-CCGT'!$D$32:$BA$32, 'GEN-CCGT'!$D41:$BA41)+_xlfn.XLOOKUP(E$134, 'GEN-SOLAR'!$D$32:$BA$32, 'GEN-SOLAR'!$D41:$BA41)+_xlfn.XLOOKUP(E$134, 'GEN-BESS'!$D$32:$BA$32, 'GEN-BESS'!$D41:$BA41)+_xlfn.XLOOKUP(E$134, 'GEN-CARBON'!$D$32:$BA$32, 'GEN-CARBON'!$D41:$BA41)+_xlfn.XLOOKUP(E$134, Load!$D$32:$BA$32, Load!$D41:$BA41)+_xlfn.XLOOKUP(E$134, Hydrogen!$D$32:$BA$32, Hydrogen!$D41:$BA41)+_xlfn.XLOOKUP(E$134, 'SENS Tires'!$D$32:$BA$32, 'SENS Tires'!$D41:$BA41)+_xlfn.XLOOKUP(E$134, 'SENS Coal'!$D$32:$BA$32, 'SENS Coal'!$D41:$BA41)</f>
        <v>-39.200000000000003</v>
      </c>
      <c r="F143" s="208">
        <f>_xlfn.XLOOKUP(F$134, 'Real Estate'!$D$25:$BA$25, 'Real Estate'!$D34:$BA34)+_xlfn.XLOOKUP(F$134, 'GEN-CCGT'!$D$32:$BA$32, 'GEN-CCGT'!$D41:$BA41)+_xlfn.XLOOKUP(F$134, 'GEN-SOLAR'!$D$32:$BA$32, 'GEN-SOLAR'!$D41:$BA41)+_xlfn.XLOOKUP(F$134, 'GEN-BESS'!$D$32:$BA$32, 'GEN-BESS'!$D41:$BA41)+_xlfn.XLOOKUP(F$134, 'GEN-CARBON'!$D$32:$BA$32, 'GEN-CARBON'!$D41:$BA41)+_xlfn.XLOOKUP(F$134, Load!$D$32:$BA$32, Load!$D41:$BA41)+_xlfn.XLOOKUP(F$134, Hydrogen!$D$32:$BA$32, Hydrogen!$D41:$BA41)+_xlfn.XLOOKUP(F$134, 'SENS Tires'!$D$32:$BA$32, 'SENS Tires'!$D41:$BA41)+_xlfn.XLOOKUP(F$134, 'SENS Coal'!$D$32:$BA$32, 'SENS Coal'!$D41:$BA41)</f>
        <v>0</v>
      </c>
      <c r="G143" s="208">
        <f>_xlfn.XLOOKUP(G$134, 'Real Estate'!$D$25:$BA$25, 'Real Estate'!$D34:$BA34)+_xlfn.XLOOKUP(G$134, 'GEN-CCGT'!$D$32:$BA$32, 'GEN-CCGT'!$D41:$BA41)+_xlfn.XLOOKUP(G$134, 'GEN-SOLAR'!$D$32:$BA$32, 'GEN-SOLAR'!$D41:$BA41)+_xlfn.XLOOKUP(G$134, 'GEN-BESS'!$D$32:$BA$32, 'GEN-BESS'!$D41:$BA41)+_xlfn.XLOOKUP(G$134, 'GEN-CARBON'!$D$32:$BA$32, 'GEN-CARBON'!$D41:$BA41)+_xlfn.XLOOKUP(G$134, Load!$D$32:$BA$32, Load!$D41:$BA41)+_xlfn.XLOOKUP(G$134, Hydrogen!$D$32:$BA$32, Hydrogen!$D41:$BA41)+_xlfn.XLOOKUP(G$134, 'SENS Tires'!$D$32:$BA$32, 'SENS Tires'!$D41:$BA41)+_xlfn.XLOOKUP(G$134, 'SENS Coal'!$D$32:$BA$32, 'SENS Coal'!$D41:$BA41)</f>
        <v>0</v>
      </c>
      <c r="H143" s="208">
        <f>_xlfn.XLOOKUP(H$134, 'Real Estate'!$D$25:$BA$25, 'Real Estate'!$D34:$BA34)+_xlfn.XLOOKUP(H$134, 'GEN-CCGT'!$D$32:$BA$32, 'GEN-CCGT'!$D41:$BA41)+_xlfn.XLOOKUP(H$134, 'GEN-SOLAR'!$D$32:$BA$32, 'GEN-SOLAR'!$D41:$BA41)+_xlfn.XLOOKUP(H$134, 'GEN-BESS'!$D$32:$BA$32, 'GEN-BESS'!$D41:$BA41)+_xlfn.XLOOKUP(H$134, 'GEN-CARBON'!$D$32:$BA$32, 'GEN-CARBON'!$D41:$BA41)+_xlfn.XLOOKUP(H$134, Load!$D$32:$BA$32, Load!$D41:$BA41)+_xlfn.XLOOKUP(H$134, Hydrogen!$D$32:$BA$32, Hydrogen!$D41:$BA41)+_xlfn.XLOOKUP(H$134, 'SENS Tires'!$D$32:$BA$32, 'SENS Tires'!$D41:$BA41)+_xlfn.XLOOKUP(H$134, 'SENS Coal'!$D$32:$BA$32, 'SENS Coal'!$D41:$BA41)</f>
        <v>0</v>
      </c>
      <c r="I143" s="208">
        <f>_xlfn.XLOOKUP(I$134, 'Real Estate'!$D$25:$BA$25, 'Real Estate'!$D34:$BA34)+_xlfn.XLOOKUP(I$134, 'GEN-CCGT'!$D$32:$BA$32, 'GEN-CCGT'!$D41:$BA41)+_xlfn.XLOOKUP(I$134, 'GEN-SOLAR'!$D$32:$BA$32, 'GEN-SOLAR'!$D41:$BA41)+_xlfn.XLOOKUP(I$134, 'GEN-BESS'!$D$32:$BA$32, 'GEN-BESS'!$D41:$BA41)+_xlfn.XLOOKUP(I$134, 'GEN-CARBON'!$D$32:$BA$32, 'GEN-CARBON'!$D41:$BA41)+_xlfn.XLOOKUP(I$134, Load!$D$32:$BA$32, Load!$D41:$BA41)+_xlfn.XLOOKUP(I$134, Hydrogen!$D$32:$BA$32, Hydrogen!$D41:$BA41)+_xlfn.XLOOKUP(I$134, 'SENS Tires'!$D$32:$BA$32, 'SENS Tires'!$D41:$BA41)+_xlfn.XLOOKUP(I$134, 'SENS Coal'!$D$32:$BA$32, 'SENS Coal'!$D41:$BA41)</f>
        <v>0</v>
      </c>
      <c r="J143" s="208">
        <f>_xlfn.XLOOKUP(J$134, 'Real Estate'!$D$25:$BA$25, 'Real Estate'!$D34:$BA34)+_xlfn.XLOOKUP(J$134, 'GEN-CCGT'!$D$32:$BA$32, 'GEN-CCGT'!$D41:$BA41)+_xlfn.XLOOKUP(J$134, 'GEN-SOLAR'!$D$32:$BA$32, 'GEN-SOLAR'!$D41:$BA41)+_xlfn.XLOOKUP(J$134, 'GEN-BESS'!$D$32:$BA$32, 'GEN-BESS'!$D41:$BA41)+_xlfn.XLOOKUP(J$134, 'GEN-CARBON'!$D$32:$BA$32, 'GEN-CARBON'!$D41:$BA41)+_xlfn.XLOOKUP(J$134, Load!$D$32:$BA$32, Load!$D41:$BA41)+_xlfn.XLOOKUP(J$134, Hydrogen!$D$32:$BA$32, Hydrogen!$D41:$BA41)+_xlfn.XLOOKUP(J$134, 'SENS Tires'!$D$32:$BA$32, 'SENS Tires'!$D41:$BA41)+_xlfn.XLOOKUP(J$134, 'SENS Coal'!$D$32:$BA$32, 'SENS Coal'!$D41:$BA41)</f>
        <v>0</v>
      </c>
      <c r="K143" s="208">
        <f>_xlfn.XLOOKUP(K$134, 'Real Estate'!$D$25:$BA$25, 'Real Estate'!$D34:$BA34)+_xlfn.XLOOKUP(K$134, 'GEN-CCGT'!$D$32:$BA$32, 'GEN-CCGT'!$D41:$BA41)+_xlfn.XLOOKUP(K$134, 'GEN-SOLAR'!$D$32:$BA$32, 'GEN-SOLAR'!$D41:$BA41)+_xlfn.XLOOKUP(K$134, 'GEN-BESS'!$D$32:$BA$32, 'GEN-BESS'!$D41:$BA41)+_xlfn.XLOOKUP(K$134, 'GEN-CARBON'!$D$32:$BA$32, 'GEN-CARBON'!$D41:$BA41)+_xlfn.XLOOKUP(K$134, Load!$D$32:$BA$32, Load!$D41:$BA41)+_xlfn.XLOOKUP(K$134, Hydrogen!$D$32:$BA$32, Hydrogen!$D41:$BA41)+_xlfn.XLOOKUP(K$134, 'SENS Tires'!$D$32:$BA$32, 'SENS Tires'!$D41:$BA41)+_xlfn.XLOOKUP(K$134, 'SENS Coal'!$D$32:$BA$32, 'SENS Coal'!$D41:$BA41)</f>
        <v>0</v>
      </c>
      <c r="L143" s="208">
        <f>_xlfn.XLOOKUP(L$134, 'Real Estate'!$D$25:$BA$25, 'Real Estate'!$D34:$BA34)+_xlfn.XLOOKUP(L$134, 'GEN-CCGT'!$D$32:$BA$32, 'GEN-CCGT'!$D41:$BA41)+_xlfn.XLOOKUP(L$134, 'GEN-SOLAR'!$D$32:$BA$32, 'GEN-SOLAR'!$D41:$BA41)+_xlfn.XLOOKUP(L$134, 'GEN-BESS'!$D$32:$BA$32, 'GEN-BESS'!$D41:$BA41)+_xlfn.XLOOKUP(L$134, 'GEN-CARBON'!$D$32:$BA$32, 'GEN-CARBON'!$D41:$BA41)+_xlfn.XLOOKUP(L$134, Load!$D$32:$BA$32, Load!$D41:$BA41)+_xlfn.XLOOKUP(L$134, Hydrogen!$D$32:$BA$32, Hydrogen!$D41:$BA41)+_xlfn.XLOOKUP(L$134, 'SENS Tires'!$D$32:$BA$32, 'SENS Tires'!$D41:$BA41)+_xlfn.XLOOKUP(L$134, 'SENS Coal'!$D$32:$BA$32, 'SENS Coal'!$D41:$BA41)</f>
        <v>0</v>
      </c>
      <c r="M143" s="208">
        <f>_xlfn.XLOOKUP(M$134, 'Real Estate'!$D$25:$BA$25, 'Real Estate'!$D34:$BA34)+_xlfn.XLOOKUP(M$134, 'GEN-CCGT'!$D$32:$BA$32, 'GEN-CCGT'!$D41:$BA41)+_xlfn.XLOOKUP(M$134, 'GEN-SOLAR'!$D$32:$BA$32, 'GEN-SOLAR'!$D41:$BA41)+_xlfn.XLOOKUP(M$134, 'GEN-BESS'!$D$32:$BA$32, 'GEN-BESS'!$D41:$BA41)+_xlfn.XLOOKUP(M$134, 'GEN-CARBON'!$D$32:$BA$32, 'GEN-CARBON'!$D41:$BA41)+_xlfn.XLOOKUP(M$134, Load!$D$32:$BA$32, Load!$D41:$BA41)+_xlfn.XLOOKUP(M$134, Hydrogen!$D$32:$BA$32, Hydrogen!$D41:$BA41)+_xlfn.XLOOKUP(M$134, 'SENS Tires'!$D$32:$BA$32, 'SENS Tires'!$D41:$BA41)+_xlfn.XLOOKUP(M$134, 'SENS Coal'!$D$32:$BA$32, 'SENS Coal'!$D41:$BA41)</f>
        <v>0</v>
      </c>
      <c r="N143" s="208">
        <f>_xlfn.XLOOKUP(N$134, 'Real Estate'!$D$25:$BA$25, 'Real Estate'!$D34:$BA34)+_xlfn.XLOOKUP(N$134, 'GEN-CCGT'!$D$32:$BA$32, 'GEN-CCGT'!$D41:$BA41)+_xlfn.XLOOKUP(N$134, 'GEN-SOLAR'!$D$32:$BA$32, 'GEN-SOLAR'!$D41:$BA41)+_xlfn.XLOOKUP(N$134, 'GEN-BESS'!$D$32:$BA$32, 'GEN-BESS'!$D41:$BA41)+_xlfn.XLOOKUP(N$134, 'GEN-CARBON'!$D$32:$BA$32, 'GEN-CARBON'!$D41:$BA41)+_xlfn.XLOOKUP(N$134, Load!$D$32:$BA$32, Load!$D41:$BA41)+_xlfn.XLOOKUP(N$134, Hydrogen!$D$32:$BA$32, Hydrogen!$D41:$BA41)+_xlfn.XLOOKUP(N$134, 'SENS Tires'!$D$32:$BA$32, 'SENS Tires'!$D41:$BA41)+_xlfn.XLOOKUP(N$134, 'SENS Coal'!$D$32:$BA$32, 'SENS Coal'!$D41:$BA41)</f>
        <v>0</v>
      </c>
      <c r="O143" s="208">
        <f>_xlfn.XLOOKUP(O$134, 'Real Estate'!$D$25:$BA$25, 'Real Estate'!$D34:$BA34)+_xlfn.XLOOKUP(O$134, 'GEN-CCGT'!$D$32:$BA$32, 'GEN-CCGT'!$D41:$BA41)+_xlfn.XLOOKUP(O$134, 'GEN-SOLAR'!$D$32:$BA$32, 'GEN-SOLAR'!$D41:$BA41)+_xlfn.XLOOKUP(O$134, 'GEN-BESS'!$D$32:$BA$32, 'GEN-BESS'!$D41:$BA41)+_xlfn.XLOOKUP(O$134, 'GEN-CARBON'!$D$32:$BA$32, 'GEN-CARBON'!$D41:$BA41)+_xlfn.XLOOKUP(O$134, Load!$D$32:$BA$32, Load!$D41:$BA41)+_xlfn.XLOOKUP(O$134, Hydrogen!$D$32:$BA$32, Hydrogen!$D41:$BA41)+_xlfn.XLOOKUP(O$134, 'SENS Tires'!$D$32:$BA$32, 'SENS Tires'!$D41:$BA41)+_xlfn.XLOOKUP(O$134, 'SENS Coal'!$D$32:$BA$32, 'SENS Coal'!$D41:$BA41)</f>
        <v>0</v>
      </c>
      <c r="P143" s="208">
        <f>_xlfn.XLOOKUP(P$134, 'Real Estate'!$D$25:$BA$25, 'Real Estate'!$D34:$BA34)+_xlfn.XLOOKUP(P$134, 'GEN-CCGT'!$D$32:$BA$32, 'GEN-CCGT'!$D41:$BA41)+_xlfn.XLOOKUP(P$134, 'GEN-SOLAR'!$D$32:$BA$32, 'GEN-SOLAR'!$D41:$BA41)+_xlfn.XLOOKUP(P$134, 'GEN-BESS'!$D$32:$BA$32, 'GEN-BESS'!$D41:$BA41)+_xlfn.XLOOKUP(P$134, 'GEN-CARBON'!$D$32:$BA$32, 'GEN-CARBON'!$D41:$BA41)+_xlfn.XLOOKUP(P$134, Load!$D$32:$BA$32, Load!$D41:$BA41)+_xlfn.XLOOKUP(P$134, Hydrogen!$D$32:$BA$32, Hydrogen!$D41:$BA41)+_xlfn.XLOOKUP(P$134, 'SENS Tires'!$D$32:$BA$32, 'SENS Tires'!$D41:$BA41)+_xlfn.XLOOKUP(P$134, 'SENS Coal'!$D$32:$BA$32, 'SENS Coal'!$D41:$BA41)</f>
        <v>0</v>
      </c>
      <c r="Q143" s="208">
        <f>_xlfn.XLOOKUP(Q$134, 'Real Estate'!$D$25:$BA$25, 'Real Estate'!$D34:$BA34)+_xlfn.XLOOKUP(Q$134, 'GEN-CCGT'!$D$32:$BA$32, 'GEN-CCGT'!$D41:$BA41)+_xlfn.XLOOKUP(Q$134, 'GEN-SOLAR'!$D$32:$BA$32, 'GEN-SOLAR'!$D41:$BA41)+_xlfn.XLOOKUP(Q$134, 'GEN-BESS'!$D$32:$BA$32, 'GEN-BESS'!$D41:$BA41)+_xlfn.XLOOKUP(Q$134, 'GEN-CARBON'!$D$32:$BA$32, 'GEN-CARBON'!$D41:$BA41)+_xlfn.XLOOKUP(Q$134, Load!$D$32:$BA$32, Load!$D41:$BA41)+_xlfn.XLOOKUP(Q$134, Hydrogen!$D$32:$BA$32, Hydrogen!$D41:$BA41)+_xlfn.XLOOKUP(Q$134, 'SENS Tires'!$D$32:$BA$32, 'SENS Tires'!$D41:$BA41)+_xlfn.XLOOKUP(Q$134, 'SENS Coal'!$D$32:$BA$32, 'SENS Coal'!$D41:$BA41)</f>
        <v>0</v>
      </c>
      <c r="R143" s="208">
        <f>_xlfn.XLOOKUP(R$134, 'Real Estate'!$D$25:$BA$25, 'Real Estate'!$D34:$BA34)+_xlfn.XLOOKUP(R$134, 'GEN-CCGT'!$D$32:$BA$32, 'GEN-CCGT'!$D41:$BA41)+_xlfn.XLOOKUP(R$134, 'GEN-SOLAR'!$D$32:$BA$32, 'GEN-SOLAR'!$D41:$BA41)+_xlfn.XLOOKUP(R$134, 'GEN-BESS'!$D$32:$BA$32, 'GEN-BESS'!$D41:$BA41)+_xlfn.XLOOKUP(R$134, 'GEN-CARBON'!$D$32:$BA$32, 'GEN-CARBON'!$D41:$BA41)+_xlfn.XLOOKUP(R$134, Load!$D$32:$BA$32, Load!$D41:$BA41)+_xlfn.XLOOKUP(R$134, Hydrogen!$D$32:$BA$32, Hydrogen!$D41:$BA41)+_xlfn.XLOOKUP(R$134, 'SENS Tires'!$D$32:$BA$32, 'SENS Tires'!$D41:$BA41)+_xlfn.XLOOKUP(R$134, 'SENS Coal'!$D$32:$BA$32, 'SENS Coal'!$D41:$BA41)</f>
        <v>0</v>
      </c>
      <c r="S143" s="208">
        <f>_xlfn.XLOOKUP(S$134, 'Real Estate'!$D$25:$BA$25, 'Real Estate'!$D34:$BA34)+_xlfn.XLOOKUP(S$134, 'GEN-CCGT'!$D$32:$BA$32, 'GEN-CCGT'!$D41:$BA41)+_xlfn.XLOOKUP(S$134, 'GEN-SOLAR'!$D$32:$BA$32, 'GEN-SOLAR'!$D41:$BA41)+_xlfn.XLOOKUP(S$134, 'GEN-BESS'!$D$32:$BA$32, 'GEN-BESS'!$D41:$BA41)+_xlfn.XLOOKUP(S$134, 'GEN-CARBON'!$D$32:$BA$32, 'GEN-CARBON'!$D41:$BA41)+_xlfn.XLOOKUP(S$134, Load!$D$32:$BA$32, Load!$D41:$BA41)+_xlfn.XLOOKUP(S$134, Hydrogen!$D$32:$BA$32, Hydrogen!$D41:$BA41)+_xlfn.XLOOKUP(S$134, 'SENS Tires'!$D$32:$BA$32, 'SENS Tires'!$D41:$BA41)+_xlfn.XLOOKUP(S$134, 'SENS Coal'!$D$32:$BA$32, 'SENS Coal'!$D41:$BA41)</f>
        <v>0</v>
      </c>
      <c r="T143" s="208">
        <f>_xlfn.XLOOKUP(T$134, 'Real Estate'!$D$25:$BA$25, 'Real Estate'!$D34:$BA34)+_xlfn.XLOOKUP(T$134, 'GEN-CCGT'!$D$32:$BA$32, 'GEN-CCGT'!$D41:$BA41)+_xlfn.XLOOKUP(T$134, 'GEN-SOLAR'!$D$32:$BA$32, 'GEN-SOLAR'!$D41:$BA41)+_xlfn.XLOOKUP(T$134, 'GEN-BESS'!$D$32:$BA$32, 'GEN-BESS'!$D41:$BA41)+_xlfn.XLOOKUP(T$134, 'GEN-CARBON'!$D$32:$BA$32, 'GEN-CARBON'!$D41:$BA41)+_xlfn.XLOOKUP(T$134, Load!$D$32:$BA$32, Load!$D41:$BA41)+_xlfn.XLOOKUP(T$134, Hydrogen!$D$32:$BA$32, Hydrogen!$D41:$BA41)+_xlfn.XLOOKUP(T$134, 'SENS Tires'!$D$32:$BA$32, 'SENS Tires'!$D41:$BA41)+_xlfn.XLOOKUP(T$134, 'SENS Coal'!$D$32:$BA$32, 'SENS Coal'!$D41:$BA41)</f>
        <v>0</v>
      </c>
      <c r="U143" s="208">
        <f>_xlfn.XLOOKUP(U$134, 'Real Estate'!$D$25:$BA$25, 'Real Estate'!$D34:$BA34)+_xlfn.XLOOKUP(U$134, 'GEN-CCGT'!$D$32:$BA$32, 'GEN-CCGT'!$D41:$BA41)+_xlfn.XLOOKUP(U$134, 'GEN-SOLAR'!$D$32:$BA$32, 'GEN-SOLAR'!$D41:$BA41)+_xlfn.XLOOKUP(U$134, 'GEN-BESS'!$D$32:$BA$32, 'GEN-BESS'!$D41:$BA41)+_xlfn.XLOOKUP(U$134, 'GEN-CARBON'!$D$32:$BA$32, 'GEN-CARBON'!$D41:$BA41)+_xlfn.XLOOKUP(U$134, Load!$D$32:$BA$32, Load!$D41:$BA41)+_xlfn.XLOOKUP(U$134, Hydrogen!$D$32:$BA$32, Hydrogen!$D41:$BA41)+_xlfn.XLOOKUP(U$134, 'SENS Tires'!$D$32:$BA$32, 'SENS Tires'!$D41:$BA41)+_xlfn.XLOOKUP(U$134, 'SENS Coal'!$D$32:$BA$32, 'SENS Coal'!$D41:$BA41)</f>
        <v>0</v>
      </c>
      <c r="V143" s="208">
        <f>_xlfn.XLOOKUP(V$134, 'Real Estate'!$D$25:$BA$25, 'Real Estate'!$D34:$BA34)+_xlfn.XLOOKUP(V$134, 'GEN-CCGT'!$D$32:$BA$32, 'GEN-CCGT'!$D41:$BA41)+_xlfn.XLOOKUP(V$134, 'GEN-SOLAR'!$D$32:$BA$32, 'GEN-SOLAR'!$D41:$BA41)+_xlfn.XLOOKUP(V$134, 'GEN-BESS'!$D$32:$BA$32, 'GEN-BESS'!$D41:$BA41)+_xlfn.XLOOKUP(V$134, 'GEN-CARBON'!$D$32:$BA$32, 'GEN-CARBON'!$D41:$BA41)+_xlfn.XLOOKUP(V$134, Load!$D$32:$BA$32, Load!$D41:$BA41)+_xlfn.XLOOKUP(V$134, Hydrogen!$D$32:$BA$32, Hydrogen!$D41:$BA41)+_xlfn.XLOOKUP(V$134, 'SENS Tires'!$D$32:$BA$32, 'SENS Tires'!$D41:$BA41)+_xlfn.XLOOKUP(V$134, 'SENS Coal'!$D$32:$BA$32, 'SENS Coal'!$D41:$BA41)</f>
        <v>0</v>
      </c>
      <c r="W143" s="208">
        <f>_xlfn.XLOOKUP(W$134, 'Real Estate'!$D$25:$BA$25, 'Real Estate'!$D34:$BA34)+_xlfn.XLOOKUP(W$134, 'GEN-CCGT'!$D$32:$BA$32, 'GEN-CCGT'!$D41:$BA41)+_xlfn.XLOOKUP(W$134, 'GEN-SOLAR'!$D$32:$BA$32, 'GEN-SOLAR'!$D41:$BA41)+_xlfn.XLOOKUP(W$134, 'GEN-BESS'!$D$32:$BA$32, 'GEN-BESS'!$D41:$BA41)+_xlfn.XLOOKUP(W$134, 'GEN-CARBON'!$D$32:$BA$32, 'GEN-CARBON'!$D41:$BA41)+_xlfn.XLOOKUP(W$134, Load!$D$32:$BA$32, Load!$D41:$BA41)+_xlfn.XLOOKUP(W$134, Hydrogen!$D$32:$BA$32, Hydrogen!$D41:$BA41)+_xlfn.XLOOKUP(W$134, 'SENS Tires'!$D$32:$BA$32, 'SENS Tires'!$D41:$BA41)+_xlfn.XLOOKUP(W$134, 'SENS Coal'!$D$32:$BA$32, 'SENS Coal'!$D41:$BA41)</f>
        <v>0</v>
      </c>
      <c r="X143" s="208">
        <f>_xlfn.XLOOKUP(X$134, 'Real Estate'!$D$25:$BA$25, 'Real Estate'!$D34:$BA34)+_xlfn.XLOOKUP(X$134, 'GEN-CCGT'!$D$32:$BA$32, 'GEN-CCGT'!$D41:$BA41)+_xlfn.XLOOKUP(X$134, 'GEN-SOLAR'!$D$32:$BA$32, 'GEN-SOLAR'!$D41:$BA41)+_xlfn.XLOOKUP(X$134, 'GEN-BESS'!$D$32:$BA$32, 'GEN-BESS'!$D41:$BA41)+_xlfn.XLOOKUP(X$134, 'GEN-CARBON'!$D$32:$BA$32, 'GEN-CARBON'!$D41:$BA41)+_xlfn.XLOOKUP(X$134, Load!$D$32:$BA$32, Load!$D41:$BA41)+_xlfn.XLOOKUP(X$134, Hydrogen!$D$32:$BA$32, Hydrogen!$D41:$BA41)+_xlfn.XLOOKUP(X$134, 'SENS Tires'!$D$32:$BA$32, 'SENS Tires'!$D41:$BA41)+_xlfn.XLOOKUP(X$134, 'SENS Coal'!$D$32:$BA$32, 'SENS Coal'!$D41:$BA41)</f>
        <v>0</v>
      </c>
      <c r="Y143" s="208">
        <f>_xlfn.XLOOKUP(Y$134, 'Real Estate'!$D$25:$BA$25, 'Real Estate'!$D34:$BA34)+_xlfn.XLOOKUP(Y$134, 'GEN-CCGT'!$D$32:$BA$32, 'GEN-CCGT'!$D41:$BA41)+_xlfn.XLOOKUP(Y$134, 'GEN-SOLAR'!$D$32:$BA$32, 'GEN-SOLAR'!$D41:$BA41)+_xlfn.XLOOKUP(Y$134, 'GEN-BESS'!$D$32:$BA$32, 'GEN-BESS'!$D41:$BA41)+_xlfn.XLOOKUP(Y$134, 'GEN-CARBON'!$D$32:$BA$32, 'GEN-CARBON'!$D41:$BA41)+_xlfn.XLOOKUP(Y$134, Load!$D$32:$BA$32, Load!$D41:$BA41)+_xlfn.XLOOKUP(Y$134, Hydrogen!$D$32:$BA$32, Hydrogen!$D41:$BA41)+_xlfn.XLOOKUP(Y$134, 'SENS Tires'!$D$32:$BA$32, 'SENS Tires'!$D41:$BA41)+_xlfn.XLOOKUP(Y$134, 'SENS Coal'!$D$32:$BA$32, 'SENS Coal'!$D41:$BA41)</f>
        <v>0</v>
      </c>
      <c r="Z143" s="208">
        <f>_xlfn.XLOOKUP(Z$134, 'Real Estate'!$D$25:$BA$25, 'Real Estate'!$D34:$BA34)+_xlfn.XLOOKUP(Z$134, 'GEN-CCGT'!$D$32:$BA$32, 'GEN-CCGT'!$D41:$BA41)+_xlfn.XLOOKUP(Z$134, 'GEN-SOLAR'!$D$32:$BA$32, 'GEN-SOLAR'!$D41:$BA41)+_xlfn.XLOOKUP(Z$134, 'GEN-BESS'!$D$32:$BA$32, 'GEN-BESS'!$D41:$BA41)+_xlfn.XLOOKUP(Z$134, 'GEN-CARBON'!$D$32:$BA$32, 'GEN-CARBON'!$D41:$BA41)+_xlfn.XLOOKUP(Z$134, Load!$D$32:$BA$32, Load!$D41:$BA41)+_xlfn.XLOOKUP(Z$134, Hydrogen!$D$32:$BA$32, Hydrogen!$D41:$BA41)+_xlfn.XLOOKUP(Z$134, 'SENS Tires'!$D$32:$BA$32, 'SENS Tires'!$D41:$BA41)+_xlfn.XLOOKUP(Z$134, 'SENS Coal'!$D$32:$BA$32, 'SENS Coal'!$D41:$BA41)</f>
        <v>0</v>
      </c>
      <c r="AA143" s="208">
        <f>_xlfn.XLOOKUP(AA$134, 'Real Estate'!$D$25:$BA$25, 'Real Estate'!$D34:$BA34)+_xlfn.XLOOKUP(AA$134, 'GEN-CCGT'!$D$32:$BA$32, 'GEN-CCGT'!$D41:$BA41)+_xlfn.XLOOKUP(AA$134, 'GEN-SOLAR'!$D$32:$BA$32, 'GEN-SOLAR'!$D41:$BA41)+_xlfn.XLOOKUP(AA$134, 'GEN-BESS'!$D$32:$BA$32, 'GEN-BESS'!$D41:$BA41)+_xlfn.XLOOKUP(AA$134, 'GEN-CARBON'!$D$32:$BA$32, 'GEN-CARBON'!$D41:$BA41)+_xlfn.XLOOKUP(AA$134, Load!$D$32:$BA$32, Load!$D41:$BA41)+_xlfn.XLOOKUP(AA$134, Hydrogen!$D$32:$BA$32, Hydrogen!$D41:$BA41)+_xlfn.XLOOKUP(AA$134, 'SENS Tires'!$D$32:$BA$32, 'SENS Tires'!$D41:$BA41)+_xlfn.XLOOKUP(AA$134, 'SENS Coal'!$D$32:$BA$32, 'SENS Coal'!$D41:$BA41)</f>
        <v>0</v>
      </c>
      <c r="AB143" s="208">
        <f>_xlfn.XLOOKUP(AB$134, 'Real Estate'!$D$25:$BA$25, 'Real Estate'!$D34:$BA34)+_xlfn.XLOOKUP(AB$134, 'GEN-CCGT'!$D$32:$BA$32, 'GEN-CCGT'!$D41:$BA41)+_xlfn.XLOOKUP(AB$134, 'GEN-SOLAR'!$D$32:$BA$32, 'GEN-SOLAR'!$D41:$BA41)+_xlfn.XLOOKUP(AB$134, 'GEN-BESS'!$D$32:$BA$32, 'GEN-BESS'!$D41:$BA41)+_xlfn.XLOOKUP(AB$134, 'GEN-CARBON'!$D$32:$BA$32, 'GEN-CARBON'!$D41:$BA41)+_xlfn.XLOOKUP(AB$134, Load!$D$32:$BA$32, Load!$D41:$BA41)+_xlfn.XLOOKUP(AB$134, Hydrogen!$D$32:$BA$32, Hydrogen!$D41:$BA41)+_xlfn.XLOOKUP(AB$134, 'SENS Tires'!$D$32:$BA$32, 'SENS Tires'!$D41:$BA41)+_xlfn.XLOOKUP(AB$134, 'SENS Coal'!$D$32:$BA$32, 'SENS Coal'!$D41:$BA41)</f>
        <v>0</v>
      </c>
      <c r="AC143" s="208">
        <f>_xlfn.XLOOKUP(AC$134, 'Real Estate'!$D$25:$BA$25, 'Real Estate'!$D34:$BA34)+_xlfn.XLOOKUP(AC$134, 'GEN-CCGT'!$D$32:$BA$32, 'GEN-CCGT'!$D41:$BA41)+_xlfn.XLOOKUP(AC$134, 'GEN-SOLAR'!$D$32:$BA$32, 'GEN-SOLAR'!$D41:$BA41)+_xlfn.XLOOKUP(AC$134, 'GEN-BESS'!$D$32:$BA$32, 'GEN-BESS'!$D41:$BA41)+_xlfn.XLOOKUP(AC$134, 'GEN-CARBON'!$D$32:$BA$32, 'GEN-CARBON'!$D41:$BA41)+_xlfn.XLOOKUP(AC$134, Load!$D$32:$BA$32, Load!$D41:$BA41)+_xlfn.XLOOKUP(AC$134, Hydrogen!$D$32:$BA$32, Hydrogen!$D41:$BA41)+_xlfn.XLOOKUP(AC$134, 'SENS Tires'!$D$32:$BA$32, 'SENS Tires'!$D41:$BA41)+_xlfn.XLOOKUP(AC$134, 'SENS Coal'!$D$32:$BA$32, 'SENS Coal'!$D41:$BA41)</f>
        <v>0</v>
      </c>
      <c r="AD143" s="208">
        <f>_xlfn.XLOOKUP(AD$134, 'Real Estate'!$D$25:$BA$25, 'Real Estate'!$D34:$BA34)+_xlfn.XLOOKUP(AD$134, 'GEN-CCGT'!$D$32:$BA$32, 'GEN-CCGT'!$D41:$BA41)+_xlfn.XLOOKUP(AD$134, 'GEN-SOLAR'!$D$32:$BA$32, 'GEN-SOLAR'!$D41:$BA41)+_xlfn.XLOOKUP(AD$134, 'GEN-BESS'!$D$32:$BA$32, 'GEN-BESS'!$D41:$BA41)+_xlfn.XLOOKUP(AD$134, 'GEN-CARBON'!$D$32:$BA$32, 'GEN-CARBON'!$D41:$BA41)+_xlfn.XLOOKUP(AD$134, Load!$D$32:$BA$32, Load!$D41:$BA41)+_xlfn.XLOOKUP(AD$134, Hydrogen!$D$32:$BA$32, Hydrogen!$D41:$BA41)+_xlfn.XLOOKUP(AD$134, 'SENS Tires'!$D$32:$BA$32, 'SENS Tires'!$D41:$BA41)+_xlfn.XLOOKUP(AD$134, 'SENS Coal'!$D$32:$BA$32, 'SENS Coal'!$D41:$BA41)</f>
        <v>0</v>
      </c>
      <c r="AE143" s="208">
        <f>_xlfn.XLOOKUP(AE$134, 'Real Estate'!$D$25:$BA$25, 'Real Estate'!$D34:$BA34)+_xlfn.XLOOKUP(AE$134, 'GEN-CCGT'!$D$32:$BA$32, 'GEN-CCGT'!$D41:$BA41)+_xlfn.XLOOKUP(AE$134, 'GEN-SOLAR'!$D$32:$BA$32, 'GEN-SOLAR'!$D41:$BA41)+_xlfn.XLOOKUP(AE$134, 'GEN-BESS'!$D$32:$BA$32, 'GEN-BESS'!$D41:$BA41)+_xlfn.XLOOKUP(AE$134, 'GEN-CARBON'!$D$32:$BA$32, 'GEN-CARBON'!$D41:$BA41)+_xlfn.XLOOKUP(AE$134, Load!$D$32:$BA$32, Load!$D41:$BA41)+_xlfn.XLOOKUP(AE$134, Hydrogen!$D$32:$BA$32, Hydrogen!$D41:$BA41)+_xlfn.XLOOKUP(AE$134, 'SENS Tires'!$D$32:$BA$32, 'SENS Tires'!$D41:$BA41)+_xlfn.XLOOKUP(AE$134, 'SENS Coal'!$D$32:$BA$32, 'SENS Coal'!$D41:$BA41)</f>
        <v>0</v>
      </c>
      <c r="AF143" s="208">
        <f>_xlfn.XLOOKUP(AF$134, 'Real Estate'!$D$25:$BA$25, 'Real Estate'!$D34:$BA34)+_xlfn.XLOOKUP(AF$134, 'GEN-CCGT'!$D$32:$BA$32, 'GEN-CCGT'!$D41:$BA41)+_xlfn.XLOOKUP(AF$134, 'GEN-SOLAR'!$D$32:$BA$32, 'GEN-SOLAR'!$D41:$BA41)+_xlfn.XLOOKUP(AF$134, 'GEN-BESS'!$D$32:$BA$32, 'GEN-BESS'!$D41:$BA41)+_xlfn.XLOOKUP(AF$134, 'GEN-CARBON'!$D$32:$BA$32, 'GEN-CARBON'!$D41:$BA41)+_xlfn.XLOOKUP(AF$134, Load!$D$32:$BA$32, Load!$D41:$BA41)+_xlfn.XLOOKUP(AF$134, Hydrogen!$D$32:$BA$32, Hydrogen!$D41:$BA41)+_xlfn.XLOOKUP(AF$134, 'SENS Tires'!$D$32:$BA$32, 'SENS Tires'!$D41:$BA41)+_xlfn.XLOOKUP(AF$134, 'SENS Coal'!$D$32:$BA$32, 'SENS Coal'!$D41:$BA41)</f>
        <v>0</v>
      </c>
      <c r="AG143" s="208">
        <f>_xlfn.XLOOKUP(AG$134, 'Real Estate'!$D$25:$BA$25, 'Real Estate'!$D34:$BA34)+_xlfn.XLOOKUP(AG$134, 'GEN-CCGT'!$D$32:$BA$32, 'GEN-CCGT'!$D41:$BA41)+_xlfn.XLOOKUP(AG$134, 'GEN-SOLAR'!$D$32:$BA$32, 'GEN-SOLAR'!$D41:$BA41)+_xlfn.XLOOKUP(AG$134, 'GEN-BESS'!$D$32:$BA$32, 'GEN-BESS'!$D41:$BA41)+_xlfn.XLOOKUP(AG$134, 'GEN-CARBON'!$D$32:$BA$32, 'GEN-CARBON'!$D41:$BA41)+_xlfn.XLOOKUP(AG$134, Load!$D$32:$BA$32, Load!$D41:$BA41)+_xlfn.XLOOKUP(AG$134, Hydrogen!$D$32:$BA$32, Hydrogen!$D41:$BA41)+_xlfn.XLOOKUP(AG$134, 'SENS Tires'!$D$32:$BA$32, 'SENS Tires'!$D41:$BA41)+_xlfn.XLOOKUP(AG$134, 'SENS Coal'!$D$32:$BA$32, 'SENS Coal'!$D41:$BA41)</f>
        <v>0</v>
      </c>
      <c r="AH143" s="208">
        <f>_xlfn.XLOOKUP(AH$134, 'Real Estate'!$D$25:$BA$25, 'Real Estate'!$D34:$BA34)+_xlfn.XLOOKUP(AH$134, 'GEN-CCGT'!$D$32:$BA$32, 'GEN-CCGT'!$D41:$BA41)+_xlfn.XLOOKUP(AH$134, 'GEN-SOLAR'!$D$32:$BA$32, 'GEN-SOLAR'!$D41:$BA41)+_xlfn.XLOOKUP(AH$134, 'GEN-BESS'!$D$32:$BA$32, 'GEN-BESS'!$D41:$BA41)+_xlfn.XLOOKUP(AH$134, 'GEN-CARBON'!$D$32:$BA$32, 'GEN-CARBON'!$D41:$BA41)+_xlfn.XLOOKUP(AH$134, Load!$D$32:$BA$32, Load!$D41:$BA41)+_xlfn.XLOOKUP(AH$134, Hydrogen!$D$32:$BA$32, Hydrogen!$D41:$BA41)+_xlfn.XLOOKUP(AH$134, 'SENS Tires'!$D$32:$BA$32, 'SENS Tires'!$D41:$BA41)+_xlfn.XLOOKUP(AH$134, 'SENS Coal'!$D$32:$BA$32, 'SENS Coal'!$D41:$BA41)</f>
        <v>0</v>
      </c>
      <c r="AI143" s="208">
        <f>_xlfn.XLOOKUP(AI$134, 'Real Estate'!$D$25:$BA$25, 'Real Estate'!$D34:$BA34)+_xlfn.XLOOKUP(AI$134, 'GEN-CCGT'!$D$32:$BA$32, 'GEN-CCGT'!$D41:$BA41)+_xlfn.XLOOKUP(AI$134, 'GEN-SOLAR'!$D$32:$BA$32, 'GEN-SOLAR'!$D41:$BA41)+_xlfn.XLOOKUP(AI$134, 'GEN-BESS'!$D$32:$BA$32, 'GEN-BESS'!$D41:$BA41)+_xlfn.XLOOKUP(AI$134, 'GEN-CARBON'!$D$32:$BA$32, 'GEN-CARBON'!$D41:$BA41)+_xlfn.XLOOKUP(AI$134, Load!$D$32:$BA$32, Load!$D41:$BA41)+_xlfn.XLOOKUP(AI$134, Hydrogen!$D$32:$BA$32, Hydrogen!$D41:$BA41)+_xlfn.XLOOKUP(AI$134, 'SENS Tires'!$D$32:$BA$32, 'SENS Tires'!$D41:$BA41)+_xlfn.XLOOKUP(AI$134, 'SENS Coal'!$D$32:$BA$32, 'SENS Coal'!$D41:$BA41)</f>
        <v>0</v>
      </c>
      <c r="AJ143" s="208">
        <f>_xlfn.XLOOKUP(AJ$134, 'Real Estate'!$D$25:$BA$25, 'Real Estate'!$D34:$BA34)+_xlfn.XLOOKUP(AJ$134, 'GEN-CCGT'!$D$32:$BA$32, 'GEN-CCGT'!$D41:$BA41)+_xlfn.XLOOKUP(AJ$134, 'GEN-SOLAR'!$D$32:$BA$32, 'GEN-SOLAR'!$D41:$BA41)+_xlfn.XLOOKUP(AJ$134, 'GEN-BESS'!$D$32:$BA$32, 'GEN-BESS'!$D41:$BA41)+_xlfn.XLOOKUP(AJ$134, 'GEN-CARBON'!$D$32:$BA$32, 'GEN-CARBON'!$D41:$BA41)+_xlfn.XLOOKUP(AJ$134, Load!$D$32:$BA$32, Load!$D41:$BA41)+_xlfn.XLOOKUP(AJ$134, Hydrogen!$D$32:$BA$32, Hydrogen!$D41:$BA41)+_xlfn.XLOOKUP(AJ$134, 'SENS Tires'!$D$32:$BA$32, 'SENS Tires'!$D41:$BA41)+_xlfn.XLOOKUP(AJ$134, 'SENS Coal'!$D$32:$BA$32, 'SENS Coal'!$D41:$BA41)</f>
        <v>0</v>
      </c>
      <c r="AK143" s="208">
        <f>_xlfn.XLOOKUP(AK$134, 'Real Estate'!$D$25:$BA$25, 'Real Estate'!$D34:$BA34)+_xlfn.XLOOKUP(AK$134, 'GEN-CCGT'!$D$32:$BA$32, 'GEN-CCGT'!$D41:$BA41)+_xlfn.XLOOKUP(AK$134, 'GEN-SOLAR'!$D$32:$BA$32, 'GEN-SOLAR'!$D41:$BA41)+_xlfn.XLOOKUP(AK$134, 'GEN-BESS'!$D$32:$BA$32, 'GEN-BESS'!$D41:$BA41)+_xlfn.XLOOKUP(AK$134, 'GEN-CARBON'!$D$32:$BA$32, 'GEN-CARBON'!$D41:$BA41)+_xlfn.XLOOKUP(AK$134, Load!$D$32:$BA$32, Load!$D41:$BA41)+_xlfn.XLOOKUP(AK$134, Hydrogen!$D$32:$BA$32, Hydrogen!$D41:$BA41)+_xlfn.XLOOKUP(AK$134, 'SENS Tires'!$D$32:$BA$32, 'SENS Tires'!$D41:$BA41)+_xlfn.XLOOKUP(AK$134, 'SENS Coal'!$D$32:$BA$32, 'SENS Coal'!$D41:$BA41)</f>
        <v>0</v>
      </c>
      <c r="AL143" s="208">
        <f>_xlfn.XLOOKUP(AL$134, 'Real Estate'!$D$25:$BA$25, 'Real Estate'!$D34:$BA34)+_xlfn.XLOOKUP(AL$134, 'GEN-CCGT'!$D$32:$BA$32, 'GEN-CCGT'!$D41:$BA41)+_xlfn.XLOOKUP(AL$134, 'GEN-SOLAR'!$D$32:$BA$32, 'GEN-SOLAR'!$D41:$BA41)+_xlfn.XLOOKUP(AL$134, 'GEN-BESS'!$D$32:$BA$32, 'GEN-BESS'!$D41:$BA41)+_xlfn.XLOOKUP(AL$134, 'GEN-CARBON'!$D$32:$BA$32, 'GEN-CARBON'!$D41:$BA41)+_xlfn.XLOOKUP(AL$134, Load!$D$32:$BA$32, Load!$D41:$BA41)+_xlfn.XLOOKUP(AL$134, Hydrogen!$D$32:$BA$32, Hydrogen!$D41:$BA41)+_xlfn.XLOOKUP(AL$134, 'SENS Tires'!$D$32:$BA$32, 'SENS Tires'!$D41:$BA41)+_xlfn.XLOOKUP(AL$134, 'SENS Coal'!$D$32:$BA$32, 'SENS Coal'!$D41:$BA41)</f>
        <v>0</v>
      </c>
      <c r="AM143" s="208">
        <f>_xlfn.XLOOKUP(AM$134, 'Real Estate'!$D$25:$BA$25, 'Real Estate'!$D34:$BA34)+_xlfn.XLOOKUP(AM$134, 'GEN-CCGT'!$D$32:$BA$32, 'GEN-CCGT'!$D41:$BA41)+_xlfn.XLOOKUP(AM$134, 'GEN-SOLAR'!$D$32:$BA$32, 'GEN-SOLAR'!$D41:$BA41)+_xlfn.XLOOKUP(AM$134, 'GEN-BESS'!$D$32:$BA$32, 'GEN-BESS'!$D41:$BA41)+_xlfn.XLOOKUP(AM$134, 'GEN-CARBON'!$D$32:$BA$32, 'GEN-CARBON'!$D41:$BA41)+_xlfn.XLOOKUP(AM$134, Load!$D$32:$BA$32, Load!$D41:$BA41)+_xlfn.XLOOKUP(AM$134, Hydrogen!$D$32:$BA$32, Hydrogen!$D41:$BA41)+_xlfn.XLOOKUP(AM$134, 'SENS Tires'!$D$32:$BA$32, 'SENS Tires'!$D41:$BA41)+_xlfn.XLOOKUP(AM$134, 'SENS Coal'!$D$32:$BA$32, 'SENS Coal'!$D41:$BA41)</f>
        <v>0</v>
      </c>
      <c r="AN143" s="208">
        <f>_xlfn.XLOOKUP(AN$134, 'Real Estate'!$D$25:$BA$25, 'Real Estate'!$D34:$BA34)+_xlfn.XLOOKUP(AN$134, 'GEN-CCGT'!$D$32:$BA$32, 'GEN-CCGT'!$D41:$BA41)+_xlfn.XLOOKUP(AN$134, 'GEN-SOLAR'!$D$32:$BA$32, 'GEN-SOLAR'!$D41:$BA41)+_xlfn.XLOOKUP(AN$134, 'GEN-BESS'!$D$32:$BA$32, 'GEN-BESS'!$D41:$BA41)+_xlfn.XLOOKUP(AN$134, 'GEN-CARBON'!$D$32:$BA$32, 'GEN-CARBON'!$D41:$BA41)+_xlfn.XLOOKUP(AN$134, Load!$D$32:$BA$32, Load!$D41:$BA41)+_xlfn.XLOOKUP(AN$134, Hydrogen!$D$32:$BA$32, Hydrogen!$D41:$BA41)+_xlfn.XLOOKUP(AN$134, 'SENS Tires'!$D$32:$BA$32, 'SENS Tires'!$D41:$BA41)+_xlfn.XLOOKUP(AN$134, 'SENS Coal'!$D$32:$BA$32, 'SENS Coal'!$D41:$BA41)</f>
        <v>0</v>
      </c>
      <c r="AO143" s="208">
        <f>_xlfn.XLOOKUP(AO$134, 'Real Estate'!$D$25:$BA$25, 'Real Estate'!$D34:$BA34)+_xlfn.XLOOKUP(AO$134, 'GEN-CCGT'!$D$32:$BA$32, 'GEN-CCGT'!$D41:$BA41)+_xlfn.XLOOKUP(AO$134, 'GEN-SOLAR'!$D$32:$BA$32, 'GEN-SOLAR'!$D41:$BA41)+_xlfn.XLOOKUP(AO$134, 'GEN-BESS'!$D$32:$BA$32, 'GEN-BESS'!$D41:$BA41)+_xlfn.XLOOKUP(AO$134, 'GEN-CARBON'!$D$32:$BA$32, 'GEN-CARBON'!$D41:$BA41)+_xlfn.XLOOKUP(AO$134, Load!$D$32:$BA$32, Load!$D41:$BA41)+_xlfn.XLOOKUP(AO$134, Hydrogen!$D$32:$BA$32, Hydrogen!$D41:$BA41)+_xlfn.XLOOKUP(AO$134, 'SENS Tires'!$D$32:$BA$32, 'SENS Tires'!$D41:$BA41)+_xlfn.XLOOKUP(AO$134, 'SENS Coal'!$D$32:$BA$32, 'SENS Coal'!$D41:$BA41)</f>
        <v>0</v>
      </c>
      <c r="AP143" s="208">
        <f>_xlfn.XLOOKUP(AP$134, 'Real Estate'!$D$25:$BA$25, 'Real Estate'!$D34:$BA34)+_xlfn.XLOOKUP(AP$134, 'GEN-CCGT'!$D$32:$BA$32, 'GEN-CCGT'!$D41:$BA41)+_xlfn.XLOOKUP(AP$134, 'GEN-SOLAR'!$D$32:$BA$32, 'GEN-SOLAR'!$D41:$BA41)+_xlfn.XLOOKUP(AP$134, 'GEN-BESS'!$D$32:$BA$32, 'GEN-BESS'!$D41:$BA41)+_xlfn.XLOOKUP(AP$134, 'GEN-CARBON'!$D$32:$BA$32, 'GEN-CARBON'!$D41:$BA41)+_xlfn.XLOOKUP(AP$134, Load!$D$32:$BA$32, Load!$D41:$BA41)+_xlfn.XLOOKUP(AP$134, Hydrogen!$D$32:$BA$32, Hydrogen!$D41:$BA41)+_xlfn.XLOOKUP(AP$134, 'SENS Tires'!$D$32:$BA$32, 'SENS Tires'!$D41:$BA41)+_xlfn.XLOOKUP(AP$134, 'SENS Coal'!$D$32:$BA$32, 'SENS Coal'!$D41:$BA41)</f>
        <v>0</v>
      </c>
      <c r="AQ143" s="208">
        <f>_xlfn.XLOOKUP(AQ$134, 'Real Estate'!$D$25:$BA$25, 'Real Estate'!$D34:$BA34)+_xlfn.XLOOKUP(AQ$134, 'GEN-CCGT'!$D$32:$BA$32, 'GEN-CCGT'!$D41:$BA41)+_xlfn.XLOOKUP(AQ$134, 'GEN-SOLAR'!$D$32:$BA$32, 'GEN-SOLAR'!$D41:$BA41)+_xlfn.XLOOKUP(AQ$134, 'GEN-BESS'!$D$32:$BA$32, 'GEN-BESS'!$D41:$BA41)+_xlfn.XLOOKUP(AQ$134, 'GEN-CARBON'!$D$32:$BA$32, 'GEN-CARBON'!$D41:$BA41)+_xlfn.XLOOKUP(AQ$134, Load!$D$32:$BA$32, Load!$D41:$BA41)+_xlfn.XLOOKUP(AQ$134, Hydrogen!$D$32:$BA$32, Hydrogen!$D41:$BA41)+_xlfn.XLOOKUP(AQ$134, 'SENS Tires'!$D$32:$BA$32, 'SENS Tires'!$D41:$BA41)+_xlfn.XLOOKUP(AQ$134, 'SENS Coal'!$D$32:$BA$32, 'SENS Coal'!$D41:$BA41)</f>
        <v>0</v>
      </c>
      <c r="AR143" s="208">
        <f>_xlfn.XLOOKUP(AR$134, 'Real Estate'!$D$25:$BA$25, 'Real Estate'!$D34:$BA34)+_xlfn.XLOOKUP(AR$134, 'GEN-CCGT'!$D$32:$BA$32, 'GEN-CCGT'!$D41:$BA41)+_xlfn.XLOOKUP(AR$134, 'GEN-SOLAR'!$D$32:$BA$32, 'GEN-SOLAR'!$D41:$BA41)+_xlfn.XLOOKUP(AR$134, 'GEN-BESS'!$D$32:$BA$32, 'GEN-BESS'!$D41:$BA41)+_xlfn.XLOOKUP(AR$134, 'GEN-CARBON'!$D$32:$BA$32, 'GEN-CARBON'!$D41:$BA41)+_xlfn.XLOOKUP(AR$134, Load!$D$32:$BA$32, Load!$D41:$BA41)+_xlfn.XLOOKUP(AR$134, Hydrogen!$D$32:$BA$32, Hydrogen!$D41:$BA41)+_xlfn.XLOOKUP(AR$134, 'SENS Tires'!$D$32:$BA$32, 'SENS Tires'!$D41:$BA41)+_xlfn.XLOOKUP(AR$134, 'SENS Coal'!$D$32:$BA$32, 'SENS Coal'!$D41:$BA41)</f>
        <v>0</v>
      </c>
      <c r="AS143" s="208">
        <f>_xlfn.XLOOKUP(AS$134, 'Real Estate'!$D$25:$BA$25, 'Real Estate'!$D34:$BA34)+_xlfn.XLOOKUP(AS$134, 'GEN-CCGT'!$D$32:$BA$32, 'GEN-CCGT'!$D41:$BA41)+_xlfn.XLOOKUP(AS$134, 'GEN-SOLAR'!$D$32:$BA$32, 'GEN-SOLAR'!$D41:$BA41)+_xlfn.XLOOKUP(AS$134, 'GEN-BESS'!$D$32:$BA$32, 'GEN-BESS'!$D41:$BA41)+_xlfn.XLOOKUP(AS$134, 'GEN-CARBON'!$D$32:$BA$32, 'GEN-CARBON'!$D41:$BA41)+_xlfn.XLOOKUP(AS$134, Load!$D$32:$BA$32, Load!$D41:$BA41)+_xlfn.XLOOKUP(AS$134, Hydrogen!$D$32:$BA$32, Hydrogen!$D41:$BA41)+_xlfn.XLOOKUP(AS$134, 'SENS Tires'!$D$32:$BA$32, 'SENS Tires'!$D41:$BA41)+_xlfn.XLOOKUP(AS$134, 'SENS Coal'!$D$32:$BA$32, 'SENS Coal'!$D41:$BA41)</f>
        <v>0</v>
      </c>
      <c r="AT143" s="208">
        <f>_xlfn.XLOOKUP(AT$134, 'Real Estate'!$D$25:$BA$25, 'Real Estate'!$D34:$BA34)+_xlfn.XLOOKUP(AT$134, 'GEN-CCGT'!$D$32:$BA$32, 'GEN-CCGT'!$D41:$BA41)+_xlfn.XLOOKUP(AT$134, 'GEN-SOLAR'!$D$32:$BA$32, 'GEN-SOLAR'!$D41:$BA41)+_xlfn.XLOOKUP(AT$134, 'GEN-BESS'!$D$32:$BA$32, 'GEN-BESS'!$D41:$BA41)+_xlfn.XLOOKUP(AT$134, 'GEN-CARBON'!$D$32:$BA$32, 'GEN-CARBON'!$D41:$BA41)+_xlfn.XLOOKUP(AT$134, Load!$D$32:$BA$32, Load!$D41:$BA41)+_xlfn.XLOOKUP(AT$134, Hydrogen!$D$32:$BA$32, Hydrogen!$D41:$BA41)+_xlfn.XLOOKUP(AT$134, 'SENS Tires'!$D$32:$BA$32, 'SENS Tires'!$D41:$BA41)+_xlfn.XLOOKUP(AT$134, 'SENS Coal'!$D$32:$BA$32, 'SENS Coal'!$D41:$BA41)</f>
        <v>0</v>
      </c>
      <c r="AU143" s="208">
        <f>_xlfn.XLOOKUP(AU$134, 'Real Estate'!$D$25:$BA$25, 'Real Estate'!$D34:$BA34)+_xlfn.XLOOKUP(AU$134, 'GEN-CCGT'!$D$32:$BA$32, 'GEN-CCGT'!$D41:$BA41)+_xlfn.XLOOKUP(AU$134, 'GEN-SOLAR'!$D$32:$BA$32, 'GEN-SOLAR'!$D41:$BA41)+_xlfn.XLOOKUP(AU$134, 'GEN-BESS'!$D$32:$BA$32, 'GEN-BESS'!$D41:$BA41)+_xlfn.XLOOKUP(AU$134, 'GEN-CARBON'!$D$32:$BA$32, 'GEN-CARBON'!$D41:$BA41)+_xlfn.XLOOKUP(AU$134, Load!$D$32:$BA$32, Load!$D41:$BA41)+_xlfn.XLOOKUP(AU$134, Hydrogen!$D$32:$BA$32, Hydrogen!$D41:$BA41)+_xlfn.XLOOKUP(AU$134, 'SENS Tires'!$D$32:$BA$32, 'SENS Tires'!$D41:$BA41)+_xlfn.XLOOKUP(AU$134, 'SENS Coal'!$D$32:$BA$32, 'SENS Coal'!$D41:$BA41)</f>
        <v>0</v>
      </c>
      <c r="AV143" s="208">
        <f>_xlfn.XLOOKUP(AV$134, 'Real Estate'!$D$25:$BA$25, 'Real Estate'!$D34:$BA34)+_xlfn.XLOOKUP(AV$134, 'GEN-CCGT'!$D$32:$BA$32, 'GEN-CCGT'!$D41:$BA41)+_xlfn.XLOOKUP(AV$134, 'GEN-SOLAR'!$D$32:$BA$32, 'GEN-SOLAR'!$D41:$BA41)+_xlfn.XLOOKUP(AV$134, 'GEN-BESS'!$D$32:$BA$32, 'GEN-BESS'!$D41:$BA41)+_xlfn.XLOOKUP(AV$134, 'GEN-CARBON'!$D$32:$BA$32, 'GEN-CARBON'!$D41:$BA41)+_xlfn.XLOOKUP(AV$134, Load!$D$32:$BA$32, Load!$D41:$BA41)+_xlfn.XLOOKUP(AV$134, Hydrogen!$D$32:$BA$32, Hydrogen!$D41:$BA41)+_xlfn.XLOOKUP(AV$134, 'SENS Tires'!$D$32:$BA$32, 'SENS Tires'!$D41:$BA41)+_xlfn.XLOOKUP(AV$134, 'SENS Coal'!$D$32:$BA$32, 'SENS Coal'!$D41:$BA41)</f>
        <v>0</v>
      </c>
      <c r="AW143" s="208">
        <f>_xlfn.XLOOKUP(AW$134, 'Real Estate'!$D$25:$BA$25, 'Real Estate'!$D34:$BA34)+_xlfn.XLOOKUP(AW$134, 'GEN-CCGT'!$D$32:$BA$32, 'GEN-CCGT'!$D41:$BA41)+_xlfn.XLOOKUP(AW$134, 'GEN-SOLAR'!$D$32:$BA$32, 'GEN-SOLAR'!$D41:$BA41)+_xlfn.XLOOKUP(AW$134, 'GEN-BESS'!$D$32:$BA$32, 'GEN-BESS'!$D41:$BA41)+_xlfn.XLOOKUP(AW$134, 'GEN-CARBON'!$D$32:$BA$32, 'GEN-CARBON'!$D41:$BA41)+_xlfn.XLOOKUP(AW$134, Load!$D$32:$BA$32, Load!$D41:$BA41)+_xlfn.XLOOKUP(AW$134, Hydrogen!$D$32:$BA$32, Hydrogen!$D41:$BA41)+_xlfn.XLOOKUP(AW$134, 'SENS Tires'!$D$32:$BA$32, 'SENS Tires'!$D41:$BA41)+_xlfn.XLOOKUP(AW$134, 'SENS Coal'!$D$32:$BA$32, 'SENS Coal'!$D41:$BA41)</f>
        <v>0</v>
      </c>
      <c r="AX143" s="208">
        <f>_xlfn.XLOOKUP(AX$134, 'Real Estate'!$D$25:$BA$25, 'Real Estate'!$D34:$BA34)+_xlfn.XLOOKUP(AX$134, 'GEN-CCGT'!$D$32:$BA$32, 'GEN-CCGT'!$D41:$BA41)+_xlfn.XLOOKUP(AX$134, 'GEN-SOLAR'!$D$32:$BA$32, 'GEN-SOLAR'!$D41:$BA41)+_xlfn.XLOOKUP(AX$134, 'GEN-BESS'!$D$32:$BA$32, 'GEN-BESS'!$D41:$BA41)+_xlfn.XLOOKUP(AX$134, 'GEN-CARBON'!$D$32:$BA$32, 'GEN-CARBON'!$D41:$BA41)+_xlfn.XLOOKUP(AX$134, Load!$D$32:$BA$32, Load!$D41:$BA41)+_xlfn.XLOOKUP(AX$134, Hydrogen!$D$32:$BA$32, Hydrogen!$D41:$BA41)+_xlfn.XLOOKUP(AX$134, 'SENS Tires'!$D$32:$BA$32, 'SENS Tires'!$D41:$BA41)+_xlfn.XLOOKUP(AX$134, 'SENS Coal'!$D$32:$BA$32, 'SENS Coal'!$D41:$BA41)</f>
        <v>0</v>
      </c>
    </row>
    <row r="144" spans="1:50" ht="14.25" customHeight="1">
      <c r="A144" s="44"/>
      <c r="B144" s="205"/>
      <c r="C144" s="98" t="s">
        <v>410</v>
      </c>
      <c r="D144" s="84"/>
      <c r="E144" s="215">
        <f>_xlfn.XLOOKUP(E$134, 'Real Estate'!$D$25:$BA$25, 'Real Estate'!$D35:$BA35)+_xlfn.XLOOKUP(E$134, 'GEN-CCGT'!$D$32:$BA$32, 'GEN-CCGT'!$D42:$BA42)+_xlfn.XLOOKUP(E$134, 'GEN-SOLAR'!$D$32:$BA$32, 'GEN-SOLAR'!$D42:$BA42)+_xlfn.XLOOKUP(E$134, 'GEN-BESS'!$D$32:$BA$32, 'GEN-BESS'!$D42:$BA42)+_xlfn.XLOOKUP(E$134, 'GEN-CARBON'!$D$32:$BA$32, 'GEN-CARBON'!$D42:$BA42)+_xlfn.XLOOKUP(E$134, Load!$D$32:$BA$32, Load!$D42:$BA42)+_xlfn.XLOOKUP(E$134, Hydrogen!$D$32:$BA$32, Hydrogen!$D42:$BA42)+_xlfn.XLOOKUP(E$134, 'SENS Tires'!$D$32:$BA$32, 'SENS Tires'!$D42:$BA42)+_xlfn.XLOOKUP(E$134, 'SENS Coal'!$D$32:$BA$32, 'SENS Coal'!$D42:$BA42)</f>
        <v>0</v>
      </c>
      <c r="F144" s="215">
        <f>_xlfn.XLOOKUP(F$134, 'Real Estate'!$D$25:$BA$25, 'Real Estate'!$D35:$BA35)+_xlfn.XLOOKUP(F$134, 'GEN-CCGT'!$D$32:$BA$32, 'GEN-CCGT'!$D42:$BA42)+_xlfn.XLOOKUP(F$134, 'GEN-SOLAR'!$D$32:$BA$32, 'GEN-SOLAR'!$D42:$BA42)+_xlfn.XLOOKUP(F$134, 'GEN-BESS'!$D$32:$BA$32, 'GEN-BESS'!$D42:$BA42)+_xlfn.XLOOKUP(F$134, 'GEN-CARBON'!$D$32:$BA$32, 'GEN-CARBON'!$D42:$BA42)+_xlfn.XLOOKUP(F$134, Load!$D$32:$BA$32, Load!$D42:$BA42)+_xlfn.XLOOKUP(F$134, Hydrogen!$D$32:$BA$32, Hydrogen!$D42:$BA42)+_xlfn.XLOOKUP(F$134, 'SENS Tires'!$D$32:$BA$32, 'SENS Tires'!$D42:$BA42)+_xlfn.XLOOKUP(F$134, 'SENS Coal'!$D$32:$BA$32, 'SENS Coal'!$D42:$BA42)</f>
        <v>0</v>
      </c>
      <c r="G144" s="215">
        <f>_xlfn.XLOOKUP(G$134, 'Real Estate'!$D$25:$BA$25, 'Real Estate'!$D35:$BA35)+_xlfn.XLOOKUP(G$134, 'GEN-CCGT'!$D$32:$BA$32, 'GEN-CCGT'!$D42:$BA42)+_xlfn.XLOOKUP(G$134, 'GEN-SOLAR'!$D$32:$BA$32, 'GEN-SOLAR'!$D42:$BA42)+_xlfn.XLOOKUP(G$134, 'GEN-BESS'!$D$32:$BA$32, 'GEN-BESS'!$D42:$BA42)+_xlfn.XLOOKUP(G$134, 'GEN-CARBON'!$D$32:$BA$32, 'GEN-CARBON'!$D42:$BA42)+_xlfn.XLOOKUP(G$134, Load!$D$32:$BA$32, Load!$D42:$BA42)+_xlfn.XLOOKUP(G$134, Hydrogen!$D$32:$BA$32, Hydrogen!$D42:$BA42)+_xlfn.XLOOKUP(G$134, 'SENS Tires'!$D$32:$BA$32, 'SENS Tires'!$D42:$BA42)+_xlfn.XLOOKUP(G$134, 'SENS Coal'!$D$32:$BA$32, 'SENS Coal'!$D42:$BA42)</f>
        <v>0</v>
      </c>
      <c r="H144" s="215">
        <f>_xlfn.XLOOKUP(H$134, 'Real Estate'!$D$25:$BA$25, 'Real Estate'!$D35:$BA35)+_xlfn.XLOOKUP(H$134, 'GEN-CCGT'!$D$32:$BA$32, 'GEN-CCGT'!$D42:$BA42)+_xlfn.XLOOKUP(H$134, 'GEN-SOLAR'!$D$32:$BA$32, 'GEN-SOLAR'!$D42:$BA42)+_xlfn.XLOOKUP(H$134, 'GEN-BESS'!$D$32:$BA$32, 'GEN-BESS'!$D42:$BA42)+_xlfn.XLOOKUP(H$134, 'GEN-CARBON'!$D$32:$BA$32, 'GEN-CARBON'!$D42:$BA42)+_xlfn.XLOOKUP(H$134, Load!$D$32:$BA$32, Load!$D42:$BA42)+_xlfn.XLOOKUP(H$134, Hydrogen!$D$32:$BA$32, Hydrogen!$D42:$BA42)+_xlfn.XLOOKUP(H$134, 'SENS Tires'!$D$32:$BA$32, 'SENS Tires'!$D42:$BA42)+_xlfn.XLOOKUP(H$134, 'SENS Coal'!$D$32:$BA$32, 'SENS Coal'!$D42:$BA42)</f>
        <v>0</v>
      </c>
      <c r="I144" s="215">
        <f>_xlfn.XLOOKUP(I$134, 'Real Estate'!$D$25:$BA$25, 'Real Estate'!$D35:$BA35)+_xlfn.XLOOKUP(I$134, 'GEN-CCGT'!$D$32:$BA$32, 'GEN-CCGT'!$D42:$BA42)+_xlfn.XLOOKUP(I$134, 'GEN-SOLAR'!$D$32:$BA$32, 'GEN-SOLAR'!$D42:$BA42)+_xlfn.XLOOKUP(I$134, 'GEN-BESS'!$D$32:$BA$32, 'GEN-BESS'!$D42:$BA42)+_xlfn.XLOOKUP(I$134, 'GEN-CARBON'!$D$32:$BA$32, 'GEN-CARBON'!$D42:$BA42)+_xlfn.XLOOKUP(I$134, Load!$D$32:$BA$32, Load!$D42:$BA42)+_xlfn.XLOOKUP(I$134, Hydrogen!$D$32:$BA$32, Hydrogen!$D42:$BA42)+_xlfn.XLOOKUP(I$134, 'SENS Tires'!$D$32:$BA$32, 'SENS Tires'!$D42:$BA42)+_xlfn.XLOOKUP(I$134, 'SENS Coal'!$D$32:$BA$32, 'SENS Coal'!$D42:$BA42)</f>
        <v>0</v>
      </c>
      <c r="J144" s="215">
        <f>_xlfn.XLOOKUP(J$134, 'Real Estate'!$D$25:$BA$25, 'Real Estate'!$D35:$BA35)+_xlfn.XLOOKUP(J$134, 'GEN-CCGT'!$D$32:$BA$32, 'GEN-CCGT'!$D42:$BA42)+_xlfn.XLOOKUP(J$134, 'GEN-SOLAR'!$D$32:$BA$32, 'GEN-SOLAR'!$D42:$BA42)+_xlfn.XLOOKUP(J$134, 'GEN-BESS'!$D$32:$BA$32, 'GEN-BESS'!$D42:$BA42)+_xlfn.XLOOKUP(J$134, 'GEN-CARBON'!$D$32:$BA$32, 'GEN-CARBON'!$D42:$BA42)+_xlfn.XLOOKUP(J$134, Load!$D$32:$BA$32, Load!$D42:$BA42)+_xlfn.XLOOKUP(J$134, Hydrogen!$D$32:$BA$32, Hydrogen!$D42:$BA42)+_xlfn.XLOOKUP(J$134, 'SENS Tires'!$D$32:$BA$32, 'SENS Tires'!$D42:$BA42)+_xlfn.XLOOKUP(J$134, 'SENS Coal'!$D$32:$BA$32, 'SENS Coal'!$D42:$BA42)</f>
        <v>0</v>
      </c>
      <c r="K144" s="215">
        <f>_xlfn.XLOOKUP(K$134, 'Real Estate'!$D$25:$BA$25, 'Real Estate'!$D35:$BA35)+_xlfn.XLOOKUP(K$134, 'GEN-CCGT'!$D$32:$BA$32, 'GEN-CCGT'!$D42:$BA42)+_xlfn.XLOOKUP(K$134, 'GEN-SOLAR'!$D$32:$BA$32, 'GEN-SOLAR'!$D42:$BA42)+_xlfn.XLOOKUP(K$134, 'GEN-BESS'!$D$32:$BA$32, 'GEN-BESS'!$D42:$BA42)+_xlfn.XLOOKUP(K$134, 'GEN-CARBON'!$D$32:$BA$32, 'GEN-CARBON'!$D42:$BA42)+_xlfn.XLOOKUP(K$134, Load!$D$32:$BA$32, Load!$D42:$BA42)+_xlfn.XLOOKUP(K$134, Hydrogen!$D$32:$BA$32, Hydrogen!$D42:$BA42)+_xlfn.XLOOKUP(K$134, 'SENS Tires'!$D$32:$BA$32, 'SENS Tires'!$D42:$BA42)+_xlfn.XLOOKUP(K$134, 'SENS Coal'!$D$32:$BA$32, 'SENS Coal'!$D42:$BA42)</f>
        <v>0</v>
      </c>
      <c r="L144" s="215">
        <f>_xlfn.XLOOKUP(L$134, 'Real Estate'!$D$25:$BA$25, 'Real Estate'!$D35:$BA35)+_xlfn.XLOOKUP(L$134, 'GEN-CCGT'!$D$32:$BA$32, 'GEN-CCGT'!$D42:$BA42)+_xlfn.XLOOKUP(L$134, 'GEN-SOLAR'!$D$32:$BA$32, 'GEN-SOLAR'!$D42:$BA42)+_xlfn.XLOOKUP(L$134, 'GEN-BESS'!$D$32:$BA$32, 'GEN-BESS'!$D42:$BA42)+_xlfn.XLOOKUP(L$134, 'GEN-CARBON'!$D$32:$BA$32, 'GEN-CARBON'!$D42:$BA42)+_xlfn.XLOOKUP(L$134, Load!$D$32:$BA$32, Load!$D42:$BA42)+_xlfn.XLOOKUP(L$134, Hydrogen!$D$32:$BA$32, Hydrogen!$D42:$BA42)+_xlfn.XLOOKUP(L$134, 'SENS Tires'!$D$32:$BA$32, 'SENS Tires'!$D42:$BA42)+_xlfn.XLOOKUP(L$134, 'SENS Coal'!$D$32:$BA$32, 'SENS Coal'!$D42:$BA42)</f>
        <v>0</v>
      </c>
      <c r="M144" s="215">
        <f>_xlfn.XLOOKUP(M$134, 'Real Estate'!$D$25:$BA$25, 'Real Estate'!$D35:$BA35)+_xlfn.XLOOKUP(M$134, 'GEN-CCGT'!$D$32:$BA$32, 'GEN-CCGT'!$D42:$BA42)+_xlfn.XLOOKUP(M$134, 'GEN-SOLAR'!$D$32:$BA$32, 'GEN-SOLAR'!$D42:$BA42)+_xlfn.XLOOKUP(M$134, 'GEN-BESS'!$D$32:$BA$32, 'GEN-BESS'!$D42:$BA42)+_xlfn.XLOOKUP(M$134, 'GEN-CARBON'!$D$32:$BA$32, 'GEN-CARBON'!$D42:$BA42)+_xlfn.XLOOKUP(M$134, Load!$D$32:$BA$32, Load!$D42:$BA42)+_xlfn.XLOOKUP(M$134, Hydrogen!$D$32:$BA$32, Hydrogen!$D42:$BA42)+_xlfn.XLOOKUP(M$134, 'SENS Tires'!$D$32:$BA$32, 'SENS Tires'!$D42:$BA42)+_xlfn.XLOOKUP(M$134, 'SENS Coal'!$D$32:$BA$32, 'SENS Coal'!$D42:$BA42)</f>
        <v>0</v>
      </c>
      <c r="N144" s="215">
        <f>_xlfn.XLOOKUP(N$134, 'Real Estate'!$D$25:$BA$25, 'Real Estate'!$D35:$BA35)+_xlfn.XLOOKUP(N$134, 'GEN-CCGT'!$D$32:$BA$32, 'GEN-CCGT'!$D42:$BA42)+_xlfn.XLOOKUP(N$134, 'GEN-SOLAR'!$D$32:$BA$32, 'GEN-SOLAR'!$D42:$BA42)+_xlfn.XLOOKUP(N$134, 'GEN-BESS'!$D$32:$BA$32, 'GEN-BESS'!$D42:$BA42)+_xlfn.XLOOKUP(N$134, 'GEN-CARBON'!$D$32:$BA$32, 'GEN-CARBON'!$D42:$BA42)+_xlfn.XLOOKUP(N$134, Load!$D$32:$BA$32, Load!$D42:$BA42)+_xlfn.XLOOKUP(N$134, Hydrogen!$D$32:$BA$32, Hydrogen!$D42:$BA42)+_xlfn.XLOOKUP(N$134, 'SENS Tires'!$D$32:$BA$32, 'SENS Tires'!$D42:$BA42)+_xlfn.XLOOKUP(N$134, 'SENS Coal'!$D$32:$BA$32, 'SENS Coal'!$D42:$BA42)</f>
        <v>0</v>
      </c>
      <c r="O144" s="215">
        <f>_xlfn.XLOOKUP(O$134, 'Real Estate'!$D$25:$BA$25, 'Real Estate'!$D35:$BA35)+_xlfn.XLOOKUP(O$134, 'GEN-CCGT'!$D$32:$BA$32, 'GEN-CCGT'!$D42:$BA42)+_xlfn.XLOOKUP(O$134, 'GEN-SOLAR'!$D$32:$BA$32, 'GEN-SOLAR'!$D42:$BA42)+_xlfn.XLOOKUP(O$134, 'GEN-BESS'!$D$32:$BA$32, 'GEN-BESS'!$D42:$BA42)+_xlfn.XLOOKUP(O$134, 'GEN-CARBON'!$D$32:$BA$32, 'GEN-CARBON'!$D42:$BA42)+_xlfn.XLOOKUP(O$134, Load!$D$32:$BA$32, Load!$D42:$BA42)+_xlfn.XLOOKUP(O$134, Hydrogen!$D$32:$BA$32, Hydrogen!$D42:$BA42)+_xlfn.XLOOKUP(O$134, 'SENS Tires'!$D$32:$BA$32, 'SENS Tires'!$D42:$BA42)+_xlfn.XLOOKUP(O$134, 'SENS Coal'!$D$32:$BA$32, 'SENS Coal'!$D42:$BA42)</f>
        <v>580.93150684931504</v>
      </c>
      <c r="P144" s="215">
        <f>_xlfn.XLOOKUP(P$134, 'Real Estate'!$D$25:$BA$25, 'Real Estate'!$D35:$BA35)+_xlfn.XLOOKUP(P$134, 'GEN-CCGT'!$D$32:$BA$32, 'GEN-CCGT'!$D42:$BA42)+_xlfn.XLOOKUP(P$134, 'GEN-SOLAR'!$D$32:$BA$32, 'GEN-SOLAR'!$D42:$BA42)+_xlfn.XLOOKUP(P$134, 'GEN-BESS'!$D$32:$BA$32, 'GEN-BESS'!$D42:$BA42)+_xlfn.XLOOKUP(P$134, 'GEN-CARBON'!$D$32:$BA$32, 'GEN-CARBON'!$D42:$BA42)+_xlfn.XLOOKUP(P$134, Load!$D$32:$BA$32, Load!$D42:$BA42)+_xlfn.XLOOKUP(P$134, Hydrogen!$D$32:$BA$32, Hydrogen!$D42:$BA42)+_xlfn.XLOOKUP(P$134, 'SENS Tires'!$D$32:$BA$32, 'SENS Tires'!$D42:$BA42)+_xlfn.XLOOKUP(P$134, 'SENS Coal'!$D$32:$BA$32, 'SENS Coal'!$D42:$BA42)</f>
        <v>0</v>
      </c>
      <c r="Q144" s="215">
        <f>_xlfn.XLOOKUP(Q$134, 'Real Estate'!$D$25:$BA$25, 'Real Estate'!$D35:$BA35)+_xlfn.XLOOKUP(Q$134, 'GEN-CCGT'!$D$32:$BA$32, 'GEN-CCGT'!$D42:$BA42)+_xlfn.XLOOKUP(Q$134, 'GEN-SOLAR'!$D$32:$BA$32, 'GEN-SOLAR'!$D42:$BA42)+_xlfn.XLOOKUP(Q$134, 'GEN-BESS'!$D$32:$BA$32, 'GEN-BESS'!$D42:$BA42)+_xlfn.XLOOKUP(Q$134, 'GEN-CARBON'!$D$32:$BA$32, 'GEN-CARBON'!$D42:$BA42)+_xlfn.XLOOKUP(Q$134, Load!$D$32:$BA$32, Load!$D42:$BA42)+_xlfn.XLOOKUP(Q$134, Hydrogen!$D$32:$BA$32, Hydrogen!$D42:$BA42)+_xlfn.XLOOKUP(Q$134, 'SENS Tires'!$D$32:$BA$32, 'SENS Tires'!$D42:$BA42)+_xlfn.XLOOKUP(Q$134, 'SENS Coal'!$D$32:$BA$32, 'SENS Coal'!$D42:$BA42)</f>
        <v>0</v>
      </c>
      <c r="R144" s="215">
        <f>_xlfn.XLOOKUP(R$134, 'Real Estate'!$D$25:$BA$25, 'Real Estate'!$D35:$BA35)+_xlfn.XLOOKUP(R$134, 'GEN-CCGT'!$D$32:$BA$32, 'GEN-CCGT'!$D42:$BA42)+_xlfn.XLOOKUP(R$134, 'GEN-SOLAR'!$D$32:$BA$32, 'GEN-SOLAR'!$D42:$BA42)+_xlfn.XLOOKUP(R$134, 'GEN-BESS'!$D$32:$BA$32, 'GEN-BESS'!$D42:$BA42)+_xlfn.XLOOKUP(R$134, 'GEN-CARBON'!$D$32:$BA$32, 'GEN-CARBON'!$D42:$BA42)+_xlfn.XLOOKUP(R$134, Load!$D$32:$BA$32, Load!$D42:$BA42)+_xlfn.XLOOKUP(R$134, Hydrogen!$D$32:$BA$32, Hydrogen!$D42:$BA42)+_xlfn.XLOOKUP(R$134, 'SENS Tires'!$D$32:$BA$32, 'SENS Tires'!$D42:$BA42)+_xlfn.XLOOKUP(R$134, 'SENS Coal'!$D$32:$BA$32, 'SENS Coal'!$D42:$BA42)</f>
        <v>0</v>
      </c>
      <c r="S144" s="215">
        <f>_xlfn.XLOOKUP(S$134, 'Real Estate'!$D$25:$BA$25, 'Real Estate'!$D35:$BA35)+_xlfn.XLOOKUP(S$134, 'GEN-CCGT'!$D$32:$BA$32, 'GEN-CCGT'!$D42:$BA42)+_xlfn.XLOOKUP(S$134, 'GEN-SOLAR'!$D$32:$BA$32, 'GEN-SOLAR'!$D42:$BA42)+_xlfn.XLOOKUP(S$134, 'GEN-BESS'!$D$32:$BA$32, 'GEN-BESS'!$D42:$BA42)+_xlfn.XLOOKUP(S$134, 'GEN-CARBON'!$D$32:$BA$32, 'GEN-CARBON'!$D42:$BA42)+_xlfn.XLOOKUP(S$134, Load!$D$32:$BA$32, Load!$D42:$BA42)+_xlfn.XLOOKUP(S$134, Hydrogen!$D$32:$BA$32, Hydrogen!$D42:$BA42)+_xlfn.XLOOKUP(S$134, 'SENS Tires'!$D$32:$BA$32, 'SENS Tires'!$D42:$BA42)+_xlfn.XLOOKUP(S$134, 'SENS Coal'!$D$32:$BA$32, 'SENS Coal'!$D42:$BA42)</f>
        <v>0</v>
      </c>
      <c r="T144" s="215">
        <f>_xlfn.XLOOKUP(T$134, 'Real Estate'!$D$25:$BA$25, 'Real Estate'!$D35:$BA35)+_xlfn.XLOOKUP(T$134, 'GEN-CCGT'!$D$32:$BA$32, 'GEN-CCGT'!$D42:$BA42)+_xlfn.XLOOKUP(T$134, 'GEN-SOLAR'!$D$32:$BA$32, 'GEN-SOLAR'!$D42:$BA42)+_xlfn.XLOOKUP(T$134, 'GEN-BESS'!$D$32:$BA$32, 'GEN-BESS'!$D42:$BA42)+_xlfn.XLOOKUP(T$134, 'GEN-CARBON'!$D$32:$BA$32, 'GEN-CARBON'!$D42:$BA42)+_xlfn.XLOOKUP(T$134, Load!$D$32:$BA$32, Load!$D42:$BA42)+_xlfn.XLOOKUP(T$134, Hydrogen!$D$32:$BA$32, Hydrogen!$D42:$BA42)+_xlfn.XLOOKUP(T$134, 'SENS Tires'!$D$32:$BA$32, 'SENS Tires'!$D42:$BA42)+_xlfn.XLOOKUP(T$134, 'SENS Coal'!$D$32:$BA$32, 'SENS Coal'!$D42:$BA42)</f>
        <v>0</v>
      </c>
      <c r="U144" s="215">
        <f>_xlfn.XLOOKUP(U$134, 'Real Estate'!$D$25:$BA$25, 'Real Estate'!$D35:$BA35)+_xlfn.XLOOKUP(U$134, 'GEN-CCGT'!$D$32:$BA$32, 'GEN-CCGT'!$D42:$BA42)+_xlfn.XLOOKUP(U$134, 'GEN-SOLAR'!$D$32:$BA$32, 'GEN-SOLAR'!$D42:$BA42)+_xlfn.XLOOKUP(U$134, 'GEN-BESS'!$D$32:$BA$32, 'GEN-BESS'!$D42:$BA42)+_xlfn.XLOOKUP(U$134, 'GEN-CARBON'!$D$32:$BA$32, 'GEN-CARBON'!$D42:$BA42)+_xlfn.XLOOKUP(U$134, Load!$D$32:$BA$32, Load!$D42:$BA42)+_xlfn.XLOOKUP(U$134, Hydrogen!$D$32:$BA$32, Hydrogen!$D42:$BA42)+_xlfn.XLOOKUP(U$134, 'SENS Tires'!$D$32:$BA$32, 'SENS Tires'!$D42:$BA42)+_xlfn.XLOOKUP(U$134, 'SENS Coal'!$D$32:$BA$32, 'SENS Coal'!$D42:$BA42)</f>
        <v>0</v>
      </c>
      <c r="V144" s="215">
        <f>_xlfn.XLOOKUP(V$134, 'Real Estate'!$D$25:$BA$25, 'Real Estate'!$D35:$BA35)+_xlfn.XLOOKUP(V$134, 'GEN-CCGT'!$D$32:$BA$32, 'GEN-CCGT'!$D42:$BA42)+_xlfn.XLOOKUP(V$134, 'GEN-SOLAR'!$D$32:$BA$32, 'GEN-SOLAR'!$D42:$BA42)+_xlfn.XLOOKUP(V$134, 'GEN-BESS'!$D$32:$BA$32, 'GEN-BESS'!$D42:$BA42)+_xlfn.XLOOKUP(V$134, 'GEN-CARBON'!$D$32:$BA$32, 'GEN-CARBON'!$D42:$BA42)+_xlfn.XLOOKUP(V$134, Load!$D$32:$BA$32, Load!$D42:$BA42)+_xlfn.XLOOKUP(V$134, Hydrogen!$D$32:$BA$32, Hydrogen!$D42:$BA42)+_xlfn.XLOOKUP(V$134, 'SENS Tires'!$D$32:$BA$32, 'SENS Tires'!$D42:$BA42)+_xlfn.XLOOKUP(V$134, 'SENS Coal'!$D$32:$BA$32, 'SENS Coal'!$D42:$BA42)</f>
        <v>0</v>
      </c>
      <c r="W144" s="215">
        <f>_xlfn.XLOOKUP(W$134, 'Real Estate'!$D$25:$BA$25, 'Real Estate'!$D35:$BA35)+_xlfn.XLOOKUP(W$134, 'GEN-CCGT'!$D$32:$BA$32, 'GEN-CCGT'!$D42:$BA42)+_xlfn.XLOOKUP(W$134, 'GEN-SOLAR'!$D$32:$BA$32, 'GEN-SOLAR'!$D42:$BA42)+_xlfn.XLOOKUP(W$134, 'GEN-BESS'!$D$32:$BA$32, 'GEN-BESS'!$D42:$BA42)+_xlfn.XLOOKUP(W$134, 'GEN-CARBON'!$D$32:$BA$32, 'GEN-CARBON'!$D42:$BA42)+_xlfn.XLOOKUP(W$134, Load!$D$32:$BA$32, Load!$D42:$BA42)+_xlfn.XLOOKUP(W$134, Hydrogen!$D$32:$BA$32, Hydrogen!$D42:$BA42)+_xlfn.XLOOKUP(W$134, 'SENS Tires'!$D$32:$BA$32, 'SENS Tires'!$D42:$BA42)+_xlfn.XLOOKUP(W$134, 'SENS Coal'!$D$32:$BA$32, 'SENS Coal'!$D42:$BA42)</f>
        <v>0</v>
      </c>
      <c r="X144" s="215">
        <f>_xlfn.XLOOKUP(X$134, 'Real Estate'!$D$25:$BA$25, 'Real Estate'!$D35:$BA35)+_xlfn.XLOOKUP(X$134, 'GEN-CCGT'!$D$32:$BA$32, 'GEN-CCGT'!$D42:$BA42)+_xlfn.XLOOKUP(X$134, 'GEN-SOLAR'!$D$32:$BA$32, 'GEN-SOLAR'!$D42:$BA42)+_xlfn.XLOOKUP(X$134, 'GEN-BESS'!$D$32:$BA$32, 'GEN-BESS'!$D42:$BA42)+_xlfn.XLOOKUP(X$134, 'GEN-CARBON'!$D$32:$BA$32, 'GEN-CARBON'!$D42:$BA42)+_xlfn.XLOOKUP(X$134, Load!$D$32:$BA$32, Load!$D42:$BA42)+_xlfn.XLOOKUP(X$134, Hydrogen!$D$32:$BA$32, Hydrogen!$D42:$BA42)+_xlfn.XLOOKUP(X$134, 'SENS Tires'!$D$32:$BA$32, 'SENS Tires'!$D42:$BA42)+_xlfn.XLOOKUP(X$134, 'SENS Coal'!$D$32:$BA$32, 'SENS Coal'!$D42:$BA42)</f>
        <v>0</v>
      </c>
      <c r="Y144" s="215">
        <f>_xlfn.XLOOKUP(Y$134, 'Real Estate'!$D$25:$BA$25, 'Real Estate'!$D35:$BA35)+_xlfn.XLOOKUP(Y$134, 'GEN-CCGT'!$D$32:$BA$32, 'GEN-CCGT'!$D42:$BA42)+_xlfn.XLOOKUP(Y$134, 'GEN-SOLAR'!$D$32:$BA$32, 'GEN-SOLAR'!$D42:$BA42)+_xlfn.XLOOKUP(Y$134, 'GEN-BESS'!$D$32:$BA$32, 'GEN-BESS'!$D42:$BA42)+_xlfn.XLOOKUP(Y$134, 'GEN-CARBON'!$D$32:$BA$32, 'GEN-CARBON'!$D42:$BA42)+_xlfn.XLOOKUP(Y$134, Load!$D$32:$BA$32, Load!$D42:$BA42)+_xlfn.XLOOKUP(Y$134, Hydrogen!$D$32:$BA$32, Hydrogen!$D42:$BA42)+_xlfn.XLOOKUP(Y$134, 'SENS Tires'!$D$32:$BA$32, 'SENS Tires'!$D42:$BA42)+_xlfn.XLOOKUP(Y$134, 'SENS Coal'!$D$32:$BA$32, 'SENS Coal'!$D42:$BA42)</f>
        <v>0</v>
      </c>
      <c r="Z144" s="215">
        <f>_xlfn.XLOOKUP(Z$134, 'Real Estate'!$D$25:$BA$25, 'Real Estate'!$D35:$BA35)+_xlfn.XLOOKUP(Z$134, 'GEN-CCGT'!$D$32:$BA$32, 'GEN-CCGT'!$D42:$BA42)+_xlfn.XLOOKUP(Z$134, 'GEN-SOLAR'!$D$32:$BA$32, 'GEN-SOLAR'!$D42:$BA42)+_xlfn.XLOOKUP(Z$134, 'GEN-BESS'!$D$32:$BA$32, 'GEN-BESS'!$D42:$BA42)+_xlfn.XLOOKUP(Z$134, 'GEN-CARBON'!$D$32:$BA$32, 'GEN-CARBON'!$D42:$BA42)+_xlfn.XLOOKUP(Z$134, Load!$D$32:$BA$32, Load!$D42:$BA42)+_xlfn.XLOOKUP(Z$134, Hydrogen!$D$32:$BA$32, Hydrogen!$D42:$BA42)+_xlfn.XLOOKUP(Z$134, 'SENS Tires'!$D$32:$BA$32, 'SENS Tires'!$D42:$BA42)+_xlfn.XLOOKUP(Z$134, 'SENS Coal'!$D$32:$BA$32, 'SENS Coal'!$D42:$BA42)</f>
        <v>0</v>
      </c>
      <c r="AA144" s="215">
        <f>_xlfn.XLOOKUP(AA$134, 'Real Estate'!$D$25:$BA$25, 'Real Estate'!$D35:$BA35)+_xlfn.XLOOKUP(AA$134, 'GEN-CCGT'!$D$32:$BA$32, 'GEN-CCGT'!$D42:$BA42)+_xlfn.XLOOKUP(AA$134, 'GEN-SOLAR'!$D$32:$BA$32, 'GEN-SOLAR'!$D42:$BA42)+_xlfn.XLOOKUP(AA$134, 'GEN-BESS'!$D$32:$BA$32, 'GEN-BESS'!$D42:$BA42)+_xlfn.XLOOKUP(AA$134, 'GEN-CARBON'!$D$32:$BA$32, 'GEN-CARBON'!$D42:$BA42)+_xlfn.XLOOKUP(AA$134, Load!$D$32:$BA$32, Load!$D42:$BA42)+_xlfn.XLOOKUP(AA$134, Hydrogen!$D$32:$BA$32, Hydrogen!$D42:$BA42)+_xlfn.XLOOKUP(AA$134, 'SENS Tires'!$D$32:$BA$32, 'SENS Tires'!$D42:$BA42)+_xlfn.XLOOKUP(AA$134, 'SENS Coal'!$D$32:$BA$32, 'SENS Coal'!$D42:$BA42)</f>
        <v>0</v>
      </c>
      <c r="AB144" s="215">
        <f>_xlfn.XLOOKUP(AB$134, 'Real Estate'!$D$25:$BA$25, 'Real Estate'!$D35:$BA35)+_xlfn.XLOOKUP(AB$134, 'GEN-CCGT'!$D$32:$BA$32, 'GEN-CCGT'!$D42:$BA42)+_xlfn.XLOOKUP(AB$134, 'GEN-SOLAR'!$D$32:$BA$32, 'GEN-SOLAR'!$D42:$BA42)+_xlfn.XLOOKUP(AB$134, 'GEN-BESS'!$D$32:$BA$32, 'GEN-BESS'!$D42:$BA42)+_xlfn.XLOOKUP(AB$134, 'GEN-CARBON'!$D$32:$BA$32, 'GEN-CARBON'!$D42:$BA42)+_xlfn.XLOOKUP(AB$134, Load!$D$32:$BA$32, Load!$D42:$BA42)+_xlfn.XLOOKUP(AB$134, Hydrogen!$D$32:$BA$32, Hydrogen!$D42:$BA42)+_xlfn.XLOOKUP(AB$134, 'SENS Tires'!$D$32:$BA$32, 'SENS Tires'!$D42:$BA42)+_xlfn.XLOOKUP(AB$134, 'SENS Coal'!$D$32:$BA$32, 'SENS Coal'!$D42:$BA42)</f>
        <v>0</v>
      </c>
      <c r="AC144" s="215">
        <f>_xlfn.XLOOKUP(AC$134, 'Real Estate'!$D$25:$BA$25, 'Real Estate'!$D35:$BA35)+_xlfn.XLOOKUP(AC$134, 'GEN-CCGT'!$D$32:$BA$32, 'GEN-CCGT'!$D42:$BA42)+_xlfn.XLOOKUP(AC$134, 'GEN-SOLAR'!$D$32:$BA$32, 'GEN-SOLAR'!$D42:$BA42)+_xlfn.XLOOKUP(AC$134, 'GEN-BESS'!$D$32:$BA$32, 'GEN-BESS'!$D42:$BA42)+_xlfn.XLOOKUP(AC$134, 'GEN-CARBON'!$D$32:$BA$32, 'GEN-CARBON'!$D42:$BA42)+_xlfn.XLOOKUP(AC$134, Load!$D$32:$BA$32, Load!$D42:$BA42)+_xlfn.XLOOKUP(AC$134, Hydrogen!$D$32:$BA$32, Hydrogen!$D42:$BA42)+_xlfn.XLOOKUP(AC$134, 'SENS Tires'!$D$32:$BA$32, 'SENS Tires'!$D42:$BA42)+_xlfn.XLOOKUP(AC$134, 'SENS Coal'!$D$32:$BA$32, 'SENS Coal'!$D42:$BA42)</f>
        <v>0</v>
      </c>
      <c r="AD144" s="215">
        <f>_xlfn.XLOOKUP(AD$134, 'Real Estate'!$D$25:$BA$25, 'Real Estate'!$D35:$BA35)+_xlfn.XLOOKUP(AD$134, 'GEN-CCGT'!$D$32:$BA$32, 'GEN-CCGT'!$D42:$BA42)+_xlfn.XLOOKUP(AD$134, 'GEN-SOLAR'!$D$32:$BA$32, 'GEN-SOLAR'!$D42:$BA42)+_xlfn.XLOOKUP(AD$134, 'GEN-BESS'!$D$32:$BA$32, 'GEN-BESS'!$D42:$BA42)+_xlfn.XLOOKUP(AD$134, 'GEN-CARBON'!$D$32:$BA$32, 'GEN-CARBON'!$D42:$BA42)+_xlfn.XLOOKUP(AD$134, Load!$D$32:$BA$32, Load!$D42:$BA42)+_xlfn.XLOOKUP(AD$134, Hydrogen!$D$32:$BA$32, Hydrogen!$D42:$BA42)+_xlfn.XLOOKUP(AD$134, 'SENS Tires'!$D$32:$BA$32, 'SENS Tires'!$D42:$BA42)+_xlfn.XLOOKUP(AD$134, 'SENS Coal'!$D$32:$BA$32, 'SENS Coal'!$D42:$BA42)</f>
        <v>0</v>
      </c>
      <c r="AE144" s="215">
        <f>_xlfn.XLOOKUP(AE$134, 'Real Estate'!$D$25:$BA$25, 'Real Estate'!$D35:$BA35)+_xlfn.XLOOKUP(AE$134, 'GEN-CCGT'!$D$32:$BA$32, 'GEN-CCGT'!$D42:$BA42)+_xlfn.XLOOKUP(AE$134, 'GEN-SOLAR'!$D$32:$BA$32, 'GEN-SOLAR'!$D42:$BA42)+_xlfn.XLOOKUP(AE$134, 'GEN-BESS'!$D$32:$BA$32, 'GEN-BESS'!$D42:$BA42)+_xlfn.XLOOKUP(AE$134, 'GEN-CARBON'!$D$32:$BA$32, 'GEN-CARBON'!$D42:$BA42)+_xlfn.XLOOKUP(AE$134, Load!$D$32:$BA$32, Load!$D42:$BA42)+_xlfn.XLOOKUP(AE$134, Hydrogen!$D$32:$BA$32, Hydrogen!$D42:$BA42)+_xlfn.XLOOKUP(AE$134, 'SENS Tires'!$D$32:$BA$32, 'SENS Tires'!$D42:$BA42)+_xlfn.XLOOKUP(AE$134, 'SENS Coal'!$D$32:$BA$32, 'SENS Coal'!$D42:$BA42)</f>
        <v>27.875</v>
      </c>
      <c r="AF144" s="215">
        <f>_xlfn.XLOOKUP(AF$134, 'Real Estate'!$D$25:$BA$25, 'Real Estate'!$D35:$BA35)+_xlfn.XLOOKUP(AF$134, 'GEN-CCGT'!$D$32:$BA$32, 'GEN-CCGT'!$D42:$BA42)+_xlfn.XLOOKUP(AF$134, 'GEN-SOLAR'!$D$32:$BA$32, 'GEN-SOLAR'!$D42:$BA42)+_xlfn.XLOOKUP(AF$134, 'GEN-BESS'!$D$32:$BA$32, 'GEN-BESS'!$D42:$BA42)+_xlfn.XLOOKUP(AF$134, 'GEN-CARBON'!$D$32:$BA$32, 'GEN-CARBON'!$D42:$BA42)+_xlfn.XLOOKUP(AF$134, Load!$D$32:$BA$32, Load!$D42:$BA42)+_xlfn.XLOOKUP(AF$134, Hydrogen!$D$32:$BA$32, Hydrogen!$D42:$BA42)+_xlfn.XLOOKUP(AF$134, 'SENS Tires'!$D$32:$BA$32, 'SENS Tires'!$D42:$BA42)+_xlfn.XLOOKUP(AF$134, 'SENS Coal'!$D$32:$BA$32, 'SENS Coal'!$D42:$BA42)</f>
        <v>0</v>
      </c>
      <c r="AG144" s="215">
        <f>_xlfn.XLOOKUP(AG$134, 'Real Estate'!$D$25:$BA$25, 'Real Estate'!$D35:$BA35)+_xlfn.XLOOKUP(AG$134, 'GEN-CCGT'!$D$32:$BA$32, 'GEN-CCGT'!$D42:$BA42)+_xlfn.XLOOKUP(AG$134, 'GEN-SOLAR'!$D$32:$BA$32, 'GEN-SOLAR'!$D42:$BA42)+_xlfn.XLOOKUP(AG$134, 'GEN-BESS'!$D$32:$BA$32, 'GEN-BESS'!$D42:$BA42)+_xlfn.XLOOKUP(AG$134, 'GEN-CARBON'!$D$32:$BA$32, 'GEN-CARBON'!$D42:$BA42)+_xlfn.XLOOKUP(AG$134, Load!$D$32:$BA$32, Load!$D42:$BA42)+_xlfn.XLOOKUP(AG$134, Hydrogen!$D$32:$BA$32, Hydrogen!$D42:$BA42)+_xlfn.XLOOKUP(AG$134, 'SENS Tires'!$D$32:$BA$32, 'SENS Tires'!$D42:$BA42)+_xlfn.XLOOKUP(AG$134, 'SENS Coal'!$D$32:$BA$32, 'SENS Coal'!$D42:$BA42)</f>
        <v>5.5</v>
      </c>
      <c r="AH144" s="215">
        <f>_xlfn.XLOOKUP(AH$134, 'Real Estate'!$D$25:$BA$25, 'Real Estate'!$D35:$BA35)+_xlfn.XLOOKUP(AH$134, 'GEN-CCGT'!$D$32:$BA$32, 'GEN-CCGT'!$D42:$BA42)+_xlfn.XLOOKUP(AH$134, 'GEN-SOLAR'!$D$32:$BA$32, 'GEN-SOLAR'!$D42:$BA42)+_xlfn.XLOOKUP(AH$134, 'GEN-BESS'!$D$32:$BA$32, 'GEN-BESS'!$D42:$BA42)+_xlfn.XLOOKUP(AH$134, 'GEN-CARBON'!$D$32:$BA$32, 'GEN-CARBON'!$D42:$BA42)+_xlfn.XLOOKUP(AH$134, Load!$D$32:$BA$32, Load!$D42:$BA42)+_xlfn.XLOOKUP(AH$134, Hydrogen!$D$32:$BA$32, Hydrogen!$D42:$BA42)+_xlfn.XLOOKUP(AH$134, 'SENS Tires'!$D$32:$BA$32, 'SENS Tires'!$D42:$BA42)+_xlfn.XLOOKUP(AH$134, 'SENS Coal'!$D$32:$BA$32, 'SENS Coal'!$D42:$BA42)</f>
        <v>18</v>
      </c>
      <c r="AI144" s="215">
        <f>_xlfn.XLOOKUP(AI$134, 'Real Estate'!$D$25:$BA$25, 'Real Estate'!$D35:$BA35)+_xlfn.XLOOKUP(AI$134, 'GEN-CCGT'!$D$32:$BA$32, 'GEN-CCGT'!$D42:$BA42)+_xlfn.XLOOKUP(AI$134, 'GEN-SOLAR'!$D$32:$BA$32, 'GEN-SOLAR'!$D42:$BA42)+_xlfn.XLOOKUP(AI$134, 'GEN-BESS'!$D$32:$BA$32, 'GEN-BESS'!$D42:$BA42)+_xlfn.XLOOKUP(AI$134, 'GEN-CARBON'!$D$32:$BA$32, 'GEN-CARBON'!$D42:$BA42)+_xlfn.XLOOKUP(AI$134, Load!$D$32:$BA$32, Load!$D42:$BA42)+_xlfn.XLOOKUP(AI$134, Hydrogen!$D$32:$BA$32, Hydrogen!$D42:$BA42)+_xlfn.XLOOKUP(AI$134, 'SENS Tires'!$D$32:$BA$32, 'SENS Tires'!$D42:$BA42)+_xlfn.XLOOKUP(AI$134, 'SENS Coal'!$D$32:$BA$32, 'SENS Coal'!$D42:$BA42)</f>
        <v>0</v>
      </c>
      <c r="AJ144" s="215">
        <f>_xlfn.XLOOKUP(AJ$134, 'Real Estate'!$D$25:$BA$25, 'Real Estate'!$D35:$BA35)+_xlfn.XLOOKUP(AJ$134, 'GEN-CCGT'!$D$32:$BA$32, 'GEN-CCGT'!$D42:$BA42)+_xlfn.XLOOKUP(AJ$134, 'GEN-SOLAR'!$D$32:$BA$32, 'GEN-SOLAR'!$D42:$BA42)+_xlfn.XLOOKUP(AJ$134, 'GEN-BESS'!$D$32:$BA$32, 'GEN-BESS'!$D42:$BA42)+_xlfn.XLOOKUP(AJ$134, 'GEN-CARBON'!$D$32:$BA$32, 'GEN-CARBON'!$D42:$BA42)+_xlfn.XLOOKUP(AJ$134, Load!$D$32:$BA$32, Load!$D42:$BA42)+_xlfn.XLOOKUP(AJ$134, Hydrogen!$D$32:$BA$32, Hydrogen!$D42:$BA42)+_xlfn.XLOOKUP(AJ$134, 'SENS Tires'!$D$32:$BA$32, 'SENS Tires'!$D42:$BA42)+_xlfn.XLOOKUP(AJ$134, 'SENS Coal'!$D$32:$BA$32, 'SENS Coal'!$D42:$BA42)</f>
        <v>0</v>
      </c>
      <c r="AK144" s="215">
        <f>_xlfn.XLOOKUP(AK$134, 'Real Estate'!$D$25:$BA$25, 'Real Estate'!$D35:$BA35)+_xlfn.XLOOKUP(AK$134, 'GEN-CCGT'!$D$32:$BA$32, 'GEN-CCGT'!$D42:$BA42)+_xlfn.XLOOKUP(AK$134, 'GEN-SOLAR'!$D$32:$BA$32, 'GEN-SOLAR'!$D42:$BA42)+_xlfn.XLOOKUP(AK$134, 'GEN-BESS'!$D$32:$BA$32, 'GEN-BESS'!$D42:$BA42)+_xlfn.XLOOKUP(AK$134, 'GEN-CARBON'!$D$32:$BA$32, 'GEN-CARBON'!$D42:$BA42)+_xlfn.XLOOKUP(AK$134, Load!$D$32:$BA$32, Load!$D42:$BA42)+_xlfn.XLOOKUP(AK$134, Hydrogen!$D$32:$BA$32, Hydrogen!$D42:$BA42)+_xlfn.XLOOKUP(AK$134, 'SENS Tires'!$D$32:$BA$32, 'SENS Tires'!$D42:$BA42)+_xlfn.XLOOKUP(AK$134, 'SENS Coal'!$D$32:$BA$32, 'SENS Coal'!$D42:$BA42)</f>
        <v>0</v>
      </c>
      <c r="AL144" s="215">
        <f>_xlfn.XLOOKUP(AL$134, 'Real Estate'!$D$25:$BA$25, 'Real Estate'!$D35:$BA35)+_xlfn.XLOOKUP(AL$134, 'GEN-CCGT'!$D$32:$BA$32, 'GEN-CCGT'!$D42:$BA42)+_xlfn.XLOOKUP(AL$134, 'GEN-SOLAR'!$D$32:$BA$32, 'GEN-SOLAR'!$D42:$BA42)+_xlfn.XLOOKUP(AL$134, 'GEN-BESS'!$D$32:$BA$32, 'GEN-BESS'!$D42:$BA42)+_xlfn.XLOOKUP(AL$134, 'GEN-CARBON'!$D$32:$BA$32, 'GEN-CARBON'!$D42:$BA42)+_xlfn.XLOOKUP(AL$134, Load!$D$32:$BA$32, Load!$D42:$BA42)+_xlfn.XLOOKUP(AL$134, Hydrogen!$D$32:$BA$32, Hydrogen!$D42:$BA42)+_xlfn.XLOOKUP(AL$134, 'SENS Tires'!$D$32:$BA$32, 'SENS Tires'!$D42:$BA42)+_xlfn.XLOOKUP(AL$134, 'SENS Coal'!$D$32:$BA$32, 'SENS Coal'!$D42:$BA42)</f>
        <v>0</v>
      </c>
      <c r="AM144" s="215">
        <f>_xlfn.XLOOKUP(AM$134, 'Real Estate'!$D$25:$BA$25, 'Real Estate'!$D35:$BA35)+_xlfn.XLOOKUP(AM$134, 'GEN-CCGT'!$D$32:$BA$32, 'GEN-CCGT'!$D42:$BA42)+_xlfn.XLOOKUP(AM$134, 'GEN-SOLAR'!$D$32:$BA$32, 'GEN-SOLAR'!$D42:$BA42)+_xlfn.XLOOKUP(AM$134, 'GEN-BESS'!$D$32:$BA$32, 'GEN-BESS'!$D42:$BA42)+_xlfn.XLOOKUP(AM$134, 'GEN-CARBON'!$D$32:$BA$32, 'GEN-CARBON'!$D42:$BA42)+_xlfn.XLOOKUP(AM$134, Load!$D$32:$BA$32, Load!$D42:$BA42)+_xlfn.XLOOKUP(AM$134, Hydrogen!$D$32:$BA$32, Hydrogen!$D42:$BA42)+_xlfn.XLOOKUP(AM$134, 'SENS Tires'!$D$32:$BA$32, 'SENS Tires'!$D42:$BA42)+_xlfn.XLOOKUP(AM$134, 'SENS Coal'!$D$32:$BA$32, 'SENS Coal'!$D42:$BA42)</f>
        <v>0</v>
      </c>
      <c r="AN144" s="215">
        <f>_xlfn.XLOOKUP(AN$134, 'Real Estate'!$D$25:$BA$25, 'Real Estate'!$D35:$BA35)+_xlfn.XLOOKUP(AN$134, 'GEN-CCGT'!$D$32:$BA$32, 'GEN-CCGT'!$D42:$BA42)+_xlfn.XLOOKUP(AN$134, 'GEN-SOLAR'!$D$32:$BA$32, 'GEN-SOLAR'!$D42:$BA42)+_xlfn.XLOOKUP(AN$134, 'GEN-BESS'!$D$32:$BA$32, 'GEN-BESS'!$D42:$BA42)+_xlfn.XLOOKUP(AN$134, 'GEN-CARBON'!$D$32:$BA$32, 'GEN-CARBON'!$D42:$BA42)+_xlfn.XLOOKUP(AN$134, Load!$D$32:$BA$32, Load!$D42:$BA42)+_xlfn.XLOOKUP(AN$134, Hydrogen!$D$32:$BA$32, Hydrogen!$D42:$BA42)+_xlfn.XLOOKUP(AN$134, 'SENS Tires'!$D$32:$BA$32, 'SENS Tires'!$D42:$BA42)+_xlfn.XLOOKUP(AN$134, 'SENS Coal'!$D$32:$BA$32, 'SENS Coal'!$D42:$BA42)</f>
        <v>0</v>
      </c>
      <c r="AO144" s="215">
        <f>_xlfn.XLOOKUP(AO$134, 'Real Estate'!$D$25:$BA$25, 'Real Estate'!$D35:$BA35)+_xlfn.XLOOKUP(AO$134, 'GEN-CCGT'!$D$32:$BA$32, 'GEN-CCGT'!$D42:$BA42)+_xlfn.XLOOKUP(AO$134, 'GEN-SOLAR'!$D$32:$BA$32, 'GEN-SOLAR'!$D42:$BA42)+_xlfn.XLOOKUP(AO$134, 'GEN-BESS'!$D$32:$BA$32, 'GEN-BESS'!$D42:$BA42)+_xlfn.XLOOKUP(AO$134, 'GEN-CARBON'!$D$32:$BA$32, 'GEN-CARBON'!$D42:$BA42)+_xlfn.XLOOKUP(AO$134, Load!$D$32:$BA$32, Load!$D42:$BA42)+_xlfn.XLOOKUP(AO$134, Hydrogen!$D$32:$BA$32, Hydrogen!$D42:$BA42)+_xlfn.XLOOKUP(AO$134, 'SENS Tires'!$D$32:$BA$32, 'SENS Tires'!$D42:$BA42)+_xlfn.XLOOKUP(AO$134, 'SENS Coal'!$D$32:$BA$32, 'SENS Coal'!$D42:$BA42)</f>
        <v>0</v>
      </c>
      <c r="AP144" s="215">
        <f>_xlfn.XLOOKUP(AP$134, 'Real Estate'!$D$25:$BA$25, 'Real Estate'!$D35:$BA35)+_xlfn.XLOOKUP(AP$134, 'GEN-CCGT'!$D$32:$BA$32, 'GEN-CCGT'!$D42:$BA42)+_xlfn.XLOOKUP(AP$134, 'GEN-SOLAR'!$D$32:$BA$32, 'GEN-SOLAR'!$D42:$BA42)+_xlfn.XLOOKUP(AP$134, 'GEN-BESS'!$D$32:$BA$32, 'GEN-BESS'!$D42:$BA42)+_xlfn.XLOOKUP(AP$134, 'GEN-CARBON'!$D$32:$BA$32, 'GEN-CARBON'!$D42:$BA42)+_xlfn.XLOOKUP(AP$134, Load!$D$32:$BA$32, Load!$D42:$BA42)+_xlfn.XLOOKUP(AP$134, Hydrogen!$D$32:$BA$32, Hydrogen!$D42:$BA42)+_xlfn.XLOOKUP(AP$134, 'SENS Tires'!$D$32:$BA$32, 'SENS Tires'!$D42:$BA42)+_xlfn.XLOOKUP(AP$134, 'SENS Coal'!$D$32:$BA$32, 'SENS Coal'!$D42:$BA42)</f>
        <v>0</v>
      </c>
      <c r="AQ144" s="215">
        <f>_xlfn.XLOOKUP(AQ$134, 'Real Estate'!$D$25:$BA$25, 'Real Estate'!$D35:$BA35)+_xlfn.XLOOKUP(AQ$134, 'GEN-CCGT'!$D$32:$BA$32, 'GEN-CCGT'!$D42:$BA42)+_xlfn.XLOOKUP(AQ$134, 'GEN-SOLAR'!$D$32:$BA$32, 'GEN-SOLAR'!$D42:$BA42)+_xlfn.XLOOKUP(AQ$134, 'GEN-BESS'!$D$32:$BA$32, 'GEN-BESS'!$D42:$BA42)+_xlfn.XLOOKUP(AQ$134, 'GEN-CARBON'!$D$32:$BA$32, 'GEN-CARBON'!$D42:$BA42)+_xlfn.XLOOKUP(AQ$134, Load!$D$32:$BA$32, Load!$D42:$BA42)+_xlfn.XLOOKUP(AQ$134, Hydrogen!$D$32:$BA$32, Hydrogen!$D42:$BA42)+_xlfn.XLOOKUP(AQ$134, 'SENS Tires'!$D$32:$BA$32, 'SENS Tires'!$D42:$BA42)+_xlfn.XLOOKUP(AQ$134, 'SENS Coal'!$D$32:$BA$32, 'SENS Coal'!$D42:$BA42)</f>
        <v>0</v>
      </c>
      <c r="AR144" s="215">
        <f>_xlfn.XLOOKUP(AR$134, 'Real Estate'!$D$25:$BA$25, 'Real Estate'!$D35:$BA35)+_xlfn.XLOOKUP(AR$134, 'GEN-CCGT'!$D$32:$BA$32, 'GEN-CCGT'!$D42:$BA42)+_xlfn.XLOOKUP(AR$134, 'GEN-SOLAR'!$D$32:$BA$32, 'GEN-SOLAR'!$D42:$BA42)+_xlfn.XLOOKUP(AR$134, 'GEN-BESS'!$D$32:$BA$32, 'GEN-BESS'!$D42:$BA42)+_xlfn.XLOOKUP(AR$134, 'GEN-CARBON'!$D$32:$BA$32, 'GEN-CARBON'!$D42:$BA42)+_xlfn.XLOOKUP(AR$134, Load!$D$32:$BA$32, Load!$D42:$BA42)+_xlfn.XLOOKUP(AR$134, Hydrogen!$D$32:$BA$32, Hydrogen!$D42:$BA42)+_xlfn.XLOOKUP(AR$134, 'SENS Tires'!$D$32:$BA$32, 'SENS Tires'!$D42:$BA42)+_xlfn.XLOOKUP(AR$134, 'SENS Coal'!$D$32:$BA$32, 'SENS Coal'!$D42:$BA42)</f>
        <v>0</v>
      </c>
      <c r="AS144" s="215">
        <f>_xlfn.XLOOKUP(AS$134, 'Real Estate'!$D$25:$BA$25, 'Real Estate'!$D35:$BA35)+_xlfn.XLOOKUP(AS$134, 'GEN-CCGT'!$D$32:$BA$32, 'GEN-CCGT'!$D42:$BA42)+_xlfn.XLOOKUP(AS$134, 'GEN-SOLAR'!$D$32:$BA$32, 'GEN-SOLAR'!$D42:$BA42)+_xlfn.XLOOKUP(AS$134, 'GEN-BESS'!$D$32:$BA$32, 'GEN-BESS'!$D42:$BA42)+_xlfn.XLOOKUP(AS$134, 'GEN-CARBON'!$D$32:$BA$32, 'GEN-CARBON'!$D42:$BA42)+_xlfn.XLOOKUP(AS$134, Load!$D$32:$BA$32, Load!$D42:$BA42)+_xlfn.XLOOKUP(AS$134, Hydrogen!$D$32:$BA$32, Hydrogen!$D42:$BA42)+_xlfn.XLOOKUP(AS$134, 'SENS Tires'!$D$32:$BA$32, 'SENS Tires'!$D42:$BA42)+_xlfn.XLOOKUP(AS$134, 'SENS Coal'!$D$32:$BA$32, 'SENS Coal'!$D42:$BA42)</f>
        <v>0</v>
      </c>
      <c r="AT144" s="215">
        <f>_xlfn.XLOOKUP(AT$134, 'Real Estate'!$D$25:$BA$25, 'Real Estate'!$D35:$BA35)+_xlfn.XLOOKUP(AT$134, 'GEN-CCGT'!$D$32:$BA$32, 'GEN-CCGT'!$D42:$BA42)+_xlfn.XLOOKUP(AT$134, 'GEN-SOLAR'!$D$32:$BA$32, 'GEN-SOLAR'!$D42:$BA42)+_xlfn.XLOOKUP(AT$134, 'GEN-BESS'!$D$32:$BA$32, 'GEN-BESS'!$D42:$BA42)+_xlfn.XLOOKUP(AT$134, 'GEN-CARBON'!$D$32:$BA$32, 'GEN-CARBON'!$D42:$BA42)+_xlfn.XLOOKUP(AT$134, Load!$D$32:$BA$32, Load!$D42:$BA42)+_xlfn.XLOOKUP(AT$134, Hydrogen!$D$32:$BA$32, Hydrogen!$D42:$BA42)+_xlfn.XLOOKUP(AT$134, 'SENS Tires'!$D$32:$BA$32, 'SENS Tires'!$D42:$BA42)+_xlfn.XLOOKUP(AT$134, 'SENS Coal'!$D$32:$BA$32, 'SENS Coal'!$D42:$BA42)</f>
        <v>0</v>
      </c>
      <c r="AU144" s="215">
        <f>_xlfn.XLOOKUP(AU$134, 'Real Estate'!$D$25:$BA$25, 'Real Estate'!$D35:$BA35)+_xlfn.XLOOKUP(AU$134, 'GEN-CCGT'!$D$32:$BA$32, 'GEN-CCGT'!$D42:$BA42)+_xlfn.XLOOKUP(AU$134, 'GEN-SOLAR'!$D$32:$BA$32, 'GEN-SOLAR'!$D42:$BA42)+_xlfn.XLOOKUP(AU$134, 'GEN-BESS'!$D$32:$BA$32, 'GEN-BESS'!$D42:$BA42)+_xlfn.XLOOKUP(AU$134, 'GEN-CARBON'!$D$32:$BA$32, 'GEN-CARBON'!$D42:$BA42)+_xlfn.XLOOKUP(AU$134, Load!$D$32:$BA$32, Load!$D42:$BA42)+_xlfn.XLOOKUP(AU$134, Hydrogen!$D$32:$BA$32, Hydrogen!$D42:$BA42)+_xlfn.XLOOKUP(AU$134, 'SENS Tires'!$D$32:$BA$32, 'SENS Tires'!$D42:$BA42)+_xlfn.XLOOKUP(AU$134, 'SENS Coal'!$D$32:$BA$32, 'SENS Coal'!$D42:$BA42)</f>
        <v>0</v>
      </c>
      <c r="AV144" s="215">
        <f>_xlfn.XLOOKUP(AV$134, 'Real Estate'!$D$25:$BA$25, 'Real Estate'!$D35:$BA35)+_xlfn.XLOOKUP(AV$134, 'GEN-CCGT'!$D$32:$BA$32, 'GEN-CCGT'!$D42:$BA42)+_xlfn.XLOOKUP(AV$134, 'GEN-SOLAR'!$D$32:$BA$32, 'GEN-SOLAR'!$D42:$BA42)+_xlfn.XLOOKUP(AV$134, 'GEN-BESS'!$D$32:$BA$32, 'GEN-BESS'!$D42:$BA42)+_xlfn.XLOOKUP(AV$134, 'GEN-CARBON'!$D$32:$BA$32, 'GEN-CARBON'!$D42:$BA42)+_xlfn.XLOOKUP(AV$134, Load!$D$32:$BA$32, Load!$D42:$BA42)+_xlfn.XLOOKUP(AV$134, Hydrogen!$D$32:$BA$32, Hydrogen!$D42:$BA42)+_xlfn.XLOOKUP(AV$134, 'SENS Tires'!$D$32:$BA$32, 'SENS Tires'!$D42:$BA42)+_xlfn.XLOOKUP(AV$134, 'SENS Coal'!$D$32:$BA$32, 'SENS Coal'!$D42:$BA42)</f>
        <v>0</v>
      </c>
      <c r="AW144" s="215">
        <f>_xlfn.XLOOKUP(AW$134, 'Real Estate'!$D$25:$BA$25, 'Real Estate'!$D35:$BA35)+_xlfn.XLOOKUP(AW$134, 'GEN-CCGT'!$D$32:$BA$32, 'GEN-CCGT'!$D42:$BA42)+_xlfn.XLOOKUP(AW$134, 'GEN-SOLAR'!$D$32:$BA$32, 'GEN-SOLAR'!$D42:$BA42)+_xlfn.XLOOKUP(AW$134, 'GEN-BESS'!$D$32:$BA$32, 'GEN-BESS'!$D42:$BA42)+_xlfn.XLOOKUP(AW$134, 'GEN-CARBON'!$D$32:$BA$32, 'GEN-CARBON'!$D42:$BA42)+_xlfn.XLOOKUP(AW$134, Load!$D$32:$BA$32, Load!$D42:$BA42)+_xlfn.XLOOKUP(AW$134, Hydrogen!$D$32:$BA$32, Hydrogen!$D42:$BA42)+_xlfn.XLOOKUP(AW$134, 'SENS Tires'!$D$32:$BA$32, 'SENS Tires'!$D42:$BA42)+_xlfn.XLOOKUP(AW$134, 'SENS Coal'!$D$32:$BA$32, 'SENS Coal'!$D42:$BA42)</f>
        <v>0</v>
      </c>
      <c r="AX144" s="215">
        <f>_xlfn.XLOOKUP(AX$134, 'Real Estate'!$D$25:$BA$25, 'Real Estate'!$D35:$BA35)+_xlfn.XLOOKUP(AX$134, 'GEN-CCGT'!$D$32:$BA$32, 'GEN-CCGT'!$D42:$BA42)+_xlfn.XLOOKUP(AX$134, 'GEN-SOLAR'!$D$32:$BA$32, 'GEN-SOLAR'!$D42:$BA42)+_xlfn.XLOOKUP(AX$134, 'GEN-BESS'!$D$32:$BA$32, 'GEN-BESS'!$D42:$BA42)+_xlfn.XLOOKUP(AX$134, 'GEN-CARBON'!$D$32:$BA$32, 'GEN-CARBON'!$D42:$BA42)+_xlfn.XLOOKUP(AX$134, Load!$D$32:$BA$32, Load!$D42:$BA42)+_xlfn.XLOOKUP(AX$134, Hydrogen!$D$32:$BA$32, Hydrogen!$D42:$BA42)+_xlfn.XLOOKUP(AX$134, 'SENS Tires'!$D$32:$BA$32, 'SENS Tires'!$D42:$BA42)+_xlfn.XLOOKUP(AX$134, 'SENS Coal'!$D$32:$BA$32, 'SENS Coal'!$D42:$BA42)</f>
        <v>0</v>
      </c>
    </row>
    <row r="145" spans="1:50" ht="14.25" customHeight="1">
      <c r="A145" s="44"/>
      <c r="B145" s="205"/>
      <c r="C145" s="216" t="s">
        <v>411</v>
      </c>
      <c r="D145" s="22"/>
      <c r="E145" s="237" t="e">
        <f>_xlfn.XLOOKUP(E$134, 'Real Estate'!$D$25:$BA$25, 'Real Estate'!$D36:$BA36)+_xlfn.XLOOKUP(E$134, 'GEN-CCGT'!$D$32:$BA$32, 'GEN-CCGT'!$D43:$BA43)+_xlfn.XLOOKUP(E$134, 'GEN-SOLAR'!$D$32:$BA$32, 'GEN-SOLAR'!$D43:$BA43)+_xlfn.XLOOKUP(E$134, 'GEN-BESS'!$D$32:$BA$32, 'GEN-BESS'!$D43:$BA43)+_xlfn.XLOOKUP(E$134, 'GEN-CARBON'!$D$32:$BA$32, 'GEN-CARBON'!$D43:$BA43)+_xlfn.XLOOKUP(E$134, Load!$D$32:$BA$32, Load!$D43:$BA43)+_xlfn.XLOOKUP(E$134, Hydrogen!$D$32:$BA$32, Hydrogen!$D43:$BA43)+_xlfn.XLOOKUP(E$134, 'SENS Tires'!$D$32:$BA$32, 'SENS Tires'!$D43:$BA43)+_xlfn.XLOOKUP(E$134, 'SENS Coal'!$D$32:$BA$32, 'SENS Coal'!$D43:$BA43)</f>
        <v>#N/A</v>
      </c>
      <c r="F145" s="237">
        <f>_xlfn.XLOOKUP(F$134, 'Real Estate'!$D$25:$BA$25, 'Real Estate'!$D36:$BA36)+_xlfn.XLOOKUP(F$134, 'GEN-CCGT'!$D$32:$BA$32, 'GEN-CCGT'!$D43:$BA43)+_xlfn.XLOOKUP(F$134, 'GEN-SOLAR'!$D$32:$BA$32, 'GEN-SOLAR'!$D43:$BA43)+_xlfn.XLOOKUP(F$134, 'GEN-BESS'!$D$32:$BA$32, 'GEN-BESS'!$D43:$BA43)+_xlfn.XLOOKUP(F$134, 'GEN-CARBON'!$D$32:$BA$32, 'GEN-CARBON'!$D43:$BA43)+_xlfn.XLOOKUP(F$134, Load!$D$32:$BA$32, Load!$D43:$BA43)+_xlfn.XLOOKUP(F$134, Hydrogen!$D$32:$BA$32, Hydrogen!$D43:$BA43)+_xlfn.XLOOKUP(F$134, 'SENS Tires'!$D$32:$BA$32, 'SENS Tires'!$D43:$BA43)+_xlfn.XLOOKUP(F$134, 'SENS Coal'!$D$32:$BA$32, 'SENS Coal'!$D43:$BA43)</f>
        <v>6555.5427882295362</v>
      </c>
      <c r="G145" s="237">
        <f>_xlfn.XLOOKUP(G$134, 'Real Estate'!$D$25:$BA$25, 'Real Estate'!$D36:$BA36)+_xlfn.XLOOKUP(G$134, 'GEN-CCGT'!$D$32:$BA$32, 'GEN-CCGT'!$D43:$BA43)+_xlfn.XLOOKUP(G$134, 'GEN-SOLAR'!$D$32:$BA$32, 'GEN-SOLAR'!$D43:$BA43)+_xlfn.XLOOKUP(G$134, 'GEN-BESS'!$D$32:$BA$32, 'GEN-BESS'!$D43:$BA43)+_xlfn.XLOOKUP(G$134, 'GEN-CARBON'!$D$32:$BA$32, 'GEN-CARBON'!$D43:$BA43)+_xlfn.XLOOKUP(G$134, Load!$D$32:$BA$32, Load!$D43:$BA43)+_xlfn.XLOOKUP(G$134, Hydrogen!$D$32:$BA$32, Hydrogen!$D43:$BA43)+_xlfn.XLOOKUP(G$134, 'SENS Tires'!$D$32:$BA$32, 'SENS Tires'!$D43:$BA43)+_xlfn.XLOOKUP(G$134, 'SENS Coal'!$D$32:$BA$32, 'SENS Coal'!$D43:$BA43)</f>
        <v>9277.1008295316096</v>
      </c>
      <c r="H145" s="237">
        <f>_xlfn.XLOOKUP(H$134, 'Real Estate'!$D$25:$BA$25, 'Real Estate'!$D36:$BA36)+_xlfn.XLOOKUP(H$134, 'GEN-CCGT'!$D$32:$BA$32, 'GEN-CCGT'!$D43:$BA43)+_xlfn.XLOOKUP(H$134, 'GEN-SOLAR'!$D$32:$BA$32, 'GEN-SOLAR'!$D43:$BA43)+_xlfn.XLOOKUP(H$134, 'GEN-BESS'!$D$32:$BA$32, 'GEN-BESS'!$D43:$BA43)+_xlfn.XLOOKUP(H$134, 'GEN-CARBON'!$D$32:$BA$32, 'GEN-CARBON'!$D43:$BA43)+_xlfn.XLOOKUP(H$134, Load!$D$32:$BA$32, Load!$D43:$BA43)+_xlfn.XLOOKUP(H$134, Hydrogen!$D$32:$BA$32, Hydrogen!$D43:$BA43)+_xlfn.XLOOKUP(H$134, 'SENS Tires'!$D$32:$BA$32, 'SENS Tires'!$D43:$BA43)+_xlfn.XLOOKUP(H$134, 'SENS Coal'!$D$32:$BA$32, 'SENS Coal'!$D43:$BA43)</f>
        <v>9491.0386161889746</v>
      </c>
      <c r="I145" s="237">
        <f>_xlfn.XLOOKUP(I$134, 'Real Estate'!$D$25:$BA$25, 'Real Estate'!$D36:$BA36)+_xlfn.XLOOKUP(I$134, 'GEN-CCGT'!$D$32:$BA$32, 'GEN-CCGT'!$D43:$BA43)+_xlfn.XLOOKUP(I$134, 'GEN-SOLAR'!$D$32:$BA$32, 'GEN-SOLAR'!$D43:$BA43)+_xlfn.XLOOKUP(I$134, 'GEN-BESS'!$D$32:$BA$32, 'GEN-BESS'!$D43:$BA43)+_xlfn.XLOOKUP(I$134, 'GEN-CARBON'!$D$32:$BA$32, 'GEN-CARBON'!$D43:$BA43)+_xlfn.XLOOKUP(I$134, Load!$D$32:$BA$32, Load!$D43:$BA43)+_xlfn.XLOOKUP(I$134, Hydrogen!$D$32:$BA$32, Hydrogen!$D43:$BA43)+_xlfn.XLOOKUP(I$134, 'SENS Tires'!$D$32:$BA$32, 'SENS Tires'!$D43:$BA43)+_xlfn.XLOOKUP(I$134, 'SENS Coal'!$D$32:$BA$32, 'SENS Coal'!$D43:$BA43)</f>
        <v>9795.8249254579932</v>
      </c>
      <c r="J145" s="237">
        <f>_xlfn.XLOOKUP(J$134, 'Real Estate'!$D$25:$BA$25, 'Real Estate'!$D36:$BA36)+_xlfn.XLOOKUP(J$134, 'GEN-CCGT'!$D$32:$BA$32, 'GEN-CCGT'!$D43:$BA43)+_xlfn.XLOOKUP(J$134, 'GEN-SOLAR'!$D$32:$BA$32, 'GEN-SOLAR'!$D43:$BA43)+_xlfn.XLOOKUP(J$134, 'GEN-BESS'!$D$32:$BA$32, 'GEN-BESS'!$D43:$BA43)+_xlfn.XLOOKUP(J$134, 'GEN-CARBON'!$D$32:$BA$32, 'GEN-CARBON'!$D43:$BA43)+_xlfn.XLOOKUP(J$134, Load!$D$32:$BA$32, Load!$D43:$BA43)+_xlfn.XLOOKUP(J$134, Hydrogen!$D$32:$BA$32, Hydrogen!$D43:$BA43)+_xlfn.XLOOKUP(J$134, 'SENS Tires'!$D$32:$BA$32, 'SENS Tires'!$D43:$BA43)+_xlfn.XLOOKUP(J$134, 'SENS Coal'!$D$32:$BA$32, 'SENS Coal'!$D43:$BA43)</f>
        <v>9999.8670356356797</v>
      </c>
      <c r="K145" s="237">
        <f>_xlfn.XLOOKUP(K$134, 'Real Estate'!$D$25:$BA$25, 'Real Estate'!$D36:$BA36)+_xlfn.XLOOKUP(K$134, 'GEN-CCGT'!$D$32:$BA$32, 'GEN-CCGT'!$D43:$BA43)+_xlfn.XLOOKUP(K$134, 'GEN-SOLAR'!$D$32:$BA$32, 'GEN-SOLAR'!$D43:$BA43)+_xlfn.XLOOKUP(K$134, 'GEN-BESS'!$D$32:$BA$32, 'GEN-BESS'!$D43:$BA43)+_xlfn.XLOOKUP(K$134, 'GEN-CARBON'!$D$32:$BA$32, 'GEN-CARBON'!$D43:$BA43)+_xlfn.XLOOKUP(K$134, Load!$D$32:$BA$32, Load!$D43:$BA43)+_xlfn.XLOOKUP(K$134, Hydrogen!$D$32:$BA$32, Hydrogen!$D43:$BA43)+_xlfn.XLOOKUP(K$134, 'SENS Tires'!$D$32:$BA$32, 'SENS Tires'!$D43:$BA43)+_xlfn.XLOOKUP(K$134, 'SENS Coal'!$D$32:$BA$32, 'SENS Coal'!$D43:$BA43)</f>
        <v>10178.351515459575</v>
      </c>
      <c r="L145" s="237">
        <f>_xlfn.XLOOKUP(L$134, 'Real Estate'!$D$25:$BA$25, 'Real Estate'!$D36:$BA36)+_xlfn.XLOOKUP(L$134, 'GEN-CCGT'!$D$32:$BA$32, 'GEN-CCGT'!$D43:$BA43)+_xlfn.XLOOKUP(L$134, 'GEN-SOLAR'!$D$32:$BA$32, 'GEN-SOLAR'!$D43:$BA43)+_xlfn.XLOOKUP(L$134, 'GEN-BESS'!$D$32:$BA$32, 'GEN-BESS'!$D43:$BA43)+_xlfn.XLOOKUP(L$134, 'GEN-CARBON'!$D$32:$BA$32, 'GEN-CARBON'!$D43:$BA43)+_xlfn.XLOOKUP(L$134, Load!$D$32:$BA$32, Load!$D43:$BA43)+_xlfn.XLOOKUP(L$134, Hydrogen!$D$32:$BA$32, Hydrogen!$D43:$BA43)+_xlfn.XLOOKUP(L$134, 'SENS Tires'!$D$32:$BA$32, 'SENS Tires'!$D43:$BA43)+_xlfn.XLOOKUP(L$134, 'SENS Coal'!$D$32:$BA$32, 'SENS Coal'!$D43:$BA43)</f>
        <v>10360.446626967512</v>
      </c>
      <c r="M145" s="237">
        <f>_xlfn.XLOOKUP(M$134, 'Real Estate'!$D$25:$BA$25, 'Real Estate'!$D36:$BA36)+_xlfn.XLOOKUP(M$134, 'GEN-CCGT'!$D$32:$BA$32, 'GEN-CCGT'!$D43:$BA43)+_xlfn.XLOOKUP(M$134, 'GEN-SOLAR'!$D$32:$BA$32, 'GEN-SOLAR'!$D43:$BA43)+_xlfn.XLOOKUP(M$134, 'GEN-BESS'!$D$32:$BA$32, 'GEN-BESS'!$D43:$BA43)+_xlfn.XLOOKUP(M$134, 'GEN-CARBON'!$D$32:$BA$32, 'GEN-CARBON'!$D43:$BA43)+_xlfn.XLOOKUP(M$134, Load!$D$32:$BA$32, Load!$D43:$BA43)+_xlfn.XLOOKUP(M$134, Hydrogen!$D$32:$BA$32, Hydrogen!$D43:$BA43)+_xlfn.XLOOKUP(M$134, 'SENS Tires'!$D$32:$BA$32, 'SENS Tires'!$D43:$BA43)+_xlfn.XLOOKUP(M$134, 'SENS Coal'!$D$32:$BA$32, 'SENS Coal'!$D43:$BA43)</f>
        <v>10546.225880078069</v>
      </c>
      <c r="N145" s="237">
        <f>_xlfn.XLOOKUP(N$134, 'Real Estate'!$D$25:$BA$25, 'Real Estate'!$D36:$BA36)+_xlfn.XLOOKUP(N$134, 'GEN-CCGT'!$D$32:$BA$32, 'GEN-CCGT'!$D43:$BA43)+_xlfn.XLOOKUP(N$134, 'GEN-SOLAR'!$D$32:$BA$32, 'GEN-SOLAR'!$D43:$BA43)+_xlfn.XLOOKUP(N$134, 'GEN-BESS'!$D$32:$BA$32, 'GEN-BESS'!$D43:$BA43)+_xlfn.XLOOKUP(N$134, 'GEN-CARBON'!$D$32:$BA$32, 'GEN-CARBON'!$D43:$BA43)+_xlfn.XLOOKUP(N$134, Load!$D$32:$BA$32, Load!$D43:$BA43)+_xlfn.XLOOKUP(N$134, Hydrogen!$D$32:$BA$32, Hydrogen!$D43:$BA43)+_xlfn.XLOOKUP(N$134, 'SENS Tires'!$D$32:$BA$32, 'SENS Tires'!$D43:$BA43)+_xlfn.XLOOKUP(N$134, 'SENS Coal'!$D$32:$BA$32, 'SENS Coal'!$D43:$BA43)</f>
        <v>10735.764294822287</v>
      </c>
      <c r="O145" s="237">
        <f>_xlfn.XLOOKUP(O$134, 'Real Estate'!$D$25:$BA$25, 'Real Estate'!$D36:$BA36)+_xlfn.XLOOKUP(O$134, 'GEN-CCGT'!$D$32:$BA$32, 'GEN-CCGT'!$D43:$BA43)+_xlfn.XLOOKUP(O$134, 'GEN-SOLAR'!$D$32:$BA$32, 'GEN-SOLAR'!$D43:$BA43)+_xlfn.XLOOKUP(O$134, 'GEN-BESS'!$D$32:$BA$32, 'GEN-BESS'!$D43:$BA43)+_xlfn.XLOOKUP(O$134, 'GEN-CARBON'!$D$32:$BA$32, 'GEN-CARBON'!$D43:$BA43)+_xlfn.XLOOKUP(O$134, Load!$D$32:$BA$32, Load!$D43:$BA43)+_xlfn.XLOOKUP(O$134, Hydrogen!$D$32:$BA$32, Hydrogen!$D43:$BA43)+_xlfn.XLOOKUP(O$134, 'SENS Tires'!$D$32:$BA$32, 'SENS Tires'!$D43:$BA43)+_xlfn.XLOOKUP(O$134, 'SENS Coal'!$D$32:$BA$32, 'SENS Coal'!$D43:$BA43)</f>
        <v>11510.069939608866</v>
      </c>
      <c r="P145" s="237">
        <f>_xlfn.XLOOKUP(P$134, 'Real Estate'!$D$25:$BA$25, 'Real Estate'!$D36:$BA36)+_xlfn.XLOOKUP(P$134, 'GEN-CCGT'!$D$32:$BA$32, 'GEN-CCGT'!$D43:$BA43)+_xlfn.XLOOKUP(P$134, 'GEN-SOLAR'!$D$32:$BA$32, 'GEN-SOLAR'!$D43:$BA43)+_xlfn.XLOOKUP(P$134, 'GEN-BESS'!$D$32:$BA$32, 'GEN-BESS'!$D43:$BA43)+_xlfn.XLOOKUP(P$134, 'GEN-CARBON'!$D$32:$BA$32, 'GEN-CARBON'!$D43:$BA43)+_xlfn.XLOOKUP(P$134, Load!$D$32:$BA$32, Load!$D43:$BA43)+_xlfn.XLOOKUP(P$134, Hydrogen!$D$32:$BA$32, Hydrogen!$D43:$BA43)+_xlfn.XLOOKUP(P$134, 'SENS Tires'!$D$32:$BA$32, 'SENS Tires'!$D43:$BA43)+_xlfn.XLOOKUP(P$134, 'SENS Coal'!$D$32:$BA$32, 'SENS Coal'!$D43:$BA43)</f>
        <v>10022.65656604483</v>
      </c>
      <c r="Q145" s="237">
        <f>_xlfn.XLOOKUP(Q$134, 'Real Estate'!$D$25:$BA$25, 'Real Estate'!$D36:$BA36)+_xlfn.XLOOKUP(Q$134, 'GEN-CCGT'!$D$32:$BA$32, 'GEN-CCGT'!$D43:$BA43)+_xlfn.XLOOKUP(Q$134, 'GEN-SOLAR'!$D$32:$BA$32, 'GEN-SOLAR'!$D43:$BA43)+_xlfn.XLOOKUP(Q$134, 'GEN-BESS'!$D$32:$BA$32, 'GEN-BESS'!$D43:$BA43)+_xlfn.XLOOKUP(Q$134, 'GEN-CARBON'!$D$32:$BA$32, 'GEN-CARBON'!$D43:$BA43)+_xlfn.XLOOKUP(Q$134, Load!$D$32:$BA$32, Load!$D43:$BA43)+_xlfn.XLOOKUP(Q$134, Hydrogen!$D$32:$BA$32, Hydrogen!$D43:$BA43)+_xlfn.XLOOKUP(Q$134, 'SENS Tires'!$D$32:$BA$32, 'SENS Tires'!$D43:$BA43)+_xlfn.XLOOKUP(Q$134, 'SENS Coal'!$D$32:$BA$32, 'SENS Coal'!$D43:$BA43)</f>
        <v>10223.938162243794</v>
      </c>
      <c r="R145" s="237">
        <f>_xlfn.XLOOKUP(R$134, 'Real Estate'!$D$25:$BA$25, 'Real Estate'!$D36:$BA36)+_xlfn.XLOOKUP(R$134, 'GEN-CCGT'!$D$32:$BA$32, 'GEN-CCGT'!$D43:$BA43)+_xlfn.XLOOKUP(R$134, 'GEN-SOLAR'!$D$32:$BA$32, 'GEN-SOLAR'!$D43:$BA43)+_xlfn.XLOOKUP(R$134, 'GEN-BESS'!$D$32:$BA$32, 'GEN-BESS'!$D43:$BA43)+_xlfn.XLOOKUP(R$134, 'GEN-CARBON'!$D$32:$BA$32, 'GEN-CARBON'!$D43:$BA43)+_xlfn.XLOOKUP(R$134, Load!$D$32:$BA$32, Load!$D43:$BA43)+_xlfn.XLOOKUP(R$134, Hydrogen!$D$32:$BA$32, Hydrogen!$D43:$BA43)+_xlfn.XLOOKUP(R$134, 'SENS Tires'!$D$32:$BA$32, 'SENS Tires'!$D43:$BA43)+_xlfn.XLOOKUP(R$134, 'SENS Coal'!$D$32:$BA$32, 'SENS Coal'!$D43:$BA43)</f>
        <v>10429.294739705054</v>
      </c>
      <c r="S145" s="237">
        <f>_xlfn.XLOOKUP(S$134, 'Real Estate'!$D$25:$BA$25, 'Real Estate'!$D36:$BA36)+_xlfn.XLOOKUP(S$134, 'GEN-CCGT'!$D$32:$BA$32, 'GEN-CCGT'!$D43:$BA43)+_xlfn.XLOOKUP(S$134, 'GEN-SOLAR'!$D$32:$BA$32, 'GEN-SOLAR'!$D43:$BA43)+_xlfn.XLOOKUP(S$134, 'GEN-BESS'!$D$32:$BA$32, 'GEN-BESS'!$D43:$BA43)+_xlfn.XLOOKUP(S$134, 'GEN-CARBON'!$D$32:$BA$32, 'GEN-CARBON'!$D43:$BA43)+_xlfn.XLOOKUP(S$134, Load!$D$32:$BA$32, Load!$D43:$BA43)+_xlfn.XLOOKUP(S$134, Hydrogen!$D$32:$BA$32, Hydrogen!$D43:$BA43)+_xlfn.XLOOKUP(S$134, 'SENS Tires'!$D$32:$BA$32, 'SENS Tires'!$D43:$BA43)+_xlfn.XLOOKUP(S$134, 'SENS Coal'!$D$32:$BA$32, 'SENS Coal'!$D43:$BA43)</f>
        <v>10638.809353778566</v>
      </c>
      <c r="T145" s="237">
        <f>_xlfn.XLOOKUP(T$134, 'Real Estate'!$D$25:$BA$25, 'Real Estate'!$D36:$BA36)+_xlfn.XLOOKUP(T$134, 'GEN-CCGT'!$D$32:$BA$32, 'GEN-CCGT'!$D43:$BA43)+_xlfn.XLOOKUP(T$134, 'GEN-SOLAR'!$D$32:$BA$32, 'GEN-SOLAR'!$D43:$BA43)+_xlfn.XLOOKUP(T$134, 'GEN-BESS'!$D$32:$BA$32, 'GEN-BESS'!$D43:$BA43)+_xlfn.XLOOKUP(T$134, 'GEN-CARBON'!$D$32:$BA$32, 'GEN-CARBON'!$D43:$BA43)+_xlfn.XLOOKUP(T$134, Load!$D$32:$BA$32, Load!$D43:$BA43)+_xlfn.XLOOKUP(T$134, Hydrogen!$D$32:$BA$32, Hydrogen!$D43:$BA43)+_xlfn.XLOOKUP(T$134, 'SENS Tires'!$D$32:$BA$32, 'SENS Tires'!$D43:$BA43)+_xlfn.XLOOKUP(T$134, 'SENS Coal'!$D$32:$BA$32, 'SENS Coal'!$D43:$BA43)</f>
        <v>10852.566768690151</v>
      </c>
      <c r="U145" s="237">
        <f>_xlfn.XLOOKUP(U$134, 'Real Estate'!$D$25:$BA$25, 'Real Estate'!$D36:$BA36)+_xlfn.XLOOKUP(U$134, 'GEN-CCGT'!$D$32:$BA$32, 'GEN-CCGT'!$D43:$BA43)+_xlfn.XLOOKUP(U$134, 'GEN-SOLAR'!$D$32:$BA$32, 'GEN-SOLAR'!$D43:$BA43)+_xlfn.XLOOKUP(U$134, 'GEN-BESS'!$D$32:$BA$32, 'GEN-BESS'!$D43:$BA43)+_xlfn.XLOOKUP(U$134, 'GEN-CARBON'!$D$32:$BA$32, 'GEN-CARBON'!$D43:$BA43)+_xlfn.XLOOKUP(U$134, Load!$D$32:$BA$32, Load!$D43:$BA43)+_xlfn.XLOOKUP(U$134, Hydrogen!$D$32:$BA$32, Hydrogen!$D43:$BA43)+_xlfn.XLOOKUP(U$134, 'SENS Tires'!$D$32:$BA$32, 'SENS Tires'!$D43:$BA43)+_xlfn.XLOOKUP(U$134, 'SENS Coal'!$D$32:$BA$32, 'SENS Coal'!$D43:$BA43)</f>
        <v>11070.653493169937</v>
      </c>
      <c r="V145" s="237">
        <f>_xlfn.XLOOKUP(V$134, 'Real Estate'!$D$25:$BA$25, 'Real Estate'!$D36:$BA36)+_xlfn.XLOOKUP(V$134, 'GEN-CCGT'!$D$32:$BA$32, 'GEN-CCGT'!$D43:$BA43)+_xlfn.XLOOKUP(V$134, 'GEN-SOLAR'!$D$32:$BA$32, 'GEN-SOLAR'!$D43:$BA43)+_xlfn.XLOOKUP(V$134, 'GEN-BESS'!$D$32:$BA$32, 'GEN-BESS'!$D43:$BA43)+_xlfn.XLOOKUP(V$134, 'GEN-CARBON'!$D$32:$BA$32, 'GEN-CARBON'!$D43:$BA43)+_xlfn.XLOOKUP(V$134, Load!$D$32:$BA$32, Load!$D43:$BA43)+_xlfn.XLOOKUP(V$134, Hydrogen!$D$32:$BA$32, Hydrogen!$D43:$BA43)+_xlfn.XLOOKUP(V$134, 'SENS Tires'!$D$32:$BA$32, 'SENS Tires'!$D43:$BA43)+_xlfn.XLOOKUP(V$134, 'SENS Coal'!$D$32:$BA$32, 'SENS Coal'!$D43:$BA43)</f>
        <v>11293.157816837296</v>
      </c>
      <c r="W145" s="237">
        <f>_xlfn.XLOOKUP(W$134, 'Real Estate'!$D$25:$BA$25, 'Real Estate'!$D36:$BA36)+_xlfn.XLOOKUP(W$134, 'GEN-CCGT'!$D$32:$BA$32, 'GEN-CCGT'!$D43:$BA43)+_xlfn.XLOOKUP(W$134, 'GEN-SOLAR'!$D$32:$BA$32, 'GEN-SOLAR'!$D43:$BA43)+_xlfn.XLOOKUP(W$134, 'GEN-BESS'!$D$32:$BA$32, 'GEN-BESS'!$D43:$BA43)+_xlfn.XLOOKUP(W$134, 'GEN-CARBON'!$D$32:$BA$32, 'GEN-CARBON'!$D43:$BA43)+_xlfn.XLOOKUP(W$134, Load!$D$32:$BA$32, Load!$D43:$BA43)+_xlfn.XLOOKUP(W$134, Hydrogen!$D$32:$BA$32, Hydrogen!$D43:$BA43)+_xlfn.XLOOKUP(W$134, 'SENS Tires'!$D$32:$BA$32, 'SENS Tires'!$D43:$BA43)+_xlfn.XLOOKUP(W$134, 'SENS Coal'!$D$32:$BA$32, 'SENS Coal'!$D43:$BA43)</f>
        <v>11520.169847358517</v>
      </c>
      <c r="X145" s="237">
        <f>_xlfn.XLOOKUP(X$134, 'Real Estate'!$D$25:$BA$25, 'Real Estate'!$D36:$BA36)+_xlfn.XLOOKUP(X$134, 'GEN-CCGT'!$D$32:$BA$32, 'GEN-CCGT'!$D43:$BA43)+_xlfn.XLOOKUP(X$134, 'GEN-SOLAR'!$D$32:$BA$32, 'GEN-SOLAR'!$D43:$BA43)+_xlfn.XLOOKUP(X$134, 'GEN-BESS'!$D$32:$BA$32, 'GEN-BESS'!$D43:$BA43)+_xlfn.XLOOKUP(X$134, 'GEN-CARBON'!$D$32:$BA$32, 'GEN-CARBON'!$D43:$BA43)+_xlfn.XLOOKUP(X$134, Load!$D$32:$BA$32, Load!$D43:$BA43)+_xlfn.XLOOKUP(X$134, Hydrogen!$D$32:$BA$32, Hydrogen!$D43:$BA43)+_xlfn.XLOOKUP(X$134, 'SENS Tires'!$D$32:$BA$32, 'SENS Tires'!$D43:$BA43)+_xlfn.XLOOKUP(X$134, 'SENS Coal'!$D$32:$BA$32, 'SENS Coal'!$D43:$BA43)</f>
        <v>11751.781548394203</v>
      </c>
      <c r="Y145" s="237">
        <f>_xlfn.XLOOKUP(Y$134, 'Real Estate'!$D$25:$BA$25, 'Real Estate'!$D36:$BA36)+_xlfn.XLOOKUP(Y$134, 'GEN-CCGT'!$D$32:$BA$32, 'GEN-CCGT'!$D43:$BA43)+_xlfn.XLOOKUP(Y$134, 'GEN-SOLAR'!$D$32:$BA$32, 'GEN-SOLAR'!$D43:$BA43)+_xlfn.XLOOKUP(Y$134, 'GEN-BESS'!$D$32:$BA$32, 'GEN-BESS'!$D43:$BA43)+_xlfn.XLOOKUP(Y$134, 'GEN-CARBON'!$D$32:$BA$32, 'GEN-CARBON'!$D43:$BA43)+_xlfn.XLOOKUP(Y$134, Load!$D$32:$BA$32, Load!$D43:$BA43)+_xlfn.XLOOKUP(Y$134, Hydrogen!$D$32:$BA$32, Hydrogen!$D43:$BA43)+_xlfn.XLOOKUP(Y$134, 'SENS Tires'!$D$32:$BA$32, 'SENS Tires'!$D43:$BA43)+_xlfn.XLOOKUP(Y$134, 'SENS Coal'!$D$32:$BA$32, 'SENS Coal'!$D43:$BA43)</f>
        <v>11988.086778353478</v>
      </c>
      <c r="Z145" s="237">
        <f>_xlfn.XLOOKUP(Z$134, 'Real Estate'!$D$25:$BA$25, 'Real Estate'!$D36:$BA36)+_xlfn.XLOOKUP(Z$134, 'GEN-CCGT'!$D$32:$BA$32, 'GEN-CCGT'!$D43:$BA43)+_xlfn.XLOOKUP(Z$134, 'GEN-SOLAR'!$D$32:$BA$32, 'GEN-SOLAR'!$D43:$BA43)+_xlfn.XLOOKUP(Z$134, 'GEN-BESS'!$D$32:$BA$32, 'GEN-BESS'!$D43:$BA43)+_xlfn.XLOOKUP(Z$134, 'GEN-CARBON'!$D$32:$BA$32, 'GEN-CARBON'!$D43:$BA43)+_xlfn.XLOOKUP(Z$134, Load!$D$32:$BA$32, Load!$D43:$BA43)+_xlfn.XLOOKUP(Z$134, Hydrogen!$D$32:$BA$32, Hydrogen!$D43:$BA43)+_xlfn.XLOOKUP(Z$134, 'SENS Tires'!$D$32:$BA$32, 'SENS Tires'!$D43:$BA43)+_xlfn.XLOOKUP(Z$134, 'SENS Coal'!$D$32:$BA$32, 'SENS Coal'!$D43:$BA43)</f>
        <v>12229.181329972651</v>
      </c>
      <c r="AA145" s="237">
        <f>_xlfn.XLOOKUP(AA$134, 'Real Estate'!$D$25:$BA$25, 'Real Estate'!$D36:$BA36)+_xlfn.XLOOKUP(AA$134, 'GEN-CCGT'!$D$32:$BA$32, 'GEN-CCGT'!$D43:$BA43)+_xlfn.XLOOKUP(AA$134, 'GEN-SOLAR'!$D$32:$BA$32, 'GEN-SOLAR'!$D43:$BA43)+_xlfn.XLOOKUP(AA$134, 'GEN-BESS'!$D$32:$BA$32, 'GEN-BESS'!$D43:$BA43)+_xlfn.XLOOKUP(AA$134, 'GEN-CARBON'!$D$32:$BA$32, 'GEN-CARBON'!$D43:$BA43)+_xlfn.XLOOKUP(AA$134, Load!$D$32:$BA$32, Load!$D43:$BA43)+_xlfn.XLOOKUP(AA$134, Hydrogen!$D$32:$BA$32, Hydrogen!$D43:$BA43)+_xlfn.XLOOKUP(AA$134, 'SENS Tires'!$D$32:$BA$32, 'SENS Tires'!$D43:$BA43)+_xlfn.XLOOKUP(AA$134, 'SENS Coal'!$D$32:$BA$32, 'SENS Coal'!$D43:$BA43)</f>
        <v>12475.162970736234</v>
      </c>
      <c r="AB145" s="237">
        <f>_xlfn.XLOOKUP(AB$134, 'Real Estate'!$D$25:$BA$25, 'Real Estate'!$D36:$BA36)+_xlfn.XLOOKUP(AB$134, 'GEN-CCGT'!$D$32:$BA$32, 'GEN-CCGT'!$D43:$BA43)+_xlfn.XLOOKUP(AB$134, 'GEN-SOLAR'!$D$32:$BA$32, 'GEN-SOLAR'!$D43:$BA43)+_xlfn.XLOOKUP(AB$134, 'GEN-BESS'!$D$32:$BA$32, 'GEN-BESS'!$D43:$BA43)+_xlfn.XLOOKUP(AB$134, 'GEN-CARBON'!$D$32:$BA$32, 'GEN-CARBON'!$D43:$BA43)+_xlfn.XLOOKUP(AB$134, Load!$D$32:$BA$32, Load!$D43:$BA43)+_xlfn.XLOOKUP(AB$134, Hydrogen!$D$32:$BA$32, Hydrogen!$D43:$BA43)+_xlfn.XLOOKUP(AB$134, 'SENS Tires'!$D$32:$BA$32, 'SENS Tires'!$D43:$BA43)+_xlfn.XLOOKUP(AB$134, 'SENS Coal'!$D$32:$BA$32, 'SENS Coal'!$D43:$BA43)</f>
        <v>12726.131484158796</v>
      </c>
      <c r="AC145" s="237">
        <f>_xlfn.XLOOKUP(AC$134, 'Real Estate'!$D$25:$BA$25, 'Real Estate'!$D36:$BA36)+_xlfn.XLOOKUP(AC$134, 'GEN-CCGT'!$D$32:$BA$32, 'GEN-CCGT'!$D43:$BA43)+_xlfn.XLOOKUP(AC$134, 'GEN-SOLAR'!$D$32:$BA$32, 'GEN-SOLAR'!$D43:$BA43)+_xlfn.XLOOKUP(AC$134, 'GEN-BESS'!$D$32:$BA$32, 'GEN-BESS'!$D43:$BA43)+_xlfn.XLOOKUP(AC$134, 'GEN-CARBON'!$D$32:$BA$32, 'GEN-CARBON'!$D43:$BA43)+_xlfn.XLOOKUP(AC$134, Load!$D$32:$BA$32, Load!$D43:$BA43)+_xlfn.XLOOKUP(AC$134, Hydrogen!$D$32:$BA$32, Hydrogen!$D43:$BA43)+_xlfn.XLOOKUP(AC$134, 'SENS Tires'!$D$32:$BA$32, 'SENS Tires'!$D43:$BA43)+_xlfn.XLOOKUP(AC$134, 'SENS Coal'!$D$32:$BA$32, 'SENS Coal'!$D43:$BA43)</f>
        <v>12982.188711946326</v>
      </c>
      <c r="AD145" s="237">
        <f>_xlfn.XLOOKUP(AD$134, 'Real Estate'!$D$25:$BA$25, 'Real Estate'!$D36:$BA36)+_xlfn.XLOOKUP(AD$134, 'GEN-CCGT'!$D$32:$BA$32, 'GEN-CCGT'!$D43:$BA43)+_xlfn.XLOOKUP(AD$134, 'GEN-SOLAR'!$D$32:$BA$32, 'GEN-SOLAR'!$D43:$BA43)+_xlfn.XLOOKUP(AD$134, 'GEN-BESS'!$D$32:$BA$32, 'GEN-BESS'!$D43:$BA43)+_xlfn.XLOOKUP(AD$134, 'GEN-CARBON'!$D$32:$BA$32, 'GEN-CARBON'!$D43:$BA43)+_xlfn.XLOOKUP(AD$134, Load!$D$32:$BA$32, Load!$D43:$BA43)+_xlfn.XLOOKUP(AD$134, Hydrogen!$D$32:$BA$32, Hydrogen!$D43:$BA43)+_xlfn.XLOOKUP(AD$134, 'SENS Tires'!$D$32:$BA$32, 'SENS Tires'!$D43:$BA43)+_xlfn.XLOOKUP(AD$134, 'SENS Coal'!$D$32:$BA$32, 'SENS Coal'!$D43:$BA43)</f>
        <v>13243.438597056425</v>
      </c>
      <c r="AE145" s="237">
        <f>_xlfn.XLOOKUP(AE$134, 'Real Estate'!$D$25:$BA$25, 'Real Estate'!$D36:$BA36)+_xlfn.XLOOKUP(AE$134, 'GEN-CCGT'!$D$32:$BA$32, 'GEN-CCGT'!$D43:$BA43)+_xlfn.XLOOKUP(AE$134, 'GEN-SOLAR'!$D$32:$BA$32, 'GEN-SOLAR'!$D43:$BA43)+_xlfn.XLOOKUP(AE$134, 'GEN-BESS'!$D$32:$BA$32, 'GEN-BESS'!$D43:$BA43)+_xlfn.XLOOKUP(AE$134, 'GEN-CARBON'!$D$32:$BA$32, 'GEN-CARBON'!$D43:$BA43)+_xlfn.XLOOKUP(AE$134, Load!$D$32:$BA$32, Load!$D43:$BA43)+_xlfn.XLOOKUP(AE$134, Hydrogen!$D$32:$BA$32, Hydrogen!$D43:$BA43)+_xlfn.XLOOKUP(AE$134, 'SENS Tires'!$D$32:$BA$32, 'SENS Tires'!$D43:$BA43)+_xlfn.XLOOKUP(AE$134, 'SENS Coal'!$D$32:$BA$32, 'SENS Coal'!$D43:$BA43)</f>
        <v>13537.862227676911</v>
      </c>
      <c r="AF145" s="237">
        <f>_xlfn.XLOOKUP(AF$134, 'Real Estate'!$D$25:$BA$25, 'Real Estate'!$D36:$BA36)+_xlfn.XLOOKUP(AF$134, 'GEN-CCGT'!$D$32:$BA$32, 'GEN-CCGT'!$D43:$BA43)+_xlfn.XLOOKUP(AF$134, 'GEN-SOLAR'!$D$32:$BA$32, 'GEN-SOLAR'!$D43:$BA43)+_xlfn.XLOOKUP(AF$134, 'GEN-BESS'!$D$32:$BA$32, 'GEN-BESS'!$D43:$BA43)+_xlfn.XLOOKUP(AF$134, 'GEN-CARBON'!$D$32:$BA$32, 'GEN-CARBON'!$D43:$BA43)+_xlfn.XLOOKUP(AF$134, Load!$D$32:$BA$32, Load!$D43:$BA43)+_xlfn.XLOOKUP(AF$134, Hydrogen!$D$32:$BA$32, Hydrogen!$D43:$BA43)+_xlfn.XLOOKUP(AF$134, 'SENS Tires'!$D$32:$BA$32, 'SENS Tires'!$D43:$BA43)+_xlfn.XLOOKUP(AF$134, 'SENS Coal'!$D$32:$BA$32, 'SENS Coal'!$D43:$BA43)</f>
        <v>13263.294097958154</v>
      </c>
      <c r="AG145" s="237">
        <f>_xlfn.XLOOKUP(AG$134, 'Real Estate'!$D$25:$BA$25, 'Real Estate'!$D36:$BA36)+_xlfn.XLOOKUP(AG$134, 'GEN-CCGT'!$D$32:$BA$32, 'GEN-CCGT'!$D43:$BA43)+_xlfn.XLOOKUP(AG$134, 'GEN-SOLAR'!$D$32:$BA$32, 'GEN-SOLAR'!$D43:$BA43)+_xlfn.XLOOKUP(AG$134, 'GEN-BESS'!$D$32:$BA$32, 'GEN-BESS'!$D43:$BA43)+_xlfn.XLOOKUP(AG$134, 'GEN-CARBON'!$D$32:$BA$32, 'GEN-CARBON'!$D43:$BA43)+_xlfn.XLOOKUP(AG$134, Load!$D$32:$BA$32, Load!$D43:$BA43)+_xlfn.XLOOKUP(AG$134, Hydrogen!$D$32:$BA$32, Hydrogen!$D43:$BA43)+_xlfn.XLOOKUP(AG$134, 'SENS Tires'!$D$32:$BA$32, 'SENS Tires'!$D43:$BA43)+_xlfn.XLOOKUP(AG$134, 'SENS Coal'!$D$32:$BA$32, 'SENS Coal'!$D43:$BA43)</f>
        <v>13535.372369249173</v>
      </c>
      <c r="AH145" s="237">
        <f>_xlfn.XLOOKUP(AH$134, 'Real Estate'!$D$25:$BA$25, 'Real Estate'!$D36:$BA36)+_xlfn.XLOOKUP(AH$134, 'GEN-CCGT'!$D$32:$BA$32, 'GEN-CCGT'!$D43:$BA43)+_xlfn.XLOOKUP(AH$134, 'GEN-SOLAR'!$D$32:$BA$32, 'GEN-SOLAR'!$D43:$BA43)+_xlfn.XLOOKUP(AH$134, 'GEN-BESS'!$D$32:$BA$32, 'GEN-BESS'!$D43:$BA43)+_xlfn.XLOOKUP(AH$134, 'GEN-CARBON'!$D$32:$BA$32, 'GEN-CARBON'!$D43:$BA43)+_xlfn.XLOOKUP(AH$134, Load!$D$32:$BA$32, Load!$D43:$BA43)+_xlfn.XLOOKUP(AH$134, Hydrogen!$D$32:$BA$32, Hydrogen!$D43:$BA43)+_xlfn.XLOOKUP(AH$134, 'SENS Tires'!$D$32:$BA$32, 'SENS Tires'!$D43:$BA43)+_xlfn.XLOOKUP(AH$134, 'SENS Coal'!$D$32:$BA$32, 'SENS Coal'!$D43:$BA43)</f>
        <v>13777.402802805476</v>
      </c>
      <c r="AI145" s="237">
        <f>_xlfn.XLOOKUP(AI$134, 'Real Estate'!$D$25:$BA$25, 'Real Estate'!$D36:$BA36)+_xlfn.XLOOKUP(AI$134, 'GEN-CCGT'!$D$32:$BA$32, 'GEN-CCGT'!$D43:$BA43)+_xlfn.XLOOKUP(AI$134, 'GEN-SOLAR'!$D$32:$BA$32, 'GEN-SOLAR'!$D43:$BA43)+_xlfn.XLOOKUP(AI$134, 'GEN-BESS'!$D$32:$BA$32, 'GEN-BESS'!$D43:$BA43)+_xlfn.XLOOKUP(AI$134, 'GEN-CARBON'!$D$32:$BA$32, 'GEN-CARBON'!$D43:$BA43)+_xlfn.XLOOKUP(AI$134, Load!$D$32:$BA$32, Load!$D43:$BA43)+_xlfn.XLOOKUP(AI$134, Hydrogen!$D$32:$BA$32, Hydrogen!$D43:$BA43)+_xlfn.XLOOKUP(AI$134, 'SENS Tires'!$D$32:$BA$32, 'SENS Tires'!$D43:$BA43)+_xlfn.XLOOKUP(AI$134, 'SENS Coal'!$D$32:$BA$32, 'SENS Coal'!$D43:$BA43)</f>
        <v>13960.249250044348</v>
      </c>
      <c r="AJ145" s="237">
        <f>_xlfn.XLOOKUP(AJ$134, 'Real Estate'!$D$25:$BA$25, 'Real Estate'!$D36:$BA36)+_xlfn.XLOOKUP(AJ$134, 'GEN-CCGT'!$D$32:$BA$32, 'GEN-CCGT'!$D43:$BA43)+_xlfn.XLOOKUP(AJ$134, 'GEN-SOLAR'!$D$32:$BA$32, 'GEN-SOLAR'!$D43:$BA43)+_xlfn.XLOOKUP(AJ$134, 'GEN-BESS'!$D$32:$BA$32, 'GEN-BESS'!$D43:$BA43)+_xlfn.XLOOKUP(AJ$134, 'GEN-CARBON'!$D$32:$BA$32, 'GEN-CARBON'!$D43:$BA43)+_xlfn.XLOOKUP(AJ$134, Load!$D$32:$BA$32, Load!$D43:$BA43)+_xlfn.XLOOKUP(AJ$134, Hydrogen!$D$32:$BA$32, Hydrogen!$D43:$BA43)+_xlfn.XLOOKUP(AJ$134, 'SENS Tires'!$D$32:$BA$32, 'SENS Tires'!$D43:$BA43)+_xlfn.XLOOKUP(AJ$134, 'SENS Coal'!$D$32:$BA$32, 'SENS Coal'!$D43:$BA43)</f>
        <v>14241.641729181283</v>
      </c>
      <c r="AK145" s="237">
        <f>_xlfn.XLOOKUP(AK$134, 'Real Estate'!$D$25:$BA$25, 'Real Estate'!$D36:$BA36)+_xlfn.XLOOKUP(AK$134, 'GEN-CCGT'!$D$32:$BA$32, 'GEN-CCGT'!$D43:$BA43)+_xlfn.XLOOKUP(AK$134, 'GEN-SOLAR'!$D$32:$BA$32, 'GEN-SOLAR'!$D43:$BA43)+_xlfn.XLOOKUP(AK$134, 'GEN-BESS'!$D$32:$BA$32, 'GEN-BESS'!$D43:$BA43)+_xlfn.XLOOKUP(AK$134, 'GEN-CARBON'!$D$32:$BA$32, 'GEN-CARBON'!$D43:$BA43)+_xlfn.XLOOKUP(AK$134, Load!$D$32:$BA$32, Load!$D43:$BA43)+_xlfn.XLOOKUP(AK$134, Hydrogen!$D$32:$BA$32, Hydrogen!$D43:$BA43)+_xlfn.XLOOKUP(AK$134, 'SENS Tires'!$D$32:$BA$32, 'SENS Tires'!$D43:$BA43)+_xlfn.XLOOKUP(AK$134, 'SENS Coal'!$D$32:$BA$32, 'SENS Coal'!$D43:$BA43)</f>
        <v>14528.727682725037</v>
      </c>
      <c r="AL145" s="237">
        <f>_xlfn.XLOOKUP(AL$134, 'Real Estate'!$D$25:$BA$25, 'Real Estate'!$D36:$BA36)+_xlfn.XLOOKUP(AL$134, 'GEN-CCGT'!$D$32:$BA$32, 'GEN-CCGT'!$D43:$BA43)+_xlfn.XLOOKUP(AL$134, 'GEN-SOLAR'!$D$32:$BA$32, 'GEN-SOLAR'!$D43:$BA43)+_xlfn.XLOOKUP(AL$134, 'GEN-BESS'!$D$32:$BA$32, 'GEN-BESS'!$D43:$BA43)+_xlfn.XLOOKUP(AL$134, 'GEN-CARBON'!$D$32:$BA$32, 'GEN-CARBON'!$D43:$BA43)+_xlfn.XLOOKUP(AL$134, Load!$D$32:$BA$32, Load!$D43:$BA43)+_xlfn.XLOOKUP(AL$134, Hydrogen!$D$32:$BA$32, Hydrogen!$D43:$BA43)+_xlfn.XLOOKUP(AL$134, 'SENS Tires'!$D$32:$BA$32, 'SENS Tires'!$D43:$BA43)+_xlfn.XLOOKUP(AL$134, 'SENS Coal'!$D$32:$BA$32, 'SENS Coal'!$D43:$BA43)</f>
        <v>14821.622948908476</v>
      </c>
      <c r="AM145" s="237">
        <f>_xlfn.XLOOKUP(AM$134, 'Real Estate'!$D$25:$BA$25, 'Real Estate'!$D36:$BA36)+_xlfn.XLOOKUP(AM$134, 'GEN-CCGT'!$D$32:$BA$32, 'GEN-CCGT'!$D43:$BA43)+_xlfn.XLOOKUP(AM$134, 'GEN-SOLAR'!$D$32:$BA$32, 'GEN-SOLAR'!$D43:$BA43)+_xlfn.XLOOKUP(AM$134, 'GEN-BESS'!$D$32:$BA$32, 'GEN-BESS'!$D43:$BA43)+_xlfn.XLOOKUP(AM$134, 'GEN-CARBON'!$D$32:$BA$32, 'GEN-CARBON'!$D43:$BA43)+_xlfn.XLOOKUP(AM$134, Load!$D$32:$BA$32, Load!$D43:$BA43)+_xlfn.XLOOKUP(AM$134, Hydrogen!$D$32:$BA$32, Hydrogen!$D43:$BA43)+_xlfn.XLOOKUP(AM$134, 'SENS Tires'!$D$32:$BA$32, 'SENS Tires'!$D43:$BA43)+_xlfn.XLOOKUP(AM$134, 'SENS Coal'!$D$32:$BA$32, 'SENS Coal'!$D43:$BA43)</f>
        <v>15120.445741791449</v>
      </c>
      <c r="AN145" s="237">
        <f>_xlfn.XLOOKUP(AN$134, 'Real Estate'!$D$25:$BA$25, 'Real Estate'!$D36:$BA36)+_xlfn.XLOOKUP(AN$134, 'GEN-CCGT'!$D$32:$BA$32, 'GEN-CCGT'!$D43:$BA43)+_xlfn.XLOOKUP(AN$134, 'GEN-SOLAR'!$D$32:$BA$32, 'GEN-SOLAR'!$D43:$BA43)+_xlfn.XLOOKUP(AN$134, 'GEN-BESS'!$D$32:$BA$32, 'GEN-BESS'!$D43:$BA43)+_xlfn.XLOOKUP(AN$134, 'GEN-CARBON'!$D$32:$BA$32, 'GEN-CARBON'!$D43:$BA43)+_xlfn.XLOOKUP(AN$134, Load!$D$32:$BA$32, Load!$D43:$BA43)+_xlfn.XLOOKUP(AN$134, Hydrogen!$D$32:$BA$32, Hydrogen!$D43:$BA43)+_xlfn.XLOOKUP(AN$134, 'SENS Tires'!$D$32:$BA$32, 'SENS Tires'!$D43:$BA43)+_xlfn.XLOOKUP(AN$134, 'SENS Coal'!$D$32:$BA$32, 'SENS Coal'!$D43:$BA43)</f>
        <v>15425.316700549221</v>
      </c>
      <c r="AO145" s="237">
        <f>_xlfn.XLOOKUP(AO$134, 'Real Estate'!$D$25:$BA$25, 'Real Estate'!$D36:$BA36)+_xlfn.XLOOKUP(AO$134, 'GEN-CCGT'!$D$32:$BA$32, 'GEN-CCGT'!$D43:$BA43)+_xlfn.XLOOKUP(AO$134, 'GEN-SOLAR'!$D$32:$BA$32, 'GEN-SOLAR'!$D43:$BA43)+_xlfn.XLOOKUP(AO$134, 'GEN-BESS'!$D$32:$BA$32, 'GEN-BESS'!$D43:$BA43)+_xlfn.XLOOKUP(AO$134, 'GEN-CARBON'!$D$32:$BA$32, 'GEN-CARBON'!$D43:$BA43)+_xlfn.XLOOKUP(AO$134, Load!$D$32:$BA$32, Load!$D43:$BA43)+_xlfn.XLOOKUP(AO$134, Hydrogen!$D$32:$BA$32, Hydrogen!$D43:$BA43)+_xlfn.XLOOKUP(AO$134, 'SENS Tires'!$D$32:$BA$32, 'SENS Tires'!$D43:$BA43)+_xlfn.XLOOKUP(AO$134, 'SENS Coal'!$D$32:$BA$32, 'SENS Coal'!$D43:$BA43)</f>
        <v>15736.358939799808</v>
      </c>
      <c r="AP145" s="237">
        <f>_xlfn.XLOOKUP(AP$134, 'Real Estate'!$D$25:$BA$25, 'Real Estate'!$D36:$BA36)+_xlfn.XLOOKUP(AP$134, 'GEN-CCGT'!$D$32:$BA$32, 'GEN-CCGT'!$D43:$BA43)+_xlfn.XLOOKUP(AP$134, 'GEN-SOLAR'!$D$32:$BA$32, 'GEN-SOLAR'!$D43:$BA43)+_xlfn.XLOOKUP(AP$134, 'GEN-BESS'!$D$32:$BA$32, 'GEN-BESS'!$D43:$BA43)+_xlfn.XLOOKUP(AP$134, 'GEN-CARBON'!$D$32:$BA$32, 'GEN-CARBON'!$D43:$BA43)+_xlfn.XLOOKUP(AP$134, Load!$D$32:$BA$32, Load!$D43:$BA43)+_xlfn.XLOOKUP(AP$134, Hydrogen!$D$32:$BA$32, Hydrogen!$D43:$BA43)+_xlfn.XLOOKUP(AP$134, 'SENS Tires'!$D$32:$BA$32, 'SENS Tires'!$D43:$BA43)+_xlfn.XLOOKUP(AP$134, 'SENS Coal'!$D$32:$BA$32, 'SENS Coal'!$D43:$BA43)</f>
        <v>16053.698100992597</v>
      </c>
      <c r="AQ145" s="237">
        <f>_xlfn.XLOOKUP(AQ$134, 'Real Estate'!$D$25:$BA$25, 'Real Estate'!$D36:$BA36)+_xlfn.XLOOKUP(AQ$134, 'GEN-CCGT'!$D$32:$BA$32, 'GEN-CCGT'!$D43:$BA43)+_xlfn.XLOOKUP(AQ$134, 'GEN-SOLAR'!$D$32:$BA$32, 'GEN-SOLAR'!$D43:$BA43)+_xlfn.XLOOKUP(AQ$134, 'GEN-BESS'!$D$32:$BA$32, 'GEN-BESS'!$D43:$BA43)+_xlfn.XLOOKUP(AQ$134, 'GEN-CARBON'!$D$32:$BA$32, 'GEN-CARBON'!$D43:$BA43)+_xlfn.XLOOKUP(AQ$134, Load!$D$32:$BA$32, Load!$D43:$BA43)+_xlfn.XLOOKUP(AQ$134, Hydrogen!$D$32:$BA$32, Hydrogen!$D43:$BA43)+_xlfn.XLOOKUP(AQ$134, 'SENS Tires'!$D$32:$BA$32, 'SENS Tires'!$D43:$BA43)+_xlfn.XLOOKUP(AQ$134, 'SENS Coal'!$D$32:$BA$32, 'SENS Coal'!$D43:$BA43)</f>
        <v>16377.462404881146</v>
      </c>
      <c r="AR145" s="237">
        <f>_xlfn.XLOOKUP(AR$134, 'Real Estate'!$D$25:$BA$25, 'Real Estate'!$D36:$BA36)+_xlfn.XLOOKUP(AR$134, 'GEN-CCGT'!$D$32:$BA$32, 'GEN-CCGT'!$D43:$BA43)+_xlfn.XLOOKUP(AR$134, 'GEN-SOLAR'!$D$32:$BA$32, 'GEN-SOLAR'!$D43:$BA43)+_xlfn.XLOOKUP(AR$134, 'GEN-BESS'!$D$32:$BA$32, 'GEN-BESS'!$D43:$BA43)+_xlfn.XLOOKUP(AR$134, 'GEN-CARBON'!$D$32:$BA$32, 'GEN-CARBON'!$D43:$BA43)+_xlfn.XLOOKUP(AR$134, Load!$D$32:$BA$32, Load!$D43:$BA43)+_xlfn.XLOOKUP(AR$134, Hydrogen!$D$32:$BA$32, Hydrogen!$D43:$BA43)+_xlfn.XLOOKUP(AR$134, 'SENS Tires'!$D$32:$BA$32, 'SENS Tires'!$D43:$BA43)+_xlfn.XLOOKUP(AR$134, 'SENS Coal'!$D$32:$BA$32, 'SENS Coal'!$D43:$BA43)</f>
        <v>16970.100360382836</v>
      </c>
      <c r="AS145" s="237">
        <f>_xlfn.XLOOKUP(AS$134, 'Real Estate'!$D$25:$BA$25, 'Real Estate'!$D36:$BA36)+_xlfn.XLOOKUP(AS$134, 'GEN-CCGT'!$D$32:$BA$32, 'GEN-CCGT'!$D43:$BA43)+_xlfn.XLOOKUP(AS$134, 'GEN-SOLAR'!$D$32:$BA$32, 'GEN-SOLAR'!$D43:$BA43)+_xlfn.XLOOKUP(AS$134, 'GEN-BESS'!$D$32:$BA$32, 'GEN-BESS'!$D43:$BA43)+_xlfn.XLOOKUP(AS$134, 'GEN-CARBON'!$D$32:$BA$32, 'GEN-CARBON'!$D43:$BA43)+_xlfn.XLOOKUP(AS$134, Load!$D$32:$BA$32, Load!$D43:$BA43)+_xlfn.XLOOKUP(AS$134, Hydrogen!$D$32:$BA$32, Hydrogen!$D43:$BA43)+_xlfn.XLOOKUP(AS$134, 'SENS Tires'!$D$32:$BA$32, 'SENS Tires'!$D43:$BA43)+_xlfn.XLOOKUP(AS$134, 'SENS Coal'!$D$32:$BA$32, 'SENS Coal'!$D43:$BA43)</f>
        <v>17044.792542894091</v>
      </c>
      <c r="AT145" s="237">
        <f>_xlfn.XLOOKUP(AT$134, 'Real Estate'!$D$25:$BA$25, 'Real Estate'!$D36:$BA36)+_xlfn.XLOOKUP(AT$134, 'GEN-CCGT'!$D$32:$BA$32, 'GEN-CCGT'!$D43:$BA43)+_xlfn.XLOOKUP(AT$134, 'GEN-SOLAR'!$D$32:$BA$32, 'GEN-SOLAR'!$D43:$BA43)+_xlfn.XLOOKUP(AT$134, 'GEN-BESS'!$D$32:$BA$32, 'GEN-BESS'!$D43:$BA43)+_xlfn.XLOOKUP(AT$134, 'GEN-CARBON'!$D$32:$BA$32, 'GEN-CARBON'!$D43:$BA43)+_xlfn.XLOOKUP(AT$134, Load!$D$32:$BA$32, Load!$D43:$BA43)+_xlfn.XLOOKUP(AT$134, Hydrogen!$D$32:$BA$32, Hydrogen!$D43:$BA43)+_xlfn.XLOOKUP(AT$134, 'SENS Tires'!$D$32:$BA$32, 'SENS Tires'!$D43:$BA43)+_xlfn.XLOOKUP(AT$134, 'SENS Coal'!$D$32:$BA$32, 'SENS Coal'!$D43:$BA43)</f>
        <v>17388.628202951135</v>
      </c>
      <c r="AU145" s="237">
        <f>_xlfn.XLOOKUP(AU$134, 'Real Estate'!$D$25:$BA$25, 'Real Estate'!$D36:$BA36)+_xlfn.XLOOKUP(AU$134, 'GEN-CCGT'!$D$32:$BA$32, 'GEN-CCGT'!$D43:$BA43)+_xlfn.XLOOKUP(AU$134, 'GEN-SOLAR'!$D$32:$BA$32, 'GEN-SOLAR'!$D43:$BA43)+_xlfn.XLOOKUP(AU$134, 'GEN-BESS'!$D$32:$BA$32, 'GEN-BESS'!$D43:$BA43)+_xlfn.XLOOKUP(AU$134, 'GEN-CARBON'!$D$32:$BA$32, 'GEN-CARBON'!$D43:$BA43)+_xlfn.XLOOKUP(AU$134, Load!$D$32:$BA$32, Load!$D43:$BA43)+_xlfn.XLOOKUP(AU$134, Hydrogen!$D$32:$BA$32, Hydrogen!$D43:$BA43)+_xlfn.XLOOKUP(AU$134, 'SENS Tires'!$D$32:$BA$32, 'SENS Tires'!$D43:$BA43)+_xlfn.XLOOKUP(AU$134, 'SENS Coal'!$D$32:$BA$32, 'SENS Coal'!$D43:$BA43)</f>
        <v>17739.428770485283</v>
      </c>
      <c r="AV145" s="237">
        <f>_xlfn.XLOOKUP(AV$134, 'Real Estate'!$D$25:$BA$25, 'Real Estate'!$D36:$BA36)+_xlfn.XLOOKUP(AV$134, 'GEN-CCGT'!$D$32:$BA$32, 'GEN-CCGT'!$D43:$BA43)+_xlfn.XLOOKUP(AV$134, 'GEN-SOLAR'!$D$32:$BA$32, 'GEN-SOLAR'!$D43:$BA43)+_xlfn.XLOOKUP(AV$134, 'GEN-BESS'!$D$32:$BA$32, 'GEN-BESS'!$D43:$BA43)+_xlfn.XLOOKUP(AV$134, 'GEN-CARBON'!$D$32:$BA$32, 'GEN-CARBON'!$D43:$BA43)+_xlfn.XLOOKUP(AV$134, Load!$D$32:$BA$32, Load!$D43:$BA43)+_xlfn.XLOOKUP(AV$134, Hydrogen!$D$32:$BA$32, Hydrogen!$D43:$BA43)+_xlfn.XLOOKUP(AV$134, 'SENS Tires'!$D$32:$BA$32, 'SENS Tires'!$D43:$BA43)+_xlfn.XLOOKUP(AV$134, 'SENS Coal'!$D$32:$BA$32, 'SENS Coal'!$D43:$BA43)</f>
        <v>18097.336189474376</v>
      </c>
      <c r="AW145" s="237">
        <f>_xlfn.XLOOKUP(AW$134, 'Real Estate'!$D$25:$BA$25, 'Real Estate'!$D36:$BA36)+_xlfn.XLOOKUP(AW$134, 'GEN-CCGT'!$D$32:$BA$32, 'GEN-CCGT'!$D43:$BA43)+_xlfn.XLOOKUP(AW$134, 'GEN-SOLAR'!$D$32:$BA$32, 'GEN-SOLAR'!$D43:$BA43)+_xlfn.XLOOKUP(AW$134, 'GEN-BESS'!$D$32:$BA$32, 'GEN-BESS'!$D43:$BA43)+_xlfn.XLOOKUP(AW$134, 'GEN-CARBON'!$D$32:$BA$32, 'GEN-CARBON'!$D43:$BA43)+_xlfn.XLOOKUP(AW$134, Load!$D$32:$BA$32, Load!$D43:$BA43)+_xlfn.XLOOKUP(AW$134, Hydrogen!$D$32:$BA$32, Hydrogen!$D43:$BA43)+_xlfn.XLOOKUP(AW$134, 'SENS Tires'!$D$32:$BA$32, 'SENS Tires'!$D43:$BA43)+_xlfn.XLOOKUP(AW$134, 'SENS Coal'!$D$32:$BA$32, 'SENS Coal'!$D43:$BA43)</f>
        <v>18462.495322150622</v>
      </c>
      <c r="AX145" s="237">
        <f>_xlfn.XLOOKUP(AX$134, 'Real Estate'!$D$25:$BA$25, 'Real Estate'!$D36:$BA36)+_xlfn.XLOOKUP(AX$134, 'GEN-CCGT'!$D$32:$BA$32, 'GEN-CCGT'!$D43:$BA43)+_xlfn.XLOOKUP(AX$134, 'GEN-SOLAR'!$D$32:$BA$32, 'GEN-SOLAR'!$D43:$BA43)+_xlfn.XLOOKUP(AX$134, 'GEN-BESS'!$D$32:$BA$32, 'GEN-BESS'!$D43:$BA43)+_xlfn.XLOOKUP(AX$134, 'GEN-CARBON'!$D$32:$BA$32, 'GEN-CARBON'!$D43:$BA43)+_xlfn.XLOOKUP(AX$134, Load!$D$32:$BA$32, Load!$D43:$BA43)+_xlfn.XLOOKUP(AX$134, Hydrogen!$D$32:$BA$32, Hydrogen!$D43:$BA43)+_xlfn.XLOOKUP(AX$134, 'SENS Tires'!$D$32:$BA$32, 'SENS Tires'!$D43:$BA43)+_xlfn.XLOOKUP(AX$134, 'SENS Coal'!$D$32:$BA$32, 'SENS Coal'!$D43:$BA43)</f>
        <v>18835.054009747011</v>
      </c>
    </row>
    <row r="146" spans="1:50" s="76" customFormat="1" ht="14.25" customHeight="1" thickBot="1">
      <c r="A146" s="48"/>
      <c r="B146" s="251"/>
      <c r="C146" s="217" t="s">
        <v>412</v>
      </c>
      <c r="D146" s="250"/>
      <c r="E146" s="238" t="e">
        <f>_xlfn.XLOOKUP(E$134, 'Real Estate'!$D$25:$BA$25, 'Real Estate'!$D37:$BA37)+_xlfn.XLOOKUP(E$134, 'GEN-CCGT'!$D$32:$BA$32, 'GEN-CCGT'!$D44:$BA44)+_xlfn.XLOOKUP(E$134, 'GEN-SOLAR'!$D$32:$BA$32, 'GEN-SOLAR'!$D44:$BA44)+_xlfn.XLOOKUP(E$134, 'GEN-BESS'!$D$32:$BA$32, 'GEN-BESS'!$D44:$BA44)+_xlfn.XLOOKUP(E$134, 'GEN-CARBON'!$D$32:$BA$32, 'GEN-CARBON'!$D44:$BA44)+_xlfn.XLOOKUP(E$134, Load!$D$32:$BA$32, Load!$D44:$BA44)+_xlfn.XLOOKUP(E$134, Hydrogen!$D$32:$BA$32, Hydrogen!$D44:$BA44)+_xlfn.XLOOKUP(E$134, 'SENS Tires'!$D$32:$BA$32, 'SENS Tires'!$D44:$BA44)+_xlfn.XLOOKUP(E$134, 'SENS Coal'!$D$32:$BA$32, 'SENS Coal'!$D44:$BA44)</f>
        <v>#N/A</v>
      </c>
      <c r="F146" s="238" t="e">
        <f>_xlfn.XLOOKUP(F$134, 'Real Estate'!$D$25:$BA$25, 'Real Estate'!$D37:$BA37)+_xlfn.XLOOKUP(F$134, 'GEN-CCGT'!$D$32:$BA$32, 'GEN-CCGT'!$D44:$BA44)+_xlfn.XLOOKUP(F$134, 'GEN-SOLAR'!$D$32:$BA$32, 'GEN-SOLAR'!$D44:$BA44)+_xlfn.XLOOKUP(F$134, 'GEN-BESS'!$D$32:$BA$32, 'GEN-BESS'!$D44:$BA44)+_xlfn.XLOOKUP(F$134, 'GEN-CARBON'!$D$32:$BA$32, 'GEN-CARBON'!$D44:$BA44)+_xlfn.XLOOKUP(F$134, Load!$D$32:$BA$32, Load!$D44:$BA44)+_xlfn.XLOOKUP(F$134, Hydrogen!$D$32:$BA$32, Hydrogen!$D44:$BA44)+_xlfn.XLOOKUP(F$134, 'SENS Tires'!$D$32:$BA$32, 'SENS Tires'!$D44:$BA44)+_xlfn.XLOOKUP(F$134, 'SENS Coal'!$D$32:$BA$32, 'SENS Coal'!$D44:$BA44)</f>
        <v>#N/A</v>
      </c>
      <c r="G146" s="238" t="e">
        <f>_xlfn.XLOOKUP(G$134, 'Real Estate'!$D$25:$BA$25, 'Real Estate'!$D37:$BA37)+_xlfn.XLOOKUP(G$134, 'GEN-CCGT'!$D$32:$BA$32, 'GEN-CCGT'!$D44:$BA44)+_xlfn.XLOOKUP(G$134, 'GEN-SOLAR'!$D$32:$BA$32, 'GEN-SOLAR'!$D44:$BA44)+_xlfn.XLOOKUP(G$134, 'GEN-BESS'!$D$32:$BA$32, 'GEN-BESS'!$D44:$BA44)+_xlfn.XLOOKUP(G$134, 'GEN-CARBON'!$D$32:$BA$32, 'GEN-CARBON'!$D44:$BA44)+_xlfn.XLOOKUP(G$134, Load!$D$32:$BA$32, Load!$D44:$BA44)+_xlfn.XLOOKUP(G$134, Hydrogen!$D$32:$BA$32, Hydrogen!$D44:$BA44)+_xlfn.XLOOKUP(G$134, 'SENS Tires'!$D$32:$BA$32, 'SENS Tires'!$D44:$BA44)+_xlfn.XLOOKUP(G$134, 'SENS Coal'!$D$32:$BA$32, 'SENS Coal'!$D44:$BA44)</f>
        <v>#N/A</v>
      </c>
      <c r="H146" s="238" t="e">
        <f>_xlfn.XLOOKUP(H$134, 'Real Estate'!$D$25:$BA$25, 'Real Estate'!$D37:$BA37)+_xlfn.XLOOKUP(H$134, 'GEN-CCGT'!$D$32:$BA$32, 'GEN-CCGT'!$D44:$BA44)+_xlfn.XLOOKUP(H$134, 'GEN-SOLAR'!$D$32:$BA$32, 'GEN-SOLAR'!$D44:$BA44)+_xlfn.XLOOKUP(H$134, 'GEN-BESS'!$D$32:$BA$32, 'GEN-BESS'!$D44:$BA44)+_xlfn.XLOOKUP(H$134, 'GEN-CARBON'!$D$32:$BA$32, 'GEN-CARBON'!$D44:$BA44)+_xlfn.XLOOKUP(H$134, Load!$D$32:$BA$32, Load!$D44:$BA44)+_xlfn.XLOOKUP(H$134, Hydrogen!$D$32:$BA$32, Hydrogen!$D44:$BA44)+_xlfn.XLOOKUP(H$134, 'SENS Tires'!$D$32:$BA$32, 'SENS Tires'!$D44:$BA44)+_xlfn.XLOOKUP(H$134, 'SENS Coal'!$D$32:$BA$32, 'SENS Coal'!$D44:$BA44)</f>
        <v>#N/A</v>
      </c>
      <c r="I146" s="238" t="e">
        <f>_xlfn.XLOOKUP(I$134, 'Real Estate'!$D$25:$BA$25, 'Real Estate'!$D37:$BA37)+_xlfn.XLOOKUP(I$134, 'GEN-CCGT'!$D$32:$BA$32, 'GEN-CCGT'!$D44:$BA44)+_xlfn.XLOOKUP(I$134, 'GEN-SOLAR'!$D$32:$BA$32, 'GEN-SOLAR'!$D44:$BA44)+_xlfn.XLOOKUP(I$134, 'GEN-BESS'!$D$32:$BA$32, 'GEN-BESS'!$D44:$BA44)+_xlfn.XLOOKUP(I$134, 'GEN-CARBON'!$D$32:$BA$32, 'GEN-CARBON'!$D44:$BA44)+_xlfn.XLOOKUP(I$134, Load!$D$32:$BA$32, Load!$D44:$BA44)+_xlfn.XLOOKUP(I$134, Hydrogen!$D$32:$BA$32, Hydrogen!$D44:$BA44)+_xlfn.XLOOKUP(I$134, 'SENS Tires'!$D$32:$BA$32, 'SENS Tires'!$D44:$BA44)+_xlfn.XLOOKUP(I$134, 'SENS Coal'!$D$32:$BA$32, 'SENS Coal'!$D44:$BA44)</f>
        <v>#N/A</v>
      </c>
      <c r="J146" s="238" t="e">
        <f>_xlfn.XLOOKUP(J$134, 'Real Estate'!$D$25:$BA$25, 'Real Estate'!$D37:$BA37)+_xlfn.XLOOKUP(J$134, 'GEN-CCGT'!$D$32:$BA$32, 'GEN-CCGT'!$D44:$BA44)+_xlfn.XLOOKUP(J$134, 'GEN-SOLAR'!$D$32:$BA$32, 'GEN-SOLAR'!$D44:$BA44)+_xlfn.XLOOKUP(J$134, 'GEN-BESS'!$D$32:$BA$32, 'GEN-BESS'!$D44:$BA44)+_xlfn.XLOOKUP(J$134, 'GEN-CARBON'!$D$32:$BA$32, 'GEN-CARBON'!$D44:$BA44)+_xlfn.XLOOKUP(J$134, Load!$D$32:$BA$32, Load!$D44:$BA44)+_xlfn.XLOOKUP(J$134, Hydrogen!$D$32:$BA$32, Hydrogen!$D44:$BA44)+_xlfn.XLOOKUP(J$134, 'SENS Tires'!$D$32:$BA$32, 'SENS Tires'!$D44:$BA44)+_xlfn.XLOOKUP(J$134, 'SENS Coal'!$D$32:$BA$32, 'SENS Coal'!$D44:$BA44)</f>
        <v>#N/A</v>
      </c>
      <c r="K146" s="238" t="e">
        <f>_xlfn.XLOOKUP(K$134, 'Real Estate'!$D$25:$BA$25, 'Real Estate'!$D37:$BA37)+_xlfn.XLOOKUP(K$134, 'GEN-CCGT'!$D$32:$BA$32, 'GEN-CCGT'!$D44:$BA44)+_xlfn.XLOOKUP(K$134, 'GEN-SOLAR'!$D$32:$BA$32, 'GEN-SOLAR'!$D44:$BA44)+_xlfn.XLOOKUP(K$134, 'GEN-BESS'!$D$32:$BA$32, 'GEN-BESS'!$D44:$BA44)+_xlfn.XLOOKUP(K$134, 'GEN-CARBON'!$D$32:$BA$32, 'GEN-CARBON'!$D44:$BA44)+_xlfn.XLOOKUP(K$134, Load!$D$32:$BA$32, Load!$D44:$BA44)+_xlfn.XLOOKUP(K$134, Hydrogen!$D$32:$BA$32, Hydrogen!$D44:$BA44)+_xlfn.XLOOKUP(K$134, 'SENS Tires'!$D$32:$BA$32, 'SENS Tires'!$D44:$BA44)+_xlfn.XLOOKUP(K$134, 'SENS Coal'!$D$32:$BA$32, 'SENS Coal'!$D44:$BA44)</f>
        <v>#N/A</v>
      </c>
      <c r="L146" s="238" t="e">
        <f>_xlfn.XLOOKUP(L$134, 'Real Estate'!$D$25:$BA$25, 'Real Estate'!$D37:$BA37)+_xlfn.XLOOKUP(L$134, 'GEN-CCGT'!$D$32:$BA$32, 'GEN-CCGT'!$D44:$BA44)+_xlfn.XLOOKUP(L$134, 'GEN-SOLAR'!$D$32:$BA$32, 'GEN-SOLAR'!$D44:$BA44)+_xlfn.XLOOKUP(L$134, 'GEN-BESS'!$D$32:$BA$32, 'GEN-BESS'!$D44:$BA44)+_xlfn.XLOOKUP(L$134, 'GEN-CARBON'!$D$32:$BA$32, 'GEN-CARBON'!$D44:$BA44)+_xlfn.XLOOKUP(L$134, Load!$D$32:$BA$32, Load!$D44:$BA44)+_xlfn.XLOOKUP(L$134, Hydrogen!$D$32:$BA$32, Hydrogen!$D44:$BA44)+_xlfn.XLOOKUP(L$134, 'SENS Tires'!$D$32:$BA$32, 'SENS Tires'!$D44:$BA44)+_xlfn.XLOOKUP(L$134, 'SENS Coal'!$D$32:$BA$32, 'SENS Coal'!$D44:$BA44)</f>
        <v>#N/A</v>
      </c>
      <c r="M146" s="238" t="e">
        <f>_xlfn.XLOOKUP(M$134, 'Real Estate'!$D$25:$BA$25, 'Real Estate'!$D37:$BA37)+_xlfn.XLOOKUP(M$134, 'GEN-CCGT'!$D$32:$BA$32, 'GEN-CCGT'!$D44:$BA44)+_xlfn.XLOOKUP(M$134, 'GEN-SOLAR'!$D$32:$BA$32, 'GEN-SOLAR'!$D44:$BA44)+_xlfn.XLOOKUP(M$134, 'GEN-BESS'!$D$32:$BA$32, 'GEN-BESS'!$D44:$BA44)+_xlfn.XLOOKUP(M$134, 'GEN-CARBON'!$D$32:$BA$32, 'GEN-CARBON'!$D44:$BA44)+_xlfn.XLOOKUP(M$134, Load!$D$32:$BA$32, Load!$D44:$BA44)+_xlfn.XLOOKUP(M$134, Hydrogen!$D$32:$BA$32, Hydrogen!$D44:$BA44)+_xlfn.XLOOKUP(M$134, 'SENS Tires'!$D$32:$BA$32, 'SENS Tires'!$D44:$BA44)+_xlfn.XLOOKUP(M$134, 'SENS Coal'!$D$32:$BA$32, 'SENS Coal'!$D44:$BA44)</f>
        <v>#N/A</v>
      </c>
      <c r="N146" s="238" t="e">
        <f>_xlfn.XLOOKUP(N$134, 'Real Estate'!$D$25:$BA$25, 'Real Estate'!$D37:$BA37)+_xlfn.XLOOKUP(N$134, 'GEN-CCGT'!$D$32:$BA$32, 'GEN-CCGT'!$D44:$BA44)+_xlfn.XLOOKUP(N$134, 'GEN-SOLAR'!$D$32:$BA$32, 'GEN-SOLAR'!$D44:$BA44)+_xlfn.XLOOKUP(N$134, 'GEN-BESS'!$D$32:$BA$32, 'GEN-BESS'!$D44:$BA44)+_xlfn.XLOOKUP(N$134, 'GEN-CARBON'!$D$32:$BA$32, 'GEN-CARBON'!$D44:$BA44)+_xlfn.XLOOKUP(N$134, Load!$D$32:$BA$32, Load!$D44:$BA44)+_xlfn.XLOOKUP(N$134, Hydrogen!$D$32:$BA$32, Hydrogen!$D44:$BA44)+_xlfn.XLOOKUP(N$134, 'SENS Tires'!$D$32:$BA$32, 'SENS Tires'!$D44:$BA44)+_xlfn.XLOOKUP(N$134, 'SENS Coal'!$D$32:$BA$32, 'SENS Coal'!$D44:$BA44)</f>
        <v>#N/A</v>
      </c>
      <c r="O146" s="238" t="e">
        <f>_xlfn.XLOOKUP(O$134, 'Real Estate'!$D$25:$BA$25, 'Real Estate'!$D37:$BA37)+_xlfn.XLOOKUP(O$134, 'GEN-CCGT'!$D$32:$BA$32, 'GEN-CCGT'!$D44:$BA44)+_xlfn.XLOOKUP(O$134, 'GEN-SOLAR'!$D$32:$BA$32, 'GEN-SOLAR'!$D44:$BA44)+_xlfn.XLOOKUP(O$134, 'GEN-BESS'!$D$32:$BA$32, 'GEN-BESS'!$D44:$BA44)+_xlfn.XLOOKUP(O$134, 'GEN-CARBON'!$D$32:$BA$32, 'GEN-CARBON'!$D44:$BA44)+_xlfn.XLOOKUP(O$134, Load!$D$32:$BA$32, Load!$D44:$BA44)+_xlfn.XLOOKUP(O$134, Hydrogen!$D$32:$BA$32, Hydrogen!$D44:$BA44)+_xlfn.XLOOKUP(O$134, 'SENS Tires'!$D$32:$BA$32, 'SENS Tires'!$D44:$BA44)+_xlfn.XLOOKUP(O$134, 'SENS Coal'!$D$32:$BA$32, 'SENS Coal'!$D44:$BA44)</f>
        <v>#N/A</v>
      </c>
      <c r="P146" s="238" t="e">
        <f>_xlfn.XLOOKUP(P$134, 'Real Estate'!$D$25:$BA$25, 'Real Estate'!$D37:$BA37)+_xlfn.XLOOKUP(P$134, 'GEN-CCGT'!$D$32:$BA$32, 'GEN-CCGT'!$D44:$BA44)+_xlfn.XLOOKUP(P$134, 'GEN-SOLAR'!$D$32:$BA$32, 'GEN-SOLAR'!$D44:$BA44)+_xlfn.XLOOKUP(P$134, 'GEN-BESS'!$D$32:$BA$32, 'GEN-BESS'!$D44:$BA44)+_xlfn.XLOOKUP(P$134, 'GEN-CARBON'!$D$32:$BA$32, 'GEN-CARBON'!$D44:$BA44)+_xlfn.XLOOKUP(P$134, Load!$D$32:$BA$32, Load!$D44:$BA44)+_xlfn.XLOOKUP(P$134, Hydrogen!$D$32:$BA$32, Hydrogen!$D44:$BA44)+_xlfn.XLOOKUP(P$134, 'SENS Tires'!$D$32:$BA$32, 'SENS Tires'!$D44:$BA44)+_xlfn.XLOOKUP(P$134, 'SENS Coal'!$D$32:$BA$32, 'SENS Coal'!$D44:$BA44)</f>
        <v>#N/A</v>
      </c>
      <c r="Q146" s="238" t="e">
        <f>_xlfn.XLOOKUP(Q$134, 'Real Estate'!$D$25:$BA$25, 'Real Estate'!$D37:$BA37)+_xlfn.XLOOKUP(Q$134, 'GEN-CCGT'!$D$32:$BA$32, 'GEN-CCGT'!$D44:$BA44)+_xlfn.XLOOKUP(Q$134, 'GEN-SOLAR'!$D$32:$BA$32, 'GEN-SOLAR'!$D44:$BA44)+_xlfn.XLOOKUP(Q$134, 'GEN-BESS'!$D$32:$BA$32, 'GEN-BESS'!$D44:$BA44)+_xlfn.XLOOKUP(Q$134, 'GEN-CARBON'!$D$32:$BA$32, 'GEN-CARBON'!$D44:$BA44)+_xlfn.XLOOKUP(Q$134, Load!$D$32:$BA$32, Load!$D44:$BA44)+_xlfn.XLOOKUP(Q$134, Hydrogen!$D$32:$BA$32, Hydrogen!$D44:$BA44)+_xlfn.XLOOKUP(Q$134, 'SENS Tires'!$D$32:$BA$32, 'SENS Tires'!$D44:$BA44)+_xlfn.XLOOKUP(Q$134, 'SENS Coal'!$D$32:$BA$32, 'SENS Coal'!$D44:$BA44)</f>
        <v>#N/A</v>
      </c>
      <c r="R146" s="238" t="e">
        <f>_xlfn.XLOOKUP(R$134, 'Real Estate'!$D$25:$BA$25, 'Real Estate'!$D37:$BA37)+_xlfn.XLOOKUP(R$134, 'GEN-CCGT'!$D$32:$BA$32, 'GEN-CCGT'!$D44:$BA44)+_xlfn.XLOOKUP(R$134, 'GEN-SOLAR'!$D$32:$BA$32, 'GEN-SOLAR'!$D44:$BA44)+_xlfn.XLOOKUP(R$134, 'GEN-BESS'!$D$32:$BA$32, 'GEN-BESS'!$D44:$BA44)+_xlfn.XLOOKUP(R$134, 'GEN-CARBON'!$D$32:$BA$32, 'GEN-CARBON'!$D44:$BA44)+_xlfn.XLOOKUP(R$134, Load!$D$32:$BA$32, Load!$D44:$BA44)+_xlfn.XLOOKUP(R$134, Hydrogen!$D$32:$BA$32, Hydrogen!$D44:$BA44)+_xlfn.XLOOKUP(R$134, 'SENS Tires'!$D$32:$BA$32, 'SENS Tires'!$D44:$BA44)+_xlfn.XLOOKUP(R$134, 'SENS Coal'!$D$32:$BA$32, 'SENS Coal'!$D44:$BA44)</f>
        <v>#N/A</v>
      </c>
      <c r="S146" s="238" t="e">
        <f>_xlfn.XLOOKUP(S$134, 'Real Estate'!$D$25:$BA$25, 'Real Estate'!$D37:$BA37)+_xlfn.XLOOKUP(S$134, 'GEN-CCGT'!$D$32:$BA$32, 'GEN-CCGT'!$D44:$BA44)+_xlfn.XLOOKUP(S$134, 'GEN-SOLAR'!$D$32:$BA$32, 'GEN-SOLAR'!$D44:$BA44)+_xlfn.XLOOKUP(S$134, 'GEN-BESS'!$D$32:$BA$32, 'GEN-BESS'!$D44:$BA44)+_xlfn.XLOOKUP(S$134, 'GEN-CARBON'!$D$32:$BA$32, 'GEN-CARBON'!$D44:$BA44)+_xlfn.XLOOKUP(S$134, Load!$D$32:$BA$32, Load!$D44:$BA44)+_xlfn.XLOOKUP(S$134, Hydrogen!$D$32:$BA$32, Hydrogen!$D44:$BA44)+_xlfn.XLOOKUP(S$134, 'SENS Tires'!$D$32:$BA$32, 'SENS Tires'!$D44:$BA44)+_xlfn.XLOOKUP(S$134, 'SENS Coal'!$D$32:$BA$32, 'SENS Coal'!$D44:$BA44)</f>
        <v>#N/A</v>
      </c>
      <c r="T146" s="238" t="e">
        <f>_xlfn.XLOOKUP(T$134, 'Real Estate'!$D$25:$BA$25, 'Real Estate'!$D37:$BA37)+_xlfn.XLOOKUP(T$134, 'GEN-CCGT'!$D$32:$BA$32, 'GEN-CCGT'!$D44:$BA44)+_xlfn.XLOOKUP(T$134, 'GEN-SOLAR'!$D$32:$BA$32, 'GEN-SOLAR'!$D44:$BA44)+_xlfn.XLOOKUP(T$134, 'GEN-BESS'!$D$32:$BA$32, 'GEN-BESS'!$D44:$BA44)+_xlfn.XLOOKUP(T$134, 'GEN-CARBON'!$D$32:$BA$32, 'GEN-CARBON'!$D44:$BA44)+_xlfn.XLOOKUP(T$134, Load!$D$32:$BA$32, Load!$D44:$BA44)+_xlfn.XLOOKUP(T$134, Hydrogen!$D$32:$BA$32, Hydrogen!$D44:$BA44)+_xlfn.XLOOKUP(T$134, 'SENS Tires'!$D$32:$BA$32, 'SENS Tires'!$D44:$BA44)+_xlfn.XLOOKUP(T$134, 'SENS Coal'!$D$32:$BA$32, 'SENS Coal'!$D44:$BA44)</f>
        <v>#N/A</v>
      </c>
      <c r="U146" s="238" t="e">
        <f>_xlfn.XLOOKUP(U$134, 'Real Estate'!$D$25:$BA$25, 'Real Estate'!$D37:$BA37)+_xlfn.XLOOKUP(U$134, 'GEN-CCGT'!$D$32:$BA$32, 'GEN-CCGT'!$D44:$BA44)+_xlfn.XLOOKUP(U$134, 'GEN-SOLAR'!$D$32:$BA$32, 'GEN-SOLAR'!$D44:$BA44)+_xlfn.XLOOKUP(U$134, 'GEN-BESS'!$D$32:$BA$32, 'GEN-BESS'!$D44:$BA44)+_xlfn.XLOOKUP(U$134, 'GEN-CARBON'!$D$32:$BA$32, 'GEN-CARBON'!$D44:$BA44)+_xlfn.XLOOKUP(U$134, Load!$D$32:$BA$32, Load!$D44:$BA44)+_xlfn.XLOOKUP(U$134, Hydrogen!$D$32:$BA$32, Hydrogen!$D44:$BA44)+_xlfn.XLOOKUP(U$134, 'SENS Tires'!$D$32:$BA$32, 'SENS Tires'!$D44:$BA44)+_xlfn.XLOOKUP(U$134, 'SENS Coal'!$D$32:$BA$32, 'SENS Coal'!$D44:$BA44)</f>
        <v>#N/A</v>
      </c>
      <c r="V146" s="238" t="e">
        <f>_xlfn.XLOOKUP(V$134, 'Real Estate'!$D$25:$BA$25, 'Real Estate'!$D37:$BA37)+_xlfn.XLOOKUP(V$134, 'GEN-CCGT'!$D$32:$BA$32, 'GEN-CCGT'!$D44:$BA44)+_xlfn.XLOOKUP(V$134, 'GEN-SOLAR'!$D$32:$BA$32, 'GEN-SOLAR'!$D44:$BA44)+_xlfn.XLOOKUP(V$134, 'GEN-BESS'!$D$32:$BA$32, 'GEN-BESS'!$D44:$BA44)+_xlfn.XLOOKUP(V$134, 'GEN-CARBON'!$D$32:$BA$32, 'GEN-CARBON'!$D44:$BA44)+_xlfn.XLOOKUP(V$134, Load!$D$32:$BA$32, Load!$D44:$BA44)+_xlfn.XLOOKUP(V$134, Hydrogen!$D$32:$BA$32, Hydrogen!$D44:$BA44)+_xlfn.XLOOKUP(V$134, 'SENS Tires'!$D$32:$BA$32, 'SENS Tires'!$D44:$BA44)+_xlfn.XLOOKUP(V$134, 'SENS Coal'!$D$32:$BA$32, 'SENS Coal'!$D44:$BA44)</f>
        <v>#N/A</v>
      </c>
      <c r="W146" s="238" t="e">
        <f>_xlfn.XLOOKUP(W$134, 'Real Estate'!$D$25:$BA$25, 'Real Estate'!$D37:$BA37)+_xlfn.XLOOKUP(W$134, 'GEN-CCGT'!$D$32:$BA$32, 'GEN-CCGT'!$D44:$BA44)+_xlfn.XLOOKUP(W$134, 'GEN-SOLAR'!$D$32:$BA$32, 'GEN-SOLAR'!$D44:$BA44)+_xlfn.XLOOKUP(W$134, 'GEN-BESS'!$D$32:$BA$32, 'GEN-BESS'!$D44:$BA44)+_xlfn.XLOOKUP(W$134, 'GEN-CARBON'!$D$32:$BA$32, 'GEN-CARBON'!$D44:$BA44)+_xlfn.XLOOKUP(W$134, Load!$D$32:$BA$32, Load!$D44:$BA44)+_xlfn.XLOOKUP(W$134, Hydrogen!$D$32:$BA$32, Hydrogen!$D44:$BA44)+_xlfn.XLOOKUP(W$134, 'SENS Tires'!$D$32:$BA$32, 'SENS Tires'!$D44:$BA44)+_xlfn.XLOOKUP(W$134, 'SENS Coal'!$D$32:$BA$32, 'SENS Coal'!$D44:$BA44)</f>
        <v>#N/A</v>
      </c>
      <c r="X146" s="238" t="e">
        <f>_xlfn.XLOOKUP(X$134, 'Real Estate'!$D$25:$BA$25, 'Real Estate'!$D37:$BA37)+_xlfn.XLOOKUP(X$134, 'GEN-CCGT'!$D$32:$BA$32, 'GEN-CCGT'!$D44:$BA44)+_xlfn.XLOOKUP(X$134, 'GEN-SOLAR'!$D$32:$BA$32, 'GEN-SOLAR'!$D44:$BA44)+_xlfn.XLOOKUP(X$134, 'GEN-BESS'!$D$32:$BA$32, 'GEN-BESS'!$D44:$BA44)+_xlfn.XLOOKUP(X$134, 'GEN-CARBON'!$D$32:$BA$32, 'GEN-CARBON'!$D44:$BA44)+_xlfn.XLOOKUP(X$134, Load!$D$32:$BA$32, Load!$D44:$BA44)+_xlfn.XLOOKUP(X$134, Hydrogen!$D$32:$BA$32, Hydrogen!$D44:$BA44)+_xlfn.XLOOKUP(X$134, 'SENS Tires'!$D$32:$BA$32, 'SENS Tires'!$D44:$BA44)+_xlfn.XLOOKUP(X$134, 'SENS Coal'!$D$32:$BA$32, 'SENS Coal'!$D44:$BA44)</f>
        <v>#N/A</v>
      </c>
      <c r="Y146" s="238" t="e">
        <f>_xlfn.XLOOKUP(Y$134, 'Real Estate'!$D$25:$BA$25, 'Real Estate'!$D37:$BA37)+_xlfn.XLOOKUP(Y$134, 'GEN-CCGT'!$D$32:$BA$32, 'GEN-CCGT'!$D44:$BA44)+_xlfn.XLOOKUP(Y$134, 'GEN-SOLAR'!$D$32:$BA$32, 'GEN-SOLAR'!$D44:$BA44)+_xlfn.XLOOKUP(Y$134, 'GEN-BESS'!$D$32:$BA$32, 'GEN-BESS'!$D44:$BA44)+_xlfn.XLOOKUP(Y$134, 'GEN-CARBON'!$D$32:$BA$32, 'GEN-CARBON'!$D44:$BA44)+_xlfn.XLOOKUP(Y$134, Load!$D$32:$BA$32, Load!$D44:$BA44)+_xlfn.XLOOKUP(Y$134, Hydrogen!$D$32:$BA$32, Hydrogen!$D44:$BA44)+_xlfn.XLOOKUP(Y$134, 'SENS Tires'!$D$32:$BA$32, 'SENS Tires'!$D44:$BA44)+_xlfn.XLOOKUP(Y$134, 'SENS Coal'!$D$32:$BA$32, 'SENS Coal'!$D44:$BA44)</f>
        <v>#N/A</v>
      </c>
      <c r="Z146" s="238" t="e">
        <f>_xlfn.XLOOKUP(Z$134, 'Real Estate'!$D$25:$BA$25, 'Real Estate'!$D37:$BA37)+_xlfn.XLOOKUP(Z$134, 'GEN-CCGT'!$D$32:$BA$32, 'GEN-CCGT'!$D44:$BA44)+_xlfn.XLOOKUP(Z$134, 'GEN-SOLAR'!$D$32:$BA$32, 'GEN-SOLAR'!$D44:$BA44)+_xlfn.XLOOKUP(Z$134, 'GEN-BESS'!$D$32:$BA$32, 'GEN-BESS'!$D44:$BA44)+_xlfn.XLOOKUP(Z$134, 'GEN-CARBON'!$D$32:$BA$32, 'GEN-CARBON'!$D44:$BA44)+_xlfn.XLOOKUP(Z$134, Load!$D$32:$BA$32, Load!$D44:$BA44)+_xlfn.XLOOKUP(Z$134, Hydrogen!$D$32:$BA$32, Hydrogen!$D44:$BA44)+_xlfn.XLOOKUP(Z$134, 'SENS Tires'!$D$32:$BA$32, 'SENS Tires'!$D44:$BA44)+_xlfn.XLOOKUP(Z$134, 'SENS Coal'!$D$32:$BA$32, 'SENS Coal'!$D44:$BA44)</f>
        <v>#N/A</v>
      </c>
      <c r="AA146" s="238" t="e">
        <f>_xlfn.XLOOKUP(AA$134, 'Real Estate'!$D$25:$BA$25, 'Real Estate'!$D37:$BA37)+_xlfn.XLOOKUP(AA$134, 'GEN-CCGT'!$D$32:$BA$32, 'GEN-CCGT'!$D44:$BA44)+_xlfn.XLOOKUP(AA$134, 'GEN-SOLAR'!$D$32:$BA$32, 'GEN-SOLAR'!$D44:$BA44)+_xlfn.XLOOKUP(AA$134, 'GEN-BESS'!$D$32:$BA$32, 'GEN-BESS'!$D44:$BA44)+_xlfn.XLOOKUP(AA$134, 'GEN-CARBON'!$D$32:$BA$32, 'GEN-CARBON'!$D44:$BA44)+_xlfn.XLOOKUP(AA$134, Load!$D$32:$BA$32, Load!$D44:$BA44)+_xlfn.XLOOKUP(AA$134, Hydrogen!$D$32:$BA$32, Hydrogen!$D44:$BA44)+_xlfn.XLOOKUP(AA$134, 'SENS Tires'!$D$32:$BA$32, 'SENS Tires'!$D44:$BA44)+_xlfn.XLOOKUP(AA$134, 'SENS Coal'!$D$32:$BA$32, 'SENS Coal'!$D44:$BA44)</f>
        <v>#N/A</v>
      </c>
      <c r="AB146" s="238" t="e">
        <f>_xlfn.XLOOKUP(AB$134, 'Real Estate'!$D$25:$BA$25, 'Real Estate'!$D37:$BA37)+_xlfn.XLOOKUP(AB$134, 'GEN-CCGT'!$D$32:$BA$32, 'GEN-CCGT'!$D44:$BA44)+_xlfn.XLOOKUP(AB$134, 'GEN-SOLAR'!$D$32:$BA$32, 'GEN-SOLAR'!$D44:$BA44)+_xlfn.XLOOKUP(AB$134, 'GEN-BESS'!$D$32:$BA$32, 'GEN-BESS'!$D44:$BA44)+_xlfn.XLOOKUP(AB$134, 'GEN-CARBON'!$D$32:$BA$32, 'GEN-CARBON'!$D44:$BA44)+_xlfn.XLOOKUP(AB$134, Load!$D$32:$BA$32, Load!$D44:$BA44)+_xlfn.XLOOKUP(AB$134, Hydrogen!$D$32:$BA$32, Hydrogen!$D44:$BA44)+_xlfn.XLOOKUP(AB$134, 'SENS Tires'!$D$32:$BA$32, 'SENS Tires'!$D44:$BA44)+_xlfn.XLOOKUP(AB$134, 'SENS Coal'!$D$32:$BA$32, 'SENS Coal'!$D44:$BA44)</f>
        <v>#N/A</v>
      </c>
      <c r="AC146" s="238" t="e">
        <f>_xlfn.XLOOKUP(AC$134, 'Real Estate'!$D$25:$BA$25, 'Real Estate'!$D37:$BA37)+_xlfn.XLOOKUP(AC$134, 'GEN-CCGT'!$D$32:$BA$32, 'GEN-CCGT'!$D44:$BA44)+_xlfn.XLOOKUP(AC$134, 'GEN-SOLAR'!$D$32:$BA$32, 'GEN-SOLAR'!$D44:$BA44)+_xlfn.XLOOKUP(AC$134, 'GEN-BESS'!$D$32:$BA$32, 'GEN-BESS'!$D44:$BA44)+_xlfn.XLOOKUP(AC$134, 'GEN-CARBON'!$D$32:$BA$32, 'GEN-CARBON'!$D44:$BA44)+_xlfn.XLOOKUP(AC$134, Load!$D$32:$BA$32, Load!$D44:$BA44)+_xlfn.XLOOKUP(AC$134, Hydrogen!$D$32:$BA$32, Hydrogen!$D44:$BA44)+_xlfn.XLOOKUP(AC$134, 'SENS Tires'!$D$32:$BA$32, 'SENS Tires'!$D44:$BA44)+_xlfn.XLOOKUP(AC$134, 'SENS Coal'!$D$32:$BA$32, 'SENS Coal'!$D44:$BA44)</f>
        <v>#N/A</v>
      </c>
      <c r="AD146" s="238" t="e">
        <f>_xlfn.XLOOKUP(AD$134, 'Real Estate'!$D$25:$BA$25, 'Real Estate'!$D37:$BA37)+_xlfn.XLOOKUP(AD$134, 'GEN-CCGT'!$D$32:$BA$32, 'GEN-CCGT'!$D44:$BA44)+_xlfn.XLOOKUP(AD$134, 'GEN-SOLAR'!$D$32:$BA$32, 'GEN-SOLAR'!$D44:$BA44)+_xlfn.XLOOKUP(AD$134, 'GEN-BESS'!$D$32:$BA$32, 'GEN-BESS'!$D44:$BA44)+_xlfn.XLOOKUP(AD$134, 'GEN-CARBON'!$D$32:$BA$32, 'GEN-CARBON'!$D44:$BA44)+_xlfn.XLOOKUP(AD$134, Load!$D$32:$BA$32, Load!$D44:$BA44)+_xlfn.XLOOKUP(AD$134, Hydrogen!$D$32:$BA$32, Hydrogen!$D44:$BA44)+_xlfn.XLOOKUP(AD$134, 'SENS Tires'!$D$32:$BA$32, 'SENS Tires'!$D44:$BA44)+_xlfn.XLOOKUP(AD$134, 'SENS Coal'!$D$32:$BA$32, 'SENS Coal'!$D44:$BA44)</f>
        <v>#N/A</v>
      </c>
      <c r="AE146" s="238" t="e">
        <f>_xlfn.XLOOKUP(AE$134, 'Real Estate'!$D$25:$BA$25, 'Real Estate'!$D37:$BA37)+_xlfn.XLOOKUP(AE$134, 'GEN-CCGT'!$D$32:$BA$32, 'GEN-CCGT'!$D44:$BA44)+_xlfn.XLOOKUP(AE$134, 'GEN-SOLAR'!$D$32:$BA$32, 'GEN-SOLAR'!$D44:$BA44)+_xlfn.XLOOKUP(AE$134, 'GEN-BESS'!$D$32:$BA$32, 'GEN-BESS'!$D44:$BA44)+_xlfn.XLOOKUP(AE$134, 'GEN-CARBON'!$D$32:$BA$32, 'GEN-CARBON'!$D44:$BA44)+_xlfn.XLOOKUP(AE$134, Load!$D$32:$BA$32, Load!$D44:$BA44)+_xlfn.XLOOKUP(AE$134, Hydrogen!$D$32:$BA$32, Hydrogen!$D44:$BA44)+_xlfn.XLOOKUP(AE$134, 'SENS Tires'!$D$32:$BA$32, 'SENS Tires'!$D44:$BA44)+_xlfn.XLOOKUP(AE$134, 'SENS Coal'!$D$32:$BA$32, 'SENS Coal'!$D44:$BA44)</f>
        <v>#N/A</v>
      </c>
      <c r="AF146" s="238" t="e">
        <f>_xlfn.XLOOKUP(AF$134, 'Real Estate'!$D$25:$BA$25, 'Real Estate'!$D37:$BA37)+_xlfn.XLOOKUP(AF$134, 'GEN-CCGT'!$D$32:$BA$32, 'GEN-CCGT'!$D44:$BA44)+_xlfn.XLOOKUP(AF$134, 'GEN-SOLAR'!$D$32:$BA$32, 'GEN-SOLAR'!$D44:$BA44)+_xlfn.XLOOKUP(AF$134, 'GEN-BESS'!$D$32:$BA$32, 'GEN-BESS'!$D44:$BA44)+_xlfn.XLOOKUP(AF$134, 'GEN-CARBON'!$D$32:$BA$32, 'GEN-CARBON'!$D44:$BA44)+_xlfn.XLOOKUP(AF$134, Load!$D$32:$BA$32, Load!$D44:$BA44)+_xlfn.XLOOKUP(AF$134, Hydrogen!$D$32:$BA$32, Hydrogen!$D44:$BA44)+_xlfn.XLOOKUP(AF$134, 'SENS Tires'!$D$32:$BA$32, 'SENS Tires'!$D44:$BA44)+_xlfn.XLOOKUP(AF$134, 'SENS Coal'!$D$32:$BA$32, 'SENS Coal'!$D44:$BA44)</f>
        <v>#N/A</v>
      </c>
      <c r="AG146" s="238" t="e">
        <f>_xlfn.XLOOKUP(AG$134, 'Real Estate'!$D$25:$BA$25, 'Real Estate'!$D37:$BA37)+_xlfn.XLOOKUP(AG$134, 'GEN-CCGT'!$D$32:$BA$32, 'GEN-CCGT'!$D44:$BA44)+_xlfn.XLOOKUP(AG$134, 'GEN-SOLAR'!$D$32:$BA$32, 'GEN-SOLAR'!$D44:$BA44)+_xlfn.XLOOKUP(AG$134, 'GEN-BESS'!$D$32:$BA$32, 'GEN-BESS'!$D44:$BA44)+_xlfn.XLOOKUP(AG$134, 'GEN-CARBON'!$D$32:$BA$32, 'GEN-CARBON'!$D44:$BA44)+_xlfn.XLOOKUP(AG$134, Load!$D$32:$BA$32, Load!$D44:$BA44)+_xlfn.XLOOKUP(AG$134, Hydrogen!$D$32:$BA$32, Hydrogen!$D44:$BA44)+_xlfn.XLOOKUP(AG$134, 'SENS Tires'!$D$32:$BA$32, 'SENS Tires'!$D44:$BA44)+_xlfn.XLOOKUP(AG$134, 'SENS Coal'!$D$32:$BA$32, 'SENS Coal'!$D44:$BA44)</f>
        <v>#N/A</v>
      </c>
      <c r="AH146" s="238" t="e">
        <f>_xlfn.XLOOKUP(AH$134, 'Real Estate'!$D$25:$BA$25, 'Real Estate'!$D37:$BA37)+_xlfn.XLOOKUP(AH$134, 'GEN-CCGT'!$D$32:$BA$32, 'GEN-CCGT'!$D44:$BA44)+_xlfn.XLOOKUP(AH$134, 'GEN-SOLAR'!$D$32:$BA$32, 'GEN-SOLAR'!$D44:$BA44)+_xlfn.XLOOKUP(AH$134, 'GEN-BESS'!$D$32:$BA$32, 'GEN-BESS'!$D44:$BA44)+_xlfn.XLOOKUP(AH$134, 'GEN-CARBON'!$D$32:$BA$32, 'GEN-CARBON'!$D44:$BA44)+_xlfn.XLOOKUP(AH$134, Load!$D$32:$BA$32, Load!$D44:$BA44)+_xlfn.XLOOKUP(AH$134, Hydrogen!$D$32:$BA$32, Hydrogen!$D44:$BA44)+_xlfn.XLOOKUP(AH$134, 'SENS Tires'!$D$32:$BA$32, 'SENS Tires'!$D44:$BA44)+_xlfn.XLOOKUP(AH$134, 'SENS Coal'!$D$32:$BA$32, 'SENS Coal'!$D44:$BA44)</f>
        <v>#N/A</v>
      </c>
      <c r="AI146" s="238" t="e">
        <f>_xlfn.XLOOKUP(AI$134, 'Real Estate'!$D$25:$BA$25, 'Real Estate'!$D37:$BA37)+_xlfn.XLOOKUP(AI$134, 'GEN-CCGT'!$D$32:$BA$32, 'GEN-CCGT'!$D44:$BA44)+_xlfn.XLOOKUP(AI$134, 'GEN-SOLAR'!$D$32:$BA$32, 'GEN-SOLAR'!$D44:$BA44)+_xlfn.XLOOKUP(AI$134, 'GEN-BESS'!$D$32:$BA$32, 'GEN-BESS'!$D44:$BA44)+_xlfn.XLOOKUP(AI$134, 'GEN-CARBON'!$D$32:$BA$32, 'GEN-CARBON'!$D44:$BA44)+_xlfn.XLOOKUP(AI$134, Load!$D$32:$BA$32, Load!$D44:$BA44)+_xlfn.XLOOKUP(AI$134, Hydrogen!$D$32:$BA$32, Hydrogen!$D44:$BA44)+_xlfn.XLOOKUP(AI$134, 'SENS Tires'!$D$32:$BA$32, 'SENS Tires'!$D44:$BA44)+_xlfn.XLOOKUP(AI$134, 'SENS Coal'!$D$32:$BA$32, 'SENS Coal'!$D44:$BA44)</f>
        <v>#N/A</v>
      </c>
      <c r="AJ146" s="238" t="e">
        <f>_xlfn.XLOOKUP(AJ$134, 'Real Estate'!$D$25:$BA$25, 'Real Estate'!$D37:$BA37)+_xlfn.XLOOKUP(AJ$134, 'GEN-CCGT'!$D$32:$BA$32, 'GEN-CCGT'!$D44:$BA44)+_xlfn.XLOOKUP(AJ$134, 'GEN-SOLAR'!$D$32:$BA$32, 'GEN-SOLAR'!$D44:$BA44)+_xlfn.XLOOKUP(AJ$134, 'GEN-BESS'!$D$32:$BA$32, 'GEN-BESS'!$D44:$BA44)+_xlfn.XLOOKUP(AJ$134, 'GEN-CARBON'!$D$32:$BA$32, 'GEN-CARBON'!$D44:$BA44)+_xlfn.XLOOKUP(AJ$134, Load!$D$32:$BA$32, Load!$D44:$BA44)+_xlfn.XLOOKUP(AJ$134, Hydrogen!$D$32:$BA$32, Hydrogen!$D44:$BA44)+_xlfn.XLOOKUP(AJ$134, 'SENS Tires'!$D$32:$BA$32, 'SENS Tires'!$D44:$BA44)+_xlfn.XLOOKUP(AJ$134, 'SENS Coal'!$D$32:$BA$32, 'SENS Coal'!$D44:$BA44)</f>
        <v>#N/A</v>
      </c>
      <c r="AK146" s="238" t="e">
        <f>_xlfn.XLOOKUP(AK$134, 'Real Estate'!$D$25:$BA$25, 'Real Estate'!$D37:$BA37)+_xlfn.XLOOKUP(AK$134, 'GEN-CCGT'!$D$32:$BA$32, 'GEN-CCGT'!$D44:$BA44)+_xlfn.XLOOKUP(AK$134, 'GEN-SOLAR'!$D$32:$BA$32, 'GEN-SOLAR'!$D44:$BA44)+_xlfn.XLOOKUP(AK$134, 'GEN-BESS'!$D$32:$BA$32, 'GEN-BESS'!$D44:$BA44)+_xlfn.XLOOKUP(AK$134, 'GEN-CARBON'!$D$32:$BA$32, 'GEN-CARBON'!$D44:$BA44)+_xlfn.XLOOKUP(AK$134, Load!$D$32:$BA$32, Load!$D44:$BA44)+_xlfn.XLOOKUP(AK$134, Hydrogen!$D$32:$BA$32, Hydrogen!$D44:$BA44)+_xlfn.XLOOKUP(AK$134, 'SENS Tires'!$D$32:$BA$32, 'SENS Tires'!$D44:$BA44)+_xlfn.XLOOKUP(AK$134, 'SENS Coal'!$D$32:$BA$32, 'SENS Coal'!$D44:$BA44)</f>
        <v>#N/A</v>
      </c>
      <c r="AL146" s="238" t="e">
        <f>_xlfn.XLOOKUP(AL$134, 'Real Estate'!$D$25:$BA$25, 'Real Estate'!$D37:$BA37)+_xlfn.XLOOKUP(AL$134, 'GEN-CCGT'!$D$32:$BA$32, 'GEN-CCGT'!$D44:$BA44)+_xlfn.XLOOKUP(AL$134, 'GEN-SOLAR'!$D$32:$BA$32, 'GEN-SOLAR'!$D44:$BA44)+_xlfn.XLOOKUP(AL$134, 'GEN-BESS'!$D$32:$BA$32, 'GEN-BESS'!$D44:$BA44)+_xlfn.XLOOKUP(AL$134, 'GEN-CARBON'!$D$32:$BA$32, 'GEN-CARBON'!$D44:$BA44)+_xlfn.XLOOKUP(AL$134, Load!$D$32:$BA$32, Load!$D44:$BA44)+_xlfn.XLOOKUP(AL$134, Hydrogen!$D$32:$BA$32, Hydrogen!$D44:$BA44)+_xlfn.XLOOKUP(AL$134, 'SENS Tires'!$D$32:$BA$32, 'SENS Tires'!$D44:$BA44)+_xlfn.XLOOKUP(AL$134, 'SENS Coal'!$D$32:$BA$32, 'SENS Coal'!$D44:$BA44)</f>
        <v>#N/A</v>
      </c>
      <c r="AM146" s="238" t="e">
        <f>_xlfn.XLOOKUP(AM$134, 'Real Estate'!$D$25:$BA$25, 'Real Estate'!$D37:$BA37)+_xlfn.XLOOKUP(AM$134, 'GEN-CCGT'!$D$32:$BA$32, 'GEN-CCGT'!$D44:$BA44)+_xlfn.XLOOKUP(AM$134, 'GEN-SOLAR'!$D$32:$BA$32, 'GEN-SOLAR'!$D44:$BA44)+_xlfn.XLOOKUP(AM$134, 'GEN-BESS'!$D$32:$BA$32, 'GEN-BESS'!$D44:$BA44)+_xlfn.XLOOKUP(AM$134, 'GEN-CARBON'!$D$32:$BA$32, 'GEN-CARBON'!$D44:$BA44)+_xlfn.XLOOKUP(AM$134, Load!$D$32:$BA$32, Load!$D44:$BA44)+_xlfn.XLOOKUP(AM$134, Hydrogen!$D$32:$BA$32, Hydrogen!$D44:$BA44)+_xlfn.XLOOKUP(AM$134, 'SENS Tires'!$D$32:$BA$32, 'SENS Tires'!$D44:$BA44)+_xlfn.XLOOKUP(AM$134, 'SENS Coal'!$D$32:$BA$32, 'SENS Coal'!$D44:$BA44)</f>
        <v>#N/A</v>
      </c>
      <c r="AN146" s="238" t="e">
        <f>_xlfn.XLOOKUP(AN$134, 'Real Estate'!$D$25:$BA$25, 'Real Estate'!$D37:$BA37)+_xlfn.XLOOKUP(AN$134, 'GEN-CCGT'!$D$32:$BA$32, 'GEN-CCGT'!$D44:$BA44)+_xlfn.XLOOKUP(AN$134, 'GEN-SOLAR'!$D$32:$BA$32, 'GEN-SOLAR'!$D44:$BA44)+_xlfn.XLOOKUP(AN$134, 'GEN-BESS'!$D$32:$BA$32, 'GEN-BESS'!$D44:$BA44)+_xlfn.XLOOKUP(AN$134, 'GEN-CARBON'!$D$32:$BA$32, 'GEN-CARBON'!$D44:$BA44)+_xlfn.XLOOKUP(AN$134, Load!$D$32:$BA$32, Load!$D44:$BA44)+_xlfn.XLOOKUP(AN$134, Hydrogen!$D$32:$BA$32, Hydrogen!$D44:$BA44)+_xlfn.XLOOKUP(AN$134, 'SENS Tires'!$D$32:$BA$32, 'SENS Tires'!$D44:$BA44)+_xlfn.XLOOKUP(AN$134, 'SENS Coal'!$D$32:$BA$32, 'SENS Coal'!$D44:$BA44)</f>
        <v>#N/A</v>
      </c>
      <c r="AO146" s="238" t="e">
        <f>_xlfn.XLOOKUP(AO$134, 'Real Estate'!$D$25:$BA$25, 'Real Estate'!$D37:$BA37)+_xlfn.XLOOKUP(AO$134, 'GEN-CCGT'!$D$32:$BA$32, 'GEN-CCGT'!$D44:$BA44)+_xlfn.XLOOKUP(AO$134, 'GEN-SOLAR'!$D$32:$BA$32, 'GEN-SOLAR'!$D44:$BA44)+_xlfn.XLOOKUP(AO$134, 'GEN-BESS'!$D$32:$BA$32, 'GEN-BESS'!$D44:$BA44)+_xlfn.XLOOKUP(AO$134, 'GEN-CARBON'!$D$32:$BA$32, 'GEN-CARBON'!$D44:$BA44)+_xlfn.XLOOKUP(AO$134, Load!$D$32:$BA$32, Load!$D44:$BA44)+_xlfn.XLOOKUP(AO$134, Hydrogen!$D$32:$BA$32, Hydrogen!$D44:$BA44)+_xlfn.XLOOKUP(AO$134, 'SENS Tires'!$D$32:$BA$32, 'SENS Tires'!$D44:$BA44)+_xlfn.XLOOKUP(AO$134, 'SENS Coal'!$D$32:$BA$32, 'SENS Coal'!$D44:$BA44)</f>
        <v>#N/A</v>
      </c>
      <c r="AP146" s="238" t="e">
        <f>_xlfn.XLOOKUP(AP$134, 'Real Estate'!$D$25:$BA$25, 'Real Estate'!$D37:$BA37)+_xlfn.XLOOKUP(AP$134, 'GEN-CCGT'!$D$32:$BA$32, 'GEN-CCGT'!$D44:$BA44)+_xlfn.XLOOKUP(AP$134, 'GEN-SOLAR'!$D$32:$BA$32, 'GEN-SOLAR'!$D44:$BA44)+_xlfn.XLOOKUP(AP$134, 'GEN-BESS'!$D$32:$BA$32, 'GEN-BESS'!$D44:$BA44)+_xlfn.XLOOKUP(AP$134, 'GEN-CARBON'!$D$32:$BA$32, 'GEN-CARBON'!$D44:$BA44)+_xlfn.XLOOKUP(AP$134, Load!$D$32:$BA$32, Load!$D44:$BA44)+_xlfn.XLOOKUP(AP$134, Hydrogen!$D$32:$BA$32, Hydrogen!$D44:$BA44)+_xlfn.XLOOKUP(AP$134, 'SENS Tires'!$D$32:$BA$32, 'SENS Tires'!$D44:$BA44)+_xlfn.XLOOKUP(AP$134, 'SENS Coal'!$D$32:$BA$32, 'SENS Coal'!$D44:$BA44)</f>
        <v>#N/A</v>
      </c>
      <c r="AQ146" s="238" t="e">
        <f>_xlfn.XLOOKUP(AQ$134, 'Real Estate'!$D$25:$BA$25, 'Real Estate'!$D37:$BA37)+_xlfn.XLOOKUP(AQ$134, 'GEN-CCGT'!$D$32:$BA$32, 'GEN-CCGT'!$D44:$BA44)+_xlfn.XLOOKUP(AQ$134, 'GEN-SOLAR'!$D$32:$BA$32, 'GEN-SOLAR'!$D44:$BA44)+_xlfn.XLOOKUP(AQ$134, 'GEN-BESS'!$D$32:$BA$32, 'GEN-BESS'!$D44:$BA44)+_xlfn.XLOOKUP(AQ$134, 'GEN-CARBON'!$D$32:$BA$32, 'GEN-CARBON'!$D44:$BA44)+_xlfn.XLOOKUP(AQ$134, Load!$D$32:$BA$32, Load!$D44:$BA44)+_xlfn.XLOOKUP(AQ$134, Hydrogen!$D$32:$BA$32, Hydrogen!$D44:$BA44)+_xlfn.XLOOKUP(AQ$134, 'SENS Tires'!$D$32:$BA$32, 'SENS Tires'!$D44:$BA44)+_xlfn.XLOOKUP(AQ$134, 'SENS Coal'!$D$32:$BA$32, 'SENS Coal'!$D44:$BA44)</f>
        <v>#N/A</v>
      </c>
      <c r="AR146" s="238" t="e">
        <f>_xlfn.XLOOKUP(AR$134, 'Real Estate'!$D$25:$BA$25, 'Real Estate'!$D37:$BA37)+_xlfn.XLOOKUP(AR$134, 'GEN-CCGT'!$D$32:$BA$32, 'GEN-CCGT'!$D44:$BA44)+_xlfn.XLOOKUP(AR$134, 'GEN-SOLAR'!$D$32:$BA$32, 'GEN-SOLAR'!$D44:$BA44)+_xlfn.XLOOKUP(AR$134, 'GEN-BESS'!$D$32:$BA$32, 'GEN-BESS'!$D44:$BA44)+_xlfn.XLOOKUP(AR$134, 'GEN-CARBON'!$D$32:$BA$32, 'GEN-CARBON'!$D44:$BA44)+_xlfn.XLOOKUP(AR$134, Load!$D$32:$BA$32, Load!$D44:$BA44)+_xlfn.XLOOKUP(AR$134, Hydrogen!$D$32:$BA$32, Hydrogen!$D44:$BA44)+_xlfn.XLOOKUP(AR$134, 'SENS Tires'!$D$32:$BA$32, 'SENS Tires'!$D44:$BA44)+_xlfn.XLOOKUP(AR$134, 'SENS Coal'!$D$32:$BA$32, 'SENS Coal'!$D44:$BA44)</f>
        <v>#N/A</v>
      </c>
      <c r="AS146" s="238" t="e">
        <f>_xlfn.XLOOKUP(AS$134, 'Real Estate'!$D$25:$BA$25, 'Real Estate'!$D37:$BA37)+_xlfn.XLOOKUP(AS$134, 'GEN-CCGT'!$D$32:$BA$32, 'GEN-CCGT'!$D44:$BA44)+_xlfn.XLOOKUP(AS$134, 'GEN-SOLAR'!$D$32:$BA$32, 'GEN-SOLAR'!$D44:$BA44)+_xlfn.XLOOKUP(AS$134, 'GEN-BESS'!$D$32:$BA$32, 'GEN-BESS'!$D44:$BA44)+_xlfn.XLOOKUP(AS$134, 'GEN-CARBON'!$D$32:$BA$32, 'GEN-CARBON'!$D44:$BA44)+_xlfn.XLOOKUP(AS$134, Load!$D$32:$BA$32, Load!$D44:$BA44)+_xlfn.XLOOKUP(AS$134, Hydrogen!$D$32:$BA$32, Hydrogen!$D44:$BA44)+_xlfn.XLOOKUP(AS$134, 'SENS Tires'!$D$32:$BA$32, 'SENS Tires'!$D44:$BA44)+_xlfn.XLOOKUP(AS$134, 'SENS Coal'!$D$32:$BA$32, 'SENS Coal'!$D44:$BA44)</f>
        <v>#N/A</v>
      </c>
      <c r="AT146" s="238" t="e">
        <f>_xlfn.XLOOKUP(AT$134, 'Real Estate'!$D$25:$BA$25, 'Real Estate'!$D37:$BA37)+_xlfn.XLOOKUP(AT$134, 'GEN-CCGT'!$D$32:$BA$32, 'GEN-CCGT'!$D44:$BA44)+_xlfn.XLOOKUP(AT$134, 'GEN-SOLAR'!$D$32:$BA$32, 'GEN-SOLAR'!$D44:$BA44)+_xlfn.XLOOKUP(AT$134, 'GEN-BESS'!$D$32:$BA$32, 'GEN-BESS'!$D44:$BA44)+_xlfn.XLOOKUP(AT$134, 'GEN-CARBON'!$D$32:$BA$32, 'GEN-CARBON'!$D44:$BA44)+_xlfn.XLOOKUP(AT$134, Load!$D$32:$BA$32, Load!$D44:$BA44)+_xlfn.XLOOKUP(AT$134, Hydrogen!$D$32:$BA$32, Hydrogen!$D44:$BA44)+_xlfn.XLOOKUP(AT$134, 'SENS Tires'!$D$32:$BA$32, 'SENS Tires'!$D44:$BA44)+_xlfn.XLOOKUP(AT$134, 'SENS Coal'!$D$32:$BA$32, 'SENS Coal'!$D44:$BA44)</f>
        <v>#N/A</v>
      </c>
      <c r="AU146" s="238" t="e">
        <f>_xlfn.XLOOKUP(AU$134, 'Real Estate'!$D$25:$BA$25, 'Real Estate'!$D37:$BA37)+_xlfn.XLOOKUP(AU$134, 'GEN-CCGT'!$D$32:$BA$32, 'GEN-CCGT'!$D44:$BA44)+_xlfn.XLOOKUP(AU$134, 'GEN-SOLAR'!$D$32:$BA$32, 'GEN-SOLAR'!$D44:$BA44)+_xlfn.XLOOKUP(AU$134, 'GEN-BESS'!$D$32:$BA$32, 'GEN-BESS'!$D44:$BA44)+_xlfn.XLOOKUP(AU$134, 'GEN-CARBON'!$D$32:$BA$32, 'GEN-CARBON'!$D44:$BA44)+_xlfn.XLOOKUP(AU$134, Load!$D$32:$BA$32, Load!$D44:$BA44)+_xlfn.XLOOKUP(AU$134, Hydrogen!$D$32:$BA$32, Hydrogen!$D44:$BA44)+_xlfn.XLOOKUP(AU$134, 'SENS Tires'!$D$32:$BA$32, 'SENS Tires'!$D44:$BA44)+_xlfn.XLOOKUP(AU$134, 'SENS Coal'!$D$32:$BA$32, 'SENS Coal'!$D44:$BA44)</f>
        <v>#N/A</v>
      </c>
      <c r="AV146" s="238" t="e">
        <f>_xlfn.XLOOKUP(AV$134, 'Real Estate'!$D$25:$BA$25, 'Real Estate'!$D37:$BA37)+_xlfn.XLOOKUP(AV$134, 'GEN-CCGT'!$D$32:$BA$32, 'GEN-CCGT'!$D44:$BA44)+_xlfn.XLOOKUP(AV$134, 'GEN-SOLAR'!$D$32:$BA$32, 'GEN-SOLAR'!$D44:$BA44)+_xlfn.XLOOKUP(AV$134, 'GEN-BESS'!$D$32:$BA$32, 'GEN-BESS'!$D44:$BA44)+_xlfn.XLOOKUP(AV$134, 'GEN-CARBON'!$D$32:$BA$32, 'GEN-CARBON'!$D44:$BA44)+_xlfn.XLOOKUP(AV$134, Load!$D$32:$BA$32, Load!$D44:$BA44)+_xlfn.XLOOKUP(AV$134, Hydrogen!$D$32:$BA$32, Hydrogen!$D44:$BA44)+_xlfn.XLOOKUP(AV$134, 'SENS Tires'!$D$32:$BA$32, 'SENS Tires'!$D44:$BA44)+_xlfn.XLOOKUP(AV$134, 'SENS Coal'!$D$32:$BA$32, 'SENS Coal'!$D44:$BA44)</f>
        <v>#N/A</v>
      </c>
      <c r="AW146" s="238" t="e">
        <f>_xlfn.XLOOKUP(AW$134, 'Real Estate'!$D$25:$BA$25, 'Real Estate'!$D37:$BA37)+_xlfn.XLOOKUP(AW$134, 'GEN-CCGT'!$D$32:$BA$32, 'GEN-CCGT'!$D44:$BA44)+_xlfn.XLOOKUP(AW$134, 'GEN-SOLAR'!$D$32:$BA$32, 'GEN-SOLAR'!$D44:$BA44)+_xlfn.XLOOKUP(AW$134, 'GEN-BESS'!$D$32:$BA$32, 'GEN-BESS'!$D44:$BA44)+_xlfn.XLOOKUP(AW$134, 'GEN-CARBON'!$D$32:$BA$32, 'GEN-CARBON'!$D44:$BA44)+_xlfn.XLOOKUP(AW$134, Load!$D$32:$BA$32, Load!$D44:$BA44)+_xlfn.XLOOKUP(AW$134, Hydrogen!$D$32:$BA$32, Hydrogen!$D44:$BA44)+_xlfn.XLOOKUP(AW$134, 'SENS Tires'!$D$32:$BA$32, 'SENS Tires'!$D44:$BA44)+_xlfn.XLOOKUP(AW$134, 'SENS Coal'!$D$32:$BA$32, 'SENS Coal'!$D44:$BA44)</f>
        <v>#N/A</v>
      </c>
      <c r="AX146" s="238" t="e">
        <f>_xlfn.XLOOKUP(AX$134, 'Real Estate'!$D$25:$BA$25, 'Real Estate'!$D37:$BA37)+_xlfn.XLOOKUP(AX$134, 'GEN-CCGT'!$D$32:$BA$32, 'GEN-CCGT'!$D44:$BA44)+_xlfn.XLOOKUP(AX$134, 'GEN-SOLAR'!$D$32:$BA$32, 'GEN-SOLAR'!$D44:$BA44)+_xlfn.XLOOKUP(AX$134, 'GEN-BESS'!$D$32:$BA$32, 'GEN-BESS'!$D44:$BA44)+_xlfn.XLOOKUP(AX$134, 'GEN-CARBON'!$D$32:$BA$32, 'GEN-CARBON'!$D44:$BA44)+_xlfn.XLOOKUP(AX$134, Load!$D$32:$BA$32, Load!$D44:$BA44)+_xlfn.XLOOKUP(AX$134, Hydrogen!$D$32:$BA$32, Hydrogen!$D44:$BA44)+_xlfn.XLOOKUP(AX$134, 'SENS Tires'!$D$32:$BA$32, 'SENS Tires'!$D44:$BA44)+_xlfn.XLOOKUP(AX$134, 'SENS Coal'!$D$32:$BA$32, 'SENS Coal'!$D44:$BA44)</f>
        <v>#N/A</v>
      </c>
    </row>
    <row r="147" spans="1:50" ht="14.25" customHeight="1">
      <c r="A147" s="4"/>
      <c r="B147" s="4"/>
      <c r="C147" s="4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</row>
    <row r="148" spans="1:50" ht="14.25" customHeight="1">
      <c r="A148" s="4"/>
      <c r="B148" s="4"/>
      <c r="C148" s="2" t="s">
        <v>413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</row>
    <row r="149" spans="1:50" ht="14.25" customHeight="1">
      <c r="A149" s="4"/>
      <c r="B149" s="4"/>
      <c r="C149" s="1" t="s">
        <v>414</v>
      </c>
      <c r="E149" s="15" t="e">
        <f>E138</f>
        <v>#N/A</v>
      </c>
      <c r="F149" s="15">
        <f t="shared" ref="F149:AX149" si="393">F138</f>
        <v>6770.8344548962023</v>
      </c>
      <c r="G149" s="15">
        <f t="shared" si="393"/>
        <v>8278.8126331845779</v>
      </c>
      <c r="H149" s="15">
        <f t="shared" si="393"/>
        <v>8459.1393087308334</v>
      </c>
      <c r="I149" s="15">
        <f t="shared" si="393"/>
        <v>8674.1900624442951</v>
      </c>
      <c r="J149" s="15">
        <f t="shared" si="393"/>
        <v>8857.0521726219795</v>
      </c>
      <c r="K149" s="15">
        <f t="shared" si="393"/>
        <v>9035.5366524458786</v>
      </c>
      <c r="L149" s="15">
        <f t="shared" si="393"/>
        <v>9217.6317639538138</v>
      </c>
      <c r="M149" s="15">
        <f t="shared" si="393"/>
        <v>9403.4110170643726</v>
      </c>
      <c r="N149" s="15">
        <f t="shared" si="393"/>
        <v>9592.949431808589</v>
      </c>
      <c r="O149" s="15">
        <f t="shared" si="393"/>
        <v>9786.3235697458513</v>
      </c>
      <c r="P149" s="15">
        <f t="shared" si="393"/>
        <v>9983.6115660448322</v>
      </c>
      <c r="Q149" s="15">
        <f t="shared" si="393"/>
        <v>10184.893162243794</v>
      </c>
      <c r="R149" s="15">
        <f t="shared" si="393"/>
        <v>10390.249739705056</v>
      </c>
      <c r="S149" s="15">
        <f t="shared" si="393"/>
        <v>10599.764353778566</v>
      </c>
      <c r="T149" s="15">
        <f t="shared" si="393"/>
        <v>10813.521768690149</v>
      </c>
      <c r="U149" s="15">
        <f t="shared" si="393"/>
        <v>11031.608493169937</v>
      </c>
      <c r="V149" s="15">
        <f t="shared" si="393"/>
        <v>11254.112816837298</v>
      </c>
      <c r="W149" s="15">
        <f t="shared" si="393"/>
        <v>11481.124847358518</v>
      </c>
      <c r="X149" s="15">
        <f t="shared" si="393"/>
        <v>11712.736548394199</v>
      </c>
      <c r="Y149" s="15">
        <f t="shared" si="393"/>
        <v>11949.041778353478</v>
      </c>
      <c r="Z149" s="15">
        <f t="shared" si="393"/>
        <v>12190.136329972653</v>
      </c>
      <c r="AA149" s="15">
        <f t="shared" si="393"/>
        <v>12436.117970736237</v>
      </c>
      <c r="AB149" s="15">
        <f t="shared" si="393"/>
        <v>12687.086484158795</v>
      </c>
      <c r="AC149" s="15">
        <f t="shared" si="393"/>
        <v>12943.143711946328</v>
      </c>
      <c r="AD149" s="15">
        <f t="shared" si="393"/>
        <v>13204.393597056427</v>
      </c>
      <c r="AE149" s="15">
        <f t="shared" si="393"/>
        <v>13470.942227676913</v>
      </c>
      <c r="AF149" s="15">
        <f t="shared" si="393"/>
        <v>13245.434097958154</v>
      </c>
      <c r="AG149" s="15">
        <f t="shared" si="393"/>
        <v>13512.012369249174</v>
      </c>
      <c r="AH149" s="15">
        <f t="shared" si="393"/>
        <v>13745.722802805476</v>
      </c>
      <c r="AI149" s="15">
        <f t="shared" si="393"/>
        <v>13960.249250044348</v>
      </c>
      <c r="AJ149" s="15">
        <f t="shared" si="393"/>
        <v>14241.641729181283</v>
      </c>
      <c r="AK149" s="15">
        <f t="shared" si="393"/>
        <v>14528.727682725037</v>
      </c>
      <c r="AL149" s="15">
        <f t="shared" si="393"/>
        <v>14821.622948908476</v>
      </c>
      <c r="AM149" s="15">
        <f t="shared" si="393"/>
        <v>15120.445741791449</v>
      </c>
      <c r="AN149" s="15">
        <f t="shared" si="393"/>
        <v>15425.316700549221</v>
      </c>
      <c r="AO149" s="15">
        <f t="shared" si="393"/>
        <v>15736.358939799808</v>
      </c>
      <c r="AP149" s="15">
        <f t="shared" si="393"/>
        <v>16053.698100992597</v>
      </c>
      <c r="AQ149" s="15">
        <f t="shared" si="393"/>
        <v>16377.462404881146</v>
      </c>
      <c r="AR149" s="15">
        <f t="shared" si="393"/>
        <v>16795.221923529964</v>
      </c>
      <c r="AS149" s="15">
        <f t="shared" si="393"/>
        <v>17044.792542894091</v>
      </c>
      <c r="AT149" s="15">
        <f t="shared" si="393"/>
        <v>17388.628202951135</v>
      </c>
      <c r="AU149" s="15">
        <f t="shared" si="393"/>
        <v>17739.428770485283</v>
      </c>
      <c r="AV149" s="15">
        <f t="shared" si="393"/>
        <v>18097.336189474376</v>
      </c>
      <c r="AW149" s="15">
        <f t="shared" si="393"/>
        <v>18462.495322150622</v>
      </c>
      <c r="AX149" s="15">
        <f t="shared" si="393"/>
        <v>18835.054009747011</v>
      </c>
    </row>
    <row r="150" spans="1:50" ht="14.25" customHeight="1">
      <c r="A150" s="4"/>
      <c r="B150" s="4"/>
      <c r="C150" s="1" t="s">
        <v>415</v>
      </c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</row>
    <row r="151" spans="1:50" ht="14.25" customHeight="1">
      <c r="A151" s="4"/>
      <c r="B151" s="4"/>
      <c r="C151" s="1" t="s">
        <v>416</v>
      </c>
      <c r="E151" s="15">
        <f t="shared" ref="E151:AX151" si="394">-E22</f>
        <v>12251.216248097413</v>
      </c>
      <c r="F151" s="15">
        <f t="shared" si="394"/>
        <v>215.29166666666666</v>
      </c>
      <c r="G151" s="15">
        <f t="shared" si="394"/>
        <v>126.66666666666666</v>
      </c>
      <c r="H151" s="15">
        <f t="shared" si="394"/>
        <v>93.055555555555557</v>
      </c>
      <c r="I151" s="15">
        <f t="shared" si="394"/>
        <v>7.5</v>
      </c>
      <c r="J151" s="15">
        <f t="shared" si="394"/>
        <v>0</v>
      </c>
      <c r="K151" s="15">
        <f t="shared" si="394"/>
        <v>0</v>
      </c>
      <c r="L151" s="15">
        <f t="shared" si="394"/>
        <v>0</v>
      </c>
      <c r="M151" s="15">
        <f t="shared" si="394"/>
        <v>0</v>
      </c>
      <c r="N151" s="15">
        <f t="shared" si="394"/>
        <v>0</v>
      </c>
      <c r="O151" s="15">
        <f t="shared" si="394"/>
        <v>0</v>
      </c>
      <c r="P151" s="15">
        <f t="shared" si="394"/>
        <v>0</v>
      </c>
      <c r="Q151" s="15">
        <f t="shared" si="394"/>
        <v>0</v>
      </c>
      <c r="R151" s="15">
        <f t="shared" si="394"/>
        <v>0</v>
      </c>
      <c r="S151" s="15">
        <f t="shared" si="394"/>
        <v>0</v>
      </c>
      <c r="T151" s="15">
        <f t="shared" si="394"/>
        <v>0</v>
      </c>
      <c r="U151" s="15">
        <f t="shared" si="394"/>
        <v>0</v>
      </c>
      <c r="V151" s="15">
        <f t="shared" si="394"/>
        <v>0</v>
      </c>
      <c r="W151" s="15">
        <f t="shared" si="394"/>
        <v>0</v>
      </c>
      <c r="X151" s="15">
        <f t="shared" si="394"/>
        <v>0</v>
      </c>
      <c r="Y151" s="15">
        <f t="shared" si="394"/>
        <v>0</v>
      </c>
      <c r="Z151" s="15">
        <f t="shared" si="394"/>
        <v>0</v>
      </c>
      <c r="AA151" s="15">
        <f t="shared" si="394"/>
        <v>0</v>
      </c>
      <c r="AB151" s="15">
        <f t="shared" si="394"/>
        <v>0</v>
      </c>
      <c r="AC151" s="15">
        <f t="shared" si="394"/>
        <v>0</v>
      </c>
      <c r="AD151" s="15">
        <f t="shared" si="394"/>
        <v>0</v>
      </c>
      <c r="AE151" s="15">
        <f t="shared" si="394"/>
        <v>0</v>
      </c>
      <c r="AF151" s="15">
        <f t="shared" si="394"/>
        <v>0</v>
      </c>
      <c r="AG151" s="15">
        <f t="shared" si="394"/>
        <v>0</v>
      </c>
      <c r="AH151" s="15">
        <f t="shared" si="394"/>
        <v>0</v>
      </c>
      <c r="AI151" s="15">
        <f t="shared" si="394"/>
        <v>0</v>
      </c>
      <c r="AJ151" s="15">
        <f t="shared" si="394"/>
        <v>0</v>
      </c>
      <c r="AK151" s="15">
        <f t="shared" si="394"/>
        <v>0</v>
      </c>
      <c r="AL151" s="15">
        <f t="shared" si="394"/>
        <v>0</v>
      </c>
      <c r="AM151" s="15">
        <f t="shared" si="394"/>
        <v>0</v>
      </c>
      <c r="AN151" s="15">
        <f t="shared" si="394"/>
        <v>0</v>
      </c>
      <c r="AO151" s="15">
        <f t="shared" si="394"/>
        <v>0</v>
      </c>
      <c r="AP151" s="15">
        <f t="shared" si="394"/>
        <v>0</v>
      </c>
      <c r="AQ151" s="15">
        <f t="shared" si="394"/>
        <v>0</v>
      </c>
      <c r="AR151" s="15">
        <f t="shared" si="394"/>
        <v>0</v>
      </c>
      <c r="AS151" s="15">
        <f t="shared" si="394"/>
        <v>0</v>
      </c>
      <c r="AT151" s="15">
        <f t="shared" si="394"/>
        <v>0</v>
      </c>
      <c r="AU151" s="15">
        <f t="shared" si="394"/>
        <v>0</v>
      </c>
      <c r="AV151" s="15">
        <f t="shared" si="394"/>
        <v>0</v>
      </c>
      <c r="AW151" s="15">
        <f t="shared" si="394"/>
        <v>0</v>
      </c>
      <c r="AX151" s="15">
        <f t="shared" si="394"/>
        <v>0</v>
      </c>
    </row>
    <row r="152" spans="1:50" ht="14.25" customHeight="1">
      <c r="A152" s="4"/>
      <c r="B152" s="4"/>
      <c r="C152" s="1" t="s">
        <v>417</v>
      </c>
      <c r="E152" s="324">
        <f>-E139</f>
        <v>0</v>
      </c>
      <c r="F152" s="324">
        <f t="shared" ref="F152:AX152" si="395">-F139</f>
        <v>0</v>
      </c>
      <c r="G152" s="324">
        <f t="shared" si="395"/>
        <v>-1124.9548630136987</v>
      </c>
      <c r="H152" s="324">
        <f t="shared" si="395"/>
        <v>-1124.9548630136987</v>
      </c>
      <c r="I152" s="324">
        <f t="shared" si="395"/>
        <v>-1129.1348630136986</v>
      </c>
      <c r="J152" s="324">
        <f t="shared" si="395"/>
        <v>-1142.8148630136986</v>
      </c>
      <c r="K152" s="324">
        <f t="shared" si="395"/>
        <v>-1142.8148630136986</v>
      </c>
      <c r="L152" s="324">
        <f t="shared" si="395"/>
        <v>-1142.8148630136986</v>
      </c>
      <c r="M152" s="324">
        <f t="shared" si="395"/>
        <v>-1142.8148630136986</v>
      </c>
      <c r="N152" s="324">
        <f t="shared" si="395"/>
        <v>-1142.8148630136986</v>
      </c>
      <c r="O152" s="324">
        <f t="shared" si="395"/>
        <v>-1142.8148630136986</v>
      </c>
      <c r="P152" s="324">
        <f t="shared" si="395"/>
        <v>-39.045000000000002</v>
      </c>
      <c r="Q152" s="324">
        <f t="shared" si="395"/>
        <v>-39.045000000000002</v>
      </c>
      <c r="R152" s="324">
        <f t="shared" si="395"/>
        <v>-39.045000000000002</v>
      </c>
      <c r="S152" s="324">
        <f t="shared" si="395"/>
        <v>-39.045000000000002</v>
      </c>
      <c r="T152" s="324">
        <f t="shared" si="395"/>
        <v>-39.045000000000002</v>
      </c>
      <c r="U152" s="324">
        <f t="shared" si="395"/>
        <v>-39.045000000000002</v>
      </c>
      <c r="V152" s="324">
        <f t="shared" si="395"/>
        <v>-39.045000000000002</v>
      </c>
      <c r="W152" s="324">
        <f t="shared" si="395"/>
        <v>-39.045000000000002</v>
      </c>
      <c r="X152" s="324">
        <f t="shared" si="395"/>
        <v>-39.045000000000002</v>
      </c>
      <c r="Y152" s="324">
        <f t="shared" si="395"/>
        <v>-39.045000000000002</v>
      </c>
      <c r="Z152" s="324">
        <f t="shared" si="395"/>
        <v>-39.045000000000002</v>
      </c>
      <c r="AA152" s="324">
        <f t="shared" si="395"/>
        <v>-39.045000000000002</v>
      </c>
      <c r="AB152" s="324">
        <f t="shared" si="395"/>
        <v>-39.045000000000002</v>
      </c>
      <c r="AC152" s="324">
        <f t="shared" si="395"/>
        <v>-39.045000000000002</v>
      </c>
      <c r="AD152" s="324">
        <f t="shared" si="395"/>
        <v>-39.045000000000002</v>
      </c>
      <c r="AE152" s="324">
        <f t="shared" si="395"/>
        <v>-39.045000000000002</v>
      </c>
      <c r="AF152" s="324">
        <f t="shared" si="395"/>
        <v>-17.86</v>
      </c>
      <c r="AG152" s="324">
        <f t="shared" si="395"/>
        <v>-17.86</v>
      </c>
      <c r="AH152" s="324">
        <f t="shared" si="395"/>
        <v>-13.68</v>
      </c>
      <c r="AI152" s="324">
        <f t="shared" si="395"/>
        <v>0</v>
      </c>
      <c r="AJ152" s="324">
        <f t="shared" si="395"/>
        <v>0</v>
      </c>
      <c r="AK152" s="324">
        <f t="shared" si="395"/>
        <v>0</v>
      </c>
      <c r="AL152" s="324">
        <f t="shared" si="395"/>
        <v>0</v>
      </c>
      <c r="AM152" s="324">
        <f t="shared" si="395"/>
        <v>0</v>
      </c>
      <c r="AN152" s="324">
        <f t="shared" si="395"/>
        <v>0</v>
      </c>
      <c r="AO152" s="324">
        <f t="shared" si="395"/>
        <v>0</v>
      </c>
      <c r="AP152" s="324">
        <f t="shared" si="395"/>
        <v>0</v>
      </c>
      <c r="AQ152" s="324">
        <f t="shared" si="395"/>
        <v>0</v>
      </c>
      <c r="AR152" s="324">
        <f t="shared" si="395"/>
        <v>0</v>
      </c>
      <c r="AS152" s="324">
        <f t="shared" si="395"/>
        <v>0</v>
      </c>
      <c r="AT152" s="324">
        <f t="shared" si="395"/>
        <v>0</v>
      </c>
      <c r="AU152" s="324">
        <f t="shared" si="395"/>
        <v>0</v>
      </c>
      <c r="AV152" s="324">
        <f t="shared" si="395"/>
        <v>0</v>
      </c>
      <c r="AW152" s="324">
        <f t="shared" si="395"/>
        <v>0</v>
      </c>
      <c r="AX152" s="324">
        <f t="shared" si="395"/>
        <v>0</v>
      </c>
    </row>
    <row r="153" spans="1:50" ht="14.25" customHeight="1">
      <c r="A153" s="4"/>
      <c r="B153" s="4"/>
      <c r="C153" s="1" t="s">
        <v>418</v>
      </c>
      <c r="E153" s="8">
        <f>SUM(E167,E151:E152)</f>
        <v>12251.216248097413</v>
      </c>
      <c r="F153" s="8">
        <f>SUM(E153,F151:F152)</f>
        <v>12466.507914764079</v>
      </c>
      <c r="G153" s="8">
        <f t="shared" ref="G153:AX153" si="396">SUM(F153,G151:G152)</f>
        <v>11468.219718417047</v>
      </c>
      <c r="H153" s="8">
        <f t="shared" si="396"/>
        <v>10436.320410958902</v>
      </c>
      <c r="I153" s="8">
        <f t="shared" si="396"/>
        <v>9314.6855479452042</v>
      </c>
      <c r="J153" s="8">
        <f t="shared" si="396"/>
        <v>8171.8706849315058</v>
      </c>
      <c r="K153" s="8">
        <f t="shared" si="396"/>
        <v>7029.0558219178074</v>
      </c>
      <c r="L153" s="8">
        <f t="shared" si="396"/>
        <v>5886.240958904109</v>
      </c>
      <c r="M153" s="8">
        <f t="shared" si="396"/>
        <v>4743.4260958904106</v>
      </c>
      <c r="N153" s="8">
        <f t="shared" si="396"/>
        <v>3600.6112328767122</v>
      </c>
      <c r="O153" s="8">
        <f t="shared" si="396"/>
        <v>2457.7963698630138</v>
      </c>
      <c r="P153" s="8">
        <f t="shared" si="396"/>
        <v>2418.7513698630137</v>
      </c>
      <c r="Q153" s="8">
        <f t="shared" si="396"/>
        <v>2379.7063698630136</v>
      </c>
      <c r="R153" s="8">
        <f t="shared" si="396"/>
        <v>2340.6613698630135</v>
      </c>
      <c r="S153" s="8">
        <f t="shared" si="396"/>
        <v>2301.6163698630135</v>
      </c>
      <c r="T153" s="8">
        <f t="shared" si="396"/>
        <v>2262.5713698630134</v>
      </c>
      <c r="U153" s="8">
        <f t="shared" si="396"/>
        <v>2223.5263698630133</v>
      </c>
      <c r="V153" s="8">
        <f t="shared" si="396"/>
        <v>2184.4813698630132</v>
      </c>
      <c r="W153" s="8">
        <f t="shared" si="396"/>
        <v>2145.4363698630132</v>
      </c>
      <c r="X153" s="8">
        <f t="shared" si="396"/>
        <v>2106.3913698630131</v>
      </c>
      <c r="Y153" s="8">
        <f t="shared" si="396"/>
        <v>2067.346369863013</v>
      </c>
      <c r="Z153" s="8">
        <f t="shared" si="396"/>
        <v>2028.301369863013</v>
      </c>
      <c r="AA153" s="8">
        <f t="shared" si="396"/>
        <v>1989.2563698630129</v>
      </c>
      <c r="AB153" s="8">
        <f t="shared" si="396"/>
        <v>1950.2113698630128</v>
      </c>
      <c r="AC153" s="8">
        <f t="shared" si="396"/>
        <v>1911.1663698630127</v>
      </c>
      <c r="AD153" s="8">
        <f t="shared" si="396"/>
        <v>1872.1213698630127</v>
      </c>
      <c r="AE153" s="8">
        <f t="shared" si="396"/>
        <v>1833.0763698630126</v>
      </c>
      <c r="AF153" s="8">
        <f t="shared" si="396"/>
        <v>1815.2163698630127</v>
      </c>
      <c r="AG153" s="8">
        <f t="shared" si="396"/>
        <v>1797.3563698630128</v>
      </c>
      <c r="AH153" s="8">
        <f t="shared" si="396"/>
        <v>1783.6763698630127</v>
      </c>
      <c r="AI153" s="8">
        <f t="shared" si="396"/>
        <v>1783.6763698630127</v>
      </c>
      <c r="AJ153" s="8">
        <f t="shared" si="396"/>
        <v>1783.6763698630127</v>
      </c>
      <c r="AK153" s="8">
        <f t="shared" si="396"/>
        <v>1783.6763698630127</v>
      </c>
      <c r="AL153" s="8">
        <f t="shared" si="396"/>
        <v>1783.6763698630127</v>
      </c>
      <c r="AM153" s="8">
        <f t="shared" si="396"/>
        <v>1783.6763698630127</v>
      </c>
      <c r="AN153" s="8">
        <f t="shared" si="396"/>
        <v>1783.6763698630127</v>
      </c>
      <c r="AO153" s="8">
        <f t="shared" si="396"/>
        <v>1783.6763698630127</v>
      </c>
      <c r="AP153" s="8">
        <f t="shared" si="396"/>
        <v>1783.6763698630127</v>
      </c>
      <c r="AQ153" s="8">
        <f t="shared" si="396"/>
        <v>1783.6763698630127</v>
      </c>
      <c r="AR153" s="8">
        <f t="shared" si="396"/>
        <v>1783.6763698630127</v>
      </c>
      <c r="AS153" s="8">
        <f t="shared" si="396"/>
        <v>1783.6763698630127</v>
      </c>
      <c r="AT153" s="8">
        <f t="shared" si="396"/>
        <v>1783.6763698630127</v>
      </c>
      <c r="AU153" s="8">
        <f t="shared" si="396"/>
        <v>1783.6763698630127</v>
      </c>
      <c r="AV153" s="8">
        <f t="shared" si="396"/>
        <v>1783.6763698630127</v>
      </c>
      <c r="AW153" s="8">
        <f t="shared" si="396"/>
        <v>1783.6763698630127</v>
      </c>
      <c r="AX153" s="8">
        <f t="shared" si="396"/>
        <v>1783.6763698630127</v>
      </c>
    </row>
    <row r="154" spans="1:50" ht="14.25" customHeight="1">
      <c r="A154" s="4"/>
      <c r="B154" s="4"/>
      <c r="C154" s="325" t="s">
        <v>419</v>
      </c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  <c r="AA154" s="326"/>
      <c r="AB154" s="326"/>
      <c r="AC154" s="326"/>
      <c r="AD154" s="326"/>
      <c r="AE154" s="326"/>
      <c r="AF154" s="326"/>
      <c r="AG154" s="326"/>
      <c r="AH154" s="326"/>
      <c r="AI154" s="326"/>
      <c r="AJ154" s="326"/>
      <c r="AK154" s="326"/>
      <c r="AL154" s="326"/>
      <c r="AM154" s="326"/>
      <c r="AN154" s="326"/>
      <c r="AO154" s="326"/>
      <c r="AP154" s="326"/>
      <c r="AQ154" s="326"/>
      <c r="AR154" s="326"/>
      <c r="AS154" s="326"/>
      <c r="AT154" s="326"/>
      <c r="AU154" s="326"/>
      <c r="AV154" s="326"/>
      <c r="AW154" s="326"/>
      <c r="AX154" s="326"/>
    </row>
    <row r="155" spans="1:50" ht="14.25" customHeight="1">
      <c r="A155" s="4"/>
      <c r="B155" s="4"/>
      <c r="C155" s="1" t="s">
        <v>420</v>
      </c>
      <c r="E155" s="8">
        <f>SUM(E153:E154)</f>
        <v>12251.216248097413</v>
      </c>
      <c r="F155" s="8">
        <f t="shared" ref="F155:AX155" si="397">SUM(F153:F154)</f>
        <v>12466.507914764079</v>
      </c>
      <c r="G155" s="8">
        <f t="shared" si="397"/>
        <v>11468.219718417047</v>
      </c>
      <c r="H155" s="8">
        <f t="shared" si="397"/>
        <v>10436.320410958902</v>
      </c>
      <c r="I155" s="8">
        <f t="shared" si="397"/>
        <v>9314.6855479452042</v>
      </c>
      <c r="J155" s="8">
        <f t="shared" si="397"/>
        <v>8171.8706849315058</v>
      </c>
      <c r="K155" s="8">
        <f t="shared" si="397"/>
        <v>7029.0558219178074</v>
      </c>
      <c r="L155" s="8">
        <f t="shared" si="397"/>
        <v>5886.240958904109</v>
      </c>
      <c r="M155" s="8">
        <f t="shared" si="397"/>
        <v>4743.4260958904106</v>
      </c>
      <c r="N155" s="8">
        <f t="shared" si="397"/>
        <v>3600.6112328767122</v>
      </c>
      <c r="O155" s="8">
        <f t="shared" si="397"/>
        <v>2457.7963698630138</v>
      </c>
      <c r="P155" s="8">
        <f t="shared" si="397"/>
        <v>2418.7513698630137</v>
      </c>
      <c r="Q155" s="8">
        <f t="shared" si="397"/>
        <v>2379.7063698630136</v>
      </c>
      <c r="R155" s="8">
        <f t="shared" si="397"/>
        <v>2340.6613698630135</v>
      </c>
      <c r="S155" s="8">
        <f t="shared" si="397"/>
        <v>2301.6163698630135</v>
      </c>
      <c r="T155" s="8">
        <f t="shared" si="397"/>
        <v>2262.5713698630134</v>
      </c>
      <c r="U155" s="8">
        <f t="shared" si="397"/>
        <v>2223.5263698630133</v>
      </c>
      <c r="V155" s="8">
        <f t="shared" si="397"/>
        <v>2184.4813698630132</v>
      </c>
      <c r="W155" s="8">
        <f t="shared" si="397"/>
        <v>2145.4363698630132</v>
      </c>
      <c r="X155" s="8">
        <f t="shared" si="397"/>
        <v>2106.3913698630131</v>
      </c>
      <c r="Y155" s="8">
        <f t="shared" si="397"/>
        <v>2067.346369863013</v>
      </c>
      <c r="Z155" s="8">
        <f t="shared" si="397"/>
        <v>2028.301369863013</v>
      </c>
      <c r="AA155" s="8">
        <f t="shared" si="397"/>
        <v>1989.2563698630129</v>
      </c>
      <c r="AB155" s="8">
        <f t="shared" si="397"/>
        <v>1950.2113698630128</v>
      </c>
      <c r="AC155" s="8">
        <f t="shared" si="397"/>
        <v>1911.1663698630127</v>
      </c>
      <c r="AD155" s="8">
        <f t="shared" si="397"/>
        <v>1872.1213698630127</v>
      </c>
      <c r="AE155" s="8">
        <f t="shared" si="397"/>
        <v>1833.0763698630126</v>
      </c>
      <c r="AF155" s="8">
        <f t="shared" si="397"/>
        <v>1815.2163698630127</v>
      </c>
      <c r="AG155" s="8">
        <f t="shared" si="397"/>
        <v>1797.3563698630128</v>
      </c>
      <c r="AH155" s="8">
        <f t="shared" si="397"/>
        <v>1783.6763698630127</v>
      </c>
      <c r="AI155" s="8">
        <f t="shared" si="397"/>
        <v>1783.6763698630127</v>
      </c>
      <c r="AJ155" s="8">
        <f t="shared" si="397"/>
        <v>1783.6763698630127</v>
      </c>
      <c r="AK155" s="8">
        <f t="shared" si="397"/>
        <v>1783.6763698630127</v>
      </c>
      <c r="AL155" s="8">
        <f t="shared" si="397"/>
        <v>1783.6763698630127</v>
      </c>
      <c r="AM155" s="8">
        <f t="shared" si="397"/>
        <v>1783.6763698630127</v>
      </c>
      <c r="AN155" s="8">
        <f t="shared" si="397"/>
        <v>1783.6763698630127</v>
      </c>
      <c r="AO155" s="8">
        <f t="shared" si="397"/>
        <v>1783.6763698630127</v>
      </c>
      <c r="AP155" s="8">
        <f t="shared" si="397"/>
        <v>1783.6763698630127</v>
      </c>
      <c r="AQ155" s="8">
        <f t="shared" si="397"/>
        <v>1783.6763698630127</v>
      </c>
      <c r="AR155" s="8">
        <f t="shared" si="397"/>
        <v>1783.6763698630127</v>
      </c>
      <c r="AS155" s="8">
        <f t="shared" si="397"/>
        <v>1783.6763698630127</v>
      </c>
      <c r="AT155" s="8">
        <f t="shared" si="397"/>
        <v>1783.6763698630127</v>
      </c>
      <c r="AU155" s="8">
        <f t="shared" si="397"/>
        <v>1783.6763698630127</v>
      </c>
      <c r="AV155" s="8">
        <f t="shared" si="397"/>
        <v>1783.6763698630127</v>
      </c>
      <c r="AW155" s="8">
        <f t="shared" si="397"/>
        <v>1783.6763698630127</v>
      </c>
      <c r="AX155" s="8">
        <f t="shared" si="397"/>
        <v>1783.6763698630127</v>
      </c>
    </row>
    <row r="156" spans="1:50" s="76" customFormat="1" ht="14.25" customHeight="1">
      <c r="A156" s="327"/>
      <c r="B156" s="2" t="s">
        <v>351</v>
      </c>
      <c r="C156" s="2" t="s">
        <v>421</v>
      </c>
      <c r="E156" s="328" t="str">
        <f>IFERROR(E149/E155,"n.a.")</f>
        <v>n.a.</v>
      </c>
      <c r="F156" s="328">
        <f t="shared" ref="F156:AX156" si="398">IFERROR(F149/F155,"n.a.")</f>
        <v>0.54312197940190665</v>
      </c>
      <c r="G156" s="328">
        <f t="shared" si="398"/>
        <v>0.72189170040834361</v>
      </c>
      <c r="H156" s="328">
        <f t="shared" si="398"/>
        <v>0.81054806441627802</v>
      </c>
      <c r="I156" s="328">
        <f t="shared" si="398"/>
        <v>0.9312380989992517</v>
      </c>
      <c r="J156" s="328">
        <f t="shared" si="398"/>
        <v>1.0838463448710602</v>
      </c>
      <c r="K156" s="328">
        <f t="shared" si="398"/>
        <v>1.2854552419788043</v>
      </c>
      <c r="L156" s="328">
        <f t="shared" si="398"/>
        <v>1.565962356673543</v>
      </c>
      <c r="M156" s="328">
        <f t="shared" si="398"/>
        <v>1.9824090914394681</v>
      </c>
      <c r="N156" s="328">
        <f t="shared" si="398"/>
        <v>2.6642558197387758</v>
      </c>
      <c r="O156" s="328">
        <f t="shared" si="398"/>
        <v>3.981747100672663</v>
      </c>
      <c r="P156" s="328">
        <f t="shared" si="398"/>
        <v>4.1275890074680373</v>
      </c>
      <c r="Q156" s="328">
        <f t="shared" si="398"/>
        <v>4.2798949026766193</v>
      </c>
      <c r="R156" s="328">
        <f t="shared" si="398"/>
        <v>4.4390230357470042</v>
      </c>
      <c r="S156" s="328">
        <f t="shared" si="398"/>
        <v>4.6053566930484759</v>
      </c>
      <c r="T156" s="328">
        <f t="shared" si="398"/>
        <v>4.7793063735907033</v>
      </c>
      <c r="U156" s="328">
        <f t="shared" si="398"/>
        <v>4.9613121943094249</v>
      </c>
      <c r="V156" s="328">
        <f t="shared" si="398"/>
        <v>5.1518465536481237</v>
      </c>
      <c r="W156" s="328">
        <f t="shared" si="398"/>
        <v>5.3514170863485422</v>
      </c>
      <c r="X156" s="328">
        <f t="shared" si="398"/>
        <v>5.5605699472439092</v>
      </c>
      <c r="Y156" s="328">
        <f t="shared" si="398"/>
        <v>5.7798934675592113</v>
      </c>
      <c r="Z156" s="328">
        <f t="shared" si="398"/>
        <v>6.0100222339227374</v>
      </c>
      <c r="AA156" s="328">
        <f t="shared" si="398"/>
        <v>6.2516416481766157</v>
      </c>
      <c r="AB156" s="328">
        <f t="shared" si="398"/>
        <v>6.5054930353779881</v>
      </c>
      <c r="AC156" s="328">
        <f t="shared" si="398"/>
        <v>6.7723793783971082</v>
      </c>
      <c r="AD156" s="328">
        <f t="shared" si="398"/>
        <v>7.0531717706008674</v>
      </c>
      <c r="AE156" s="328">
        <f t="shared" si="398"/>
        <v>7.348816693700333</v>
      </c>
      <c r="AF156" s="328">
        <f t="shared" si="398"/>
        <v>7.2968899564065381</v>
      </c>
      <c r="AG156" s="328">
        <f t="shared" si="398"/>
        <v>7.517714681301074</v>
      </c>
      <c r="AH156" s="328">
        <f t="shared" si="398"/>
        <v>7.7063995661170051</v>
      </c>
      <c r="AI156" s="328">
        <f t="shared" si="398"/>
        <v>7.8266716350099443</v>
      </c>
      <c r="AJ156" s="328">
        <f t="shared" si="398"/>
        <v>7.9844314640301306</v>
      </c>
      <c r="AK156" s="328">
        <f t="shared" si="398"/>
        <v>8.1453832815203189</v>
      </c>
      <c r="AL156" s="328">
        <f t="shared" si="398"/>
        <v>8.309592031006602</v>
      </c>
      <c r="AM156" s="328">
        <f t="shared" si="398"/>
        <v>8.4771239879982865</v>
      </c>
      <c r="AN156" s="328">
        <f t="shared" si="398"/>
        <v>8.6480467876209488</v>
      </c>
      <c r="AO156" s="328">
        <f t="shared" si="398"/>
        <v>8.822429452831944</v>
      </c>
      <c r="AP156" s="328">
        <f t="shared" si="398"/>
        <v>9.0003424232309186</v>
      </c>
      <c r="AQ156" s="328">
        <f t="shared" si="398"/>
        <v>9.1818575844781432</v>
      </c>
      <c r="AR156" s="328">
        <f t="shared" si="398"/>
        <v>9.4160702060653776</v>
      </c>
      <c r="AS156" s="328">
        <f t="shared" si="398"/>
        <v>9.5559894333315292</v>
      </c>
      <c r="AT156" s="328">
        <f t="shared" si="398"/>
        <v>9.7487573961001637</v>
      </c>
      <c r="AU156" s="328">
        <f t="shared" si="398"/>
        <v>9.945430163347222</v>
      </c>
      <c r="AV156" s="328">
        <f t="shared" si="398"/>
        <v>10.146087314518979</v>
      </c>
      <c r="AW156" s="328">
        <f t="shared" si="398"/>
        <v>10.350810065151309</v>
      </c>
      <c r="AX156" s="328">
        <f t="shared" si="398"/>
        <v>10.559681300926554</v>
      </c>
    </row>
    <row r="157" spans="1:50" s="76" customFormat="1" ht="14.25" customHeight="1">
      <c r="A157" s="327"/>
      <c r="B157" s="2"/>
      <c r="C157" s="2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  <c r="AA157" s="328"/>
      <c r="AB157" s="328"/>
      <c r="AC157" s="328"/>
      <c r="AD157" s="328"/>
      <c r="AE157" s="328"/>
      <c r="AF157" s="328"/>
      <c r="AG157" s="328"/>
      <c r="AH157" s="328"/>
      <c r="AI157" s="328"/>
      <c r="AJ157" s="328"/>
      <c r="AK157" s="328"/>
      <c r="AL157" s="328"/>
      <c r="AM157" s="328"/>
      <c r="AN157" s="328"/>
      <c r="AO157" s="328"/>
      <c r="AP157" s="328"/>
      <c r="AQ157" s="328"/>
      <c r="AR157" s="328"/>
      <c r="AS157" s="328"/>
      <c r="AT157" s="328"/>
      <c r="AU157" s="328"/>
      <c r="AV157" s="328"/>
      <c r="AW157" s="328"/>
    </row>
    <row r="158" spans="1:50" s="76" customFormat="1" ht="14.25" customHeight="1">
      <c r="A158" s="327"/>
      <c r="B158" s="2"/>
      <c r="C158" s="2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  <c r="AA158" s="328"/>
      <c r="AB158" s="328"/>
      <c r="AC158" s="328"/>
      <c r="AD158" s="328"/>
      <c r="AE158" s="328"/>
      <c r="AF158" s="328"/>
      <c r="AG158" s="328"/>
      <c r="AH158" s="328"/>
      <c r="AI158" s="328"/>
      <c r="AJ158" s="328"/>
      <c r="AK158" s="328"/>
      <c r="AL158" s="328"/>
      <c r="AM158" s="328"/>
      <c r="AN158" s="328"/>
      <c r="AO158" s="328"/>
      <c r="AP158" s="328"/>
      <c r="AQ158" s="328"/>
      <c r="AR158" s="328"/>
      <c r="AS158" s="328"/>
      <c r="AT158" s="328"/>
      <c r="AU158" s="328"/>
      <c r="AV158" s="328"/>
      <c r="AW158" s="328"/>
    </row>
    <row r="159" spans="1:50" s="76" customFormat="1" ht="14.25" customHeight="1">
      <c r="A159" s="327"/>
      <c r="B159" s="2"/>
      <c r="C159" s="2" t="s">
        <v>422</v>
      </c>
      <c r="E159" s="329">
        <f t="shared" ref="E159:AX159" si="399">E132</f>
        <v>0</v>
      </c>
      <c r="F159" s="329">
        <f t="shared" si="399"/>
        <v>1</v>
      </c>
      <c r="G159" s="329">
        <f t="shared" si="399"/>
        <v>2</v>
      </c>
      <c r="H159" s="329">
        <f t="shared" si="399"/>
        <v>3</v>
      </c>
      <c r="I159" s="329">
        <f t="shared" si="399"/>
        <v>4</v>
      </c>
      <c r="J159" s="329">
        <f t="shared" si="399"/>
        <v>5</v>
      </c>
      <c r="K159" s="329">
        <f t="shared" si="399"/>
        <v>6</v>
      </c>
      <c r="L159" s="329">
        <f t="shared" si="399"/>
        <v>7</v>
      </c>
      <c r="M159" s="329">
        <f t="shared" si="399"/>
        <v>8</v>
      </c>
      <c r="N159" s="329">
        <f t="shared" si="399"/>
        <v>9</v>
      </c>
      <c r="O159" s="329">
        <f t="shared" si="399"/>
        <v>10</v>
      </c>
      <c r="P159" s="329">
        <f t="shared" si="399"/>
        <v>11</v>
      </c>
      <c r="Q159" s="329">
        <f t="shared" si="399"/>
        <v>12</v>
      </c>
      <c r="R159" s="329">
        <f t="shared" si="399"/>
        <v>13</v>
      </c>
      <c r="S159" s="329">
        <f t="shared" si="399"/>
        <v>14</v>
      </c>
      <c r="T159" s="329">
        <f t="shared" si="399"/>
        <v>15</v>
      </c>
      <c r="U159" s="329">
        <f t="shared" si="399"/>
        <v>16</v>
      </c>
      <c r="V159" s="329">
        <f t="shared" si="399"/>
        <v>17</v>
      </c>
      <c r="W159" s="329">
        <f t="shared" si="399"/>
        <v>18</v>
      </c>
      <c r="X159" s="329">
        <f t="shared" si="399"/>
        <v>19</v>
      </c>
      <c r="Y159" s="329">
        <f t="shared" si="399"/>
        <v>20</v>
      </c>
      <c r="Z159" s="329">
        <f t="shared" si="399"/>
        <v>21</v>
      </c>
      <c r="AA159" s="329">
        <f t="shared" si="399"/>
        <v>22</v>
      </c>
      <c r="AB159" s="329">
        <f t="shared" si="399"/>
        <v>23</v>
      </c>
      <c r="AC159" s="329">
        <f t="shared" si="399"/>
        <v>24</v>
      </c>
      <c r="AD159" s="329">
        <f t="shared" si="399"/>
        <v>25</v>
      </c>
      <c r="AE159" s="329">
        <f t="shared" si="399"/>
        <v>26</v>
      </c>
      <c r="AF159" s="329">
        <f t="shared" si="399"/>
        <v>27</v>
      </c>
      <c r="AG159" s="329">
        <f t="shared" si="399"/>
        <v>28</v>
      </c>
      <c r="AH159" s="329">
        <f t="shared" si="399"/>
        <v>29</v>
      </c>
      <c r="AI159" s="329">
        <f t="shared" si="399"/>
        <v>30</v>
      </c>
      <c r="AJ159" s="329">
        <f t="shared" si="399"/>
        <v>31</v>
      </c>
      <c r="AK159" s="329">
        <f t="shared" si="399"/>
        <v>32</v>
      </c>
      <c r="AL159" s="329">
        <f t="shared" si="399"/>
        <v>33</v>
      </c>
      <c r="AM159" s="329">
        <f t="shared" si="399"/>
        <v>34</v>
      </c>
      <c r="AN159" s="329">
        <f t="shared" si="399"/>
        <v>35</v>
      </c>
      <c r="AO159" s="329">
        <f t="shared" si="399"/>
        <v>36</v>
      </c>
      <c r="AP159" s="329">
        <f t="shared" si="399"/>
        <v>37</v>
      </c>
      <c r="AQ159" s="329">
        <f t="shared" si="399"/>
        <v>38</v>
      </c>
      <c r="AR159" s="329">
        <f t="shared" si="399"/>
        <v>39</v>
      </c>
      <c r="AS159" s="329">
        <f t="shared" si="399"/>
        <v>40</v>
      </c>
      <c r="AT159" s="329">
        <f t="shared" si="399"/>
        <v>41</v>
      </c>
      <c r="AU159" s="329">
        <f t="shared" si="399"/>
        <v>42</v>
      </c>
      <c r="AV159" s="329">
        <f t="shared" si="399"/>
        <v>43</v>
      </c>
      <c r="AW159" s="329">
        <f t="shared" si="399"/>
        <v>44</v>
      </c>
      <c r="AX159" s="329">
        <f t="shared" si="399"/>
        <v>45</v>
      </c>
    </row>
    <row r="160" spans="1:50" s="76" customFormat="1" ht="14.25" customHeight="1">
      <c r="A160" s="327"/>
      <c r="B160" s="2"/>
      <c r="C160" s="1" t="s">
        <v>423</v>
      </c>
      <c r="E160" s="330" t="e">
        <f>E146</f>
        <v>#N/A</v>
      </c>
      <c r="F160" s="330" t="e">
        <f t="shared" ref="F160:AX160" si="400">F146</f>
        <v>#N/A</v>
      </c>
      <c r="G160" s="330" t="e">
        <f t="shared" si="400"/>
        <v>#N/A</v>
      </c>
      <c r="H160" s="330" t="e">
        <f t="shared" si="400"/>
        <v>#N/A</v>
      </c>
      <c r="I160" s="330" t="e">
        <f t="shared" si="400"/>
        <v>#N/A</v>
      </c>
      <c r="J160" s="330" t="e">
        <f t="shared" si="400"/>
        <v>#N/A</v>
      </c>
      <c r="K160" s="330" t="e">
        <f t="shared" si="400"/>
        <v>#N/A</v>
      </c>
      <c r="L160" s="330" t="e">
        <f t="shared" si="400"/>
        <v>#N/A</v>
      </c>
      <c r="M160" s="330" t="e">
        <f t="shared" si="400"/>
        <v>#N/A</v>
      </c>
      <c r="N160" s="330" t="e">
        <f t="shared" si="400"/>
        <v>#N/A</v>
      </c>
      <c r="O160" s="330" t="e">
        <f t="shared" si="400"/>
        <v>#N/A</v>
      </c>
      <c r="P160" s="330" t="e">
        <f t="shared" si="400"/>
        <v>#N/A</v>
      </c>
      <c r="Q160" s="330" t="e">
        <f t="shared" si="400"/>
        <v>#N/A</v>
      </c>
      <c r="R160" s="330" t="e">
        <f t="shared" si="400"/>
        <v>#N/A</v>
      </c>
      <c r="S160" s="330" t="e">
        <f t="shared" si="400"/>
        <v>#N/A</v>
      </c>
      <c r="T160" s="330" t="e">
        <f t="shared" si="400"/>
        <v>#N/A</v>
      </c>
      <c r="U160" s="330" t="e">
        <f t="shared" si="400"/>
        <v>#N/A</v>
      </c>
      <c r="V160" s="330" t="e">
        <f t="shared" si="400"/>
        <v>#N/A</v>
      </c>
      <c r="W160" s="330" t="e">
        <f t="shared" si="400"/>
        <v>#N/A</v>
      </c>
      <c r="X160" s="330" t="e">
        <f t="shared" si="400"/>
        <v>#N/A</v>
      </c>
      <c r="Y160" s="330" t="e">
        <f t="shared" si="400"/>
        <v>#N/A</v>
      </c>
      <c r="Z160" s="330" t="e">
        <f t="shared" si="400"/>
        <v>#N/A</v>
      </c>
      <c r="AA160" s="330" t="e">
        <f t="shared" si="400"/>
        <v>#N/A</v>
      </c>
      <c r="AB160" s="330" t="e">
        <f t="shared" si="400"/>
        <v>#N/A</v>
      </c>
      <c r="AC160" s="330" t="e">
        <f t="shared" si="400"/>
        <v>#N/A</v>
      </c>
      <c r="AD160" s="330" t="e">
        <f t="shared" si="400"/>
        <v>#N/A</v>
      </c>
      <c r="AE160" s="330" t="e">
        <f t="shared" si="400"/>
        <v>#N/A</v>
      </c>
      <c r="AF160" s="330" t="e">
        <f t="shared" si="400"/>
        <v>#N/A</v>
      </c>
      <c r="AG160" s="330" t="e">
        <f t="shared" si="400"/>
        <v>#N/A</v>
      </c>
      <c r="AH160" s="330" t="e">
        <f t="shared" si="400"/>
        <v>#N/A</v>
      </c>
      <c r="AI160" s="330" t="e">
        <f t="shared" si="400"/>
        <v>#N/A</v>
      </c>
      <c r="AJ160" s="330" t="e">
        <f t="shared" si="400"/>
        <v>#N/A</v>
      </c>
      <c r="AK160" s="330" t="e">
        <f t="shared" si="400"/>
        <v>#N/A</v>
      </c>
      <c r="AL160" s="330" t="e">
        <f t="shared" si="400"/>
        <v>#N/A</v>
      </c>
      <c r="AM160" s="330" t="e">
        <f t="shared" si="400"/>
        <v>#N/A</v>
      </c>
      <c r="AN160" s="330" t="e">
        <f t="shared" si="400"/>
        <v>#N/A</v>
      </c>
      <c r="AO160" s="330" t="e">
        <f t="shared" si="400"/>
        <v>#N/A</v>
      </c>
      <c r="AP160" s="330" t="e">
        <f t="shared" si="400"/>
        <v>#N/A</v>
      </c>
      <c r="AQ160" s="330" t="e">
        <f t="shared" si="400"/>
        <v>#N/A</v>
      </c>
      <c r="AR160" s="330" t="e">
        <f t="shared" si="400"/>
        <v>#N/A</v>
      </c>
      <c r="AS160" s="330" t="e">
        <f t="shared" si="400"/>
        <v>#N/A</v>
      </c>
      <c r="AT160" s="330" t="e">
        <f t="shared" si="400"/>
        <v>#N/A</v>
      </c>
      <c r="AU160" s="330" t="e">
        <f t="shared" si="400"/>
        <v>#N/A</v>
      </c>
      <c r="AV160" s="330" t="e">
        <f t="shared" si="400"/>
        <v>#N/A</v>
      </c>
      <c r="AW160" s="330" t="e">
        <f t="shared" si="400"/>
        <v>#N/A</v>
      </c>
      <c r="AX160" s="330" t="e">
        <f t="shared" si="400"/>
        <v>#N/A</v>
      </c>
    </row>
    <row r="161" spans="1:50" s="76" customFormat="1" ht="14.25" customHeight="1">
      <c r="A161" s="327"/>
      <c r="B161" s="2"/>
      <c r="C161" s="1" t="s">
        <v>424</v>
      </c>
      <c r="E161" s="331" t="e">
        <f>IF(AND(D160&lt;0,E160&gt;=0),1,0)</f>
        <v>#N/A</v>
      </c>
      <c r="F161" s="331" t="e">
        <f t="shared" ref="F161:AX161" si="401">IF(AND(E160&lt;0,F160&gt;=0),1,0)</f>
        <v>#N/A</v>
      </c>
      <c r="G161" s="331" t="e">
        <f t="shared" si="401"/>
        <v>#N/A</v>
      </c>
      <c r="H161" s="331" t="e">
        <f t="shared" si="401"/>
        <v>#N/A</v>
      </c>
      <c r="I161" s="331" t="e">
        <f t="shared" si="401"/>
        <v>#N/A</v>
      </c>
      <c r="J161" s="331" t="e">
        <f t="shared" si="401"/>
        <v>#N/A</v>
      </c>
      <c r="K161" s="331" t="e">
        <f t="shared" si="401"/>
        <v>#N/A</v>
      </c>
      <c r="L161" s="331" t="e">
        <f t="shared" si="401"/>
        <v>#N/A</v>
      </c>
      <c r="M161" s="331" t="e">
        <f t="shared" si="401"/>
        <v>#N/A</v>
      </c>
      <c r="N161" s="331" t="e">
        <f t="shared" si="401"/>
        <v>#N/A</v>
      </c>
      <c r="O161" s="331" t="e">
        <f t="shared" si="401"/>
        <v>#N/A</v>
      </c>
      <c r="P161" s="331" t="e">
        <f t="shared" si="401"/>
        <v>#N/A</v>
      </c>
      <c r="Q161" s="331" t="e">
        <f t="shared" si="401"/>
        <v>#N/A</v>
      </c>
      <c r="R161" s="331" t="e">
        <f t="shared" si="401"/>
        <v>#N/A</v>
      </c>
      <c r="S161" s="331" t="e">
        <f t="shared" si="401"/>
        <v>#N/A</v>
      </c>
      <c r="T161" s="331" t="e">
        <f t="shared" si="401"/>
        <v>#N/A</v>
      </c>
      <c r="U161" s="331" t="e">
        <f t="shared" si="401"/>
        <v>#N/A</v>
      </c>
      <c r="V161" s="331" t="e">
        <f t="shared" si="401"/>
        <v>#N/A</v>
      </c>
      <c r="W161" s="331" t="e">
        <f t="shared" si="401"/>
        <v>#N/A</v>
      </c>
      <c r="X161" s="331" t="e">
        <f t="shared" si="401"/>
        <v>#N/A</v>
      </c>
      <c r="Y161" s="331" t="e">
        <f t="shared" si="401"/>
        <v>#N/A</v>
      </c>
      <c r="Z161" s="331" t="e">
        <f t="shared" si="401"/>
        <v>#N/A</v>
      </c>
      <c r="AA161" s="331" t="e">
        <f t="shared" si="401"/>
        <v>#N/A</v>
      </c>
      <c r="AB161" s="331" t="e">
        <f t="shared" si="401"/>
        <v>#N/A</v>
      </c>
      <c r="AC161" s="331" t="e">
        <f t="shared" si="401"/>
        <v>#N/A</v>
      </c>
      <c r="AD161" s="331" t="e">
        <f t="shared" si="401"/>
        <v>#N/A</v>
      </c>
      <c r="AE161" s="331" t="e">
        <f t="shared" si="401"/>
        <v>#N/A</v>
      </c>
      <c r="AF161" s="331" t="e">
        <f t="shared" si="401"/>
        <v>#N/A</v>
      </c>
      <c r="AG161" s="331" t="e">
        <f t="shared" si="401"/>
        <v>#N/A</v>
      </c>
      <c r="AH161" s="331" t="e">
        <f t="shared" si="401"/>
        <v>#N/A</v>
      </c>
      <c r="AI161" s="331" t="e">
        <f t="shared" si="401"/>
        <v>#N/A</v>
      </c>
      <c r="AJ161" s="331" t="e">
        <f t="shared" si="401"/>
        <v>#N/A</v>
      </c>
      <c r="AK161" s="331" t="e">
        <f t="shared" si="401"/>
        <v>#N/A</v>
      </c>
      <c r="AL161" s="331" t="e">
        <f t="shared" si="401"/>
        <v>#N/A</v>
      </c>
      <c r="AM161" s="331" t="e">
        <f t="shared" si="401"/>
        <v>#N/A</v>
      </c>
      <c r="AN161" s="331" t="e">
        <f t="shared" si="401"/>
        <v>#N/A</v>
      </c>
      <c r="AO161" s="331" t="e">
        <f t="shared" si="401"/>
        <v>#N/A</v>
      </c>
      <c r="AP161" s="331" t="e">
        <f t="shared" si="401"/>
        <v>#N/A</v>
      </c>
      <c r="AQ161" s="331" t="e">
        <f t="shared" si="401"/>
        <v>#N/A</v>
      </c>
      <c r="AR161" s="331" t="e">
        <f t="shared" si="401"/>
        <v>#N/A</v>
      </c>
      <c r="AS161" s="331" t="e">
        <f t="shared" si="401"/>
        <v>#N/A</v>
      </c>
      <c r="AT161" s="331" t="e">
        <f t="shared" si="401"/>
        <v>#N/A</v>
      </c>
      <c r="AU161" s="331" t="e">
        <f t="shared" si="401"/>
        <v>#N/A</v>
      </c>
      <c r="AV161" s="331" t="e">
        <f t="shared" si="401"/>
        <v>#N/A</v>
      </c>
      <c r="AW161" s="331" t="e">
        <f t="shared" si="401"/>
        <v>#N/A</v>
      </c>
      <c r="AX161" s="331" t="e">
        <f t="shared" si="401"/>
        <v>#N/A</v>
      </c>
    </row>
    <row r="162" spans="1:50" s="76" customFormat="1" ht="14.25" customHeight="1">
      <c r="A162" s="327"/>
      <c r="B162" s="2"/>
      <c r="C162" s="1" t="s">
        <v>425</v>
      </c>
      <c r="E162" s="331" t="e">
        <f>IF(E161=1,D160/E145,0)*-1</f>
        <v>#N/A</v>
      </c>
      <c r="F162" s="331" t="e">
        <f t="shared" ref="F162:AX162" si="402">IF(F161=1,E160/F145,0)*-1</f>
        <v>#N/A</v>
      </c>
      <c r="G162" s="331" t="e">
        <f t="shared" si="402"/>
        <v>#N/A</v>
      </c>
      <c r="H162" s="331" t="e">
        <f t="shared" si="402"/>
        <v>#N/A</v>
      </c>
      <c r="I162" s="331" t="e">
        <f t="shared" si="402"/>
        <v>#N/A</v>
      </c>
      <c r="J162" s="331" t="e">
        <f t="shared" si="402"/>
        <v>#N/A</v>
      </c>
      <c r="K162" s="331" t="e">
        <f t="shared" si="402"/>
        <v>#N/A</v>
      </c>
      <c r="L162" s="331" t="e">
        <f t="shared" si="402"/>
        <v>#N/A</v>
      </c>
      <c r="M162" s="331" t="e">
        <f t="shared" si="402"/>
        <v>#N/A</v>
      </c>
      <c r="N162" s="331" t="e">
        <f t="shared" si="402"/>
        <v>#N/A</v>
      </c>
      <c r="O162" s="331" t="e">
        <f t="shared" si="402"/>
        <v>#N/A</v>
      </c>
      <c r="P162" s="331" t="e">
        <f t="shared" si="402"/>
        <v>#N/A</v>
      </c>
      <c r="Q162" s="331" t="e">
        <f t="shared" si="402"/>
        <v>#N/A</v>
      </c>
      <c r="R162" s="331" t="e">
        <f t="shared" si="402"/>
        <v>#N/A</v>
      </c>
      <c r="S162" s="331" t="e">
        <f t="shared" si="402"/>
        <v>#N/A</v>
      </c>
      <c r="T162" s="331" t="e">
        <f t="shared" si="402"/>
        <v>#N/A</v>
      </c>
      <c r="U162" s="331" t="e">
        <f t="shared" si="402"/>
        <v>#N/A</v>
      </c>
      <c r="V162" s="331" t="e">
        <f t="shared" si="402"/>
        <v>#N/A</v>
      </c>
      <c r="W162" s="331" t="e">
        <f t="shared" si="402"/>
        <v>#N/A</v>
      </c>
      <c r="X162" s="331" t="e">
        <f t="shared" si="402"/>
        <v>#N/A</v>
      </c>
      <c r="Y162" s="331" t="e">
        <f t="shared" si="402"/>
        <v>#N/A</v>
      </c>
      <c r="Z162" s="331" t="e">
        <f t="shared" si="402"/>
        <v>#N/A</v>
      </c>
      <c r="AA162" s="331" t="e">
        <f t="shared" si="402"/>
        <v>#N/A</v>
      </c>
      <c r="AB162" s="331" t="e">
        <f t="shared" si="402"/>
        <v>#N/A</v>
      </c>
      <c r="AC162" s="331" t="e">
        <f t="shared" si="402"/>
        <v>#N/A</v>
      </c>
      <c r="AD162" s="331" t="e">
        <f t="shared" si="402"/>
        <v>#N/A</v>
      </c>
      <c r="AE162" s="331" t="e">
        <f t="shared" si="402"/>
        <v>#N/A</v>
      </c>
      <c r="AF162" s="331" t="e">
        <f t="shared" si="402"/>
        <v>#N/A</v>
      </c>
      <c r="AG162" s="331" t="e">
        <f t="shared" si="402"/>
        <v>#N/A</v>
      </c>
      <c r="AH162" s="331" t="e">
        <f t="shared" si="402"/>
        <v>#N/A</v>
      </c>
      <c r="AI162" s="331" t="e">
        <f t="shared" si="402"/>
        <v>#N/A</v>
      </c>
      <c r="AJ162" s="331" t="e">
        <f t="shared" si="402"/>
        <v>#N/A</v>
      </c>
      <c r="AK162" s="331" t="e">
        <f t="shared" si="402"/>
        <v>#N/A</v>
      </c>
      <c r="AL162" s="331" t="e">
        <f t="shared" si="402"/>
        <v>#N/A</v>
      </c>
      <c r="AM162" s="331" t="e">
        <f t="shared" si="402"/>
        <v>#N/A</v>
      </c>
      <c r="AN162" s="331" t="e">
        <f t="shared" si="402"/>
        <v>#N/A</v>
      </c>
      <c r="AO162" s="331" t="e">
        <f t="shared" si="402"/>
        <v>#N/A</v>
      </c>
      <c r="AP162" s="331" t="e">
        <f t="shared" si="402"/>
        <v>#N/A</v>
      </c>
      <c r="AQ162" s="331" t="e">
        <f t="shared" si="402"/>
        <v>#N/A</v>
      </c>
      <c r="AR162" s="331" t="e">
        <f t="shared" si="402"/>
        <v>#N/A</v>
      </c>
      <c r="AS162" s="331" t="e">
        <f t="shared" si="402"/>
        <v>#N/A</v>
      </c>
      <c r="AT162" s="331" t="e">
        <f t="shared" si="402"/>
        <v>#N/A</v>
      </c>
      <c r="AU162" s="331" t="e">
        <f t="shared" si="402"/>
        <v>#N/A</v>
      </c>
      <c r="AV162" s="331" t="e">
        <f t="shared" si="402"/>
        <v>#N/A</v>
      </c>
      <c r="AW162" s="331" t="e">
        <f t="shared" si="402"/>
        <v>#N/A</v>
      </c>
      <c r="AX162" s="331" t="e">
        <f t="shared" si="402"/>
        <v>#N/A</v>
      </c>
    </row>
    <row r="163" spans="1:50" s="76" customFormat="1" ht="14.25" customHeight="1">
      <c r="A163" s="327"/>
      <c r="B163" s="2"/>
      <c r="C163" s="1" t="s">
        <v>426</v>
      </c>
      <c r="E163" s="331" t="e">
        <f>IF(E161&lt;&gt;1,0,E159*E161-1+E162)</f>
        <v>#N/A</v>
      </c>
      <c r="F163" s="331" t="e">
        <f t="shared" ref="F163:AX163" si="403">IF(F161&lt;&gt;1,0,F159*F161-1+F162)</f>
        <v>#N/A</v>
      </c>
      <c r="G163" s="331" t="e">
        <f t="shared" si="403"/>
        <v>#N/A</v>
      </c>
      <c r="H163" s="331" t="e">
        <f t="shared" si="403"/>
        <v>#N/A</v>
      </c>
      <c r="I163" s="331" t="e">
        <f t="shared" si="403"/>
        <v>#N/A</v>
      </c>
      <c r="J163" s="331" t="e">
        <f t="shared" si="403"/>
        <v>#N/A</v>
      </c>
      <c r="K163" s="331" t="e">
        <f t="shared" si="403"/>
        <v>#N/A</v>
      </c>
      <c r="L163" s="331" t="e">
        <f t="shared" si="403"/>
        <v>#N/A</v>
      </c>
      <c r="M163" s="331" t="e">
        <f t="shared" si="403"/>
        <v>#N/A</v>
      </c>
      <c r="N163" s="331" t="e">
        <f t="shared" si="403"/>
        <v>#N/A</v>
      </c>
      <c r="O163" s="331" t="e">
        <f t="shared" si="403"/>
        <v>#N/A</v>
      </c>
      <c r="P163" s="331" t="e">
        <f t="shared" si="403"/>
        <v>#N/A</v>
      </c>
      <c r="Q163" s="331" t="e">
        <f t="shared" si="403"/>
        <v>#N/A</v>
      </c>
      <c r="R163" s="331" t="e">
        <f t="shared" si="403"/>
        <v>#N/A</v>
      </c>
      <c r="S163" s="331" t="e">
        <f t="shared" si="403"/>
        <v>#N/A</v>
      </c>
      <c r="T163" s="331" t="e">
        <f t="shared" si="403"/>
        <v>#N/A</v>
      </c>
      <c r="U163" s="331" t="e">
        <f t="shared" si="403"/>
        <v>#N/A</v>
      </c>
      <c r="V163" s="331" t="e">
        <f t="shared" si="403"/>
        <v>#N/A</v>
      </c>
      <c r="W163" s="331" t="e">
        <f t="shared" si="403"/>
        <v>#N/A</v>
      </c>
      <c r="X163" s="331" t="e">
        <f t="shared" si="403"/>
        <v>#N/A</v>
      </c>
      <c r="Y163" s="331" t="e">
        <f t="shared" si="403"/>
        <v>#N/A</v>
      </c>
      <c r="Z163" s="331" t="e">
        <f t="shared" si="403"/>
        <v>#N/A</v>
      </c>
      <c r="AA163" s="331" t="e">
        <f t="shared" si="403"/>
        <v>#N/A</v>
      </c>
      <c r="AB163" s="331" t="e">
        <f t="shared" si="403"/>
        <v>#N/A</v>
      </c>
      <c r="AC163" s="331" t="e">
        <f t="shared" si="403"/>
        <v>#N/A</v>
      </c>
      <c r="AD163" s="331" t="e">
        <f t="shared" si="403"/>
        <v>#N/A</v>
      </c>
      <c r="AE163" s="331" t="e">
        <f t="shared" si="403"/>
        <v>#N/A</v>
      </c>
      <c r="AF163" s="331" t="e">
        <f t="shared" si="403"/>
        <v>#N/A</v>
      </c>
      <c r="AG163" s="331" t="e">
        <f t="shared" si="403"/>
        <v>#N/A</v>
      </c>
      <c r="AH163" s="331" t="e">
        <f t="shared" si="403"/>
        <v>#N/A</v>
      </c>
      <c r="AI163" s="331" t="e">
        <f t="shared" si="403"/>
        <v>#N/A</v>
      </c>
      <c r="AJ163" s="331" t="e">
        <f t="shared" si="403"/>
        <v>#N/A</v>
      </c>
      <c r="AK163" s="331" t="e">
        <f t="shared" si="403"/>
        <v>#N/A</v>
      </c>
      <c r="AL163" s="331" t="e">
        <f t="shared" si="403"/>
        <v>#N/A</v>
      </c>
      <c r="AM163" s="331" t="e">
        <f t="shared" si="403"/>
        <v>#N/A</v>
      </c>
      <c r="AN163" s="331" t="e">
        <f t="shared" si="403"/>
        <v>#N/A</v>
      </c>
      <c r="AO163" s="331" t="e">
        <f t="shared" si="403"/>
        <v>#N/A</v>
      </c>
      <c r="AP163" s="331" t="e">
        <f t="shared" si="403"/>
        <v>#N/A</v>
      </c>
      <c r="AQ163" s="331" t="e">
        <f t="shared" si="403"/>
        <v>#N/A</v>
      </c>
      <c r="AR163" s="331" t="e">
        <f t="shared" si="403"/>
        <v>#N/A</v>
      </c>
      <c r="AS163" s="331" t="e">
        <f t="shared" si="403"/>
        <v>#N/A</v>
      </c>
      <c r="AT163" s="331" t="e">
        <f t="shared" si="403"/>
        <v>#N/A</v>
      </c>
      <c r="AU163" s="331" t="e">
        <f t="shared" si="403"/>
        <v>#N/A</v>
      </c>
      <c r="AV163" s="331" t="e">
        <f t="shared" si="403"/>
        <v>#N/A</v>
      </c>
      <c r="AW163" s="331" t="e">
        <f t="shared" si="403"/>
        <v>#N/A</v>
      </c>
      <c r="AX163" s="331" t="e">
        <f t="shared" si="403"/>
        <v>#N/A</v>
      </c>
    </row>
    <row r="164" spans="1:50" ht="14.25" customHeight="1">
      <c r="A164" s="44"/>
      <c r="B164" s="4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</row>
    <row r="165" spans="1:50" ht="14.25" customHeight="1" thickBot="1">
      <c r="A165" s="44"/>
      <c r="B165" s="4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ht="14.25" customHeight="1" thickBot="1">
      <c r="A166" s="1"/>
      <c r="B166" s="1"/>
      <c r="C166" s="809" t="s">
        <v>427</v>
      </c>
      <c r="D166" s="810"/>
      <c r="E166" s="810"/>
      <c r="F166" s="81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ht="14.25" customHeight="1">
      <c r="A167" s="44"/>
      <c r="B167" s="44"/>
      <c r="C167" s="278" t="s">
        <v>428</v>
      </c>
      <c r="D167" s="205"/>
      <c r="E167" s="84"/>
      <c r="F167" s="332">
        <v>0</v>
      </c>
      <c r="G167" s="4" t="s">
        <v>429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ht="14.25" customHeight="1">
      <c r="A168" s="44"/>
      <c r="B168" s="44"/>
      <c r="C168" s="278" t="s">
        <v>430</v>
      </c>
      <c r="D168" s="205"/>
      <c r="E168" s="84"/>
      <c r="F168" s="333">
        <f>F167/SUM(F138:F139)</f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ht="14.25" customHeight="1">
      <c r="A169" s="44"/>
      <c r="B169" s="44"/>
      <c r="C169" s="278" t="s">
        <v>431</v>
      </c>
      <c r="D169" s="205"/>
      <c r="E169" s="84"/>
      <c r="F169" s="334">
        <f>-SUM(E140:AX140)</f>
        <v>12693.7301369863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ht="14.25" customHeight="1">
      <c r="A170" s="44"/>
      <c r="B170" s="44"/>
      <c r="C170" s="278"/>
      <c r="D170" s="205"/>
      <c r="E170" s="84"/>
      <c r="F170" s="33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ht="14.25" customHeight="1">
      <c r="A171" s="44"/>
      <c r="B171" s="44"/>
      <c r="C171" s="336" t="s">
        <v>432</v>
      </c>
      <c r="D171" s="251"/>
      <c r="E171" s="83"/>
      <c r="F171" s="337" t="e">
        <f>XNPV('Assumptions &amp; Inputs'!$E$16,E145:AX145,E135:AX135)</f>
        <v>#N/A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ht="14.25" customHeight="1">
      <c r="A172" s="44"/>
      <c r="B172" s="44"/>
      <c r="C172" s="336" t="s">
        <v>433</v>
      </c>
      <c r="D172" s="251"/>
      <c r="E172" s="83"/>
      <c r="F172" s="338" t="str">
        <f>IFERROR(XIRR(E145:BB145,E135:BB135),"n.a.")</f>
        <v>n.a.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ht="14.25" customHeight="1">
      <c r="A173" s="1"/>
      <c r="B173" s="1"/>
      <c r="C173" s="322" t="s">
        <v>434</v>
      </c>
      <c r="D173" s="84"/>
      <c r="E173" s="79"/>
      <c r="F173" s="340">
        <f>J156</f>
        <v>1.0838463448710602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50" ht="14.25" customHeight="1" thickBot="1">
      <c r="A174" s="1"/>
      <c r="B174" s="1"/>
      <c r="C174" s="339" t="s">
        <v>435</v>
      </c>
      <c r="D174" s="86"/>
      <c r="E174" s="80"/>
      <c r="F174" s="341" t="e">
        <f>P163</f>
        <v>#N/A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50" ht="14.25" customHeight="1">
      <c r="A175" s="44"/>
      <c r="B175" s="4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ht="14.25" customHeight="1">
      <c r="A176" s="44"/>
      <c r="B176" s="4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ht="14.25" customHeight="1" thickBot="1">
      <c r="A177" s="44" t="s">
        <v>351</v>
      </c>
      <c r="B177" s="44"/>
      <c r="C177" s="9" t="s">
        <v>436</v>
      </c>
      <c r="D177" s="9"/>
      <c r="E177" s="9"/>
      <c r="F177" s="10"/>
      <c r="G177" s="10"/>
      <c r="H177" s="10"/>
      <c r="I177" s="10"/>
      <c r="J177" s="10"/>
      <c r="K177" s="11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ht="14.25" customHeight="1">
      <c r="A178" s="44"/>
      <c r="B178" s="44"/>
      <c r="C178" s="12" t="s">
        <v>353</v>
      </c>
      <c r="D178" s="12"/>
      <c r="E178" s="1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ht="14.25" customHeight="1" thickBot="1">
      <c r="A179" s="44"/>
      <c r="B179" s="44"/>
      <c r="C179" s="12"/>
      <c r="D179" s="12"/>
      <c r="E179" s="1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ht="14.25" customHeight="1" thickBot="1">
      <c r="A180" s="44"/>
      <c r="B180" s="44"/>
      <c r="C180" s="812" t="s">
        <v>437</v>
      </c>
      <c r="D180" s="812"/>
      <c r="E180" s="812"/>
      <c r="F180" s="812"/>
      <c r="G180" s="14"/>
      <c r="H180" s="14"/>
      <c r="I180" s="14"/>
      <c r="J180" s="14"/>
      <c r="K180" s="14"/>
      <c r="L180" s="14"/>
      <c r="M180" s="14"/>
      <c r="N180" s="14"/>
      <c r="O180" s="1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ht="14.25" customHeight="1">
      <c r="A181" s="44"/>
      <c r="B181" s="44"/>
      <c r="C181" s="98" t="s">
        <v>438</v>
      </c>
      <c r="D181" s="84"/>
      <c r="E181" s="13"/>
      <c r="F181" s="99">
        <f>F182*SUM(F167,F169)</f>
        <v>0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ht="14.25" customHeight="1">
      <c r="A182" s="84"/>
      <c r="B182" s="84"/>
      <c r="C182" s="98" t="s">
        <v>439</v>
      </c>
      <c r="D182" s="84"/>
      <c r="E182" s="13"/>
      <c r="F182" s="100">
        <f>SUMPRODUCT('Assumptions &amp; Inputs'!G8:L8, 'Assumptions &amp; Inputs'!G38:L38)/SUM('Assumptions &amp; Inputs'!G38:L38)</f>
        <v>0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ht="14.25" customHeight="1">
      <c r="A183" s="84"/>
      <c r="B183" s="84"/>
      <c r="C183" s="98" t="s">
        <v>440</v>
      </c>
      <c r="D183" s="84"/>
      <c r="E183" s="13"/>
      <c r="F183" s="95" t="e">
        <f>SUM(F193:AK193)/SUM(F194:AK194)</f>
        <v>#DIV/0!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ht="14.25" customHeight="1">
      <c r="A184" s="84"/>
      <c r="B184" s="84"/>
      <c r="C184" s="98"/>
      <c r="D184" s="84"/>
      <c r="E184" s="13"/>
      <c r="F184" s="95"/>
      <c r="G184" s="14"/>
      <c r="H184" s="14"/>
      <c r="I184" s="14"/>
      <c r="J184" s="14"/>
      <c r="K184" s="14"/>
      <c r="L184" s="14"/>
      <c r="M184" s="14"/>
      <c r="N184" s="14"/>
      <c r="O184" s="1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ht="14.25" customHeight="1">
      <c r="A185" s="44"/>
      <c r="B185" s="44"/>
      <c r="C185" s="101" t="s">
        <v>441</v>
      </c>
      <c r="D185" s="83"/>
      <c r="E185" s="25"/>
      <c r="F185" s="97">
        <f>XNPV('Assumptions &amp; Inputs'!$E$16,E196:AX196,E192:AX192)</f>
        <v>62460.659846692302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ht="14.25" customHeight="1" thickBot="1">
      <c r="A186" s="44"/>
      <c r="B186" s="44"/>
      <c r="C186" s="26" t="s">
        <v>442</v>
      </c>
      <c r="D186" s="24"/>
      <c r="E186" s="27"/>
      <c r="F186" s="28">
        <f>IFERROR(XIRR(E196:BB196,E192:BB192),"n.a.")</f>
        <v>0.46869755387306211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ht="14.25" customHeight="1">
      <c r="A187" s="1"/>
      <c r="B187" s="1"/>
      <c r="C187" s="12"/>
      <c r="D187" s="12"/>
      <c r="E187" s="1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ht="14.25" customHeight="1">
      <c r="A188" s="1"/>
      <c r="B188" s="1"/>
      <c r="C188" s="12"/>
      <c r="D188" s="12"/>
      <c r="E188" s="1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ht="14.25" customHeight="1">
      <c r="A189" s="1"/>
      <c r="B189" s="1"/>
      <c r="C189" s="1"/>
      <c r="D189" s="1"/>
      <c r="E189" s="90">
        <v>0</v>
      </c>
      <c r="F189" s="90">
        <f t="shared" ref="F189:R189" si="404">E189+1</f>
        <v>1</v>
      </c>
      <c r="G189" s="90">
        <f t="shared" si="404"/>
        <v>2</v>
      </c>
      <c r="H189" s="90">
        <f t="shared" si="404"/>
        <v>3</v>
      </c>
      <c r="I189" s="90">
        <f t="shared" si="404"/>
        <v>4</v>
      </c>
      <c r="J189" s="90">
        <f t="shared" si="404"/>
        <v>5</v>
      </c>
      <c r="K189" s="90">
        <f t="shared" si="404"/>
        <v>6</v>
      </c>
      <c r="L189" s="90">
        <f t="shared" si="404"/>
        <v>7</v>
      </c>
      <c r="M189" s="90">
        <f t="shared" si="404"/>
        <v>8</v>
      </c>
      <c r="N189" s="90">
        <f t="shared" si="404"/>
        <v>9</v>
      </c>
      <c r="O189" s="90">
        <f t="shared" si="404"/>
        <v>10</v>
      </c>
      <c r="P189" s="90">
        <f t="shared" si="404"/>
        <v>11</v>
      </c>
      <c r="Q189" s="90">
        <f t="shared" si="404"/>
        <v>12</v>
      </c>
      <c r="R189" s="90">
        <f t="shared" si="404"/>
        <v>13</v>
      </c>
      <c r="S189" s="90">
        <f t="shared" ref="S189" si="405">R189+1</f>
        <v>14</v>
      </c>
      <c r="T189" s="90">
        <f t="shared" ref="T189" si="406">S189+1</f>
        <v>15</v>
      </c>
      <c r="U189" s="90">
        <f t="shared" ref="U189" si="407">T189+1</f>
        <v>16</v>
      </c>
      <c r="V189" s="90">
        <f t="shared" ref="V189" si="408">U189+1</f>
        <v>17</v>
      </c>
      <c r="W189" s="90">
        <f t="shared" ref="W189" si="409">V189+1</f>
        <v>18</v>
      </c>
      <c r="X189" s="90">
        <f t="shared" ref="X189" si="410">W189+1</f>
        <v>19</v>
      </c>
      <c r="Y189" s="90">
        <f t="shared" ref="Y189" si="411">X189+1</f>
        <v>20</v>
      </c>
      <c r="Z189" s="90">
        <f t="shared" ref="Z189" si="412">Y189+1</f>
        <v>21</v>
      </c>
      <c r="AA189" s="90">
        <f t="shared" ref="AA189" si="413">Z189+1</f>
        <v>22</v>
      </c>
      <c r="AB189" s="90">
        <f t="shared" ref="AB189" si="414">AA189+1</f>
        <v>23</v>
      </c>
      <c r="AC189" s="90">
        <f t="shared" ref="AC189" si="415">AB189+1</f>
        <v>24</v>
      </c>
      <c r="AD189" s="90">
        <f t="shared" ref="AD189" si="416">AC189+1</f>
        <v>25</v>
      </c>
      <c r="AE189" s="90">
        <f t="shared" ref="AE189" si="417">AD189+1</f>
        <v>26</v>
      </c>
      <c r="AF189" s="90">
        <f t="shared" ref="AF189" si="418">AE189+1</f>
        <v>27</v>
      </c>
      <c r="AG189" s="90">
        <f t="shared" ref="AG189" si="419">AF189+1</f>
        <v>28</v>
      </c>
      <c r="AH189" s="90">
        <f t="shared" ref="AH189" si="420">AG189+1</f>
        <v>29</v>
      </c>
      <c r="AI189" s="90">
        <f t="shared" ref="AI189" si="421">AH189+1</f>
        <v>30</v>
      </c>
      <c r="AJ189" s="90">
        <f t="shared" ref="AJ189" si="422">AI189+1</f>
        <v>31</v>
      </c>
      <c r="AK189" s="90">
        <f t="shared" ref="AK189" si="423">AJ189+1</f>
        <v>32</v>
      </c>
      <c r="AL189" s="90">
        <f t="shared" ref="AL189" si="424">AK189+1</f>
        <v>33</v>
      </c>
      <c r="AM189" s="90">
        <f t="shared" ref="AM189" si="425">AL189+1</f>
        <v>34</v>
      </c>
      <c r="AN189" s="90">
        <f t="shared" ref="AN189" si="426">AM189+1</f>
        <v>35</v>
      </c>
      <c r="AO189" s="90">
        <f t="shared" ref="AO189" si="427">AN189+1</f>
        <v>36</v>
      </c>
      <c r="AP189" s="90">
        <f t="shared" ref="AP189" si="428">AO189+1</f>
        <v>37</v>
      </c>
      <c r="AQ189" s="90">
        <f t="shared" ref="AQ189" si="429">AP189+1</f>
        <v>38</v>
      </c>
      <c r="AR189" s="90">
        <f t="shared" ref="AR189" si="430">AQ189+1</f>
        <v>39</v>
      </c>
      <c r="AS189" s="90">
        <f t="shared" ref="AS189" si="431">AR189+1</f>
        <v>40</v>
      </c>
      <c r="AT189" s="90">
        <f t="shared" ref="AT189" si="432">AS189+1</f>
        <v>41</v>
      </c>
      <c r="AU189" s="90">
        <f t="shared" ref="AU189" si="433">AT189+1</f>
        <v>42</v>
      </c>
      <c r="AV189" s="90">
        <f t="shared" ref="AV189" si="434">AU189+1</f>
        <v>43</v>
      </c>
      <c r="AW189" s="90">
        <f t="shared" ref="AW189" si="435">AV189+1</f>
        <v>44</v>
      </c>
      <c r="AX189" s="90">
        <f t="shared" ref="AX189" si="436">AW189+1</f>
        <v>45</v>
      </c>
    </row>
    <row r="190" spans="1:50" ht="14.25" customHeight="1">
      <c r="A190" s="1"/>
      <c r="B190" s="1"/>
      <c r="C190" s="83"/>
      <c r="D190" s="83"/>
      <c r="E190" s="83"/>
      <c r="F190" s="806" t="s">
        <v>354</v>
      </c>
      <c r="G190" s="806"/>
      <c r="H190" s="806"/>
      <c r="I190" s="806"/>
      <c r="J190" s="806"/>
      <c r="K190" s="806"/>
      <c r="L190" s="806"/>
      <c r="M190" s="806"/>
      <c r="N190" s="806"/>
      <c r="O190" s="806"/>
      <c r="P190" s="806"/>
      <c r="Q190" s="806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</row>
    <row r="191" spans="1:50" ht="14.25" customHeight="1">
      <c r="A191" s="1"/>
      <c r="B191" s="84"/>
      <c r="C191" s="2"/>
      <c r="D191" s="2"/>
      <c r="E191" s="3">
        <f t="shared" ref="E191:AX191" si="437">E134</f>
        <v>2026</v>
      </c>
      <c r="F191" s="91">
        <f t="shared" si="437"/>
        <v>2027</v>
      </c>
      <c r="G191" s="91">
        <f t="shared" si="437"/>
        <v>2028</v>
      </c>
      <c r="H191" s="91">
        <f t="shared" si="437"/>
        <v>2029</v>
      </c>
      <c r="I191" s="91">
        <f t="shared" si="437"/>
        <v>2030</v>
      </c>
      <c r="J191" s="91">
        <f t="shared" si="437"/>
        <v>2031</v>
      </c>
      <c r="K191" s="91">
        <f t="shared" si="437"/>
        <v>2032</v>
      </c>
      <c r="L191" s="91">
        <f t="shared" si="437"/>
        <v>2033</v>
      </c>
      <c r="M191" s="91">
        <f t="shared" si="437"/>
        <v>2034</v>
      </c>
      <c r="N191" s="91">
        <f t="shared" si="437"/>
        <v>2035</v>
      </c>
      <c r="O191" s="91">
        <f t="shared" si="437"/>
        <v>2036</v>
      </c>
      <c r="P191" s="91">
        <f t="shared" si="437"/>
        <v>2037</v>
      </c>
      <c r="Q191" s="91">
        <f t="shared" si="437"/>
        <v>2038</v>
      </c>
      <c r="R191" s="91">
        <f t="shared" si="437"/>
        <v>2039</v>
      </c>
      <c r="S191" s="91">
        <f t="shared" si="437"/>
        <v>2040</v>
      </c>
      <c r="T191" s="91">
        <f t="shared" si="437"/>
        <v>2041</v>
      </c>
      <c r="U191" s="91">
        <f t="shared" si="437"/>
        <v>2042</v>
      </c>
      <c r="V191" s="91">
        <f t="shared" si="437"/>
        <v>2043</v>
      </c>
      <c r="W191" s="91">
        <f t="shared" si="437"/>
        <v>2044</v>
      </c>
      <c r="X191" s="91">
        <f t="shared" si="437"/>
        <v>2045</v>
      </c>
      <c r="Y191" s="91">
        <f t="shared" si="437"/>
        <v>2046</v>
      </c>
      <c r="Z191" s="91">
        <f t="shared" si="437"/>
        <v>2047</v>
      </c>
      <c r="AA191" s="91">
        <f t="shared" si="437"/>
        <v>2048</v>
      </c>
      <c r="AB191" s="91">
        <f t="shared" si="437"/>
        <v>2049</v>
      </c>
      <c r="AC191" s="91">
        <f t="shared" si="437"/>
        <v>2050</v>
      </c>
      <c r="AD191" s="91">
        <f t="shared" si="437"/>
        <v>2051</v>
      </c>
      <c r="AE191" s="91">
        <f t="shared" si="437"/>
        <v>2052</v>
      </c>
      <c r="AF191" s="91">
        <f t="shared" si="437"/>
        <v>2053</v>
      </c>
      <c r="AG191" s="91">
        <f t="shared" si="437"/>
        <v>2054</v>
      </c>
      <c r="AH191" s="91">
        <f t="shared" si="437"/>
        <v>2055</v>
      </c>
      <c r="AI191" s="91">
        <f t="shared" si="437"/>
        <v>2056</v>
      </c>
      <c r="AJ191" s="91">
        <f t="shared" si="437"/>
        <v>2057</v>
      </c>
      <c r="AK191" s="91">
        <f t="shared" si="437"/>
        <v>2058</v>
      </c>
      <c r="AL191" s="91">
        <f t="shared" si="437"/>
        <v>2059</v>
      </c>
      <c r="AM191" s="91">
        <f t="shared" si="437"/>
        <v>2060</v>
      </c>
      <c r="AN191" s="91">
        <f t="shared" si="437"/>
        <v>2061</v>
      </c>
      <c r="AO191" s="91">
        <f t="shared" si="437"/>
        <v>2062</v>
      </c>
      <c r="AP191" s="91">
        <f t="shared" si="437"/>
        <v>2063</v>
      </c>
      <c r="AQ191" s="91">
        <f t="shared" si="437"/>
        <v>2064</v>
      </c>
      <c r="AR191" s="91">
        <f t="shared" si="437"/>
        <v>2065</v>
      </c>
      <c r="AS191" s="91">
        <f t="shared" si="437"/>
        <v>2066</v>
      </c>
      <c r="AT191" s="91">
        <f t="shared" si="437"/>
        <v>2067</v>
      </c>
      <c r="AU191" s="91">
        <f t="shared" si="437"/>
        <v>2068</v>
      </c>
      <c r="AV191" s="91">
        <f t="shared" si="437"/>
        <v>2069</v>
      </c>
      <c r="AW191" s="91">
        <f t="shared" si="437"/>
        <v>2070</v>
      </c>
      <c r="AX191" s="91">
        <f t="shared" si="437"/>
        <v>2071</v>
      </c>
    </row>
    <row r="192" spans="1:50" ht="14.25" customHeight="1">
      <c r="A192" s="1"/>
      <c r="B192" s="84"/>
      <c r="C192" s="92"/>
      <c r="D192" s="92"/>
      <c r="E192" s="93">
        <f t="shared" ref="E192:AX192" si="438">E135</f>
        <v>46023</v>
      </c>
      <c r="F192" s="93">
        <f t="shared" si="438"/>
        <v>46752</v>
      </c>
      <c r="G192" s="93">
        <f t="shared" si="438"/>
        <v>47118</v>
      </c>
      <c r="H192" s="93">
        <f t="shared" si="438"/>
        <v>47483</v>
      </c>
      <c r="I192" s="93">
        <f t="shared" si="438"/>
        <v>47848</v>
      </c>
      <c r="J192" s="93">
        <f t="shared" si="438"/>
        <v>48213</v>
      </c>
      <c r="K192" s="93">
        <f t="shared" si="438"/>
        <v>48579</v>
      </c>
      <c r="L192" s="93">
        <f t="shared" si="438"/>
        <v>48944</v>
      </c>
      <c r="M192" s="93">
        <f t="shared" si="438"/>
        <v>49309</v>
      </c>
      <c r="N192" s="93">
        <f t="shared" si="438"/>
        <v>49674</v>
      </c>
      <c r="O192" s="93">
        <f t="shared" si="438"/>
        <v>50040</v>
      </c>
      <c r="P192" s="93">
        <f t="shared" si="438"/>
        <v>50405</v>
      </c>
      <c r="Q192" s="93">
        <f t="shared" si="438"/>
        <v>50770</v>
      </c>
      <c r="R192" s="93">
        <f t="shared" si="438"/>
        <v>51135</v>
      </c>
      <c r="S192" s="93">
        <f t="shared" si="438"/>
        <v>51501</v>
      </c>
      <c r="T192" s="93">
        <f t="shared" si="438"/>
        <v>51866</v>
      </c>
      <c r="U192" s="93">
        <f t="shared" si="438"/>
        <v>52231</v>
      </c>
      <c r="V192" s="93">
        <f t="shared" si="438"/>
        <v>52596</v>
      </c>
      <c r="W192" s="93">
        <f t="shared" si="438"/>
        <v>52962</v>
      </c>
      <c r="X192" s="93">
        <f t="shared" si="438"/>
        <v>53327</v>
      </c>
      <c r="Y192" s="93">
        <f t="shared" si="438"/>
        <v>53692</v>
      </c>
      <c r="Z192" s="93">
        <f t="shared" si="438"/>
        <v>54057</v>
      </c>
      <c r="AA192" s="93">
        <f t="shared" si="438"/>
        <v>54423</v>
      </c>
      <c r="AB192" s="93">
        <f t="shared" si="438"/>
        <v>54788</v>
      </c>
      <c r="AC192" s="93">
        <f t="shared" si="438"/>
        <v>55153</v>
      </c>
      <c r="AD192" s="93">
        <f t="shared" si="438"/>
        <v>55518</v>
      </c>
      <c r="AE192" s="93">
        <f t="shared" si="438"/>
        <v>55884</v>
      </c>
      <c r="AF192" s="93">
        <f t="shared" si="438"/>
        <v>56249</v>
      </c>
      <c r="AG192" s="93">
        <f t="shared" si="438"/>
        <v>56614</v>
      </c>
      <c r="AH192" s="93">
        <f t="shared" si="438"/>
        <v>56979</v>
      </c>
      <c r="AI192" s="93">
        <f t="shared" si="438"/>
        <v>57345</v>
      </c>
      <c r="AJ192" s="93">
        <f t="shared" si="438"/>
        <v>57710</v>
      </c>
      <c r="AK192" s="93">
        <f t="shared" si="438"/>
        <v>58075</v>
      </c>
      <c r="AL192" s="93">
        <f t="shared" si="438"/>
        <v>58440</v>
      </c>
      <c r="AM192" s="93">
        <f t="shared" si="438"/>
        <v>58806</v>
      </c>
      <c r="AN192" s="93">
        <f t="shared" si="438"/>
        <v>59171</v>
      </c>
      <c r="AO192" s="93">
        <f t="shared" si="438"/>
        <v>59536</v>
      </c>
      <c r="AP192" s="93">
        <f t="shared" si="438"/>
        <v>59901</v>
      </c>
      <c r="AQ192" s="93">
        <f t="shared" si="438"/>
        <v>60267</v>
      </c>
      <c r="AR192" s="93">
        <f t="shared" si="438"/>
        <v>60632</v>
      </c>
      <c r="AS192" s="93">
        <f t="shared" si="438"/>
        <v>60997</v>
      </c>
      <c r="AT192" s="93">
        <f t="shared" si="438"/>
        <v>61362</v>
      </c>
      <c r="AU192" s="93">
        <f t="shared" si="438"/>
        <v>61728</v>
      </c>
      <c r="AV192" s="93">
        <f t="shared" si="438"/>
        <v>62093</v>
      </c>
      <c r="AW192" s="93">
        <f t="shared" si="438"/>
        <v>62458</v>
      </c>
      <c r="AX192" s="93">
        <f t="shared" si="438"/>
        <v>62823</v>
      </c>
    </row>
    <row r="193" spans="1:50" ht="14.25" customHeight="1">
      <c r="A193" s="1"/>
      <c r="B193" s="84"/>
      <c r="C193" s="1" t="s">
        <v>443</v>
      </c>
      <c r="D193" s="1"/>
      <c r="E193" s="15" t="e">
        <f>_xlfn.XLOOKUP(E$134, 'GEN-CCGT'!$D$32:$BA$32, 'GEN-CCGT'!$D91:$BA91)+_xlfn.XLOOKUP(E$134, 'GEN-SOLAR'!$D$32:$BA$32, 'GEN-SOLAR'!$D91:$BA91)+_xlfn.XLOOKUP(E$134, 'GEN-BESS'!$D$32:$BA$32, 'GEN-BESS'!$D91:$BA91)+_xlfn.XLOOKUP(E$134, 'GEN-CARBON'!$D$32:$BA$32, 'GEN-CARBON'!$D91:$BA91)+_xlfn.XLOOKUP(E$134, Load!$D$32:$BA$32, Load!$D91:$BA91)+_xlfn.XLOOKUP(E$134, Hydrogen!$D$32:$BA$32, Hydrogen!$D91:$BA91)+_xlfn.XLOOKUP(E$134, 'SENS Tires'!$D$32:$BA$32, 'SENS Tires'!$D91:$BA91)+_xlfn.XLOOKUP(E$134, 'SENS Coal'!$D$32:$BA$32, 'SENS Coal'!$D91:$BA91)</f>
        <v>#N/A</v>
      </c>
      <c r="F193" s="15">
        <f>_xlfn.XLOOKUP(F$134, 'GEN-CCGT'!$D$32:$BA$32, 'GEN-CCGT'!$D91:$BA91)+_xlfn.XLOOKUP(F$134, 'GEN-SOLAR'!$D$32:$BA$32, 'GEN-SOLAR'!$D91:$BA91)+_xlfn.XLOOKUP(F$134, 'GEN-BESS'!$D$32:$BA$32, 'GEN-BESS'!$D91:$BA91)+_xlfn.XLOOKUP(F$134, 'GEN-CARBON'!$D$32:$BA$32, 'GEN-CARBON'!$D91:$BA91)+_xlfn.XLOOKUP(F$134, Load!$D$32:$BA$32, Load!$D91:$BA91)+_xlfn.XLOOKUP(F$134, Hydrogen!$D$32:$BA$32, Hydrogen!$D91:$BA91)+_xlfn.XLOOKUP(F$134, 'SENS Tires'!$D$32:$BA$32, 'SENS Tires'!$D91:$BA91)+_xlfn.XLOOKUP(F$134, 'SENS Coal'!$D$32:$BA$32, 'SENS Coal'!$D91:$BA91)</f>
        <v>6551.2744682295361</v>
      </c>
      <c r="G193" s="15">
        <f>_xlfn.XLOOKUP(G$134, 'GEN-CCGT'!$D$32:$BA$32, 'GEN-CCGT'!$D91:$BA91)+_xlfn.XLOOKUP(G$134, 'GEN-SOLAR'!$D$32:$BA$32, 'GEN-SOLAR'!$D91:$BA91)+_xlfn.XLOOKUP(G$134, 'GEN-BESS'!$D$32:$BA$32, 'GEN-BESS'!$D91:$BA91)+_xlfn.XLOOKUP(G$134, 'GEN-CARBON'!$D$32:$BA$32, 'GEN-CARBON'!$D91:$BA91)+_xlfn.XLOOKUP(G$134, Load!$D$32:$BA$32, Load!$D91:$BA91)+_xlfn.XLOOKUP(G$134, Hydrogen!$D$32:$BA$32, Hydrogen!$D91:$BA91)+_xlfn.XLOOKUP(G$134, 'SENS Tires'!$D$32:$BA$32, 'SENS Tires'!$D91:$BA91)+_xlfn.XLOOKUP(G$134, 'SENS Coal'!$D$32:$BA$32, 'SENS Coal'!$D91:$BA91)</f>
        <v>9272.7044599316105</v>
      </c>
      <c r="H193" s="15">
        <f>_xlfn.XLOOKUP(H$134, 'GEN-CCGT'!$D$32:$BA$32, 'GEN-CCGT'!$D91:$BA91)+_xlfn.XLOOKUP(H$134, 'GEN-SOLAR'!$D$32:$BA$32, 'GEN-SOLAR'!$D91:$BA91)+_xlfn.XLOOKUP(H$134, 'GEN-BESS'!$D$32:$BA$32, 'GEN-BESS'!$D91:$BA91)+_xlfn.XLOOKUP(H$134, 'GEN-CARBON'!$D$32:$BA$32, 'GEN-CARBON'!$D91:$BA91)+_xlfn.XLOOKUP(H$134, Load!$D$32:$BA$32, Load!$D91:$BA91)+_xlfn.XLOOKUP(H$134, Hydrogen!$D$32:$BA$32, Hydrogen!$D91:$BA91)+_xlfn.XLOOKUP(H$134, 'SENS Tires'!$D$32:$BA$32, 'SENS Tires'!$D91:$BA91)+_xlfn.XLOOKUP(H$134, 'SENS Coal'!$D$32:$BA$32, 'SENS Coal'!$D91:$BA91)</f>
        <v>9486.5103555009755</v>
      </c>
      <c r="I193" s="15">
        <f>_xlfn.XLOOKUP(I$134, 'GEN-CCGT'!$D$32:$BA$32, 'GEN-CCGT'!$D91:$BA91)+_xlfn.XLOOKUP(I$134, 'GEN-SOLAR'!$D$32:$BA$32, 'GEN-SOLAR'!$D91:$BA91)+_xlfn.XLOOKUP(I$134, 'GEN-BESS'!$D$32:$BA$32, 'GEN-BESS'!$D91:$BA91)+_xlfn.XLOOKUP(I$134, 'GEN-CARBON'!$D$32:$BA$32, 'GEN-CARBON'!$D91:$BA91)+_xlfn.XLOOKUP(I$134, Load!$D$32:$BA$32, Load!$D91:$BA91)+_xlfn.XLOOKUP(I$134, Hydrogen!$D$32:$BA$32, Hydrogen!$D91:$BA91)+_xlfn.XLOOKUP(I$134, 'SENS Tires'!$D$32:$BA$32, 'SENS Tires'!$D91:$BA91)+_xlfn.XLOOKUP(I$134, 'SENS Coal'!$D$32:$BA$32, 'SENS Coal'!$D91:$BA91)</f>
        <v>9791.1608169493538</v>
      </c>
      <c r="J193" s="15">
        <f>_xlfn.XLOOKUP(J$134, 'GEN-CCGT'!$D$32:$BA$32, 'GEN-CCGT'!$D91:$BA91)+_xlfn.XLOOKUP(J$134, 'GEN-SOLAR'!$D$32:$BA$32, 'GEN-SOLAR'!$D91:$BA91)+_xlfn.XLOOKUP(J$134, 'GEN-BESS'!$D$32:$BA$32, 'GEN-BESS'!$D91:$BA91)+_xlfn.XLOOKUP(J$134, 'GEN-CARBON'!$D$32:$BA$32, 'GEN-CARBON'!$D91:$BA91)+_xlfn.XLOOKUP(J$134, Load!$D$32:$BA$32, Load!$D91:$BA91)+_xlfn.XLOOKUP(J$134, Hydrogen!$D$32:$BA$32, Hydrogen!$D91:$BA91)+_xlfn.XLOOKUP(J$134, 'SENS Tires'!$D$32:$BA$32, 'SENS Tires'!$D91:$BA91)+_xlfn.XLOOKUP(J$134, 'SENS Coal'!$D$32:$BA$32, 'SENS Coal'!$D91:$BA91)</f>
        <v>9995.0630038717791</v>
      </c>
      <c r="K193" s="15">
        <f>_xlfn.XLOOKUP(K$134, 'GEN-CCGT'!$D$32:$BA$32, 'GEN-CCGT'!$D91:$BA91)+_xlfn.XLOOKUP(K$134, 'GEN-SOLAR'!$D$32:$BA$32, 'GEN-SOLAR'!$D91:$BA91)+_xlfn.XLOOKUP(K$134, 'GEN-BESS'!$D$32:$BA$32, 'GEN-BESS'!$D91:$BA91)+_xlfn.XLOOKUP(K$134, 'GEN-CARBON'!$D$32:$BA$32, 'GEN-CARBON'!$D91:$BA91)+_xlfn.XLOOKUP(K$134, Load!$D$32:$BA$32, Load!$D91:$BA91)+_xlfn.XLOOKUP(K$134, Hydrogen!$D$32:$BA$32, Hydrogen!$D91:$BA91)+_xlfn.XLOOKUP(K$134, 'SENS Tires'!$D$32:$BA$32, 'SENS Tires'!$D91:$BA91)+_xlfn.XLOOKUP(K$134, 'SENS Coal'!$D$32:$BA$32, 'SENS Coal'!$D91:$BA91)</f>
        <v>10173.403362742758</v>
      </c>
      <c r="L193" s="15">
        <f>_xlfn.XLOOKUP(L$134, 'GEN-CCGT'!$D$32:$BA$32, 'GEN-CCGT'!$D91:$BA91)+_xlfn.XLOOKUP(L$134, 'GEN-SOLAR'!$D$32:$BA$32, 'GEN-SOLAR'!$D91:$BA91)+_xlfn.XLOOKUP(L$134, 'GEN-BESS'!$D$32:$BA$32, 'GEN-BESS'!$D91:$BA91)+_xlfn.XLOOKUP(L$134, 'GEN-CARBON'!$D$32:$BA$32, 'GEN-CARBON'!$D91:$BA91)+_xlfn.XLOOKUP(L$134, Load!$D$32:$BA$32, Load!$D91:$BA91)+_xlfn.XLOOKUP(L$134, Hydrogen!$D$32:$BA$32, Hydrogen!$D91:$BA91)+_xlfn.XLOOKUP(L$134, 'SENS Tires'!$D$32:$BA$32, 'SENS Tires'!$D91:$BA91)+_xlfn.XLOOKUP(L$134, 'SENS Coal'!$D$32:$BA$32, 'SENS Coal'!$D91:$BA91)</f>
        <v>10355.350029669191</v>
      </c>
      <c r="M193" s="15">
        <f>_xlfn.XLOOKUP(M$134, 'GEN-CCGT'!$D$32:$BA$32, 'GEN-CCGT'!$D91:$BA91)+_xlfn.XLOOKUP(M$134, 'GEN-SOLAR'!$D$32:$BA$32, 'GEN-SOLAR'!$D91:$BA91)+_xlfn.XLOOKUP(M$134, 'GEN-BESS'!$D$32:$BA$32, 'GEN-BESS'!$D91:$BA91)+_xlfn.XLOOKUP(M$134, 'GEN-CARBON'!$D$32:$BA$32, 'GEN-CARBON'!$D91:$BA91)+_xlfn.XLOOKUP(M$134, Load!$D$32:$BA$32, Load!$D91:$BA91)+_xlfn.XLOOKUP(M$134, Hydrogen!$D$32:$BA$32, Hydrogen!$D91:$BA91)+_xlfn.XLOOKUP(M$134, 'SENS Tires'!$D$32:$BA$32, 'SENS Tires'!$D91:$BA91)+_xlfn.XLOOKUP(M$134, 'SENS Coal'!$D$32:$BA$32, 'SENS Coal'!$D91:$BA91)</f>
        <v>10540.976384860798</v>
      </c>
      <c r="N193" s="15">
        <f>_xlfn.XLOOKUP(N$134, 'GEN-CCGT'!$D$32:$BA$32, 'GEN-CCGT'!$D91:$BA91)+_xlfn.XLOOKUP(N$134, 'GEN-SOLAR'!$D$32:$BA$32, 'GEN-SOLAR'!$D91:$BA91)+_xlfn.XLOOKUP(N$134, 'GEN-BESS'!$D$32:$BA$32, 'GEN-BESS'!$D91:$BA91)+_xlfn.XLOOKUP(N$134, 'GEN-CARBON'!$D$32:$BA$32, 'GEN-CARBON'!$D91:$BA91)+_xlfn.XLOOKUP(N$134, Load!$D$32:$BA$32, Load!$D91:$BA91)+_xlfn.XLOOKUP(N$134, Hydrogen!$D$32:$BA$32, Hydrogen!$D91:$BA91)+_xlfn.XLOOKUP(N$134, 'SENS Tires'!$D$32:$BA$32, 'SENS Tires'!$D91:$BA91)+_xlfn.XLOOKUP(N$134, 'SENS Coal'!$D$32:$BA$32, 'SENS Coal'!$D91:$BA91)</f>
        <v>10730.357314748499</v>
      </c>
      <c r="O193" s="15">
        <f>_xlfn.XLOOKUP(O$134, 'GEN-CCGT'!$D$32:$BA$32, 'GEN-CCGT'!$D91:$BA91)+_xlfn.XLOOKUP(O$134, 'GEN-SOLAR'!$D$32:$BA$32, 'GEN-SOLAR'!$D91:$BA91)+_xlfn.XLOOKUP(O$134, 'GEN-BESS'!$D$32:$BA$32, 'GEN-BESS'!$D91:$BA91)+_xlfn.XLOOKUP(O$134, 'GEN-CARBON'!$D$32:$BA$32, 'GEN-CARBON'!$D91:$BA91)+_xlfn.XLOOKUP(O$134, Load!$D$32:$BA$32, Load!$D91:$BA91)+_xlfn.XLOOKUP(O$134, Hydrogen!$D$32:$BA$32, Hydrogen!$D91:$BA91)+_xlfn.XLOOKUP(O$134, 'SENS Tires'!$D$32:$BA$32, 'SENS Tires'!$D91:$BA91)+_xlfn.XLOOKUP(O$134, 'SENS Coal'!$D$32:$BA$32, 'SENS Coal'!$D91:$BA91)</f>
        <v>10923.569243283549</v>
      </c>
      <c r="P193" s="15">
        <f>_xlfn.XLOOKUP(P$134, 'GEN-CCGT'!$D$32:$BA$32, 'GEN-CCGT'!$D91:$BA91)+_xlfn.XLOOKUP(P$134, 'GEN-SOLAR'!$D$32:$BA$32, 'GEN-SOLAR'!$D91:$BA91)+_xlfn.XLOOKUP(P$134, 'GEN-BESS'!$D$32:$BA$32, 'GEN-BESS'!$D91:$BA91)+_xlfn.XLOOKUP(P$134, 'GEN-CARBON'!$D$32:$BA$32, 'GEN-CARBON'!$D91:$BA91)+_xlfn.XLOOKUP(P$134, Load!$D$32:$BA$32, Load!$D91:$BA91)+_xlfn.XLOOKUP(P$134, Hydrogen!$D$32:$BA$32, Hydrogen!$D91:$BA91)+_xlfn.XLOOKUP(P$134, 'SENS Tires'!$D$32:$BA$32, 'SENS Tires'!$D91:$BA91)+_xlfn.XLOOKUP(P$134, 'SENS Coal'!$D$32:$BA$32, 'SENS Coal'!$D91:$BA91)</f>
        <v>10016.920300884549</v>
      </c>
      <c r="Q193" s="15">
        <f>_xlfn.XLOOKUP(Q$134, 'GEN-CCGT'!$D$32:$BA$32, 'GEN-CCGT'!$D91:$BA91)+_xlfn.XLOOKUP(Q$134, 'GEN-SOLAR'!$D$32:$BA$32, 'GEN-SOLAR'!$D91:$BA91)+_xlfn.XLOOKUP(Q$134, 'GEN-BESS'!$D$32:$BA$32, 'GEN-BESS'!$D91:$BA91)+_xlfn.XLOOKUP(Q$134, 'GEN-CARBON'!$D$32:$BA$32, 'GEN-CARBON'!$D91:$BA91)+_xlfn.XLOOKUP(Q$134, Load!$D$32:$BA$32, Load!$D91:$BA91)+_xlfn.XLOOKUP(Q$134, Hydrogen!$D$32:$BA$32, Hydrogen!$D91:$BA91)+_xlfn.XLOOKUP(Q$134, 'SENS Tires'!$D$32:$BA$32, 'SENS Tires'!$D91:$BA91)+_xlfn.XLOOKUP(Q$134, 'SENS Coal'!$D$32:$BA$32, 'SENS Coal'!$D91:$BA91)</f>
        <v>10218.029809128704</v>
      </c>
      <c r="R193" s="15">
        <f>_xlfn.XLOOKUP(R$134, 'GEN-CCGT'!$D$32:$BA$32, 'GEN-CCGT'!$D91:$BA91)+_xlfn.XLOOKUP(R$134, 'GEN-SOLAR'!$D$32:$BA$32, 'GEN-SOLAR'!$D91:$BA91)+_xlfn.XLOOKUP(R$134, 'GEN-BESS'!$D$32:$BA$32, 'GEN-BESS'!$D91:$BA91)+_xlfn.XLOOKUP(R$134, 'GEN-CARBON'!$D$32:$BA$32, 'GEN-CARBON'!$D91:$BA91)+_xlfn.XLOOKUP(R$134, Load!$D$32:$BA$32, Load!$D91:$BA91)+_xlfn.XLOOKUP(R$134, Hydrogen!$D$32:$BA$32, Hydrogen!$D91:$BA91)+_xlfn.XLOOKUP(R$134, 'SENS Tires'!$D$32:$BA$32, 'SENS Tires'!$D91:$BA91)+_xlfn.XLOOKUP(R$134, 'SENS Coal'!$D$32:$BA$32, 'SENS Coal'!$D91:$BA91)</f>
        <v>10423.209135996511</v>
      </c>
      <c r="S193" s="15">
        <f>_xlfn.XLOOKUP(S$134, 'GEN-CCGT'!$D$32:$BA$32, 'GEN-CCGT'!$D91:$BA91)+_xlfn.XLOOKUP(S$134, 'GEN-SOLAR'!$D$32:$BA$32, 'GEN-SOLAR'!$D91:$BA91)+_xlfn.XLOOKUP(S$134, 'GEN-BESS'!$D$32:$BA$32, 'GEN-BESS'!$D91:$BA91)+_xlfn.XLOOKUP(S$134, 'GEN-CARBON'!$D$32:$BA$32, 'GEN-CARBON'!$D91:$BA91)+_xlfn.XLOOKUP(S$134, Load!$D$32:$BA$32, Load!$D91:$BA91)+_xlfn.XLOOKUP(S$134, Hydrogen!$D$32:$BA$32, Hydrogen!$D91:$BA91)+_xlfn.XLOOKUP(S$134, 'SENS Tires'!$D$32:$BA$32, 'SENS Tires'!$D91:$BA91)+_xlfn.XLOOKUP(S$134, 'SENS Coal'!$D$32:$BA$32, 'SENS Coal'!$D91:$BA91)</f>
        <v>10632.541181958768</v>
      </c>
      <c r="T193" s="15">
        <f>_xlfn.XLOOKUP(T$134, 'GEN-CCGT'!$D$32:$BA$32, 'GEN-CCGT'!$D91:$BA91)+_xlfn.XLOOKUP(T$134, 'GEN-SOLAR'!$D$32:$BA$32, 'GEN-SOLAR'!$D91:$BA91)+_xlfn.XLOOKUP(T$134, 'GEN-BESS'!$D$32:$BA$32, 'GEN-BESS'!$D91:$BA91)+_xlfn.XLOOKUP(T$134, 'GEN-CARBON'!$D$32:$BA$32, 'GEN-CARBON'!$D91:$BA91)+_xlfn.XLOOKUP(T$134, Load!$D$32:$BA$32, Load!$D91:$BA91)+_xlfn.XLOOKUP(T$134, Hydrogen!$D$32:$BA$32, Hydrogen!$D91:$BA91)+_xlfn.XLOOKUP(T$134, 'SENS Tires'!$D$32:$BA$32, 'SENS Tires'!$D91:$BA91)+_xlfn.XLOOKUP(T$134, 'SENS Coal'!$D$32:$BA$32, 'SENS Coal'!$D91:$BA91)</f>
        <v>10846.110551715758</v>
      </c>
      <c r="U193" s="15">
        <f>_xlfn.XLOOKUP(U$134, 'GEN-CCGT'!$D$32:$BA$32, 'GEN-CCGT'!$D91:$BA91)+_xlfn.XLOOKUP(U$134, 'GEN-SOLAR'!$D$32:$BA$32, 'GEN-SOLAR'!$D91:$BA91)+_xlfn.XLOOKUP(U$134, 'GEN-BESS'!$D$32:$BA$32, 'GEN-BESS'!$D91:$BA91)+_xlfn.XLOOKUP(U$134, 'GEN-CARBON'!$D$32:$BA$32, 'GEN-CARBON'!$D91:$BA91)+_xlfn.XLOOKUP(U$134, Load!$D$32:$BA$32, Load!$D91:$BA91)+_xlfn.XLOOKUP(U$134, Hydrogen!$D$32:$BA$32, Hydrogen!$D91:$BA91)+_xlfn.XLOOKUP(U$134, 'SENS Tires'!$D$32:$BA$32, 'SENS Tires'!$D91:$BA91)+_xlfn.XLOOKUP(U$134, 'SENS Coal'!$D$32:$BA$32, 'SENS Coal'!$D91:$BA91)</f>
        <v>11064.003589686312</v>
      </c>
      <c r="V193" s="15">
        <f>_xlfn.XLOOKUP(V$134, 'GEN-CCGT'!$D$32:$BA$32, 'GEN-CCGT'!$D91:$BA91)+_xlfn.XLOOKUP(V$134, 'GEN-SOLAR'!$D$32:$BA$32, 'GEN-SOLAR'!$D91:$BA91)+_xlfn.XLOOKUP(V$134, 'GEN-BESS'!$D$32:$BA$32, 'GEN-BESS'!$D91:$BA91)+_xlfn.XLOOKUP(V$134, 'GEN-CARBON'!$D$32:$BA$32, 'GEN-CARBON'!$D91:$BA91)+_xlfn.XLOOKUP(V$134, Load!$D$32:$BA$32, Load!$D91:$BA91)+_xlfn.XLOOKUP(V$134, Hydrogen!$D$32:$BA$32, Hydrogen!$D91:$BA91)+_xlfn.XLOOKUP(V$134, 'SENS Tires'!$D$32:$BA$32, 'SENS Tires'!$D91:$BA91)+_xlfn.XLOOKUP(V$134, 'SENS Coal'!$D$32:$BA$32, 'SENS Coal'!$D91:$BA91)</f>
        <v>11286.308416249163</v>
      </c>
      <c r="W193" s="15">
        <f>_xlfn.XLOOKUP(W$134, 'GEN-CCGT'!$D$32:$BA$32, 'GEN-CCGT'!$D91:$BA91)+_xlfn.XLOOKUP(W$134, 'GEN-SOLAR'!$D$32:$BA$32, 'GEN-SOLAR'!$D91:$BA91)+_xlfn.XLOOKUP(W$134, 'GEN-BESS'!$D$32:$BA$32, 'GEN-BESS'!$D91:$BA91)+_xlfn.XLOOKUP(W$134, 'GEN-CARBON'!$D$32:$BA$32, 'GEN-CARBON'!$D91:$BA91)+_xlfn.XLOOKUP(W$134, Load!$D$32:$BA$32, Load!$D91:$BA91)+_xlfn.XLOOKUP(W$134, Hydrogen!$D$32:$BA$32, Hydrogen!$D91:$BA91)+_xlfn.XLOOKUP(W$134, 'SENS Tires'!$D$32:$BA$32, 'SENS Tires'!$D91:$BA91)+_xlfn.XLOOKUP(W$134, 'SENS Coal'!$D$32:$BA$32, 'SENS Coal'!$D91:$BA91)</f>
        <v>11513.114964752738</v>
      </c>
      <c r="X193" s="15">
        <f>_xlfn.XLOOKUP(X$134, 'GEN-CCGT'!$D$32:$BA$32, 'GEN-CCGT'!$D91:$BA91)+_xlfn.XLOOKUP(X$134, 'GEN-SOLAR'!$D$32:$BA$32, 'GEN-SOLAR'!$D91:$BA91)+_xlfn.XLOOKUP(X$134, 'GEN-BESS'!$D$32:$BA$32, 'GEN-BESS'!$D91:$BA91)+_xlfn.XLOOKUP(X$134, 'GEN-CARBON'!$D$32:$BA$32, 'GEN-CARBON'!$D91:$BA91)+_xlfn.XLOOKUP(X$134, Load!$D$32:$BA$32, Load!$D91:$BA91)+_xlfn.XLOOKUP(X$134, Hydrogen!$D$32:$BA$32, Hydrogen!$D91:$BA91)+_xlfn.XLOOKUP(X$134, 'SENS Tires'!$D$32:$BA$32, 'SENS Tires'!$D91:$BA91)+_xlfn.XLOOKUP(X$134, 'SENS Coal'!$D$32:$BA$32, 'SENS Coal'!$D91:$BA91)</f>
        <v>11744.515019310251</v>
      </c>
      <c r="Y193" s="15">
        <f>_xlfn.XLOOKUP(Y$134, 'GEN-CCGT'!$D$32:$BA$32, 'GEN-CCGT'!$D91:$BA91)+_xlfn.XLOOKUP(Y$134, 'GEN-SOLAR'!$D$32:$BA$32, 'GEN-SOLAR'!$D91:$BA91)+_xlfn.XLOOKUP(Y$134, 'GEN-BESS'!$D$32:$BA$32, 'GEN-BESS'!$D91:$BA91)+_xlfn.XLOOKUP(Y$134, 'GEN-CARBON'!$D$32:$BA$32, 'GEN-CARBON'!$D91:$BA91)+_xlfn.XLOOKUP(Y$134, Load!$D$32:$BA$32, Load!$D91:$BA91)+_xlfn.XLOOKUP(Y$134, Hydrogen!$D$32:$BA$32, Hydrogen!$D91:$BA91)+_xlfn.XLOOKUP(Y$134, 'SENS Tires'!$D$32:$BA$32, 'SENS Tires'!$D91:$BA91)+_xlfn.XLOOKUP(Y$134, 'SENS Coal'!$D$32:$BA$32, 'SENS Coal'!$D91:$BA91)</f>
        <v>11980.602253397008</v>
      </c>
      <c r="Z193" s="15">
        <f>_xlfn.XLOOKUP(Z$134, 'GEN-CCGT'!$D$32:$BA$32, 'GEN-CCGT'!$D91:$BA91)+_xlfn.XLOOKUP(Z$134, 'GEN-SOLAR'!$D$32:$BA$32, 'GEN-SOLAR'!$D91:$BA91)+_xlfn.XLOOKUP(Z$134, 'GEN-BESS'!$D$32:$BA$32, 'GEN-BESS'!$D91:$BA91)+_xlfn.XLOOKUP(Z$134, 'GEN-CARBON'!$D$32:$BA$32, 'GEN-CARBON'!$D91:$BA91)+_xlfn.XLOOKUP(Z$134, Load!$D$32:$BA$32, Load!$D91:$BA91)+_xlfn.XLOOKUP(Z$134, Hydrogen!$D$32:$BA$32, Hydrogen!$D91:$BA91)+_xlfn.XLOOKUP(Z$134, 'SENS Tires'!$D$32:$BA$32, 'SENS Tires'!$D91:$BA91)+_xlfn.XLOOKUP(Z$134, 'SENS Coal'!$D$32:$BA$32, 'SENS Coal'!$D91:$BA91)</f>
        <v>12221.472269267486</v>
      </c>
      <c r="AA193" s="15">
        <f>_xlfn.XLOOKUP(AA$134, 'GEN-CCGT'!$D$32:$BA$32, 'GEN-CCGT'!$D91:$BA91)+_xlfn.XLOOKUP(AA$134, 'GEN-SOLAR'!$D$32:$BA$32, 'GEN-SOLAR'!$D91:$BA91)+_xlfn.XLOOKUP(AA$134, 'GEN-BESS'!$D$32:$BA$32, 'GEN-BESS'!$D91:$BA91)+_xlfn.XLOOKUP(AA$134, 'GEN-CARBON'!$D$32:$BA$32, 'GEN-CARBON'!$D91:$BA91)+_xlfn.XLOOKUP(AA$134, Load!$D$32:$BA$32, Load!$D91:$BA91)+_xlfn.XLOOKUP(AA$134, Hydrogen!$D$32:$BA$32, Hydrogen!$D91:$BA91)+_xlfn.XLOOKUP(AA$134, 'SENS Tires'!$D$32:$BA$32, 'SENS Tires'!$D91:$BA91)+_xlfn.XLOOKUP(AA$134, 'SENS Coal'!$D$32:$BA$32, 'SENS Coal'!$D91:$BA91)</f>
        <v>12467.222638209914</v>
      </c>
      <c r="AB193" s="15">
        <f>_xlfn.XLOOKUP(AB$134, 'GEN-CCGT'!$D$32:$BA$32, 'GEN-CCGT'!$D91:$BA91)+_xlfn.XLOOKUP(AB$134, 'GEN-SOLAR'!$D$32:$BA$32, 'GEN-SOLAR'!$D91:$BA91)+_xlfn.XLOOKUP(AB$134, 'GEN-BESS'!$D$32:$BA$32, 'GEN-BESS'!$D91:$BA91)+_xlfn.XLOOKUP(AB$134, 'GEN-CARBON'!$D$32:$BA$32, 'GEN-CARBON'!$D91:$BA91)+_xlfn.XLOOKUP(AB$134, Load!$D$32:$BA$32, Load!$D91:$BA91)+_xlfn.XLOOKUP(AB$134, Hydrogen!$D$32:$BA$32, Hydrogen!$D91:$BA91)+_xlfn.XLOOKUP(AB$134, 'SENS Tires'!$D$32:$BA$32, 'SENS Tires'!$D91:$BA91)+_xlfn.XLOOKUP(AB$134, 'SENS Coal'!$D$32:$BA$32, 'SENS Coal'!$D91:$BA91)</f>
        <v>12717.952941656687</v>
      </c>
      <c r="AC193" s="15">
        <f>_xlfn.XLOOKUP(AC$134, 'GEN-CCGT'!$D$32:$BA$32, 'GEN-CCGT'!$D91:$BA91)+_xlfn.XLOOKUP(AC$134, 'GEN-SOLAR'!$D$32:$BA$32, 'GEN-SOLAR'!$D91:$BA91)+_xlfn.XLOOKUP(AC$134, 'GEN-BESS'!$D$32:$BA$32, 'GEN-BESS'!$D91:$BA91)+_xlfn.XLOOKUP(AC$134, 'GEN-CARBON'!$D$32:$BA$32, 'GEN-CARBON'!$D91:$BA91)+_xlfn.XLOOKUP(AC$134, Load!$D$32:$BA$32, Load!$D91:$BA91)+_xlfn.XLOOKUP(AC$134, Hydrogen!$D$32:$BA$32, Hydrogen!$D91:$BA91)+_xlfn.XLOOKUP(AC$134, 'SENS Tires'!$D$32:$BA$32, 'SENS Tires'!$D91:$BA91)+_xlfn.XLOOKUP(AC$134, 'SENS Coal'!$D$32:$BA$32, 'SENS Coal'!$D91:$BA91)</f>
        <v>12973.764813169155</v>
      </c>
      <c r="AD193" s="15">
        <f>_xlfn.XLOOKUP(AD$134, 'GEN-CCGT'!$D$32:$BA$32, 'GEN-CCGT'!$D91:$BA91)+_xlfn.XLOOKUP(AD$134, 'GEN-SOLAR'!$D$32:$BA$32, 'GEN-SOLAR'!$D91:$BA91)+_xlfn.XLOOKUP(AD$134, 'GEN-BESS'!$D$32:$BA$32, 'GEN-BESS'!$D91:$BA91)+_xlfn.XLOOKUP(AD$134, 'GEN-CARBON'!$D$32:$BA$32, 'GEN-CARBON'!$D91:$BA91)+_xlfn.XLOOKUP(AD$134, Load!$D$32:$BA$32, Load!$D91:$BA91)+_xlfn.XLOOKUP(AD$134, Hydrogen!$D$32:$BA$32, Hydrogen!$D91:$BA91)+_xlfn.XLOOKUP(AD$134, 'SENS Tires'!$D$32:$BA$32, 'SENS Tires'!$D91:$BA91)+_xlfn.XLOOKUP(AD$134, 'SENS Coal'!$D$32:$BA$32, 'SENS Coal'!$D91:$BA91)</f>
        <v>13234.761981315938</v>
      </c>
      <c r="AE193" s="15">
        <f>_xlfn.XLOOKUP(AE$134, 'GEN-CCGT'!$D$32:$BA$32, 'GEN-CCGT'!$D91:$BA91)+_xlfn.XLOOKUP(AE$134, 'GEN-SOLAR'!$D$32:$BA$32, 'GEN-SOLAR'!$D91:$BA91)+_xlfn.XLOOKUP(AE$134, 'GEN-BESS'!$D$32:$BA$32, 'GEN-BESS'!$D91:$BA91)+_xlfn.XLOOKUP(AE$134, 'GEN-CARBON'!$D$32:$BA$32, 'GEN-CARBON'!$D91:$BA91)+_xlfn.XLOOKUP(AE$134, Load!$D$32:$BA$32, Load!$D91:$BA91)+_xlfn.XLOOKUP(AE$134, Hydrogen!$D$32:$BA$32, Hydrogen!$D91:$BA91)+_xlfn.XLOOKUP(AE$134, 'SENS Tires'!$D$32:$BA$32, 'SENS Tires'!$D91:$BA91)+_xlfn.XLOOKUP(AE$134, 'SENS Coal'!$D$32:$BA$32, 'SENS Coal'!$D91:$BA91)</f>
        <v>13501.050313464209</v>
      </c>
      <c r="AF193" s="15">
        <f>_xlfn.XLOOKUP(AF$134, 'GEN-CCGT'!$D$32:$BA$32, 'GEN-CCGT'!$D91:$BA91)+_xlfn.XLOOKUP(AF$134, 'GEN-SOLAR'!$D$32:$BA$32, 'GEN-SOLAR'!$D91:$BA91)+_xlfn.XLOOKUP(AF$134, 'GEN-BESS'!$D$32:$BA$32, 'GEN-BESS'!$D91:$BA91)+_xlfn.XLOOKUP(AF$134, 'GEN-CARBON'!$D$32:$BA$32, 'GEN-CARBON'!$D91:$BA91)+_xlfn.XLOOKUP(AF$134, Load!$D$32:$BA$32, Load!$D91:$BA91)+_xlfn.XLOOKUP(AF$134, Hydrogen!$D$32:$BA$32, Hydrogen!$D91:$BA91)+_xlfn.XLOOKUP(AF$134, 'SENS Tires'!$D$32:$BA$32, 'SENS Tires'!$D91:$BA91)+_xlfn.XLOOKUP(AF$134, 'SENS Coal'!$D$32:$BA$32, 'SENS Coal'!$D91:$BA91)</f>
        <v>13254.089076319071</v>
      </c>
      <c r="AG193" s="15">
        <f>_xlfn.XLOOKUP(AG$134, 'GEN-CCGT'!$D$32:$BA$32, 'GEN-CCGT'!$D91:$BA91)+_xlfn.XLOOKUP(AG$134, 'GEN-SOLAR'!$D$32:$BA$32, 'GEN-SOLAR'!$D91:$BA91)+_xlfn.XLOOKUP(AG$134, 'GEN-BESS'!$D$32:$BA$32, 'GEN-BESS'!$D91:$BA91)+_xlfn.XLOOKUP(AG$134, 'GEN-CARBON'!$D$32:$BA$32, 'GEN-CARBON'!$D91:$BA91)+_xlfn.XLOOKUP(AG$134, Load!$D$32:$BA$32, Load!$D91:$BA91)+_xlfn.XLOOKUP(AG$134, Hydrogen!$D$32:$BA$32, Hydrogen!$D91:$BA91)+_xlfn.XLOOKUP(AG$134, 'SENS Tires'!$D$32:$BA$32, 'SENS Tires'!$D91:$BA91)+_xlfn.XLOOKUP(AG$134, 'SENS Coal'!$D$32:$BA$32, 'SENS Coal'!$D91:$BA91)</f>
        <v>13520.391196960918</v>
      </c>
      <c r="AH193" s="15">
        <f>_xlfn.XLOOKUP(AH$134, 'GEN-CCGT'!$D$32:$BA$32, 'GEN-CCGT'!$D91:$BA91)+_xlfn.XLOOKUP(AH$134, 'GEN-SOLAR'!$D$32:$BA$32, 'GEN-SOLAR'!$D91:$BA91)+_xlfn.XLOOKUP(AH$134, 'GEN-BESS'!$D$32:$BA$32, 'GEN-BESS'!$D91:$BA91)+_xlfn.XLOOKUP(AH$134, 'GEN-CARBON'!$D$32:$BA$32, 'GEN-CARBON'!$D91:$BA91)+_xlfn.XLOOKUP(AH$134, Load!$D$32:$BA$32, Load!$D91:$BA91)+_xlfn.XLOOKUP(AH$134, Hydrogen!$D$32:$BA$32, Hydrogen!$D91:$BA91)+_xlfn.XLOOKUP(AH$134, 'SENS Tires'!$D$32:$BA$32, 'SENS Tires'!$D91:$BA91)+_xlfn.XLOOKUP(AH$134, 'SENS Coal'!$D$32:$BA$32, 'SENS Coal'!$D91:$BA91)</f>
        <v>13749.637195348572</v>
      </c>
      <c r="AI193" s="15">
        <f>_xlfn.XLOOKUP(AI$134, 'GEN-CCGT'!$D$32:$BA$32, 'GEN-CCGT'!$D91:$BA91)+_xlfn.XLOOKUP(AI$134, 'GEN-SOLAR'!$D$32:$BA$32, 'GEN-SOLAR'!$D91:$BA91)+_xlfn.XLOOKUP(AI$134, 'GEN-BESS'!$D$32:$BA$32, 'GEN-BESS'!$D91:$BA91)+_xlfn.XLOOKUP(AI$134, 'GEN-CARBON'!$D$32:$BA$32, 'GEN-CARBON'!$D91:$BA91)+_xlfn.XLOOKUP(AI$134, Load!$D$32:$BA$32, Load!$D91:$BA91)+_xlfn.XLOOKUP(AI$134, Hydrogen!$D$32:$BA$32, Hydrogen!$D91:$BA91)+_xlfn.XLOOKUP(AI$134, 'SENS Tires'!$D$32:$BA$32, 'SENS Tires'!$D91:$BA91)+_xlfn.XLOOKUP(AI$134, 'SENS Coal'!$D$32:$BA$32, 'SENS Coal'!$D91:$BA91)</f>
        <v>13950.190674363737</v>
      </c>
      <c r="AJ193" s="15">
        <f>_xlfn.XLOOKUP(AJ$134, 'GEN-CCGT'!$D$32:$BA$32, 'GEN-CCGT'!$D91:$BA91)+_xlfn.XLOOKUP(AJ$134, 'GEN-SOLAR'!$D$32:$BA$32, 'GEN-SOLAR'!$D91:$BA91)+_xlfn.XLOOKUP(AJ$134, 'GEN-BESS'!$D$32:$BA$32, 'GEN-BESS'!$D91:$BA91)+_xlfn.XLOOKUP(AJ$134, 'GEN-CARBON'!$D$32:$BA$32, 'GEN-CARBON'!$D91:$BA91)+_xlfn.XLOOKUP(AJ$134, Load!$D$32:$BA$32, Load!$D91:$BA91)+_xlfn.XLOOKUP(AJ$134, Hydrogen!$D$32:$BA$32, Hydrogen!$D91:$BA91)+_xlfn.XLOOKUP(AJ$134, 'SENS Tires'!$D$32:$BA$32, 'SENS Tires'!$D91:$BA91)+_xlfn.XLOOKUP(AJ$134, 'SENS Coal'!$D$32:$BA$32, 'SENS Coal'!$D91:$BA91)</f>
        <v>14231.281396230255</v>
      </c>
      <c r="AK193" s="15">
        <f>_xlfn.XLOOKUP(AK$134, 'GEN-CCGT'!$D$32:$BA$32, 'GEN-CCGT'!$D91:$BA91)+_xlfn.XLOOKUP(AK$134, 'GEN-SOLAR'!$D$32:$BA$32, 'GEN-SOLAR'!$D91:$BA91)+_xlfn.XLOOKUP(AK$134, 'GEN-BESS'!$D$32:$BA$32, 'GEN-BESS'!$D91:$BA91)+_xlfn.XLOOKUP(AK$134, 'GEN-CARBON'!$D$32:$BA$32, 'GEN-CARBON'!$D91:$BA91)+_xlfn.XLOOKUP(AK$134, Load!$D$32:$BA$32, Load!$D91:$BA91)+_xlfn.XLOOKUP(AK$134, Hydrogen!$D$32:$BA$32, Hydrogen!$D91:$BA91)+_xlfn.XLOOKUP(AK$134, 'SENS Tires'!$D$32:$BA$32, 'SENS Tires'!$D91:$BA91)+_xlfn.XLOOKUP(AK$134, 'SENS Coal'!$D$32:$BA$32, 'SENS Coal'!$D91:$BA91)</f>
        <v>14518.056539785477</v>
      </c>
      <c r="AL193" s="15">
        <f>_xlfn.XLOOKUP(AL$134, 'GEN-CCGT'!$D$32:$BA$32, 'GEN-CCGT'!$D91:$BA91)+_xlfn.XLOOKUP(AL$134, 'GEN-SOLAR'!$D$32:$BA$32, 'GEN-SOLAR'!$D91:$BA91)+_xlfn.XLOOKUP(AL$134, 'GEN-BESS'!$D$32:$BA$32, 'GEN-BESS'!$D91:$BA91)+_xlfn.XLOOKUP(AL$134, 'GEN-CARBON'!$D$32:$BA$32, 'GEN-CARBON'!$D91:$BA91)+_xlfn.XLOOKUP(AL$134, Load!$D$32:$BA$32, Load!$D91:$BA91)+_xlfn.XLOOKUP(AL$134, Hydrogen!$D$32:$BA$32, Hydrogen!$D91:$BA91)+_xlfn.XLOOKUP(AL$134, 'SENS Tires'!$D$32:$BA$32, 'SENS Tires'!$D91:$BA91)+_xlfn.XLOOKUP(AL$134, 'SENS Coal'!$D$32:$BA$32, 'SENS Coal'!$D91:$BA91)</f>
        <v>14810.631671680731</v>
      </c>
      <c r="AM193" s="15">
        <f>_xlfn.XLOOKUP(AM$134, 'GEN-CCGT'!$D$32:$BA$32, 'GEN-CCGT'!$D91:$BA91)+_xlfn.XLOOKUP(AM$134, 'GEN-SOLAR'!$D$32:$BA$32, 'GEN-SOLAR'!$D91:$BA91)+_xlfn.XLOOKUP(AM$134, 'GEN-BESS'!$D$32:$BA$32, 'GEN-BESS'!$D91:$BA91)+_xlfn.XLOOKUP(AM$134, 'GEN-CARBON'!$D$32:$BA$32, 'GEN-CARBON'!$D91:$BA91)+_xlfn.XLOOKUP(AM$134, Load!$D$32:$BA$32, Load!$D91:$BA91)+_xlfn.XLOOKUP(AM$134, Hydrogen!$D$32:$BA$32, Hydrogen!$D91:$BA91)+_xlfn.XLOOKUP(AM$134, 'SENS Tires'!$D$32:$BA$32, 'SENS Tires'!$D91:$BA91)+_xlfn.XLOOKUP(AM$134, 'SENS Coal'!$D$32:$BA$32, 'SENS Coal'!$D91:$BA91)</f>
        <v>15109.12472624687</v>
      </c>
      <c r="AN193" s="15">
        <f>_xlfn.XLOOKUP(AN$134, 'GEN-CCGT'!$D$32:$BA$32, 'GEN-CCGT'!$D91:$BA91)+_xlfn.XLOOKUP(AN$134, 'GEN-SOLAR'!$D$32:$BA$32, 'GEN-SOLAR'!$D91:$BA91)+_xlfn.XLOOKUP(AN$134, 'GEN-BESS'!$D$32:$BA$32, 'GEN-BESS'!$D91:$BA91)+_xlfn.XLOOKUP(AN$134, 'GEN-CARBON'!$D$32:$BA$32, 'GEN-CARBON'!$D91:$BA91)+_xlfn.XLOOKUP(AN$134, Load!$D$32:$BA$32, Load!$D91:$BA91)+_xlfn.XLOOKUP(AN$134, Hydrogen!$D$32:$BA$32, Hydrogen!$D91:$BA91)+_xlfn.XLOOKUP(AN$134, 'SENS Tires'!$D$32:$BA$32, 'SENS Tires'!$D91:$BA91)+_xlfn.XLOOKUP(AN$134, 'SENS Coal'!$D$32:$BA$32, 'SENS Coal'!$D91:$BA91)</f>
        <v>15413.656054538305</v>
      </c>
      <c r="AO193" s="15">
        <f>_xlfn.XLOOKUP(AO$134, 'GEN-CCGT'!$D$32:$BA$32, 'GEN-CCGT'!$D91:$BA91)+_xlfn.XLOOKUP(AO$134, 'GEN-SOLAR'!$D$32:$BA$32, 'GEN-SOLAR'!$D91:$BA91)+_xlfn.XLOOKUP(AO$134, 'GEN-BESS'!$D$32:$BA$32, 'GEN-BESS'!$D91:$BA91)+_xlfn.XLOOKUP(AO$134, 'GEN-CARBON'!$D$32:$BA$32, 'GEN-CARBON'!$D91:$BA91)+_xlfn.XLOOKUP(AO$134, Load!$D$32:$BA$32, Load!$D91:$BA91)+_xlfn.XLOOKUP(AO$134, Hydrogen!$D$32:$BA$32, Hydrogen!$D91:$BA91)+_xlfn.XLOOKUP(AO$134, 'SENS Tires'!$D$32:$BA$32, 'SENS Tires'!$D91:$BA91)+_xlfn.XLOOKUP(AO$134, 'SENS Coal'!$D$32:$BA$32, 'SENS Coal'!$D91:$BA91)</f>
        <v>15724.348474408564</v>
      </c>
      <c r="AP193" s="15">
        <f>_xlfn.XLOOKUP(AP$134, 'GEN-CCGT'!$D$32:$BA$32, 'GEN-CCGT'!$D91:$BA91)+_xlfn.XLOOKUP(AP$134, 'GEN-SOLAR'!$D$32:$BA$32, 'GEN-SOLAR'!$D91:$BA91)+_xlfn.XLOOKUP(AP$134, 'GEN-BESS'!$D$32:$BA$32, 'GEN-BESS'!$D91:$BA91)+_xlfn.XLOOKUP(AP$134, 'GEN-CARBON'!$D$32:$BA$32, 'GEN-CARBON'!$D91:$BA91)+_xlfn.XLOOKUP(AP$134, Load!$D$32:$BA$32, Load!$D91:$BA91)+_xlfn.XLOOKUP(AP$134, Hydrogen!$D$32:$BA$32, Hydrogen!$D91:$BA91)+_xlfn.XLOOKUP(AP$134, 'SENS Tires'!$D$32:$BA$32, 'SENS Tires'!$D91:$BA91)+_xlfn.XLOOKUP(AP$134, 'SENS Coal'!$D$32:$BA$32, 'SENS Coal'!$D91:$BA91)</f>
        <v>16041.327321639616</v>
      </c>
      <c r="AQ193" s="15">
        <f>_xlfn.XLOOKUP(AQ$134, 'GEN-CCGT'!$D$32:$BA$32, 'GEN-CCGT'!$D91:$BA91)+_xlfn.XLOOKUP(AQ$134, 'GEN-SOLAR'!$D$32:$BA$32, 'GEN-SOLAR'!$D91:$BA91)+_xlfn.XLOOKUP(AQ$134, 'GEN-BESS'!$D$32:$BA$32, 'GEN-BESS'!$D91:$BA91)+_xlfn.XLOOKUP(AQ$134, 'GEN-CARBON'!$D$32:$BA$32, 'GEN-CARBON'!$D91:$BA91)+_xlfn.XLOOKUP(AQ$134, Load!$D$32:$BA$32, Load!$D91:$BA91)+_xlfn.XLOOKUP(AQ$134, Hydrogen!$D$32:$BA$32, Hydrogen!$D91:$BA91)+_xlfn.XLOOKUP(AQ$134, 'SENS Tires'!$D$32:$BA$32, 'SENS Tires'!$D91:$BA91)+_xlfn.XLOOKUP(AQ$134, 'SENS Coal'!$D$32:$BA$32, 'SENS Coal'!$D91:$BA91)</f>
        <v>16364.720502147577</v>
      </c>
      <c r="AR193" s="15">
        <f>_xlfn.XLOOKUP(AR$134, 'GEN-CCGT'!$D$32:$BA$32, 'GEN-CCGT'!$D91:$BA91)+_xlfn.XLOOKUP(AR$134, 'GEN-SOLAR'!$D$32:$BA$32, 'GEN-SOLAR'!$D91:$BA91)+_xlfn.XLOOKUP(AR$134, 'GEN-BESS'!$D$32:$BA$32, 'GEN-BESS'!$D91:$BA91)+_xlfn.XLOOKUP(AR$134, 'GEN-CARBON'!$D$32:$BA$32, 'GEN-CARBON'!$D91:$BA91)+_xlfn.XLOOKUP(AR$134, Load!$D$32:$BA$32, Load!$D91:$BA91)+_xlfn.XLOOKUP(AR$134, Hydrogen!$D$32:$BA$32, Hydrogen!$D91:$BA91)+_xlfn.XLOOKUP(AR$134, 'SENS Tires'!$D$32:$BA$32, 'SENS Tires'!$D91:$BA91)+_xlfn.XLOOKUP(AR$134, 'SENS Coal'!$D$32:$BA$32, 'SENS Coal'!$D91:$BA91)</f>
        <v>16694.658545287952</v>
      </c>
      <c r="AS193" s="15">
        <f>_xlfn.XLOOKUP(AS$134, 'GEN-CCGT'!$D$32:$BA$32, 'GEN-CCGT'!$D91:$BA91)+_xlfn.XLOOKUP(AS$134, 'GEN-SOLAR'!$D$32:$BA$32, 'GEN-SOLAR'!$D91:$BA91)+_xlfn.XLOOKUP(AS$134, 'GEN-BESS'!$D$32:$BA$32, 'GEN-BESS'!$D91:$BA91)+_xlfn.XLOOKUP(AS$134, 'GEN-CARBON'!$D$32:$BA$32, 'GEN-CARBON'!$D91:$BA91)+_xlfn.XLOOKUP(AS$134, Load!$D$32:$BA$32, Load!$D91:$BA91)+_xlfn.XLOOKUP(AS$134, Hydrogen!$D$32:$BA$32, Hydrogen!$D91:$BA91)+_xlfn.XLOOKUP(AS$134, 'SENS Tires'!$D$32:$BA$32, 'SENS Tires'!$D91:$BA91)+_xlfn.XLOOKUP(AS$134, 'SENS Coal'!$D$32:$BA$32, 'SENS Coal'!$D91:$BA91)</f>
        <v>17031.274658284048</v>
      </c>
      <c r="AT193" s="15">
        <f>_xlfn.XLOOKUP(AT$134, 'GEN-CCGT'!$D$32:$BA$32, 'GEN-CCGT'!$D91:$BA91)+_xlfn.XLOOKUP(AT$134, 'GEN-SOLAR'!$D$32:$BA$32, 'GEN-SOLAR'!$D91:$BA91)+_xlfn.XLOOKUP(AT$134, 'GEN-BESS'!$D$32:$BA$32, 'GEN-BESS'!$D91:$BA91)+_xlfn.XLOOKUP(AT$134, 'GEN-CARBON'!$D$32:$BA$32, 'GEN-CARBON'!$D91:$BA91)+_xlfn.XLOOKUP(AT$134, Load!$D$32:$BA$32, Load!$D91:$BA91)+_xlfn.XLOOKUP(AT$134, Hydrogen!$D$32:$BA$32, Hydrogen!$D91:$BA91)+_xlfn.XLOOKUP(AT$134, 'SENS Tires'!$D$32:$BA$32, 'SENS Tires'!$D91:$BA91)+_xlfn.XLOOKUP(AT$134, 'SENS Coal'!$D$32:$BA$32, 'SENS Coal'!$D91:$BA91)</f>
        <v>17374.70478180279</v>
      </c>
      <c r="AU193" s="15">
        <f>_xlfn.XLOOKUP(AU$134, 'GEN-CCGT'!$D$32:$BA$32, 'GEN-CCGT'!$D91:$BA91)+_xlfn.XLOOKUP(AU$134, 'GEN-SOLAR'!$D$32:$BA$32, 'GEN-SOLAR'!$D91:$BA91)+_xlfn.XLOOKUP(AU$134, 'GEN-BESS'!$D$32:$BA$32, 'GEN-BESS'!$D91:$BA91)+_xlfn.XLOOKUP(AU$134, 'GEN-CARBON'!$D$32:$BA$32, 'GEN-CARBON'!$D91:$BA91)+_xlfn.XLOOKUP(AU$134, Load!$D$32:$BA$32, Load!$D91:$BA91)+_xlfn.XLOOKUP(AU$134, Hydrogen!$D$32:$BA$32, Hydrogen!$D91:$BA91)+_xlfn.XLOOKUP(AU$134, 'SENS Tires'!$D$32:$BA$32, 'SENS Tires'!$D91:$BA91)+_xlfn.XLOOKUP(AU$134, 'SENS Coal'!$D$32:$BA$32, 'SENS Coal'!$D91:$BA91)</f>
        <v>17725.087646702486</v>
      </c>
      <c r="AV193" s="15">
        <f>_xlfn.XLOOKUP(AV$134, 'GEN-CCGT'!$D$32:$BA$32, 'GEN-CCGT'!$D91:$BA91)+_xlfn.XLOOKUP(AV$134, 'GEN-SOLAR'!$D$32:$BA$32, 'GEN-SOLAR'!$D91:$BA91)+_xlfn.XLOOKUP(AV$134, 'GEN-BESS'!$D$32:$BA$32, 'GEN-BESS'!$D91:$BA91)+_xlfn.XLOOKUP(AV$134, 'GEN-CARBON'!$D$32:$BA$32, 'GEN-CARBON'!$D91:$BA91)+_xlfn.XLOOKUP(AV$134, Load!$D$32:$BA$32, Load!$D91:$BA91)+_xlfn.XLOOKUP(AV$134, Hydrogen!$D$32:$BA$32, Hydrogen!$D91:$BA91)+_xlfn.XLOOKUP(AV$134, 'SENS Tires'!$D$32:$BA$32, 'SENS Tires'!$D91:$BA91)+_xlfn.XLOOKUP(AV$134, 'SENS Coal'!$D$32:$BA$32, 'SENS Coal'!$D91:$BA91)</f>
        <v>18082.564831978096</v>
      </c>
      <c r="AW193" s="15">
        <f>_xlfn.XLOOKUP(AW$134, 'GEN-CCGT'!$D$32:$BA$32, 'GEN-CCGT'!$D91:$BA91)+_xlfn.XLOOKUP(AW$134, 'GEN-SOLAR'!$D$32:$BA$32, 'GEN-SOLAR'!$D91:$BA91)+_xlfn.XLOOKUP(AW$134, 'GEN-BESS'!$D$32:$BA$32, 'GEN-BESS'!$D91:$BA91)+_xlfn.XLOOKUP(AW$134, 'GEN-CARBON'!$D$32:$BA$32, 'GEN-CARBON'!$D91:$BA91)+_xlfn.XLOOKUP(AW$134, Load!$D$32:$BA$32, Load!$D91:$BA91)+_xlfn.XLOOKUP(AW$134, Hydrogen!$D$32:$BA$32, Hydrogen!$D91:$BA91)+_xlfn.XLOOKUP(AW$134, 'SENS Tires'!$D$32:$BA$32, 'SENS Tires'!$D91:$BA91)+_xlfn.XLOOKUP(AW$134, 'SENS Coal'!$D$32:$BA$32, 'SENS Coal'!$D91:$BA91)</f>
        <v>18447.280823929457</v>
      </c>
      <c r="AX193" s="15">
        <f>_xlfn.XLOOKUP(AX$134, 'GEN-CCGT'!$D$32:$BA$32, 'GEN-CCGT'!$D91:$BA91)+_xlfn.XLOOKUP(AX$134, 'GEN-SOLAR'!$D$32:$BA$32, 'GEN-SOLAR'!$D91:$BA91)+_xlfn.XLOOKUP(AX$134, 'GEN-BESS'!$D$32:$BA$32, 'GEN-BESS'!$D91:$BA91)+_xlfn.XLOOKUP(AX$134, 'GEN-CARBON'!$D$32:$BA$32, 'GEN-CARBON'!$D91:$BA91)+_xlfn.XLOOKUP(AX$134, Load!$D$32:$BA$32, Load!$D91:$BA91)+_xlfn.XLOOKUP(AX$134, Hydrogen!$D$32:$BA$32, Hydrogen!$D91:$BA91)+_xlfn.XLOOKUP(AX$134, 'SENS Tires'!$D$32:$BA$32, 'SENS Tires'!$D91:$BA91)+_xlfn.XLOOKUP(AX$134, 'SENS Coal'!$D$32:$BA$32, 'SENS Coal'!$D91:$BA91)</f>
        <v>18819.383076579208</v>
      </c>
    </row>
    <row r="194" spans="1:50" ht="14.25" customHeight="1">
      <c r="A194" s="1"/>
      <c r="B194" s="84"/>
      <c r="C194" s="1" t="s">
        <v>444</v>
      </c>
      <c r="D194" s="1"/>
      <c r="E194" s="8">
        <f>_xlfn.XLOOKUP(E$134, 'GEN-CCGT'!$D$32:$BA$32, 'GEN-CCGT'!$D92:$BA92)+_xlfn.XLOOKUP(E$134, 'GEN-SOLAR'!$D$32:$BA$32, 'GEN-SOLAR'!$D92:$BA92)+_xlfn.XLOOKUP(E$134, 'GEN-BESS'!$D$32:$BA$32, 'GEN-BESS'!$D92:$BA92)+_xlfn.XLOOKUP(E$134, 'GEN-CARBON'!$D$32:$BA$32, 'GEN-CARBON'!$D92:$BA92)+_xlfn.XLOOKUP(E$134, Load!$D$32:$BA$32, Load!$D92:$BA92)+_xlfn.XLOOKUP(E$134, Hydrogen!$D$32:$BA$32, Hydrogen!$D92:$BA92)+_xlfn.XLOOKUP(E$134, 'SENS Tires'!$D$32:$BA$32, 'SENS Tires'!$D92:$BA92)+_xlfn.XLOOKUP(E$134, 'SENS Coal'!$D$32:$BA$32, 'SENS Coal'!$D92:$BA92)</f>
        <v>0</v>
      </c>
      <c r="F194" s="15">
        <f>_xlfn.XLOOKUP(F$134, 'GEN-CCGT'!$D$32:$BA$32, 'GEN-CCGT'!$D92:$BA92)+_xlfn.XLOOKUP(F$134, 'GEN-SOLAR'!$D$32:$BA$32, 'GEN-SOLAR'!$D92:$BA92)+_xlfn.XLOOKUP(F$134, 'GEN-BESS'!$D$32:$BA$32, 'GEN-BESS'!$D92:$BA92)+_xlfn.XLOOKUP(F$134, 'GEN-CARBON'!$D$32:$BA$32, 'GEN-CARBON'!$D92:$BA92)+_xlfn.XLOOKUP(F$134, Load!$D$32:$BA$32, Load!$D92:$BA92)+_xlfn.XLOOKUP(F$134, Hydrogen!$D$32:$BA$32, Hydrogen!$D92:$BA92)+_xlfn.XLOOKUP(F$134, 'SENS Tires'!$D$32:$BA$32, 'SENS Tires'!$D92:$BA92)+_xlfn.XLOOKUP(F$134, 'SENS Coal'!$D$32:$BA$32, 'SENS Coal'!$D92:$BA92)</f>
        <v>0</v>
      </c>
      <c r="G194" s="15">
        <f>_xlfn.XLOOKUP(G$134, 'GEN-CCGT'!$D$32:$BA$32, 'GEN-CCGT'!$D92:$BA92)+_xlfn.XLOOKUP(G$134, 'GEN-SOLAR'!$D$32:$BA$32, 'GEN-SOLAR'!$D92:$BA92)+_xlfn.XLOOKUP(G$134, 'GEN-BESS'!$D$32:$BA$32, 'GEN-BESS'!$D92:$BA92)+_xlfn.XLOOKUP(G$134, 'GEN-CARBON'!$D$32:$BA$32, 'GEN-CARBON'!$D92:$BA92)+_xlfn.XLOOKUP(G$134, Load!$D$32:$BA$32, Load!$D92:$BA92)+_xlfn.XLOOKUP(G$134, Hydrogen!$D$32:$BA$32, Hydrogen!$D92:$BA92)+_xlfn.XLOOKUP(G$134, 'SENS Tires'!$D$32:$BA$32, 'SENS Tires'!$D92:$BA92)+_xlfn.XLOOKUP(G$134, 'SENS Coal'!$D$32:$BA$32, 'SENS Coal'!$D92:$BA92)</f>
        <v>0</v>
      </c>
      <c r="H194" s="15">
        <f>_xlfn.XLOOKUP(H$134, 'GEN-CCGT'!$D$32:$BA$32, 'GEN-CCGT'!$D92:$BA92)+_xlfn.XLOOKUP(H$134, 'GEN-SOLAR'!$D$32:$BA$32, 'GEN-SOLAR'!$D92:$BA92)+_xlfn.XLOOKUP(H$134, 'GEN-BESS'!$D$32:$BA$32, 'GEN-BESS'!$D92:$BA92)+_xlfn.XLOOKUP(H$134, 'GEN-CARBON'!$D$32:$BA$32, 'GEN-CARBON'!$D92:$BA92)+_xlfn.XLOOKUP(H$134, Load!$D$32:$BA$32, Load!$D92:$BA92)+_xlfn.XLOOKUP(H$134, Hydrogen!$D$32:$BA$32, Hydrogen!$D92:$BA92)+_xlfn.XLOOKUP(H$134, 'SENS Tires'!$D$32:$BA$32, 'SENS Tires'!$D92:$BA92)+_xlfn.XLOOKUP(H$134, 'SENS Coal'!$D$32:$BA$32, 'SENS Coal'!$D92:$BA92)</f>
        <v>0</v>
      </c>
      <c r="I194" s="15">
        <f>_xlfn.XLOOKUP(I$134, 'GEN-CCGT'!$D$32:$BA$32, 'GEN-CCGT'!$D92:$BA92)+_xlfn.XLOOKUP(I$134, 'GEN-SOLAR'!$D$32:$BA$32, 'GEN-SOLAR'!$D92:$BA92)+_xlfn.XLOOKUP(I$134, 'GEN-BESS'!$D$32:$BA$32, 'GEN-BESS'!$D92:$BA92)+_xlfn.XLOOKUP(I$134, 'GEN-CARBON'!$D$32:$BA$32, 'GEN-CARBON'!$D92:$BA92)+_xlfn.XLOOKUP(I$134, Load!$D$32:$BA$32, Load!$D92:$BA92)+_xlfn.XLOOKUP(I$134, Hydrogen!$D$32:$BA$32, Hydrogen!$D92:$BA92)+_xlfn.XLOOKUP(I$134, 'SENS Tires'!$D$32:$BA$32, 'SENS Tires'!$D92:$BA92)+_xlfn.XLOOKUP(I$134, 'SENS Coal'!$D$32:$BA$32, 'SENS Coal'!$D92:$BA92)</f>
        <v>0</v>
      </c>
      <c r="J194" s="15">
        <f>_xlfn.XLOOKUP(J$134, 'GEN-CCGT'!$D$32:$BA$32, 'GEN-CCGT'!$D92:$BA92)+_xlfn.XLOOKUP(J$134, 'GEN-SOLAR'!$D$32:$BA$32, 'GEN-SOLAR'!$D92:$BA92)+_xlfn.XLOOKUP(J$134, 'GEN-BESS'!$D$32:$BA$32, 'GEN-BESS'!$D92:$BA92)+_xlfn.XLOOKUP(J$134, 'GEN-CARBON'!$D$32:$BA$32, 'GEN-CARBON'!$D92:$BA92)+_xlfn.XLOOKUP(J$134, Load!$D$32:$BA$32, Load!$D92:$BA92)+_xlfn.XLOOKUP(J$134, Hydrogen!$D$32:$BA$32, Hydrogen!$D92:$BA92)+_xlfn.XLOOKUP(J$134, 'SENS Tires'!$D$32:$BA$32, 'SENS Tires'!$D92:$BA92)+_xlfn.XLOOKUP(J$134, 'SENS Coal'!$D$32:$BA$32, 'SENS Coal'!$D92:$BA92)</f>
        <v>0</v>
      </c>
      <c r="K194" s="15">
        <f>_xlfn.XLOOKUP(K$134, 'GEN-CCGT'!$D$32:$BA$32, 'GEN-CCGT'!$D92:$BA92)+_xlfn.XLOOKUP(K$134, 'GEN-SOLAR'!$D$32:$BA$32, 'GEN-SOLAR'!$D92:$BA92)+_xlfn.XLOOKUP(K$134, 'GEN-BESS'!$D$32:$BA$32, 'GEN-BESS'!$D92:$BA92)+_xlfn.XLOOKUP(K$134, 'GEN-CARBON'!$D$32:$BA$32, 'GEN-CARBON'!$D92:$BA92)+_xlfn.XLOOKUP(K$134, Load!$D$32:$BA$32, Load!$D92:$BA92)+_xlfn.XLOOKUP(K$134, Hydrogen!$D$32:$BA$32, Hydrogen!$D92:$BA92)+_xlfn.XLOOKUP(K$134, 'SENS Tires'!$D$32:$BA$32, 'SENS Tires'!$D92:$BA92)+_xlfn.XLOOKUP(K$134, 'SENS Coal'!$D$32:$BA$32, 'SENS Coal'!$D92:$BA92)</f>
        <v>0</v>
      </c>
      <c r="L194" s="15">
        <f>_xlfn.XLOOKUP(L$134, 'GEN-CCGT'!$D$32:$BA$32, 'GEN-CCGT'!$D92:$BA92)+_xlfn.XLOOKUP(L$134, 'GEN-SOLAR'!$D$32:$BA$32, 'GEN-SOLAR'!$D92:$BA92)+_xlfn.XLOOKUP(L$134, 'GEN-BESS'!$D$32:$BA$32, 'GEN-BESS'!$D92:$BA92)+_xlfn.XLOOKUP(L$134, 'GEN-CARBON'!$D$32:$BA$32, 'GEN-CARBON'!$D92:$BA92)+_xlfn.XLOOKUP(L$134, Load!$D$32:$BA$32, Load!$D92:$BA92)+_xlfn.XLOOKUP(L$134, Hydrogen!$D$32:$BA$32, Hydrogen!$D92:$BA92)+_xlfn.XLOOKUP(L$134, 'SENS Tires'!$D$32:$BA$32, 'SENS Tires'!$D92:$BA92)+_xlfn.XLOOKUP(L$134, 'SENS Coal'!$D$32:$BA$32, 'SENS Coal'!$D92:$BA92)</f>
        <v>0</v>
      </c>
      <c r="M194" s="15">
        <f>_xlfn.XLOOKUP(M$134, 'GEN-CCGT'!$D$32:$BA$32, 'GEN-CCGT'!$D92:$BA92)+_xlfn.XLOOKUP(M$134, 'GEN-SOLAR'!$D$32:$BA$32, 'GEN-SOLAR'!$D92:$BA92)+_xlfn.XLOOKUP(M$134, 'GEN-BESS'!$D$32:$BA$32, 'GEN-BESS'!$D92:$BA92)+_xlfn.XLOOKUP(M$134, 'GEN-CARBON'!$D$32:$BA$32, 'GEN-CARBON'!$D92:$BA92)+_xlfn.XLOOKUP(M$134, Load!$D$32:$BA$32, Load!$D92:$BA92)+_xlfn.XLOOKUP(M$134, Hydrogen!$D$32:$BA$32, Hydrogen!$D92:$BA92)+_xlfn.XLOOKUP(M$134, 'SENS Tires'!$D$32:$BA$32, 'SENS Tires'!$D92:$BA92)+_xlfn.XLOOKUP(M$134, 'SENS Coal'!$D$32:$BA$32, 'SENS Coal'!$D92:$BA92)</f>
        <v>0</v>
      </c>
      <c r="N194" s="15">
        <f>_xlfn.XLOOKUP(N$134, 'GEN-CCGT'!$D$32:$BA$32, 'GEN-CCGT'!$D92:$BA92)+_xlfn.XLOOKUP(N$134, 'GEN-SOLAR'!$D$32:$BA$32, 'GEN-SOLAR'!$D92:$BA92)+_xlfn.XLOOKUP(N$134, 'GEN-BESS'!$D$32:$BA$32, 'GEN-BESS'!$D92:$BA92)+_xlfn.XLOOKUP(N$134, 'GEN-CARBON'!$D$32:$BA$32, 'GEN-CARBON'!$D92:$BA92)+_xlfn.XLOOKUP(N$134, Load!$D$32:$BA$32, Load!$D92:$BA92)+_xlfn.XLOOKUP(N$134, Hydrogen!$D$32:$BA$32, Hydrogen!$D92:$BA92)+_xlfn.XLOOKUP(N$134, 'SENS Tires'!$D$32:$BA$32, 'SENS Tires'!$D92:$BA92)+_xlfn.XLOOKUP(N$134, 'SENS Coal'!$D$32:$BA$32, 'SENS Coal'!$D92:$BA92)</f>
        <v>0</v>
      </c>
      <c r="O194" s="15">
        <f>_xlfn.XLOOKUP(O$134, 'GEN-CCGT'!$D$32:$BA$32, 'GEN-CCGT'!$D92:$BA92)+_xlfn.XLOOKUP(O$134, 'GEN-SOLAR'!$D$32:$BA$32, 'GEN-SOLAR'!$D92:$BA92)+_xlfn.XLOOKUP(O$134, 'GEN-BESS'!$D$32:$BA$32, 'GEN-BESS'!$D92:$BA92)+_xlfn.XLOOKUP(O$134, 'GEN-CARBON'!$D$32:$BA$32, 'GEN-CARBON'!$D92:$BA92)+_xlfn.XLOOKUP(O$134, Load!$D$32:$BA$32, Load!$D92:$BA92)+_xlfn.XLOOKUP(O$134, Hydrogen!$D$32:$BA$32, Hydrogen!$D92:$BA92)+_xlfn.XLOOKUP(O$134, 'SENS Tires'!$D$32:$BA$32, 'SENS Tires'!$D92:$BA92)+_xlfn.XLOOKUP(O$134, 'SENS Coal'!$D$32:$BA$32, 'SENS Coal'!$D92:$BA92)</f>
        <v>0</v>
      </c>
      <c r="P194" s="15">
        <f>_xlfn.XLOOKUP(P$134, 'GEN-CCGT'!$D$32:$BA$32, 'GEN-CCGT'!$D92:$BA92)+_xlfn.XLOOKUP(P$134, 'GEN-SOLAR'!$D$32:$BA$32, 'GEN-SOLAR'!$D92:$BA92)+_xlfn.XLOOKUP(P$134, 'GEN-BESS'!$D$32:$BA$32, 'GEN-BESS'!$D92:$BA92)+_xlfn.XLOOKUP(P$134, 'GEN-CARBON'!$D$32:$BA$32, 'GEN-CARBON'!$D92:$BA92)+_xlfn.XLOOKUP(P$134, Load!$D$32:$BA$32, Load!$D92:$BA92)+_xlfn.XLOOKUP(P$134, Hydrogen!$D$32:$BA$32, Hydrogen!$D92:$BA92)+_xlfn.XLOOKUP(P$134, 'SENS Tires'!$D$32:$BA$32, 'SENS Tires'!$D92:$BA92)+_xlfn.XLOOKUP(P$134, 'SENS Coal'!$D$32:$BA$32, 'SENS Coal'!$D92:$BA92)</f>
        <v>0</v>
      </c>
      <c r="Q194" s="15">
        <f>_xlfn.XLOOKUP(Q$134, 'GEN-CCGT'!$D$32:$BA$32, 'GEN-CCGT'!$D92:$BA92)+_xlfn.XLOOKUP(Q$134, 'GEN-SOLAR'!$D$32:$BA$32, 'GEN-SOLAR'!$D92:$BA92)+_xlfn.XLOOKUP(Q$134, 'GEN-BESS'!$D$32:$BA$32, 'GEN-BESS'!$D92:$BA92)+_xlfn.XLOOKUP(Q$134, 'GEN-CARBON'!$D$32:$BA$32, 'GEN-CARBON'!$D92:$BA92)+_xlfn.XLOOKUP(Q$134, Load!$D$32:$BA$32, Load!$D92:$BA92)+_xlfn.XLOOKUP(Q$134, Hydrogen!$D$32:$BA$32, Hydrogen!$D92:$BA92)+_xlfn.XLOOKUP(Q$134, 'SENS Tires'!$D$32:$BA$32, 'SENS Tires'!$D92:$BA92)+_xlfn.XLOOKUP(Q$134, 'SENS Coal'!$D$32:$BA$32, 'SENS Coal'!$D92:$BA92)</f>
        <v>0</v>
      </c>
      <c r="R194" s="15">
        <f>_xlfn.XLOOKUP(R$134, 'GEN-CCGT'!$D$32:$BA$32, 'GEN-CCGT'!$D92:$BA92)+_xlfn.XLOOKUP(R$134, 'GEN-SOLAR'!$D$32:$BA$32, 'GEN-SOLAR'!$D92:$BA92)+_xlfn.XLOOKUP(R$134, 'GEN-BESS'!$D$32:$BA$32, 'GEN-BESS'!$D92:$BA92)+_xlfn.XLOOKUP(R$134, 'GEN-CARBON'!$D$32:$BA$32, 'GEN-CARBON'!$D92:$BA92)+_xlfn.XLOOKUP(R$134, Load!$D$32:$BA$32, Load!$D92:$BA92)+_xlfn.XLOOKUP(R$134, Hydrogen!$D$32:$BA$32, Hydrogen!$D92:$BA92)+_xlfn.XLOOKUP(R$134, 'SENS Tires'!$D$32:$BA$32, 'SENS Tires'!$D92:$BA92)+_xlfn.XLOOKUP(R$134, 'SENS Coal'!$D$32:$BA$32, 'SENS Coal'!$D92:$BA92)</f>
        <v>0</v>
      </c>
      <c r="S194" s="15">
        <f>_xlfn.XLOOKUP(S$134, 'GEN-CCGT'!$D$32:$BA$32, 'GEN-CCGT'!$D92:$BA92)+_xlfn.XLOOKUP(S$134, 'GEN-SOLAR'!$D$32:$BA$32, 'GEN-SOLAR'!$D92:$BA92)+_xlfn.XLOOKUP(S$134, 'GEN-BESS'!$D$32:$BA$32, 'GEN-BESS'!$D92:$BA92)+_xlfn.XLOOKUP(S$134, 'GEN-CARBON'!$D$32:$BA$32, 'GEN-CARBON'!$D92:$BA92)+_xlfn.XLOOKUP(S$134, Load!$D$32:$BA$32, Load!$D92:$BA92)+_xlfn.XLOOKUP(S$134, Hydrogen!$D$32:$BA$32, Hydrogen!$D92:$BA92)+_xlfn.XLOOKUP(S$134, 'SENS Tires'!$D$32:$BA$32, 'SENS Tires'!$D92:$BA92)+_xlfn.XLOOKUP(S$134, 'SENS Coal'!$D$32:$BA$32, 'SENS Coal'!$D92:$BA92)</f>
        <v>0</v>
      </c>
      <c r="T194" s="15">
        <f>_xlfn.XLOOKUP(T$134, 'GEN-CCGT'!$D$32:$BA$32, 'GEN-CCGT'!$D92:$BA92)+_xlfn.XLOOKUP(T$134, 'GEN-SOLAR'!$D$32:$BA$32, 'GEN-SOLAR'!$D92:$BA92)+_xlfn.XLOOKUP(T$134, 'GEN-BESS'!$D$32:$BA$32, 'GEN-BESS'!$D92:$BA92)+_xlfn.XLOOKUP(T$134, 'GEN-CARBON'!$D$32:$BA$32, 'GEN-CARBON'!$D92:$BA92)+_xlfn.XLOOKUP(T$134, Load!$D$32:$BA$32, Load!$D92:$BA92)+_xlfn.XLOOKUP(T$134, Hydrogen!$D$32:$BA$32, Hydrogen!$D92:$BA92)+_xlfn.XLOOKUP(T$134, 'SENS Tires'!$D$32:$BA$32, 'SENS Tires'!$D92:$BA92)+_xlfn.XLOOKUP(T$134, 'SENS Coal'!$D$32:$BA$32, 'SENS Coal'!$D92:$BA92)</f>
        <v>0</v>
      </c>
      <c r="U194" s="15">
        <f>_xlfn.XLOOKUP(U$134, 'GEN-CCGT'!$D$32:$BA$32, 'GEN-CCGT'!$D92:$BA92)+_xlfn.XLOOKUP(U$134, 'GEN-SOLAR'!$D$32:$BA$32, 'GEN-SOLAR'!$D92:$BA92)+_xlfn.XLOOKUP(U$134, 'GEN-BESS'!$D$32:$BA$32, 'GEN-BESS'!$D92:$BA92)+_xlfn.XLOOKUP(U$134, 'GEN-CARBON'!$D$32:$BA$32, 'GEN-CARBON'!$D92:$BA92)+_xlfn.XLOOKUP(U$134, Load!$D$32:$BA$32, Load!$D92:$BA92)+_xlfn.XLOOKUP(U$134, Hydrogen!$D$32:$BA$32, Hydrogen!$D92:$BA92)+_xlfn.XLOOKUP(U$134, 'SENS Tires'!$D$32:$BA$32, 'SENS Tires'!$D92:$BA92)+_xlfn.XLOOKUP(U$134, 'SENS Coal'!$D$32:$BA$32, 'SENS Coal'!$D92:$BA92)</f>
        <v>0</v>
      </c>
      <c r="V194" s="15">
        <f>_xlfn.XLOOKUP(V$134, 'GEN-CCGT'!$D$32:$BA$32, 'GEN-CCGT'!$D92:$BA92)+_xlfn.XLOOKUP(V$134, 'GEN-SOLAR'!$D$32:$BA$32, 'GEN-SOLAR'!$D92:$BA92)+_xlfn.XLOOKUP(V$134, 'GEN-BESS'!$D$32:$BA$32, 'GEN-BESS'!$D92:$BA92)+_xlfn.XLOOKUP(V$134, 'GEN-CARBON'!$D$32:$BA$32, 'GEN-CARBON'!$D92:$BA92)+_xlfn.XLOOKUP(V$134, Load!$D$32:$BA$32, Load!$D92:$BA92)+_xlfn.XLOOKUP(V$134, Hydrogen!$D$32:$BA$32, Hydrogen!$D92:$BA92)+_xlfn.XLOOKUP(V$134, 'SENS Tires'!$D$32:$BA$32, 'SENS Tires'!$D92:$BA92)+_xlfn.XLOOKUP(V$134, 'SENS Coal'!$D$32:$BA$32, 'SENS Coal'!$D92:$BA92)</f>
        <v>0</v>
      </c>
      <c r="W194" s="15">
        <f>_xlfn.XLOOKUP(W$134, 'GEN-CCGT'!$D$32:$BA$32, 'GEN-CCGT'!$D92:$BA92)+_xlfn.XLOOKUP(W$134, 'GEN-SOLAR'!$D$32:$BA$32, 'GEN-SOLAR'!$D92:$BA92)+_xlfn.XLOOKUP(W$134, 'GEN-BESS'!$D$32:$BA$32, 'GEN-BESS'!$D92:$BA92)+_xlfn.XLOOKUP(W$134, 'GEN-CARBON'!$D$32:$BA$32, 'GEN-CARBON'!$D92:$BA92)+_xlfn.XLOOKUP(W$134, Load!$D$32:$BA$32, Load!$D92:$BA92)+_xlfn.XLOOKUP(W$134, Hydrogen!$D$32:$BA$32, Hydrogen!$D92:$BA92)+_xlfn.XLOOKUP(W$134, 'SENS Tires'!$D$32:$BA$32, 'SENS Tires'!$D92:$BA92)+_xlfn.XLOOKUP(W$134, 'SENS Coal'!$D$32:$BA$32, 'SENS Coal'!$D92:$BA92)</f>
        <v>0</v>
      </c>
      <c r="X194" s="15">
        <f>_xlfn.XLOOKUP(X$134, 'GEN-CCGT'!$D$32:$BA$32, 'GEN-CCGT'!$D92:$BA92)+_xlfn.XLOOKUP(X$134, 'GEN-SOLAR'!$D$32:$BA$32, 'GEN-SOLAR'!$D92:$BA92)+_xlfn.XLOOKUP(X$134, 'GEN-BESS'!$D$32:$BA$32, 'GEN-BESS'!$D92:$BA92)+_xlfn.XLOOKUP(X$134, 'GEN-CARBON'!$D$32:$BA$32, 'GEN-CARBON'!$D92:$BA92)+_xlfn.XLOOKUP(X$134, Load!$D$32:$BA$32, Load!$D92:$BA92)+_xlfn.XLOOKUP(X$134, Hydrogen!$D$32:$BA$32, Hydrogen!$D92:$BA92)+_xlfn.XLOOKUP(X$134, 'SENS Tires'!$D$32:$BA$32, 'SENS Tires'!$D92:$BA92)+_xlfn.XLOOKUP(X$134, 'SENS Coal'!$D$32:$BA$32, 'SENS Coal'!$D92:$BA92)</f>
        <v>0</v>
      </c>
      <c r="Y194" s="15">
        <f>_xlfn.XLOOKUP(Y$134, 'GEN-CCGT'!$D$32:$BA$32, 'GEN-CCGT'!$D92:$BA92)+_xlfn.XLOOKUP(Y$134, 'GEN-SOLAR'!$D$32:$BA$32, 'GEN-SOLAR'!$D92:$BA92)+_xlfn.XLOOKUP(Y$134, 'GEN-BESS'!$D$32:$BA$32, 'GEN-BESS'!$D92:$BA92)+_xlfn.XLOOKUP(Y$134, 'GEN-CARBON'!$D$32:$BA$32, 'GEN-CARBON'!$D92:$BA92)+_xlfn.XLOOKUP(Y$134, Load!$D$32:$BA$32, Load!$D92:$BA92)+_xlfn.XLOOKUP(Y$134, Hydrogen!$D$32:$BA$32, Hydrogen!$D92:$BA92)+_xlfn.XLOOKUP(Y$134, 'SENS Tires'!$D$32:$BA$32, 'SENS Tires'!$D92:$BA92)+_xlfn.XLOOKUP(Y$134, 'SENS Coal'!$D$32:$BA$32, 'SENS Coal'!$D92:$BA92)</f>
        <v>0</v>
      </c>
      <c r="Z194" s="15">
        <f>_xlfn.XLOOKUP(Z$134, 'GEN-CCGT'!$D$32:$BA$32, 'GEN-CCGT'!$D92:$BA92)+_xlfn.XLOOKUP(Z$134, 'GEN-SOLAR'!$D$32:$BA$32, 'GEN-SOLAR'!$D92:$BA92)+_xlfn.XLOOKUP(Z$134, 'GEN-BESS'!$D$32:$BA$32, 'GEN-BESS'!$D92:$BA92)+_xlfn.XLOOKUP(Z$134, 'GEN-CARBON'!$D$32:$BA$32, 'GEN-CARBON'!$D92:$BA92)+_xlfn.XLOOKUP(Z$134, Load!$D$32:$BA$32, Load!$D92:$BA92)+_xlfn.XLOOKUP(Z$134, Hydrogen!$D$32:$BA$32, Hydrogen!$D92:$BA92)+_xlfn.XLOOKUP(Z$134, 'SENS Tires'!$D$32:$BA$32, 'SENS Tires'!$D92:$BA92)+_xlfn.XLOOKUP(Z$134, 'SENS Coal'!$D$32:$BA$32, 'SENS Coal'!$D92:$BA92)</f>
        <v>0</v>
      </c>
      <c r="AA194" s="15">
        <f>_xlfn.XLOOKUP(AA$134, 'GEN-CCGT'!$D$32:$BA$32, 'GEN-CCGT'!$D92:$BA92)+_xlfn.XLOOKUP(AA$134, 'GEN-SOLAR'!$D$32:$BA$32, 'GEN-SOLAR'!$D92:$BA92)+_xlfn.XLOOKUP(AA$134, 'GEN-BESS'!$D$32:$BA$32, 'GEN-BESS'!$D92:$BA92)+_xlfn.XLOOKUP(AA$134, 'GEN-CARBON'!$D$32:$BA$32, 'GEN-CARBON'!$D92:$BA92)+_xlfn.XLOOKUP(AA$134, Load!$D$32:$BA$32, Load!$D92:$BA92)+_xlfn.XLOOKUP(AA$134, Hydrogen!$D$32:$BA$32, Hydrogen!$D92:$BA92)+_xlfn.XLOOKUP(AA$134, 'SENS Tires'!$D$32:$BA$32, 'SENS Tires'!$D92:$BA92)+_xlfn.XLOOKUP(AA$134, 'SENS Coal'!$D$32:$BA$32, 'SENS Coal'!$D92:$BA92)</f>
        <v>0</v>
      </c>
      <c r="AB194" s="15">
        <f>_xlfn.XLOOKUP(AB$134, 'GEN-CCGT'!$D$32:$BA$32, 'GEN-CCGT'!$D92:$BA92)+_xlfn.XLOOKUP(AB$134, 'GEN-SOLAR'!$D$32:$BA$32, 'GEN-SOLAR'!$D92:$BA92)+_xlfn.XLOOKUP(AB$134, 'GEN-BESS'!$D$32:$BA$32, 'GEN-BESS'!$D92:$BA92)+_xlfn.XLOOKUP(AB$134, 'GEN-CARBON'!$D$32:$BA$32, 'GEN-CARBON'!$D92:$BA92)+_xlfn.XLOOKUP(AB$134, Load!$D$32:$BA$32, Load!$D92:$BA92)+_xlfn.XLOOKUP(AB$134, Hydrogen!$D$32:$BA$32, Hydrogen!$D92:$BA92)+_xlfn.XLOOKUP(AB$134, 'SENS Tires'!$D$32:$BA$32, 'SENS Tires'!$D92:$BA92)+_xlfn.XLOOKUP(AB$134, 'SENS Coal'!$D$32:$BA$32, 'SENS Coal'!$D92:$BA92)</f>
        <v>0</v>
      </c>
      <c r="AC194" s="15">
        <f>_xlfn.XLOOKUP(AC$134, 'GEN-CCGT'!$D$32:$BA$32, 'GEN-CCGT'!$D92:$BA92)+_xlfn.XLOOKUP(AC$134, 'GEN-SOLAR'!$D$32:$BA$32, 'GEN-SOLAR'!$D92:$BA92)+_xlfn.XLOOKUP(AC$134, 'GEN-BESS'!$D$32:$BA$32, 'GEN-BESS'!$D92:$BA92)+_xlfn.XLOOKUP(AC$134, 'GEN-CARBON'!$D$32:$BA$32, 'GEN-CARBON'!$D92:$BA92)+_xlfn.XLOOKUP(AC$134, Load!$D$32:$BA$32, Load!$D92:$BA92)+_xlfn.XLOOKUP(AC$134, Hydrogen!$D$32:$BA$32, Hydrogen!$D92:$BA92)+_xlfn.XLOOKUP(AC$134, 'SENS Tires'!$D$32:$BA$32, 'SENS Tires'!$D92:$BA92)+_xlfn.XLOOKUP(AC$134, 'SENS Coal'!$D$32:$BA$32, 'SENS Coal'!$D92:$BA92)</f>
        <v>0</v>
      </c>
      <c r="AD194" s="15">
        <f>_xlfn.XLOOKUP(AD$134, 'GEN-CCGT'!$D$32:$BA$32, 'GEN-CCGT'!$D92:$BA92)+_xlfn.XLOOKUP(AD$134, 'GEN-SOLAR'!$D$32:$BA$32, 'GEN-SOLAR'!$D92:$BA92)+_xlfn.XLOOKUP(AD$134, 'GEN-BESS'!$D$32:$BA$32, 'GEN-BESS'!$D92:$BA92)+_xlfn.XLOOKUP(AD$134, 'GEN-CARBON'!$D$32:$BA$32, 'GEN-CARBON'!$D92:$BA92)+_xlfn.XLOOKUP(AD$134, Load!$D$32:$BA$32, Load!$D92:$BA92)+_xlfn.XLOOKUP(AD$134, Hydrogen!$D$32:$BA$32, Hydrogen!$D92:$BA92)+_xlfn.XLOOKUP(AD$134, 'SENS Tires'!$D$32:$BA$32, 'SENS Tires'!$D92:$BA92)+_xlfn.XLOOKUP(AD$134, 'SENS Coal'!$D$32:$BA$32, 'SENS Coal'!$D92:$BA92)</f>
        <v>0</v>
      </c>
      <c r="AE194" s="15">
        <f>_xlfn.XLOOKUP(AE$134, 'GEN-CCGT'!$D$32:$BA$32, 'GEN-CCGT'!$D92:$BA92)+_xlfn.XLOOKUP(AE$134, 'GEN-SOLAR'!$D$32:$BA$32, 'GEN-SOLAR'!$D92:$BA92)+_xlfn.XLOOKUP(AE$134, 'GEN-BESS'!$D$32:$BA$32, 'GEN-BESS'!$D92:$BA92)+_xlfn.XLOOKUP(AE$134, 'GEN-CARBON'!$D$32:$BA$32, 'GEN-CARBON'!$D92:$BA92)+_xlfn.XLOOKUP(AE$134, Load!$D$32:$BA$32, Load!$D92:$BA92)+_xlfn.XLOOKUP(AE$134, Hydrogen!$D$32:$BA$32, Hydrogen!$D92:$BA92)+_xlfn.XLOOKUP(AE$134, 'SENS Tires'!$D$32:$BA$32, 'SENS Tires'!$D92:$BA92)+_xlfn.XLOOKUP(AE$134, 'SENS Coal'!$D$32:$BA$32, 'SENS Coal'!$D92:$BA92)</f>
        <v>0</v>
      </c>
      <c r="AF194" s="15">
        <f>_xlfn.XLOOKUP(AF$134, 'GEN-CCGT'!$D$32:$BA$32, 'GEN-CCGT'!$D92:$BA92)+_xlfn.XLOOKUP(AF$134, 'GEN-SOLAR'!$D$32:$BA$32, 'GEN-SOLAR'!$D92:$BA92)+_xlfn.XLOOKUP(AF$134, 'GEN-BESS'!$D$32:$BA$32, 'GEN-BESS'!$D92:$BA92)+_xlfn.XLOOKUP(AF$134, 'GEN-CARBON'!$D$32:$BA$32, 'GEN-CARBON'!$D92:$BA92)+_xlfn.XLOOKUP(AF$134, Load!$D$32:$BA$32, Load!$D92:$BA92)+_xlfn.XLOOKUP(AF$134, Hydrogen!$D$32:$BA$32, Hydrogen!$D92:$BA92)+_xlfn.XLOOKUP(AF$134, 'SENS Tires'!$D$32:$BA$32, 'SENS Tires'!$D92:$BA92)+_xlfn.XLOOKUP(AF$134, 'SENS Coal'!$D$32:$BA$32, 'SENS Coal'!$D92:$BA92)</f>
        <v>0</v>
      </c>
      <c r="AG194" s="15">
        <f>_xlfn.XLOOKUP(AG$134, 'GEN-CCGT'!$D$32:$BA$32, 'GEN-CCGT'!$D92:$BA92)+_xlfn.XLOOKUP(AG$134, 'GEN-SOLAR'!$D$32:$BA$32, 'GEN-SOLAR'!$D92:$BA92)+_xlfn.XLOOKUP(AG$134, 'GEN-BESS'!$D$32:$BA$32, 'GEN-BESS'!$D92:$BA92)+_xlfn.XLOOKUP(AG$134, 'GEN-CARBON'!$D$32:$BA$32, 'GEN-CARBON'!$D92:$BA92)+_xlfn.XLOOKUP(AG$134, Load!$D$32:$BA$32, Load!$D92:$BA92)+_xlfn.XLOOKUP(AG$134, Hydrogen!$D$32:$BA$32, Hydrogen!$D92:$BA92)+_xlfn.XLOOKUP(AG$134, 'SENS Tires'!$D$32:$BA$32, 'SENS Tires'!$D92:$BA92)+_xlfn.XLOOKUP(AG$134, 'SENS Coal'!$D$32:$BA$32, 'SENS Coal'!$D92:$BA92)</f>
        <v>0</v>
      </c>
      <c r="AH194" s="15">
        <f>_xlfn.XLOOKUP(AH$134, 'GEN-CCGT'!$D$32:$BA$32, 'GEN-CCGT'!$D92:$BA92)+_xlfn.XLOOKUP(AH$134, 'GEN-SOLAR'!$D$32:$BA$32, 'GEN-SOLAR'!$D92:$BA92)+_xlfn.XLOOKUP(AH$134, 'GEN-BESS'!$D$32:$BA$32, 'GEN-BESS'!$D92:$BA92)+_xlfn.XLOOKUP(AH$134, 'GEN-CARBON'!$D$32:$BA$32, 'GEN-CARBON'!$D92:$BA92)+_xlfn.XLOOKUP(AH$134, Load!$D$32:$BA$32, Load!$D92:$BA92)+_xlfn.XLOOKUP(AH$134, Hydrogen!$D$32:$BA$32, Hydrogen!$D92:$BA92)+_xlfn.XLOOKUP(AH$134, 'SENS Tires'!$D$32:$BA$32, 'SENS Tires'!$D92:$BA92)+_xlfn.XLOOKUP(AH$134, 'SENS Coal'!$D$32:$BA$32, 'SENS Coal'!$D92:$BA92)</f>
        <v>0</v>
      </c>
      <c r="AI194" s="15">
        <f>_xlfn.XLOOKUP(AI$134, 'GEN-CCGT'!$D$32:$BA$32, 'GEN-CCGT'!$D92:$BA92)+_xlfn.XLOOKUP(AI$134, 'GEN-SOLAR'!$D$32:$BA$32, 'GEN-SOLAR'!$D92:$BA92)+_xlfn.XLOOKUP(AI$134, 'GEN-BESS'!$D$32:$BA$32, 'GEN-BESS'!$D92:$BA92)+_xlfn.XLOOKUP(AI$134, 'GEN-CARBON'!$D$32:$BA$32, 'GEN-CARBON'!$D92:$BA92)+_xlfn.XLOOKUP(AI$134, Load!$D$32:$BA$32, Load!$D92:$BA92)+_xlfn.XLOOKUP(AI$134, Hydrogen!$D$32:$BA$32, Hydrogen!$D92:$BA92)+_xlfn.XLOOKUP(AI$134, 'SENS Tires'!$D$32:$BA$32, 'SENS Tires'!$D92:$BA92)+_xlfn.XLOOKUP(AI$134, 'SENS Coal'!$D$32:$BA$32, 'SENS Coal'!$D92:$BA92)</f>
        <v>0</v>
      </c>
      <c r="AJ194" s="15">
        <f>_xlfn.XLOOKUP(AJ$134, 'GEN-CCGT'!$D$32:$BA$32, 'GEN-CCGT'!$D92:$BA92)+_xlfn.XLOOKUP(AJ$134, 'GEN-SOLAR'!$D$32:$BA$32, 'GEN-SOLAR'!$D92:$BA92)+_xlfn.XLOOKUP(AJ$134, 'GEN-BESS'!$D$32:$BA$32, 'GEN-BESS'!$D92:$BA92)+_xlfn.XLOOKUP(AJ$134, 'GEN-CARBON'!$D$32:$BA$32, 'GEN-CARBON'!$D92:$BA92)+_xlfn.XLOOKUP(AJ$134, Load!$D$32:$BA$32, Load!$D92:$BA92)+_xlfn.XLOOKUP(AJ$134, Hydrogen!$D$32:$BA$32, Hydrogen!$D92:$BA92)+_xlfn.XLOOKUP(AJ$134, 'SENS Tires'!$D$32:$BA$32, 'SENS Tires'!$D92:$BA92)+_xlfn.XLOOKUP(AJ$134, 'SENS Coal'!$D$32:$BA$32, 'SENS Coal'!$D92:$BA92)</f>
        <v>0</v>
      </c>
      <c r="AK194" s="15">
        <f>_xlfn.XLOOKUP(AK$134, 'GEN-CCGT'!$D$32:$BA$32, 'GEN-CCGT'!$D92:$BA92)+_xlfn.XLOOKUP(AK$134, 'GEN-SOLAR'!$D$32:$BA$32, 'GEN-SOLAR'!$D92:$BA92)+_xlfn.XLOOKUP(AK$134, 'GEN-BESS'!$D$32:$BA$32, 'GEN-BESS'!$D92:$BA92)+_xlfn.XLOOKUP(AK$134, 'GEN-CARBON'!$D$32:$BA$32, 'GEN-CARBON'!$D92:$BA92)+_xlfn.XLOOKUP(AK$134, Load!$D$32:$BA$32, Load!$D92:$BA92)+_xlfn.XLOOKUP(AK$134, Hydrogen!$D$32:$BA$32, Hydrogen!$D92:$BA92)+_xlfn.XLOOKUP(AK$134, 'SENS Tires'!$D$32:$BA$32, 'SENS Tires'!$D92:$BA92)+_xlfn.XLOOKUP(AK$134, 'SENS Coal'!$D$32:$BA$32, 'SENS Coal'!$D92:$BA92)</f>
        <v>0</v>
      </c>
      <c r="AL194" s="15">
        <f>_xlfn.XLOOKUP(AL$134, 'GEN-CCGT'!$D$32:$BA$32, 'GEN-CCGT'!$D92:$BA92)+_xlfn.XLOOKUP(AL$134, 'GEN-SOLAR'!$D$32:$BA$32, 'GEN-SOLAR'!$D92:$BA92)+_xlfn.XLOOKUP(AL$134, 'GEN-BESS'!$D$32:$BA$32, 'GEN-BESS'!$D92:$BA92)+_xlfn.XLOOKUP(AL$134, 'GEN-CARBON'!$D$32:$BA$32, 'GEN-CARBON'!$D92:$BA92)+_xlfn.XLOOKUP(AL$134, Load!$D$32:$BA$32, Load!$D92:$BA92)+_xlfn.XLOOKUP(AL$134, Hydrogen!$D$32:$BA$32, Hydrogen!$D92:$BA92)+_xlfn.XLOOKUP(AL$134, 'SENS Tires'!$D$32:$BA$32, 'SENS Tires'!$D92:$BA92)+_xlfn.XLOOKUP(AL$134, 'SENS Coal'!$D$32:$BA$32, 'SENS Coal'!$D92:$BA92)</f>
        <v>0</v>
      </c>
      <c r="AM194" s="15">
        <f>_xlfn.XLOOKUP(AM$134, 'GEN-CCGT'!$D$32:$BA$32, 'GEN-CCGT'!$D92:$BA92)+_xlfn.XLOOKUP(AM$134, 'GEN-SOLAR'!$D$32:$BA$32, 'GEN-SOLAR'!$D92:$BA92)+_xlfn.XLOOKUP(AM$134, 'GEN-BESS'!$D$32:$BA$32, 'GEN-BESS'!$D92:$BA92)+_xlfn.XLOOKUP(AM$134, 'GEN-CARBON'!$D$32:$BA$32, 'GEN-CARBON'!$D92:$BA92)+_xlfn.XLOOKUP(AM$134, Load!$D$32:$BA$32, Load!$D92:$BA92)+_xlfn.XLOOKUP(AM$134, Hydrogen!$D$32:$BA$32, Hydrogen!$D92:$BA92)+_xlfn.XLOOKUP(AM$134, 'SENS Tires'!$D$32:$BA$32, 'SENS Tires'!$D92:$BA92)+_xlfn.XLOOKUP(AM$134, 'SENS Coal'!$D$32:$BA$32, 'SENS Coal'!$D92:$BA92)</f>
        <v>0</v>
      </c>
      <c r="AN194" s="15">
        <f>_xlfn.XLOOKUP(AN$134, 'GEN-CCGT'!$D$32:$BA$32, 'GEN-CCGT'!$D92:$BA92)+_xlfn.XLOOKUP(AN$134, 'GEN-SOLAR'!$D$32:$BA$32, 'GEN-SOLAR'!$D92:$BA92)+_xlfn.XLOOKUP(AN$134, 'GEN-BESS'!$D$32:$BA$32, 'GEN-BESS'!$D92:$BA92)+_xlfn.XLOOKUP(AN$134, 'GEN-CARBON'!$D$32:$BA$32, 'GEN-CARBON'!$D92:$BA92)+_xlfn.XLOOKUP(AN$134, Load!$D$32:$BA$32, Load!$D92:$BA92)+_xlfn.XLOOKUP(AN$134, Hydrogen!$D$32:$BA$32, Hydrogen!$D92:$BA92)+_xlfn.XLOOKUP(AN$134, 'SENS Tires'!$D$32:$BA$32, 'SENS Tires'!$D92:$BA92)+_xlfn.XLOOKUP(AN$134, 'SENS Coal'!$D$32:$BA$32, 'SENS Coal'!$D92:$BA92)</f>
        <v>0</v>
      </c>
      <c r="AO194" s="15">
        <f>_xlfn.XLOOKUP(AO$134, 'GEN-CCGT'!$D$32:$BA$32, 'GEN-CCGT'!$D92:$BA92)+_xlfn.XLOOKUP(AO$134, 'GEN-SOLAR'!$D$32:$BA$32, 'GEN-SOLAR'!$D92:$BA92)+_xlfn.XLOOKUP(AO$134, 'GEN-BESS'!$D$32:$BA$32, 'GEN-BESS'!$D92:$BA92)+_xlfn.XLOOKUP(AO$134, 'GEN-CARBON'!$D$32:$BA$32, 'GEN-CARBON'!$D92:$BA92)+_xlfn.XLOOKUP(AO$134, Load!$D$32:$BA$32, Load!$D92:$BA92)+_xlfn.XLOOKUP(AO$134, Hydrogen!$D$32:$BA$32, Hydrogen!$D92:$BA92)+_xlfn.XLOOKUP(AO$134, 'SENS Tires'!$D$32:$BA$32, 'SENS Tires'!$D92:$BA92)+_xlfn.XLOOKUP(AO$134, 'SENS Coal'!$D$32:$BA$32, 'SENS Coal'!$D92:$BA92)</f>
        <v>0</v>
      </c>
      <c r="AP194" s="15">
        <f>_xlfn.XLOOKUP(AP$134, 'GEN-CCGT'!$D$32:$BA$32, 'GEN-CCGT'!$D92:$BA92)+_xlfn.XLOOKUP(AP$134, 'GEN-SOLAR'!$D$32:$BA$32, 'GEN-SOLAR'!$D92:$BA92)+_xlfn.XLOOKUP(AP$134, 'GEN-BESS'!$D$32:$BA$32, 'GEN-BESS'!$D92:$BA92)+_xlfn.XLOOKUP(AP$134, 'GEN-CARBON'!$D$32:$BA$32, 'GEN-CARBON'!$D92:$BA92)+_xlfn.XLOOKUP(AP$134, Load!$D$32:$BA$32, Load!$D92:$BA92)+_xlfn.XLOOKUP(AP$134, Hydrogen!$D$32:$BA$32, Hydrogen!$D92:$BA92)+_xlfn.XLOOKUP(AP$134, 'SENS Tires'!$D$32:$BA$32, 'SENS Tires'!$D92:$BA92)+_xlfn.XLOOKUP(AP$134, 'SENS Coal'!$D$32:$BA$32, 'SENS Coal'!$D92:$BA92)</f>
        <v>0</v>
      </c>
      <c r="AQ194" s="15">
        <f>_xlfn.XLOOKUP(AQ$134, 'GEN-CCGT'!$D$32:$BA$32, 'GEN-CCGT'!$D92:$BA92)+_xlfn.XLOOKUP(AQ$134, 'GEN-SOLAR'!$D$32:$BA$32, 'GEN-SOLAR'!$D92:$BA92)+_xlfn.XLOOKUP(AQ$134, 'GEN-BESS'!$D$32:$BA$32, 'GEN-BESS'!$D92:$BA92)+_xlfn.XLOOKUP(AQ$134, 'GEN-CARBON'!$D$32:$BA$32, 'GEN-CARBON'!$D92:$BA92)+_xlfn.XLOOKUP(AQ$134, Load!$D$32:$BA$32, Load!$D92:$BA92)+_xlfn.XLOOKUP(AQ$134, Hydrogen!$D$32:$BA$32, Hydrogen!$D92:$BA92)+_xlfn.XLOOKUP(AQ$134, 'SENS Tires'!$D$32:$BA$32, 'SENS Tires'!$D92:$BA92)+_xlfn.XLOOKUP(AQ$134, 'SENS Coal'!$D$32:$BA$32, 'SENS Coal'!$D92:$BA92)</f>
        <v>0</v>
      </c>
      <c r="AR194" s="15">
        <f>_xlfn.XLOOKUP(AR$134, 'GEN-CCGT'!$D$32:$BA$32, 'GEN-CCGT'!$D92:$BA92)+_xlfn.XLOOKUP(AR$134, 'GEN-SOLAR'!$D$32:$BA$32, 'GEN-SOLAR'!$D92:$BA92)+_xlfn.XLOOKUP(AR$134, 'GEN-BESS'!$D$32:$BA$32, 'GEN-BESS'!$D92:$BA92)+_xlfn.XLOOKUP(AR$134, 'GEN-CARBON'!$D$32:$BA$32, 'GEN-CARBON'!$D92:$BA92)+_xlfn.XLOOKUP(AR$134, Load!$D$32:$BA$32, Load!$D92:$BA92)+_xlfn.XLOOKUP(AR$134, Hydrogen!$D$32:$BA$32, Hydrogen!$D92:$BA92)+_xlfn.XLOOKUP(AR$134, 'SENS Tires'!$D$32:$BA$32, 'SENS Tires'!$D92:$BA92)+_xlfn.XLOOKUP(AR$134, 'SENS Coal'!$D$32:$BA$32, 'SENS Coal'!$D92:$BA92)</f>
        <v>0</v>
      </c>
      <c r="AS194" s="15">
        <f>_xlfn.XLOOKUP(AS$134, 'GEN-CCGT'!$D$32:$BA$32, 'GEN-CCGT'!$D92:$BA92)+_xlfn.XLOOKUP(AS$134, 'GEN-SOLAR'!$D$32:$BA$32, 'GEN-SOLAR'!$D92:$BA92)+_xlfn.XLOOKUP(AS$134, 'GEN-BESS'!$D$32:$BA$32, 'GEN-BESS'!$D92:$BA92)+_xlfn.XLOOKUP(AS$134, 'GEN-CARBON'!$D$32:$BA$32, 'GEN-CARBON'!$D92:$BA92)+_xlfn.XLOOKUP(AS$134, Load!$D$32:$BA$32, Load!$D92:$BA92)+_xlfn.XLOOKUP(AS$134, Hydrogen!$D$32:$BA$32, Hydrogen!$D92:$BA92)+_xlfn.XLOOKUP(AS$134, 'SENS Tires'!$D$32:$BA$32, 'SENS Tires'!$D92:$BA92)+_xlfn.XLOOKUP(AS$134, 'SENS Coal'!$D$32:$BA$32, 'SENS Coal'!$D92:$BA92)</f>
        <v>0</v>
      </c>
      <c r="AT194" s="15">
        <f>_xlfn.XLOOKUP(AT$134, 'GEN-CCGT'!$D$32:$BA$32, 'GEN-CCGT'!$D92:$BA92)+_xlfn.XLOOKUP(AT$134, 'GEN-SOLAR'!$D$32:$BA$32, 'GEN-SOLAR'!$D92:$BA92)+_xlfn.XLOOKUP(AT$134, 'GEN-BESS'!$D$32:$BA$32, 'GEN-BESS'!$D92:$BA92)+_xlfn.XLOOKUP(AT$134, 'GEN-CARBON'!$D$32:$BA$32, 'GEN-CARBON'!$D92:$BA92)+_xlfn.XLOOKUP(AT$134, Load!$D$32:$BA$32, Load!$D92:$BA92)+_xlfn.XLOOKUP(AT$134, Hydrogen!$D$32:$BA$32, Hydrogen!$D92:$BA92)+_xlfn.XLOOKUP(AT$134, 'SENS Tires'!$D$32:$BA$32, 'SENS Tires'!$D92:$BA92)+_xlfn.XLOOKUP(AT$134, 'SENS Coal'!$D$32:$BA$32, 'SENS Coal'!$D92:$BA92)</f>
        <v>0</v>
      </c>
      <c r="AU194" s="15">
        <f>_xlfn.XLOOKUP(AU$134, 'GEN-CCGT'!$D$32:$BA$32, 'GEN-CCGT'!$D92:$BA92)+_xlfn.XLOOKUP(AU$134, 'GEN-SOLAR'!$D$32:$BA$32, 'GEN-SOLAR'!$D92:$BA92)+_xlfn.XLOOKUP(AU$134, 'GEN-BESS'!$D$32:$BA$32, 'GEN-BESS'!$D92:$BA92)+_xlfn.XLOOKUP(AU$134, 'GEN-CARBON'!$D$32:$BA$32, 'GEN-CARBON'!$D92:$BA92)+_xlfn.XLOOKUP(AU$134, Load!$D$32:$BA$32, Load!$D92:$BA92)+_xlfn.XLOOKUP(AU$134, Hydrogen!$D$32:$BA$32, Hydrogen!$D92:$BA92)+_xlfn.XLOOKUP(AU$134, 'SENS Tires'!$D$32:$BA$32, 'SENS Tires'!$D92:$BA92)+_xlfn.XLOOKUP(AU$134, 'SENS Coal'!$D$32:$BA$32, 'SENS Coal'!$D92:$BA92)</f>
        <v>0</v>
      </c>
      <c r="AV194" s="15">
        <f>_xlfn.XLOOKUP(AV$134, 'GEN-CCGT'!$D$32:$BA$32, 'GEN-CCGT'!$D92:$BA92)+_xlfn.XLOOKUP(AV$134, 'GEN-SOLAR'!$D$32:$BA$32, 'GEN-SOLAR'!$D92:$BA92)+_xlfn.XLOOKUP(AV$134, 'GEN-BESS'!$D$32:$BA$32, 'GEN-BESS'!$D92:$BA92)+_xlfn.XLOOKUP(AV$134, 'GEN-CARBON'!$D$32:$BA$32, 'GEN-CARBON'!$D92:$BA92)+_xlfn.XLOOKUP(AV$134, Load!$D$32:$BA$32, Load!$D92:$BA92)+_xlfn.XLOOKUP(AV$134, Hydrogen!$D$32:$BA$32, Hydrogen!$D92:$BA92)+_xlfn.XLOOKUP(AV$134, 'SENS Tires'!$D$32:$BA$32, 'SENS Tires'!$D92:$BA92)+_xlfn.XLOOKUP(AV$134, 'SENS Coal'!$D$32:$BA$32, 'SENS Coal'!$D92:$BA92)</f>
        <v>0</v>
      </c>
      <c r="AW194" s="15">
        <f>_xlfn.XLOOKUP(AW$134, 'GEN-CCGT'!$D$32:$BA$32, 'GEN-CCGT'!$D92:$BA92)+_xlfn.XLOOKUP(AW$134, 'GEN-SOLAR'!$D$32:$BA$32, 'GEN-SOLAR'!$D92:$BA92)+_xlfn.XLOOKUP(AW$134, 'GEN-BESS'!$D$32:$BA$32, 'GEN-BESS'!$D92:$BA92)+_xlfn.XLOOKUP(AW$134, 'GEN-CARBON'!$D$32:$BA$32, 'GEN-CARBON'!$D92:$BA92)+_xlfn.XLOOKUP(AW$134, Load!$D$32:$BA$32, Load!$D92:$BA92)+_xlfn.XLOOKUP(AW$134, Hydrogen!$D$32:$BA$32, Hydrogen!$D92:$BA92)+_xlfn.XLOOKUP(AW$134, 'SENS Tires'!$D$32:$BA$32, 'SENS Tires'!$D92:$BA92)+_xlfn.XLOOKUP(AW$134, 'SENS Coal'!$D$32:$BA$32, 'SENS Coal'!$D92:$BA92)</f>
        <v>0</v>
      </c>
      <c r="AX194" s="15">
        <f>_xlfn.XLOOKUP(AX$134, 'GEN-CCGT'!$D$32:$BA$32, 'GEN-CCGT'!$D92:$BA92)+_xlfn.XLOOKUP(AX$134, 'GEN-SOLAR'!$D$32:$BA$32, 'GEN-SOLAR'!$D92:$BA92)+_xlfn.XLOOKUP(AX$134, 'GEN-BESS'!$D$32:$BA$32, 'GEN-BESS'!$D92:$BA92)+_xlfn.XLOOKUP(AX$134, 'GEN-CARBON'!$D$32:$BA$32, 'GEN-CARBON'!$D92:$BA92)+_xlfn.XLOOKUP(AX$134, Load!$D$32:$BA$32, Load!$D92:$BA92)+_xlfn.XLOOKUP(AX$134, Hydrogen!$D$32:$BA$32, Hydrogen!$D92:$BA92)+_xlfn.XLOOKUP(AX$134, 'SENS Tires'!$D$32:$BA$32, 'SENS Tires'!$D92:$BA92)+_xlfn.XLOOKUP(AX$134, 'SENS Coal'!$D$32:$BA$32, 'SENS Coal'!$D92:$BA92)</f>
        <v>0</v>
      </c>
    </row>
    <row r="195" spans="1:50" ht="14.25" customHeight="1">
      <c r="A195" s="1"/>
      <c r="B195" s="84"/>
      <c r="C195" s="1" t="s">
        <v>445</v>
      </c>
      <c r="D195" s="1"/>
      <c r="E195" s="1">
        <f>_xlfn.XLOOKUP(E$134, 'GEN-CCGT'!$D$32:$BA$32, 'GEN-CCGT'!$D93:$BA93)+_xlfn.XLOOKUP(E$134, 'GEN-SOLAR'!$D$32:$BA$32, 'GEN-SOLAR'!$D93:$BA93)+_xlfn.XLOOKUP(E$134, 'GEN-BESS'!$D$32:$BA$32, 'GEN-BESS'!$D93:$BA93)+_xlfn.XLOOKUP(E$134, 'GEN-CARBON'!$D$32:$BA$32, 'GEN-CARBON'!$D93:$BA93)+_xlfn.XLOOKUP(E$134, Load!$D$32:$BA$32, Load!$D93:$BA93)+_xlfn.XLOOKUP(E$134, Hydrogen!$D$32:$BA$32, Hydrogen!$D93:$BA93)+_xlfn.XLOOKUP(E$134, 'SENS Tires'!$D$32:$BA$32, 'SENS Tires'!$D93:$BA93)+_xlfn.XLOOKUP(E$134, 'SENS Coal'!$D$32:$BA$32, 'SENS Coal'!$D93:$BA93)</f>
        <v>0</v>
      </c>
      <c r="F195" s="29">
        <f>_xlfn.XLOOKUP(F$134, 'GEN-CCGT'!$D$32:$BA$32, 'GEN-CCGT'!$D93:$BA93)+_xlfn.XLOOKUP(F$134, 'GEN-SOLAR'!$D$32:$BA$32, 'GEN-SOLAR'!$D93:$BA93)+_xlfn.XLOOKUP(F$134, 'GEN-BESS'!$D$32:$BA$32, 'GEN-BESS'!$D93:$BA93)+_xlfn.XLOOKUP(F$134, 'GEN-CARBON'!$D$32:$BA$32, 'GEN-CARBON'!$D93:$BA93)+_xlfn.XLOOKUP(F$134, Load!$D$32:$BA$32, Load!$D93:$BA93)+_xlfn.XLOOKUP(F$134, Hydrogen!$D$32:$BA$32, Hydrogen!$D93:$BA93)+_xlfn.XLOOKUP(F$134, 'SENS Tires'!$D$32:$BA$32, 'SENS Tires'!$D93:$BA93)+_xlfn.XLOOKUP(F$134, 'SENS Coal'!$D$32:$BA$32, 'SENS Coal'!$D93:$BA93)</f>
        <v>0</v>
      </c>
      <c r="G195" s="29">
        <f>_xlfn.XLOOKUP(G$134, 'GEN-CCGT'!$D$32:$BA$32, 'GEN-CCGT'!$D93:$BA93)+_xlfn.XLOOKUP(G$134, 'GEN-SOLAR'!$D$32:$BA$32, 'GEN-SOLAR'!$D93:$BA93)+_xlfn.XLOOKUP(G$134, 'GEN-BESS'!$D$32:$BA$32, 'GEN-BESS'!$D93:$BA93)+_xlfn.XLOOKUP(G$134, 'GEN-CARBON'!$D$32:$BA$32, 'GEN-CARBON'!$D93:$BA93)+_xlfn.XLOOKUP(G$134, Load!$D$32:$BA$32, Load!$D93:$BA93)+_xlfn.XLOOKUP(G$134, Hydrogen!$D$32:$BA$32, Hydrogen!$D93:$BA93)+_xlfn.XLOOKUP(G$134, 'SENS Tires'!$D$32:$BA$32, 'SENS Tires'!$D93:$BA93)+_xlfn.XLOOKUP(G$134, 'SENS Coal'!$D$32:$BA$32, 'SENS Coal'!$D93:$BA93)</f>
        <v>0</v>
      </c>
      <c r="H195" s="29">
        <f>_xlfn.XLOOKUP(H$134, 'GEN-CCGT'!$D$32:$BA$32, 'GEN-CCGT'!$D93:$BA93)+_xlfn.XLOOKUP(H$134, 'GEN-SOLAR'!$D$32:$BA$32, 'GEN-SOLAR'!$D93:$BA93)+_xlfn.XLOOKUP(H$134, 'GEN-BESS'!$D$32:$BA$32, 'GEN-BESS'!$D93:$BA93)+_xlfn.XLOOKUP(H$134, 'GEN-CARBON'!$D$32:$BA$32, 'GEN-CARBON'!$D93:$BA93)+_xlfn.XLOOKUP(H$134, Load!$D$32:$BA$32, Load!$D93:$BA93)+_xlfn.XLOOKUP(H$134, Hydrogen!$D$32:$BA$32, Hydrogen!$D93:$BA93)+_xlfn.XLOOKUP(H$134, 'SENS Tires'!$D$32:$BA$32, 'SENS Tires'!$D93:$BA93)+_xlfn.XLOOKUP(H$134, 'SENS Coal'!$D$32:$BA$32, 'SENS Coal'!$D93:$BA93)</f>
        <v>0</v>
      </c>
      <c r="I195" s="29">
        <f>_xlfn.XLOOKUP(I$134, 'GEN-CCGT'!$D$32:$BA$32, 'GEN-CCGT'!$D93:$BA93)+_xlfn.XLOOKUP(I$134, 'GEN-SOLAR'!$D$32:$BA$32, 'GEN-SOLAR'!$D93:$BA93)+_xlfn.XLOOKUP(I$134, 'GEN-BESS'!$D$32:$BA$32, 'GEN-BESS'!$D93:$BA93)+_xlfn.XLOOKUP(I$134, 'GEN-CARBON'!$D$32:$BA$32, 'GEN-CARBON'!$D93:$BA93)+_xlfn.XLOOKUP(I$134, Load!$D$32:$BA$32, Load!$D93:$BA93)+_xlfn.XLOOKUP(I$134, Hydrogen!$D$32:$BA$32, Hydrogen!$D93:$BA93)+_xlfn.XLOOKUP(I$134, 'SENS Tires'!$D$32:$BA$32, 'SENS Tires'!$D93:$BA93)+_xlfn.XLOOKUP(I$134, 'SENS Coal'!$D$32:$BA$32, 'SENS Coal'!$D93:$BA93)</f>
        <v>0</v>
      </c>
      <c r="J195" s="29">
        <f>_xlfn.XLOOKUP(J$134, 'GEN-CCGT'!$D$32:$BA$32, 'GEN-CCGT'!$D93:$BA93)+_xlfn.XLOOKUP(J$134, 'GEN-SOLAR'!$D$32:$BA$32, 'GEN-SOLAR'!$D93:$BA93)+_xlfn.XLOOKUP(J$134, 'GEN-BESS'!$D$32:$BA$32, 'GEN-BESS'!$D93:$BA93)+_xlfn.XLOOKUP(J$134, 'GEN-CARBON'!$D$32:$BA$32, 'GEN-CARBON'!$D93:$BA93)+_xlfn.XLOOKUP(J$134, Load!$D$32:$BA$32, Load!$D93:$BA93)+_xlfn.XLOOKUP(J$134, Hydrogen!$D$32:$BA$32, Hydrogen!$D93:$BA93)+_xlfn.XLOOKUP(J$134, 'SENS Tires'!$D$32:$BA$32, 'SENS Tires'!$D93:$BA93)+_xlfn.XLOOKUP(J$134, 'SENS Coal'!$D$32:$BA$32, 'SENS Coal'!$D93:$BA93)</f>
        <v>0</v>
      </c>
      <c r="K195" s="29">
        <f>_xlfn.XLOOKUP(K$134, 'GEN-CCGT'!$D$32:$BA$32, 'GEN-CCGT'!$D93:$BA93)+_xlfn.XLOOKUP(K$134, 'GEN-SOLAR'!$D$32:$BA$32, 'GEN-SOLAR'!$D93:$BA93)+_xlfn.XLOOKUP(K$134, 'GEN-BESS'!$D$32:$BA$32, 'GEN-BESS'!$D93:$BA93)+_xlfn.XLOOKUP(K$134, 'GEN-CARBON'!$D$32:$BA$32, 'GEN-CARBON'!$D93:$BA93)+_xlfn.XLOOKUP(K$134, Load!$D$32:$BA$32, Load!$D93:$BA93)+_xlfn.XLOOKUP(K$134, Hydrogen!$D$32:$BA$32, Hydrogen!$D93:$BA93)+_xlfn.XLOOKUP(K$134, 'SENS Tires'!$D$32:$BA$32, 'SENS Tires'!$D93:$BA93)+_xlfn.XLOOKUP(K$134, 'SENS Coal'!$D$32:$BA$32, 'SENS Coal'!$D93:$BA93)</f>
        <v>0</v>
      </c>
      <c r="L195" s="29">
        <f>_xlfn.XLOOKUP(L$134, 'GEN-CCGT'!$D$32:$BA$32, 'GEN-CCGT'!$D93:$BA93)+_xlfn.XLOOKUP(L$134, 'GEN-SOLAR'!$D$32:$BA$32, 'GEN-SOLAR'!$D93:$BA93)+_xlfn.XLOOKUP(L$134, 'GEN-BESS'!$D$32:$BA$32, 'GEN-BESS'!$D93:$BA93)+_xlfn.XLOOKUP(L$134, 'GEN-CARBON'!$D$32:$BA$32, 'GEN-CARBON'!$D93:$BA93)+_xlfn.XLOOKUP(L$134, Load!$D$32:$BA$32, Load!$D93:$BA93)+_xlfn.XLOOKUP(L$134, Hydrogen!$D$32:$BA$32, Hydrogen!$D93:$BA93)+_xlfn.XLOOKUP(L$134, 'SENS Tires'!$D$32:$BA$32, 'SENS Tires'!$D93:$BA93)+_xlfn.XLOOKUP(L$134, 'SENS Coal'!$D$32:$BA$32, 'SENS Coal'!$D93:$BA93)</f>
        <v>0</v>
      </c>
      <c r="M195" s="29">
        <f>_xlfn.XLOOKUP(M$134, 'GEN-CCGT'!$D$32:$BA$32, 'GEN-CCGT'!$D93:$BA93)+_xlfn.XLOOKUP(M$134, 'GEN-SOLAR'!$D$32:$BA$32, 'GEN-SOLAR'!$D93:$BA93)+_xlfn.XLOOKUP(M$134, 'GEN-BESS'!$D$32:$BA$32, 'GEN-BESS'!$D93:$BA93)+_xlfn.XLOOKUP(M$134, 'GEN-CARBON'!$D$32:$BA$32, 'GEN-CARBON'!$D93:$BA93)+_xlfn.XLOOKUP(M$134, Load!$D$32:$BA$32, Load!$D93:$BA93)+_xlfn.XLOOKUP(M$134, Hydrogen!$D$32:$BA$32, Hydrogen!$D93:$BA93)+_xlfn.XLOOKUP(M$134, 'SENS Tires'!$D$32:$BA$32, 'SENS Tires'!$D93:$BA93)+_xlfn.XLOOKUP(M$134, 'SENS Coal'!$D$32:$BA$32, 'SENS Coal'!$D93:$BA93)</f>
        <v>0</v>
      </c>
      <c r="N195" s="29">
        <f>_xlfn.XLOOKUP(N$134, 'GEN-CCGT'!$D$32:$BA$32, 'GEN-CCGT'!$D93:$BA93)+_xlfn.XLOOKUP(N$134, 'GEN-SOLAR'!$D$32:$BA$32, 'GEN-SOLAR'!$D93:$BA93)+_xlfn.XLOOKUP(N$134, 'GEN-BESS'!$D$32:$BA$32, 'GEN-BESS'!$D93:$BA93)+_xlfn.XLOOKUP(N$134, 'GEN-CARBON'!$D$32:$BA$32, 'GEN-CARBON'!$D93:$BA93)+_xlfn.XLOOKUP(N$134, Load!$D$32:$BA$32, Load!$D93:$BA93)+_xlfn.XLOOKUP(N$134, Hydrogen!$D$32:$BA$32, Hydrogen!$D93:$BA93)+_xlfn.XLOOKUP(N$134, 'SENS Tires'!$D$32:$BA$32, 'SENS Tires'!$D93:$BA93)+_xlfn.XLOOKUP(N$134, 'SENS Coal'!$D$32:$BA$32, 'SENS Coal'!$D93:$BA93)</f>
        <v>0</v>
      </c>
      <c r="O195" s="29">
        <f>_xlfn.XLOOKUP(O$134, 'GEN-CCGT'!$D$32:$BA$32, 'GEN-CCGT'!$D93:$BA93)+_xlfn.XLOOKUP(O$134, 'GEN-SOLAR'!$D$32:$BA$32, 'GEN-SOLAR'!$D93:$BA93)+_xlfn.XLOOKUP(O$134, 'GEN-BESS'!$D$32:$BA$32, 'GEN-BESS'!$D93:$BA93)+_xlfn.XLOOKUP(O$134, 'GEN-CARBON'!$D$32:$BA$32, 'GEN-CARBON'!$D93:$BA93)+_xlfn.XLOOKUP(O$134, Load!$D$32:$BA$32, Load!$D93:$BA93)+_xlfn.XLOOKUP(O$134, Hydrogen!$D$32:$BA$32, Hydrogen!$D93:$BA93)+_xlfn.XLOOKUP(O$134, 'SENS Tires'!$D$32:$BA$32, 'SENS Tires'!$D93:$BA93)+_xlfn.XLOOKUP(O$134, 'SENS Coal'!$D$32:$BA$32, 'SENS Coal'!$D93:$BA93)</f>
        <v>0</v>
      </c>
      <c r="P195" s="29">
        <f>_xlfn.XLOOKUP(P$134, 'GEN-CCGT'!$D$32:$BA$32, 'GEN-CCGT'!$D93:$BA93)+_xlfn.XLOOKUP(P$134, 'GEN-SOLAR'!$D$32:$BA$32, 'GEN-SOLAR'!$D93:$BA93)+_xlfn.XLOOKUP(P$134, 'GEN-BESS'!$D$32:$BA$32, 'GEN-BESS'!$D93:$BA93)+_xlfn.XLOOKUP(P$134, 'GEN-CARBON'!$D$32:$BA$32, 'GEN-CARBON'!$D93:$BA93)+_xlfn.XLOOKUP(P$134, Load!$D$32:$BA$32, Load!$D93:$BA93)+_xlfn.XLOOKUP(P$134, Hydrogen!$D$32:$BA$32, Hydrogen!$D93:$BA93)+_xlfn.XLOOKUP(P$134, 'SENS Tires'!$D$32:$BA$32, 'SENS Tires'!$D93:$BA93)+_xlfn.XLOOKUP(P$134, 'SENS Coal'!$D$32:$BA$32, 'SENS Coal'!$D93:$BA93)</f>
        <v>0</v>
      </c>
      <c r="Q195" s="29">
        <f>_xlfn.XLOOKUP(Q$134, 'GEN-CCGT'!$D$32:$BA$32, 'GEN-CCGT'!$D93:$BA93)+_xlfn.XLOOKUP(Q$134, 'GEN-SOLAR'!$D$32:$BA$32, 'GEN-SOLAR'!$D93:$BA93)+_xlfn.XLOOKUP(Q$134, 'GEN-BESS'!$D$32:$BA$32, 'GEN-BESS'!$D93:$BA93)+_xlfn.XLOOKUP(Q$134, 'GEN-CARBON'!$D$32:$BA$32, 'GEN-CARBON'!$D93:$BA93)+_xlfn.XLOOKUP(Q$134, Load!$D$32:$BA$32, Load!$D93:$BA93)+_xlfn.XLOOKUP(Q$134, Hydrogen!$D$32:$BA$32, Hydrogen!$D93:$BA93)+_xlfn.XLOOKUP(Q$134, 'SENS Tires'!$D$32:$BA$32, 'SENS Tires'!$D93:$BA93)+_xlfn.XLOOKUP(Q$134, 'SENS Coal'!$D$32:$BA$32, 'SENS Coal'!$D93:$BA93)</f>
        <v>0</v>
      </c>
      <c r="R195" s="29">
        <f>_xlfn.XLOOKUP(R$134, 'GEN-CCGT'!$D$32:$BA$32, 'GEN-CCGT'!$D93:$BA93)+_xlfn.XLOOKUP(R$134, 'GEN-SOLAR'!$D$32:$BA$32, 'GEN-SOLAR'!$D93:$BA93)+_xlfn.XLOOKUP(R$134, 'GEN-BESS'!$D$32:$BA$32, 'GEN-BESS'!$D93:$BA93)+_xlfn.XLOOKUP(R$134, 'GEN-CARBON'!$D$32:$BA$32, 'GEN-CARBON'!$D93:$BA93)+_xlfn.XLOOKUP(R$134, Load!$D$32:$BA$32, Load!$D93:$BA93)+_xlfn.XLOOKUP(R$134, Hydrogen!$D$32:$BA$32, Hydrogen!$D93:$BA93)+_xlfn.XLOOKUP(R$134, 'SENS Tires'!$D$32:$BA$32, 'SENS Tires'!$D93:$BA93)+_xlfn.XLOOKUP(R$134, 'SENS Coal'!$D$32:$BA$32, 'SENS Coal'!$D93:$BA93)</f>
        <v>0</v>
      </c>
      <c r="S195" s="29">
        <f>_xlfn.XLOOKUP(S$134, 'GEN-CCGT'!$D$32:$BA$32, 'GEN-CCGT'!$D93:$BA93)+_xlfn.XLOOKUP(S$134, 'GEN-SOLAR'!$D$32:$BA$32, 'GEN-SOLAR'!$D93:$BA93)+_xlfn.XLOOKUP(S$134, 'GEN-BESS'!$D$32:$BA$32, 'GEN-BESS'!$D93:$BA93)+_xlfn.XLOOKUP(S$134, 'GEN-CARBON'!$D$32:$BA$32, 'GEN-CARBON'!$D93:$BA93)+_xlfn.XLOOKUP(S$134, Load!$D$32:$BA$32, Load!$D93:$BA93)+_xlfn.XLOOKUP(S$134, Hydrogen!$D$32:$BA$32, Hydrogen!$D93:$BA93)+_xlfn.XLOOKUP(S$134, 'SENS Tires'!$D$32:$BA$32, 'SENS Tires'!$D93:$BA93)+_xlfn.XLOOKUP(S$134, 'SENS Coal'!$D$32:$BA$32, 'SENS Coal'!$D93:$BA93)</f>
        <v>0</v>
      </c>
      <c r="T195" s="29">
        <f>_xlfn.XLOOKUP(T$134, 'GEN-CCGT'!$D$32:$BA$32, 'GEN-CCGT'!$D93:$BA93)+_xlfn.XLOOKUP(T$134, 'GEN-SOLAR'!$D$32:$BA$32, 'GEN-SOLAR'!$D93:$BA93)+_xlfn.XLOOKUP(T$134, 'GEN-BESS'!$D$32:$BA$32, 'GEN-BESS'!$D93:$BA93)+_xlfn.XLOOKUP(T$134, 'GEN-CARBON'!$D$32:$BA$32, 'GEN-CARBON'!$D93:$BA93)+_xlfn.XLOOKUP(T$134, Load!$D$32:$BA$32, Load!$D93:$BA93)+_xlfn.XLOOKUP(T$134, Hydrogen!$D$32:$BA$32, Hydrogen!$D93:$BA93)+_xlfn.XLOOKUP(T$134, 'SENS Tires'!$D$32:$BA$32, 'SENS Tires'!$D93:$BA93)+_xlfn.XLOOKUP(T$134, 'SENS Coal'!$D$32:$BA$32, 'SENS Coal'!$D93:$BA93)</f>
        <v>0</v>
      </c>
      <c r="U195" s="29">
        <f>_xlfn.XLOOKUP(U$134, 'GEN-CCGT'!$D$32:$BA$32, 'GEN-CCGT'!$D93:$BA93)+_xlfn.XLOOKUP(U$134, 'GEN-SOLAR'!$D$32:$BA$32, 'GEN-SOLAR'!$D93:$BA93)+_xlfn.XLOOKUP(U$134, 'GEN-BESS'!$D$32:$BA$32, 'GEN-BESS'!$D93:$BA93)+_xlfn.XLOOKUP(U$134, 'GEN-CARBON'!$D$32:$BA$32, 'GEN-CARBON'!$D93:$BA93)+_xlfn.XLOOKUP(U$134, Load!$D$32:$BA$32, Load!$D93:$BA93)+_xlfn.XLOOKUP(U$134, Hydrogen!$D$32:$BA$32, Hydrogen!$D93:$BA93)+_xlfn.XLOOKUP(U$134, 'SENS Tires'!$D$32:$BA$32, 'SENS Tires'!$D93:$BA93)+_xlfn.XLOOKUP(U$134, 'SENS Coal'!$D$32:$BA$32, 'SENS Coal'!$D93:$BA93)</f>
        <v>0</v>
      </c>
      <c r="V195" s="29">
        <f>_xlfn.XLOOKUP(V$134, 'GEN-CCGT'!$D$32:$BA$32, 'GEN-CCGT'!$D93:$BA93)+_xlfn.XLOOKUP(V$134, 'GEN-SOLAR'!$D$32:$BA$32, 'GEN-SOLAR'!$D93:$BA93)+_xlfn.XLOOKUP(V$134, 'GEN-BESS'!$D$32:$BA$32, 'GEN-BESS'!$D93:$BA93)+_xlfn.XLOOKUP(V$134, 'GEN-CARBON'!$D$32:$BA$32, 'GEN-CARBON'!$D93:$BA93)+_xlfn.XLOOKUP(V$134, Load!$D$32:$BA$32, Load!$D93:$BA93)+_xlfn.XLOOKUP(V$134, Hydrogen!$D$32:$BA$32, Hydrogen!$D93:$BA93)+_xlfn.XLOOKUP(V$134, 'SENS Tires'!$D$32:$BA$32, 'SENS Tires'!$D93:$BA93)+_xlfn.XLOOKUP(V$134, 'SENS Coal'!$D$32:$BA$32, 'SENS Coal'!$D93:$BA93)</f>
        <v>0</v>
      </c>
      <c r="W195" s="29">
        <f>_xlfn.XLOOKUP(W$134, 'GEN-CCGT'!$D$32:$BA$32, 'GEN-CCGT'!$D93:$BA93)+_xlfn.XLOOKUP(W$134, 'GEN-SOLAR'!$D$32:$BA$32, 'GEN-SOLAR'!$D93:$BA93)+_xlfn.XLOOKUP(W$134, 'GEN-BESS'!$D$32:$BA$32, 'GEN-BESS'!$D93:$BA93)+_xlfn.XLOOKUP(W$134, 'GEN-CARBON'!$D$32:$BA$32, 'GEN-CARBON'!$D93:$BA93)+_xlfn.XLOOKUP(W$134, Load!$D$32:$BA$32, Load!$D93:$BA93)+_xlfn.XLOOKUP(W$134, Hydrogen!$D$32:$BA$32, Hydrogen!$D93:$BA93)+_xlfn.XLOOKUP(W$134, 'SENS Tires'!$D$32:$BA$32, 'SENS Tires'!$D93:$BA93)+_xlfn.XLOOKUP(W$134, 'SENS Coal'!$D$32:$BA$32, 'SENS Coal'!$D93:$BA93)</f>
        <v>0</v>
      </c>
      <c r="X195" s="29">
        <f>_xlfn.XLOOKUP(X$134, 'GEN-CCGT'!$D$32:$BA$32, 'GEN-CCGT'!$D93:$BA93)+_xlfn.XLOOKUP(X$134, 'GEN-SOLAR'!$D$32:$BA$32, 'GEN-SOLAR'!$D93:$BA93)+_xlfn.XLOOKUP(X$134, 'GEN-BESS'!$D$32:$BA$32, 'GEN-BESS'!$D93:$BA93)+_xlfn.XLOOKUP(X$134, 'GEN-CARBON'!$D$32:$BA$32, 'GEN-CARBON'!$D93:$BA93)+_xlfn.XLOOKUP(X$134, Load!$D$32:$BA$32, Load!$D93:$BA93)+_xlfn.XLOOKUP(X$134, Hydrogen!$D$32:$BA$32, Hydrogen!$D93:$BA93)+_xlfn.XLOOKUP(X$134, 'SENS Tires'!$D$32:$BA$32, 'SENS Tires'!$D93:$BA93)+_xlfn.XLOOKUP(X$134, 'SENS Coal'!$D$32:$BA$32, 'SENS Coal'!$D93:$BA93)</f>
        <v>0</v>
      </c>
      <c r="Y195" s="29">
        <f>_xlfn.XLOOKUP(Y$134, 'GEN-CCGT'!$D$32:$BA$32, 'GEN-CCGT'!$D93:$BA93)+_xlfn.XLOOKUP(Y$134, 'GEN-SOLAR'!$D$32:$BA$32, 'GEN-SOLAR'!$D93:$BA93)+_xlfn.XLOOKUP(Y$134, 'GEN-BESS'!$D$32:$BA$32, 'GEN-BESS'!$D93:$BA93)+_xlfn.XLOOKUP(Y$134, 'GEN-CARBON'!$D$32:$BA$32, 'GEN-CARBON'!$D93:$BA93)+_xlfn.XLOOKUP(Y$134, Load!$D$32:$BA$32, Load!$D93:$BA93)+_xlfn.XLOOKUP(Y$134, Hydrogen!$D$32:$BA$32, Hydrogen!$D93:$BA93)+_xlfn.XLOOKUP(Y$134, 'SENS Tires'!$D$32:$BA$32, 'SENS Tires'!$D93:$BA93)+_xlfn.XLOOKUP(Y$134, 'SENS Coal'!$D$32:$BA$32, 'SENS Coal'!$D93:$BA93)</f>
        <v>0</v>
      </c>
      <c r="Z195" s="29">
        <f>_xlfn.XLOOKUP(Z$134, 'GEN-CCGT'!$D$32:$BA$32, 'GEN-CCGT'!$D93:$BA93)+_xlfn.XLOOKUP(Z$134, 'GEN-SOLAR'!$D$32:$BA$32, 'GEN-SOLAR'!$D93:$BA93)+_xlfn.XLOOKUP(Z$134, 'GEN-BESS'!$D$32:$BA$32, 'GEN-BESS'!$D93:$BA93)+_xlfn.XLOOKUP(Z$134, 'GEN-CARBON'!$D$32:$BA$32, 'GEN-CARBON'!$D93:$BA93)+_xlfn.XLOOKUP(Z$134, Load!$D$32:$BA$32, Load!$D93:$BA93)+_xlfn.XLOOKUP(Z$134, Hydrogen!$D$32:$BA$32, Hydrogen!$D93:$BA93)+_xlfn.XLOOKUP(Z$134, 'SENS Tires'!$D$32:$BA$32, 'SENS Tires'!$D93:$BA93)+_xlfn.XLOOKUP(Z$134, 'SENS Coal'!$D$32:$BA$32, 'SENS Coal'!$D93:$BA93)</f>
        <v>0</v>
      </c>
      <c r="AA195" s="29">
        <f>_xlfn.XLOOKUP(AA$134, 'GEN-CCGT'!$D$32:$BA$32, 'GEN-CCGT'!$D93:$BA93)+_xlfn.XLOOKUP(AA$134, 'GEN-SOLAR'!$D$32:$BA$32, 'GEN-SOLAR'!$D93:$BA93)+_xlfn.XLOOKUP(AA$134, 'GEN-BESS'!$D$32:$BA$32, 'GEN-BESS'!$D93:$BA93)+_xlfn.XLOOKUP(AA$134, 'GEN-CARBON'!$D$32:$BA$32, 'GEN-CARBON'!$D93:$BA93)+_xlfn.XLOOKUP(AA$134, Load!$D$32:$BA$32, Load!$D93:$BA93)+_xlfn.XLOOKUP(AA$134, Hydrogen!$D$32:$BA$32, Hydrogen!$D93:$BA93)+_xlfn.XLOOKUP(AA$134, 'SENS Tires'!$D$32:$BA$32, 'SENS Tires'!$D93:$BA93)+_xlfn.XLOOKUP(AA$134, 'SENS Coal'!$D$32:$BA$32, 'SENS Coal'!$D93:$BA93)</f>
        <v>0</v>
      </c>
      <c r="AB195" s="29">
        <f>_xlfn.XLOOKUP(AB$134, 'GEN-CCGT'!$D$32:$BA$32, 'GEN-CCGT'!$D93:$BA93)+_xlfn.XLOOKUP(AB$134, 'GEN-SOLAR'!$D$32:$BA$32, 'GEN-SOLAR'!$D93:$BA93)+_xlfn.XLOOKUP(AB$134, 'GEN-BESS'!$D$32:$BA$32, 'GEN-BESS'!$D93:$BA93)+_xlfn.XLOOKUP(AB$134, 'GEN-CARBON'!$D$32:$BA$32, 'GEN-CARBON'!$D93:$BA93)+_xlfn.XLOOKUP(AB$134, Load!$D$32:$BA$32, Load!$D93:$BA93)+_xlfn.XLOOKUP(AB$134, Hydrogen!$D$32:$BA$32, Hydrogen!$D93:$BA93)+_xlfn.XLOOKUP(AB$134, 'SENS Tires'!$D$32:$BA$32, 'SENS Tires'!$D93:$BA93)+_xlfn.XLOOKUP(AB$134, 'SENS Coal'!$D$32:$BA$32, 'SENS Coal'!$D93:$BA93)</f>
        <v>0</v>
      </c>
      <c r="AC195" s="29">
        <f>_xlfn.XLOOKUP(AC$134, 'GEN-CCGT'!$D$32:$BA$32, 'GEN-CCGT'!$D93:$BA93)+_xlfn.XLOOKUP(AC$134, 'GEN-SOLAR'!$D$32:$BA$32, 'GEN-SOLAR'!$D93:$BA93)+_xlfn.XLOOKUP(AC$134, 'GEN-BESS'!$D$32:$BA$32, 'GEN-BESS'!$D93:$BA93)+_xlfn.XLOOKUP(AC$134, 'GEN-CARBON'!$D$32:$BA$32, 'GEN-CARBON'!$D93:$BA93)+_xlfn.XLOOKUP(AC$134, Load!$D$32:$BA$32, Load!$D93:$BA93)+_xlfn.XLOOKUP(AC$134, Hydrogen!$D$32:$BA$32, Hydrogen!$D93:$BA93)+_xlfn.XLOOKUP(AC$134, 'SENS Tires'!$D$32:$BA$32, 'SENS Tires'!$D93:$BA93)+_xlfn.XLOOKUP(AC$134, 'SENS Coal'!$D$32:$BA$32, 'SENS Coal'!$D93:$BA93)</f>
        <v>0</v>
      </c>
      <c r="AD195" s="29">
        <f>_xlfn.XLOOKUP(AD$134, 'GEN-CCGT'!$D$32:$BA$32, 'GEN-CCGT'!$D93:$BA93)+_xlfn.XLOOKUP(AD$134, 'GEN-SOLAR'!$D$32:$BA$32, 'GEN-SOLAR'!$D93:$BA93)+_xlfn.XLOOKUP(AD$134, 'GEN-BESS'!$D$32:$BA$32, 'GEN-BESS'!$D93:$BA93)+_xlfn.XLOOKUP(AD$134, 'GEN-CARBON'!$D$32:$BA$32, 'GEN-CARBON'!$D93:$BA93)+_xlfn.XLOOKUP(AD$134, Load!$D$32:$BA$32, Load!$D93:$BA93)+_xlfn.XLOOKUP(AD$134, Hydrogen!$D$32:$BA$32, Hydrogen!$D93:$BA93)+_xlfn.XLOOKUP(AD$134, 'SENS Tires'!$D$32:$BA$32, 'SENS Tires'!$D93:$BA93)+_xlfn.XLOOKUP(AD$134, 'SENS Coal'!$D$32:$BA$32, 'SENS Coal'!$D93:$BA93)</f>
        <v>0</v>
      </c>
      <c r="AE195" s="29">
        <f>_xlfn.XLOOKUP(AE$134, 'GEN-CCGT'!$D$32:$BA$32, 'GEN-CCGT'!$D93:$BA93)+_xlfn.XLOOKUP(AE$134, 'GEN-SOLAR'!$D$32:$BA$32, 'GEN-SOLAR'!$D93:$BA93)+_xlfn.XLOOKUP(AE$134, 'GEN-BESS'!$D$32:$BA$32, 'GEN-BESS'!$D93:$BA93)+_xlfn.XLOOKUP(AE$134, 'GEN-CARBON'!$D$32:$BA$32, 'GEN-CARBON'!$D93:$BA93)+_xlfn.XLOOKUP(AE$134, Load!$D$32:$BA$32, Load!$D93:$BA93)+_xlfn.XLOOKUP(AE$134, Hydrogen!$D$32:$BA$32, Hydrogen!$D93:$BA93)+_xlfn.XLOOKUP(AE$134, 'SENS Tires'!$D$32:$BA$32, 'SENS Tires'!$D93:$BA93)+_xlfn.XLOOKUP(AE$134, 'SENS Coal'!$D$32:$BA$32, 'SENS Coal'!$D93:$BA93)</f>
        <v>0</v>
      </c>
      <c r="AF195" s="29">
        <f>_xlfn.XLOOKUP(AF$134, 'GEN-CCGT'!$D$32:$BA$32, 'GEN-CCGT'!$D93:$BA93)+_xlfn.XLOOKUP(AF$134, 'GEN-SOLAR'!$D$32:$BA$32, 'GEN-SOLAR'!$D93:$BA93)+_xlfn.XLOOKUP(AF$134, 'GEN-BESS'!$D$32:$BA$32, 'GEN-BESS'!$D93:$BA93)+_xlfn.XLOOKUP(AF$134, 'GEN-CARBON'!$D$32:$BA$32, 'GEN-CARBON'!$D93:$BA93)+_xlfn.XLOOKUP(AF$134, Load!$D$32:$BA$32, Load!$D93:$BA93)+_xlfn.XLOOKUP(AF$134, Hydrogen!$D$32:$BA$32, Hydrogen!$D93:$BA93)+_xlfn.XLOOKUP(AF$134, 'SENS Tires'!$D$32:$BA$32, 'SENS Tires'!$D93:$BA93)+_xlfn.XLOOKUP(AF$134, 'SENS Coal'!$D$32:$BA$32, 'SENS Coal'!$D93:$BA93)</f>
        <v>0</v>
      </c>
      <c r="AG195" s="29">
        <f>_xlfn.XLOOKUP(AG$134, 'GEN-CCGT'!$D$32:$BA$32, 'GEN-CCGT'!$D93:$BA93)+_xlfn.XLOOKUP(AG$134, 'GEN-SOLAR'!$D$32:$BA$32, 'GEN-SOLAR'!$D93:$BA93)+_xlfn.XLOOKUP(AG$134, 'GEN-BESS'!$D$32:$BA$32, 'GEN-BESS'!$D93:$BA93)+_xlfn.XLOOKUP(AG$134, 'GEN-CARBON'!$D$32:$BA$32, 'GEN-CARBON'!$D93:$BA93)+_xlfn.XLOOKUP(AG$134, Load!$D$32:$BA$32, Load!$D93:$BA93)+_xlfn.XLOOKUP(AG$134, Hydrogen!$D$32:$BA$32, Hydrogen!$D93:$BA93)+_xlfn.XLOOKUP(AG$134, 'SENS Tires'!$D$32:$BA$32, 'SENS Tires'!$D93:$BA93)+_xlfn.XLOOKUP(AG$134, 'SENS Coal'!$D$32:$BA$32, 'SENS Coal'!$D93:$BA93)</f>
        <v>0</v>
      </c>
      <c r="AH195" s="29">
        <f>_xlfn.XLOOKUP(AH$134, 'GEN-CCGT'!$D$32:$BA$32, 'GEN-CCGT'!$D93:$BA93)+_xlfn.XLOOKUP(AH$134, 'GEN-SOLAR'!$D$32:$BA$32, 'GEN-SOLAR'!$D93:$BA93)+_xlfn.XLOOKUP(AH$134, 'GEN-BESS'!$D$32:$BA$32, 'GEN-BESS'!$D93:$BA93)+_xlfn.XLOOKUP(AH$134, 'GEN-CARBON'!$D$32:$BA$32, 'GEN-CARBON'!$D93:$BA93)+_xlfn.XLOOKUP(AH$134, Load!$D$32:$BA$32, Load!$D93:$BA93)+_xlfn.XLOOKUP(AH$134, Hydrogen!$D$32:$BA$32, Hydrogen!$D93:$BA93)+_xlfn.XLOOKUP(AH$134, 'SENS Tires'!$D$32:$BA$32, 'SENS Tires'!$D93:$BA93)+_xlfn.XLOOKUP(AH$134, 'SENS Coal'!$D$32:$BA$32, 'SENS Coal'!$D93:$BA93)</f>
        <v>0</v>
      </c>
      <c r="AI195" s="29">
        <f>_xlfn.XLOOKUP(AI$134, 'GEN-CCGT'!$D$32:$BA$32, 'GEN-CCGT'!$D93:$BA93)+_xlfn.XLOOKUP(AI$134, 'GEN-SOLAR'!$D$32:$BA$32, 'GEN-SOLAR'!$D93:$BA93)+_xlfn.XLOOKUP(AI$134, 'GEN-BESS'!$D$32:$BA$32, 'GEN-BESS'!$D93:$BA93)+_xlfn.XLOOKUP(AI$134, 'GEN-CARBON'!$D$32:$BA$32, 'GEN-CARBON'!$D93:$BA93)+_xlfn.XLOOKUP(AI$134, Load!$D$32:$BA$32, Load!$D93:$BA93)+_xlfn.XLOOKUP(AI$134, Hydrogen!$D$32:$BA$32, Hydrogen!$D93:$BA93)+_xlfn.XLOOKUP(AI$134, 'SENS Tires'!$D$32:$BA$32, 'SENS Tires'!$D93:$BA93)+_xlfn.XLOOKUP(AI$134, 'SENS Coal'!$D$32:$BA$32, 'SENS Coal'!$D93:$BA93)</f>
        <v>0</v>
      </c>
      <c r="AJ195" s="29">
        <f>_xlfn.XLOOKUP(AJ$134, 'GEN-CCGT'!$D$32:$BA$32, 'GEN-CCGT'!$D93:$BA93)+_xlfn.XLOOKUP(AJ$134, 'GEN-SOLAR'!$D$32:$BA$32, 'GEN-SOLAR'!$D93:$BA93)+_xlfn.XLOOKUP(AJ$134, 'GEN-BESS'!$D$32:$BA$32, 'GEN-BESS'!$D93:$BA93)+_xlfn.XLOOKUP(AJ$134, 'GEN-CARBON'!$D$32:$BA$32, 'GEN-CARBON'!$D93:$BA93)+_xlfn.XLOOKUP(AJ$134, Load!$D$32:$BA$32, Load!$D93:$BA93)+_xlfn.XLOOKUP(AJ$134, Hydrogen!$D$32:$BA$32, Hydrogen!$D93:$BA93)+_xlfn.XLOOKUP(AJ$134, 'SENS Tires'!$D$32:$BA$32, 'SENS Tires'!$D93:$BA93)+_xlfn.XLOOKUP(AJ$134, 'SENS Coal'!$D$32:$BA$32, 'SENS Coal'!$D93:$BA93)</f>
        <v>0</v>
      </c>
      <c r="AK195" s="29">
        <f>_xlfn.XLOOKUP(AK$134, 'GEN-CCGT'!$D$32:$BA$32, 'GEN-CCGT'!$D93:$BA93)+_xlfn.XLOOKUP(AK$134, 'GEN-SOLAR'!$D$32:$BA$32, 'GEN-SOLAR'!$D93:$BA93)+_xlfn.XLOOKUP(AK$134, 'GEN-BESS'!$D$32:$BA$32, 'GEN-BESS'!$D93:$BA93)+_xlfn.XLOOKUP(AK$134, 'GEN-CARBON'!$D$32:$BA$32, 'GEN-CARBON'!$D93:$BA93)+_xlfn.XLOOKUP(AK$134, Load!$D$32:$BA$32, Load!$D93:$BA93)+_xlfn.XLOOKUP(AK$134, Hydrogen!$D$32:$BA$32, Hydrogen!$D93:$BA93)+_xlfn.XLOOKUP(AK$134, 'SENS Tires'!$D$32:$BA$32, 'SENS Tires'!$D93:$BA93)+_xlfn.XLOOKUP(AK$134, 'SENS Coal'!$D$32:$BA$32, 'SENS Coal'!$D93:$BA93)</f>
        <v>0</v>
      </c>
      <c r="AL195" s="29">
        <f>_xlfn.XLOOKUP(AL$134, 'GEN-CCGT'!$D$32:$BA$32, 'GEN-CCGT'!$D93:$BA93)+_xlfn.XLOOKUP(AL$134, 'GEN-SOLAR'!$D$32:$BA$32, 'GEN-SOLAR'!$D93:$BA93)+_xlfn.XLOOKUP(AL$134, 'GEN-BESS'!$D$32:$BA$32, 'GEN-BESS'!$D93:$BA93)+_xlfn.XLOOKUP(AL$134, 'GEN-CARBON'!$D$32:$BA$32, 'GEN-CARBON'!$D93:$BA93)+_xlfn.XLOOKUP(AL$134, Load!$D$32:$BA$32, Load!$D93:$BA93)+_xlfn.XLOOKUP(AL$134, Hydrogen!$D$32:$BA$32, Hydrogen!$D93:$BA93)+_xlfn.XLOOKUP(AL$134, 'SENS Tires'!$D$32:$BA$32, 'SENS Tires'!$D93:$BA93)+_xlfn.XLOOKUP(AL$134, 'SENS Coal'!$D$32:$BA$32, 'SENS Coal'!$D93:$BA93)</f>
        <v>0</v>
      </c>
      <c r="AM195" s="29">
        <f>_xlfn.XLOOKUP(AM$134, 'GEN-CCGT'!$D$32:$BA$32, 'GEN-CCGT'!$D93:$BA93)+_xlfn.XLOOKUP(AM$134, 'GEN-SOLAR'!$D$32:$BA$32, 'GEN-SOLAR'!$D93:$BA93)+_xlfn.XLOOKUP(AM$134, 'GEN-BESS'!$D$32:$BA$32, 'GEN-BESS'!$D93:$BA93)+_xlfn.XLOOKUP(AM$134, 'GEN-CARBON'!$D$32:$BA$32, 'GEN-CARBON'!$D93:$BA93)+_xlfn.XLOOKUP(AM$134, Load!$D$32:$BA$32, Load!$D93:$BA93)+_xlfn.XLOOKUP(AM$134, Hydrogen!$D$32:$BA$32, Hydrogen!$D93:$BA93)+_xlfn.XLOOKUP(AM$134, 'SENS Tires'!$D$32:$BA$32, 'SENS Tires'!$D93:$BA93)+_xlfn.XLOOKUP(AM$134, 'SENS Coal'!$D$32:$BA$32, 'SENS Coal'!$D93:$BA93)</f>
        <v>0</v>
      </c>
      <c r="AN195" s="29">
        <f>_xlfn.XLOOKUP(AN$134, 'GEN-CCGT'!$D$32:$BA$32, 'GEN-CCGT'!$D93:$BA93)+_xlfn.XLOOKUP(AN$134, 'GEN-SOLAR'!$D$32:$BA$32, 'GEN-SOLAR'!$D93:$BA93)+_xlfn.XLOOKUP(AN$134, 'GEN-BESS'!$D$32:$BA$32, 'GEN-BESS'!$D93:$BA93)+_xlfn.XLOOKUP(AN$134, 'GEN-CARBON'!$D$32:$BA$32, 'GEN-CARBON'!$D93:$BA93)+_xlfn.XLOOKUP(AN$134, Load!$D$32:$BA$32, Load!$D93:$BA93)+_xlfn.XLOOKUP(AN$134, Hydrogen!$D$32:$BA$32, Hydrogen!$D93:$BA93)+_xlfn.XLOOKUP(AN$134, 'SENS Tires'!$D$32:$BA$32, 'SENS Tires'!$D93:$BA93)+_xlfn.XLOOKUP(AN$134, 'SENS Coal'!$D$32:$BA$32, 'SENS Coal'!$D93:$BA93)</f>
        <v>0</v>
      </c>
      <c r="AO195" s="29">
        <f>_xlfn.XLOOKUP(AO$134, 'GEN-CCGT'!$D$32:$BA$32, 'GEN-CCGT'!$D93:$BA93)+_xlfn.XLOOKUP(AO$134, 'GEN-SOLAR'!$D$32:$BA$32, 'GEN-SOLAR'!$D93:$BA93)+_xlfn.XLOOKUP(AO$134, 'GEN-BESS'!$D$32:$BA$32, 'GEN-BESS'!$D93:$BA93)+_xlfn.XLOOKUP(AO$134, 'GEN-CARBON'!$D$32:$BA$32, 'GEN-CARBON'!$D93:$BA93)+_xlfn.XLOOKUP(AO$134, Load!$D$32:$BA$32, Load!$D93:$BA93)+_xlfn.XLOOKUP(AO$134, Hydrogen!$D$32:$BA$32, Hydrogen!$D93:$BA93)+_xlfn.XLOOKUP(AO$134, 'SENS Tires'!$D$32:$BA$32, 'SENS Tires'!$D93:$BA93)+_xlfn.XLOOKUP(AO$134, 'SENS Coal'!$D$32:$BA$32, 'SENS Coal'!$D93:$BA93)</f>
        <v>0</v>
      </c>
      <c r="AP195" s="29">
        <f>_xlfn.XLOOKUP(AP$134, 'GEN-CCGT'!$D$32:$BA$32, 'GEN-CCGT'!$D93:$BA93)+_xlfn.XLOOKUP(AP$134, 'GEN-SOLAR'!$D$32:$BA$32, 'GEN-SOLAR'!$D93:$BA93)+_xlfn.XLOOKUP(AP$134, 'GEN-BESS'!$D$32:$BA$32, 'GEN-BESS'!$D93:$BA93)+_xlfn.XLOOKUP(AP$134, 'GEN-CARBON'!$D$32:$BA$32, 'GEN-CARBON'!$D93:$BA93)+_xlfn.XLOOKUP(AP$134, Load!$D$32:$BA$32, Load!$D93:$BA93)+_xlfn.XLOOKUP(AP$134, Hydrogen!$D$32:$BA$32, Hydrogen!$D93:$BA93)+_xlfn.XLOOKUP(AP$134, 'SENS Tires'!$D$32:$BA$32, 'SENS Tires'!$D93:$BA93)+_xlfn.XLOOKUP(AP$134, 'SENS Coal'!$D$32:$BA$32, 'SENS Coal'!$D93:$BA93)</f>
        <v>0</v>
      </c>
      <c r="AQ195" s="29">
        <f>_xlfn.XLOOKUP(AQ$134, 'GEN-CCGT'!$D$32:$BA$32, 'GEN-CCGT'!$D93:$BA93)+_xlfn.XLOOKUP(AQ$134, 'GEN-SOLAR'!$D$32:$BA$32, 'GEN-SOLAR'!$D93:$BA93)+_xlfn.XLOOKUP(AQ$134, 'GEN-BESS'!$D$32:$BA$32, 'GEN-BESS'!$D93:$BA93)+_xlfn.XLOOKUP(AQ$134, 'GEN-CARBON'!$D$32:$BA$32, 'GEN-CARBON'!$D93:$BA93)+_xlfn.XLOOKUP(AQ$134, Load!$D$32:$BA$32, Load!$D93:$BA93)+_xlfn.XLOOKUP(AQ$134, Hydrogen!$D$32:$BA$32, Hydrogen!$D93:$BA93)+_xlfn.XLOOKUP(AQ$134, 'SENS Tires'!$D$32:$BA$32, 'SENS Tires'!$D93:$BA93)+_xlfn.XLOOKUP(AQ$134, 'SENS Coal'!$D$32:$BA$32, 'SENS Coal'!$D93:$BA93)</f>
        <v>0</v>
      </c>
      <c r="AR195" s="29">
        <f>_xlfn.XLOOKUP(AR$134, 'GEN-CCGT'!$D$32:$BA$32, 'GEN-CCGT'!$D93:$BA93)+_xlfn.XLOOKUP(AR$134, 'GEN-SOLAR'!$D$32:$BA$32, 'GEN-SOLAR'!$D93:$BA93)+_xlfn.XLOOKUP(AR$134, 'GEN-BESS'!$D$32:$BA$32, 'GEN-BESS'!$D93:$BA93)+_xlfn.XLOOKUP(AR$134, 'GEN-CARBON'!$D$32:$BA$32, 'GEN-CARBON'!$D93:$BA93)+_xlfn.XLOOKUP(AR$134, Load!$D$32:$BA$32, Load!$D93:$BA93)+_xlfn.XLOOKUP(AR$134, Hydrogen!$D$32:$BA$32, Hydrogen!$D93:$BA93)+_xlfn.XLOOKUP(AR$134, 'SENS Tires'!$D$32:$BA$32, 'SENS Tires'!$D93:$BA93)+_xlfn.XLOOKUP(AR$134, 'SENS Coal'!$D$32:$BA$32, 'SENS Coal'!$D93:$BA93)</f>
        <v>0</v>
      </c>
      <c r="AS195" s="29">
        <f>_xlfn.XLOOKUP(AS$134, 'GEN-CCGT'!$D$32:$BA$32, 'GEN-CCGT'!$D93:$BA93)+_xlfn.XLOOKUP(AS$134, 'GEN-SOLAR'!$D$32:$BA$32, 'GEN-SOLAR'!$D93:$BA93)+_xlfn.XLOOKUP(AS$134, 'GEN-BESS'!$D$32:$BA$32, 'GEN-BESS'!$D93:$BA93)+_xlfn.XLOOKUP(AS$134, 'GEN-CARBON'!$D$32:$BA$32, 'GEN-CARBON'!$D93:$BA93)+_xlfn.XLOOKUP(AS$134, Load!$D$32:$BA$32, Load!$D93:$BA93)+_xlfn.XLOOKUP(AS$134, Hydrogen!$D$32:$BA$32, Hydrogen!$D93:$BA93)+_xlfn.XLOOKUP(AS$134, 'SENS Tires'!$D$32:$BA$32, 'SENS Tires'!$D93:$BA93)+_xlfn.XLOOKUP(AS$134, 'SENS Coal'!$D$32:$BA$32, 'SENS Coal'!$D93:$BA93)</f>
        <v>0</v>
      </c>
      <c r="AT195" s="29">
        <f>_xlfn.XLOOKUP(AT$134, 'GEN-CCGT'!$D$32:$BA$32, 'GEN-CCGT'!$D93:$BA93)+_xlfn.XLOOKUP(AT$134, 'GEN-SOLAR'!$D$32:$BA$32, 'GEN-SOLAR'!$D93:$BA93)+_xlfn.XLOOKUP(AT$134, 'GEN-BESS'!$D$32:$BA$32, 'GEN-BESS'!$D93:$BA93)+_xlfn.XLOOKUP(AT$134, 'GEN-CARBON'!$D$32:$BA$32, 'GEN-CARBON'!$D93:$BA93)+_xlfn.XLOOKUP(AT$134, Load!$D$32:$BA$32, Load!$D93:$BA93)+_xlfn.XLOOKUP(AT$134, Hydrogen!$D$32:$BA$32, Hydrogen!$D93:$BA93)+_xlfn.XLOOKUP(AT$134, 'SENS Tires'!$D$32:$BA$32, 'SENS Tires'!$D93:$BA93)+_xlfn.XLOOKUP(AT$134, 'SENS Coal'!$D$32:$BA$32, 'SENS Coal'!$D93:$BA93)</f>
        <v>0</v>
      </c>
      <c r="AU195" s="29">
        <f>_xlfn.XLOOKUP(AU$134, 'GEN-CCGT'!$D$32:$BA$32, 'GEN-CCGT'!$D93:$BA93)+_xlfn.XLOOKUP(AU$134, 'GEN-SOLAR'!$D$32:$BA$32, 'GEN-SOLAR'!$D93:$BA93)+_xlfn.XLOOKUP(AU$134, 'GEN-BESS'!$D$32:$BA$32, 'GEN-BESS'!$D93:$BA93)+_xlfn.XLOOKUP(AU$134, 'GEN-CARBON'!$D$32:$BA$32, 'GEN-CARBON'!$D93:$BA93)+_xlfn.XLOOKUP(AU$134, Load!$D$32:$BA$32, Load!$D93:$BA93)+_xlfn.XLOOKUP(AU$134, Hydrogen!$D$32:$BA$32, Hydrogen!$D93:$BA93)+_xlfn.XLOOKUP(AU$134, 'SENS Tires'!$D$32:$BA$32, 'SENS Tires'!$D93:$BA93)+_xlfn.XLOOKUP(AU$134, 'SENS Coal'!$D$32:$BA$32, 'SENS Coal'!$D93:$BA93)</f>
        <v>0</v>
      </c>
      <c r="AV195" s="29">
        <f>_xlfn.XLOOKUP(AV$134, 'GEN-CCGT'!$D$32:$BA$32, 'GEN-CCGT'!$D93:$BA93)+_xlfn.XLOOKUP(AV$134, 'GEN-SOLAR'!$D$32:$BA$32, 'GEN-SOLAR'!$D93:$BA93)+_xlfn.XLOOKUP(AV$134, 'GEN-BESS'!$D$32:$BA$32, 'GEN-BESS'!$D93:$BA93)+_xlfn.XLOOKUP(AV$134, 'GEN-CARBON'!$D$32:$BA$32, 'GEN-CARBON'!$D93:$BA93)+_xlfn.XLOOKUP(AV$134, Load!$D$32:$BA$32, Load!$D93:$BA93)+_xlfn.XLOOKUP(AV$134, Hydrogen!$D$32:$BA$32, Hydrogen!$D93:$BA93)+_xlfn.XLOOKUP(AV$134, 'SENS Tires'!$D$32:$BA$32, 'SENS Tires'!$D93:$BA93)+_xlfn.XLOOKUP(AV$134, 'SENS Coal'!$D$32:$BA$32, 'SENS Coal'!$D93:$BA93)</f>
        <v>0</v>
      </c>
      <c r="AW195" s="29">
        <f>_xlfn.XLOOKUP(AW$134, 'GEN-CCGT'!$D$32:$BA$32, 'GEN-CCGT'!$D93:$BA93)+_xlfn.XLOOKUP(AW$134, 'GEN-SOLAR'!$D$32:$BA$32, 'GEN-SOLAR'!$D93:$BA93)+_xlfn.XLOOKUP(AW$134, 'GEN-BESS'!$D$32:$BA$32, 'GEN-BESS'!$D93:$BA93)+_xlfn.XLOOKUP(AW$134, 'GEN-CARBON'!$D$32:$BA$32, 'GEN-CARBON'!$D93:$BA93)+_xlfn.XLOOKUP(AW$134, Load!$D$32:$BA$32, Load!$D93:$BA93)+_xlfn.XLOOKUP(AW$134, Hydrogen!$D$32:$BA$32, Hydrogen!$D93:$BA93)+_xlfn.XLOOKUP(AW$134, 'SENS Tires'!$D$32:$BA$32, 'SENS Tires'!$D93:$BA93)+_xlfn.XLOOKUP(AW$134, 'SENS Coal'!$D$32:$BA$32, 'SENS Coal'!$D93:$BA93)</f>
        <v>0</v>
      </c>
      <c r="AX195" s="29">
        <f>_xlfn.XLOOKUP(AX$134, 'GEN-CCGT'!$D$32:$BA$32, 'GEN-CCGT'!$D93:$BA93)+_xlfn.XLOOKUP(AX$134, 'GEN-SOLAR'!$D$32:$BA$32, 'GEN-SOLAR'!$D93:$BA93)+_xlfn.XLOOKUP(AX$134, 'GEN-BESS'!$D$32:$BA$32, 'GEN-BESS'!$D93:$BA93)+_xlfn.XLOOKUP(AX$134, 'GEN-CARBON'!$D$32:$BA$32, 'GEN-CARBON'!$D93:$BA93)+_xlfn.XLOOKUP(AX$134, Load!$D$32:$BA$32, Load!$D93:$BA93)+_xlfn.XLOOKUP(AX$134, Hydrogen!$D$32:$BA$32, Hydrogen!$D93:$BA93)+_xlfn.XLOOKUP(AX$134, 'SENS Tires'!$D$32:$BA$32, 'SENS Tires'!$D93:$BA93)+_xlfn.XLOOKUP(AX$134, 'SENS Coal'!$D$32:$BA$32, 'SENS Coal'!$D93:$BA93)</f>
        <v>0</v>
      </c>
    </row>
    <row r="196" spans="1:50" ht="14.25" customHeight="1">
      <c r="A196" s="1"/>
      <c r="B196" s="84"/>
      <c r="C196" s="2" t="s">
        <v>446</v>
      </c>
      <c r="D196" s="2"/>
      <c r="E196" s="30">
        <f>_xlfn.XLOOKUP(E$134, 'GEN-CCGT'!$D$32:$BA$32, 'GEN-CCGT'!$D94:$BA94)+_xlfn.XLOOKUP(E$134, 'GEN-SOLAR'!$D$32:$BA$32, 'GEN-SOLAR'!$D94:$BA94)+_xlfn.XLOOKUP(E$134, 'GEN-BESS'!$D$32:$BA$32, 'GEN-BESS'!$D94:$BA94)+_xlfn.XLOOKUP(E$134, 'GEN-CARBON'!$D$32:$BA$32, 'GEN-CARBON'!$D94:$BA94)+_xlfn.XLOOKUP(E$134, Load!$D$32:$BA$32, Load!$D94:$BA94)+_xlfn.XLOOKUP(E$134, Hydrogen!$D$32:$BA$32, Hydrogen!$D94:$BA94)+_xlfn.XLOOKUP(E$134, 'SENS Tires'!$D$32:$BA$32, 'SENS Tires'!$D94:$BA94)+_xlfn.XLOOKUP(E$134, 'SENS Coal'!$D$32:$BA$32, 'SENS Coal'!$D94:$BA94)</f>
        <v>-12646.130136986301</v>
      </c>
      <c r="F196" s="31">
        <f>_xlfn.XLOOKUP(F$134, 'GEN-CCGT'!$D$32:$BA$32, 'GEN-CCGT'!$D94:$BA94)+_xlfn.XLOOKUP(F$134, 'GEN-SOLAR'!$D$32:$BA$32, 'GEN-SOLAR'!$D94:$BA94)+_xlfn.XLOOKUP(F$134, 'GEN-BESS'!$D$32:$BA$32, 'GEN-BESS'!$D94:$BA94)+_xlfn.XLOOKUP(F$134, 'GEN-CARBON'!$D$32:$BA$32, 'GEN-CARBON'!$D94:$BA94)+_xlfn.XLOOKUP(F$134, Load!$D$32:$BA$32, Load!$D94:$BA94)+_xlfn.XLOOKUP(F$134, Hydrogen!$D$32:$BA$32, Hydrogen!$D94:$BA94)+_xlfn.XLOOKUP(F$134, 'SENS Tires'!$D$32:$BA$32, 'SENS Tires'!$D94:$BA94)+_xlfn.XLOOKUP(F$134, 'SENS Coal'!$D$32:$BA$32, 'SENS Coal'!$D94:$BA94)</f>
        <v>6551.2744682295361</v>
      </c>
      <c r="G196" s="31">
        <f>_xlfn.XLOOKUP(G$134, 'GEN-CCGT'!$D$32:$BA$32, 'GEN-CCGT'!$D94:$BA94)+_xlfn.XLOOKUP(G$134, 'GEN-SOLAR'!$D$32:$BA$32, 'GEN-SOLAR'!$D94:$BA94)+_xlfn.XLOOKUP(G$134, 'GEN-BESS'!$D$32:$BA$32, 'GEN-BESS'!$D94:$BA94)+_xlfn.XLOOKUP(G$134, 'GEN-CARBON'!$D$32:$BA$32, 'GEN-CARBON'!$D94:$BA94)+_xlfn.XLOOKUP(G$134, Load!$D$32:$BA$32, Load!$D94:$BA94)+_xlfn.XLOOKUP(G$134, Hydrogen!$D$32:$BA$32, Hydrogen!$D94:$BA94)+_xlfn.XLOOKUP(G$134, 'SENS Tires'!$D$32:$BA$32, 'SENS Tires'!$D94:$BA94)+_xlfn.XLOOKUP(G$134, 'SENS Coal'!$D$32:$BA$32, 'SENS Coal'!$D94:$BA94)</f>
        <v>9272.7044599316105</v>
      </c>
      <c r="H196" s="31">
        <f>_xlfn.XLOOKUP(H$134, 'GEN-CCGT'!$D$32:$BA$32, 'GEN-CCGT'!$D94:$BA94)+_xlfn.XLOOKUP(H$134, 'GEN-SOLAR'!$D$32:$BA$32, 'GEN-SOLAR'!$D94:$BA94)+_xlfn.XLOOKUP(H$134, 'GEN-BESS'!$D$32:$BA$32, 'GEN-BESS'!$D94:$BA94)+_xlfn.XLOOKUP(H$134, 'GEN-CARBON'!$D$32:$BA$32, 'GEN-CARBON'!$D94:$BA94)+_xlfn.XLOOKUP(H$134, Load!$D$32:$BA$32, Load!$D94:$BA94)+_xlfn.XLOOKUP(H$134, Hydrogen!$D$32:$BA$32, Hydrogen!$D94:$BA94)+_xlfn.XLOOKUP(H$134, 'SENS Tires'!$D$32:$BA$32, 'SENS Tires'!$D94:$BA94)+_xlfn.XLOOKUP(H$134, 'SENS Coal'!$D$32:$BA$32, 'SENS Coal'!$D94:$BA94)</f>
        <v>9486.5103555009755</v>
      </c>
      <c r="I196" s="31">
        <f>_xlfn.XLOOKUP(I$134, 'GEN-CCGT'!$D$32:$BA$32, 'GEN-CCGT'!$D94:$BA94)+_xlfn.XLOOKUP(I$134, 'GEN-SOLAR'!$D$32:$BA$32, 'GEN-SOLAR'!$D94:$BA94)+_xlfn.XLOOKUP(I$134, 'GEN-BESS'!$D$32:$BA$32, 'GEN-BESS'!$D94:$BA94)+_xlfn.XLOOKUP(I$134, 'GEN-CARBON'!$D$32:$BA$32, 'GEN-CARBON'!$D94:$BA94)+_xlfn.XLOOKUP(I$134, Load!$D$32:$BA$32, Load!$D94:$BA94)+_xlfn.XLOOKUP(I$134, Hydrogen!$D$32:$BA$32, Hydrogen!$D94:$BA94)+_xlfn.XLOOKUP(I$134, 'SENS Tires'!$D$32:$BA$32, 'SENS Tires'!$D94:$BA94)+_xlfn.XLOOKUP(I$134, 'SENS Coal'!$D$32:$BA$32, 'SENS Coal'!$D94:$BA94)</f>
        <v>9791.1608169493538</v>
      </c>
      <c r="J196" s="31">
        <f>_xlfn.XLOOKUP(J$134, 'GEN-CCGT'!$D$32:$BA$32, 'GEN-CCGT'!$D94:$BA94)+_xlfn.XLOOKUP(J$134, 'GEN-SOLAR'!$D$32:$BA$32, 'GEN-SOLAR'!$D94:$BA94)+_xlfn.XLOOKUP(J$134, 'GEN-BESS'!$D$32:$BA$32, 'GEN-BESS'!$D94:$BA94)+_xlfn.XLOOKUP(J$134, 'GEN-CARBON'!$D$32:$BA$32, 'GEN-CARBON'!$D94:$BA94)+_xlfn.XLOOKUP(J$134, Load!$D$32:$BA$32, Load!$D94:$BA94)+_xlfn.XLOOKUP(J$134, Hydrogen!$D$32:$BA$32, Hydrogen!$D94:$BA94)+_xlfn.XLOOKUP(J$134, 'SENS Tires'!$D$32:$BA$32, 'SENS Tires'!$D94:$BA94)+_xlfn.XLOOKUP(J$134, 'SENS Coal'!$D$32:$BA$32, 'SENS Coal'!$D94:$BA94)</f>
        <v>9995.0630038717791</v>
      </c>
      <c r="K196" s="31">
        <f>_xlfn.XLOOKUP(K$134, 'GEN-CCGT'!$D$32:$BA$32, 'GEN-CCGT'!$D94:$BA94)+_xlfn.XLOOKUP(K$134, 'GEN-SOLAR'!$D$32:$BA$32, 'GEN-SOLAR'!$D94:$BA94)+_xlfn.XLOOKUP(K$134, 'GEN-BESS'!$D$32:$BA$32, 'GEN-BESS'!$D94:$BA94)+_xlfn.XLOOKUP(K$134, 'GEN-CARBON'!$D$32:$BA$32, 'GEN-CARBON'!$D94:$BA94)+_xlfn.XLOOKUP(K$134, Load!$D$32:$BA$32, Load!$D94:$BA94)+_xlfn.XLOOKUP(K$134, Hydrogen!$D$32:$BA$32, Hydrogen!$D94:$BA94)+_xlfn.XLOOKUP(K$134, 'SENS Tires'!$D$32:$BA$32, 'SENS Tires'!$D94:$BA94)+_xlfn.XLOOKUP(K$134, 'SENS Coal'!$D$32:$BA$32, 'SENS Coal'!$D94:$BA94)</f>
        <v>10173.403362742758</v>
      </c>
      <c r="L196" s="31">
        <f>_xlfn.XLOOKUP(L$134, 'GEN-CCGT'!$D$32:$BA$32, 'GEN-CCGT'!$D94:$BA94)+_xlfn.XLOOKUP(L$134, 'GEN-SOLAR'!$D$32:$BA$32, 'GEN-SOLAR'!$D94:$BA94)+_xlfn.XLOOKUP(L$134, 'GEN-BESS'!$D$32:$BA$32, 'GEN-BESS'!$D94:$BA94)+_xlfn.XLOOKUP(L$134, 'GEN-CARBON'!$D$32:$BA$32, 'GEN-CARBON'!$D94:$BA94)+_xlfn.XLOOKUP(L$134, Load!$D$32:$BA$32, Load!$D94:$BA94)+_xlfn.XLOOKUP(L$134, Hydrogen!$D$32:$BA$32, Hydrogen!$D94:$BA94)+_xlfn.XLOOKUP(L$134, 'SENS Tires'!$D$32:$BA$32, 'SENS Tires'!$D94:$BA94)+_xlfn.XLOOKUP(L$134, 'SENS Coal'!$D$32:$BA$32, 'SENS Coal'!$D94:$BA94)</f>
        <v>10355.350029669191</v>
      </c>
      <c r="M196" s="31">
        <f>_xlfn.XLOOKUP(M$134, 'GEN-CCGT'!$D$32:$BA$32, 'GEN-CCGT'!$D94:$BA94)+_xlfn.XLOOKUP(M$134, 'GEN-SOLAR'!$D$32:$BA$32, 'GEN-SOLAR'!$D94:$BA94)+_xlfn.XLOOKUP(M$134, 'GEN-BESS'!$D$32:$BA$32, 'GEN-BESS'!$D94:$BA94)+_xlfn.XLOOKUP(M$134, 'GEN-CARBON'!$D$32:$BA$32, 'GEN-CARBON'!$D94:$BA94)+_xlfn.XLOOKUP(M$134, Load!$D$32:$BA$32, Load!$D94:$BA94)+_xlfn.XLOOKUP(M$134, Hydrogen!$D$32:$BA$32, Hydrogen!$D94:$BA94)+_xlfn.XLOOKUP(M$134, 'SENS Tires'!$D$32:$BA$32, 'SENS Tires'!$D94:$BA94)+_xlfn.XLOOKUP(M$134, 'SENS Coal'!$D$32:$BA$32, 'SENS Coal'!$D94:$BA94)</f>
        <v>10540.976384860798</v>
      </c>
      <c r="N196" s="31">
        <f>_xlfn.XLOOKUP(N$134, 'GEN-CCGT'!$D$32:$BA$32, 'GEN-CCGT'!$D94:$BA94)+_xlfn.XLOOKUP(N$134, 'GEN-SOLAR'!$D$32:$BA$32, 'GEN-SOLAR'!$D94:$BA94)+_xlfn.XLOOKUP(N$134, 'GEN-BESS'!$D$32:$BA$32, 'GEN-BESS'!$D94:$BA94)+_xlfn.XLOOKUP(N$134, 'GEN-CARBON'!$D$32:$BA$32, 'GEN-CARBON'!$D94:$BA94)+_xlfn.XLOOKUP(N$134, Load!$D$32:$BA$32, Load!$D94:$BA94)+_xlfn.XLOOKUP(N$134, Hydrogen!$D$32:$BA$32, Hydrogen!$D94:$BA94)+_xlfn.XLOOKUP(N$134, 'SENS Tires'!$D$32:$BA$32, 'SENS Tires'!$D94:$BA94)+_xlfn.XLOOKUP(N$134, 'SENS Coal'!$D$32:$BA$32, 'SENS Coal'!$D94:$BA94)</f>
        <v>10730.357314748499</v>
      </c>
      <c r="O196" s="31">
        <f>_xlfn.XLOOKUP(O$134, 'GEN-CCGT'!$D$32:$BA$32, 'GEN-CCGT'!$D94:$BA94)+_xlfn.XLOOKUP(O$134, 'GEN-SOLAR'!$D$32:$BA$32, 'GEN-SOLAR'!$D94:$BA94)+_xlfn.XLOOKUP(O$134, 'GEN-BESS'!$D$32:$BA$32, 'GEN-BESS'!$D94:$BA94)+_xlfn.XLOOKUP(O$134, 'GEN-CARBON'!$D$32:$BA$32, 'GEN-CARBON'!$D94:$BA94)+_xlfn.XLOOKUP(O$134, Load!$D$32:$BA$32, Load!$D94:$BA94)+_xlfn.XLOOKUP(O$134, Hydrogen!$D$32:$BA$32, Hydrogen!$D94:$BA94)+_xlfn.XLOOKUP(O$134, 'SENS Tires'!$D$32:$BA$32, 'SENS Tires'!$D94:$BA94)+_xlfn.XLOOKUP(O$134, 'SENS Coal'!$D$32:$BA$32, 'SENS Coal'!$D94:$BA94)</f>
        <v>10923.569243283549</v>
      </c>
      <c r="P196" s="31">
        <f>_xlfn.XLOOKUP(P$134, 'GEN-CCGT'!$D$32:$BA$32, 'GEN-CCGT'!$D94:$BA94)+_xlfn.XLOOKUP(P$134, 'GEN-SOLAR'!$D$32:$BA$32, 'GEN-SOLAR'!$D94:$BA94)+_xlfn.XLOOKUP(P$134, 'GEN-BESS'!$D$32:$BA$32, 'GEN-BESS'!$D94:$BA94)+_xlfn.XLOOKUP(P$134, 'GEN-CARBON'!$D$32:$BA$32, 'GEN-CARBON'!$D94:$BA94)+_xlfn.XLOOKUP(P$134, Load!$D$32:$BA$32, Load!$D94:$BA94)+_xlfn.XLOOKUP(P$134, Hydrogen!$D$32:$BA$32, Hydrogen!$D94:$BA94)+_xlfn.XLOOKUP(P$134, 'SENS Tires'!$D$32:$BA$32, 'SENS Tires'!$D94:$BA94)+_xlfn.XLOOKUP(P$134, 'SENS Coal'!$D$32:$BA$32, 'SENS Coal'!$D94:$BA94)</f>
        <v>10016.920300884549</v>
      </c>
      <c r="Q196" s="31">
        <f>_xlfn.XLOOKUP(Q$134, 'GEN-CCGT'!$D$32:$BA$32, 'GEN-CCGT'!$D94:$BA94)+_xlfn.XLOOKUP(Q$134, 'GEN-SOLAR'!$D$32:$BA$32, 'GEN-SOLAR'!$D94:$BA94)+_xlfn.XLOOKUP(Q$134, 'GEN-BESS'!$D$32:$BA$32, 'GEN-BESS'!$D94:$BA94)+_xlfn.XLOOKUP(Q$134, 'GEN-CARBON'!$D$32:$BA$32, 'GEN-CARBON'!$D94:$BA94)+_xlfn.XLOOKUP(Q$134, Load!$D$32:$BA$32, Load!$D94:$BA94)+_xlfn.XLOOKUP(Q$134, Hydrogen!$D$32:$BA$32, Hydrogen!$D94:$BA94)+_xlfn.XLOOKUP(Q$134, 'SENS Tires'!$D$32:$BA$32, 'SENS Tires'!$D94:$BA94)+_xlfn.XLOOKUP(Q$134, 'SENS Coal'!$D$32:$BA$32, 'SENS Coal'!$D94:$BA94)</f>
        <v>10218.029809128704</v>
      </c>
      <c r="R196" s="31">
        <f>_xlfn.XLOOKUP(R$134, 'GEN-CCGT'!$D$32:$BA$32, 'GEN-CCGT'!$D94:$BA94)+_xlfn.XLOOKUP(R$134, 'GEN-SOLAR'!$D$32:$BA$32, 'GEN-SOLAR'!$D94:$BA94)+_xlfn.XLOOKUP(R$134, 'GEN-BESS'!$D$32:$BA$32, 'GEN-BESS'!$D94:$BA94)+_xlfn.XLOOKUP(R$134, 'GEN-CARBON'!$D$32:$BA$32, 'GEN-CARBON'!$D94:$BA94)+_xlfn.XLOOKUP(R$134, Load!$D$32:$BA$32, Load!$D94:$BA94)+_xlfn.XLOOKUP(R$134, Hydrogen!$D$32:$BA$32, Hydrogen!$D94:$BA94)+_xlfn.XLOOKUP(R$134, 'SENS Tires'!$D$32:$BA$32, 'SENS Tires'!$D94:$BA94)+_xlfn.XLOOKUP(R$134, 'SENS Coal'!$D$32:$BA$32, 'SENS Coal'!$D94:$BA94)</f>
        <v>10423.209135996511</v>
      </c>
      <c r="S196" s="31">
        <f>_xlfn.XLOOKUP(S$134, 'GEN-CCGT'!$D$32:$BA$32, 'GEN-CCGT'!$D94:$BA94)+_xlfn.XLOOKUP(S$134, 'GEN-SOLAR'!$D$32:$BA$32, 'GEN-SOLAR'!$D94:$BA94)+_xlfn.XLOOKUP(S$134, 'GEN-BESS'!$D$32:$BA$32, 'GEN-BESS'!$D94:$BA94)+_xlfn.XLOOKUP(S$134, 'GEN-CARBON'!$D$32:$BA$32, 'GEN-CARBON'!$D94:$BA94)+_xlfn.XLOOKUP(S$134, Load!$D$32:$BA$32, Load!$D94:$BA94)+_xlfn.XLOOKUP(S$134, Hydrogen!$D$32:$BA$32, Hydrogen!$D94:$BA94)+_xlfn.XLOOKUP(S$134, 'SENS Tires'!$D$32:$BA$32, 'SENS Tires'!$D94:$BA94)+_xlfn.XLOOKUP(S$134, 'SENS Coal'!$D$32:$BA$32, 'SENS Coal'!$D94:$BA94)</f>
        <v>10632.541181958768</v>
      </c>
      <c r="T196" s="31">
        <f>_xlfn.XLOOKUP(T$134, 'GEN-CCGT'!$D$32:$BA$32, 'GEN-CCGT'!$D94:$BA94)+_xlfn.XLOOKUP(T$134, 'GEN-SOLAR'!$D$32:$BA$32, 'GEN-SOLAR'!$D94:$BA94)+_xlfn.XLOOKUP(T$134, 'GEN-BESS'!$D$32:$BA$32, 'GEN-BESS'!$D94:$BA94)+_xlfn.XLOOKUP(T$134, 'GEN-CARBON'!$D$32:$BA$32, 'GEN-CARBON'!$D94:$BA94)+_xlfn.XLOOKUP(T$134, Load!$D$32:$BA$32, Load!$D94:$BA94)+_xlfn.XLOOKUP(T$134, Hydrogen!$D$32:$BA$32, Hydrogen!$D94:$BA94)+_xlfn.XLOOKUP(T$134, 'SENS Tires'!$D$32:$BA$32, 'SENS Tires'!$D94:$BA94)+_xlfn.XLOOKUP(T$134, 'SENS Coal'!$D$32:$BA$32, 'SENS Coal'!$D94:$BA94)</f>
        <v>10846.110551715758</v>
      </c>
      <c r="U196" s="31">
        <f>_xlfn.XLOOKUP(U$134, 'GEN-CCGT'!$D$32:$BA$32, 'GEN-CCGT'!$D94:$BA94)+_xlfn.XLOOKUP(U$134, 'GEN-SOLAR'!$D$32:$BA$32, 'GEN-SOLAR'!$D94:$BA94)+_xlfn.XLOOKUP(U$134, 'GEN-BESS'!$D$32:$BA$32, 'GEN-BESS'!$D94:$BA94)+_xlfn.XLOOKUP(U$134, 'GEN-CARBON'!$D$32:$BA$32, 'GEN-CARBON'!$D94:$BA94)+_xlfn.XLOOKUP(U$134, Load!$D$32:$BA$32, Load!$D94:$BA94)+_xlfn.XLOOKUP(U$134, Hydrogen!$D$32:$BA$32, Hydrogen!$D94:$BA94)+_xlfn.XLOOKUP(U$134, 'SENS Tires'!$D$32:$BA$32, 'SENS Tires'!$D94:$BA94)+_xlfn.XLOOKUP(U$134, 'SENS Coal'!$D$32:$BA$32, 'SENS Coal'!$D94:$BA94)</f>
        <v>11064.003589686312</v>
      </c>
      <c r="V196" s="31">
        <f>_xlfn.XLOOKUP(V$134, 'GEN-CCGT'!$D$32:$BA$32, 'GEN-CCGT'!$D94:$BA94)+_xlfn.XLOOKUP(V$134, 'GEN-SOLAR'!$D$32:$BA$32, 'GEN-SOLAR'!$D94:$BA94)+_xlfn.XLOOKUP(V$134, 'GEN-BESS'!$D$32:$BA$32, 'GEN-BESS'!$D94:$BA94)+_xlfn.XLOOKUP(V$134, 'GEN-CARBON'!$D$32:$BA$32, 'GEN-CARBON'!$D94:$BA94)+_xlfn.XLOOKUP(V$134, Load!$D$32:$BA$32, Load!$D94:$BA94)+_xlfn.XLOOKUP(V$134, Hydrogen!$D$32:$BA$32, Hydrogen!$D94:$BA94)+_xlfn.XLOOKUP(V$134, 'SENS Tires'!$D$32:$BA$32, 'SENS Tires'!$D94:$BA94)+_xlfn.XLOOKUP(V$134, 'SENS Coal'!$D$32:$BA$32, 'SENS Coal'!$D94:$BA94)</f>
        <v>11286.308416249163</v>
      </c>
      <c r="W196" s="31">
        <f>_xlfn.XLOOKUP(W$134, 'GEN-CCGT'!$D$32:$BA$32, 'GEN-CCGT'!$D94:$BA94)+_xlfn.XLOOKUP(W$134, 'GEN-SOLAR'!$D$32:$BA$32, 'GEN-SOLAR'!$D94:$BA94)+_xlfn.XLOOKUP(W$134, 'GEN-BESS'!$D$32:$BA$32, 'GEN-BESS'!$D94:$BA94)+_xlfn.XLOOKUP(W$134, 'GEN-CARBON'!$D$32:$BA$32, 'GEN-CARBON'!$D94:$BA94)+_xlfn.XLOOKUP(W$134, Load!$D$32:$BA$32, Load!$D94:$BA94)+_xlfn.XLOOKUP(W$134, Hydrogen!$D$32:$BA$32, Hydrogen!$D94:$BA94)+_xlfn.XLOOKUP(W$134, 'SENS Tires'!$D$32:$BA$32, 'SENS Tires'!$D94:$BA94)+_xlfn.XLOOKUP(W$134, 'SENS Coal'!$D$32:$BA$32, 'SENS Coal'!$D94:$BA94)</f>
        <v>11513.114964752738</v>
      </c>
      <c r="X196" s="31">
        <f>_xlfn.XLOOKUP(X$134, 'GEN-CCGT'!$D$32:$BA$32, 'GEN-CCGT'!$D94:$BA94)+_xlfn.XLOOKUP(X$134, 'GEN-SOLAR'!$D$32:$BA$32, 'GEN-SOLAR'!$D94:$BA94)+_xlfn.XLOOKUP(X$134, 'GEN-BESS'!$D$32:$BA$32, 'GEN-BESS'!$D94:$BA94)+_xlfn.XLOOKUP(X$134, 'GEN-CARBON'!$D$32:$BA$32, 'GEN-CARBON'!$D94:$BA94)+_xlfn.XLOOKUP(X$134, Load!$D$32:$BA$32, Load!$D94:$BA94)+_xlfn.XLOOKUP(X$134, Hydrogen!$D$32:$BA$32, Hydrogen!$D94:$BA94)+_xlfn.XLOOKUP(X$134, 'SENS Tires'!$D$32:$BA$32, 'SENS Tires'!$D94:$BA94)+_xlfn.XLOOKUP(X$134, 'SENS Coal'!$D$32:$BA$32, 'SENS Coal'!$D94:$BA94)</f>
        <v>11744.515019310251</v>
      </c>
      <c r="Y196" s="31">
        <f>_xlfn.XLOOKUP(Y$134, 'GEN-CCGT'!$D$32:$BA$32, 'GEN-CCGT'!$D94:$BA94)+_xlfn.XLOOKUP(Y$134, 'GEN-SOLAR'!$D$32:$BA$32, 'GEN-SOLAR'!$D94:$BA94)+_xlfn.XLOOKUP(Y$134, 'GEN-BESS'!$D$32:$BA$32, 'GEN-BESS'!$D94:$BA94)+_xlfn.XLOOKUP(Y$134, 'GEN-CARBON'!$D$32:$BA$32, 'GEN-CARBON'!$D94:$BA94)+_xlfn.XLOOKUP(Y$134, Load!$D$32:$BA$32, Load!$D94:$BA94)+_xlfn.XLOOKUP(Y$134, Hydrogen!$D$32:$BA$32, Hydrogen!$D94:$BA94)+_xlfn.XLOOKUP(Y$134, 'SENS Tires'!$D$32:$BA$32, 'SENS Tires'!$D94:$BA94)+_xlfn.XLOOKUP(Y$134, 'SENS Coal'!$D$32:$BA$32, 'SENS Coal'!$D94:$BA94)</f>
        <v>11980.602253397008</v>
      </c>
      <c r="Z196" s="31">
        <f>_xlfn.XLOOKUP(Z$134, 'GEN-CCGT'!$D$32:$BA$32, 'GEN-CCGT'!$D94:$BA94)+_xlfn.XLOOKUP(Z$134, 'GEN-SOLAR'!$D$32:$BA$32, 'GEN-SOLAR'!$D94:$BA94)+_xlfn.XLOOKUP(Z$134, 'GEN-BESS'!$D$32:$BA$32, 'GEN-BESS'!$D94:$BA94)+_xlfn.XLOOKUP(Z$134, 'GEN-CARBON'!$D$32:$BA$32, 'GEN-CARBON'!$D94:$BA94)+_xlfn.XLOOKUP(Z$134, Load!$D$32:$BA$32, Load!$D94:$BA94)+_xlfn.XLOOKUP(Z$134, Hydrogen!$D$32:$BA$32, Hydrogen!$D94:$BA94)+_xlfn.XLOOKUP(Z$134, 'SENS Tires'!$D$32:$BA$32, 'SENS Tires'!$D94:$BA94)+_xlfn.XLOOKUP(Z$134, 'SENS Coal'!$D$32:$BA$32, 'SENS Coal'!$D94:$BA94)</f>
        <v>12221.472269267486</v>
      </c>
      <c r="AA196" s="31">
        <f>_xlfn.XLOOKUP(AA$134, 'GEN-CCGT'!$D$32:$BA$32, 'GEN-CCGT'!$D94:$BA94)+_xlfn.XLOOKUP(AA$134, 'GEN-SOLAR'!$D$32:$BA$32, 'GEN-SOLAR'!$D94:$BA94)+_xlfn.XLOOKUP(AA$134, 'GEN-BESS'!$D$32:$BA$32, 'GEN-BESS'!$D94:$BA94)+_xlfn.XLOOKUP(AA$134, 'GEN-CARBON'!$D$32:$BA$32, 'GEN-CARBON'!$D94:$BA94)+_xlfn.XLOOKUP(AA$134, Load!$D$32:$BA$32, Load!$D94:$BA94)+_xlfn.XLOOKUP(AA$134, Hydrogen!$D$32:$BA$32, Hydrogen!$D94:$BA94)+_xlfn.XLOOKUP(AA$134, 'SENS Tires'!$D$32:$BA$32, 'SENS Tires'!$D94:$BA94)+_xlfn.XLOOKUP(AA$134, 'SENS Coal'!$D$32:$BA$32, 'SENS Coal'!$D94:$BA94)</f>
        <v>12467.222638209914</v>
      </c>
      <c r="AB196" s="31">
        <f>_xlfn.XLOOKUP(AB$134, 'GEN-CCGT'!$D$32:$BA$32, 'GEN-CCGT'!$D94:$BA94)+_xlfn.XLOOKUP(AB$134, 'GEN-SOLAR'!$D$32:$BA$32, 'GEN-SOLAR'!$D94:$BA94)+_xlfn.XLOOKUP(AB$134, 'GEN-BESS'!$D$32:$BA$32, 'GEN-BESS'!$D94:$BA94)+_xlfn.XLOOKUP(AB$134, 'GEN-CARBON'!$D$32:$BA$32, 'GEN-CARBON'!$D94:$BA94)+_xlfn.XLOOKUP(AB$134, Load!$D$32:$BA$32, Load!$D94:$BA94)+_xlfn.XLOOKUP(AB$134, Hydrogen!$D$32:$BA$32, Hydrogen!$D94:$BA94)+_xlfn.XLOOKUP(AB$134, 'SENS Tires'!$D$32:$BA$32, 'SENS Tires'!$D94:$BA94)+_xlfn.XLOOKUP(AB$134, 'SENS Coal'!$D$32:$BA$32, 'SENS Coal'!$D94:$BA94)</f>
        <v>12717.952941656687</v>
      </c>
      <c r="AC196" s="31">
        <f>_xlfn.XLOOKUP(AC$134, 'GEN-CCGT'!$D$32:$BA$32, 'GEN-CCGT'!$D94:$BA94)+_xlfn.XLOOKUP(AC$134, 'GEN-SOLAR'!$D$32:$BA$32, 'GEN-SOLAR'!$D94:$BA94)+_xlfn.XLOOKUP(AC$134, 'GEN-BESS'!$D$32:$BA$32, 'GEN-BESS'!$D94:$BA94)+_xlfn.XLOOKUP(AC$134, 'GEN-CARBON'!$D$32:$BA$32, 'GEN-CARBON'!$D94:$BA94)+_xlfn.XLOOKUP(AC$134, Load!$D$32:$BA$32, Load!$D94:$BA94)+_xlfn.XLOOKUP(AC$134, Hydrogen!$D$32:$BA$32, Hydrogen!$D94:$BA94)+_xlfn.XLOOKUP(AC$134, 'SENS Tires'!$D$32:$BA$32, 'SENS Tires'!$D94:$BA94)+_xlfn.XLOOKUP(AC$134, 'SENS Coal'!$D$32:$BA$32, 'SENS Coal'!$D94:$BA94)</f>
        <v>12973.764813169155</v>
      </c>
      <c r="AD196" s="31">
        <f>_xlfn.XLOOKUP(AD$134, 'GEN-CCGT'!$D$32:$BA$32, 'GEN-CCGT'!$D94:$BA94)+_xlfn.XLOOKUP(AD$134, 'GEN-SOLAR'!$D$32:$BA$32, 'GEN-SOLAR'!$D94:$BA94)+_xlfn.XLOOKUP(AD$134, 'GEN-BESS'!$D$32:$BA$32, 'GEN-BESS'!$D94:$BA94)+_xlfn.XLOOKUP(AD$134, 'GEN-CARBON'!$D$32:$BA$32, 'GEN-CARBON'!$D94:$BA94)+_xlfn.XLOOKUP(AD$134, Load!$D$32:$BA$32, Load!$D94:$BA94)+_xlfn.XLOOKUP(AD$134, Hydrogen!$D$32:$BA$32, Hydrogen!$D94:$BA94)+_xlfn.XLOOKUP(AD$134, 'SENS Tires'!$D$32:$BA$32, 'SENS Tires'!$D94:$BA94)+_xlfn.XLOOKUP(AD$134, 'SENS Coal'!$D$32:$BA$32, 'SENS Coal'!$D94:$BA94)</f>
        <v>13234.761981315938</v>
      </c>
      <c r="AE196" s="31">
        <f>_xlfn.XLOOKUP(AE$134, 'GEN-CCGT'!$D$32:$BA$32, 'GEN-CCGT'!$D94:$BA94)+_xlfn.XLOOKUP(AE$134, 'GEN-SOLAR'!$D$32:$BA$32, 'GEN-SOLAR'!$D94:$BA94)+_xlfn.XLOOKUP(AE$134, 'GEN-BESS'!$D$32:$BA$32, 'GEN-BESS'!$D94:$BA94)+_xlfn.XLOOKUP(AE$134, 'GEN-CARBON'!$D$32:$BA$32, 'GEN-CARBON'!$D94:$BA94)+_xlfn.XLOOKUP(AE$134, Load!$D$32:$BA$32, Load!$D94:$BA94)+_xlfn.XLOOKUP(AE$134, Hydrogen!$D$32:$BA$32, Hydrogen!$D94:$BA94)+_xlfn.XLOOKUP(AE$134, 'SENS Tires'!$D$32:$BA$32, 'SENS Tires'!$D94:$BA94)+_xlfn.XLOOKUP(AE$134, 'SENS Coal'!$D$32:$BA$32, 'SENS Coal'!$D94:$BA94)</f>
        <v>13501.050313464209</v>
      </c>
      <c r="AF196" s="31">
        <f>_xlfn.XLOOKUP(AF$134, 'GEN-CCGT'!$D$32:$BA$32, 'GEN-CCGT'!$D94:$BA94)+_xlfn.XLOOKUP(AF$134, 'GEN-SOLAR'!$D$32:$BA$32, 'GEN-SOLAR'!$D94:$BA94)+_xlfn.XLOOKUP(AF$134, 'GEN-BESS'!$D$32:$BA$32, 'GEN-BESS'!$D94:$BA94)+_xlfn.XLOOKUP(AF$134, 'GEN-CARBON'!$D$32:$BA$32, 'GEN-CARBON'!$D94:$BA94)+_xlfn.XLOOKUP(AF$134, Load!$D$32:$BA$32, Load!$D94:$BA94)+_xlfn.XLOOKUP(AF$134, Hydrogen!$D$32:$BA$32, Hydrogen!$D94:$BA94)+_xlfn.XLOOKUP(AF$134, 'SENS Tires'!$D$32:$BA$32, 'SENS Tires'!$D94:$BA94)+_xlfn.XLOOKUP(AF$134, 'SENS Coal'!$D$32:$BA$32, 'SENS Coal'!$D94:$BA94)</f>
        <v>13254.089076319071</v>
      </c>
      <c r="AG196" s="31">
        <f>_xlfn.XLOOKUP(AG$134, 'GEN-CCGT'!$D$32:$BA$32, 'GEN-CCGT'!$D94:$BA94)+_xlfn.XLOOKUP(AG$134, 'GEN-SOLAR'!$D$32:$BA$32, 'GEN-SOLAR'!$D94:$BA94)+_xlfn.XLOOKUP(AG$134, 'GEN-BESS'!$D$32:$BA$32, 'GEN-BESS'!$D94:$BA94)+_xlfn.XLOOKUP(AG$134, 'GEN-CARBON'!$D$32:$BA$32, 'GEN-CARBON'!$D94:$BA94)+_xlfn.XLOOKUP(AG$134, Load!$D$32:$BA$32, Load!$D94:$BA94)+_xlfn.XLOOKUP(AG$134, Hydrogen!$D$32:$BA$32, Hydrogen!$D94:$BA94)+_xlfn.XLOOKUP(AG$134, 'SENS Tires'!$D$32:$BA$32, 'SENS Tires'!$D94:$BA94)+_xlfn.XLOOKUP(AG$134, 'SENS Coal'!$D$32:$BA$32, 'SENS Coal'!$D94:$BA94)</f>
        <v>13520.391196960918</v>
      </c>
      <c r="AH196" s="31">
        <f>_xlfn.XLOOKUP(AH$134, 'GEN-CCGT'!$D$32:$BA$32, 'GEN-CCGT'!$D94:$BA94)+_xlfn.XLOOKUP(AH$134, 'GEN-SOLAR'!$D$32:$BA$32, 'GEN-SOLAR'!$D94:$BA94)+_xlfn.XLOOKUP(AH$134, 'GEN-BESS'!$D$32:$BA$32, 'GEN-BESS'!$D94:$BA94)+_xlfn.XLOOKUP(AH$134, 'GEN-CARBON'!$D$32:$BA$32, 'GEN-CARBON'!$D94:$BA94)+_xlfn.XLOOKUP(AH$134, Load!$D$32:$BA$32, Load!$D94:$BA94)+_xlfn.XLOOKUP(AH$134, Hydrogen!$D$32:$BA$32, Hydrogen!$D94:$BA94)+_xlfn.XLOOKUP(AH$134, 'SENS Tires'!$D$32:$BA$32, 'SENS Tires'!$D94:$BA94)+_xlfn.XLOOKUP(AH$134, 'SENS Coal'!$D$32:$BA$32, 'SENS Coal'!$D94:$BA94)</f>
        <v>13749.637195348572</v>
      </c>
      <c r="AI196" s="31">
        <f>_xlfn.XLOOKUP(AI$134, 'GEN-CCGT'!$D$32:$BA$32, 'GEN-CCGT'!$D94:$BA94)+_xlfn.XLOOKUP(AI$134, 'GEN-SOLAR'!$D$32:$BA$32, 'GEN-SOLAR'!$D94:$BA94)+_xlfn.XLOOKUP(AI$134, 'GEN-BESS'!$D$32:$BA$32, 'GEN-BESS'!$D94:$BA94)+_xlfn.XLOOKUP(AI$134, 'GEN-CARBON'!$D$32:$BA$32, 'GEN-CARBON'!$D94:$BA94)+_xlfn.XLOOKUP(AI$134, Load!$D$32:$BA$32, Load!$D94:$BA94)+_xlfn.XLOOKUP(AI$134, Hydrogen!$D$32:$BA$32, Hydrogen!$D94:$BA94)+_xlfn.XLOOKUP(AI$134, 'SENS Tires'!$D$32:$BA$32, 'SENS Tires'!$D94:$BA94)+_xlfn.XLOOKUP(AI$134, 'SENS Coal'!$D$32:$BA$32, 'SENS Coal'!$D94:$BA94)</f>
        <v>13950.190674363737</v>
      </c>
      <c r="AJ196" s="31">
        <f>_xlfn.XLOOKUP(AJ$134, 'GEN-CCGT'!$D$32:$BA$32, 'GEN-CCGT'!$D94:$BA94)+_xlfn.XLOOKUP(AJ$134, 'GEN-SOLAR'!$D$32:$BA$32, 'GEN-SOLAR'!$D94:$BA94)+_xlfn.XLOOKUP(AJ$134, 'GEN-BESS'!$D$32:$BA$32, 'GEN-BESS'!$D94:$BA94)+_xlfn.XLOOKUP(AJ$134, 'GEN-CARBON'!$D$32:$BA$32, 'GEN-CARBON'!$D94:$BA94)+_xlfn.XLOOKUP(AJ$134, Load!$D$32:$BA$32, Load!$D94:$BA94)+_xlfn.XLOOKUP(AJ$134, Hydrogen!$D$32:$BA$32, Hydrogen!$D94:$BA94)+_xlfn.XLOOKUP(AJ$134, 'SENS Tires'!$D$32:$BA$32, 'SENS Tires'!$D94:$BA94)+_xlfn.XLOOKUP(AJ$134, 'SENS Coal'!$D$32:$BA$32, 'SENS Coal'!$D94:$BA94)</f>
        <v>14231.281396230255</v>
      </c>
      <c r="AK196" s="31">
        <f>_xlfn.XLOOKUP(AK$134, 'GEN-CCGT'!$D$32:$BA$32, 'GEN-CCGT'!$D94:$BA94)+_xlfn.XLOOKUP(AK$134, 'GEN-SOLAR'!$D$32:$BA$32, 'GEN-SOLAR'!$D94:$BA94)+_xlfn.XLOOKUP(AK$134, 'GEN-BESS'!$D$32:$BA$32, 'GEN-BESS'!$D94:$BA94)+_xlfn.XLOOKUP(AK$134, 'GEN-CARBON'!$D$32:$BA$32, 'GEN-CARBON'!$D94:$BA94)+_xlfn.XLOOKUP(AK$134, Load!$D$32:$BA$32, Load!$D94:$BA94)+_xlfn.XLOOKUP(AK$134, Hydrogen!$D$32:$BA$32, Hydrogen!$D94:$BA94)+_xlfn.XLOOKUP(AK$134, 'SENS Tires'!$D$32:$BA$32, 'SENS Tires'!$D94:$BA94)+_xlfn.XLOOKUP(AK$134, 'SENS Coal'!$D$32:$BA$32, 'SENS Coal'!$D94:$BA94)</f>
        <v>14518.056539785477</v>
      </c>
      <c r="AL196" s="31">
        <f>_xlfn.XLOOKUP(AL$134, 'GEN-CCGT'!$D$32:$BA$32, 'GEN-CCGT'!$D94:$BA94)+_xlfn.XLOOKUP(AL$134, 'GEN-SOLAR'!$D$32:$BA$32, 'GEN-SOLAR'!$D94:$BA94)+_xlfn.XLOOKUP(AL$134, 'GEN-BESS'!$D$32:$BA$32, 'GEN-BESS'!$D94:$BA94)+_xlfn.XLOOKUP(AL$134, 'GEN-CARBON'!$D$32:$BA$32, 'GEN-CARBON'!$D94:$BA94)+_xlfn.XLOOKUP(AL$134, Load!$D$32:$BA$32, Load!$D94:$BA94)+_xlfn.XLOOKUP(AL$134, Hydrogen!$D$32:$BA$32, Hydrogen!$D94:$BA94)+_xlfn.XLOOKUP(AL$134, 'SENS Tires'!$D$32:$BA$32, 'SENS Tires'!$D94:$BA94)+_xlfn.XLOOKUP(AL$134, 'SENS Coal'!$D$32:$BA$32, 'SENS Coal'!$D94:$BA94)</f>
        <v>14810.631671680731</v>
      </c>
      <c r="AM196" s="31">
        <f>_xlfn.XLOOKUP(AM$134, 'GEN-CCGT'!$D$32:$BA$32, 'GEN-CCGT'!$D94:$BA94)+_xlfn.XLOOKUP(AM$134, 'GEN-SOLAR'!$D$32:$BA$32, 'GEN-SOLAR'!$D94:$BA94)+_xlfn.XLOOKUP(AM$134, 'GEN-BESS'!$D$32:$BA$32, 'GEN-BESS'!$D94:$BA94)+_xlfn.XLOOKUP(AM$134, 'GEN-CARBON'!$D$32:$BA$32, 'GEN-CARBON'!$D94:$BA94)+_xlfn.XLOOKUP(AM$134, Load!$D$32:$BA$32, Load!$D94:$BA94)+_xlfn.XLOOKUP(AM$134, Hydrogen!$D$32:$BA$32, Hydrogen!$D94:$BA94)+_xlfn.XLOOKUP(AM$134, 'SENS Tires'!$D$32:$BA$32, 'SENS Tires'!$D94:$BA94)+_xlfn.XLOOKUP(AM$134, 'SENS Coal'!$D$32:$BA$32, 'SENS Coal'!$D94:$BA94)</f>
        <v>15109.12472624687</v>
      </c>
      <c r="AN196" s="31">
        <f>_xlfn.XLOOKUP(AN$134, 'GEN-CCGT'!$D$32:$BA$32, 'GEN-CCGT'!$D94:$BA94)+_xlfn.XLOOKUP(AN$134, 'GEN-SOLAR'!$D$32:$BA$32, 'GEN-SOLAR'!$D94:$BA94)+_xlfn.XLOOKUP(AN$134, 'GEN-BESS'!$D$32:$BA$32, 'GEN-BESS'!$D94:$BA94)+_xlfn.XLOOKUP(AN$134, 'GEN-CARBON'!$D$32:$BA$32, 'GEN-CARBON'!$D94:$BA94)+_xlfn.XLOOKUP(AN$134, Load!$D$32:$BA$32, Load!$D94:$BA94)+_xlfn.XLOOKUP(AN$134, Hydrogen!$D$32:$BA$32, Hydrogen!$D94:$BA94)+_xlfn.XLOOKUP(AN$134, 'SENS Tires'!$D$32:$BA$32, 'SENS Tires'!$D94:$BA94)+_xlfn.XLOOKUP(AN$134, 'SENS Coal'!$D$32:$BA$32, 'SENS Coal'!$D94:$BA94)</f>
        <v>15413.656054538305</v>
      </c>
      <c r="AO196" s="31">
        <f>_xlfn.XLOOKUP(AO$134, 'GEN-CCGT'!$D$32:$BA$32, 'GEN-CCGT'!$D94:$BA94)+_xlfn.XLOOKUP(AO$134, 'GEN-SOLAR'!$D$32:$BA$32, 'GEN-SOLAR'!$D94:$BA94)+_xlfn.XLOOKUP(AO$134, 'GEN-BESS'!$D$32:$BA$32, 'GEN-BESS'!$D94:$BA94)+_xlfn.XLOOKUP(AO$134, 'GEN-CARBON'!$D$32:$BA$32, 'GEN-CARBON'!$D94:$BA94)+_xlfn.XLOOKUP(AO$134, Load!$D$32:$BA$32, Load!$D94:$BA94)+_xlfn.XLOOKUP(AO$134, Hydrogen!$D$32:$BA$32, Hydrogen!$D94:$BA94)+_xlfn.XLOOKUP(AO$134, 'SENS Tires'!$D$32:$BA$32, 'SENS Tires'!$D94:$BA94)+_xlfn.XLOOKUP(AO$134, 'SENS Coal'!$D$32:$BA$32, 'SENS Coal'!$D94:$BA94)</f>
        <v>15724.348474408564</v>
      </c>
      <c r="AP196" s="31">
        <f>_xlfn.XLOOKUP(AP$134, 'GEN-CCGT'!$D$32:$BA$32, 'GEN-CCGT'!$D94:$BA94)+_xlfn.XLOOKUP(AP$134, 'GEN-SOLAR'!$D$32:$BA$32, 'GEN-SOLAR'!$D94:$BA94)+_xlfn.XLOOKUP(AP$134, 'GEN-BESS'!$D$32:$BA$32, 'GEN-BESS'!$D94:$BA94)+_xlfn.XLOOKUP(AP$134, 'GEN-CARBON'!$D$32:$BA$32, 'GEN-CARBON'!$D94:$BA94)+_xlfn.XLOOKUP(AP$134, Load!$D$32:$BA$32, Load!$D94:$BA94)+_xlfn.XLOOKUP(AP$134, Hydrogen!$D$32:$BA$32, Hydrogen!$D94:$BA94)+_xlfn.XLOOKUP(AP$134, 'SENS Tires'!$D$32:$BA$32, 'SENS Tires'!$D94:$BA94)+_xlfn.XLOOKUP(AP$134, 'SENS Coal'!$D$32:$BA$32, 'SENS Coal'!$D94:$BA94)</f>
        <v>16041.327321639616</v>
      </c>
      <c r="AQ196" s="31">
        <f>_xlfn.XLOOKUP(AQ$134, 'GEN-CCGT'!$D$32:$BA$32, 'GEN-CCGT'!$D94:$BA94)+_xlfn.XLOOKUP(AQ$134, 'GEN-SOLAR'!$D$32:$BA$32, 'GEN-SOLAR'!$D94:$BA94)+_xlfn.XLOOKUP(AQ$134, 'GEN-BESS'!$D$32:$BA$32, 'GEN-BESS'!$D94:$BA94)+_xlfn.XLOOKUP(AQ$134, 'GEN-CARBON'!$D$32:$BA$32, 'GEN-CARBON'!$D94:$BA94)+_xlfn.XLOOKUP(AQ$134, Load!$D$32:$BA$32, Load!$D94:$BA94)+_xlfn.XLOOKUP(AQ$134, Hydrogen!$D$32:$BA$32, Hydrogen!$D94:$BA94)+_xlfn.XLOOKUP(AQ$134, 'SENS Tires'!$D$32:$BA$32, 'SENS Tires'!$D94:$BA94)+_xlfn.XLOOKUP(AQ$134, 'SENS Coal'!$D$32:$BA$32, 'SENS Coal'!$D94:$BA94)</f>
        <v>16364.720502147577</v>
      </c>
      <c r="AR196" s="31">
        <f>_xlfn.XLOOKUP(AR$134, 'GEN-CCGT'!$D$32:$BA$32, 'GEN-CCGT'!$D94:$BA94)+_xlfn.XLOOKUP(AR$134, 'GEN-SOLAR'!$D$32:$BA$32, 'GEN-SOLAR'!$D94:$BA94)+_xlfn.XLOOKUP(AR$134, 'GEN-BESS'!$D$32:$BA$32, 'GEN-BESS'!$D94:$BA94)+_xlfn.XLOOKUP(AR$134, 'GEN-CARBON'!$D$32:$BA$32, 'GEN-CARBON'!$D94:$BA94)+_xlfn.XLOOKUP(AR$134, Load!$D$32:$BA$32, Load!$D94:$BA94)+_xlfn.XLOOKUP(AR$134, Hydrogen!$D$32:$BA$32, Hydrogen!$D94:$BA94)+_xlfn.XLOOKUP(AR$134, 'SENS Tires'!$D$32:$BA$32, 'SENS Tires'!$D94:$BA94)+_xlfn.XLOOKUP(AR$134, 'SENS Coal'!$D$32:$BA$32, 'SENS Coal'!$D94:$BA94)</f>
        <v>16694.658545287952</v>
      </c>
      <c r="AS196" s="31">
        <f>_xlfn.XLOOKUP(AS$134, 'GEN-CCGT'!$D$32:$BA$32, 'GEN-CCGT'!$D94:$BA94)+_xlfn.XLOOKUP(AS$134, 'GEN-SOLAR'!$D$32:$BA$32, 'GEN-SOLAR'!$D94:$BA94)+_xlfn.XLOOKUP(AS$134, 'GEN-BESS'!$D$32:$BA$32, 'GEN-BESS'!$D94:$BA94)+_xlfn.XLOOKUP(AS$134, 'GEN-CARBON'!$D$32:$BA$32, 'GEN-CARBON'!$D94:$BA94)+_xlfn.XLOOKUP(AS$134, Load!$D$32:$BA$32, Load!$D94:$BA94)+_xlfn.XLOOKUP(AS$134, Hydrogen!$D$32:$BA$32, Hydrogen!$D94:$BA94)+_xlfn.XLOOKUP(AS$134, 'SENS Tires'!$D$32:$BA$32, 'SENS Tires'!$D94:$BA94)+_xlfn.XLOOKUP(AS$134, 'SENS Coal'!$D$32:$BA$32, 'SENS Coal'!$D94:$BA94)</f>
        <v>17031.274658284048</v>
      </c>
      <c r="AT196" s="31">
        <f>_xlfn.XLOOKUP(AT$134, 'GEN-CCGT'!$D$32:$BA$32, 'GEN-CCGT'!$D94:$BA94)+_xlfn.XLOOKUP(AT$134, 'GEN-SOLAR'!$D$32:$BA$32, 'GEN-SOLAR'!$D94:$BA94)+_xlfn.XLOOKUP(AT$134, 'GEN-BESS'!$D$32:$BA$32, 'GEN-BESS'!$D94:$BA94)+_xlfn.XLOOKUP(AT$134, 'GEN-CARBON'!$D$32:$BA$32, 'GEN-CARBON'!$D94:$BA94)+_xlfn.XLOOKUP(AT$134, Load!$D$32:$BA$32, Load!$D94:$BA94)+_xlfn.XLOOKUP(AT$134, Hydrogen!$D$32:$BA$32, Hydrogen!$D94:$BA94)+_xlfn.XLOOKUP(AT$134, 'SENS Tires'!$D$32:$BA$32, 'SENS Tires'!$D94:$BA94)+_xlfn.XLOOKUP(AT$134, 'SENS Coal'!$D$32:$BA$32, 'SENS Coal'!$D94:$BA94)</f>
        <v>17374.70478180279</v>
      </c>
      <c r="AU196" s="31">
        <f>_xlfn.XLOOKUP(AU$134, 'GEN-CCGT'!$D$32:$BA$32, 'GEN-CCGT'!$D94:$BA94)+_xlfn.XLOOKUP(AU$134, 'GEN-SOLAR'!$D$32:$BA$32, 'GEN-SOLAR'!$D94:$BA94)+_xlfn.XLOOKUP(AU$134, 'GEN-BESS'!$D$32:$BA$32, 'GEN-BESS'!$D94:$BA94)+_xlfn.XLOOKUP(AU$134, 'GEN-CARBON'!$D$32:$BA$32, 'GEN-CARBON'!$D94:$BA94)+_xlfn.XLOOKUP(AU$134, Load!$D$32:$BA$32, Load!$D94:$BA94)+_xlfn.XLOOKUP(AU$134, Hydrogen!$D$32:$BA$32, Hydrogen!$D94:$BA94)+_xlfn.XLOOKUP(AU$134, 'SENS Tires'!$D$32:$BA$32, 'SENS Tires'!$D94:$BA94)+_xlfn.XLOOKUP(AU$134, 'SENS Coal'!$D$32:$BA$32, 'SENS Coal'!$D94:$BA94)</f>
        <v>17725.087646702486</v>
      </c>
      <c r="AV196" s="31">
        <f>_xlfn.XLOOKUP(AV$134, 'GEN-CCGT'!$D$32:$BA$32, 'GEN-CCGT'!$D94:$BA94)+_xlfn.XLOOKUP(AV$134, 'GEN-SOLAR'!$D$32:$BA$32, 'GEN-SOLAR'!$D94:$BA94)+_xlfn.XLOOKUP(AV$134, 'GEN-BESS'!$D$32:$BA$32, 'GEN-BESS'!$D94:$BA94)+_xlfn.XLOOKUP(AV$134, 'GEN-CARBON'!$D$32:$BA$32, 'GEN-CARBON'!$D94:$BA94)+_xlfn.XLOOKUP(AV$134, Load!$D$32:$BA$32, Load!$D94:$BA94)+_xlfn.XLOOKUP(AV$134, Hydrogen!$D$32:$BA$32, Hydrogen!$D94:$BA94)+_xlfn.XLOOKUP(AV$134, 'SENS Tires'!$D$32:$BA$32, 'SENS Tires'!$D94:$BA94)+_xlfn.XLOOKUP(AV$134, 'SENS Coal'!$D$32:$BA$32, 'SENS Coal'!$D94:$BA94)</f>
        <v>18082.564831978096</v>
      </c>
      <c r="AW196" s="31">
        <f>_xlfn.XLOOKUP(AW$134, 'GEN-CCGT'!$D$32:$BA$32, 'GEN-CCGT'!$D94:$BA94)+_xlfn.XLOOKUP(AW$134, 'GEN-SOLAR'!$D$32:$BA$32, 'GEN-SOLAR'!$D94:$BA94)+_xlfn.XLOOKUP(AW$134, 'GEN-BESS'!$D$32:$BA$32, 'GEN-BESS'!$D94:$BA94)+_xlfn.XLOOKUP(AW$134, 'GEN-CARBON'!$D$32:$BA$32, 'GEN-CARBON'!$D94:$BA94)+_xlfn.XLOOKUP(AW$134, Load!$D$32:$BA$32, Load!$D94:$BA94)+_xlfn.XLOOKUP(AW$134, Hydrogen!$D$32:$BA$32, Hydrogen!$D94:$BA94)+_xlfn.XLOOKUP(AW$134, 'SENS Tires'!$D$32:$BA$32, 'SENS Tires'!$D94:$BA94)+_xlfn.XLOOKUP(AW$134, 'SENS Coal'!$D$32:$BA$32, 'SENS Coal'!$D94:$BA94)</f>
        <v>18447.280823929457</v>
      </c>
      <c r="AX196" s="31">
        <f>_xlfn.XLOOKUP(AX$134, 'GEN-CCGT'!$D$32:$BA$32, 'GEN-CCGT'!$D94:$BA94)+_xlfn.XLOOKUP(AX$134, 'GEN-SOLAR'!$D$32:$BA$32, 'GEN-SOLAR'!$D94:$BA94)+_xlfn.XLOOKUP(AX$134, 'GEN-BESS'!$D$32:$BA$32, 'GEN-BESS'!$D94:$BA94)+_xlfn.XLOOKUP(AX$134, 'GEN-CARBON'!$D$32:$BA$32, 'GEN-CARBON'!$D94:$BA94)+_xlfn.XLOOKUP(AX$134, Load!$D$32:$BA$32, Load!$D94:$BA94)+_xlfn.XLOOKUP(AX$134, Hydrogen!$D$32:$BA$32, Hydrogen!$D94:$BA94)+_xlfn.XLOOKUP(AX$134, 'SENS Tires'!$D$32:$BA$32, 'SENS Tires'!$D94:$BA94)+_xlfn.XLOOKUP(AX$134, 'SENS Coal'!$D$32:$BA$32, 'SENS Coal'!$D94:$BA94)</f>
        <v>18819.383076579208</v>
      </c>
    </row>
    <row r="197" spans="1:50" ht="14.25" customHeight="1">
      <c r="A197" s="1"/>
      <c r="B197" s="84"/>
      <c r="C197" s="1"/>
      <c r="D197" s="1"/>
      <c r="E197" s="1">
        <f>_xlfn.XLOOKUP(E$134, 'GEN-CCGT'!$D$32:$BA$32, 'GEN-CCGT'!$D95:$BA95)+_xlfn.XLOOKUP(E$134, 'GEN-SOLAR'!$D$32:$BA$32, 'GEN-SOLAR'!$D95:$BA95)+_xlfn.XLOOKUP(E$134, 'GEN-BESS'!$D$32:$BA$32, 'GEN-BESS'!$D95:$BA95)+_xlfn.XLOOKUP(E$134, 'GEN-CARBON'!$D$32:$BA$32, 'GEN-CARBON'!$D95:$BA95)+_xlfn.XLOOKUP(E$134, Load!$D$32:$BA$32, Load!$D95:$BA95)+_xlfn.XLOOKUP(E$134, Hydrogen!$D$32:$BA$32, Hydrogen!$D95:$BA95)+_xlfn.XLOOKUP(E$134, 'SENS Tires'!$D$32:$BA$32, 'SENS Tires'!$D95:$BA95)+_xlfn.XLOOKUP(E$134, 'SENS Coal'!$D$32:$BA$32, 'SENS Coal'!$D95:$BA95)</f>
        <v>0</v>
      </c>
      <c r="F197" s="1">
        <f>_xlfn.XLOOKUP(F$134, 'GEN-CCGT'!$D$32:$BA$32, 'GEN-CCGT'!$D95:$BA95)+_xlfn.XLOOKUP(F$134, 'GEN-SOLAR'!$D$32:$BA$32, 'GEN-SOLAR'!$D95:$BA95)+_xlfn.XLOOKUP(F$134, 'GEN-BESS'!$D$32:$BA$32, 'GEN-BESS'!$D95:$BA95)+_xlfn.XLOOKUP(F$134, 'GEN-CARBON'!$D$32:$BA$32, 'GEN-CARBON'!$D95:$BA95)+_xlfn.XLOOKUP(F$134, Load!$D$32:$BA$32, Load!$D95:$BA95)+_xlfn.XLOOKUP(F$134, Hydrogen!$D$32:$BA$32, Hydrogen!$D95:$BA95)+_xlfn.XLOOKUP(F$134, 'SENS Tires'!$D$32:$BA$32, 'SENS Tires'!$D95:$BA95)+_xlfn.XLOOKUP(F$134, 'SENS Coal'!$D$32:$BA$32, 'SENS Coal'!$D95:$BA95)</f>
        <v>0</v>
      </c>
      <c r="G197" s="1">
        <f>_xlfn.XLOOKUP(G$134, 'GEN-CCGT'!$D$32:$BA$32, 'GEN-CCGT'!$D95:$BA95)+_xlfn.XLOOKUP(G$134, 'GEN-SOLAR'!$D$32:$BA$32, 'GEN-SOLAR'!$D95:$BA95)+_xlfn.XLOOKUP(G$134, 'GEN-BESS'!$D$32:$BA$32, 'GEN-BESS'!$D95:$BA95)+_xlfn.XLOOKUP(G$134, 'GEN-CARBON'!$D$32:$BA$32, 'GEN-CARBON'!$D95:$BA95)+_xlfn.XLOOKUP(G$134, Load!$D$32:$BA$32, Load!$D95:$BA95)+_xlfn.XLOOKUP(G$134, Hydrogen!$D$32:$BA$32, Hydrogen!$D95:$BA95)+_xlfn.XLOOKUP(G$134, 'SENS Tires'!$D$32:$BA$32, 'SENS Tires'!$D95:$BA95)+_xlfn.XLOOKUP(G$134, 'SENS Coal'!$D$32:$BA$32, 'SENS Coal'!$D95:$BA95)</f>
        <v>0</v>
      </c>
      <c r="H197" s="1">
        <f>_xlfn.XLOOKUP(H$134, 'GEN-CCGT'!$D$32:$BA$32, 'GEN-CCGT'!$D95:$BA95)+_xlfn.XLOOKUP(H$134, 'GEN-SOLAR'!$D$32:$BA$32, 'GEN-SOLAR'!$D95:$BA95)+_xlfn.XLOOKUP(H$134, 'GEN-BESS'!$D$32:$BA$32, 'GEN-BESS'!$D95:$BA95)+_xlfn.XLOOKUP(H$134, 'GEN-CARBON'!$D$32:$BA$32, 'GEN-CARBON'!$D95:$BA95)+_xlfn.XLOOKUP(H$134, Load!$D$32:$BA$32, Load!$D95:$BA95)+_xlfn.XLOOKUP(H$134, Hydrogen!$D$32:$BA$32, Hydrogen!$D95:$BA95)+_xlfn.XLOOKUP(H$134, 'SENS Tires'!$D$32:$BA$32, 'SENS Tires'!$D95:$BA95)+_xlfn.XLOOKUP(H$134, 'SENS Coal'!$D$32:$BA$32, 'SENS Coal'!$D95:$BA95)</f>
        <v>0</v>
      </c>
      <c r="I197" s="1">
        <f>_xlfn.XLOOKUP(I$134, 'GEN-CCGT'!$D$32:$BA$32, 'GEN-CCGT'!$D95:$BA95)+_xlfn.XLOOKUP(I$134, 'GEN-SOLAR'!$D$32:$BA$32, 'GEN-SOLAR'!$D95:$BA95)+_xlfn.XLOOKUP(I$134, 'GEN-BESS'!$D$32:$BA$32, 'GEN-BESS'!$D95:$BA95)+_xlfn.XLOOKUP(I$134, 'GEN-CARBON'!$D$32:$BA$32, 'GEN-CARBON'!$D95:$BA95)+_xlfn.XLOOKUP(I$134, Load!$D$32:$BA$32, Load!$D95:$BA95)+_xlfn.XLOOKUP(I$134, Hydrogen!$D$32:$BA$32, Hydrogen!$D95:$BA95)+_xlfn.XLOOKUP(I$134, 'SENS Tires'!$D$32:$BA$32, 'SENS Tires'!$D95:$BA95)+_xlfn.XLOOKUP(I$134, 'SENS Coal'!$D$32:$BA$32, 'SENS Coal'!$D95:$BA95)</f>
        <v>0</v>
      </c>
      <c r="J197" s="1">
        <f>_xlfn.XLOOKUP(J$134, 'GEN-CCGT'!$D$32:$BA$32, 'GEN-CCGT'!$D95:$BA95)+_xlfn.XLOOKUP(J$134, 'GEN-SOLAR'!$D$32:$BA$32, 'GEN-SOLAR'!$D95:$BA95)+_xlfn.XLOOKUP(J$134, 'GEN-BESS'!$D$32:$BA$32, 'GEN-BESS'!$D95:$BA95)+_xlfn.XLOOKUP(J$134, 'GEN-CARBON'!$D$32:$BA$32, 'GEN-CARBON'!$D95:$BA95)+_xlfn.XLOOKUP(J$134, Load!$D$32:$BA$32, Load!$D95:$BA95)+_xlfn.XLOOKUP(J$134, Hydrogen!$D$32:$BA$32, Hydrogen!$D95:$BA95)+_xlfn.XLOOKUP(J$134, 'SENS Tires'!$D$32:$BA$32, 'SENS Tires'!$D95:$BA95)+_xlfn.XLOOKUP(J$134, 'SENS Coal'!$D$32:$BA$32, 'SENS Coal'!$D95:$BA95)</f>
        <v>0</v>
      </c>
      <c r="K197" s="1">
        <f>_xlfn.XLOOKUP(K$134, 'GEN-CCGT'!$D$32:$BA$32, 'GEN-CCGT'!$D95:$BA95)+_xlfn.XLOOKUP(K$134, 'GEN-SOLAR'!$D$32:$BA$32, 'GEN-SOLAR'!$D95:$BA95)+_xlfn.XLOOKUP(K$134, 'GEN-BESS'!$D$32:$BA$32, 'GEN-BESS'!$D95:$BA95)+_xlfn.XLOOKUP(K$134, 'GEN-CARBON'!$D$32:$BA$32, 'GEN-CARBON'!$D95:$BA95)+_xlfn.XLOOKUP(K$134, Load!$D$32:$BA$32, Load!$D95:$BA95)+_xlfn.XLOOKUP(K$134, Hydrogen!$D$32:$BA$32, Hydrogen!$D95:$BA95)+_xlfn.XLOOKUP(K$134, 'SENS Tires'!$D$32:$BA$32, 'SENS Tires'!$D95:$BA95)+_xlfn.XLOOKUP(K$134, 'SENS Coal'!$D$32:$BA$32, 'SENS Coal'!$D95:$BA95)</f>
        <v>0</v>
      </c>
      <c r="L197" s="1">
        <f>_xlfn.XLOOKUP(L$134, 'GEN-CCGT'!$D$32:$BA$32, 'GEN-CCGT'!$D95:$BA95)+_xlfn.XLOOKUP(L$134, 'GEN-SOLAR'!$D$32:$BA$32, 'GEN-SOLAR'!$D95:$BA95)+_xlfn.XLOOKUP(L$134, 'GEN-BESS'!$D$32:$BA$32, 'GEN-BESS'!$D95:$BA95)+_xlfn.XLOOKUP(L$134, 'GEN-CARBON'!$D$32:$BA$32, 'GEN-CARBON'!$D95:$BA95)+_xlfn.XLOOKUP(L$134, Load!$D$32:$BA$32, Load!$D95:$BA95)+_xlfn.XLOOKUP(L$134, Hydrogen!$D$32:$BA$32, Hydrogen!$D95:$BA95)+_xlfn.XLOOKUP(L$134, 'SENS Tires'!$D$32:$BA$32, 'SENS Tires'!$D95:$BA95)+_xlfn.XLOOKUP(L$134, 'SENS Coal'!$D$32:$BA$32, 'SENS Coal'!$D95:$BA95)</f>
        <v>0</v>
      </c>
      <c r="M197" s="1">
        <f>_xlfn.XLOOKUP(M$134, 'GEN-CCGT'!$D$32:$BA$32, 'GEN-CCGT'!$D95:$BA95)+_xlfn.XLOOKUP(M$134, 'GEN-SOLAR'!$D$32:$BA$32, 'GEN-SOLAR'!$D95:$BA95)+_xlfn.XLOOKUP(M$134, 'GEN-BESS'!$D$32:$BA$32, 'GEN-BESS'!$D95:$BA95)+_xlfn.XLOOKUP(M$134, 'GEN-CARBON'!$D$32:$BA$32, 'GEN-CARBON'!$D95:$BA95)+_xlfn.XLOOKUP(M$134, Load!$D$32:$BA$32, Load!$D95:$BA95)+_xlfn.XLOOKUP(M$134, Hydrogen!$D$32:$BA$32, Hydrogen!$D95:$BA95)+_xlfn.XLOOKUP(M$134, 'SENS Tires'!$D$32:$BA$32, 'SENS Tires'!$D95:$BA95)+_xlfn.XLOOKUP(M$134, 'SENS Coal'!$D$32:$BA$32, 'SENS Coal'!$D95:$BA95)</f>
        <v>0</v>
      </c>
      <c r="N197" s="1">
        <f>_xlfn.XLOOKUP(N$134, 'GEN-CCGT'!$D$32:$BA$32, 'GEN-CCGT'!$D95:$BA95)+_xlfn.XLOOKUP(N$134, 'GEN-SOLAR'!$D$32:$BA$32, 'GEN-SOLAR'!$D95:$BA95)+_xlfn.XLOOKUP(N$134, 'GEN-BESS'!$D$32:$BA$32, 'GEN-BESS'!$D95:$BA95)+_xlfn.XLOOKUP(N$134, 'GEN-CARBON'!$D$32:$BA$32, 'GEN-CARBON'!$D95:$BA95)+_xlfn.XLOOKUP(N$134, Load!$D$32:$BA$32, Load!$D95:$BA95)+_xlfn.XLOOKUP(N$134, Hydrogen!$D$32:$BA$32, Hydrogen!$D95:$BA95)+_xlfn.XLOOKUP(N$134, 'SENS Tires'!$D$32:$BA$32, 'SENS Tires'!$D95:$BA95)+_xlfn.XLOOKUP(N$134, 'SENS Coal'!$D$32:$BA$32, 'SENS Coal'!$D95:$BA95)</f>
        <v>0</v>
      </c>
      <c r="O197" s="1">
        <f>_xlfn.XLOOKUP(O$134, 'GEN-CCGT'!$D$32:$BA$32, 'GEN-CCGT'!$D95:$BA95)+_xlfn.XLOOKUP(O$134, 'GEN-SOLAR'!$D$32:$BA$32, 'GEN-SOLAR'!$D95:$BA95)+_xlfn.XLOOKUP(O$134, 'GEN-BESS'!$D$32:$BA$32, 'GEN-BESS'!$D95:$BA95)+_xlfn.XLOOKUP(O$134, 'GEN-CARBON'!$D$32:$BA$32, 'GEN-CARBON'!$D95:$BA95)+_xlfn.XLOOKUP(O$134, Load!$D$32:$BA$32, Load!$D95:$BA95)+_xlfn.XLOOKUP(O$134, Hydrogen!$D$32:$BA$32, Hydrogen!$D95:$BA95)+_xlfn.XLOOKUP(O$134, 'SENS Tires'!$D$32:$BA$32, 'SENS Tires'!$D95:$BA95)+_xlfn.XLOOKUP(O$134, 'SENS Coal'!$D$32:$BA$32, 'SENS Coal'!$D95:$BA95)</f>
        <v>0</v>
      </c>
      <c r="P197" s="1">
        <f>_xlfn.XLOOKUP(P$134, 'GEN-CCGT'!$D$32:$BA$32, 'GEN-CCGT'!$D95:$BA95)+_xlfn.XLOOKUP(P$134, 'GEN-SOLAR'!$D$32:$BA$32, 'GEN-SOLAR'!$D95:$BA95)+_xlfn.XLOOKUP(P$134, 'GEN-BESS'!$D$32:$BA$32, 'GEN-BESS'!$D95:$BA95)+_xlfn.XLOOKUP(P$134, 'GEN-CARBON'!$D$32:$BA$32, 'GEN-CARBON'!$D95:$BA95)+_xlfn.XLOOKUP(P$134, Load!$D$32:$BA$32, Load!$D95:$BA95)+_xlfn.XLOOKUP(P$134, Hydrogen!$D$32:$BA$32, Hydrogen!$D95:$BA95)+_xlfn.XLOOKUP(P$134, 'SENS Tires'!$D$32:$BA$32, 'SENS Tires'!$D95:$BA95)+_xlfn.XLOOKUP(P$134, 'SENS Coal'!$D$32:$BA$32, 'SENS Coal'!$D95:$BA95)</f>
        <v>0</v>
      </c>
      <c r="Q197" s="1">
        <f>_xlfn.XLOOKUP(Q$134, 'GEN-CCGT'!$D$32:$BA$32, 'GEN-CCGT'!$D95:$BA95)+_xlfn.XLOOKUP(Q$134, 'GEN-SOLAR'!$D$32:$BA$32, 'GEN-SOLAR'!$D95:$BA95)+_xlfn.XLOOKUP(Q$134, 'GEN-BESS'!$D$32:$BA$32, 'GEN-BESS'!$D95:$BA95)+_xlfn.XLOOKUP(Q$134, 'GEN-CARBON'!$D$32:$BA$32, 'GEN-CARBON'!$D95:$BA95)+_xlfn.XLOOKUP(Q$134, Load!$D$32:$BA$32, Load!$D95:$BA95)+_xlfn.XLOOKUP(Q$134, Hydrogen!$D$32:$BA$32, Hydrogen!$D95:$BA95)+_xlfn.XLOOKUP(Q$134, 'SENS Tires'!$D$32:$BA$32, 'SENS Tires'!$D95:$BA95)+_xlfn.XLOOKUP(Q$134, 'SENS Coal'!$D$32:$BA$32, 'SENS Coal'!$D95:$BA95)</f>
        <v>0</v>
      </c>
      <c r="R197" s="1">
        <f>_xlfn.XLOOKUP(R$134, 'GEN-CCGT'!$D$32:$BA$32, 'GEN-CCGT'!$D95:$BA95)+_xlfn.XLOOKUP(R$134, 'GEN-SOLAR'!$D$32:$BA$32, 'GEN-SOLAR'!$D95:$BA95)+_xlfn.XLOOKUP(R$134, 'GEN-BESS'!$D$32:$BA$32, 'GEN-BESS'!$D95:$BA95)+_xlfn.XLOOKUP(R$134, 'GEN-CARBON'!$D$32:$BA$32, 'GEN-CARBON'!$D95:$BA95)+_xlfn.XLOOKUP(R$134, Load!$D$32:$BA$32, Load!$D95:$BA95)+_xlfn.XLOOKUP(R$134, Hydrogen!$D$32:$BA$32, Hydrogen!$D95:$BA95)+_xlfn.XLOOKUP(R$134, 'SENS Tires'!$D$32:$BA$32, 'SENS Tires'!$D95:$BA95)+_xlfn.XLOOKUP(R$134, 'SENS Coal'!$D$32:$BA$32, 'SENS Coal'!$D95:$BA95)</f>
        <v>0</v>
      </c>
      <c r="S197" s="1">
        <f>_xlfn.XLOOKUP(S$134, 'GEN-CCGT'!$D$32:$BA$32, 'GEN-CCGT'!$D95:$BA95)+_xlfn.XLOOKUP(S$134, 'GEN-SOLAR'!$D$32:$BA$32, 'GEN-SOLAR'!$D95:$BA95)+_xlfn.XLOOKUP(S$134, 'GEN-BESS'!$D$32:$BA$32, 'GEN-BESS'!$D95:$BA95)+_xlfn.XLOOKUP(S$134, 'GEN-CARBON'!$D$32:$BA$32, 'GEN-CARBON'!$D95:$BA95)+_xlfn.XLOOKUP(S$134, Load!$D$32:$BA$32, Load!$D95:$BA95)+_xlfn.XLOOKUP(S$134, Hydrogen!$D$32:$BA$32, Hydrogen!$D95:$BA95)+_xlfn.XLOOKUP(S$134, 'SENS Tires'!$D$32:$BA$32, 'SENS Tires'!$D95:$BA95)+_xlfn.XLOOKUP(S$134, 'SENS Coal'!$D$32:$BA$32, 'SENS Coal'!$D95:$BA95)</f>
        <v>0</v>
      </c>
      <c r="T197" s="1">
        <f>_xlfn.XLOOKUP(T$134, 'GEN-CCGT'!$D$32:$BA$32, 'GEN-CCGT'!$D95:$BA95)+_xlfn.XLOOKUP(T$134, 'GEN-SOLAR'!$D$32:$BA$32, 'GEN-SOLAR'!$D95:$BA95)+_xlfn.XLOOKUP(T$134, 'GEN-BESS'!$D$32:$BA$32, 'GEN-BESS'!$D95:$BA95)+_xlfn.XLOOKUP(T$134, 'GEN-CARBON'!$D$32:$BA$32, 'GEN-CARBON'!$D95:$BA95)+_xlfn.XLOOKUP(T$134, Load!$D$32:$BA$32, Load!$D95:$BA95)+_xlfn.XLOOKUP(T$134, Hydrogen!$D$32:$BA$32, Hydrogen!$D95:$BA95)+_xlfn.XLOOKUP(T$134, 'SENS Tires'!$D$32:$BA$32, 'SENS Tires'!$D95:$BA95)+_xlfn.XLOOKUP(T$134, 'SENS Coal'!$D$32:$BA$32, 'SENS Coal'!$D95:$BA95)</f>
        <v>0</v>
      </c>
      <c r="U197" s="1">
        <f>_xlfn.XLOOKUP(U$134, 'GEN-CCGT'!$D$32:$BA$32, 'GEN-CCGT'!$D95:$BA95)+_xlfn.XLOOKUP(U$134, 'GEN-SOLAR'!$D$32:$BA$32, 'GEN-SOLAR'!$D95:$BA95)+_xlfn.XLOOKUP(U$134, 'GEN-BESS'!$D$32:$BA$32, 'GEN-BESS'!$D95:$BA95)+_xlfn.XLOOKUP(U$134, 'GEN-CARBON'!$D$32:$BA$32, 'GEN-CARBON'!$D95:$BA95)+_xlfn.XLOOKUP(U$134, Load!$D$32:$BA$32, Load!$D95:$BA95)+_xlfn.XLOOKUP(U$134, Hydrogen!$D$32:$BA$32, Hydrogen!$D95:$BA95)+_xlfn.XLOOKUP(U$134, 'SENS Tires'!$D$32:$BA$32, 'SENS Tires'!$D95:$BA95)+_xlfn.XLOOKUP(U$134, 'SENS Coal'!$D$32:$BA$32, 'SENS Coal'!$D95:$BA95)</f>
        <v>0</v>
      </c>
      <c r="V197" s="1">
        <f>_xlfn.XLOOKUP(V$134, 'GEN-CCGT'!$D$32:$BA$32, 'GEN-CCGT'!$D95:$BA95)+_xlfn.XLOOKUP(V$134, 'GEN-SOLAR'!$D$32:$BA$32, 'GEN-SOLAR'!$D95:$BA95)+_xlfn.XLOOKUP(V$134, 'GEN-BESS'!$D$32:$BA$32, 'GEN-BESS'!$D95:$BA95)+_xlfn.XLOOKUP(V$134, 'GEN-CARBON'!$D$32:$BA$32, 'GEN-CARBON'!$D95:$BA95)+_xlfn.XLOOKUP(V$134, Load!$D$32:$BA$32, Load!$D95:$BA95)+_xlfn.XLOOKUP(V$134, Hydrogen!$D$32:$BA$32, Hydrogen!$D95:$BA95)+_xlfn.XLOOKUP(V$134, 'SENS Tires'!$D$32:$BA$32, 'SENS Tires'!$D95:$BA95)+_xlfn.XLOOKUP(V$134, 'SENS Coal'!$D$32:$BA$32, 'SENS Coal'!$D95:$BA95)</f>
        <v>0</v>
      </c>
      <c r="W197" s="1">
        <f>_xlfn.XLOOKUP(W$134, 'GEN-CCGT'!$D$32:$BA$32, 'GEN-CCGT'!$D95:$BA95)+_xlfn.XLOOKUP(W$134, 'GEN-SOLAR'!$D$32:$BA$32, 'GEN-SOLAR'!$D95:$BA95)+_xlfn.XLOOKUP(W$134, 'GEN-BESS'!$D$32:$BA$32, 'GEN-BESS'!$D95:$BA95)+_xlfn.XLOOKUP(W$134, 'GEN-CARBON'!$D$32:$BA$32, 'GEN-CARBON'!$D95:$BA95)+_xlfn.XLOOKUP(W$134, Load!$D$32:$BA$32, Load!$D95:$BA95)+_xlfn.XLOOKUP(W$134, Hydrogen!$D$32:$BA$32, Hydrogen!$D95:$BA95)+_xlfn.XLOOKUP(W$134, 'SENS Tires'!$D$32:$BA$32, 'SENS Tires'!$D95:$BA95)+_xlfn.XLOOKUP(W$134, 'SENS Coal'!$D$32:$BA$32, 'SENS Coal'!$D95:$BA95)</f>
        <v>0</v>
      </c>
      <c r="X197" s="1">
        <f>_xlfn.XLOOKUP(X$134, 'GEN-CCGT'!$D$32:$BA$32, 'GEN-CCGT'!$D95:$BA95)+_xlfn.XLOOKUP(X$134, 'GEN-SOLAR'!$D$32:$BA$32, 'GEN-SOLAR'!$D95:$BA95)+_xlfn.XLOOKUP(X$134, 'GEN-BESS'!$D$32:$BA$32, 'GEN-BESS'!$D95:$BA95)+_xlfn.XLOOKUP(X$134, 'GEN-CARBON'!$D$32:$BA$32, 'GEN-CARBON'!$D95:$BA95)+_xlfn.XLOOKUP(X$134, Load!$D$32:$BA$32, Load!$D95:$BA95)+_xlfn.XLOOKUP(X$134, Hydrogen!$D$32:$BA$32, Hydrogen!$D95:$BA95)+_xlfn.XLOOKUP(X$134, 'SENS Tires'!$D$32:$BA$32, 'SENS Tires'!$D95:$BA95)+_xlfn.XLOOKUP(X$134, 'SENS Coal'!$D$32:$BA$32, 'SENS Coal'!$D95:$BA95)</f>
        <v>0</v>
      </c>
      <c r="Y197" s="1">
        <f>_xlfn.XLOOKUP(Y$134, 'GEN-CCGT'!$D$32:$BA$32, 'GEN-CCGT'!$D95:$BA95)+_xlfn.XLOOKUP(Y$134, 'GEN-SOLAR'!$D$32:$BA$32, 'GEN-SOLAR'!$D95:$BA95)+_xlfn.XLOOKUP(Y$134, 'GEN-BESS'!$D$32:$BA$32, 'GEN-BESS'!$D95:$BA95)+_xlfn.XLOOKUP(Y$134, 'GEN-CARBON'!$D$32:$BA$32, 'GEN-CARBON'!$D95:$BA95)+_xlfn.XLOOKUP(Y$134, Load!$D$32:$BA$32, Load!$D95:$BA95)+_xlfn.XLOOKUP(Y$134, Hydrogen!$D$32:$BA$32, Hydrogen!$D95:$BA95)+_xlfn.XLOOKUP(Y$134, 'SENS Tires'!$D$32:$BA$32, 'SENS Tires'!$D95:$BA95)+_xlfn.XLOOKUP(Y$134, 'SENS Coal'!$D$32:$BA$32, 'SENS Coal'!$D95:$BA95)</f>
        <v>0</v>
      </c>
      <c r="Z197" s="1">
        <f>_xlfn.XLOOKUP(Z$134, 'GEN-CCGT'!$D$32:$BA$32, 'GEN-CCGT'!$D95:$BA95)+_xlfn.XLOOKUP(Z$134, 'GEN-SOLAR'!$D$32:$BA$32, 'GEN-SOLAR'!$D95:$BA95)+_xlfn.XLOOKUP(Z$134, 'GEN-BESS'!$D$32:$BA$32, 'GEN-BESS'!$D95:$BA95)+_xlfn.XLOOKUP(Z$134, 'GEN-CARBON'!$D$32:$BA$32, 'GEN-CARBON'!$D95:$BA95)+_xlfn.XLOOKUP(Z$134, Load!$D$32:$BA$32, Load!$D95:$BA95)+_xlfn.XLOOKUP(Z$134, Hydrogen!$D$32:$BA$32, Hydrogen!$D95:$BA95)+_xlfn.XLOOKUP(Z$134, 'SENS Tires'!$D$32:$BA$32, 'SENS Tires'!$D95:$BA95)+_xlfn.XLOOKUP(Z$134, 'SENS Coal'!$D$32:$BA$32, 'SENS Coal'!$D95:$BA95)</f>
        <v>0</v>
      </c>
      <c r="AA197" s="1">
        <f>_xlfn.XLOOKUP(AA$134, 'GEN-CCGT'!$D$32:$BA$32, 'GEN-CCGT'!$D95:$BA95)+_xlfn.XLOOKUP(AA$134, 'GEN-SOLAR'!$D$32:$BA$32, 'GEN-SOLAR'!$D95:$BA95)+_xlfn.XLOOKUP(AA$134, 'GEN-BESS'!$D$32:$BA$32, 'GEN-BESS'!$D95:$BA95)+_xlfn.XLOOKUP(AA$134, 'GEN-CARBON'!$D$32:$BA$32, 'GEN-CARBON'!$D95:$BA95)+_xlfn.XLOOKUP(AA$134, Load!$D$32:$BA$32, Load!$D95:$BA95)+_xlfn.XLOOKUP(AA$134, Hydrogen!$D$32:$BA$32, Hydrogen!$D95:$BA95)+_xlfn.XLOOKUP(AA$134, 'SENS Tires'!$D$32:$BA$32, 'SENS Tires'!$D95:$BA95)+_xlfn.XLOOKUP(AA$134, 'SENS Coal'!$D$32:$BA$32, 'SENS Coal'!$D95:$BA95)</f>
        <v>0</v>
      </c>
      <c r="AB197" s="1">
        <f>_xlfn.XLOOKUP(AB$134, 'GEN-CCGT'!$D$32:$BA$32, 'GEN-CCGT'!$D95:$BA95)+_xlfn.XLOOKUP(AB$134, 'GEN-SOLAR'!$D$32:$BA$32, 'GEN-SOLAR'!$D95:$BA95)+_xlfn.XLOOKUP(AB$134, 'GEN-BESS'!$D$32:$BA$32, 'GEN-BESS'!$D95:$BA95)+_xlfn.XLOOKUP(AB$134, 'GEN-CARBON'!$D$32:$BA$32, 'GEN-CARBON'!$D95:$BA95)+_xlfn.XLOOKUP(AB$134, Load!$D$32:$BA$32, Load!$D95:$BA95)+_xlfn.XLOOKUP(AB$134, Hydrogen!$D$32:$BA$32, Hydrogen!$D95:$BA95)+_xlfn.XLOOKUP(AB$134, 'SENS Tires'!$D$32:$BA$32, 'SENS Tires'!$D95:$BA95)+_xlfn.XLOOKUP(AB$134, 'SENS Coal'!$D$32:$BA$32, 'SENS Coal'!$D95:$BA95)</f>
        <v>0</v>
      </c>
      <c r="AC197" s="1">
        <f>_xlfn.XLOOKUP(AC$134, 'GEN-CCGT'!$D$32:$BA$32, 'GEN-CCGT'!$D95:$BA95)+_xlfn.XLOOKUP(AC$134, 'GEN-SOLAR'!$D$32:$BA$32, 'GEN-SOLAR'!$D95:$BA95)+_xlfn.XLOOKUP(AC$134, 'GEN-BESS'!$D$32:$BA$32, 'GEN-BESS'!$D95:$BA95)+_xlfn.XLOOKUP(AC$134, 'GEN-CARBON'!$D$32:$BA$32, 'GEN-CARBON'!$D95:$BA95)+_xlfn.XLOOKUP(AC$134, Load!$D$32:$BA$32, Load!$D95:$BA95)+_xlfn.XLOOKUP(AC$134, Hydrogen!$D$32:$BA$32, Hydrogen!$D95:$BA95)+_xlfn.XLOOKUP(AC$134, 'SENS Tires'!$D$32:$BA$32, 'SENS Tires'!$D95:$BA95)+_xlfn.XLOOKUP(AC$134, 'SENS Coal'!$D$32:$BA$32, 'SENS Coal'!$D95:$BA95)</f>
        <v>0</v>
      </c>
      <c r="AD197" s="1">
        <f>_xlfn.XLOOKUP(AD$134, 'GEN-CCGT'!$D$32:$BA$32, 'GEN-CCGT'!$D95:$BA95)+_xlfn.XLOOKUP(AD$134, 'GEN-SOLAR'!$D$32:$BA$32, 'GEN-SOLAR'!$D95:$BA95)+_xlfn.XLOOKUP(AD$134, 'GEN-BESS'!$D$32:$BA$32, 'GEN-BESS'!$D95:$BA95)+_xlfn.XLOOKUP(AD$134, 'GEN-CARBON'!$D$32:$BA$32, 'GEN-CARBON'!$D95:$BA95)+_xlfn.XLOOKUP(AD$134, Load!$D$32:$BA$32, Load!$D95:$BA95)+_xlfn.XLOOKUP(AD$134, Hydrogen!$D$32:$BA$32, Hydrogen!$D95:$BA95)+_xlfn.XLOOKUP(AD$134, 'SENS Tires'!$D$32:$BA$32, 'SENS Tires'!$D95:$BA95)+_xlfn.XLOOKUP(AD$134, 'SENS Coal'!$D$32:$BA$32, 'SENS Coal'!$D95:$BA95)</f>
        <v>0</v>
      </c>
      <c r="AE197" s="1">
        <f>_xlfn.XLOOKUP(AE$134, 'GEN-CCGT'!$D$32:$BA$32, 'GEN-CCGT'!$D95:$BA95)+_xlfn.XLOOKUP(AE$134, 'GEN-SOLAR'!$D$32:$BA$32, 'GEN-SOLAR'!$D95:$BA95)+_xlfn.XLOOKUP(AE$134, 'GEN-BESS'!$D$32:$BA$32, 'GEN-BESS'!$D95:$BA95)+_xlfn.XLOOKUP(AE$134, 'GEN-CARBON'!$D$32:$BA$32, 'GEN-CARBON'!$D95:$BA95)+_xlfn.XLOOKUP(AE$134, Load!$D$32:$BA$32, Load!$D95:$BA95)+_xlfn.XLOOKUP(AE$134, Hydrogen!$D$32:$BA$32, Hydrogen!$D95:$BA95)+_xlfn.XLOOKUP(AE$134, 'SENS Tires'!$D$32:$BA$32, 'SENS Tires'!$D95:$BA95)+_xlfn.XLOOKUP(AE$134, 'SENS Coal'!$D$32:$BA$32, 'SENS Coal'!$D95:$BA95)</f>
        <v>0</v>
      </c>
      <c r="AF197" s="1">
        <f>_xlfn.XLOOKUP(AF$134, 'GEN-CCGT'!$D$32:$BA$32, 'GEN-CCGT'!$D95:$BA95)+_xlfn.XLOOKUP(AF$134, 'GEN-SOLAR'!$D$32:$BA$32, 'GEN-SOLAR'!$D95:$BA95)+_xlfn.XLOOKUP(AF$134, 'GEN-BESS'!$D$32:$BA$32, 'GEN-BESS'!$D95:$BA95)+_xlfn.XLOOKUP(AF$134, 'GEN-CARBON'!$D$32:$BA$32, 'GEN-CARBON'!$D95:$BA95)+_xlfn.XLOOKUP(AF$134, Load!$D$32:$BA$32, Load!$D95:$BA95)+_xlfn.XLOOKUP(AF$134, Hydrogen!$D$32:$BA$32, Hydrogen!$D95:$BA95)+_xlfn.XLOOKUP(AF$134, 'SENS Tires'!$D$32:$BA$32, 'SENS Tires'!$D95:$BA95)+_xlfn.XLOOKUP(AF$134, 'SENS Coal'!$D$32:$BA$32, 'SENS Coal'!$D95:$BA95)</f>
        <v>0</v>
      </c>
      <c r="AG197" s="1">
        <f>_xlfn.XLOOKUP(AG$134, 'GEN-CCGT'!$D$32:$BA$32, 'GEN-CCGT'!$D95:$BA95)+_xlfn.XLOOKUP(AG$134, 'GEN-SOLAR'!$D$32:$BA$32, 'GEN-SOLAR'!$D95:$BA95)+_xlfn.XLOOKUP(AG$134, 'GEN-BESS'!$D$32:$BA$32, 'GEN-BESS'!$D95:$BA95)+_xlfn.XLOOKUP(AG$134, 'GEN-CARBON'!$D$32:$BA$32, 'GEN-CARBON'!$D95:$BA95)+_xlfn.XLOOKUP(AG$134, Load!$D$32:$BA$32, Load!$D95:$BA95)+_xlfn.XLOOKUP(AG$134, Hydrogen!$D$32:$BA$32, Hydrogen!$D95:$BA95)+_xlfn.XLOOKUP(AG$134, 'SENS Tires'!$D$32:$BA$32, 'SENS Tires'!$D95:$BA95)+_xlfn.XLOOKUP(AG$134, 'SENS Coal'!$D$32:$BA$32, 'SENS Coal'!$D95:$BA95)</f>
        <v>0</v>
      </c>
      <c r="AH197" s="1">
        <f>_xlfn.XLOOKUP(AH$134, 'GEN-CCGT'!$D$32:$BA$32, 'GEN-CCGT'!$D95:$BA95)+_xlfn.XLOOKUP(AH$134, 'GEN-SOLAR'!$D$32:$BA$32, 'GEN-SOLAR'!$D95:$BA95)+_xlfn.XLOOKUP(AH$134, 'GEN-BESS'!$D$32:$BA$32, 'GEN-BESS'!$D95:$BA95)+_xlfn.XLOOKUP(AH$134, 'GEN-CARBON'!$D$32:$BA$32, 'GEN-CARBON'!$D95:$BA95)+_xlfn.XLOOKUP(AH$134, Load!$D$32:$BA$32, Load!$D95:$BA95)+_xlfn.XLOOKUP(AH$134, Hydrogen!$D$32:$BA$32, Hydrogen!$D95:$BA95)+_xlfn.XLOOKUP(AH$134, 'SENS Tires'!$D$32:$BA$32, 'SENS Tires'!$D95:$BA95)+_xlfn.XLOOKUP(AH$134, 'SENS Coal'!$D$32:$BA$32, 'SENS Coal'!$D95:$BA95)</f>
        <v>0</v>
      </c>
      <c r="AI197" s="1">
        <f>_xlfn.XLOOKUP(AI$134, 'GEN-CCGT'!$D$32:$BA$32, 'GEN-CCGT'!$D95:$BA95)+_xlfn.XLOOKUP(AI$134, 'GEN-SOLAR'!$D$32:$BA$32, 'GEN-SOLAR'!$D95:$BA95)+_xlfn.XLOOKUP(AI$134, 'GEN-BESS'!$D$32:$BA$32, 'GEN-BESS'!$D95:$BA95)+_xlfn.XLOOKUP(AI$134, 'GEN-CARBON'!$D$32:$BA$32, 'GEN-CARBON'!$D95:$BA95)+_xlfn.XLOOKUP(AI$134, Load!$D$32:$BA$32, Load!$D95:$BA95)+_xlfn.XLOOKUP(AI$134, Hydrogen!$D$32:$BA$32, Hydrogen!$D95:$BA95)+_xlfn.XLOOKUP(AI$134, 'SENS Tires'!$D$32:$BA$32, 'SENS Tires'!$D95:$BA95)+_xlfn.XLOOKUP(AI$134, 'SENS Coal'!$D$32:$BA$32, 'SENS Coal'!$D95:$BA95)</f>
        <v>0</v>
      </c>
      <c r="AJ197" s="1">
        <f>_xlfn.XLOOKUP(AJ$134, 'GEN-CCGT'!$D$32:$BA$32, 'GEN-CCGT'!$D95:$BA95)+_xlfn.XLOOKUP(AJ$134, 'GEN-SOLAR'!$D$32:$BA$32, 'GEN-SOLAR'!$D95:$BA95)+_xlfn.XLOOKUP(AJ$134, 'GEN-BESS'!$D$32:$BA$32, 'GEN-BESS'!$D95:$BA95)+_xlfn.XLOOKUP(AJ$134, 'GEN-CARBON'!$D$32:$BA$32, 'GEN-CARBON'!$D95:$BA95)+_xlfn.XLOOKUP(AJ$134, Load!$D$32:$BA$32, Load!$D95:$BA95)+_xlfn.XLOOKUP(AJ$134, Hydrogen!$D$32:$BA$32, Hydrogen!$D95:$BA95)+_xlfn.XLOOKUP(AJ$134, 'SENS Tires'!$D$32:$BA$32, 'SENS Tires'!$D95:$BA95)+_xlfn.XLOOKUP(AJ$134, 'SENS Coal'!$D$32:$BA$32, 'SENS Coal'!$D95:$BA95)</f>
        <v>0</v>
      </c>
      <c r="AK197" s="1">
        <f>_xlfn.XLOOKUP(AK$134, 'GEN-CCGT'!$D$32:$BA$32, 'GEN-CCGT'!$D95:$BA95)+_xlfn.XLOOKUP(AK$134, 'GEN-SOLAR'!$D$32:$BA$32, 'GEN-SOLAR'!$D95:$BA95)+_xlfn.XLOOKUP(AK$134, 'GEN-BESS'!$D$32:$BA$32, 'GEN-BESS'!$D95:$BA95)+_xlfn.XLOOKUP(AK$134, 'GEN-CARBON'!$D$32:$BA$32, 'GEN-CARBON'!$D95:$BA95)+_xlfn.XLOOKUP(AK$134, Load!$D$32:$BA$32, Load!$D95:$BA95)+_xlfn.XLOOKUP(AK$134, Hydrogen!$D$32:$BA$32, Hydrogen!$D95:$BA95)+_xlfn.XLOOKUP(AK$134, 'SENS Tires'!$D$32:$BA$32, 'SENS Tires'!$D95:$BA95)+_xlfn.XLOOKUP(AK$134, 'SENS Coal'!$D$32:$BA$32, 'SENS Coal'!$D95:$BA95)</f>
        <v>0</v>
      </c>
      <c r="AL197" s="1">
        <f>_xlfn.XLOOKUP(AL$134, 'GEN-CCGT'!$D$32:$BA$32, 'GEN-CCGT'!$D95:$BA95)+_xlfn.XLOOKUP(AL$134, 'GEN-SOLAR'!$D$32:$BA$32, 'GEN-SOLAR'!$D95:$BA95)+_xlfn.XLOOKUP(AL$134, 'GEN-BESS'!$D$32:$BA$32, 'GEN-BESS'!$D95:$BA95)+_xlfn.XLOOKUP(AL$134, 'GEN-CARBON'!$D$32:$BA$32, 'GEN-CARBON'!$D95:$BA95)+_xlfn.XLOOKUP(AL$134, Load!$D$32:$BA$32, Load!$D95:$BA95)+_xlfn.XLOOKUP(AL$134, Hydrogen!$D$32:$BA$32, Hydrogen!$D95:$BA95)+_xlfn.XLOOKUP(AL$134, 'SENS Tires'!$D$32:$BA$32, 'SENS Tires'!$D95:$BA95)+_xlfn.XLOOKUP(AL$134, 'SENS Coal'!$D$32:$BA$32, 'SENS Coal'!$D95:$BA95)</f>
        <v>0</v>
      </c>
      <c r="AM197" s="1">
        <f>_xlfn.XLOOKUP(AM$134, 'GEN-CCGT'!$D$32:$BA$32, 'GEN-CCGT'!$D95:$BA95)+_xlfn.XLOOKUP(AM$134, 'GEN-SOLAR'!$D$32:$BA$32, 'GEN-SOLAR'!$D95:$BA95)+_xlfn.XLOOKUP(AM$134, 'GEN-BESS'!$D$32:$BA$32, 'GEN-BESS'!$D95:$BA95)+_xlfn.XLOOKUP(AM$134, 'GEN-CARBON'!$D$32:$BA$32, 'GEN-CARBON'!$D95:$BA95)+_xlfn.XLOOKUP(AM$134, Load!$D$32:$BA$32, Load!$D95:$BA95)+_xlfn.XLOOKUP(AM$134, Hydrogen!$D$32:$BA$32, Hydrogen!$D95:$BA95)+_xlfn.XLOOKUP(AM$134, 'SENS Tires'!$D$32:$BA$32, 'SENS Tires'!$D95:$BA95)+_xlfn.XLOOKUP(AM$134, 'SENS Coal'!$D$32:$BA$32, 'SENS Coal'!$D95:$BA95)</f>
        <v>0</v>
      </c>
      <c r="AN197" s="1">
        <f>_xlfn.XLOOKUP(AN$134, 'GEN-CCGT'!$D$32:$BA$32, 'GEN-CCGT'!$D95:$BA95)+_xlfn.XLOOKUP(AN$134, 'GEN-SOLAR'!$D$32:$BA$32, 'GEN-SOLAR'!$D95:$BA95)+_xlfn.XLOOKUP(AN$134, 'GEN-BESS'!$D$32:$BA$32, 'GEN-BESS'!$D95:$BA95)+_xlfn.XLOOKUP(AN$134, 'GEN-CARBON'!$D$32:$BA$32, 'GEN-CARBON'!$D95:$BA95)+_xlfn.XLOOKUP(AN$134, Load!$D$32:$BA$32, Load!$D95:$BA95)+_xlfn.XLOOKUP(AN$134, Hydrogen!$D$32:$BA$32, Hydrogen!$D95:$BA95)+_xlfn.XLOOKUP(AN$134, 'SENS Tires'!$D$32:$BA$32, 'SENS Tires'!$D95:$BA95)+_xlfn.XLOOKUP(AN$134, 'SENS Coal'!$D$32:$BA$32, 'SENS Coal'!$D95:$BA95)</f>
        <v>0</v>
      </c>
      <c r="AO197" s="1">
        <f>_xlfn.XLOOKUP(AO$134, 'GEN-CCGT'!$D$32:$BA$32, 'GEN-CCGT'!$D95:$BA95)+_xlfn.XLOOKUP(AO$134, 'GEN-SOLAR'!$D$32:$BA$32, 'GEN-SOLAR'!$D95:$BA95)+_xlfn.XLOOKUP(AO$134, 'GEN-BESS'!$D$32:$BA$32, 'GEN-BESS'!$D95:$BA95)+_xlfn.XLOOKUP(AO$134, 'GEN-CARBON'!$D$32:$BA$32, 'GEN-CARBON'!$D95:$BA95)+_xlfn.XLOOKUP(AO$134, Load!$D$32:$BA$32, Load!$D95:$BA95)+_xlfn.XLOOKUP(AO$134, Hydrogen!$D$32:$BA$32, Hydrogen!$D95:$BA95)+_xlfn.XLOOKUP(AO$134, 'SENS Tires'!$D$32:$BA$32, 'SENS Tires'!$D95:$BA95)+_xlfn.XLOOKUP(AO$134, 'SENS Coal'!$D$32:$BA$32, 'SENS Coal'!$D95:$BA95)</f>
        <v>0</v>
      </c>
      <c r="AP197" s="1">
        <f>_xlfn.XLOOKUP(AP$134, 'GEN-CCGT'!$D$32:$BA$32, 'GEN-CCGT'!$D95:$BA95)+_xlfn.XLOOKUP(AP$134, 'GEN-SOLAR'!$D$32:$BA$32, 'GEN-SOLAR'!$D95:$BA95)+_xlfn.XLOOKUP(AP$134, 'GEN-BESS'!$D$32:$BA$32, 'GEN-BESS'!$D95:$BA95)+_xlfn.XLOOKUP(AP$134, 'GEN-CARBON'!$D$32:$BA$32, 'GEN-CARBON'!$D95:$BA95)+_xlfn.XLOOKUP(AP$134, Load!$D$32:$BA$32, Load!$D95:$BA95)+_xlfn.XLOOKUP(AP$134, Hydrogen!$D$32:$BA$32, Hydrogen!$D95:$BA95)+_xlfn.XLOOKUP(AP$134, 'SENS Tires'!$D$32:$BA$32, 'SENS Tires'!$D95:$BA95)+_xlfn.XLOOKUP(AP$134, 'SENS Coal'!$D$32:$BA$32, 'SENS Coal'!$D95:$BA95)</f>
        <v>0</v>
      </c>
      <c r="AQ197" s="1">
        <f>_xlfn.XLOOKUP(AQ$134, 'GEN-CCGT'!$D$32:$BA$32, 'GEN-CCGT'!$D95:$BA95)+_xlfn.XLOOKUP(AQ$134, 'GEN-SOLAR'!$D$32:$BA$32, 'GEN-SOLAR'!$D95:$BA95)+_xlfn.XLOOKUP(AQ$134, 'GEN-BESS'!$D$32:$BA$32, 'GEN-BESS'!$D95:$BA95)+_xlfn.XLOOKUP(AQ$134, 'GEN-CARBON'!$D$32:$BA$32, 'GEN-CARBON'!$D95:$BA95)+_xlfn.XLOOKUP(AQ$134, Load!$D$32:$BA$32, Load!$D95:$BA95)+_xlfn.XLOOKUP(AQ$134, Hydrogen!$D$32:$BA$32, Hydrogen!$D95:$BA95)+_xlfn.XLOOKUP(AQ$134, 'SENS Tires'!$D$32:$BA$32, 'SENS Tires'!$D95:$BA95)+_xlfn.XLOOKUP(AQ$134, 'SENS Coal'!$D$32:$BA$32, 'SENS Coal'!$D95:$BA95)</f>
        <v>0</v>
      </c>
      <c r="AR197" s="1">
        <f>_xlfn.XLOOKUP(AR$134, 'GEN-CCGT'!$D$32:$BA$32, 'GEN-CCGT'!$D95:$BA95)+_xlfn.XLOOKUP(AR$134, 'GEN-SOLAR'!$D$32:$BA$32, 'GEN-SOLAR'!$D95:$BA95)+_xlfn.XLOOKUP(AR$134, 'GEN-BESS'!$D$32:$BA$32, 'GEN-BESS'!$D95:$BA95)+_xlfn.XLOOKUP(AR$134, 'GEN-CARBON'!$D$32:$BA$32, 'GEN-CARBON'!$D95:$BA95)+_xlfn.XLOOKUP(AR$134, Load!$D$32:$BA$32, Load!$D95:$BA95)+_xlfn.XLOOKUP(AR$134, Hydrogen!$D$32:$BA$32, Hydrogen!$D95:$BA95)+_xlfn.XLOOKUP(AR$134, 'SENS Tires'!$D$32:$BA$32, 'SENS Tires'!$D95:$BA95)+_xlfn.XLOOKUP(AR$134, 'SENS Coal'!$D$32:$BA$32, 'SENS Coal'!$D95:$BA95)</f>
        <v>0</v>
      </c>
      <c r="AS197" s="1">
        <f>_xlfn.XLOOKUP(AS$134, 'GEN-CCGT'!$D$32:$BA$32, 'GEN-CCGT'!$D95:$BA95)+_xlfn.XLOOKUP(AS$134, 'GEN-SOLAR'!$D$32:$BA$32, 'GEN-SOLAR'!$D95:$BA95)+_xlfn.XLOOKUP(AS$134, 'GEN-BESS'!$D$32:$BA$32, 'GEN-BESS'!$D95:$BA95)+_xlfn.XLOOKUP(AS$134, 'GEN-CARBON'!$D$32:$BA$32, 'GEN-CARBON'!$D95:$BA95)+_xlfn.XLOOKUP(AS$134, Load!$D$32:$BA$32, Load!$D95:$BA95)+_xlfn.XLOOKUP(AS$134, Hydrogen!$D$32:$BA$32, Hydrogen!$D95:$BA95)+_xlfn.XLOOKUP(AS$134, 'SENS Tires'!$D$32:$BA$32, 'SENS Tires'!$D95:$BA95)+_xlfn.XLOOKUP(AS$134, 'SENS Coal'!$D$32:$BA$32, 'SENS Coal'!$D95:$BA95)</f>
        <v>0</v>
      </c>
      <c r="AT197" s="1">
        <f>_xlfn.XLOOKUP(AT$134, 'GEN-CCGT'!$D$32:$BA$32, 'GEN-CCGT'!$D95:$BA95)+_xlfn.XLOOKUP(AT$134, 'GEN-SOLAR'!$D$32:$BA$32, 'GEN-SOLAR'!$D95:$BA95)+_xlfn.XLOOKUP(AT$134, 'GEN-BESS'!$D$32:$BA$32, 'GEN-BESS'!$D95:$BA95)+_xlfn.XLOOKUP(AT$134, 'GEN-CARBON'!$D$32:$BA$32, 'GEN-CARBON'!$D95:$BA95)+_xlfn.XLOOKUP(AT$134, Load!$D$32:$BA$32, Load!$D95:$BA95)+_xlfn.XLOOKUP(AT$134, Hydrogen!$D$32:$BA$32, Hydrogen!$D95:$BA95)+_xlfn.XLOOKUP(AT$134, 'SENS Tires'!$D$32:$BA$32, 'SENS Tires'!$D95:$BA95)+_xlfn.XLOOKUP(AT$134, 'SENS Coal'!$D$32:$BA$32, 'SENS Coal'!$D95:$BA95)</f>
        <v>0</v>
      </c>
      <c r="AU197" s="1">
        <f>_xlfn.XLOOKUP(AU$134, 'GEN-CCGT'!$D$32:$BA$32, 'GEN-CCGT'!$D95:$BA95)+_xlfn.XLOOKUP(AU$134, 'GEN-SOLAR'!$D$32:$BA$32, 'GEN-SOLAR'!$D95:$BA95)+_xlfn.XLOOKUP(AU$134, 'GEN-BESS'!$D$32:$BA$32, 'GEN-BESS'!$D95:$BA95)+_xlfn.XLOOKUP(AU$134, 'GEN-CARBON'!$D$32:$BA$32, 'GEN-CARBON'!$D95:$BA95)+_xlfn.XLOOKUP(AU$134, Load!$D$32:$BA$32, Load!$D95:$BA95)+_xlfn.XLOOKUP(AU$134, Hydrogen!$D$32:$BA$32, Hydrogen!$D95:$BA95)+_xlfn.XLOOKUP(AU$134, 'SENS Tires'!$D$32:$BA$32, 'SENS Tires'!$D95:$BA95)+_xlfn.XLOOKUP(AU$134, 'SENS Coal'!$D$32:$BA$32, 'SENS Coal'!$D95:$BA95)</f>
        <v>0</v>
      </c>
      <c r="AV197" s="1">
        <f>_xlfn.XLOOKUP(AV$134, 'GEN-CCGT'!$D$32:$BA$32, 'GEN-CCGT'!$D95:$BA95)+_xlfn.XLOOKUP(AV$134, 'GEN-SOLAR'!$D$32:$BA$32, 'GEN-SOLAR'!$D95:$BA95)+_xlfn.XLOOKUP(AV$134, 'GEN-BESS'!$D$32:$BA$32, 'GEN-BESS'!$D95:$BA95)+_xlfn.XLOOKUP(AV$134, 'GEN-CARBON'!$D$32:$BA$32, 'GEN-CARBON'!$D95:$BA95)+_xlfn.XLOOKUP(AV$134, Load!$D$32:$BA$32, Load!$D95:$BA95)+_xlfn.XLOOKUP(AV$134, Hydrogen!$D$32:$BA$32, Hydrogen!$D95:$BA95)+_xlfn.XLOOKUP(AV$134, 'SENS Tires'!$D$32:$BA$32, 'SENS Tires'!$D95:$BA95)+_xlfn.XLOOKUP(AV$134, 'SENS Coal'!$D$32:$BA$32, 'SENS Coal'!$D95:$BA95)</f>
        <v>0</v>
      </c>
      <c r="AW197" s="1">
        <f>_xlfn.XLOOKUP(AW$134, 'GEN-CCGT'!$D$32:$BA$32, 'GEN-CCGT'!$D95:$BA95)+_xlfn.XLOOKUP(AW$134, 'GEN-SOLAR'!$D$32:$BA$32, 'GEN-SOLAR'!$D95:$BA95)+_xlfn.XLOOKUP(AW$134, 'GEN-BESS'!$D$32:$BA$32, 'GEN-BESS'!$D95:$BA95)+_xlfn.XLOOKUP(AW$134, 'GEN-CARBON'!$D$32:$BA$32, 'GEN-CARBON'!$D95:$BA95)+_xlfn.XLOOKUP(AW$134, Load!$D$32:$BA$32, Load!$D95:$BA95)+_xlfn.XLOOKUP(AW$134, Hydrogen!$D$32:$BA$32, Hydrogen!$D95:$BA95)+_xlfn.XLOOKUP(AW$134, 'SENS Tires'!$D$32:$BA$32, 'SENS Tires'!$D95:$BA95)+_xlfn.XLOOKUP(AW$134, 'SENS Coal'!$D$32:$BA$32, 'SENS Coal'!$D95:$BA95)</f>
        <v>0</v>
      </c>
      <c r="AX197" s="1">
        <f>_xlfn.XLOOKUP(AX$134, 'GEN-CCGT'!$D$32:$BA$32, 'GEN-CCGT'!$D95:$BA95)+_xlfn.XLOOKUP(AX$134, 'GEN-SOLAR'!$D$32:$BA$32, 'GEN-SOLAR'!$D95:$BA95)+_xlfn.XLOOKUP(AX$134, 'GEN-BESS'!$D$32:$BA$32, 'GEN-BESS'!$D95:$BA95)+_xlfn.XLOOKUP(AX$134, 'GEN-CARBON'!$D$32:$BA$32, 'GEN-CARBON'!$D95:$BA95)+_xlfn.XLOOKUP(AX$134, Load!$D$32:$BA$32, Load!$D95:$BA95)+_xlfn.XLOOKUP(AX$134, Hydrogen!$D$32:$BA$32, Hydrogen!$D95:$BA95)+_xlfn.XLOOKUP(AX$134, 'SENS Tires'!$D$32:$BA$32, 'SENS Tires'!$D95:$BA95)+_xlfn.XLOOKUP(AX$134, 'SENS Coal'!$D$32:$BA$32, 'SENS Coal'!$D95:$BA95)</f>
        <v>0</v>
      </c>
    </row>
    <row r="198" spans="1:50" ht="14.25" customHeight="1">
      <c r="A198" s="1"/>
      <c r="B198" s="84"/>
      <c r="C198" s="1" t="s">
        <v>447</v>
      </c>
      <c r="D198" s="1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</row>
    <row r="199" spans="1:50" ht="14.25" customHeight="1">
      <c r="A199" s="1"/>
      <c r="B199" s="84"/>
      <c r="C199" s="1" t="s">
        <v>448</v>
      </c>
      <c r="D199" s="1"/>
      <c r="E199" s="32"/>
      <c r="F199" s="32">
        <f>_xlfn.XLOOKUP(F$134, 'GEN-CCGT'!$D$32:$BA$32, 'GEN-CCGT'!$D97:$BA97)+_xlfn.XLOOKUP(F$134, 'GEN-SOLAR'!$D$32:$BA$32, 'GEN-SOLAR'!$D97:$BA97)+_xlfn.XLOOKUP(F$134, 'GEN-BESS'!$D$32:$BA$32, 'GEN-BESS'!$D97:$BA97)+_xlfn.XLOOKUP(F$134, 'GEN-CARBON'!$D$32:$BA$32, 'GEN-CARBON'!$D97:$BA97)+_xlfn.XLOOKUP(F$134, Load!$D$32:$BA$32, Load!$D97:$BA97)+_xlfn.XLOOKUP(F$134, Hydrogen!$D$32:$BA$32, Hydrogen!$D97:$BA97)+_xlfn.XLOOKUP(F$134, 'SENS Tires'!$D$32:$BA$32, 'SENS Tires'!$D97:$BA97)+_xlfn.XLOOKUP(F$134, 'SENS Coal'!$D$32:$BA$32, 'SENS Coal'!$D97:$BA97)+_xlfn.XLOOKUP(F$134, 'Real Estate'!$D$82:$BA$82, 'Real Estate'!$D90:$BA90)</f>
        <v>0</v>
      </c>
      <c r="G199" s="32">
        <f>F201</f>
        <v>0</v>
      </c>
      <c r="H199" s="32">
        <f t="shared" ref="H199:AX199" si="439">G201</f>
        <v>0</v>
      </c>
      <c r="I199" s="32">
        <f t="shared" si="439"/>
        <v>0</v>
      </c>
      <c r="J199" s="32">
        <f t="shared" si="439"/>
        <v>0</v>
      </c>
      <c r="K199" s="32">
        <f t="shared" si="439"/>
        <v>0</v>
      </c>
      <c r="L199" s="32">
        <f t="shared" si="439"/>
        <v>0</v>
      </c>
      <c r="M199" s="32">
        <f t="shared" si="439"/>
        <v>0</v>
      </c>
      <c r="N199" s="32">
        <f t="shared" si="439"/>
        <v>0</v>
      </c>
      <c r="O199" s="32">
        <f t="shared" si="439"/>
        <v>0</v>
      </c>
      <c r="P199" s="32">
        <f t="shared" si="439"/>
        <v>0</v>
      </c>
      <c r="Q199" s="32">
        <f t="shared" si="439"/>
        <v>0</v>
      </c>
      <c r="R199" s="32">
        <f t="shared" si="439"/>
        <v>0</v>
      </c>
      <c r="S199" s="32">
        <f t="shared" si="439"/>
        <v>0</v>
      </c>
      <c r="T199" s="32">
        <f t="shared" si="439"/>
        <v>0</v>
      </c>
      <c r="U199" s="32">
        <f t="shared" si="439"/>
        <v>0</v>
      </c>
      <c r="V199" s="32">
        <f t="shared" si="439"/>
        <v>0</v>
      </c>
      <c r="W199" s="32">
        <f t="shared" si="439"/>
        <v>0</v>
      </c>
      <c r="X199" s="32">
        <f t="shared" si="439"/>
        <v>0</v>
      </c>
      <c r="Y199" s="32">
        <f t="shared" si="439"/>
        <v>0</v>
      </c>
      <c r="Z199" s="32">
        <f t="shared" si="439"/>
        <v>0</v>
      </c>
      <c r="AA199" s="32">
        <f t="shared" si="439"/>
        <v>0</v>
      </c>
      <c r="AB199" s="32">
        <f t="shared" si="439"/>
        <v>0</v>
      </c>
      <c r="AC199" s="32">
        <f t="shared" si="439"/>
        <v>0</v>
      </c>
      <c r="AD199" s="32">
        <f t="shared" si="439"/>
        <v>0</v>
      </c>
      <c r="AE199" s="32">
        <f t="shared" si="439"/>
        <v>0</v>
      </c>
      <c r="AF199" s="32">
        <f t="shared" si="439"/>
        <v>0</v>
      </c>
      <c r="AG199" s="32">
        <f t="shared" si="439"/>
        <v>0</v>
      </c>
      <c r="AH199" s="32">
        <f t="shared" si="439"/>
        <v>0</v>
      </c>
      <c r="AI199" s="32">
        <f t="shared" si="439"/>
        <v>0</v>
      </c>
      <c r="AJ199" s="32">
        <f t="shared" si="439"/>
        <v>0</v>
      </c>
      <c r="AK199" s="32">
        <f t="shared" si="439"/>
        <v>0</v>
      </c>
      <c r="AL199" s="32">
        <f t="shared" si="439"/>
        <v>0</v>
      </c>
      <c r="AM199" s="32">
        <f t="shared" si="439"/>
        <v>0</v>
      </c>
      <c r="AN199" s="32">
        <f t="shared" si="439"/>
        <v>0</v>
      </c>
      <c r="AO199" s="32">
        <f t="shared" si="439"/>
        <v>0</v>
      </c>
      <c r="AP199" s="32">
        <f t="shared" si="439"/>
        <v>0</v>
      </c>
      <c r="AQ199" s="32">
        <f t="shared" si="439"/>
        <v>0</v>
      </c>
      <c r="AR199" s="32">
        <f t="shared" si="439"/>
        <v>0</v>
      </c>
      <c r="AS199" s="32">
        <f t="shared" si="439"/>
        <v>0</v>
      </c>
      <c r="AT199" s="32">
        <f t="shared" si="439"/>
        <v>0</v>
      </c>
      <c r="AU199" s="32">
        <f t="shared" si="439"/>
        <v>0</v>
      </c>
      <c r="AV199" s="32">
        <f t="shared" si="439"/>
        <v>0</v>
      </c>
      <c r="AW199" s="32">
        <f t="shared" si="439"/>
        <v>0</v>
      </c>
      <c r="AX199" s="32">
        <f t="shared" si="439"/>
        <v>0</v>
      </c>
    </row>
    <row r="200" spans="1:50" ht="14.25" customHeight="1">
      <c r="A200" s="1"/>
      <c r="B200" s="84"/>
      <c r="C200" s="1" t="s">
        <v>449</v>
      </c>
      <c r="D200" s="1"/>
      <c r="E200" s="33"/>
      <c r="F200" s="34">
        <f>IFERROR(PPMT('Assumptions &amp; Inputs'!$G$10,F189,'Assumptions &amp; Inputs'!$G$9,$F$181), 0)</f>
        <v>0</v>
      </c>
      <c r="G200" s="34">
        <f>IFERROR(PPMT('Assumptions &amp; Inputs'!$G$10,G189,'Assumptions &amp; Inputs'!$G$9,$F$181), 0)</f>
        <v>0</v>
      </c>
      <c r="H200" s="34">
        <f>IFERROR(PPMT('Assumptions &amp; Inputs'!$G$10,H189,'Assumptions &amp; Inputs'!$G$9,$F$181), 0)</f>
        <v>0</v>
      </c>
      <c r="I200" s="34">
        <f>IFERROR(PPMT('Assumptions &amp; Inputs'!$G$10,I189,'Assumptions &amp; Inputs'!$G$9,$F$181), 0)</f>
        <v>0</v>
      </c>
      <c r="J200" s="34">
        <f>IFERROR(PPMT('Assumptions &amp; Inputs'!$G$10,J189,'Assumptions &amp; Inputs'!$G$9,$F$181), 0)</f>
        <v>0</v>
      </c>
      <c r="K200" s="34">
        <f>IFERROR(PPMT('Assumptions &amp; Inputs'!$G$10,K189,'Assumptions &amp; Inputs'!$G$9,$F$181), 0)</f>
        <v>0</v>
      </c>
      <c r="L200" s="34">
        <f>IFERROR(PPMT('Assumptions &amp; Inputs'!$G$10,L189,'Assumptions &amp; Inputs'!$G$9,$F$181), 0)</f>
        <v>0</v>
      </c>
      <c r="M200" s="34">
        <f>IFERROR(PPMT('Assumptions &amp; Inputs'!$G$10,M189,'Assumptions &amp; Inputs'!$G$9,$F$181), 0)</f>
        <v>0</v>
      </c>
      <c r="N200" s="34">
        <f>IFERROR(PPMT('Assumptions &amp; Inputs'!$G$10,N189,'Assumptions &amp; Inputs'!$G$9,$F$181), 0)</f>
        <v>0</v>
      </c>
      <c r="O200" s="34">
        <f>IFERROR(PPMT('Assumptions &amp; Inputs'!$G$10,O189,'Assumptions &amp; Inputs'!$G$9,$F$181), 0)</f>
        <v>0</v>
      </c>
      <c r="P200" s="34">
        <f>IFERROR(PPMT('Assumptions &amp; Inputs'!$G$10,P189,'Assumptions &amp; Inputs'!$G$9,$F$181), 0)</f>
        <v>0</v>
      </c>
      <c r="Q200" s="34">
        <f>IFERROR(PPMT('Assumptions &amp; Inputs'!$G$10,Q189,'Assumptions &amp; Inputs'!$G$9,$F$181), 0)</f>
        <v>0</v>
      </c>
      <c r="R200" s="34">
        <f>IFERROR(PPMT('Assumptions &amp; Inputs'!$G$10,R189,'Assumptions &amp; Inputs'!$G$9,$F$181), 0)</f>
        <v>0</v>
      </c>
      <c r="S200" s="34">
        <f>IFERROR(PPMT('Assumptions &amp; Inputs'!$G$10,S189,'Assumptions &amp; Inputs'!$G$9,$F$181), 0)</f>
        <v>0</v>
      </c>
      <c r="T200" s="34">
        <f>IFERROR(PPMT('Assumptions &amp; Inputs'!$G$10,T189,'Assumptions &amp; Inputs'!$G$9,$F$181), 0)</f>
        <v>0</v>
      </c>
      <c r="U200" s="34">
        <f>IFERROR(PPMT('Assumptions &amp; Inputs'!$G$10,U189,'Assumptions &amp; Inputs'!$G$9,$F$181), 0)</f>
        <v>0</v>
      </c>
      <c r="V200" s="34">
        <f>IFERROR(PPMT('Assumptions &amp; Inputs'!$G$10,V189,'Assumptions &amp; Inputs'!$G$9,$F$181), 0)</f>
        <v>0</v>
      </c>
      <c r="W200" s="34">
        <f>IFERROR(PPMT('Assumptions &amp; Inputs'!$G$10,W189,'Assumptions &amp; Inputs'!$G$9,$F$181), 0)</f>
        <v>0</v>
      </c>
      <c r="X200" s="34">
        <f>IFERROR(PPMT('Assumptions &amp; Inputs'!$G$10,X189,'Assumptions &amp; Inputs'!$G$9,$F$181), 0)</f>
        <v>0</v>
      </c>
      <c r="Y200" s="34">
        <f>IFERROR(PPMT('Assumptions &amp; Inputs'!$G$10,Y189,'Assumptions &amp; Inputs'!$G$9,$F$181), 0)</f>
        <v>0</v>
      </c>
      <c r="Z200" s="34">
        <f>IFERROR(PPMT('Assumptions &amp; Inputs'!$G$10,Z189,'Assumptions &amp; Inputs'!$G$9,$F$181), 0)</f>
        <v>0</v>
      </c>
      <c r="AA200" s="34">
        <f>IFERROR(PPMT('Assumptions &amp; Inputs'!$G$10,AA189,'Assumptions &amp; Inputs'!$G$9,$F$181), 0)</f>
        <v>0</v>
      </c>
      <c r="AB200" s="34">
        <f>IFERROR(PPMT('Assumptions &amp; Inputs'!$G$10,AB189,'Assumptions &amp; Inputs'!$G$9,$F$181), 0)</f>
        <v>0</v>
      </c>
      <c r="AC200" s="34">
        <f>IFERROR(PPMT('Assumptions &amp; Inputs'!$G$10,AC189,'Assumptions &amp; Inputs'!$G$9,$F$181), 0)</f>
        <v>0</v>
      </c>
      <c r="AD200" s="34">
        <f>IFERROR(PPMT('Assumptions &amp; Inputs'!$G$10,AD189,'Assumptions &amp; Inputs'!$G$9,$F$181), 0)</f>
        <v>0</v>
      </c>
      <c r="AE200" s="34">
        <f>IFERROR(PPMT('Assumptions &amp; Inputs'!$G$10,AE189,'Assumptions &amp; Inputs'!$G$9,$F$181), 0)</f>
        <v>0</v>
      </c>
      <c r="AF200" s="34">
        <f>IFERROR(PPMT('Assumptions &amp; Inputs'!$G$10,AF189,'Assumptions &amp; Inputs'!$G$9,$F$181), 0)</f>
        <v>0</v>
      </c>
      <c r="AG200" s="34">
        <f>IFERROR(PPMT('Assumptions &amp; Inputs'!$G$10,AG189,'Assumptions &amp; Inputs'!$G$9,$F$181), 0)</f>
        <v>0</v>
      </c>
      <c r="AH200" s="34">
        <f>IFERROR(PPMT('Assumptions &amp; Inputs'!$G$10,AH189,'Assumptions &amp; Inputs'!$G$9,$F$181), 0)</f>
        <v>0</v>
      </c>
      <c r="AI200" s="34">
        <f>IFERROR(PPMT('Assumptions &amp; Inputs'!$G$10,AI189,'Assumptions &amp; Inputs'!$G$9,$F$181), 0)</f>
        <v>0</v>
      </c>
      <c r="AJ200" s="34">
        <f>IFERROR(PPMT('Assumptions &amp; Inputs'!$G$10,AJ189,'Assumptions &amp; Inputs'!$G$9,$F$181), 0)</f>
        <v>0</v>
      </c>
      <c r="AK200" s="34">
        <f>IFERROR(PPMT('Assumptions &amp; Inputs'!$G$10,AK189,'Assumptions &amp; Inputs'!$G$9,$F$181), 0)</f>
        <v>0</v>
      </c>
      <c r="AL200" s="34">
        <f>IFERROR(PPMT('Assumptions &amp; Inputs'!$G$10,AL189,'Assumptions &amp; Inputs'!$G$9,$F$181), 0)</f>
        <v>0</v>
      </c>
      <c r="AM200" s="34">
        <f>IFERROR(PPMT('Assumptions &amp; Inputs'!$G$10,AM189,'Assumptions &amp; Inputs'!$G$9,$F$181), 0)</f>
        <v>0</v>
      </c>
      <c r="AN200" s="34">
        <f>IFERROR(PPMT('Assumptions &amp; Inputs'!$G$10,AN189,'Assumptions &amp; Inputs'!$G$9,$F$181), 0)</f>
        <v>0</v>
      </c>
      <c r="AO200" s="34">
        <f>IFERROR(PPMT('Assumptions &amp; Inputs'!$G$10,AO189,'Assumptions &amp; Inputs'!$G$9,$F$181), 0)</f>
        <v>0</v>
      </c>
      <c r="AP200" s="34">
        <f>IFERROR(PPMT('Assumptions &amp; Inputs'!$G$10,AP189,'Assumptions &amp; Inputs'!$G$9,$F$181), 0)</f>
        <v>0</v>
      </c>
      <c r="AQ200" s="34">
        <f>IFERROR(PPMT('Assumptions &amp; Inputs'!$G$10,AQ189,'Assumptions &amp; Inputs'!$G$9,$F$181), 0)</f>
        <v>0</v>
      </c>
      <c r="AR200" s="34">
        <f>IFERROR(PPMT('Assumptions &amp; Inputs'!$G$10,AR189,'Assumptions &amp; Inputs'!$G$9,$F$181), 0)</f>
        <v>0</v>
      </c>
      <c r="AS200" s="34">
        <f>IFERROR(PPMT('Assumptions &amp; Inputs'!$G$10,AS189,'Assumptions &amp; Inputs'!$G$9,$F$181), 0)</f>
        <v>0</v>
      </c>
      <c r="AT200" s="34">
        <f>IFERROR(PPMT('Assumptions &amp; Inputs'!$G$10,AT189,'Assumptions &amp; Inputs'!$G$9,$F$181), 0)</f>
        <v>0</v>
      </c>
      <c r="AU200" s="34">
        <f>IFERROR(PPMT('Assumptions &amp; Inputs'!$G$10,AU189,'Assumptions &amp; Inputs'!$G$9,$F$181), 0)</f>
        <v>0</v>
      </c>
      <c r="AV200" s="34">
        <f>IFERROR(PPMT('Assumptions &amp; Inputs'!$G$10,AV189,'Assumptions &amp; Inputs'!$G$9,$F$181), 0)</f>
        <v>0</v>
      </c>
      <c r="AW200" s="34">
        <f>IFERROR(PPMT('Assumptions &amp; Inputs'!$G$10,AW189,'Assumptions &amp; Inputs'!$G$9,$F$181), 0)</f>
        <v>0</v>
      </c>
      <c r="AX200" s="34">
        <f>IFERROR(PPMT('Assumptions &amp; Inputs'!$G$10,AX189,'Assumptions &amp; Inputs'!$G$9,$F$181), 0)</f>
        <v>0</v>
      </c>
    </row>
    <row r="201" spans="1:50" ht="14.25" customHeight="1">
      <c r="A201" s="1"/>
      <c r="B201" s="84"/>
      <c r="C201" s="1" t="s">
        <v>450</v>
      </c>
      <c r="D201" s="1"/>
      <c r="E201" s="1"/>
      <c r="F201" s="32">
        <f>F199+F200</f>
        <v>0</v>
      </c>
      <c r="G201" s="32">
        <f>G199+G200</f>
        <v>0</v>
      </c>
      <c r="H201" s="32">
        <f t="shared" ref="H201:AX201" si="440">H199+H200</f>
        <v>0</v>
      </c>
      <c r="I201" s="32">
        <f t="shared" si="440"/>
        <v>0</v>
      </c>
      <c r="J201" s="32">
        <f t="shared" si="440"/>
        <v>0</v>
      </c>
      <c r="K201" s="32">
        <f t="shared" si="440"/>
        <v>0</v>
      </c>
      <c r="L201" s="32">
        <f t="shared" si="440"/>
        <v>0</v>
      </c>
      <c r="M201" s="32">
        <f t="shared" si="440"/>
        <v>0</v>
      </c>
      <c r="N201" s="32">
        <f t="shared" si="440"/>
        <v>0</v>
      </c>
      <c r="O201" s="32">
        <f t="shared" si="440"/>
        <v>0</v>
      </c>
      <c r="P201" s="32">
        <f t="shared" si="440"/>
        <v>0</v>
      </c>
      <c r="Q201" s="32">
        <f t="shared" si="440"/>
        <v>0</v>
      </c>
      <c r="R201" s="32">
        <f t="shared" si="440"/>
        <v>0</v>
      </c>
      <c r="S201" s="32">
        <f t="shared" si="440"/>
        <v>0</v>
      </c>
      <c r="T201" s="32">
        <f t="shared" si="440"/>
        <v>0</v>
      </c>
      <c r="U201" s="32">
        <f t="shared" si="440"/>
        <v>0</v>
      </c>
      <c r="V201" s="32">
        <f t="shared" si="440"/>
        <v>0</v>
      </c>
      <c r="W201" s="32">
        <f t="shared" si="440"/>
        <v>0</v>
      </c>
      <c r="X201" s="32">
        <f t="shared" si="440"/>
        <v>0</v>
      </c>
      <c r="Y201" s="32">
        <f t="shared" si="440"/>
        <v>0</v>
      </c>
      <c r="Z201" s="32">
        <f t="shared" si="440"/>
        <v>0</v>
      </c>
      <c r="AA201" s="32">
        <f t="shared" si="440"/>
        <v>0</v>
      </c>
      <c r="AB201" s="32">
        <f t="shared" si="440"/>
        <v>0</v>
      </c>
      <c r="AC201" s="32">
        <f t="shared" si="440"/>
        <v>0</v>
      </c>
      <c r="AD201" s="32">
        <f t="shared" si="440"/>
        <v>0</v>
      </c>
      <c r="AE201" s="32">
        <f t="shared" si="440"/>
        <v>0</v>
      </c>
      <c r="AF201" s="32">
        <f t="shared" si="440"/>
        <v>0</v>
      </c>
      <c r="AG201" s="32">
        <f t="shared" si="440"/>
        <v>0</v>
      </c>
      <c r="AH201" s="32">
        <f t="shared" si="440"/>
        <v>0</v>
      </c>
      <c r="AI201" s="32">
        <f t="shared" si="440"/>
        <v>0</v>
      </c>
      <c r="AJ201" s="32">
        <f t="shared" si="440"/>
        <v>0</v>
      </c>
      <c r="AK201" s="32">
        <f t="shared" si="440"/>
        <v>0</v>
      </c>
      <c r="AL201" s="32">
        <f t="shared" si="440"/>
        <v>0</v>
      </c>
      <c r="AM201" s="32">
        <f t="shared" si="440"/>
        <v>0</v>
      </c>
      <c r="AN201" s="32">
        <f t="shared" si="440"/>
        <v>0</v>
      </c>
      <c r="AO201" s="32">
        <f t="shared" si="440"/>
        <v>0</v>
      </c>
      <c r="AP201" s="32">
        <f t="shared" si="440"/>
        <v>0</v>
      </c>
      <c r="AQ201" s="32">
        <f t="shared" si="440"/>
        <v>0</v>
      </c>
      <c r="AR201" s="32">
        <f t="shared" si="440"/>
        <v>0</v>
      </c>
      <c r="AS201" s="32">
        <f t="shared" si="440"/>
        <v>0</v>
      </c>
      <c r="AT201" s="32">
        <f t="shared" si="440"/>
        <v>0</v>
      </c>
      <c r="AU201" s="32">
        <f t="shared" si="440"/>
        <v>0</v>
      </c>
      <c r="AV201" s="32">
        <f t="shared" si="440"/>
        <v>0</v>
      </c>
      <c r="AW201" s="32">
        <f t="shared" si="440"/>
        <v>0</v>
      </c>
      <c r="AX201" s="32">
        <f t="shared" si="440"/>
        <v>0</v>
      </c>
    </row>
    <row r="202" spans="1:50" ht="14.25" customHeight="1">
      <c r="A202" s="1"/>
      <c r="B202" s="8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ht="14.25" customHeight="1">
      <c r="A203" s="1"/>
      <c r="B203" s="84"/>
      <c r="C203" s="1" t="s">
        <v>451</v>
      </c>
      <c r="D203" s="1"/>
      <c r="E203" s="1"/>
      <c r="F203" s="8">
        <f>IFERROR(-IPMT('Assumptions &amp; Inputs'!$G$10,F189,'Assumptions &amp; Inputs'!$G$9,$F$181), 0)</f>
        <v>0</v>
      </c>
      <c r="G203" s="8">
        <f>IFERROR(-IPMT('Assumptions &amp; Inputs'!$G$10,G189,'Assumptions &amp; Inputs'!$G$9,$F$181), 0)</f>
        <v>0</v>
      </c>
      <c r="H203" s="8">
        <f>IFERROR(-IPMT('Assumptions &amp; Inputs'!$G$10,H189,'Assumptions &amp; Inputs'!$G$9,$F$181), 0)</f>
        <v>0</v>
      </c>
      <c r="I203" s="8">
        <f>IFERROR(-IPMT('Assumptions &amp; Inputs'!$G$10,I189,'Assumptions &amp; Inputs'!$G$9,$F$181), 0)</f>
        <v>0</v>
      </c>
      <c r="J203" s="8">
        <f>IFERROR(-IPMT('Assumptions &amp; Inputs'!$G$10,J189,'Assumptions &amp; Inputs'!$G$9,$F$181), 0)</f>
        <v>0</v>
      </c>
      <c r="K203" s="8">
        <f>IFERROR(-IPMT('Assumptions &amp; Inputs'!$G$10,K189,'Assumptions &amp; Inputs'!$G$9,$F$181), 0)</f>
        <v>0</v>
      </c>
      <c r="L203" s="8">
        <f>IFERROR(-IPMT('Assumptions &amp; Inputs'!$G$10,L189,'Assumptions &amp; Inputs'!$G$9,$F$181), 0)</f>
        <v>0</v>
      </c>
      <c r="M203" s="8">
        <f>IFERROR(-IPMT('Assumptions &amp; Inputs'!$G$10,M189,'Assumptions &amp; Inputs'!$G$9,$F$181), 0)</f>
        <v>0</v>
      </c>
      <c r="N203" s="8">
        <f>IFERROR(-IPMT('Assumptions &amp; Inputs'!$G$10,N189,'Assumptions &amp; Inputs'!$G$9,$F$181), 0)</f>
        <v>0</v>
      </c>
      <c r="O203" s="8">
        <f>IFERROR(-IPMT('Assumptions &amp; Inputs'!$G$10,O189,'Assumptions &amp; Inputs'!$G$9,$F$181), 0)</f>
        <v>0</v>
      </c>
      <c r="P203" s="8">
        <f>IFERROR(-IPMT('Assumptions &amp; Inputs'!$G$10,P189,'Assumptions &amp; Inputs'!$G$9,$F$181), 0)</f>
        <v>0</v>
      </c>
      <c r="Q203" s="8">
        <f>IFERROR(-IPMT('Assumptions &amp; Inputs'!$G$10,Q189,'Assumptions &amp; Inputs'!$G$9,$F$181), 0)</f>
        <v>0</v>
      </c>
      <c r="R203" s="8">
        <f>IFERROR(-IPMT('Assumptions &amp; Inputs'!$G$10,R189,'Assumptions &amp; Inputs'!$G$9,$F$181), 0)</f>
        <v>0</v>
      </c>
      <c r="S203" s="8">
        <f>IFERROR(-IPMT('Assumptions &amp; Inputs'!$G$10,S189,'Assumptions &amp; Inputs'!$G$9,$F$181), 0)</f>
        <v>0</v>
      </c>
      <c r="T203" s="8">
        <f>IFERROR(-IPMT('Assumptions &amp; Inputs'!$G$10,T189,'Assumptions &amp; Inputs'!$G$9,$F$181), 0)</f>
        <v>0</v>
      </c>
      <c r="U203" s="8">
        <f>IFERROR(-IPMT('Assumptions &amp; Inputs'!$G$10,U189,'Assumptions &amp; Inputs'!$G$9,$F$181), 0)</f>
        <v>0</v>
      </c>
      <c r="V203" s="8">
        <f>IFERROR(-IPMT('Assumptions &amp; Inputs'!$G$10,V189,'Assumptions &amp; Inputs'!$G$9,$F$181), 0)</f>
        <v>0</v>
      </c>
      <c r="W203" s="8">
        <f>IFERROR(-IPMT('Assumptions &amp; Inputs'!$G$10,W189,'Assumptions &amp; Inputs'!$G$9,$F$181), 0)</f>
        <v>0</v>
      </c>
      <c r="X203" s="8">
        <f>IFERROR(-IPMT('Assumptions &amp; Inputs'!$G$10,X189,'Assumptions &amp; Inputs'!$G$9,$F$181), 0)</f>
        <v>0</v>
      </c>
      <c r="Y203" s="8">
        <f>IFERROR(-IPMT('Assumptions &amp; Inputs'!$G$10,Y189,'Assumptions &amp; Inputs'!$G$9,$F$181), 0)</f>
        <v>0</v>
      </c>
      <c r="Z203" s="8">
        <f>IFERROR(-IPMT('Assumptions &amp; Inputs'!$G$10,Z189,'Assumptions &amp; Inputs'!$G$9,$F$181), 0)</f>
        <v>0</v>
      </c>
      <c r="AA203" s="8">
        <f>IFERROR(-IPMT('Assumptions &amp; Inputs'!$G$10,AA189,'Assumptions &amp; Inputs'!$G$9,$F$181), 0)</f>
        <v>0</v>
      </c>
      <c r="AB203" s="8">
        <f>IFERROR(-IPMT('Assumptions &amp; Inputs'!$G$10,AB189,'Assumptions &amp; Inputs'!$G$9,$F$181), 0)</f>
        <v>0</v>
      </c>
      <c r="AC203" s="8">
        <f>IFERROR(-IPMT('Assumptions &amp; Inputs'!$G$10,AC189,'Assumptions &amp; Inputs'!$G$9,$F$181), 0)</f>
        <v>0</v>
      </c>
      <c r="AD203" s="8">
        <f>IFERROR(-IPMT('Assumptions &amp; Inputs'!$G$10,AD189,'Assumptions &amp; Inputs'!$G$9,$F$181), 0)</f>
        <v>0</v>
      </c>
      <c r="AE203" s="8">
        <f>IFERROR(-IPMT('Assumptions &amp; Inputs'!$G$10,AE189,'Assumptions &amp; Inputs'!$G$9,$F$181), 0)</f>
        <v>0</v>
      </c>
      <c r="AF203" s="8">
        <f>IFERROR(-IPMT('Assumptions &amp; Inputs'!$G$10,AF189,'Assumptions &amp; Inputs'!$G$9,$F$181), 0)</f>
        <v>0</v>
      </c>
      <c r="AG203" s="8">
        <f>IFERROR(-IPMT('Assumptions &amp; Inputs'!$G$10,AG189,'Assumptions &amp; Inputs'!$G$9,$F$181), 0)</f>
        <v>0</v>
      </c>
      <c r="AH203" s="8">
        <f>IFERROR(-IPMT('Assumptions &amp; Inputs'!$G$10,AH189,'Assumptions &amp; Inputs'!$G$9,$F$181), 0)</f>
        <v>0</v>
      </c>
      <c r="AI203" s="8">
        <f>IFERROR(-IPMT('Assumptions &amp; Inputs'!$G$10,AI189,'Assumptions &amp; Inputs'!$G$9,$F$181), 0)</f>
        <v>0</v>
      </c>
      <c r="AJ203" s="8">
        <f>IFERROR(-IPMT('Assumptions &amp; Inputs'!$G$10,AJ189,'Assumptions &amp; Inputs'!$G$9,$F$181), 0)</f>
        <v>0</v>
      </c>
      <c r="AK203" s="8">
        <f>IFERROR(-IPMT('Assumptions &amp; Inputs'!$G$10,AK189,'Assumptions &amp; Inputs'!$G$9,$F$181), 0)</f>
        <v>0</v>
      </c>
      <c r="AL203" s="8">
        <f>IFERROR(-IPMT('Assumptions &amp; Inputs'!$G$10,AL189,'Assumptions &amp; Inputs'!$G$9,$F$181), 0)</f>
        <v>0</v>
      </c>
      <c r="AM203" s="8">
        <f>IFERROR(-IPMT('Assumptions &amp; Inputs'!$G$10,AM189,'Assumptions &amp; Inputs'!$G$9,$F$181), 0)</f>
        <v>0</v>
      </c>
      <c r="AN203" s="8">
        <f>IFERROR(-IPMT('Assumptions &amp; Inputs'!$G$10,AN189,'Assumptions &amp; Inputs'!$G$9,$F$181), 0)</f>
        <v>0</v>
      </c>
      <c r="AO203" s="8">
        <f>IFERROR(-IPMT('Assumptions &amp; Inputs'!$G$10,AO189,'Assumptions &amp; Inputs'!$G$9,$F$181), 0)</f>
        <v>0</v>
      </c>
      <c r="AP203" s="8">
        <f>IFERROR(-IPMT('Assumptions &amp; Inputs'!$G$10,AP189,'Assumptions &amp; Inputs'!$G$9,$F$181), 0)</f>
        <v>0</v>
      </c>
      <c r="AQ203" s="8">
        <f>IFERROR(-IPMT('Assumptions &amp; Inputs'!$G$10,AQ189,'Assumptions &amp; Inputs'!$G$9,$F$181), 0)</f>
        <v>0</v>
      </c>
      <c r="AR203" s="8">
        <f>IFERROR(-IPMT('Assumptions &amp; Inputs'!$G$10,AR189,'Assumptions &amp; Inputs'!$G$9,$F$181), 0)</f>
        <v>0</v>
      </c>
      <c r="AS203" s="8">
        <f>IFERROR(-IPMT('Assumptions &amp; Inputs'!$G$10,AS189,'Assumptions &amp; Inputs'!$G$9,$F$181), 0)</f>
        <v>0</v>
      </c>
      <c r="AT203" s="8">
        <f>IFERROR(-IPMT('Assumptions &amp; Inputs'!$G$10,AT189,'Assumptions &amp; Inputs'!$G$9,$F$181), 0)</f>
        <v>0</v>
      </c>
      <c r="AU203" s="8">
        <f>IFERROR(-IPMT('Assumptions &amp; Inputs'!$G$10,AU189,'Assumptions &amp; Inputs'!$G$9,$F$181), 0)</f>
        <v>0</v>
      </c>
      <c r="AV203" s="8">
        <f>IFERROR(-IPMT('Assumptions &amp; Inputs'!$G$10,AV189,'Assumptions &amp; Inputs'!$G$9,$F$181), 0)</f>
        <v>0</v>
      </c>
      <c r="AW203" s="8">
        <f>IFERROR(-IPMT('Assumptions &amp; Inputs'!$G$10,AW189,'Assumptions &amp; Inputs'!$G$9,$F$181), 0)</f>
        <v>0</v>
      </c>
      <c r="AX203" s="8">
        <f>IFERROR(-IPMT('Assumptions &amp; Inputs'!$G$10,AX189,'Assumptions &amp; Inputs'!$G$9,$F$181), 0)</f>
        <v>0</v>
      </c>
    </row>
    <row r="204" spans="1:50" ht="14.25" customHeight="1">
      <c r="A204" s="1"/>
      <c r="B204" s="84"/>
      <c r="C204" s="1" t="s">
        <v>452</v>
      </c>
      <c r="D204" s="1"/>
      <c r="E204" s="1"/>
      <c r="F204" s="8">
        <f>-F200</f>
        <v>0</v>
      </c>
      <c r="G204" s="8">
        <f t="shared" ref="G204:AX204" si="441">-G200</f>
        <v>0</v>
      </c>
      <c r="H204" s="8">
        <f t="shared" si="441"/>
        <v>0</v>
      </c>
      <c r="I204" s="8">
        <f t="shared" si="441"/>
        <v>0</v>
      </c>
      <c r="J204" s="8">
        <f t="shared" si="441"/>
        <v>0</v>
      </c>
      <c r="K204" s="8">
        <f t="shared" si="441"/>
        <v>0</v>
      </c>
      <c r="L204" s="8">
        <f t="shared" si="441"/>
        <v>0</v>
      </c>
      <c r="M204" s="8">
        <f t="shared" si="441"/>
        <v>0</v>
      </c>
      <c r="N204" s="8">
        <f t="shared" si="441"/>
        <v>0</v>
      </c>
      <c r="O204" s="8">
        <f t="shared" si="441"/>
        <v>0</v>
      </c>
      <c r="P204" s="8">
        <f t="shared" si="441"/>
        <v>0</v>
      </c>
      <c r="Q204" s="8">
        <f t="shared" si="441"/>
        <v>0</v>
      </c>
      <c r="R204" s="8">
        <f t="shared" si="441"/>
        <v>0</v>
      </c>
      <c r="S204" s="8">
        <f t="shared" si="441"/>
        <v>0</v>
      </c>
      <c r="T204" s="8">
        <f t="shared" si="441"/>
        <v>0</v>
      </c>
      <c r="U204" s="8">
        <f t="shared" si="441"/>
        <v>0</v>
      </c>
      <c r="V204" s="8">
        <f t="shared" si="441"/>
        <v>0</v>
      </c>
      <c r="W204" s="8">
        <f t="shared" si="441"/>
        <v>0</v>
      </c>
      <c r="X204" s="8">
        <f t="shared" si="441"/>
        <v>0</v>
      </c>
      <c r="Y204" s="8">
        <f t="shared" si="441"/>
        <v>0</v>
      </c>
      <c r="Z204" s="8">
        <f t="shared" si="441"/>
        <v>0</v>
      </c>
      <c r="AA204" s="8">
        <f t="shared" si="441"/>
        <v>0</v>
      </c>
      <c r="AB204" s="8">
        <f t="shared" si="441"/>
        <v>0</v>
      </c>
      <c r="AC204" s="8">
        <f t="shared" si="441"/>
        <v>0</v>
      </c>
      <c r="AD204" s="8">
        <f t="shared" si="441"/>
        <v>0</v>
      </c>
      <c r="AE204" s="8">
        <f t="shared" si="441"/>
        <v>0</v>
      </c>
      <c r="AF204" s="8">
        <f t="shared" si="441"/>
        <v>0</v>
      </c>
      <c r="AG204" s="8">
        <f t="shared" si="441"/>
        <v>0</v>
      </c>
      <c r="AH204" s="8">
        <f t="shared" si="441"/>
        <v>0</v>
      </c>
      <c r="AI204" s="8">
        <f t="shared" si="441"/>
        <v>0</v>
      </c>
      <c r="AJ204" s="8">
        <f t="shared" si="441"/>
        <v>0</v>
      </c>
      <c r="AK204" s="8">
        <f t="shared" si="441"/>
        <v>0</v>
      </c>
      <c r="AL204" s="8">
        <f t="shared" si="441"/>
        <v>0</v>
      </c>
      <c r="AM204" s="8">
        <f t="shared" si="441"/>
        <v>0</v>
      </c>
      <c r="AN204" s="8">
        <f t="shared" si="441"/>
        <v>0</v>
      </c>
      <c r="AO204" s="8">
        <f t="shared" si="441"/>
        <v>0</v>
      </c>
      <c r="AP204" s="8">
        <f t="shared" si="441"/>
        <v>0</v>
      </c>
      <c r="AQ204" s="8">
        <f t="shared" si="441"/>
        <v>0</v>
      </c>
      <c r="AR204" s="8">
        <f t="shared" si="441"/>
        <v>0</v>
      </c>
      <c r="AS204" s="8">
        <f t="shared" si="441"/>
        <v>0</v>
      </c>
      <c r="AT204" s="8">
        <f t="shared" si="441"/>
        <v>0</v>
      </c>
      <c r="AU204" s="8">
        <f t="shared" si="441"/>
        <v>0</v>
      </c>
      <c r="AV204" s="8">
        <f t="shared" si="441"/>
        <v>0</v>
      </c>
      <c r="AW204" s="8">
        <f t="shared" si="441"/>
        <v>0</v>
      </c>
      <c r="AX204" s="8">
        <f t="shared" si="441"/>
        <v>0</v>
      </c>
    </row>
    <row r="205" spans="1:50" ht="14.25" customHeight="1">
      <c r="A205" s="1"/>
      <c r="B205" s="84"/>
      <c r="C205" s="2" t="s">
        <v>444</v>
      </c>
      <c r="D205" s="2"/>
      <c r="E205" s="2"/>
      <c r="F205" s="31">
        <f>_xlfn.XLOOKUP(F$134, 'GEN-CCGT'!$D$32:$BA$32, 'GEN-CCGT'!$D103:$BA103)+_xlfn.XLOOKUP(F$134, 'GEN-SOLAR'!$D$32:$BA$32, 'GEN-SOLAR'!$D103:$BA103)+_xlfn.XLOOKUP(F$134, 'GEN-BESS'!$D$32:$BA$32, 'GEN-BESS'!$D103:$BA103)+_xlfn.XLOOKUP(F$134, 'GEN-CARBON'!$D$32:$BA$32, 'GEN-CARBON'!$D103:$BA103)+_xlfn.XLOOKUP(F$134, Load!$D$32:$BA$32, Load!$D103:$BA103)+_xlfn.XLOOKUP(F$134, Hydrogen!$D$32:$BA$32, Hydrogen!$D103:$BA103)+_xlfn.XLOOKUP(F$134, 'SENS Tires'!$D$32:$BA$32, 'SENS Tires'!$D103:$BA103)+_xlfn.XLOOKUP(F$134, 'SENS Coal'!$D$32:$BA$32, 'SENS Coal'!$D103:$BA103)</f>
        <v>0</v>
      </c>
      <c r="G205" s="31">
        <f>_xlfn.XLOOKUP(G$134, 'GEN-CCGT'!$D$32:$BA$32, 'GEN-CCGT'!$D103:$BA103)+_xlfn.XLOOKUP(G$134, 'GEN-SOLAR'!$D$32:$BA$32, 'GEN-SOLAR'!$D103:$BA103)+_xlfn.XLOOKUP(G$134, 'GEN-BESS'!$D$32:$BA$32, 'GEN-BESS'!$D103:$BA103)+_xlfn.XLOOKUP(G$134, 'GEN-CARBON'!$D$32:$BA$32, 'GEN-CARBON'!$D103:$BA103)+_xlfn.XLOOKUP(G$134, Load!$D$32:$BA$32, Load!$D103:$BA103)+_xlfn.XLOOKUP(G$134, Hydrogen!$D$32:$BA$32, Hydrogen!$D103:$BA103)+_xlfn.XLOOKUP(G$134, 'SENS Tires'!$D$32:$BA$32, 'SENS Tires'!$D103:$BA103)+_xlfn.XLOOKUP(G$134, 'SENS Coal'!$D$32:$BA$32, 'SENS Coal'!$D103:$BA103)</f>
        <v>0</v>
      </c>
      <c r="H205" s="31">
        <f>_xlfn.XLOOKUP(H$134, 'GEN-CCGT'!$D$32:$BA$32, 'GEN-CCGT'!$D103:$BA103)+_xlfn.XLOOKUP(H$134, 'GEN-SOLAR'!$D$32:$BA$32, 'GEN-SOLAR'!$D103:$BA103)+_xlfn.XLOOKUP(H$134, 'GEN-BESS'!$D$32:$BA$32, 'GEN-BESS'!$D103:$BA103)+_xlfn.XLOOKUP(H$134, 'GEN-CARBON'!$D$32:$BA$32, 'GEN-CARBON'!$D103:$BA103)+_xlfn.XLOOKUP(H$134, Load!$D$32:$BA$32, Load!$D103:$BA103)+_xlfn.XLOOKUP(H$134, Hydrogen!$D$32:$BA$32, Hydrogen!$D103:$BA103)+_xlfn.XLOOKUP(H$134, 'SENS Tires'!$D$32:$BA$32, 'SENS Tires'!$D103:$BA103)+_xlfn.XLOOKUP(H$134, 'SENS Coal'!$D$32:$BA$32, 'SENS Coal'!$D103:$BA103)</f>
        <v>0</v>
      </c>
      <c r="I205" s="31">
        <f>_xlfn.XLOOKUP(I$134, 'GEN-CCGT'!$D$32:$BA$32, 'GEN-CCGT'!$D103:$BA103)+_xlfn.XLOOKUP(I$134, 'GEN-SOLAR'!$D$32:$BA$32, 'GEN-SOLAR'!$D103:$BA103)+_xlfn.XLOOKUP(I$134, 'GEN-BESS'!$D$32:$BA$32, 'GEN-BESS'!$D103:$BA103)+_xlfn.XLOOKUP(I$134, 'GEN-CARBON'!$D$32:$BA$32, 'GEN-CARBON'!$D103:$BA103)+_xlfn.XLOOKUP(I$134, Load!$D$32:$BA$32, Load!$D103:$BA103)+_xlfn.XLOOKUP(I$134, Hydrogen!$D$32:$BA$32, Hydrogen!$D103:$BA103)+_xlfn.XLOOKUP(I$134, 'SENS Tires'!$D$32:$BA$32, 'SENS Tires'!$D103:$BA103)+_xlfn.XLOOKUP(I$134, 'SENS Coal'!$D$32:$BA$32, 'SENS Coal'!$D103:$BA103)</f>
        <v>0</v>
      </c>
      <c r="J205" s="31">
        <f>_xlfn.XLOOKUP(J$134, 'GEN-CCGT'!$D$32:$BA$32, 'GEN-CCGT'!$D103:$BA103)+_xlfn.XLOOKUP(J$134, 'GEN-SOLAR'!$D$32:$BA$32, 'GEN-SOLAR'!$D103:$BA103)+_xlfn.XLOOKUP(J$134, 'GEN-BESS'!$D$32:$BA$32, 'GEN-BESS'!$D103:$BA103)+_xlfn.XLOOKUP(J$134, 'GEN-CARBON'!$D$32:$BA$32, 'GEN-CARBON'!$D103:$BA103)+_xlfn.XLOOKUP(J$134, Load!$D$32:$BA$32, Load!$D103:$BA103)+_xlfn.XLOOKUP(J$134, Hydrogen!$D$32:$BA$32, Hydrogen!$D103:$BA103)+_xlfn.XLOOKUP(J$134, 'SENS Tires'!$D$32:$BA$32, 'SENS Tires'!$D103:$BA103)+_xlfn.XLOOKUP(J$134, 'SENS Coal'!$D$32:$BA$32, 'SENS Coal'!$D103:$BA103)</f>
        <v>0</v>
      </c>
      <c r="K205" s="31">
        <f>_xlfn.XLOOKUP(K$134, 'GEN-CCGT'!$D$32:$BA$32, 'GEN-CCGT'!$D103:$BA103)+_xlfn.XLOOKUP(K$134, 'GEN-SOLAR'!$D$32:$BA$32, 'GEN-SOLAR'!$D103:$BA103)+_xlfn.XLOOKUP(K$134, 'GEN-BESS'!$D$32:$BA$32, 'GEN-BESS'!$D103:$BA103)+_xlfn.XLOOKUP(K$134, 'GEN-CARBON'!$D$32:$BA$32, 'GEN-CARBON'!$D103:$BA103)+_xlfn.XLOOKUP(K$134, Load!$D$32:$BA$32, Load!$D103:$BA103)+_xlfn.XLOOKUP(K$134, Hydrogen!$D$32:$BA$32, Hydrogen!$D103:$BA103)+_xlfn.XLOOKUP(K$134, 'SENS Tires'!$D$32:$BA$32, 'SENS Tires'!$D103:$BA103)+_xlfn.XLOOKUP(K$134, 'SENS Coal'!$D$32:$BA$32, 'SENS Coal'!$D103:$BA103)</f>
        <v>0</v>
      </c>
      <c r="L205" s="31">
        <f>_xlfn.XLOOKUP(L$134, 'GEN-CCGT'!$D$32:$BA$32, 'GEN-CCGT'!$D103:$BA103)+_xlfn.XLOOKUP(L$134, 'GEN-SOLAR'!$D$32:$BA$32, 'GEN-SOLAR'!$D103:$BA103)+_xlfn.XLOOKUP(L$134, 'GEN-BESS'!$D$32:$BA$32, 'GEN-BESS'!$D103:$BA103)+_xlfn.XLOOKUP(L$134, 'GEN-CARBON'!$D$32:$BA$32, 'GEN-CARBON'!$D103:$BA103)+_xlfn.XLOOKUP(L$134, Load!$D$32:$BA$32, Load!$D103:$BA103)+_xlfn.XLOOKUP(L$134, Hydrogen!$D$32:$BA$32, Hydrogen!$D103:$BA103)+_xlfn.XLOOKUP(L$134, 'SENS Tires'!$D$32:$BA$32, 'SENS Tires'!$D103:$BA103)+_xlfn.XLOOKUP(L$134, 'SENS Coal'!$D$32:$BA$32, 'SENS Coal'!$D103:$BA103)</f>
        <v>0</v>
      </c>
      <c r="M205" s="31">
        <f>_xlfn.XLOOKUP(M$134, 'GEN-CCGT'!$D$32:$BA$32, 'GEN-CCGT'!$D103:$BA103)+_xlfn.XLOOKUP(M$134, 'GEN-SOLAR'!$D$32:$BA$32, 'GEN-SOLAR'!$D103:$BA103)+_xlfn.XLOOKUP(M$134, 'GEN-BESS'!$D$32:$BA$32, 'GEN-BESS'!$D103:$BA103)+_xlfn.XLOOKUP(M$134, 'GEN-CARBON'!$D$32:$BA$32, 'GEN-CARBON'!$D103:$BA103)+_xlfn.XLOOKUP(M$134, Load!$D$32:$BA$32, Load!$D103:$BA103)+_xlfn.XLOOKUP(M$134, Hydrogen!$D$32:$BA$32, Hydrogen!$D103:$BA103)+_xlfn.XLOOKUP(M$134, 'SENS Tires'!$D$32:$BA$32, 'SENS Tires'!$D103:$BA103)+_xlfn.XLOOKUP(M$134, 'SENS Coal'!$D$32:$BA$32, 'SENS Coal'!$D103:$BA103)</f>
        <v>0</v>
      </c>
      <c r="N205" s="31">
        <f>_xlfn.XLOOKUP(N$134, 'GEN-CCGT'!$D$32:$BA$32, 'GEN-CCGT'!$D103:$BA103)+_xlfn.XLOOKUP(N$134, 'GEN-SOLAR'!$D$32:$BA$32, 'GEN-SOLAR'!$D103:$BA103)+_xlfn.XLOOKUP(N$134, 'GEN-BESS'!$D$32:$BA$32, 'GEN-BESS'!$D103:$BA103)+_xlfn.XLOOKUP(N$134, 'GEN-CARBON'!$D$32:$BA$32, 'GEN-CARBON'!$D103:$BA103)+_xlfn.XLOOKUP(N$134, Load!$D$32:$BA$32, Load!$D103:$BA103)+_xlfn.XLOOKUP(N$134, Hydrogen!$D$32:$BA$32, Hydrogen!$D103:$BA103)+_xlfn.XLOOKUP(N$134, 'SENS Tires'!$D$32:$BA$32, 'SENS Tires'!$D103:$BA103)+_xlfn.XLOOKUP(N$134, 'SENS Coal'!$D$32:$BA$32, 'SENS Coal'!$D103:$BA103)</f>
        <v>0</v>
      </c>
      <c r="O205" s="31">
        <f>_xlfn.XLOOKUP(O$134, 'GEN-CCGT'!$D$32:$BA$32, 'GEN-CCGT'!$D103:$BA103)+_xlfn.XLOOKUP(O$134, 'GEN-SOLAR'!$D$32:$BA$32, 'GEN-SOLAR'!$D103:$BA103)+_xlfn.XLOOKUP(O$134, 'GEN-BESS'!$D$32:$BA$32, 'GEN-BESS'!$D103:$BA103)+_xlfn.XLOOKUP(O$134, 'GEN-CARBON'!$D$32:$BA$32, 'GEN-CARBON'!$D103:$BA103)+_xlfn.XLOOKUP(O$134, Load!$D$32:$BA$32, Load!$D103:$BA103)+_xlfn.XLOOKUP(O$134, Hydrogen!$D$32:$BA$32, Hydrogen!$D103:$BA103)+_xlfn.XLOOKUP(O$134, 'SENS Tires'!$D$32:$BA$32, 'SENS Tires'!$D103:$BA103)+_xlfn.XLOOKUP(O$134, 'SENS Coal'!$D$32:$BA$32, 'SENS Coal'!$D103:$BA103)</f>
        <v>0</v>
      </c>
      <c r="P205" s="31">
        <f>_xlfn.XLOOKUP(P$134, 'GEN-CCGT'!$D$32:$BA$32, 'GEN-CCGT'!$D103:$BA103)+_xlfn.XLOOKUP(P$134, 'GEN-SOLAR'!$D$32:$BA$32, 'GEN-SOLAR'!$D103:$BA103)+_xlfn.XLOOKUP(P$134, 'GEN-BESS'!$D$32:$BA$32, 'GEN-BESS'!$D103:$BA103)+_xlfn.XLOOKUP(P$134, 'GEN-CARBON'!$D$32:$BA$32, 'GEN-CARBON'!$D103:$BA103)+_xlfn.XLOOKUP(P$134, Load!$D$32:$BA$32, Load!$D103:$BA103)+_xlfn.XLOOKUP(P$134, Hydrogen!$D$32:$BA$32, Hydrogen!$D103:$BA103)+_xlfn.XLOOKUP(P$134, 'SENS Tires'!$D$32:$BA$32, 'SENS Tires'!$D103:$BA103)+_xlfn.XLOOKUP(P$134, 'SENS Coal'!$D$32:$BA$32, 'SENS Coal'!$D103:$BA103)</f>
        <v>0</v>
      </c>
      <c r="Q205" s="31">
        <f>_xlfn.XLOOKUP(Q$134, 'GEN-CCGT'!$D$32:$BA$32, 'GEN-CCGT'!$D103:$BA103)+_xlfn.XLOOKUP(Q$134, 'GEN-SOLAR'!$D$32:$BA$32, 'GEN-SOLAR'!$D103:$BA103)+_xlfn.XLOOKUP(Q$134, 'GEN-BESS'!$D$32:$BA$32, 'GEN-BESS'!$D103:$BA103)+_xlfn.XLOOKUP(Q$134, 'GEN-CARBON'!$D$32:$BA$32, 'GEN-CARBON'!$D103:$BA103)+_xlfn.XLOOKUP(Q$134, Load!$D$32:$BA$32, Load!$D103:$BA103)+_xlfn.XLOOKUP(Q$134, Hydrogen!$D$32:$BA$32, Hydrogen!$D103:$BA103)+_xlfn.XLOOKUP(Q$134, 'SENS Tires'!$D$32:$BA$32, 'SENS Tires'!$D103:$BA103)+_xlfn.XLOOKUP(Q$134, 'SENS Coal'!$D$32:$BA$32, 'SENS Coal'!$D103:$BA103)</f>
        <v>0</v>
      </c>
      <c r="R205" s="31">
        <f>_xlfn.XLOOKUP(R$134, 'GEN-CCGT'!$D$32:$BA$32, 'GEN-CCGT'!$D103:$BA103)+_xlfn.XLOOKUP(R$134, 'GEN-SOLAR'!$D$32:$BA$32, 'GEN-SOLAR'!$D103:$BA103)+_xlfn.XLOOKUP(R$134, 'GEN-BESS'!$D$32:$BA$32, 'GEN-BESS'!$D103:$BA103)+_xlfn.XLOOKUP(R$134, 'GEN-CARBON'!$D$32:$BA$32, 'GEN-CARBON'!$D103:$BA103)+_xlfn.XLOOKUP(R$134, Load!$D$32:$BA$32, Load!$D103:$BA103)+_xlfn.XLOOKUP(R$134, Hydrogen!$D$32:$BA$32, Hydrogen!$D103:$BA103)+_xlfn.XLOOKUP(R$134, 'SENS Tires'!$D$32:$BA$32, 'SENS Tires'!$D103:$BA103)+_xlfn.XLOOKUP(R$134, 'SENS Coal'!$D$32:$BA$32, 'SENS Coal'!$D103:$BA103)</f>
        <v>0</v>
      </c>
      <c r="S205" s="31">
        <f>_xlfn.XLOOKUP(S$134, 'GEN-CCGT'!$D$32:$BA$32, 'GEN-CCGT'!$D103:$BA103)+_xlfn.XLOOKUP(S$134, 'GEN-SOLAR'!$D$32:$BA$32, 'GEN-SOLAR'!$D103:$BA103)+_xlfn.XLOOKUP(S$134, 'GEN-BESS'!$D$32:$BA$32, 'GEN-BESS'!$D103:$BA103)+_xlfn.XLOOKUP(S$134, 'GEN-CARBON'!$D$32:$BA$32, 'GEN-CARBON'!$D103:$BA103)+_xlfn.XLOOKUP(S$134, Load!$D$32:$BA$32, Load!$D103:$BA103)+_xlfn.XLOOKUP(S$134, Hydrogen!$D$32:$BA$32, Hydrogen!$D103:$BA103)+_xlfn.XLOOKUP(S$134, 'SENS Tires'!$D$32:$BA$32, 'SENS Tires'!$D103:$BA103)+_xlfn.XLOOKUP(S$134, 'SENS Coal'!$D$32:$BA$32, 'SENS Coal'!$D103:$BA103)</f>
        <v>0</v>
      </c>
      <c r="T205" s="31">
        <f>_xlfn.XLOOKUP(T$134, 'GEN-CCGT'!$D$32:$BA$32, 'GEN-CCGT'!$D103:$BA103)+_xlfn.XLOOKUP(T$134, 'GEN-SOLAR'!$D$32:$BA$32, 'GEN-SOLAR'!$D103:$BA103)+_xlfn.XLOOKUP(T$134, 'GEN-BESS'!$D$32:$BA$32, 'GEN-BESS'!$D103:$BA103)+_xlfn.XLOOKUP(T$134, 'GEN-CARBON'!$D$32:$BA$32, 'GEN-CARBON'!$D103:$BA103)+_xlfn.XLOOKUP(T$134, Load!$D$32:$BA$32, Load!$D103:$BA103)+_xlfn.XLOOKUP(T$134, Hydrogen!$D$32:$BA$32, Hydrogen!$D103:$BA103)+_xlfn.XLOOKUP(T$134, 'SENS Tires'!$D$32:$BA$32, 'SENS Tires'!$D103:$BA103)+_xlfn.XLOOKUP(T$134, 'SENS Coal'!$D$32:$BA$32, 'SENS Coal'!$D103:$BA103)</f>
        <v>0</v>
      </c>
      <c r="U205" s="31">
        <f>_xlfn.XLOOKUP(U$134, 'GEN-CCGT'!$D$32:$BA$32, 'GEN-CCGT'!$D103:$BA103)+_xlfn.XLOOKUP(U$134, 'GEN-SOLAR'!$D$32:$BA$32, 'GEN-SOLAR'!$D103:$BA103)+_xlfn.XLOOKUP(U$134, 'GEN-BESS'!$D$32:$BA$32, 'GEN-BESS'!$D103:$BA103)+_xlfn.XLOOKUP(U$134, 'GEN-CARBON'!$D$32:$BA$32, 'GEN-CARBON'!$D103:$BA103)+_xlfn.XLOOKUP(U$134, Load!$D$32:$BA$32, Load!$D103:$BA103)+_xlfn.XLOOKUP(U$134, Hydrogen!$D$32:$BA$32, Hydrogen!$D103:$BA103)+_xlfn.XLOOKUP(U$134, 'SENS Tires'!$D$32:$BA$32, 'SENS Tires'!$D103:$BA103)+_xlfn.XLOOKUP(U$134, 'SENS Coal'!$D$32:$BA$32, 'SENS Coal'!$D103:$BA103)</f>
        <v>0</v>
      </c>
      <c r="V205" s="31">
        <f>_xlfn.XLOOKUP(V$134, 'GEN-CCGT'!$D$32:$BA$32, 'GEN-CCGT'!$D103:$BA103)+_xlfn.XLOOKUP(V$134, 'GEN-SOLAR'!$D$32:$BA$32, 'GEN-SOLAR'!$D103:$BA103)+_xlfn.XLOOKUP(V$134, 'GEN-BESS'!$D$32:$BA$32, 'GEN-BESS'!$D103:$BA103)+_xlfn.XLOOKUP(V$134, 'GEN-CARBON'!$D$32:$BA$32, 'GEN-CARBON'!$D103:$BA103)+_xlfn.XLOOKUP(V$134, Load!$D$32:$BA$32, Load!$D103:$BA103)+_xlfn.XLOOKUP(V$134, Hydrogen!$D$32:$BA$32, Hydrogen!$D103:$BA103)+_xlfn.XLOOKUP(V$134, 'SENS Tires'!$D$32:$BA$32, 'SENS Tires'!$D103:$BA103)+_xlfn.XLOOKUP(V$134, 'SENS Coal'!$D$32:$BA$32, 'SENS Coal'!$D103:$BA103)</f>
        <v>0</v>
      </c>
      <c r="W205" s="31">
        <f>_xlfn.XLOOKUP(W$134, 'GEN-CCGT'!$D$32:$BA$32, 'GEN-CCGT'!$D103:$BA103)+_xlfn.XLOOKUP(W$134, 'GEN-SOLAR'!$D$32:$BA$32, 'GEN-SOLAR'!$D103:$BA103)+_xlfn.XLOOKUP(W$134, 'GEN-BESS'!$D$32:$BA$32, 'GEN-BESS'!$D103:$BA103)+_xlfn.XLOOKUP(W$134, 'GEN-CARBON'!$D$32:$BA$32, 'GEN-CARBON'!$D103:$BA103)+_xlfn.XLOOKUP(W$134, Load!$D$32:$BA$32, Load!$D103:$BA103)+_xlfn.XLOOKUP(W$134, Hydrogen!$D$32:$BA$32, Hydrogen!$D103:$BA103)+_xlfn.XLOOKUP(W$134, 'SENS Tires'!$D$32:$BA$32, 'SENS Tires'!$D103:$BA103)+_xlfn.XLOOKUP(W$134, 'SENS Coal'!$D$32:$BA$32, 'SENS Coal'!$D103:$BA103)</f>
        <v>0</v>
      </c>
      <c r="X205" s="31">
        <f>_xlfn.XLOOKUP(X$134, 'GEN-CCGT'!$D$32:$BA$32, 'GEN-CCGT'!$D103:$BA103)+_xlfn.XLOOKUP(X$134, 'GEN-SOLAR'!$D$32:$BA$32, 'GEN-SOLAR'!$D103:$BA103)+_xlfn.XLOOKUP(X$134, 'GEN-BESS'!$D$32:$BA$32, 'GEN-BESS'!$D103:$BA103)+_xlfn.XLOOKUP(X$134, 'GEN-CARBON'!$D$32:$BA$32, 'GEN-CARBON'!$D103:$BA103)+_xlfn.XLOOKUP(X$134, Load!$D$32:$BA$32, Load!$D103:$BA103)+_xlfn.XLOOKUP(X$134, Hydrogen!$D$32:$BA$32, Hydrogen!$D103:$BA103)+_xlfn.XLOOKUP(X$134, 'SENS Tires'!$D$32:$BA$32, 'SENS Tires'!$D103:$BA103)+_xlfn.XLOOKUP(X$134, 'SENS Coal'!$D$32:$BA$32, 'SENS Coal'!$D103:$BA103)</f>
        <v>0</v>
      </c>
      <c r="Y205" s="31">
        <f>_xlfn.XLOOKUP(Y$134, 'GEN-CCGT'!$D$32:$BA$32, 'GEN-CCGT'!$D103:$BA103)+_xlfn.XLOOKUP(Y$134, 'GEN-SOLAR'!$D$32:$BA$32, 'GEN-SOLAR'!$D103:$BA103)+_xlfn.XLOOKUP(Y$134, 'GEN-BESS'!$D$32:$BA$32, 'GEN-BESS'!$D103:$BA103)+_xlfn.XLOOKUP(Y$134, 'GEN-CARBON'!$D$32:$BA$32, 'GEN-CARBON'!$D103:$BA103)+_xlfn.XLOOKUP(Y$134, Load!$D$32:$BA$32, Load!$D103:$BA103)+_xlfn.XLOOKUP(Y$134, Hydrogen!$D$32:$BA$32, Hydrogen!$D103:$BA103)+_xlfn.XLOOKUP(Y$134, 'SENS Tires'!$D$32:$BA$32, 'SENS Tires'!$D103:$BA103)+_xlfn.XLOOKUP(Y$134, 'SENS Coal'!$D$32:$BA$32, 'SENS Coal'!$D103:$BA103)</f>
        <v>0</v>
      </c>
      <c r="Z205" s="31">
        <f>_xlfn.XLOOKUP(Z$134, 'GEN-CCGT'!$D$32:$BA$32, 'GEN-CCGT'!$D103:$BA103)+_xlfn.XLOOKUP(Z$134, 'GEN-SOLAR'!$D$32:$BA$32, 'GEN-SOLAR'!$D103:$BA103)+_xlfn.XLOOKUP(Z$134, 'GEN-BESS'!$D$32:$BA$32, 'GEN-BESS'!$D103:$BA103)+_xlfn.XLOOKUP(Z$134, 'GEN-CARBON'!$D$32:$BA$32, 'GEN-CARBON'!$D103:$BA103)+_xlfn.XLOOKUP(Z$134, Load!$D$32:$BA$32, Load!$D103:$BA103)+_xlfn.XLOOKUP(Z$134, Hydrogen!$D$32:$BA$32, Hydrogen!$D103:$BA103)+_xlfn.XLOOKUP(Z$134, 'SENS Tires'!$D$32:$BA$32, 'SENS Tires'!$D103:$BA103)+_xlfn.XLOOKUP(Z$134, 'SENS Coal'!$D$32:$BA$32, 'SENS Coal'!$D103:$BA103)</f>
        <v>0</v>
      </c>
      <c r="AA205" s="31">
        <f>_xlfn.XLOOKUP(AA$134, 'GEN-CCGT'!$D$32:$BA$32, 'GEN-CCGT'!$D103:$BA103)+_xlfn.XLOOKUP(AA$134, 'GEN-SOLAR'!$D$32:$BA$32, 'GEN-SOLAR'!$D103:$BA103)+_xlfn.XLOOKUP(AA$134, 'GEN-BESS'!$D$32:$BA$32, 'GEN-BESS'!$D103:$BA103)+_xlfn.XLOOKUP(AA$134, 'GEN-CARBON'!$D$32:$BA$32, 'GEN-CARBON'!$D103:$BA103)+_xlfn.XLOOKUP(AA$134, Load!$D$32:$BA$32, Load!$D103:$BA103)+_xlfn.XLOOKUP(AA$134, Hydrogen!$D$32:$BA$32, Hydrogen!$D103:$BA103)+_xlfn.XLOOKUP(AA$134, 'SENS Tires'!$D$32:$BA$32, 'SENS Tires'!$D103:$BA103)+_xlfn.XLOOKUP(AA$134, 'SENS Coal'!$D$32:$BA$32, 'SENS Coal'!$D103:$BA103)</f>
        <v>0</v>
      </c>
      <c r="AB205" s="31">
        <f>_xlfn.XLOOKUP(AB$134, 'GEN-CCGT'!$D$32:$BA$32, 'GEN-CCGT'!$D103:$BA103)+_xlfn.XLOOKUP(AB$134, 'GEN-SOLAR'!$D$32:$BA$32, 'GEN-SOLAR'!$D103:$BA103)+_xlfn.XLOOKUP(AB$134, 'GEN-BESS'!$D$32:$BA$32, 'GEN-BESS'!$D103:$BA103)+_xlfn.XLOOKUP(AB$134, 'GEN-CARBON'!$D$32:$BA$32, 'GEN-CARBON'!$D103:$BA103)+_xlfn.XLOOKUP(AB$134, Load!$D$32:$BA$32, Load!$D103:$BA103)+_xlfn.XLOOKUP(AB$134, Hydrogen!$D$32:$BA$32, Hydrogen!$D103:$BA103)+_xlfn.XLOOKUP(AB$134, 'SENS Tires'!$D$32:$BA$32, 'SENS Tires'!$D103:$BA103)+_xlfn.XLOOKUP(AB$134, 'SENS Coal'!$D$32:$BA$32, 'SENS Coal'!$D103:$BA103)</f>
        <v>0</v>
      </c>
      <c r="AC205" s="31">
        <f>_xlfn.XLOOKUP(AC$134, 'GEN-CCGT'!$D$32:$BA$32, 'GEN-CCGT'!$D103:$BA103)+_xlfn.XLOOKUP(AC$134, 'GEN-SOLAR'!$D$32:$BA$32, 'GEN-SOLAR'!$D103:$BA103)+_xlfn.XLOOKUP(AC$134, 'GEN-BESS'!$D$32:$BA$32, 'GEN-BESS'!$D103:$BA103)+_xlfn.XLOOKUP(AC$134, 'GEN-CARBON'!$D$32:$BA$32, 'GEN-CARBON'!$D103:$BA103)+_xlfn.XLOOKUP(AC$134, Load!$D$32:$BA$32, Load!$D103:$BA103)+_xlfn.XLOOKUP(AC$134, Hydrogen!$D$32:$BA$32, Hydrogen!$D103:$BA103)+_xlfn.XLOOKUP(AC$134, 'SENS Tires'!$D$32:$BA$32, 'SENS Tires'!$D103:$BA103)+_xlfn.XLOOKUP(AC$134, 'SENS Coal'!$D$32:$BA$32, 'SENS Coal'!$D103:$BA103)</f>
        <v>0</v>
      </c>
      <c r="AD205" s="31">
        <f>_xlfn.XLOOKUP(AD$134, 'GEN-CCGT'!$D$32:$BA$32, 'GEN-CCGT'!$D103:$BA103)+_xlfn.XLOOKUP(AD$134, 'GEN-SOLAR'!$D$32:$BA$32, 'GEN-SOLAR'!$D103:$BA103)+_xlfn.XLOOKUP(AD$134, 'GEN-BESS'!$D$32:$BA$32, 'GEN-BESS'!$D103:$BA103)+_xlfn.XLOOKUP(AD$134, 'GEN-CARBON'!$D$32:$BA$32, 'GEN-CARBON'!$D103:$BA103)+_xlfn.XLOOKUP(AD$134, Load!$D$32:$BA$32, Load!$D103:$BA103)+_xlfn.XLOOKUP(AD$134, Hydrogen!$D$32:$BA$32, Hydrogen!$D103:$BA103)+_xlfn.XLOOKUP(AD$134, 'SENS Tires'!$D$32:$BA$32, 'SENS Tires'!$D103:$BA103)+_xlfn.XLOOKUP(AD$134, 'SENS Coal'!$D$32:$BA$32, 'SENS Coal'!$D103:$BA103)</f>
        <v>0</v>
      </c>
      <c r="AE205" s="31">
        <f>_xlfn.XLOOKUP(AE$134, 'GEN-CCGT'!$D$32:$BA$32, 'GEN-CCGT'!$D103:$BA103)+_xlfn.XLOOKUP(AE$134, 'GEN-SOLAR'!$D$32:$BA$32, 'GEN-SOLAR'!$D103:$BA103)+_xlfn.XLOOKUP(AE$134, 'GEN-BESS'!$D$32:$BA$32, 'GEN-BESS'!$D103:$BA103)+_xlfn.XLOOKUP(AE$134, 'GEN-CARBON'!$D$32:$BA$32, 'GEN-CARBON'!$D103:$BA103)+_xlfn.XLOOKUP(AE$134, Load!$D$32:$BA$32, Load!$D103:$BA103)+_xlfn.XLOOKUP(AE$134, Hydrogen!$D$32:$BA$32, Hydrogen!$D103:$BA103)+_xlfn.XLOOKUP(AE$134, 'SENS Tires'!$D$32:$BA$32, 'SENS Tires'!$D103:$BA103)+_xlfn.XLOOKUP(AE$134, 'SENS Coal'!$D$32:$BA$32, 'SENS Coal'!$D103:$BA103)</f>
        <v>0</v>
      </c>
      <c r="AF205" s="31">
        <f>_xlfn.XLOOKUP(AF$134, 'GEN-CCGT'!$D$32:$BA$32, 'GEN-CCGT'!$D103:$BA103)+_xlfn.XLOOKUP(AF$134, 'GEN-SOLAR'!$D$32:$BA$32, 'GEN-SOLAR'!$D103:$BA103)+_xlfn.XLOOKUP(AF$134, 'GEN-BESS'!$D$32:$BA$32, 'GEN-BESS'!$D103:$BA103)+_xlfn.XLOOKUP(AF$134, 'GEN-CARBON'!$D$32:$BA$32, 'GEN-CARBON'!$D103:$BA103)+_xlfn.XLOOKUP(AF$134, Load!$D$32:$BA$32, Load!$D103:$BA103)+_xlfn.XLOOKUP(AF$134, Hydrogen!$D$32:$BA$32, Hydrogen!$D103:$BA103)+_xlfn.XLOOKUP(AF$134, 'SENS Tires'!$D$32:$BA$32, 'SENS Tires'!$D103:$BA103)+_xlfn.XLOOKUP(AF$134, 'SENS Coal'!$D$32:$BA$32, 'SENS Coal'!$D103:$BA103)</f>
        <v>0</v>
      </c>
      <c r="AG205" s="31">
        <f>_xlfn.XLOOKUP(AG$134, 'GEN-CCGT'!$D$32:$BA$32, 'GEN-CCGT'!$D103:$BA103)+_xlfn.XLOOKUP(AG$134, 'GEN-SOLAR'!$D$32:$BA$32, 'GEN-SOLAR'!$D103:$BA103)+_xlfn.XLOOKUP(AG$134, 'GEN-BESS'!$D$32:$BA$32, 'GEN-BESS'!$D103:$BA103)+_xlfn.XLOOKUP(AG$134, 'GEN-CARBON'!$D$32:$BA$32, 'GEN-CARBON'!$D103:$BA103)+_xlfn.XLOOKUP(AG$134, Load!$D$32:$BA$32, Load!$D103:$BA103)+_xlfn.XLOOKUP(AG$134, Hydrogen!$D$32:$BA$32, Hydrogen!$D103:$BA103)+_xlfn.XLOOKUP(AG$134, 'SENS Tires'!$D$32:$BA$32, 'SENS Tires'!$D103:$BA103)+_xlfn.XLOOKUP(AG$134, 'SENS Coal'!$D$32:$BA$32, 'SENS Coal'!$D103:$BA103)</f>
        <v>0</v>
      </c>
      <c r="AH205" s="31">
        <f>_xlfn.XLOOKUP(AH$134, 'GEN-CCGT'!$D$32:$BA$32, 'GEN-CCGT'!$D103:$BA103)+_xlfn.XLOOKUP(AH$134, 'GEN-SOLAR'!$D$32:$BA$32, 'GEN-SOLAR'!$D103:$BA103)+_xlfn.XLOOKUP(AH$134, 'GEN-BESS'!$D$32:$BA$32, 'GEN-BESS'!$D103:$BA103)+_xlfn.XLOOKUP(AH$134, 'GEN-CARBON'!$D$32:$BA$32, 'GEN-CARBON'!$D103:$BA103)+_xlfn.XLOOKUP(AH$134, Load!$D$32:$BA$32, Load!$D103:$BA103)+_xlfn.XLOOKUP(AH$134, Hydrogen!$D$32:$BA$32, Hydrogen!$D103:$BA103)+_xlfn.XLOOKUP(AH$134, 'SENS Tires'!$D$32:$BA$32, 'SENS Tires'!$D103:$BA103)+_xlfn.XLOOKUP(AH$134, 'SENS Coal'!$D$32:$BA$32, 'SENS Coal'!$D103:$BA103)</f>
        <v>0</v>
      </c>
      <c r="AI205" s="31">
        <f>_xlfn.XLOOKUP(AI$134, 'GEN-CCGT'!$D$32:$BA$32, 'GEN-CCGT'!$D103:$BA103)+_xlfn.XLOOKUP(AI$134, 'GEN-SOLAR'!$D$32:$BA$32, 'GEN-SOLAR'!$D103:$BA103)+_xlfn.XLOOKUP(AI$134, 'GEN-BESS'!$D$32:$BA$32, 'GEN-BESS'!$D103:$BA103)+_xlfn.XLOOKUP(AI$134, 'GEN-CARBON'!$D$32:$BA$32, 'GEN-CARBON'!$D103:$BA103)+_xlfn.XLOOKUP(AI$134, Load!$D$32:$BA$32, Load!$D103:$BA103)+_xlfn.XLOOKUP(AI$134, Hydrogen!$D$32:$BA$32, Hydrogen!$D103:$BA103)+_xlfn.XLOOKUP(AI$134, 'SENS Tires'!$D$32:$BA$32, 'SENS Tires'!$D103:$BA103)+_xlfn.XLOOKUP(AI$134, 'SENS Coal'!$D$32:$BA$32, 'SENS Coal'!$D103:$BA103)</f>
        <v>0</v>
      </c>
      <c r="AJ205" s="31">
        <f>_xlfn.XLOOKUP(AJ$134, 'GEN-CCGT'!$D$32:$BA$32, 'GEN-CCGT'!$D103:$BA103)+_xlfn.XLOOKUP(AJ$134, 'GEN-SOLAR'!$D$32:$BA$32, 'GEN-SOLAR'!$D103:$BA103)+_xlfn.XLOOKUP(AJ$134, 'GEN-BESS'!$D$32:$BA$32, 'GEN-BESS'!$D103:$BA103)+_xlfn.XLOOKUP(AJ$134, 'GEN-CARBON'!$D$32:$BA$32, 'GEN-CARBON'!$D103:$BA103)+_xlfn.XLOOKUP(AJ$134, Load!$D$32:$BA$32, Load!$D103:$BA103)+_xlfn.XLOOKUP(AJ$134, Hydrogen!$D$32:$BA$32, Hydrogen!$D103:$BA103)+_xlfn.XLOOKUP(AJ$134, 'SENS Tires'!$D$32:$BA$32, 'SENS Tires'!$D103:$BA103)+_xlfn.XLOOKUP(AJ$134, 'SENS Coal'!$D$32:$BA$32, 'SENS Coal'!$D103:$BA103)</f>
        <v>0</v>
      </c>
      <c r="AK205" s="31">
        <f>_xlfn.XLOOKUP(AK$134, 'GEN-CCGT'!$D$32:$BA$32, 'GEN-CCGT'!$D103:$BA103)+_xlfn.XLOOKUP(AK$134, 'GEN-SOLAR'!$D$32:$BA$32, 'GEN-SOLAR'!$D103:$BA103)+_xlfn.XLOOKUP(AK$134, 'GEN-BESS'!$D$32:$BA$32, 'GEN-BESS'!$D103:$BA103)+_xlfn.XLOOKUP(AK$134, 'GEN-CARBON'!$D$32:$BA$32, 'GEN-CARBON'!$D103:$BA103)+_xlfn.XLOOKUP(AK$134, Load!$D$32:$BA$32, Load!$D103:$BA103)+_xlfn.XLOOKUP(AK$134, Hydrogen!$D$32:$BA$32, Hydrogen!$D103:$BA103)+_xlfn.XLOOKUP(AK$134, 'SENS Tires'!$D$32:$BA$32, 'SENS Tires'!$D103:$BA103)+_xlfn.XLOOKUP(AK$134, 'SENS Coal'!$D$32:$BA$32, 'SENS Coal'!$D103:$BA103)</f>
        <v>0</v>
      </c>
      <c r="AL205" s="31">
        <f>_xlfn.XLOOKUP(AL$134, 'GEN-CCGT'!$D$32:$BA$32, 'GEN-CCGT'!$D103:$BA103)+_xlfn.XLOOKUP(AL$134, 'GEN-SOLAR'!$D$32:$BA$32, 'GEN-SOLAR'!$D103:$BA103)+_xlfn.XLOOKUP(AL$134, 'GEN-BESS'!$D$32:$BA$32, 'GEN-BESS'!$D103:$BA103)+_xlfn.XLOOKUP(AL$134, 'GEN-CARBON'!$D$32:$BA$32, 'GEN-CARBON'!$D103:$BA103)+_xlfn.XLOOKUP(AL$134, Load!$D$32:$BA$32, Load!$D103:$BA103)+_xlfn.XLOOKUP(AL$134, Hydrogen!$D$32:$BA$32, Hydrogen!$D103:$BA103)+_xlfn.XLOOKUP(AL$134, 'SENS Tires'!$D$32:$BA$32, 'SENS Tires'!$D103:$BA103)+_xlfn.XLOOKUP(AL$134, 'SENS Coal'!$D$32:$BA$32, 'SENS Coal'!$D103:$BA103)</f>
        <v>0</v>
      </c>
      <c r="AM205" s="31">
        <f>_xlfn.XLOOKUP(AM$134, 'GEN-CCGT'!$D$32:$BA$32, 'GEN-CCGT'!$D103:$BA103)+_xlfn.XLOOKUP(AM$134, 'GEN-SOLAR'!$D$32:$BA$32, 'GEN-SOLAR'!$D103:$BA103)+_xlfn.XLOOKUP(AM$134, 'GEN-BESS'!$D$32:$BA$32, 'GEN-BESS'!$D103:$BA103)+_xlfn.XLOOKUP(AM$134, 'GEN-CARBON'!$D$32:$BA$32, 'GEN-CARBON'!$D103:$BA103)+_xlfn.XLOOKUP(AM$134, Load!$D$32:$BA$32, Load!$D103:$BA103)+_xlfn.XLOOKUP(AM$134, Hydrogen!$D$32:$BA$32, Hydrogen!$D103:$BA103)+_xlfn.XLOOKUP(AM$134, 'SENS Tires'!$D$32:$BA$32, 'SENS Tires'!$D103:$BA103)+_xlfn.XLOOKUP(AM$134, 'SENS Coal'!$D$32:$BA$32, 'SENS Coal'!$D103:$BA103)</f>
        <v>0</v>
      </c>
      <c r="AN205" s="31">
        <f>_xlfn.XLOOKUP(AN$134, 'GEN-CCGT'!$D$32:$BA$32, 'GEN-CCGT'!$D103:$BA103)+_xlfn.XLOOKUP(AN$134, 'GEN-SOLAR'!$D$32:$BA$32, 'GEN-SOLAR'!$D103:$BA103)+_xlfn.XLOOKUP(AN$134, 'GEN-BESS'!$D$32:$BA$32, 'GEN-BESS'!$D103:$BA103)+_xlfn.XLOOKUP(AN$134, 'GEN-CARBON'!$D$32:$BA$32, 'GEN-CARBON'!$D103:$BA103)+_xlfn.XLOOKUP(AN$134, Load!$D$32:$BA$32, Load!$D103:$BA103)+_xlfn.XLOOKUP(AN$134, Hydrogen!$D$32:$BA$32, Hydrogen!$D103:$BA103)+_xlfn.XLOOKUP(AN$134, 'SENS Tires'!$D$32:$BA$32, 'SENS Tires'!$D103:$BA103)+_xlfn.XLOOKUP(AN$134, 'SENS Coal'!$D$32:$BA$32, 'SENS Coal'!$D103:$BA103)</f>
        <v>0</v>
      </c>
      <c r="AO205" s="31">
        <f>_xlfn.XLOOKUP(AO$134, 'GEN-CCGT'!$D$32:$BA$32, 'GEN-CCGT'!$D103:$BA103)+_xlfn.XLOOKUP(AO$134, 'GEN-SOLAR'!$D$32:$BA$32, 'GEN-SOLAR'!$D103:$BA103)+_xlfn.XLOOKUP(AO$134, 'GEN-BESS'!$D$32:$BA$32, 'GEN-BESS'!$D103:$BA103)+_xlfn.XLOOKUP(AO$134, 'GEN-CARBON'!$D$32:$BA$32, 'GEN-CARBON'!$D103:$BA103)+_xlfn.XLOOKUP(AO$134, Load!$D$32:$BA$32, Load!$D103:$BA103)+_xlfn.XLOOKUP(AO$134, Hydrogen!$D$32:$BA$32, Hydrogen!$D103:$BA103)+_xlfn.XLOOKUP(AO$134, 'SENS Tires'!$D$32:$BA$32, 'SENS Tires'!$D103:$BA103)+_xlfn.XLOOKUP(AO$134, 'SENS Coal'!$D$32:$BA$32, 'SENS Coal'!$D103:$BA103)</f>
        <v>0</v>
      </c>
      <c r="AP205" s="31">
        <f>_xlfn.XLOOKUP(AP$134, 'GEN-CCGT'!$D$32:$BA$32, 'GEN-CCGT'!$D103:$BA103)+_xlfn.XLOOKUP(AP$134, 'GEN-SOLAR'!$D$32:$BA$32, 'GEN-SOLAR'!$D103:$BA103)+_xlfn.XLOOKUP(AP$134, 'GEN-BESS'!$D$32:$BA$32, 'GEN-BESS'!$D103:$BA103)+_xlfn.XLOOKUP(AP$134, 'GEN-CARBON'!$D$32:$BA$32, 'GEN-CARBON'!$D103:$BA103)+_xlfn.XLOOKUP(AP$134, Load!$D$32:$BA$32, Load!$D103:$BA103)+_xlfn.XLOOKUP(AP$134, Hydrogen!$D$32:$BA$32, Hydrogen!$D103:$BA103)+_xlfn.XLOOKUP(AP$134, 'SENS Tires'!$D$32:$BA$32, 'SENS Tires'!$D103:$BA103)+_xlfn.XLOOKUP(AP$134, 'SENS Coal'!$D$32:$BA$32, 'SENS Coal'!$D103:$BA103)</f>
        <v>0</v>
      </c>
      <c r="AQ205" s="31">
        <f>_xlfn.XLOOKUP(AQ$134, 'GEN-CCGT'!$D$32:$BA$32, 'GEN-CCGT'!$D103:$BA103)+_xlfn.XLOOKUP(AQ$134, 'GEN-SOLAR'!$D$32:$BA$32, 'GEN-SOLAR'!$D103:$BA103)+_xlfn.XLOOKUP(AQ$134, 'GEN-BESS'!$D$32:$BA$32, 'GEN-BESS'!$D103:$BA103)+_xlfn.XLOOKUP(AQ$134, 'GEN-CARBON'!$D$32:$BA$32, 'GEN-CARBON'!$D103:$BA103)+_xlfn.XLOOKUP(AQ$134, Load!$D$32:$BA$32, Load!$D103:$BA103)+_xlfn.XLOOKUP(AQ$134, Hydrogen!$D$32:$BA$32, Hydrogen!$D103:$BA103)+_xlfn.XLOOKUP(AQ$134, 'SENS Tires'!$D$32:$BA$32, 'SENS Tires'!$D103:$BA103)+_xlfn.XLOOKUP(AQ$134, 'SENS Coal'!$D$32:$BA$32, 'SENS Coal'!$D103:$BA103)</f>
        <v>0</v>
      </c>
      <c r="AR205" s="31">
        <f>_xlfn.XLOOKUP(AR$134, 'GEN-CCGT'!$D$32:$BA$32, 'GEN-CCGT'!$D103:$BA103)+_xlfn.XLOOKUP(AR$134, 'GEN-SOLAR'!$D$32:$BA$32, 'GEN-SOLAR'!$D103:$BA103)+_xlfn.XLOOKUP(AR$134, 'GEN-BESS'!$D$32:$BA$32, 'GEN-BESS'!$D103:$BA103)+_xlfn.XLOOKUP(AR$134, 'GEN-CARBON'!$D$32:$BA$32, 'GEN-CARBON'!$D103:$BA103)+_xlfn.XLOOKUP(AR$134, Load!$D$32:$BA$32, Load!$D103:$BA103)+_xlfn.XLOOKUP(AR$134, Hydrogen!$D$32:$BA$32, Hydrogen!$D103:$BA103)+_xlfn.XLOOKUP(AR$134, 'SENS Tires'!$D$32:$BA$32, 'SENS Tires'!$D103:$BA103)+_xlfn.XLOOKUP(AR$134, 'SENS Coal'!$D$32:$BA$32, 'SENS Coal'!$D103:$BA103)</f>
        <v>0</v>
      </c>
      <c r="AS205" s="31">
        <f>_xlfn.XLOOKUP(AS$134, 'GEN-CCGT'!$D$32:$BA$32, 'GEN-CCGT'!$D103:$BA103)+_xlfn.XLOOKUP(AS$134, 'GEN-SOLAR'!$D$32:$BA$32, 'GEN-SOLAR'!$D103:$BA103)+_xlfn.XLOOKUP(AS$134, 'GEN-BESS'!$D$32:$BA$32, 'GEN-BESS'!$D103:$BA103)+_xlfn.XLOOKUP(AS$134, 'GEN-CARBON'!$D$32:$BA$32, 'GEN-CARBON'!$D103:$BA103)+_xlfn.XLOOKUP(AS$134, Load!$D$32:$BA$32, Load!$D103:$BA103)+_xlfn.XLOOKUP(AS$134, Hydrogen!$D$32:$BA$32, Hydrogen!$D103:$BA103)+_xlfn.XLOOKUP(AS$134, 'SENS Tires'!$D$32:$BA$32, 'SENS Tires'!$D103:$BA103)+_xlfn.XLOOKUP(AS$134, 'SENS Coal'!$D$32:$BA$32, 'SENS Coal'!$D103:$BA103)</f>
        <v>0</v>
      </c>
      <c r="AT205" s="31">
        <f>_xlfn.XLOOKUP(AT$134, 'GEN-CCGT'!$D$32:$BA$32, 'GEN-CCGT'!$D103:$BA103)+_xlfn.XLOOKUP(AT$134, 'GEN-SOLAR'!$D$32:$BA$32, 'GEN-SOLAR'!$D103:$BA103)+_xlfn.XLOOKUP(AT$134, 'GEN-BESS'!$D$32:$BA$32, 'GEN-BESS'!$D103:$BA103)+_xlfn.XLOOKUP(AT$134, 'GEN-CARBON'!$D$32:$BA$32, 'GEN-CARBON'!$D103:$BA103)+_xlfn.XLOOKUP(AT$134, Load!$D$32:$BA$32, Load!$D103:$BA103)+_xlfn.XLOOKUP(AT$134, Hydrogen!$D$32:$BA$32, Hydrogen!$D103:$BA103)+_xlfn.XLOOKUP(AT$134, 'SENS Tires'!$D$32:$BA$32, 'SENS Tires'!$D103:$BA103)+_xlfn.XLOOKUP(AT$134, 'SENS Coal'!$D$32:$BA$32, 'SENS Coal'!$D103:$BA103)</f>
        <v>0</v>
      </c>
      <c r="AU205" s="31">
        <f>_xlfn.XLOOKUP(AU$134, 'GEN-CCGT'!$D$32:$BA$32, 'GEN-CCGT'!$D103:$BA103)+_xlfn.XLOOKUP(AU$134, 'GEN-SOLAR'!$D$32:$BA$32, 'GEN-SOLAR'!$D103:$BA103)+_xlfn.XLOOKUP(AU$134, 'GEN-BESS'!$D$32:$BA$32, 'GEN-BESS'!$D103:$BA103)+_xlfn.XLOOKUP(AU$134, 'GEN-CARBON'!$D$32:$BA$32, 'GEN-CARBON'!$D103:$BA103)+_xlfn.XLOOKUP(AU$134, Load!$D$32:$BA$32, Load!$D103:$BA103)+_xlfn.XLOOKUP(AU$134, Hydrogen!$D$32:$BA$32, Hydrogen!$D103:$BA103)+_xlfn.XLOOKUP(AU$134, 'SENS Tires'!$D$32:$BA$32, 'SENS Tires'!$D103:$BA103)+_xlfn.XLOOKUP(AU$134, 'SENS Coal'!$D$32:$BA$32, 'SENS Coal'!$D103:$BA103)</f>
        <v>0</v>
      </c>
      <c r="AV205" s="31">
        <f>_xlfn.XLOOKUP(AV$134, 'GEN-CCGT'!$D$32:$BA$32, 'GEN-CCGT'!$D103:$BA103)+_xlfn.XLOOKUP(AV$134, 'GEN-SOLAR'!$D$32:$BA$32, 'GEN-SOLAR'!$D103:$BA103)+_xlfn.XLOOKUP(AV$134, 'GEN-BESS'!$D$32:$BA$32, 'GEN-BESS'!$D103:$BA103)+_xlfn.XLOOKUP(AV$134, 'GEN-CARBON'!$D$32:$BA$32, 'GEN-CARBON'!$D103:$BA103)+_xlfn.XLOOKUP(AV$134, Load!$D$32:$BA$32, Load!$D103:$BA103)+_xlfn.XLOOKUP(AV$134, Hydrogen!$D$32:$BA$32, Hydrogen!$D103:$BA103)+_xlfn.XLOOKUP(AV$134, 'SENS Tires'!$D$32:$BA$32, 'SENS Tires'!$D103:$BA103)+_xlfn.XLOOKUP(AV$134, 'SENS Coal'!$D$32:$BA$32, 'SENS Coal'!$D103:$BA103)</f>
        <v>0</v>
      </c>
      <c r="AW205" s="31">
        <f>_xlfn.XLOOKUP(AW$134, 'GEN-CCGT'!$D$32:$BA$32, 'GEN-CCGT'!$D103:$BA103)+_xlfn.XLOOKUP(AW$134, 'GEN-SOLAR'!$D$32:$BA$32, 'GEN-SOLAR'!$D103:$BA103)+_xlfn.XLOOKUP(AW$134, 'GEN-BESS'!$D$32:$BA$32, 'GEN-BESS'!$D103:$BA103)+_xlfn.XLOOKUP(AW$134, 'GEN-CARBON'!$D$32:$BA$32, 'GEN-CARBON'!$D103:$BA103)+_xlfn.XLOOKUP(AW$134, Load!$D$32:$BA$32, Load!$D103:$BA103)+_xlfn.XLOOKUP(AW$134, Hydrogen!$D$32:$BA$32, Hydrogen!$D103:$BA103)+_xlfn.XLOOKUP(AW$134, 'SENS Tires'!$D$32:$BA$32, 'SENS Tires'!$D103:$BA103)+_xlfn.XLOOKUP(AW$134, 'SENS Coal'!$D$32:$BA$32, 'SENS Coal'!$D103:$BA103)</f>
        <v>0</v>
      </c>
      <c r="AX205" s="31">
        <f>_xlfn.XLOOKUP(AX$134, 'GEN-CCGT'!$D$32:$BA$32, 'GEN-CCGT'!$D103:$BA103)+_xlfn.XLOOKUP(AX$134, 'GEN-SOLAR'!$D$32:$BA$32, 'GEN-SOLAR'!$D103:$BA103)+_xlfn.XLOOKUP(AX$134, 'GEN-BESS'!$D$32:$BA$32, 'GEN-BESS'!$D103:$BA103)+_xlfn.XLOOKUP(AX$134, 'GEN-CARBON'!$D$32:$BA$32, 'GEN-CARBON'!$D103:$BA103)+_xlfn.XLOOKUP(AX$134, Load!$D$32:$BA$32, Load!$D103:$BA103)+_xlfn.XLOOKUP(AX$134, Hydrogen!$D$32:$BA$32, Hydrogen!$D103:$BA103)+_xlfn.XLOOKUP(AX$134, 'SENS Tires'!$D$32:$BA$32, 'SENS Tires'!$D103:$BA103)+_xlfn.XLOOKUP(AX$134, 'SENS Coal'!$D$32:$BA$32, 'SENS Coal'!$D103:$BA103)</f>
        <v>0</v>
      </c>
    </row>
    <row r="206" spans="1:50" ht="14.25" customHeight="1">
      <c r="A206" s="1"/>
      <c r="B206" s="1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</row>
    <row r="207" spans="1:50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4.25" customHeight="1">
      <c r="A210" s="1"/>
      <c r="B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s="169" customFormat="1" ht="14.25" customHeight="1">
      <c r="A211" s="317"/>
      <c r="B211" s="317"/>
      <c r="F211" s="317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  <c r="Q211" s="317"/>
      <c r="R211" s="317"/>
      <c r="S211" s="317"/>
      <c r="T211" s="317"/>
      <c r="U211" s="317"/>
      <c r="V211" s="317"/>
      <c r="W211" s="317"/>
      <c r="X211" s="317"/>
      <c r="Y211" s="317"/>
      <c r="Z211" s="317"/>
      <c r="AA211" s="317"/>
      <c r="AB211" s="317"/>
      <c r="AC211" s="317"/>
      <c r="AD211" s="317"/>
      <c r="AE211" s="317"/>
      <c r="AF211" s="317"/>
      <c r="AG211" s="317"/>
      <c r="AH211" s="317"/>
      <c r="AI211" s="317"/>
      <c r="AJ211" s="317"/>
      <c r="AK211" s="317"/>
      <c r="AL211" s="317"/>
      <c r="AM211" s="317"/>
    </row>
    <row r="212" spans="1:39" ht="14.25" customHeight="1">
      <c r="A212" s="1"/>
      <c r="B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4.25" customHeight="1">
      <c r="A213" s="1" t="s">
        <v>351</v>
      </c>
      <c r="B213" s="1"/>
      <c r="C213" s="76" t="s">
        <v>453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4.25" customHeight="1">
      <c r="A214" s="1"/>
      <c r="B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4.25" customHeight="1">
      <c r="A215" s="1"/>
      <c r="B215" s="1" t="s">
        <v>351</v>
      </c>
      <c r="C215" s="318" t="s">
        <v>454</v>
      </c>
      <c r="D215" s="318" t="s">
        <v>455</v>
      </c>
      <c r="F215" s="318" t="s">
        <v>454</v>
      </c>
      <c r="G215" s="318" t="s">
        <v>126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4.25" customHeight="1">
      <c r="A216" s="1"/>
      <c r="B216" s="1"/>
      <c r="C216" s="319" t="s">
        <v>4</v>
      </c>
      <c r="D216" s="320">
        <f>_xlfn.XLOOKUP(C216, 'Assumptions &amp; Inputs'!$G$26:$L$26, 'Assumptions &amp; Inputs'!$G$54:$L$54)</f>
        <v>1.1478420569329659</v>
      </c>
      <c r="F216" s="319" t="s">
        <v>4</v>
      </c>
      <c r="G216" s="321" t="e">
        <f t="shared" ref="G216:G224" si="442">D216/SUM($D$216:$D$224)</f>
        <v>#N/A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4.25" customHeight="1">
      <c r="A217" s="1"/>
      <c r="B217" s="1"/>
      <c r="C217" s="319" t="s">
        <v>6</v>
      </c>
      <c r="D217" s="320">
        <f>_xlfn.XLOOKUP(C217, 'Assumptions &amp; Inputs'!$G$26:$L$26, 'Assumptions &amp; Inputs'!$G$54:$L$54)</f>
        <v>1000</v>
      </c>
      <c r="F217" s="319" t="s">
        <v>6</v>
      </c>
      <c r="G217" s="321" t="e">
        <f t="shared" si="442"/>
        <v>#N/A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4.25" customHeight="1">
      <c r="A218" s="1"/>
      <c r="B218" s="84"/>
      <c r="C218" s="319" t="s">
        <v>7</v>
      </c>
      <c r="D218" s="320" t="e">
        <f>_xlfn.XLOOKUP(C218, 'Assumptions &amp; Inputs'!$G$26:$L$26, 'Assumptions &amp; Inputs'!$G$54:$L$54)</f>
        <v>#N/A</v>
      </c>
      <c r="F218" s="319" t="s">
        <v>7</v>
      </c>
      <c r="G218" s="321" t="e">
        <f t="shared" si="442"/>
        <v>#N/A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4.25" customHeight="1">
      <c r="A219" s="1"/>
      <c r="B219" s="1"/>
      <c r="C219" s="319" t="s">
        <v>9</v>
      </c>
      <c r="D219" s="320">
        <f>_xlfn.XLOOKUP(C219, 'Assumptions &amp; Inputs'!$G$26:$L$26, 'Assumptions &amp; Inputs'!$G$54:$L$54)</f>
        <v>50</v>
      </c>
      <c r="F219" s="319" t="s">
        <v>9</v>
      </c>
      <c r="G219" s="321" t="e">
        <f t="shared" si="442"/>
        <v>#N/A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4.25" customHeight="1">
      <c r="A220" s="1"/>
      <c r="B220" s="1"/>
      <c r="C220" s="319" t="s">
        <v>122</v>
      </c>
      <c r="D220" s="320">
        <f>_xlfn.XLOOKUP(C220, 'Assumptions &amp; Inputs'!$G$26:$L$26, 'Assumptions &amp; Inputs'!$G$54:$L$54)</f>
        <v>2.2956841138659319</v>
      </c>
      <c r="F220" s="319" t="s">
        <v>122</v>
      </c>
      <c r="G220" s="321" t="e">
        <f t="shared" si="442"/>
        <v>#N/A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4.25" customHeight="1">
      <c r="A221" s="1"/>
      <c r="B221" s="1"/>
      <c r="C221" s="319" t="s">
        <v>13</v>
      </c>
      <c r="D221" s="320">
        <f>_xlfn.XLOOKUP(C221, 'Assumptions &amp; Inputs'!$G$26:$L$26, 'Assumptions &amp; Inputs'!$G$54:$L$54)</f>
        <v>6</v>
      </c>
      <c r="F221" s="319" t="s">
        <v>13</v>
      </c>
      <c r="G221" s="321" t="e">
        <f t="shared" si="442"/>
        <v>#N/A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4.25" customHeight="1">
      <c r="A222" s="1"/>
      <c r="B222" s="1"/>
      <c r="C222" s="319" t="s">
        <v>11</v>
      </c>
      <c r="D222" s="320">
        <f>_xlfn.XLOOKUP(C222, 'Assumptions &amp; Inputs'!$G$26:$L$26, 'Assumptions &amp; Inputs'!$G$54:$L$54)</f>
        <v>9</v>
      </c>
      <c r="F222" s="319" t="s">
        <v>11</v>
      </c>
      <c r="G222" s="321" t="e">
        <f t="shared" si="442"/>
        <v>#N/A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4.25" customHeight="1">
      <c r="A223" s="1"/>
      <c r="B223" s="1"/>
      <c r="C223" s="319" t="s">
        <v>456</v>
      </c>
      <c r="D223" s="320" t="e">
        <f>_xlfn.XLOOKUP(C223, 'Assumptions &amp; Inputs'!$G$26:$L$26, 'Assumptions &amp; Inputs'!$G$54:$L$54)</f>
        <v>#N/A</v>
      </c>
      <c r="F223" s="319" t="s">
        <v>456</v>
      </c>
      <c r="G223" s="321" t="e">
        <f t="shared" si="442"/>
        <v>#N/A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4.25" customHeight="1">
      <c r="A224" s="1"/>
      <c r="B224" s="1"/>
      <c r="C224" s="746" t="s">
        <v>457</v>
      </c>
      <c r="D224" s="320">
        <f>'Assumptions &amp; Inputs'!P5</f>
        <v>4531.5564738292014</v>
      </c>
      <c r="F224" s="746" t="s">
        <v>457</v>
      </c>
      <c r="G224" s="321" t="e">
        <f t="shared" si="442"/>
        <v>#N/A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4.25" customHeight="1">
      <c r="A225" s="1"/>
      <c r="B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4.25" customHeight="1">
      <c r="A226" s="1"/>
      <c r="B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4.25" customHeight="1">
      <c r="A227" s="1"/>
      <c r="B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4.25" customHeight="1">
      <c r="A228" s="1"/>
      <c r="B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4.25" customHeight="1">
      <c r="A229" s="1"/>
      <c r="B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4.25" customHeight="1">
      <c r="A230" s="1"/>
      <c r="B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spans="1:39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1:39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1:39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 spans="1:39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1:39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1:39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 spans="1:39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 spans="1:39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 spans="1:39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 spans="1:39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 spans="1:39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 spans="1:39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 spans="1:39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 spans="1:39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 spans="1:39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r="1016" spans="1:39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r="1017" spans="1:39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r="1018" spans="1:39" ht="15" customHeight="1"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1:39" ht="15" customHeight="1"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1:39" ht="15" customHeight="1"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1:39" ht="15" customHeight="1"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1:39" ht="15" customHeight="1"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1:39" ht="15" customHeight="1"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1:39" ht="15" customHeight="1"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3:37" ht="15" customHeight="1"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3:37" ht="15" customHeight="1"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3:37" ht="15" customHeight="1"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3:37" ht="15" customHeight="1"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</sheetData>
  <mergeCells count="8">
    <mergeCell ref="F190:Q190"/>
    <mergeCell ref="F110:Q110"/>
    <mergeCell ref="F28:Q28"/>
    <mergeCell ref="F5:Q5"/>
    <mergeCell ref="F87:Q87"/>
    <mergeCell ref="F133:Q133"/>
    <mergeCell ref="C166:F166"/>
    <mergeCell ref="C180:F180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79C343CD-52F3-4780-970E-DABE66CB54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'Project Summary'!E145:AX145</xm:f>
              <xm:sqref>D145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91CE-D083-4CD5-B32B-6BCF9AFFD235}">
  <sheetPr codeName="Sheet4">
    <tabColor rgb="FF7030A0"/>
  </sheetPr>
  <dimension ref="A1:AX1024"/>
  <sheetViews>
    <sheetView topLeftCell="A7" zoomScaleNormal="100" workbookViewId="0">
      <selection activeCell="G41" sqref="G41"/>
    </sheetView>
  </sheetViews>
  <sheetFormatPr baseColWidth="10" defaultColWidth="14.33203125" defaultRowHeight="15" customHeight="1"/>
  <cols>
    <col min="1" max="1" width="3" style="457" customWidth="1"/>
    <col min="2" max="2" width="3.5" style="457" customWidth="1"/>
    <col min="3" max="3" width="42.83203125" style="457" customWidth="1"/>
    <col min="4" max="4" width="27.33203125" style="457" customWidth="1"/>
    <col min="5" max="16384" width="14.33203125" style="457"/>
  </cols>
  <sheetData>
    <row r="1" spans="1:50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747"/>
      <c r="AO1" s="747"/>
      <c r="AP1" s="747"/>
      <c r="AQ1" s="747"/>
      <c r="AR1" s="747"/>
      <c r="AS1" s="747"/>
      <c r="AT1" s="747"/>
      <c r="AU1" s="747"/>
      <c r="AV1" s="747"/>
      <c r="AW1" s="747"/>
      <c r="AX1" s="747"/>
    </row>
    <row r="2" spans="1:50" ht="14.25" customHeight="1">
      <c r="A2" s="1"/>
      <c r="B2" s="1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1"/>
      <c r="AM2" s="1"/>
      <c r="AN2" s="747"/>
      <c r="AO2" s="747"/>
      <c r="AP2" s="747"/>
      <c r="AQ2" s="747"/>
      <c r="AR2" s="747"/>
      <c r="AS2" s="747"/>
      <c r="AT2" s="747"/>
      <c r="AU2" s="747"/>
      <c r="AV2" s="747"/>
      <c r="AW2" s="747"/>
      <c r="AX2" s="747"/>
    </row>
    <row r="3" spans="1:50" ht="16" thickBot="1">
      <c r="A3" s="1" t="s">
        <v>351</v>
      </c>
      <c r="B3" s="1"/>
      <c r="C3" s="458" t="s">
        <v>352</v>
      </c>
      <c r="D3" s="458"/>
      <c r="E3" s="458"/>
      <c r="F3" s="459"/>
      <c r="G3" s="459"/>
      <c r="H3" s="459"/>
      <c r="I3" s="459"/>
      <c r="J3" s="459"/>
      <c r="K3" s="460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459"/>
      <c r="AD3" s="459"/>
      <c r="AE3" s="459"/>
      <c r="AF3" s="459"/>
      <c r="AG3" s="459"/>
      <c r="AH3" s="459"/>
      <c r="AI3" s="459"/>
      <c r="AJ3" s="459"/>
      <c r="AK3" s="459"/>
      <c r="AL3" s="1"/>
      <c r="AM3" s="1"/>
      <c r="AN3" s="747"/>
      <c r="AO3" s="747"/>
      <c r="AP3" s="747"/>
      <c r="AQ3" s="747"/>
      <c r="AR3" s="747"/>
      <c r="AS3" s="747"/>
      <c r="AT3" s="747"/>
      <c r="AU3" s="747"/>
      <c r="AV3" s="747"/>
      <c r="AW3" s="747"/>
      <c r="AX3" s="747"/>
    </row>
    <row r="4" spans="1:50" ht="14.25" customHeight="1">
      <c r="A4" s="1"/>
      <c r="B4" s="1"/>
      <c r="C4" s="461" t="s">
        <v>353</v>
      </c>
      <c r="D4" s="461"/>
      <c r="E4" s="43">
        <v>0</v>
      </c>
      <c r="F4" s="119">
        <f t="shared" ref="F4:AX4" si="0">E4+1</f>
        <v>1</v>
      </c>
      <c r="G4" s="119">
        <f t="shared" si="0"/>
        <v>2</v>
      </c>
      <c r="H4" s="119">
        <f t="shared" si="0"/>
        <v>3</v>
      </c>
      <c r="I4" s="119">
        <f t="shared" si="0"/>
        <v>4</v>
      </c>
      <c r="J4" s="119">
        <f t="shared" si="0"/>
        <v>5</v>
      </c>
      <c r="K4" s="119">
        <f t="shared" si="0"/>
        <v>6</v>
      </c>
      <c r="L4" s="119">
        <f t="shared" si="0"/>
        <v>7</v>
      </c>
      <c r="M4" s="119">
        <f t="shared" si="0"/>
        <v>8</v>
      </c>
      <c r="N4" s="119">
        <f t="shared" si="0"/>
        <v>9</v>
      </c>
      <c r="O4" s="119">
        <f t="shared" si="0"/>
        <v>10</v>
      </c>
      <c r="P4" s="119">
        <f t="shared" si="0"/>
        <v>11</v>
      </c>
      <c r="Q4" s="119">
        <f t="shared" si="0"/>
        <v>12</v>
      </c>
      <c r="R4" s="119">
        <f t="shared" si="0"/>
        <v>13</v>
      </c>
      <c r="S4" s="119">
        <f t="shared" si="0"/>
        <v>14</v>
      </c>
      <c r="T4" s="119">
        <f t="shared" si="0"/>
        <v>15</v>
      </c>
      <c r="U4" s="119">
        <f t="shared" si="0"/>
        <v>16</v>
      </c>
      <c r="V4" s="119">
        <f t="shared" si="0"/>
        <v>17</v>
      </c>
      <c r="W4" s="119">
        <f t="shared" si="0"/>
        <v>18</v>
      </c>
      <c r="X4" s="119">
        <f t="shared" si="0"/>
        <v>19</v>
      </c>
      <c r="Y4" s="119">
        <f t="shared" si="0"/>
        <v>20</v>
      </c>
      <c r="Z4" s="119">
        <f t="shared" si="0"/>
        <v>21</v>
      </c>
      <c r="AA4" s="119">
        <f t="shared" si="0"/>
        <v>22</v>
      </c>
      <c r="AB4" s="119">
        <f t="shared" si="0"/>
        <v>23</v>
      </c>
      <c r="AC4" s="119">
        <f t="shared" si="0"/>
        <v>24</v>
      </c>
      <c r="AD4" s="119">
        <f t="shared" si="0"/>
        <v>25</v>
      </c>
      <c r="AE4" s="119">
        <f t="shared" si="0"/>
        <v>26</v>
      </c>
      <c r="AF4" s="119">
        <f t="shared" si="0"/>
        <v>27</v>
      </c>
      <c r="AG4" s="119">
        <f t="shared" si="0"/>
        <v>28</v>
      </c>
      <c r="AH4" s="119">
        <f t="shared" si="0"/>
        <v>29</v>
      </c>
      <c r="AI4" s="119">
        <f t="shared" si="0"/>
        <v>30</v>
      </c>
      <c r="AJ4" s="119">
        <f t="shared" si="0"/>
        <v>31</v>
      </c>
      <c r="AK4" s="119">
        <f t="shared" si="0"/>
        <v>32</v>
      </c>
      <c r="AL4" s="119">
        <f t="shared" si="0"/>
        <v>33</v>
      </c>
      <c r="AM4" s="119">
        <f t="shared" si="0"/>
        <v>34</v>
      </c>
      <c r="AN4" s="119">
        <f t="shared" si="0"/>
        <v>35</v>
      </c>
      <c r="AO4" s="119">
        <f t="shared" si="0"/>
        <v>36</v>
      </c>
      <c r="AP4" s="119">
        <f t="shared" si="0"/>
        <v>37</v>
      </c>
      <c r="AQ4" s="119">
        <f t="shared" si="0"/>
        <v>38</v>
      </c>
      <c r="AR4" s="119">
        <f t="shared" si="0"/>
        <v>39</v>
      </c>
      <c r="AS4" s="119">
        <f t="shared" si="0"/>
        <v>40</v>
      </c>
      <c r="AT4" s="119">
        <f t="shared" si="0"/>
        <v>41</v>
      </c>
      <c r="AU4" s="119">
        <f t="shared" si="0"/>
        <v>42</v>
      </c>
      <c r="AV4" s="119">
        <f t="shared" si="0"/>
        <v>43</v>
      </c>
      <c r="AW4" s="119">
        <f t="shared" si="0"/>
        <v>44</v>
      </c>
      <c r="AX4" s="119">
        <f t="shared" si="0"/>
        <v>45</v>
      </c>
    </row>
    <row r="5" spans="1:50" ht="14.25" customHeight="1" thickBot="1">
      <c r="A5" s="1"/>
      <c r="B5" s="1"/>
      <c r="C5" s="45"/>
      <c r="D5" s="45"/>
      <c r="E5" s="2"/>
      <c r="F5" s="807" t="s">
        <v>354</v>
      </c>
      <c r="G5" s="807"/>
      <c r="H5" s="807"/>
      <c r="I5" s="807"/>
      <c r="J5" s="807"/>
      <c r="K5" s="807"/>
      <c r="L5" s="807"/>
      <c r="M5" s="807"/>
      <c r="N5" s="807"/>
      <c r="O5" s="807"/>
      <c r="P5" s="807"/>
      <c r="Q5" s="807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</row>
    <row r="6" spans="1:50" ht="14.25" customHeight="1">
      <c r="A6" s="1"/>
      <c r="B6" s="1"/>
      <c r="C6" s="462"/>
      <c r="D6" s="463"/>
      <c r="E6" s="204">
        <f>YEAR(E7)</f>
        <v>2026</v>
      </c>
      <c r="F6" s="204">
        <f>E6+1</f>
        <v>2027</v>
      </c>
      <c r="G6" s="204">
        <f t="shared" ref="G6:AX6" si="1">F6+1</f>
        <v>2028</v>
      </c>
      <c r="H6" s="204">
        <f t="shared" si="1"/>
        <v>2029</v>
      </c>
      <c r="I6" s="204">
        <f t="shared" si="1"/>
        <v>2030</v>
      </c>
      <c r="J6" s="204">
        <f t="shared" si="1"/>
        <v>2031</v>
      </c>
      <c r="K6" s="204">
        <f t="shared" si="1"/>
        <v>2032</v>
      </c>
      <c r="L6" s="204">
        <f t="shared" si="1"/>
        <v>2033</v>
      </c>
      <c r="M6" s="204">
        <f t="shared" si="1"/>
        <v>2034</v>
      </c>
      <c r="N6" s="204">
        <f t="shared" si="1"/>
        <v>2035</v>
      </c>
      <c r="O6" s="204">
        <f t="shared" si="1"/>
        <v>2036</v>
      </c>
      <c r="P6" s="204">
        <f t="shared" si="1"/>
        <v>2037</v>
      </c>
      <c r="Q6" s="204">
        <f t="shared" si="1"/>
        <v>2038</v>
      </c>
      <c r="R6" s="204">
        <f t="shared" si="1"/>
        <v>2039</v>
      </c>
      <c r="S6" s="204">
        <f t="shared" si="1"/>
        <v>2040</v>
      </c>
      <c r="T6" s="204">
        <f t="shared" si="1"/>
        <v>2041</v>
      </c>
      <c r="U6" s="204">
        <f t="shared" si="1"/>
        <v>2042</v>
      </c>
      <c r="V6" s="204">
        <f t="shared" si="1"/>
        <v>2043</v>
      </c>
      <c r="W6" s="204">
        <f t="shared" si="1"/>
        <v>2044</v>
      </c>
      <c r="X6" s="204">
        <f t="shared" si="1"/>
        <v>2045</v>
      </c>
      <c r="Y6" s="204">
        <f t="shared" si="1"/>
        <v>2046</v>
      </c>
      <c r="Z6" s="204">
        <f t="shared" si="1"/>
        <v>2047</v>
      </c>
      <c r="AA6" s="204">
        <f t="shared" si="1"/>
        <v>2048</v>
      </c>
      <c r="AB6" s="204">
        <f t="shared" si="1"/>
        <v>2049</v>
      </c>
      <c r="AC6" s="204">
        <f t="shared" si="1"/>
        <v>2050</v>
      </c>
      <c r="AD6" s="204">
        <f t="shared" si="1"/>
        <v>2051</v>
      </c>
      <c r="AE6" s="204">
        <f t="shared" si="1"/>
        <v>2052</v>
      </c>
      <c r="AF6" s="204">
        <f t="shared" si="1"/>
        <v>2053</v>
      </c>
      <c r="AG6" s="204">
        <f t="shared" si="1"/>
        <v>2054</v>
      </c>
      <c r="AH6" s="204">
        <f t="shared" si="1"/>
        <v>2055</v>
      </c>
      <c r="AI6" s="204">
        <f t="shared" si="1"/>
        <v>2056</v>
      </c>
      <c r="AJ6" s="204">
        <f t="shared" si="1"/>
        <v>2057</v>
      </c>
      <c r="AK6" s="204">
        <f t="shared" si="1"/>
        <v>2058</v>
      </c>
      <c r="AL6" s="204">
        <f t="shared" si="1"/>
        <v>2059</v>
      </c>
      <c r="AM6" s="204">
        <f t="shared" si="1"/>
        <v>2060</v>
      </c>
      <c r="AN6" s="204">
        <f t="shared" si="1"/>
        <v>2061</v>
      </c>
      <c r="AO6" s="204">
        <f t="shared" si="1"/>
        <v>2062</v>
      </c>
      <c r="AP6" s="204">
        <f t="shared" si="1"/>
        <v>2063</v>
      </c>
      <c r="AQ6" s="204">
        <f t="shared" si="1"/>
        <v>2064</v>
      </c>
      <c r="AR6" s="204">
        <f t="shared" si="1"/>
        <v>2065</v>
      </c>
      <c r="AS6" s="204">
        <f t="shared" si="1"/>
        <v>2066</v>
      </c>
      <c r="AT6" s="204">
        <f t="shared" si="1"/>
        <v>2067</v>
      </c>
      <c r="AU6" s="204">
        <f t="shared" si="1"/>
        <v>2068</v>
      </c>
      <c r="AV6" s="204">
        <f t="shared" si="1"/>
        <v>2069</v>
      </c>
      <c r="AW6" s="204">
        <f t="shared" si="1"/>
        <v>2070</v>
      </c>
      <c r="AX6" s="204">
        <f t="shared" si="1"/>
        <v>2071</v>
      </c>
    </row>
    <row r="7" spans="1:50" ht="14.25" customHeight="1">
      <c r="A7" s="1"/>
      <c r="B7" s="1"/>
      <c r="C7" s="98"/>
      <c r="D7" s="84"/>
      <c r="E7" s="142">
        <f>MIN('Assumptions &amp; Inputs'!G27:L27, 'Assumptions &amp; Inputs'!P7)</f>
        <v>46023</v>
      </c>
      <c r="F7" s="142">
        <f>DATE(F6, 12, 31)</f>
        <v>46752</v>
      </c>
      <c r="G7" s="142">
        <f t="shared" ref="G7:AX7" si="2">DATE(G6, 12, 31)</f>
        <v>47118</v>
      </c>
      <c r="H7" s="142">
        <f t="shared" si="2"/>
        <v>47483</v>
      </c>
      <c r="I7" s="142">
        <f t="shared" si="2"/>
        <v>47848</v>
      </c>
      <c r="J7" s="142">
        <f t="shared" si="2"/>
        <v>48213</v>
      </c>
      <c r="K7" s="142">
        <f t="shared" si="2"/>
        <v>48579</v>
      </c>
      <c r="L7" s="142">
        <f t="shared" si="2"/>
        <v>48944</v>
      </c>
      <c r="M7" s="142">
        <f t="shared" si="2"/>
        <v>49309</v>
      </c>
      <c r="N7" s="142">
        <f t="shared" si="2"/>
        <v>49674</v>
      </c>
      <c r="O7" s="142">
        <f t="shared" si="2"/>
        <v>50040</v>
      </c>
      <c r="P7" s="142">
        <f t="shared" si="2"/>
        <v>50405</v>
      </c>
      <c r="Q7" s="142">
        <f t="shared" si="2"/>
        <v>50770</v>
      </c>
      <c r="R7" s="142">
        <f t="shared" si="2"/>
        <v>51135</v>
      </c>
      <c r="S7" s="142">
        <f t="shared" si="2"/>
        <v>51501</v>
      </c>
      <c r="T7" s="142">
        <f t="shared" si="2"/>
        <v>51866</v>
      </c>
      <c r="U7" s="142">
        <f t="shared" si="2"/>
        <v>52231</v>
      </c>
      <c r="V7" s="142">
        <f t="shared" si="2"/>
        <v>52596</v>
      </c>
      <c r="W7" s="142">
        <f t="shared" si="2"/>
        <v>52962</v>
      </c>
      <c r="X7" s="142">
        <f t="shared" si="2"/>
        <v>53327</v>
      </c>
      <c r="Y7" s="142">
        <f t="shared" si="2"/>
        <v>53692</v>
      </c>
      <c r="Z7" s="142">
        <f t="shared" si="2"/>
        <v>54057</v>
      </c>
      <c r="AA7" s="142">
        <f t="shared" si="2"/>
        <v>54423</v>
      </c>
      <c r="AB7" s="142">
        <f t="shared" si="2"/>
        <v>54788</v>
      </c>
      <c r="AC7" s="142">
        <f t="shared" si="2"/>
        <v>55153</v>
      </c>
      <c r="AD7" s="142">
        <f t="shared" si="2"/>
        <v>55518</v>
      </c>
      <c r="AE7" s="142">
        <f t="shared" si="2"/>
        <v>55884</v>
      </c>
      <c r="AF7" s="142">
        <f t="shared" si="2"/>
        <v>56249</v>
      </c>
      <c r="AG7" s="142">
        <f t="shared" si="2"/>
        <v>56614</v>
      </c>
      <c r="AH7" s="142">
        <f t="shared" si="2"/>
        <v>56979</v>
      </c>
      <c r="AI7" s="142">
        <f t="shared" si="2"/>
        <v>57345</v>
      </c>
      <c r="AJ7" s="142">
        <f t="shared" si="2"/>
        <v>57710</v>
      </c>
      <c r="AK7" s="142">
        <f t="shared" si="2"/>
        <v>58075</v>
      </c>
      <c r="AL7" s="142">
        <f t="shared" si="2"/>
        <v>58440</v>
      </c>
      <c r="AM7" s="142">
        <f t="shared" si="2"/>
        <v>58806</v>
      </c>
      <c r="AN7" s="142">
        <f t="shared" si="2"/>
        <v>59171</v>
      </c>
      <c r="AO7" s="142">
        <f t="shared" si="2"/>
        <v>59536</v>
      </c>
      <c r="AP7" s="142">
        <f t="shared" si="2"/>
        <v>59901</v>
      </c>
      <c r="AQ7" s="142">
        <f t="shared" si="2"/>
        <v>60267</v>
      </c>
      <c r="AR7" s="142">
        <f t="shared" si="2"/>
        <v>60632</v>
      </c>
      <c r="AS7" s="142">
        <f t="shared" si="2"/>
        <v>60997</v>
      </c>
      <c r="AT7" s="142">
        <f t="shared" si="2"/>
        <v>61362</v>
      </c>
      <c r="AU7" s="142">
        <f t="shared" si="2"/>
        <v>61728</v>
      </c>
      <c r="AV7" s="142">
        <f t="shared" si="2"/>
        <v>62093</v>
      </c>
      <c r="AW7" s="142">
        <f t="shared" si="2"/>
        <v>62458</v>
      </c>
      <c r="AX7" s="142">
        <f t="shared" si="2"/>
        <v>62823</v>
      </c>
    </row>
    <row r="8" spans="1:50" ht="14.25" customHeight="1">
      <c r="A8" s="1"/>
      <c r="B8" s="1"/>
      <c r="C8" s="222" t="s">
        <v>458</v>
      </c>
      <c r="D8" s="243"/>
      <c r="E8" s="190">
        <f>IFERROR(_xlfn.XLOOKUP(E$6, 'Real Estate'!$D$9:$BA$9, 'Real Estate'!$D$17:$BA$17), 0)</f>
        <v>-47.6</v>
      </c>
      <c r="F8" s="190">
        <f>IFERROR(_xlfn.XLOOKUP(F$6, 'Real Estate'!$D$9:$BA$9, 'Real Estate'!$D$17:$BA$17), 0)</f>
        <v>0</v>
      </c>
      <c r="G8" s="190">
        <f>IFERROR(_xlfn.XLOOKUP(G$6, 'Real Estate'!$D$9:$BA$9, 'Real Estate'!$D$17:$BA$17), 0)</f>
        <v>0</v>
      </c>
      <c r="H8" s="190">
        <f>IFERROR(_xlfn.XLOOKUP(H$6, 'Real Estate'!$D$9:$BA$9, 'Real Estate'!$D$17:$BA$17), 0)</f>
        <v>0</v>
      </c>
      <c r="I8" s="190">
        <f>IFERROR(_xlfn.XLOOKUP(I$6, 'Real Estate'!$D$9:$BA$9, 'Real Estate'!$D$17:$BA$17), 0)</f>
        <v>0</v>
      </c>
      <c r="J8" s="190">
        <f>IFERROR(_xlfn.XLOOKUP(J$6, 'Real Estate'!$D$9:$BA$9, 'Real Estate'!$D$17:$BA$17), 0)</f>
        <v>0</v>
      </c>
      <c r="K8" s="190">
        <f>IFERROR(_xlfn.XLOOKUP(K$6, 'Real Estate'!$D$9:$BA$9, 'Real Estate'!$D$17:$BA$17), 0)</f>
        <v>0</v>
      </c>
      <c r="L8" s="190">
        <f>IFERROR(_xlfn.XLOOKUP(L$6, 'Real Estate'!$D$9:$BA$9, 'Real Estate'!$D$17:$BA$17), 0)</f>
        <v>0</v>
      </c>
      <c r="M8" s="190">
        <f>IFERROR(_xlfn.XLOOKUP(M$6, 'Real Estate'!$D$9:$BA$9, 'Real Estate'!$D$17:$BA$17), 0)</f>
        <v>0</v>
      </c>
      <c r="N8" s="190">
        <f>IFERROR(_xlfn.XLOOKUP(N$6, 'Real Estate'!$D$9:$BA$9, 'Real Estate'!$D$17:$BA$17), 0)</f>
        <v>0</v>
      </c>
      <c r="O8" s="190">
        <f>IFERROR(_xlfn.XLOOKUP(O$6, 'Real Estate'!$D$9:$BA$9, 'Real Estate'!$D$17:$BA$17), 0)</f>
        <v>0</v>
      </c>
      <c r="P8" s="190">
        <f>IFERROR(_xlfn.XLOOKUP(P$6, 'Real Estate'!$D$9:$BA$9, 'Real Estate'!$D$17:$BA$17), 0)</f>
        <v>0</v>
      </c>
      <c r="Q8" s="190">
        <f>IFERROR(_xlfn.XLOOKUP(Q$6, 'Real Estate'!$D$9:$BA$9, 'Real Estate'!$D$17:$BA$17), 0)</f>
        <v>0</v>
      </c>
      <c r="R8" s="190">
        <f>IFERROR(_xlfn.XLOOKUP(R$6, 'Real Estate'!$D$9:$BA$9, 'Real Estate'!$D$17:$BA$17), 0)</f>
        <v>0</v>
      </c>
      <c r="S8" s="190">
        <f>IFERROR(_xlfn.XLOOKUP(S$6, 'Real Estate'!$D$9:$BA$9, 'Real Estate'!$D$17:$BA$17), 0)</f>
        <v>0</v>
      </c>
      <c r="T8" s="190">
        <f>IFERROR(_xlfn.XLOOKUP(T$6, 'Real Estate'!$D$9:$BA$9, 'Real Estate'!$D$17:$BA$17), 0)</f>
        <v>0</v>
      </c>
      <c r="U8" s="190">
        <f>IFERROR(_xlfn.XLOOKUP(U$6, 'Real Estate'!$D$9:$BA$9, 'Real Estate'!$D$17:$BA$17), 0)</f>
        <v>0</v>
      </c>
      <c r="V8" s="190">
        <f>IFERROR(_xlfn.XLOOKUP(V$6, 'Real Estate'!$D$9:$BA$9, 'Real Estate'!$D$17:$BA$17), 0)</f>
        <v>0</v>
      </c>
      <c r="W8" s="190">
        <f>IFERROR(_xlfn.XLOOKUP(W$6, 'Real Estate'!$D$9:$BA$9, 'Real Estate'!$D$17:$BA$17), 0)</f>
        <v>0</v>
      </c>
      <c r="X8" s="190">
        <f>IFERROR(_xlfn.XLOOKUP(X$6, 'Real Estate'!$D$9:$BA$9, 'Real Estate'!$D$17:$BA$17), 0)</f>
        <v>0</v>
      </c>
      <c r="Y8" s="190">
        <f>IFERROR(_xlfn.XLOOKUP(Y$6, 'Real Estate'!$D$9:$BA$9, 'Real Estate'!$D$17:$BA$17), 0)</f>
        <v>0</v>
      </c>
      <c r="Z8" s="190">
        <f>IFERROR(_xlfn.XLOOKUP(Z$6, 'Real Estate'!$D$9:$BA$9, 'Real Estate'!$D$17:$BA$17), 0)</f>
        <v>0</v>
      </c>
      <c r="AA8" s="190">
        <f>IFERROR(_xlfn.XLOOKUP(AA$6, 'Real Estate'!$D$9:$BA$9, 'Real Estate'!$D$17:$BA$17), 0)</f>
        <v>0</v>
      </c>
      <c r="AB8" s="190">
        <f>IFERROR(_xlfn.XLOOKUP(AB$6, 'Real Estate'!$D$9:$BA$9, 'Real Estate'!$D$17:$BA$17), 0)</f>
        <v>0</v>
      </c>
      <c r="AC8" s="190">
        <f>IFERROR(_xlfn.XLOOKUP(AC$6, 'Real Estate'!$D$9:$BA$9, 'Real Estate'!$D$17:$BA$17), 0)</f>
        <v>0</v>
      </c>
      <c r="AD8" s="190">
        <f>IFERROR(_xlfn.XLOOKUP(AD$6, 'Real Estate'!$D$9:$BA$9, 'Real Estate'!$D$17:$BA$17), 0)</f>
        <v>0</v>
      </c>
      <c r="AE8" s="190">
        <f>IFERROR(_xlfn.XLOOKUP(AE$6, 'Real Estate'!$D$9:$BA$9, 'Real Estate'!$D$17:$BA$17), 0)</f>
        <v>0</v>
      </c>
      <c r="AF8" s="190">
        <f>IFERROR(_xlfn.XLOOKUP(AF$6, 'Real Estate'!$D$9:$BA$9, 'Real Estate'!$D$17:$BA$17), 0)</f>
        <v>0</v>
      </c>
      <c r="AG8" s="190">
        <f>IFERROR(_xlfn.XLOOKUP(AG$6, 'Real Estate'!$D$9:$BA$9, 'Real Estate'!$D$17:$BA$17), 0)</f>
        <v>0</v>
      </c>
      <c r="AH8" s="190">
        <f>IFERROR(_xlfn.XLOOKUP(AH$6, 'Real Estate'!$D$9:$BA$9, 'Real Estate'!$D$17:$BA$17), 0)</f>
        <v>0</v>
      </c>
      <c r="AI8" s="190">
        <f>IFERROR(_xlfn.XLOOKUP(AI$6, 'Real Estate'!$D$9:$BA$9, 'Real Estate'!$D$17:$BA$17), 0)</f>
        <v>0</v>
      </c>
      <c r="AJ8" s="190">
        <f>IFERROR(_xlfn.XLOOKUP(AJ$6, 'Real Estate'!$D$9:$BA$9, 'Real Estate'!$D$17:$BA$17), 0)</f>
        <v>0</v>
      </c>
      <c r="AK8" s="190">
        <f>IFERROR(_xlfn.XLOOKUP(AK$6, 'Real Estate'!$D$9:$BA$9, 'Real Estate'!$D$17:$BA$17), 0)</f>
        <v>0</v>
      </c>
      <c r="AL8" s="190">
        <f>IFERROR(_xlfn.XLOOKUP(AL$6, 'Real Estate'!$D$9:$BA$9, 'Real Estate'!$D$17:$BA$17), 0)</f>
        <v>0</v>
      </c>
      <c r="AM8" s="190">
        <f>IFERROR(_xlfn.XLOOKUP(AM$6, 'Real Estate'!$D$9:$BA$9, 'Real Estate'!$D$17:$BA$17), 0)</f>
        <v>0</v>
      </c>
      <c r="AN8" s="190">
        <f>IFERROR(_xlfn.XLOOKUP(AN$6, 'Real Estate'!$D$9:$BA$9, 'Real Estate'!$D$17:$BA$17), 0)</f>
        <v>0</v>
      </c>
      <c r="AO8" s="190">
        <f>IFERROR(_xlfn.XLOOKUP(AO$6, 'Real Estate'!$D$9:$BA$9, 'Real Estate'!$D$17:$BA$17), 0)</f>
        <v>0</v>
      </c>
      <c r="AP8" s="190">
        <f>IFERROR(_xlfn.XLOOKUP(AP$6, 'Real Estate'!$D$9:$BA$9, 'Real Estate'!$D$17:$BA$17), 0)</f>
        <v>0</v>
      </c>
      <c r="AQ8" s="190">
        <f>IFERROR(_xlfn.XLOOKUP(AQ$6, 'Real Estate'!$D$9:$BA$9, 'Real Estate'!$D$17:$BA$17), 0)</f>
        <v>0</v>
      </c>
      <c r="AR8" s="190">
        <f>IFERROR(_xlfn.XLOOKUP(AR$6, 'Real Estate'!$D$9:$BA$9, 'Real Estate'!$D$17:$BA$17), 0)</f>
        <v>0</v>
      </c>
      <c r="AS8" s="190">
        <f>IFERROR(_xlfn.XLOOKUP(AS$6, 'Real Estate'!$D$9:$BA$9, 'Real Estate'!$D$17:$BA$17), 0)</f>
        <v>0</v>
      </c>
      <c r="AT8" s="190">
        <f>IFERROR(_xlfn.XLOOKUP(AT$6, 'Real Estate'!$D$9:$BA$9, 'Real Estate'!$D$17:$BA$17), 0)</f>
        <v>0</v>
      </c>
      <c r="AU8" s="190">
        <f>IFERROR(_xlfn.XLOOKUP(AU$6, 'Real Estate'!$D$9:$BA$9, 'Real Estate'!$D$17:$BA$17), 0)</f>
        <v>0</v>
      </c>
      <c r="AV8" s="190">
        <f>IFERROR(_xlfn.XLOOKUP(AV$6, 'Real Estate'!$D$9:$BA$9, 'Real Estate'!$D$17:$BA$17), 0)</f>
        <v>0</v>
      </c>
      <c r="AW8" s="190">
        <f>IFERROR(_xlfn.XLOOKUP(AW$6, 'Real Estate'!$D$9:$BA$9, 'Real Estate'!$D$17:$BA$17), 0)</f>
        <v>0</v>
      </c>
      <c r="AX8" s="190">
        <f>IFERROR(_xlfn.XLOOKUP(AX$6, 'Real Estate'!$D$9:$BA$9, 'Real Estate'!$D$17:$BA$17), 0)</f>
        <v>0</v>
      </c>
    </row>
    <row r="9" spans="1:50" ht="14.25" customHeight="1">
      <c r="A9" s="1"/>
      <c r="B9" s="1"/>
      <c r="C9" s="664"/>
      <c r="D9" s="745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</row>
    <row r="10" spans="1:50" ht="14.25" customHeight="1">
      <c r="A10" s="1"/>
      <c r="B10" s="1"/>
      <c r="C10" s="222" t="s">
        <v>261</v>
      </c>
      <c r="D10" s="243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</row>
    <row r="11" spans="1:50" ht="14.25" customHeight="1">
      <c r="A11" s="1"/>
      <c r="B11" s="1"/>
      <c r="C11" s="98" t="s">
        <v>4</v>
      </c>
      <c r="D11" s="84"/>
      <c r="E11" s="190">
        <f>IFERROR(_xlfn.XLOOKUP(E$6, 'GEN-CCGT'!$D$9:$BA$9, 'GEN-CCGT'!$D$24:$BA$24)*'Assumptions &amp; Inputs'!$G$4, 0)</f>
        <v>-33.611111111111114</v>
      </c>
      <c r="F11" s="190">
        <f>IFERROR(_xlfn.XLOOKUP(F$6, 'GEN-CCGT'!$D$9:$BA$9, 'GEN-CCGT'!$D$24:$BA$24)*'Assumptions &amp; Inputs'!$G$4, 0)</f>
        <v>-36.666666666666664</v>
      </c>
      <c r="G11" s="190">
        <f>IFERROR(_xlfn.XLOOKUP(G$6, 'GEN-CCGT'!$D$9:$BA$9, 'GEN-CCGT'!$D$24:$BA$24)*'Assumptions &amp; Inputs'!$G$4, 0)</f>
        <v>-36.666666666666664</v>
      </c>
      <c r="H11" s="190">
        <f>IFERROR(_xlfn.XLOOKUP(H$6, 'GEN-CCGT'!$D$9:$BA$9, 'GEN-CCGT'!$D$24:$BA$24)*'Assumptions &amp; Inputs'!$G$4, 0)</f>
        <v>-3.0555555555555554</v>
      </c>
      <c r="I11" s="190">
        <f>IFERROR(_xlfn.XLOOKUP(I$6, 'GEN-CCGT'!$D$9:$BA$9, 'GEN-CCGT'!$D$24:$BA$24)*'Assumptions &amp; Inputs'!$G$4, 0)</f>
        <v>0</v>
      </c>
      <c r="J11" s="190">
        <f>IFERROR(_xlfn.XLOOKUP(J$6, 'GEN-CCGT'!$D$9:$BA$9, 'GEN-CCGT'!$D$24:$BA$24)*'Assumptions &amp; Inputs'!$G$4, 0)</f>
        <v>0</v>
      </c>
      <c r="K11" s="190">
        <f>IFERROR(_xlfn.XLOOKUP(K$6, 'GEN-CCGT'!$D$9:$BA$9, 'GEN-CCGT'!$D$24:$BA$24)*'Assumptions &amp; Inputs'!$G$4, 0)</f>
        <v>0</v>
      </c>
      <c r="L11" s="190">
        <f>IFERROR(_xlfn.XLOOKUP(L$6, 'GEN-CCGT'!$D$9:$BA$9, 'GEN-CCGT'!$D$24:$BA$24)*'Assumptions &amp; Inputs'!$G$4, 0)</f>
        <v>0</v>
      </c>
      <c r="M11" s="190">
        <f>IFERROR(_xlfn.XLOOKUP(M$6, 'GEN-CCGT'!$D$9:$BA$9, 'GEN-CCGT'!$D$24:$BA$24)*'Assumptions &amp; Inputs'!$G$4, 0)</f>
        <v>0</v>
      </c>
      <c r="N11" s="190">
        <f>IFERROR(_xlfn.XLOOKUP(N$6, 'GEN-CCGT'!$D$9:$BA$9, 'GEN-CCGT'!$D$24:$BA$24)*'Assumptions &amp; Inputs'!$G$4, 0)</f>
        <v>0</v>
      </c>
      <c r="O11" s="190">
        <f>IFERROR(_xlfn.XLOOKUP(O$6, 'GEN-CCGT'!$D$9:$BA$9, 'GEN-CCGT'!$D$24:$BA$24)*'Assumptions &amp; Inputs'!$G$4, 0)</f>
        <v>0</v>
      </c>
      <c r="P11" s="190">
        <f>IFERROR(_xlfn.XLOOKUP(P$6, 'GEN-CCGT'!$D$9:$BA$9, 'GEN-CCGT'!$D$24:$BA$24)*'Assumptions &amp; Inputs'!$G$4, 0)</f>
        <v>0</v>
      </c>
      <c r="Q11" s="190">
        <f>IFERROR(_xlfn.XLOOKUP(Q$6, 'GEN-CCGT'!$D$9:$BA$9, 'GEN-CCGT'!$D$24:$BA$24)*'Assumptions &amp; Inputs'!$G$4, 0)</f>
        <v>0</v>
      </c>
      <c r="R11" s="190">
        <f>IFERROR(_xlfn.XLOOKUP(R$6, 'GEN-CCGT'!$D$9:$BA$9, 'GEN-CCGT'!$D$24:$BA$24)*'Assumptions &amp; Inputs'!$G$4, 0)</f>
        <v>0</v>
      </c>
      <c r="S11" s="190">
        <f>IFERROR(_xlfn.XLOOKUP(S$6, 'GEN-CCGT'!$D$9:$BA$9, 'GEN-CCGT'!$D$24:$BA$24)*'Assumptions &amp; Inputs'!$G$4, 0)</f>
        <v>0</v>
      </c>
      <c r="T11" s="190">
        <f>IFERROR(_xlfn.XLOOKUP(T$6, 'GEN-CCGT'!$D$9:$BA$9, 'GEN-CCGT'!$D$24:$BA$24)*'Assumptions &amp; Inputs'!$G$4, 0)</f>
        <v>0</v>
      </c>
      <c r="U11" s="190">
        <f>IFERROR(_xlfn.XLOOKUP(U$6, 'GEN-CCGT'!$D$9:$BA$9, 'GEN-CCGT'!$D$24:$BA$24)*'Assumptions &amp; Inputs'!$G$4, 0)</f>
        <v>0</v>
      </c>
      <c r="V11" s="190">
        <f>IFERROR(_xlfn.XLOOKUP(V$6, 'GEN-CCGT'!$D$9:$BA$9, 'GEN-CCGT'!$D$24:$BA$24)*'Assumptions &amp; Inputs'!$G$4, 0)</f>
        <v>0</v>
      </c>
      <c r="W11" s="190">
        <f>IFERROR(_xlfn.XLOOKUP(W$6, 'GEN-CCGT'!$D$9:$BA$9, 'GEN-CCGT'!$D$24:$BA$24)*'Assumptions &amp; Inputs'!$G$4, 0)</f>
        <v>0</v>
      </c>
      <c r="X11" s="190">
        <f>IFERROR(_xlfn.XLOOKUP(X$6, 'GEN-CCGT'!$D$9:$BA$9, 'GEN-CCGT'!$D$24:$BA$24)*'Assumptions &amp; Inputs'!$G$4, 0)</f>
        <v>0</v>
      </c>
      <c r="Y11" s="190">
        <f>IFERROR(_xlfn.XLOOKUP(Y$6, 'GEN-CCGT'!$D$9:$BA$9, 'GEN-CCGT'!$D$24:$BA$24)*'Assumptions &amp; Inputs'!$G$4, 0)</f>
        <v>0</v>
      </c>
      <c r="Z11" s="190">
        <f>IFERROR(_xlfn.XLOOKUP(Z$6, 'GEN-CCGT'!$D$9:$BA$9, 'GEN-CCGT'!$D$24:$BA$24)*'Assumptions &amp; Inputs'!$G$4, 0)</f>
        <v>0</v>
      </c>
      <c r="AA11" s="190">
        <f>IFERROR(_xlfn.XLOOKUP(AA$6, 'GEN-CCGT'!$D$9:$BA$9, 'GEN-CCGT'!$D$24:$BA$24)*'Assumptions &amp; Inputs'!$G$4, 0)</f>
        <v>0</v>
      </c>
      <c r="AB11" s="190">
        <f>IFERROR(_xlfn.XLOOKUP(AB$6, 'GEN-CCGT'!$D$9:$BA$9, 'GEN-CCGT'!$D$24:$BA$24)*'Assumptions &amp; Inputs'!$G$4, 0)</f>
        <v>0</v>
      </c>
      <c r="AC11" s="190">
        <f>IFERROR(_xlfn.XLOOKUP(AC$6, 'GEN-CCGT'!$D$9:$BA$9, 'GEN-CCGT'!$D$24:$BA$24)*'Assumptions &amp; Inputs'!$G$4, 0)</f>
        <v>0</v>
      </c>
      <c r="AD11" s="190">
        <f>IFERROR(_xlfn.XLOOKUP(AD$6, 'GEN-CCGT'!$D$9:$BA$9, 'GEN-CCGT'!$D$24:$BA$24)*'Assumptions &amp; Inputs'!$G$4, 0)</f>
        <v>0</v>
      </c>
      <c r="AE11" s="190">
        <f>IFERROR(_xlfn.XLOOKUP(AE$6, 'GEN-CCGT'!$D$9:$BA$9, 'GEN-CCGT'!$D$24:$BA$24)*'Assumptions &amp; Inputs'!$G$4, 0)</f>
        <v>0</v>
      </c>
      <c r="AF11" s="190">
        <f>IFERROR(_xlfn.XLOOKUP(AF$6, 'GEN-CCGT'!$D$9:$BA$9, 'GEN-CCGT'!$D$24:$BA$24)*'Assumptions &amp; Inputs'!$G$4, 0)</f>
        <v>0</v>
      </c>
      <c r="AG11" s="190">
        <f>IFERROR(_xlfn.XLOOKUP(AG$6, 'GEN-CCGT'!$D$9:$BA$9, 'GEN-CCGT'!$D$24:$BA$24)*'Assumptions &amp; Inputs'!$G$4, 0)</f>
        <v>0</v>
      </c>
      <c r="AH11" s="190">
        <f>IFERROR(_xlfn.XLOOKUP(AH$6, 'GEN-CCGT'!$D$9:$BA$9, 'GEN-CCGT'!$D$24:$BA$24)*'Assumptions &amp; Inputs'!$G$4, 0)</f>
        <v>0</v>
      </c>
      <c r="AI11" s="190">
        <f>IFERROR(_xlfn.XLOOKUP(AI$6, 'GEN-CCGT'!$D$9:$BA$9, 'GEN-CCGT'!$D$24:$BA$24)*'Assumptions &amp; Inputs'!$G$4, 0)</f>
        <v>0</v>
      </c>
      <c r="AJ11" s="190">
        <f>IFERROR(_xlfn.XLOOKUP(AJ$6, 'GEN-CCGT'!$D$9:$BA$9, 'GEN-CCGT'!$D$24:$BA$24)*'Assumptions &amp; Inputs'!$G$4, 0)</f>
        <v>0</v>
      </c>
      <c r="AK11" s="190">
        <f>IFERROR(_xlfn.XLOOKUP(AK$6, 'GEN-CCGT'!$D$9:$BA$9, 'GEN-CCGT'!$D$24:$BA$24)*'Assumptions &amp; Inputs'!$G$4, 0)</f>
        <v>0</v>
      </c>
      <c r="AL11" s="190">
        <f>IFERROR(_xlfn.XLOOKUP(AL$6, 'GEN-CCGT'!$D$9:$BA$9, 'GEN-CCGT'!$D$24:$BA$24)*'Assumptions &amp; Inputs'!$G$4, 0)</f>
        <v>0</v>
      </c>
      <c r="AM11" s="190">
        <f>IFERROR(_xlfn.XLOOKUP(AM$6, 'GEN-CCGT'!$D$9:$BA$9, 'GEN-CCGT'!$D$24:$BA$24)*'Assumptions &amp; Inputs'!$G$4, 0)</f>
        <v>0</v>
      </c>
      <c r="AN11" s="190">
        <f>IFERROR(_xlfn.XLOOKUP(AN$6, 'GEN-CCGT'!$D$9:$BA$9, 'GEN-CCGT'!$D$24:$BA$24)*'Assumptions &amp; Inputs'!$G$4, 0)</f>
        <v>0</v>
      </c>
      <c r="AO11" s="190">
        <f>IFERROR(_xlfn.XLOOKUP(AO$6, 'GEN-CCGT'!$D$9:$BA$9, 'GEN-CCGT'!$D$24:$BA$24)*'Assumptions &amp; Inputs'!$G$4, 0)</f>
        <v>0</v>
      </c>
      <c r="AP11" s="190">
        <f>IFERROR(_xlfn.XLOOKUP(AP$6, 'GEN-CCGT'!$D$9:$BA$9, 'GEN-CCGT'!$D$24:$BA$24)*'Assumptions &amp; Inputs'!$G$4, 0)</f>
        <v>0</v>
      </c>
      <c r="AQ11" s="190">
        <f>IFERROR(_xlfn.XLOOKUP(AQ$6, 'GEN-CCGT'!$D$9:$BA$9, 'GEN-CCGT'!$D$24:$BA$24)*'Assumptions &amp; Inputs'!$G$4, 0)</f>
        <v>0</v>
      </c>
      <c r="AR11" s="190">
        <f>IFERROR(_xlfn.XLOOKUP(AR$6, 'GEN-CCGT'!$D$9:$BA$9, 'GEN-CCGT'!$D$24:$BA$24)*'Assumptions &amp; Inputs'!$G$4, 0)</f>
        <v>0</v>
      </c>
      <c r="AS11" s="190">
        <f>IFERROR(_xlfn.XLOOKUP(AS$6, 'GEN-CCGT'!$D$9:$BA$9, 'GEN-CCGT'!$D$24:$BA$24)*'Assumptions &amp; Inputs'!$G$4, 0)</f>
        <v>0</v>
      </c>
      <c r="AT11" s="190">
        <f>IFERROR(_xlfn.XLOOKUP(AT$6, 'GEN-CCGT'!$D$9:$BA$9, 'GEN-CCGT'!$D$24:$BA$24)*'Assumptions &amp; Inputs'!$G$4, 0)</f>
        <v>0</v>
      </c>
      <c r="AU11" s="190">
        <f>IFERROR(_xlfn.XLOOKUP(AU$6, 'GEN-CCGT'!$D$9:$BA$9, 'GEN-CCGT'!$D$24:$BA$24)*'Assumptions &amp; Inputs'!$G$4, 0)</f>
        <v>0</v>
      </c>
      <c r="AV11" s="190">
        <f>IFERROR(_xlfn.XLOOKUP(AV$6, 'GEN-CCGT'!$D$9:$BA$9, 'GEN-CCGT'!$D$24:$BA$24)*'Assumptions &amp; Inputs'!$G$4, 0)</f>
        <v>0</v>
      </c>
      <c r="AW11" s="190">
        <f>IFERROR(_xlfn.XLOOKUP(AW$6, 'GEN-CCGT'!$D$9:$BA$9, 'GEN-CCGT'!$D$24:$BA$24)*'Assumptions &amp; Inputs'!$G$4, 0)</f>
        <v>0</v>
      </c>
      <c r="AX11" s="190">
        <f>IFERROR(_xlfn.XLOOKUP(AX$6, 'GEN-CCGT'!$D$9:$BA$9, 'GEN-CCGT'!$D$24:$BA$24)*'Assumptions &amp; Inputs'!$G$4, 0)</f>
        <v>0</v>
      </c>
    </row>
    <row r="12" spans="1:50" ht="14.25" customHeight="1">
      <c r="A12" s="1"/>
      <c r="B12" s="1"/>
      <c r="C12" s="98" t="s">
        <v>6</v>
      </c>
      <c r="D12" s="84"/>
      <c r="E12" s="190">
        <f>IFERROR(_xlfn.XLOOKUP(E6, 'GEN-SOLAR'!$D$9:$BA$9, 'GEN-SOLAR'!$D$24:$BA$24)*'Assumptions &amp; Inputs'!$H$4, 0)</f>
        <v>-73.333333333333343</v>
      </c>
      <c r="F12" s="190">
        <f>IFERROR(_xlfn.XLOOKUP(F6, 'GEN-SOLAR'!$D$9:$BA$9, 'GEN-SOLAR'!$D$24:$BA$24)*'Assumptions &amp; Inputs'!$H$4, 0)</f>
        <v>-46.666666666666664</v>
      </c>
      <c r="G12" s="190">
        <f>IFERROR(_xlfn.XLOOKUP(G6, 'GEN-SOLAR'!$D$9:$BA$9, 'GEN-SOLAR'!$D$24:$BA$24)*'Assumptions &amp; Inputs'!$H$4, 0)</f>
        <v>0</v>
      </c>
      <c r="H12" s="190">
        <f>IFERROR(_xlfn.XLOOKUP(H6, 'GEN-SOLAR'!$D$9:$BA$9, 'GEN-SOLAR'!$D$24:$BA$24)*'Assumptions &amp; Inputs'!$H$4, 0)</f>
        <v>0</v>
      </c>
      <c r="I12" s="190">
        <f>IFERROR(_xlfn.XLOOKUP(I6, 'GEN-SOLAR'!$D$9:$BA$9, 'GEN-SOLAR'!$D$24:$BA$24)*'Assumptions &amp; Inputs'!$H$4, 0)</f>
        <v>0</v>
      </c>
      <c r="J12" s="190">
        <f>IFERROR(_xlfn.XLOOKUP(J6, 'GEN-SOLAR'!$D$9:$BA$9, 'GEN-SOLAR'!$D$24:$BA$24)*'Assumptions &amp; Inputs'!$H$4, 0)</f>
        <v>0</v>
      </c>
      <c r="K12" s="190">
        <f>IFERROR(_xlfn.XLOOKUP(K6, 'GEN-SOLAR'!$D$9:$BA$9, 'GEN-SOLAR'!$D$24:$BA$24)*'Assumptions &amp; Inputs'!$H$4, 0)</f>
        <v>0</v>
      </c>
      <c r="L12" s="190">
        <f>IFERROR(_xlfn.XLOOKUP(L6, 'GEN-SOLAR'!$D$9:$BA$9, 'GEN-SOLAR'!$D$24:$BA$24)*'Assumptions &amp; Inputs'!$H$4, 0)</f>
        <v>0</v>
      </c>
      <c r="M12" s="190">
        <f>IFERROR(_xlfn.XLOOKUP(M6, 'GEN-SOLAR'!$D$9:$BA$9, 'GEN-SOLAR'!$D$24:$BA$24)*'Assumptions &amp; Inputs'!$H$4, 0)</f>
        <v>0</v>
      </c>
      <c r="N12" s="190">
        <f>IFERROR(_xlfn.XLOOKUP(N6, 'GEN-SOLAR'!$D$9:$BA$9, 'GEN-SOLAR'!$D$24:$BA$24)*'Assumptions &amp; Inputs'!$H$4, 0)</f>
        <v>0</v>
      </c>
      <c r="O12" s="190">
        <f>IFERROR(_xlfn.XLOOKUP(O6, 'GEN-SOLAR'!$D$9:$BA$9, 'GEN-SOLAR'!$D$24:$BA$24)*'Assumptions &amp; Inputs'!$H$4, 0)</f>
        <v>0</v>
      </c>
      <c r="P12" s="190">
        <f>IFERROR(_xlfn.XLOOKUP(P6, 'GEN-SOLAR'!$D$9:$BA$9, 'GEN-SOLAR'!$D$24:$BA$24)*'Assumptions &amp; Inputs'!$H$4, 0)</f>
        <v>0</v>
      </c>
      <c r="Q12" s="190">
        <f>IFERROR(_xlfn.XLOOKUP(Q6, 'GEN-SOLAR'!$D$9:$BA$9, 'GEN-SOLAR'!$D$24:$BA$24)*'Assumptions &amp; Inputs'!$H$4, 0)</f>
        <v>0</v>
      </c>
      <c r="R12" s="190">
        <f>IFERROR(_xlfn.XLOOKUP(R6, 'GEN-SOLAR'!$D$9:$BA$9, 'GEN-SOLAR'!$D$24:$BA$24)*'Assumptions &amp; Inputs'!$H$4, 0)</f>
        <v>0</v>
      </c>
      <c r="S12" s="190">
        <f>IFERROR(_xlfn.XLOOKUP(S6, 'GEN-SOLAR'!$D$9:$BA$9, 'GEN-SOLAR'!$D$24:$BA$24)*'Assumptions &amp; Inputs'!$H$4, 0)</f>
        <v>0</v>
      </c>
      <c r="T12" s="190">
        <f>IFERROR(_xlfn.XLOOKUP(T6, 'GEN-SOLAR'!$D$9:$BA$9, 'GEN-SOLAR'!$D$24:$BA$24)*'Assumptions &amp; Inputs'!$H$4, 0)</f>
        <v>0</v>
      </c>
      <c r="U12" s="190">
        <f>IFERROR(_xlfn.XLOOKUP(U6, 'GEN-SOLAR'!$D$9:$BA$9, 'GEN-SOLAR'!$D$24:$BA$24)*'Assumptions &amp; Inputs'!$H$4, 0)</f>
        <v>0</v>
      </c>
      <c r="V12" s="190">
        <f>IFERROR(_xlfn.XLOOKUP(V6, 'GEN-SOLAR'!$D$9:$BA$9, 'GEN-SOLAR'!$D$24:$BA$24)*'Assumptions &amp; Inputs'!$H$4, 0)</f>
        <v>0</v>
      </c>
      <c r="W12" s="190">
        <f>IFERROR(_xlfn.XLOOKUP(W6, 'GEN-SOLAR'!$D$9:$BA$9, 'GEN-SOLAR'!$D$24:$BA$24)*'Assumptions &amp; Inputs'!$H$4, 0)</f>
        <v>0</v>
      </c>
      <c r="X12" s="190">
        <f>IFERROR(_xlfn.XLOOKUP(X6, 'GEN-SOLAR'!$D$9:$BA$9, 'GEN-SOLAR'!$D$24:$BA$24)*'Assumptions &amp; Inputs'!$H$4, 0)</f>
        <v>0</v>
      </c>
      <c r="Y12" s="190">
        <f>IFERROR(_xlfn.XLOOKUP(Y6, 'GEN-SOLAR'!$D$9:$BA$9, 'GEN-SOLAR'!$D$24:$BA$24)*'Assumptions &amp; Inputs'!$H$4, 0)</f>
        <v>0</v>
      </c>
      <c r="Z12" s="190">
        <f>IFERROR(_xlfn.XLOOKUP(Z6, 'GEN-SOLAR'!$D$9:$BA$9, 'GEN-SOLAR'!$D$24:$BA$24)*'Assumptions &amp; Inputs'!$H$4, 0)</f>
        <v>0</v>
      </c>
      <c r="AA12" s="190">
        <f>IFERROR(_xlfn.XLOOKUP(AA6, 'GEN-SOLAR'!$D$9:$BA$9, 'GEN-SOLAR'!$D$24:$BA$24)*'Assumptions &amp; Inputs'!$H$4, 0)</f>
        <v>0</v>
      </c>
      <c r="AB12" s="190">
        <f>IFERROR(_xlfn.XLOOKUP(AB6, 'GEN-SOLAR'!$D$9:$BA$9, 'GEN-SOLAR'!$D$24:$BA$24)*'Assumptions &amp; Inputs'!$H$4, 0)</f>
        <v>0</v>
      </c>
      <c r="AC12" s="190">
        <f>IFERROR(_xlfn.XLOOKUP(AC6, 'GEN-SOLAR'!$D$9:$BA$9, 'GEN-SOLAR'!$D$24:$BA$24)*'Assumptions &amp; Inputs'!$H$4, 0)</f>
        <v>0</v>
      </c>
      <c r="AD12" s="190">
        <f>IFERROR(_xlfn.XLOOKUP(AD6, 'GEN-SOLAR'!$D$9:$BA$9, 'GEN-SOLAR'!$D$24:$BA$24)*'Assumptions &amp; Inputs'!$H$4, 0)</f>
        <v>0</v>
      </c>
      <c r="AE12" s="190">
        <f>IFERROR(_xlfn.XLOOKUP(AE6, 'GEN-SOLAR'!$D$9:$BA$9, 'GEN-SOLAR'!$D$24:$BA$24)*'Assumptions &amp; Inputs'!$H$4, 0)</f>
        <v>0</v>
      </c>
      <c r="AF12" s="190">
        <f>IFERROR(_xlfn.XLOOKUP(AF6, 'GEN-SOLAR'!$D$9:$BA$9, 'GEN-SOLAR'!$D$24:$BA$24)*'Assumptions &amp; Inputs'!$H$4, 0)</f>
        <v>0</v>
      </c>
      <c r="AG12" s="190">
        <f>IFERROR(_xlfn.XLOOKUP(AG6, 'GEN-SOLAR'!$D$9:$BA$9, 'GEN-SOLAR'!$D$24:$BA$24)*'Assumptions &amp; Inputs'!$H$4, 0)</f>
        <v>0</v>
      </c>
      <c r="AH12" s="190">
        <f>IFERROR(_xlfn.XLOOKUP(AH6, 'GEN-SOLAR'!$D$9:$BA$9, 'GEN-SOLAR'!$D$24:$BA$24)*'Assumptions &amp; Inputs'!$H$4, 0)</f>
        <v>0</v>
      </c>
      <c r="AI12" s="190">
        <f>IFERROR(_xlfn.XLOOKUP(AI6, 'GEN-SOLAR'!$D$9:$BA$9, 'GEN-SOLAR'!$D$24:$BA$24)*'Assumptions &amp; Inputs'!$H$4, 0)</f>
        <v>0</v>
      </c>
      <c r="AJ12" s="190">
        <f>IFERROR(_xlfn.XLOOKUP(AJ6, 'GEN-SOLAR'!$D$9:$BA$9, 'GEN-SOLAR'!$D$24:$BA$24)*'Assumptions &amp; Inputs'!$H$4, 0)</f>
        <v>0</v>
      </c>
      <c r="AK12" s="190">
        <f>IFERROR(_xlfn.XLOOKUP(AK6, 'GEN-SOLAR'!$D$9:$BA$9, 'GEN-SOLAR'!$D$24:$BA$24)*'Assumptions &amp; Inputs'!$H$4, 0)</f>
        <v>0</v>
      </c>
      <c r="AL12" s="190">
        <f>IFERROR(_xlfn.XLOOKUP(AL6, 'GEN-SOLAR'!$D$9:$BA$9, 'GEN-SOLAR'!$D$24:$BA$24)*'Assumptions &amp; Inputs'!$H$4, 0)</f>
        <v>0</v>
      </c>
      <c r="AM12" s="190">
        <f>IFERROR(_xlfn.XLOOKUP(AM6, 'GEN-SOLAR'!$D$9:$BA$9, 'GEN-SOLAR'!$D$24:$BA$24)*'Assumptions &amp; Inputs'!$H$4, 0)</f>
        <v>0</v>
      </c>
      <c r="AN12" s="190">
        <f>IFERROR(_xlfn.XLOOKUP(AN6, 'GEN-SOLAR'!$D$9:$BA$9, 'GEN-SOLAR'!$D$24:$BA$24)*'Assumptions &amp; Inputs'!$H$4, 0)</f>
        <v>0</v>
      </c>
      <c r="AO12" s="190">
        <f>IFERROR(_xlfn.XLOOKUP(AO6, 'GEN-SOLAR'!$D$9:$BA$9, 'GEN-SOLAR'!$D$24:$BA$24)*'Assumptions &amp; Inputs'!$H$4, 0)</f>
        <v>0</v>
      </c>
      <c r="AP12" s="190">
        <f>IFERROR(_xlfn.XLOOKUP(AP6, 'GEN-SOLAR'!$D$9:$BA$9, 'GEN-SOLAR'!$D$24:$BA$24)*'Assumptions &amp; Inputs'!$H$4, 0)</f>
        <v>0</v>
      </c>
      <c r="AQ12" s="190">
        <f>IFERROR(_xlfn.XLOOKUP(AQ6, 'GEN-SOLAR'!$D$9:$BA$9, 'GEN-SOLAR'!$D$24:$BA$24)*'Assumptions &amp; Inputs'!$H$4, 0)</f>
        <v>0</v>
      </c>
      <c r="AR12" s="190">
        <f>IFERROR(_xlfn.XLOOKUP(AR6, 'GEN-SOLAR'!$D$9:$BA$9, 'GEN-SOLAR'!$D$24:$BA$24)*'Assumptions &amp; Inputs'!$H$4, 0)</f>
        <v>0</v>
      </c>
      <c r="AS12" s="190">
        <f>IFERROR(_xlfn.XLOOKUP(AS6, 'GEN-SOLAR'!$D$9:$BA$9, 'GEN-SOLAR'!$D$24:$BA$24)*'Assumptions &amp; Inputs'!$H$4, 0)</f>
        <v>0</v>
      </c>
      <c r="AT12" s="190">
        <f>IFERROR(_xlfn.XLOOKUP(AT6, 'GEN-SOLAR'!$D$9:$BA$9, 'GEN-SOLAR'!$D$24:$BA$24)*'Assumptions &amp; Inputs'!$H$4, 0)</f>
        <v>0</v>
      </c>
      <c r="AU12" s="190">
        <f>IFERROR(_xlfn.XLOOKUP(AU6, 'GEN-SOLAR'!$D$9:$BA$9, 'GEN-SOLAR'!$D$24:$BA$24)*'Assumptions &amp; Inputs'!$H$4, 0)</f>
        <v>0</v>
      </c>
      <c r="AV12" s="190">
        <f>IFERROR(_xlfn.XLOOKUP(AV6, 'GEN-SOLAR'!$D$9:$BA$9, 'GEN-SOLAR'!$D$24:$BA$24)*'Assumptions &amp; Inputs'!$H$4, 0)</f>
        <v>0</v>
      </c>
      <c r="AW12" s="190">
        <f>IFERROR(_xlfn.XLOOKUP(AW6, 'GEN-SOLAR'!$D$9:$BA$9, 'GEN-SOLAR'!$D$24:$BA$24)*'Assumptions &amp; Inputs'!$H$4, 0)</f>
        <v>0</v>
      </c>
      <c r="AX12" s="190">
        <f>IFERROR(_xlfn.XLOOKUP(AX6, 'GEN-SOLAR'!$D$9:$BA$9, 'GEN-SOLAR'!$D$24:$BA$24)*'Assumptions &amp; Inputs'!$H$4, 0)</f>
        <v>0</v>
      </c>
    </row>
    <row r="13" spans="1:50" ht="14.25" customHeight="1">
      <c r="A13" s="1"/>
      <c r="B13" s="1"/>
      <c r="C13" s="98" t="s">
        <v>355</v>
      </c>
      <c r="D13" s="84"/>
      <c r="E13" s="190">
        <f>IFERROR(_xlfn.XLOOKUP(E6, 'GEN-BESS'!$D$9:$BA$9, 'GEN-BESS'!$D$24:$BA$24)*'Assumptions &amp; Inputs'!$F$4, 0)</f>
        <v>-105.41666666666666</v>
      </c>
      <c r="F13" s="190">
        <f>IFERROR(_xlfn.XLOOKUP(F6, 'GEN-BESS'!$D$9:$BA$9, 'GEN-BESS'!$D$24:$BA$24)*'Assumptions &amp; Inputs'!$F$4, 0)</f>
        <v>-9.5833333333333321</v>
      </c>
      <c r="G13" s="190">
        <f>IFERROR(_xlfn.XLOOKUP(G6, 'GEN-BESS'!$D$9:$BA$9, 'GEN-BESS'!$D$24:$BA$24)*'Assumptions &amp; Inputs'!$F$4, 0)</f>
        <v>0</v>
      </c>
      <c r="H13" s="190">
        <f>IFERROR(_xlfn.XLOOKUP(H6, 'GEN-BESS'!$D$9:$BA$9, 'GEN-BESS'!$D$24:$BA$24)*'Assumptions &amp; Inputs'!$F$4, 0)</f>
        <v>0</v>
      </c>
      <c r="I13" s="190">
        <f>IFERROR(_xlfn.XLOOKUP(I6, 'GEN-BESS'!$D$9:$BA$9, 'GEN-BESS'!$D$24:$BA$24)*'Assumptions &amp; Inputs'!$F$4, 0)</f>
        <v>0</v>
      </c>
      <c r="J13" s="190">
        <f>IFERROR(_xlfn.XLOOKUP(J6, 'GEN-BESS'!$D$9:$BA$9, 'GEN-BESS'!$D$24:$BA$24)*'Assumptions &amp; Inputs'!$F$4, 0)</f>
        <v>0</v>
      </c>
      <c r="K13" s="190">
        <f>IFERROR(_xlfn.XLOOKUP(K6, 'GEN-BESS'!$D$9:$BA$9, 'GEN-BESS'!$D$24:$BA$24)*'Assumptions &amp; Inputs'!$F$4, 0)</f>
        <v>0</v>
      </c>
      <c r="L13" s="190">
        <f>IFERROR(_xlfn.XLOOKUP(L6, 'GEN-BESS'!$D$9:$BA$9, 'GEN-BESS'!$D$24:$BA$24)*'Assumptions &amp; Inputs'!$F$4, 0)</f>
        <v>0</v>
      </c>
      <c r="M13" s="190">
        <f>IFERROR(_xlfn.XLOOKUP(M6, 'GEN-BESS'!$D$9:$BA$9, 'GEN-BESS'!$D$24:$BA$24)*'Assumptions &amp; Inputs'!$F$4, 0)</f>
        <v>0</v>
      </c>
      <c r="N13" s="190">
        <f>IFERROR(_xlfn.XLOOKUP(N6, 'GEN-BESS'!$D$9:$BA$9, 'GEN-BESS'!$D$24:$BA$24)*'Assumptions &amp; Inputs'!$F$4, 0)</f>
        <v>0</v>
      </c>
      <c r="O13" s="190">
        <f>IFERROR(_xlfn.XLOOKUP(O6, 'GEN-BESS'!$D$9:$BA$9, 'GEN-BESS'!$D$24:$BA$24)*'Assumptions &amp; Inputs'!$F$4, 0)</f>
        <v>0</v>
      </c>
      <c r="P13" s="190">
        <f>IFERROR(_xlfn.XLOOKUP(P6, 'GEN-BESS'!$D$9:$BA$9, 'GEN-BESS'!$D$24:$BA$24)*'Assumptions &amp; Inputs'!$F$4, 0)</f>
        <v>0</v>
      </c>
      <c r="Q13" s="190">
        <f>IFERROR(_xlfn.XLOOKUP(Q6, 'GEN-BESS'!$D$9:$BA$9, 'GEN-BESS'!$D$24:$BA$24)*'Assumptions &amp; Inputs'!$F$4, 0)</f>
        <v>0</v>
      </c>
      <c r="R13" s="190">
        <f>IFERROR(_xlfn.XLOOKUP(R6, 'GEN-BESS'!$D$9:$BA$9, 'GEN-BESS'!$D$24:$BA$24)*'Assumptions &amp; Inputs'!$F$4, 0)</f>
        <v>0</v>
      </c>
      <c r="S13" s="190">
        <f>IFERROR(_xlfn.XLOOKUP(S6, 'GEN-BESS'!$D$9:$BA$9, 'GEN-BESS'!$D$24:$BA$24)*'Assumptions &amp; Inputs'!$F$4, 0)</f>
        <v>0</v>
      </c>
      <c r="T13" s="190">
        <f>IFERROR(_xlfn.XLOOKUP(T6, 'GEN-BESS'!$D$9:$BA$9, 'GEN-BESS'!$D$24:$BA$24)*'Assumptions &amp; Inputs'!$F$4, 0)</f>
        <v>0</v>
      </c>
      <c r="U13" s="190">
        <f>IFERROR(_xlfn.XLOOKUP(U6, 'GEN-BESS'!$D$9:$BA$9, 'GEN-BESS'!$D$24:$BA$24)*'Assumptions &amp; Inputs'!$F$4, 0)</f>
        <v>0</v>
      </c>
      <c r="V13" s="190">
        <f>IFERROR(_xlfn.XLOOKUP(V6, 'GEN-BESS'!$D$9:$BA$9, 'GEN-BESS'!$D$24:$BA$24)*'Assumptions &amp; Inputs'!$F$4, 0)</f>
        <v>0</v>
      </c>
      <c r="W13" s="190">
        <f>IFERROR(_xlfn.XLOOKUP(W6, 'GEN-BESS'!$D$9:$BA$9, 'GEN-BESS'!$D$24:$BA$24)*'Assumptions &amp; Inputs'!$F$4, 0)</f>
        <v>0</v>
      </c>
      <c r="X13" s="190">
        <f>IFERROR(_xlfn.XLOOKUP(X6, 'GEN-BESS'!$D$9:$BA$9, 'GEN-BESS'!$D$24:$BA$24)*'Assumptions &amp; Inputs'!$F$4, 0)</f>
        <v>0</v>
      </c>
      <c r="Y13" s="190">
        <f>IFERROR(_xlfn.XLOOKUP(Y6, 'GEN-BESS'!$D$9:$BA$9, 'GEN-BESS'!$D$24:$BA$24)*'Assumptions &amp; Inputs'!$F$4, 0)</f>
        <v>0</v>
      </c>
      <c r="Z13" s="190">
        <f>IFERROR(_xlfn.XLOOKUP(Z6, 'GEN-BESS'!$D$9:$BA$9, 'GEN-BESS'!$D$24:$BA$24)*'Assumptions &amp; Inputs'!$F$4, 0)</f>
        <v>0</v>
      </c>
      <c r="AA13" s="190">
        <f>IFERROR(_xlfn.XLOOKUP(AA6, 'GEN-BESS'!$D$9:$BA$9, 'GEN-BESS'!$D$24:$BA$24)*'Assumptions &amp; Inputs'!$F$4, 0)</f>
        <v>0</v>
      </c>
      <c r="AB13" s="190">
        <f>IFERROR(_xlfn.XLOOKUP(AB6, 'GEN-BESS'!$D$9:$BA$9, 'GEN-BESS'!$D$24:$BA$24)*'Assumptions &amp; Inputs'!$F$4, 0)</f>
        <v>0</v>
      </c>
      <c r="AC13" s="190">
        <f>IFERROR(_xlfn.XLOOKUP(AC6, 'GEN-BESS'!$D$9:$BA$9, 'GEN-BESS'!$D$24:$BA$24)*'Assumptions &amp; Inputs'!$F$4, 0)</f>
        <v>0</v>
      </c>
      <c r="AD13" s="190">
        <f>IFERROR(_xlfn.XLOOKUP(AD6, 'GEN-BESS'!$D$9:$BA$9, 'GEN-BESS'!$D$24:$BA$24)*'Assumptions &amp; Inputs'!$F$4, 0)</f>
        <v>0</v>
      </c>
      <c r="AE13" s="190">
        <f>IFERROR(_xlfn.XLOOKUP(AE6, 'GEN-BESS'!$D$9:$BA$9, 'GEN-BESS'!$D$24:$BA$24)*'Assumptions &amp; Inputs'!$F$4, 0)</f>
        <v>0</v>
      </c>
      <c r="AF13" s="190">
        <f>IFERROR(_xlfn.XLOOKUP(AF6, 'GEN-BESS'!$D$9:$BA$9, 'GEN-BESS'!$D$24:$BA$24)*'Assumptions &amp; Inputs'!$F$4, 0)</f>
        <v>0</v>
      </c>
      <c r="AG13" s="190">
        <f>IFERROR(_xlfn.XLOOKUP(AG6, 'GEN-BESS'!$D$9:$BA$9, 'GEN-BESS'!$D$24:$BA$24)*'Assumptions &amp; Inputs'!$F$4, 0)</f>
        <v>0</v>
      </c>
      <c r="AH13" s="190">
        <f>IFERROR(_xlfn.XLOOKUP(AH6, 'GEN-BESS'!$D$9:$BA$9, 'GEN-BESS'!$D$24:$BA$24)*'Assumptions &amp; Inputs'!$F$4, 0)</f>
        <v>0</v>
      </c>
      <c r="AI13" s="190">
        <f>IFERROR(_xlfn.XLOOKUP(AI6, 'GEN-BESS'!$D$9:$BA$9, 'GEN-BESS'!$D$24:$BA$24)*'Assumptions &amp; Inputs'!$F$4, 0)</f>
        <v>0</v>
      </c>
      <c r="AJ13" s="190">
        <f>IFERROR(_xlfn.XLOOKUP(AJ6, 'GEN-BESS'!$D$9:$BA$9, 'GEN-BESS'!$D$24:$BA$24)*'Assumptions &amp; Inputs'!$F$4, 0)</f>
        <v>0</v>
      </c>
      <c r="AK13" s="190">
        <f>IFERROR(_xlfn.XLOOKUP(AK6, 'GEN-BESS'!$D$9:$BA$9, 'GEN-BESS'!$D$24:$BA$24)*'Assumptions &amp; Inputs'!$F$4, 0)</f>
        <v>0</v>
      </c>
      <c r="AL13" s="190">
        <f>IFERROR(_xlfn.XLOOKUP(AL6, 'GEN-BESS'!$D$9:$BA$9, 'GEN-BESS'!$D$24:$BA$24)*'Assumptions &amp; Inputs'!$F$4, 0)</f>
        <v>0</v>
      </c>
      <c r="AM13" s="190">
        <f>IFERROR(_xlfn.XLOOKUP(AM6, 'GEN-BESS'!$D$9:$BA$9, 'GEN-BESS'!$D$24:$BA$24)*'Assumptions &amp; Inputs'!$F$4, 0)</f>
        <v>0</v>
      </c>
      <c r="AN13" s="190">
        <f>IFERROR(_xlfn.XLOOKUP(AN6, 'GEN-BESS'!$D$9:$BA$9, 'GEN-BESS'!$D$24:$BA$24)*'Assumptions &amp; Inputs'!$F$4, 0)</f>
        <v>0</v>
      </c>
      <c r="AO13" s="190">
        <f>IFERROR(_xlfn.XLOOKUP(AO6, 'GEN-BESS'!$D$9:$BA$9, 'GEN-BESS'!$D$24:$BA$24)*'Assumptions &amp; Inputs'!$F$4, 0)</f>
        <v>0</v>
      </c>
      <c r="AP13" s="190">
        <f>IFERROR(_xlfn.XLOOKUP(AP6, 'GEN-BESS'!$D$9:$BA$9, 'GEN-BESS'!$D$24:$BA$24)*'Assumptions &amp; Inputs'!$F$4, 0)</f>
        <v>0</v>
      </c>
      <c r="AQ13" s="190">
        <f>IFERROR(_xlfn.XLOOKUP(AQ6, 'GEN-BESS'!$D$9:$BA$9, 'GEN-BESS'!$D$24:$BA$24)*'Assumptions &amp; Inputs'!$F$4, 0)</f>
        <v>0</v>
      </c>
      <c r="AR13" s="190">
        <f>IFERROR(_xlfn.XLOOKUP(AR6, 'GEN-BESS'!$D$9:$BA$9, 'GEN-BESS'!$D$24:$BA$24)*'Assumptions &amp; Inputs'!$F$4, 0)</f>
        <v>0</v>
      </c>
      <c r="AS13" s="190">
        <f>IFERROR(_xlfn.XLOOKUP(AS6, 'GEN-BESS'!$D$9:$BA$9, 'GEN-BESS'!$D$24:$BA$24)*'Assumptions &amp; Inputs'!$F$4, 0)</f>
        <v>0</v>
      </c>
      <c r="AT13" s="190">
        <f>IFERROR(_xlfn.XLOOKUP(AT6, 'GEN-BESS'!$D$9:$BA$9, 'GEN-BESS'!$D$24:$BA$24)*'Assumptions &amp; Inputs'!$F$4, 0)</f>
        <v>0</v>
      </c>
      <c r="AU13" s="190">
        <f>IFERROR(_xlfn.XLOOKUP(AU6, 'GEN-BESS'!$D$9:$BA$9, 'GEN-BESS'!$D$24:$BA$24)*'Assumptions &amp; Inputs'!$F$4, 0)</f>
        <v>0</v>
      </c>
      <c r="AV13" s="190">
        <f>IFERROR(_xlfn.XLOOKUP(AV6, 'GEN-BESS'!$D$9:$BA$9, 'GEN-BESS'!$D$24:$BA$24)*'Assumptions &amp; Inputs'!$F$4, 0)</f>
        <v>0</v>
      </c>
      <c r="AW13" s="190">
        <f>IFERROR(_xlfn.XLOOKUP(AW6, 'GEN-BESS'!$D$9:$BA$9, 'GEN-BESS'!$D$24:$BA$24)*'Assumptions &amp; Inputs'!$F$4, 0)</f>
        <v>0</v>
      </c>
      <c r="AX13" s="190">
        <f>IFERROR(_xlfn.XLOOKUP(AX6, 'GEN-BESS'!$D$9:$BA$9, 'GEN-BESS'!$D$24:$BA$24)*'Assumptions &amp; Inputs'!$F$4, 0)</f>
        <v>0</v>
      </c>
    </row>
    <row r="14" spans="1:50" ht="14.25" customHeight="1">
      <c r="A14" s="1"/>
      <c r="B14" s="1"/>
      <c r="C14" s="98" t="s">
        <v>9</v>
      </c>
      <c r="D14" s="84"/>
      <c r="E14" s="190">
        <f>IFERROR(_xlfn.XLOOKUP(E6, 'GEN-CARBON'!$D$9:$BA$9, 'GEN-CARBON'!$D$24:$BA$24)*'Assumptions &amp; Inputs'!$I$4, 0)</f>
        <v>-82.5</v>
      </c>
      <c r="F14" s="190">
        <f>IFERROR(_xlfn.XLOOKUP(F6, 'GEN-CARBON'!$D$9:$BA$9, 'GEN-CARBON'!$D$24:$BA$24)*'Assumptions &amp; Inputs'!$I$4, 0)</f>
        <v>-90</v>
      </c>
      <c r="G14" s="190">
        <f>IFERROR(_xlfn.XLOOKUP(G6, 'GEN-CARBON'!$D$9:$BA$9, 'GEN-CARBON'!$D$24:$BA$24)*'Assumptions &amp; Inputs'!$I$4, 0)</f>
        <v>-90</v>
      </c>
      <c r="H14" s="190">
        <f>IFERROR(_xlfn.XLOOKUP(H6, 'GEN-CARBON'!$D$9:$BA$9, 'GEN-CARBON'!$D$24:$BA$24)*'Assumptions &amp; Inputs'!$I$4, 0)</f>
        <v>-90</v>
      </c>
      <c r="I14" s="190">
        <f>IFERROR(_xlfn.XLOOKUP(I6, 'GEN-CARBON'!$D$9:$BA$9, 'GEN-CARBON'!$D$24:$BA$24)*'Assumptions &amp; Inputs'!$I$4, 0)</f>
        <v>-7.5</v>
      </c>
      <c r="J14" s="190">
        <f>IFERROR(_xlfn.XLOOKUP(J6, 'GEN-CARBON'!$D$9:$BA$9, 'GEN-CARBON'!$D$24:$BA$24)*'Assumptions &amp; Inputs'!$I$4, 0)</f>
        <v>0</v>
      </c>
      <c r="K14" s="190">
        <f>IFERROR(_xlfn.XLOOKUP(K6, 'GEN-CARBON'!$D$9:$BA$9, 'GEN-CARBON'!$D$24:$BA$24)*'Assumptions &amp; Inputs'!$I$4, 0)</f>
        <v>0</v>
      </c>
      <c r="L14" s="190">
        <f>IFERROR(_xlfn.XLOOKUP(L6, 'GEN-CARBON'!$D$9:$BA$9, 'GEN-CARBON'!$D$24:$BA$24)*'Assumptions &amp; Inputs'!$I$4, 0)</f>
        <v>0</v>
      </c>
      <c r="M14" s="190">
        <f>IFERROR(_xlfn.XLOOKUP(M6, 'GEN-CARBON'!$D$9:$BA$9, 'GEN-CARBON'!$D$24:$BA$24)*'Assumptions &amp; Inputs'!$I$4, 0)</f>
        <v>0</v>
      </c>
      <c r="N14" s="190">
        <f>IFERROR(_xlfn.XLOOKUP(N6, 'GEN-CARBON'!$D$9:$BA$9, 'GEN-CARBON'!$D$24:$BA$24)*'Assumptions &amp; Inputs'!$I$4, 0)</f>
        <v>0</v>
      </c>
      <c r="O14" s="190">
        <f>IFERROR(_xlfn.XLOOKUP(O6, 'GEN-CARBON'!$D$9:$BA$9, 'GEN-CARBON'!$D$24:$BA$24)*'Assumptions &amp; Inputs'!$I$4, 0)</f>
        <v>0</v>
      </c>
      <c r="P14" s="190">
        <f>IFERROR(_xlfn.XLOOKUP(P6, 'GEN-CARBON'!$D$9:$BA$9, 'GEN-CARBON'!$D$24:$BA$24)*'Assumptions &amp; Inputs'!$I$4, 0)</f>
        <v>0</v>
      </c>
      <c r="Q14" s="190">
        <f>IFERROR(_xlfn.XLOOKUP(Q6, 'GEN-CARBON'!$D$9:$BA$9, 'GEN-CARBON'!$D$24:$BA$24)*'Assumptions &amp; Inputs'!$I$4, 0)</f>
        <v>0</v>
      </c>
      <c r="R14" s="190">
        <f>IFERROR(_xlfn.XLOOKUP(R6, 'GEN-CARBON'!$D$9:$BA$9, 'GEN-CARBON'!$D$24:$BA$24)*'Assumptions &amp; Inputs'!$I$4, 0)</f>
        <v>0</v>
      </c>
      <c r="S14" s="190">
        <f>IFERROR(_xlfn.XLOOKUP(S6, 'GEN-CARBON'!$D$9:$BA$9, 'GEN-CARBON'!$D$24:$BA$24)*'Assumptions &amp; Inputs'!$I$4, 0)</f>
        <v>0</v>
      </c>
      <c r="T14" s="190">
        <f>IFERROR(_xlfn.XLOOKUP(T6, 'GEN-CARBON'!$D$9:$BA$9, 'GEN-CARBON'!$D$24:$BA$24)*'Assumptions &amp; Inputs'!$I$4, 0)</f>
        <v>0</v>
      </c>
      <c r="U14" s="190">
        <f>IFERROR(_xlfn.XLOOKUP(U6, 'GEN-CARBON'!$D$9:$BA$9, 'GEN-CARBON'!$D$24:$BA$24)*'Assumptions &amp; Inputs'!$I$4, 0)</f>
        <v>0</v>
      </c>
      <c r="V14" s="190">
        <f>IFERROR(_xlfn.XLOOKUP(V6, 'GEN-CARBON'!$D$9:$BA$9, 'GEN-CARBON'!$D$24:$BA$24)*'Assumptions &amp; Inputs'!$I$4, 0)</f>
        <v>0</v>
      </c>
      <c r="W14" s="190">
        <f>IFERROR(_xlfn.XLOOKUP(W6, 'GEN-CARBON'!$D$9:$BA$9, 'GEN-CARBON'!$D$24:$BA$24)*'Assumptions &amp; Inputs'!$I$4, 0)</f>
        <v>0</v>
      </c>
      <c r="X14" s="190">
        <f>IFERROR(_xlfn.XLOOKUP(X6, 'GEN-CARBON'!$D$9:$BA$9, 'GEN-CARBON'!$D$24:$BA$24)*'Assumptions &amp; Inputs'!$I$4, 0)</f>
        <v>0</v>
      </c>
      <c r="Y14" s="190">
        <f>IFERROR(_xlfn.XLOOKUP(Y6, 'GEN-CARBON'!$D$9:$BA$9, 'GEN-CARBON'!$D$24:$BA$24)*'Assumptions &amp; Inputs'!$I$4, 0)</f>
        <v>0</v>
      </c>
      <c r="Z14" s="190">
        <f>IFERROR(_xlfn.XLOOKUP(Z6, 'GEN-CARBON'!$D$9:$BA$9, 'GEN-CARBON'!$D$24:$BA$24)*'Assumptions &amp; Inputs'!$I$4, 0)</f>
        <v>0</v>
      </c>
      <c r="AA14" s="190">
        <f>IFERROR(_xlfn.XLOOKUP(AA6, 'GEN-CARBON'!$D$9:$BA$9, 'GEN-CARBON'!$D$24:$BA$24)*'Assumptions &amp; Inputs'!$I$4, 0)</f>
        <v>0</v>
      </c>
      <c r="AB14" s="190">
        <f>IFERROR(_xlfn.XLOOKUP(AB6, 'GEN-CARBON'!$D$9:$BA$9, 'GEN-CARBON'!$D$24:$BA$24)*'Assumptions &amp; Inputs'!$I$4, 0)</f>
        <v>0</v>
      </c>
      <c r="AC14" s="190">
        <f>IFERROR(_xlfn.XLOOKUP(AC6, 'GEN-CARBON'!$D$9:$BA$9, 'GEN-CARBON'!$D$24:$BA$24)*'Assumptions &amp; Inputs'!$I$4, 0)</f>
        <v>0</v>
      </c>
      <c r="AD14" s="190">
        <f>IFERROR(_xlfn.XLOOKUP(AD6, 'GEN-CARBON'!$D$9:$BA$9, 'GEN-CARBON'!$D$24:$BA$24)*'Assumptions &amp; Inputs'!$I$4, 0)</f>
        <v>0</v>
      </c>
      <c r="AE14" s="190">
        <f>IFERROR(_xlfn.XLOOKUP(AE6, 'GEN-CARBON'!$D$9:$BA$9, 'GEN-CARBON'!$D$24:$BA$24)*'Assumptions &amp; Inputs'!$I$4, 0)</f>
        <v>0</v>
      </c>
      <c r="AF14" s="190">
        <f>IFERROR(_xlfn.XLOOKUP(AF6, 'GEN-CARBON'!$D$9:$BA$9, 'GEN-CARBON'!$D$24:$BA$24)*'Assumptions &amp; Inputs'!$I$4, 0)</f>
        <v>0</v>
      </c>
      <c r="AG14" s="190">
        <f>IFERROR(_xlfn.XLOOKUP(AG6, 'GEN-CARBON'!$D$9:$BA$9, 'GEN-CARBON'!$D$24:$BA$24)*'Assumptions &amp; Inputs'!$I$4, 0)</f>
        <v>0</v>
      </c>
      <c r="AH14" s="190">
        <f>IFERROR(_xlfn.XLOOKUP(AH6, 'GEN-CARBON'!$D$9:$BA$9, 'GEN-CARBON'!$D$24:$BA$24)*'Assumptions &amp; Inputs'!$I$4, 0)</f>
        <v>0</v>
      </c>
      <c r="AI14" s="190">
        <f>IFERROR(_xlfn.XLOOKUP(AI6, 'GEN-CARBON'!$D$9:$BA$9, 'GEN-CARBON'!$D$24:$BA$24)*'Assumptions &amp; Inputs'!$I$4, 0)</f>
        <v>0</v>
      </c>
      <c r="AJ14" s="190">
        <f>IFERROR(_xlfn.XLOOKUP(AJ6, 'GEN-CARBON'!$D$9:$BA$9, 'GEN-CARBON'!$D$24:$BA$24)*'Assumptions &amp; Inputs'!$I$4, 0)</f>
        <v>0</v>
      </c>
      <c r="AK14" s="190">
        <f>IFERROR(_xlfn.XLOOKUP(AK6, 'GEN-CARBON'!$D$9:$BA$9, 'GEN-CARBON'!$D$24:$BA$24)*'Assumptions &amp; Inputs'!$I$4, 0)</f>
        <v>0</v>
      </c>
      <c r="AL14" s="190">
        <f>IFERROR(_xlfn.XLOOKUP(AL6, 'GEN-CARBON'!$D$9:$BA$9, 'GEN-CARBON'!$D$24:$BA$24)*'Assumptions &amp; Inputs'!$I$4, 0)</f>
        <v>0</v>
      </c>
      <c r="AM14" s="190">
        <f>IFERROR(_xlfn.XLOOKUP(AM6, 'GEN-CARBON'!$D$9:$BA$9, 'GEN-CARBON'!$D$24:$BA$24)*'Assumptions &amp; Inputs'!$I$4, 0)</f>
        <v>0</v>
      </c>
      <c r="AN14" s="190">
        <f>IFERROR(_xlfn.XLOOKUP(AN6, 'GEN-CARBON'!$D$9:$BA$9, 'GEN-CARBON'!$D$24:$BA$24)*'Assumptions &amp; Inputs'!$I$4, 0)</f>
        <v>0</v>
      </c>
      <c r="AO14" s="190">
        <f>IFERROR(_xlfn.XLOOKUP(AO6, 'GEN-CARBON'!$D$9:$BA$9, 'GEN-CARBON'!$D$24:$BA$24)*'Assumptions &amp; Inputs'!$I$4, 0)</f>
        <v>0</v>
      </c>
      <c r="AP14" s="190">
        <f>IFERROR(_xlfn.XLOOKUP(AP6, 'GEN-CARBON'!$D$9:$BA$9, 'GEN-CARBON'!$D$24:$BA$24)*'Assumptions &amp; Inputs'!$I$4, 0)</f>
        <v>0</v>
      </c>
      <c r="AQ14" s="190">
        <f>IFERROR(_xlfn.XLOOKUP(AQ6, 'GEN-CARBON'!$D$9:$BA$9, 'GEN-CARBON'!$D$24:$BA$24)*'Assumptions &amp; Inputs'!$I$4, 0)</f>
        <v>0</v>
      </c>
      <c r="AR14" s="190">
        <f>IFERROR(_xlfn.XLOOKUP(AR6, 'GEN-CARBON'!$D$9:$BA$9, 'GEN-CARBON'!$D$24:$BA$24)*'Assumptions &amp; Inputs'!$I$4, 0)</f>
        <v>0</v>
      </c>
      <c r="AS14" s="190">
        <f>IFERROR(_xlfn.XLOOKUP(AS6, 'GEN-CARBON'!$D$9:$BA$9, 'GEN-CARBON'!$D$24:$BA$24)*'Assumptions &amp; Inputs'!$I$4, 0)</f>
        <v>0</v>
      </c>
      <c r="AT14" s="190">
        <f>IFERROR(_xlfn.XLOOKUP(AT6, 'GEN-CARBON'!$D$9:$BA$9, 'GEN-CARBON'!$D$24:$BA$24)*'Assumptions &amp; Inputs'!$I$4, 0)</f>
        <v>0</v>
      </c>
      <c r="AU14" s="190">
        <f>IFERROR(_xlfn.XLOOKUP(AU6, 'GEN-CARBON'!$D$9:$BA$9, 'GEN-CARBON'!$D$24:$BA$24)*'Assumptions &amp; Inputs'!$I$4, 0)</f>
        <v>0</v>
      </c>
      <c r="AV14" s="190">
        <f>IFERROR(_xlfn.XLOOKUP(AV6, 'GEN-CARBON'!$D$9:$BA$9, 'GEN-CARBON'!$D$24:$BA$24)*'Assumptions &amp; Inputs'!$I$4, 0)</f>
        <v>0</v>
      </c>
      <c r="AW14" s="190">
        <f>IFERROR(_xlfn.XLOOKUP(AW6, 'GEN-CARBON'!$D$9:$BA$9, 'GEN-CARBON'!$D$24:$BA$24)*'Assumptions &amp; Inputs'!$I$4, 0)</f>
        <v>0</v>
      </c>
      <c r="AX14" s="190">
        <f>IFERROR(_xlfn.XLOOKUP(AX6, 'GEN-CARBON'!$D$9:$BA$9, 'GEN-CARBON'!$D$24:$BA$24)*'Assumptions &amp; Inputs'!$I$4, 0)</f>
        <v>0</v>
      </c>
    </row>
    <row r="15" spans="1:50" ht="14.25" customHeight="1">
      <c r="A15" s="1"/>
      <c r="B15" s="1"/>
      <c r="C15" s="98"/>
      <c r="D15" s="84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</row>
    <row r="16" spans="1:50" ht="14.25" customHeight="1">
      <c r="A16" s="1"/>
      <c r="B16" s="1"/>
      <c r="C16" s="101" t="s">
        <v>240</v>
      </c>
      <c r="D16" s="84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</row>
    <row r="17" spans="1:50" ht="14.25" customHeight="1">
      <c r="A17" s="1"/>
      <c r="B17" s="1"/>
      <c r="C17" s="98" t="s">
        <v>356</v>
      </c>
      <c r="D17" s="84"/>
      <c r="E17" s="190">
        <f>IFERROR(_xlfn.XLOOKUP(E6, Load!$D$9:$BA$9, Load!$D$24:$BA$24)*'Assumptions &amp; Inputs'!$E$4, 0)</f>
        <v>0</v>
      </c>
      <c r="F17" s="190">
        <f>IFERROR(_xlfn.XLOOKUP(F6, Load!$D$9:$BA$9, Load!$D$24:$BA$24)*'Assumptions &amp; Inputs'!$E$4, 0)</f>
        <v>0</v>
      </c>
      <c r="G17" s="190">
        <f>IFERROR(_xlfn.XLOOKUP(G6, Load!$D$9:$BA$9, Load!$D$24:$BA$24)*'Assumptions &amp; Inputs'!$E$4, 0)</f>
        <v>0</v>
      </c>
      <c r="H17" s="190">
        <f>IFERROR(_xlfn.XLOOKUP(H6, Load!$D$9:$BA$9, Load!$D$24:$BA$24)*'Assumptions &amp; Inputs'!$E$4, 0)</f>
        <v>0</v>
      </c>
      <c r="I17" s="190">
        <f>IFERROR(_xlfn.XLOOKUP(I6, Load!$D$9:$BA$9, Load!$D$24:$BA$24)*'Assumptions &amp; Inputs'!$E$4, 0)</f>
        <v>0</v>
      </c>
      <c r="J17" s="190">
        <f>IFERROR(_xlfn.XLOOKUP(J6, Load!$D$9:$BA$9, Load!$D$24:$BA$24)*'Assumptions &amp; Inputs'!$E$4, 0)</f>
        <v>0</v>
      </c>
      <c r="K17" s="190">
        <f>IFERROR(_xlfn.XLOOKUP(K6, Load!$D$9:$BA$9, Load!$D$24:$BA$24)*'Assumptions &amp; Inputs'!$E$4, 0)</f>
        <v>0</v>
      </c>
      <c r="L17" s="190">
        <f>IFERROR(_xlfn.XLOOKUP(L6, Load!$D$9:$BA$9, Load!$D$24:$BA$24)*'Assumptions &amp; Inputs'!$E$4, 0)</f>
        <v>0</v>
      </c>
      <c r="M17" s="190">
        <f>IFERROR(_xlfn.XLOOKUP(M6, Load!$D$9:$BA$9, Load!$D$24:$BA$24)*'Assumptions &amp; Inputs'!$E$4, 0)</f>
        <v>0</v>
      </c>
      <c r="N17" s="190">
        <f>IFERROR(_xlfn.XLOOKUP(N6, Load!$D$9:$BA$9, Load!$D$24:$BA$24)*'Assumptions &amp; Inputs'!$E$4, 0)</f>
        <v>0</v>
      </c>
      <c r="O17" s="190">
        <f>IFERROR(_xlfn.XLOOKUP(O6, Load!$D$9:$BA$9, Load!$D$24:$BA$24)*'Assumptions &amp; Inputs'!$E$4, 0)</f>
        <v>0</v>
      </c>
      <c r="P17" s="190">
        <f>IFERROR(_xlfn.XLOOKUP(P6, Load!$D$9:$BA$9, Load!$D$24:$BA$24)*'Assumptions &amp; Inputs'!$E$4, 0)</f>
        <v>0</v>
      </c>
      <c r="Q17" s="190">
        <f>IFERROR(_xlfn.XLOOKUP(Q6, Load!$D$9:$BA$9, Load!$D$24:$BA$24)*'Assumptions &amp; Inputs'!$E$4, 0)</f>
        <v>0</v>
      </c>
      <c r="R17" s="190">
        <f>IFERROR(_xlfn.XLOOKUP(R6, Load!$D$9:$BA$9, Load!$D$24:$BA$24)*'Assumptions &amp; Inputs'!$E$4, 0)</f>
        <v>0</v>
      </c>
      <c r="S17" s="190">
        <f>IFERROR(_xlfn.XLOOKUP(S6, Load!$D$9:$BA$9, Load!$D$24:$BA$24)*'Assumptions &amp; Inputs'!$E$4, 0)</f>
        <v>0</v>
      </c>
      <c r="T17" s="190">
        <f>IFERROR(_xlfn.XLOOKUP(T6, Load!$D$9:$BA$9, Load!$D$24:$BA$24)*'Assumptions &amp; Inputs'!$E$4, 0)</f>
        <v>0</v>
      </c>
      <c r="U17" s="190">
        <f>IFERROR(_xlfn.XLOOKUP(U6, Load!$D$9:$BA$9, Load!$D$24:$BA$24)*'Assumptions &amp; Inputs'!$E$4, 0)</f>
        <v>0</v>
      </c>
      <c r="V17" s="190">
        <f>IFERROR(_xlfn.XLOOKUP(V6, Load!$D$9:$BA$9, Load!$D$24:$BA$24)*'Assumptions &amp; Inputs'!$E$4, 0)</f>
        <v>0</v>
      </c>
      <c r="W17" s="190">
        <f>IFERROR(_xlfn.XLOOKUP(W6, Load!$D$9:$BA$9, Load!$D$24:$BA$24)*'Assumptions &amp; Inputs'!$E$4, 0)</f>
        <v>0</v>
      </c>
      <c r="X17" s="190">
        <f>IFERROR(_xlfn.XLOOKUP(X6, Load!$D$9:$BA$9, Load!$D$24:$BA$24)*'Assumptions &amp; Inputs'!$E$4, 0)</f>
        <v>0</v>
      </c>
      <c r="Y17" s="190">
        <f>IFERROR(_xlfn.XLOOKUP(Y6, Load!$D$9:$BA$9, Load!$D$24:$BA$24)*'Assumptions &amp; Inputs'!$E$4, 0)</f>
        <v>0</v>
      </c>
      <c r="Z17" s="190">
        <f>IFERROR(_xlfn.XLOOKUP(Z6, Load!$D$9:$BA$9, Load!$D$24:$BA$24)*'Assumptions &amp; Inputs'!$E$4, 0)</f>
        <v>0</v>
      </c>
      <c r="AA17" s="190">
        <f>IFERROR(_xlfn.XLOOKUP(AA6, Load!$D$9:$BA$9, Load!$D$24:$BA$24)*'Assumptions &amp; Inputs'!$E$4, 0)</f>
        <v>0</v>
      </c>
      <c r="AB17" s="190">
        <f>IFERROR(_xlfn.XLOOKUP(AB6, Load!$D$9:$BA$9, Load!$D$24:$BA$24)*'Assumptions &amp; Inputs'!$E$4, 0)</f>
        <v>0</v>
      </c>
      <c r="AC17" s="190">
        <f>IFERROR(_xlfn.XLOOKUP(AC6, Load!$D$9:$BA$9, Load!$D$24:$BA$24)*'Assumptions &amp; Inputs'!$E$4, 0)</f>
        <v>0</v>
      </c>
      <c r="AD17" s="190">
        <f>IFERROR(_xlfn.XLOOKUP(AD6, Load!$D$9:$BA$9, Load!$D$24:$BA$24)*'Assumptions &amp; Inputs'!$E$4, 0)</f>
        <v>0</v>
      </c>
      <c r="AE17" s="190">
        <f>IFERROR(_xlfn.XLOOKUP(AE6, Load!$D$9:$BA$9, Load!$D$24:$BA$24)*'Assumptions &amp; Inputs'!$E$4, 0)</f>
        <v>0</v>
      </c>
      <c r="AF17" s="190">
        <f>IFERROR(_xlfn.XLOOKUP(AF6, Load!$D$9:$BA$9, Load!$D$24:$BA$24)*'Assumptions &amp; Inputs'!$E$4, 0)</f>
        <v>0</v>
      </c>
      <c r="AG17" s="190">
        <f>IFERROR(_xlfn.XLOOKUP(AG6, Load!$D$9:$BA$9, Load!$D$24:$BA$24)*'Assumptions &amp; Inputs'!$E$4, 0)</f>
        <v>0</v>
      </c>
      <c r="AH17" s="190">
        <f>IFERROR(_xlfn.XLOOKUP(AH6, Load!$D$9:$BA$9, Load!$D$24:$BA$24)*'Assumptions &amp; Inputs'!$E$4, 0)</f>
        <v>0</v>
      </c>
      <c r="AI17" s="190">
        <f>IFERROR(_xlfn.XLOOKUP(AI6, Load!$D$9:$BA$9, Load!$D$24:$BA$24)*'Assumptions &amp; Inputs'!$E$4, 0)</f>
        <v>0</v>
      </c>
      <c r="AJ17" s="190">
        <f>IFERROR(_xlfn.XLOOKUP(AJ6, Load!$D$9:$BA$9, Load!$D$24:$BA$24)*'Assumptions &amp; Inputs'!$E$4, 0)</f>
        <v>0</v>
      </c>
      <c r="AK17" s="190">
        <f>IFERROR(_xlfn.XLOOKUP(AK6, Load!$D$9:$BA$9, Load!$D$24:$BA$24)*'Assumptions &amp; Inputs'!$E$4, 0)</f>
        <v>0</v>
      </c>
      <c r="AL17" s="190">
        <f>IFERROR(_xlfn.XLOOKUP(AL6, Load!$D$9:$BA$9, Load!$D$24:$BA$24)*'Assumptions &amp; Inputs'!$E$4, 0)</f>
        <v>0</v>
      </c>
      <c r="AM17" s="190">
        <f>IFERROR(_xlfn.XLOOKUP(AM6, Load!$D$9:$BA$9, Load!$D$24:$BA$24)*'Assumptions &amp; Inputs'!$E$4, 0)</f>
        <v>0</v>
      </c>
      <c r="AN17" s="190">
        <f>IFERROR(_xlfn.XLOOKUP(AN6, Load!$D$9:$BA$9, Load!$D$24:$BA$24)*'Assumptions &amp; Inputs'!$E$4, 0)</f>
        <v>0</v>
      </c>
      <c r="AO17" s="190">
        <f>IFERROR(_xlfn.XLOOKUP(AO6, Load!$D$9:$BA$9, Load!$D$24:$BA$24)*'Assumptions &amp; Inputs'!$E$4, 0)</f>
        <v>0</v>
      </c>
      <c r="AP17" s="190">
        <f>IFERROR(_xlfn.XLOOKUP(AP6, Load!$D$9:$BA$9, Load!$D$24:$BA$24)*'Assumptions &amp; Inputs'!$E$4, 0)</f>
        <v>0</v>
      </c>
      <c r="AQ17" s="190">
        <f>IFERROR(_xlfn.XLOOKUP(AQ6, Load!$D$9:$BA$9, Load!$D$24:$BA$24)*'Assumptions &amp; Inputs'!$E$4, 0)</f>
        <v>0</v>
      </c>
      <c r="AR17" s="190">
        <f>IFERROR(_xlfn.XLOOKUP(AR6, Load!$D$9:$BA$9, Load!$D$24:$BA$24)*'Assumptions &amp; Inputs'!$E$4, 0)</f>
        <v>0</v>
      </c>
      <c r="AS17" s="190">
        <f>IFERROR(_xlfn.XLOOKUP(AS6, Load!$D$9:$BA$9, Load!$D$24:$BA$24)*'Assumptions &amp; Inputs'!$E$4, 0)</f>
        <v>0</v>
      </c>
      <c r="AT17" s="190">
        <f>IFERROR(_xlfn.XLOOKUP(AT6, Load!$D$9:$BA$9, Load!$D$24:$BA$24)*'Assumptions &amp; Inputs'!$E$4, 0)</f>
        <v>0</v>
      </c>
      <c r="AU17" s="190">
        <f>IFERROR(_xlfn.XLOOKUP(AU6, Load!$D$9:$BA$9, Load!$D$24:$BA$24)*'Assumptions &amp; Inputs'!$E$4, 0)</f>
        <v>0</v>
      </c>
      <c r="AV17" s="190">
        <f>IFERROR(_xlfn.XLOOKUP(AV6, Load!$D$9:$BA$9, Load!$D$24:$BA$24)*'Assumptions &amp; Inputs'!$E$4, 0)</f>
        <v>0</v>
      </c>
      <c r="AW17" s="190">
        <f>IFERROR(_xlfn.XLOOKUP(AW6, Load!$D$9:$BA$9, Load!$D$24:$BA$24)*'Assumptions &amp; Inputs'!$E$4, 0)</f>
        <v>0</v>
      </c>
      <c r="AX17" s="190">
        <f>IFERROR(_xlfn.XLOOKUP(AX6, Load!$D$9:$BA$9, Load!$D$24:$BA$24)*'Assumptions &amp; Inputs'!$E$4, 0)</f>
        <v>0</v>
      </c>
    </row>
    <row r="18" spans="1:50" ht="14.25" customHeight="1">
      <c r="A18" s="1"/>
      <c r="B18" s="1"/>
      <c r="C18" s="98" t="s">
        <v>122</v>
      </c>
      <c r="D18" s="84"/>
      <c r="E18" s="190">
        <f>IFERROR(_xlfn.XLOOKUP(E6, Hydrogen!$D$9:$BA$9, Hydrogen!$D$24:$BA$24)*'Assumptions &amp; Inputs'!$J$4, 0)</f>
        <v>-22</v>
      </c>
      <c r="F18" s="190">
        <f>IFERROR(_xlfn.XLOOKUP(F6, Hydrogen!$D$9:$BA$9, Hydrogen!$D$24:$BA$24)*'Assumptions &amp; Inputs'!$J$4, 0)</f>
        <v>-8</v>
      </c>
      <c r="G18" s="190">
        <f>IFERROR(_xlfn.XLOOKUP(G6, Hydrogen!$D$9:$BA$9, Hydrogen!$D$24:$BA$24)*'Assumptions &amp; Inputs'!$J$4, 0)</f>
        <v>0</v>
      </c>
      <c r="H18" s="190">
        <f>IFERROR(_xlfn.XLOOKUP(H6, Hydrogen!$D$9:$BA$9, Hydrogen!$D$24:$BA$24)*'Assumptions &amp; Inputs'!$J$4, 0)</f>
        <v>0</v>
      </c>
      <c r="I18" s="190">
        <f>IFERROR(_xlfn.XLOOKUP(I6, Hydrogen!$D$9:$BA$9, Hydrogen!$D$24:$BA$24)*'Assumptions &amp; Inputs'!$J$4, 0)</f>
        <v>0</v>
      </c>
      <c r="J18" s="190">
        <f>IFERROR(_xlfn.XLOOKUP(J6, Hydrogen!$D$9:$BA$9, Hydrogen!$D$24:$BA$24)*'Assumptions &amp; Inputs'!$J$4, 0)</f>
        <v>0</v>
      </c>
      <c r="K18" s="190">
        <f>IFERROR(_xlfn.XLOOKUP(K6, Hydrogen!$D$9:$BA$9, Hydrogen!$D$24:$BA$24)*'Assumptions &amp; Inputs'!$J$4, 0)</f>
        <v>0</v>
      </c>
      <c r="L18" s="190">
        <f>IFERROR(_xlfn.XLOOKUP(L6, Hydrogen!$D$9:$BA$9, Hydrogen!$D$24:$BA$24)*'Assumptions &amp; Inputs'!$J$4, 0)</f>
        <v>0</v>
      </c>
      <c r="M18" s="190">
        <f>IFERROR(_xlfn.XLOOKUP(M6, Hydrogen!$D$9:$BA$9, Hydrogen!$D$24:$BA$24)*'Assumptions &amp; Inputs'!$J$4, 0)</f>
        <v>0</v>
      </c>
      <c r="N18" s="190">
        <f>IFERROR(_xlfn.XLOOKUP(N6, Hydrogen!$D$9:$BA$9, Hydrogen!$D$24:$BA$24)*'Assumptions &amp; Inputs'!$J$4, 0)</f>
        <v>0</v>
      </c>
      <c r="O18" s="190">
        <f>IFERROR(_xlfn.XLOOKUP(O6, Hydrogen!$D$9:$BA$9, Hydrogen!$D$24:$BA$24)*'Assumptions &amp; Inputs'!$J$4, 0)</f>
        <v>0</v>
      </c>
      <c r="P18" s="190">
        <f>IFERROR(_xlfn.XLOOKUP(P6, Hydrogen!$D$9:$BA$9, Hydrogen!$D$24:$BA$24)*'Assumptions &amp; Inputs'!$J$4, 0)</f>
        <v>0</v>
      </c>
      <c r="Q18" s="190">
        <f>IFERROR(_xlfn.XLOOKUP(Q6, Hydrogen!$D$9:$BA$9, Hydrogen!$D$24:$BA$24)*'Assumptions &amp; Inputs'!$J$4, 0)</f>
        <v>0</v>
      </c>
      <c r="R18" s="190">
        <f>IFERROR(_xlfn.XLOOKUP(R6, Hydrogen!$D$9:$BA$9, Hydrogen!$D$24:$BA$24)*'Assumptions &amp; Inputs'!$J$4, 0)</f>
        <v>0</v>
      </c>
      <c r="S18" s="190">
        <f>IFERROR(_xlfn.XLOOKUP(S6, Hydrogen!$D$9:$BA$9, Hydrogen!$D$24:$BA$24)*'Assumptions &amp; Inputs'!$J$4, 0)</f>
        <v>0</v>
      </c>
      <c r="T18" s="190">
        <f>IFERROR(_xlfn.XLOOKUP(T6, Hydrogen!$D$9:$BA$9, Hydrogen!$D$24:$BA$24)*'Assumptions &amp; Inputs'!$J$4, 0)</f>
        <v>0</v>
      </c>
      <c r="U18" s="190">
        <f>IFERROR(_xlfn.XLOOKUP(U6, Hydrogen!$D$9:$BA$9, Hydrogen!$D$24:$BA$24)*'Assumptions &amp; Inputs'!$J$4, 0)</f>
        <v>0</v>
      </c>
      <c r="V18" s="190">
        <f>IFERROR(_xlfn.XLOOKUP(V6, Hydrogen!$D$9:$BA$9, Hydrogen!$D$24:$BA$24)*'Assumptions &amp; Inputs'!$J$4, 0)</f>
        <v>0</v>
      </c>
      <c r="W18" s="190">
        <f>IFERROR(_xlfn.XLOOKUP(W6, Hydrogen!$D$9:$BA$9, Hydrogen!$D$24:$BA$24)*'Assumptions &amp; Inputs'!$J$4, 0)</f>
        <v>0</v>
      </c>
      <c r="X18" s="190">
        <f>IFERROR(_xlfn.XLOOKUP(X6, Hydrogen!$D$9:$BA$9, Hydrogen!$D$24:$BA$24)*'Assumptions &amp; Inputs'!$J$4, 0)</f>
        <v>0</v>
      </c>
      <c r="Y18" s="190">
        <f>IFERROR(_xlfn.XLOOKUP(Y6, Hydrogen!$D$9:$BA$9, Hydrogen!$D$24:$BA$24)*'Assumptions &amp; Inputs'!$J$4, 0)</f>
        <v>0</v>
      </c>
      <c r="Z18" s="190">
        <f>IFERROR(_xlfn.XLOOKUP(Z6, Hydrogen!$D$9:$BA$9, Hydrogen!$D$24:$BA$24)*'Assumptions &amp; Inputs'!$J$4, 0)</f>
        <v>0</v>
      </c>
      <c r="AA18" s="190">
        <f>IFERROR(_xlfn.XLOOKUP(AA6, Hydrogen!$D$9:$BA$9, Hydrogen!$D$24:$BA$24)*'Assumptions &amp; Inputs'!$J$4, 0)</f>
        <v>0</v>
      </c>
      <c r="AB18" s="190">
        <f>IFERROR(_xlfn.XLOOKUP(AB6, Hydrogen!$D$9:$BA$9, Hydrogen!$D$24:$BA$24)*'Assumptions &amp; Inputs'!$J$4, 0)</f>
        <v>0</v>
      </c>
      <c r="AC18" s="190">
        <f>IFERROR(_xlfn.XLOOKUP(AC6, Hydrogen!$D$9:$BA$9, Hydrogen!$D$24:$BA$24)*'Assumptions &amp; Inputs'!$J$4, 0)</f>
        <v>0</v>
      </c>
      <c r="AD18" s="190">
        <f>IFERROR(_xlfn.XLOOKUP(AD6, Hydrogen!$D$9:$BA$9, Hydrogen!$D$24:$BA$24)*'Assumptions &amp; Inputs'!$J$4, 0)</f>
        <v>0</v>
      </c>
      <c r="AE18" s="190">
        <f>IFERROR(_xlfn.XLOOKUP(AE6, Hydrogen!$D$9:$BA$9, Hydrogen!$D$24:$BA$24)*'Assumptions &amp; Inputs'!$J$4, 0)</f>
        <v>0</v>
      </c>
      <c r="AF18" s="190">
        <f>IFERROR(_xlfn.XLOOKUP(AF6, Hydrogen!$D$9:$BA$9, Hydrogen!$D$24:$BA$24)*'Assumptions &amp; Inputs'!$J$4, 0)</f>
        <v>0</v>
      </c>
      <c r="AG18" s="190">
        <f>IFERROR(_xlfn.XLOOKUP(AG6, Hydrogen!$D$9:$BA$9, Hydrogen!$D$24:$BA$24)*'Assumptions &amp; Inputs'!$J$4, 0)</f>
        <v>0</v>
      </c>
      <c r="AH18" s="190">
        <f>IFERROR(_xlfn.XLOOKUP(AH6, Hydrogen!$D$9:$BA$9, Hydrogen!$D$24:$BA$24)*'Assumptions &amp; Inputs'!$J$4, 0)</f>
        <v>0</v>
      </c>
      <c r="AI18" s="190">
        <f>IFERROR(_xlfn.XLOOKUP(AI6, Hydrogen!$D$9:$BA$9, Hydrogen!$D$24:$BA$24)*'Assumptions &amp; Inputs'!$J$4, 0)</f>
        <v>0</v>
      </c>
      <c r="AJ18" s="190">
        <f>IFERROR(_xlfn.XLOOKUP(AJ6, Hydrogen!$D$9:$BA$9, Hydrogen!$D$24:$BA$24)*'Assumptions &amp; Inputs'!$J$4, 0)</f>
        <v>0</v>
      </c>
      <c r="AK18" s="190">
        <f>IFERROR(_xlfn.XLOOKUP(AK6, Hydrogen!$D$9:$BA$9, Hydrogen!$D$24:$BA$24)*'Assumptions &amp; Inputs'!$J$4, 0)</f>
        <v>0</v>
      </c>
      <c r="AL18" s="190">
        <f>IFERROR(_xlfn.XLOOKUP(AL6, Hydrogen!$D$9:$BA$9, Hydrogen!$D$24:$BA$24)*'Assumptions &amp; Inputs'!$J$4, 0)</f>
        <v>0</v>
      </c>
      <c r="AM18" s="190">
        <f>IFERROR(_xlfn.XLOOKUP(AM6, Hydrogen!$D$9:$BA$9, Hydrogen!$D$24:$BA$24)*'Assumptions &amp; Inputs'!$J$4, 0)</f>
        <v>0</v>
      </c>
      <c r="AN18" s="190">
        <f>IFERROR(_xlfn.XLOOKUP(AN6, Hydrogen!$D$9:$BA$9, Hydrogen!$D$24:$BA$24)*'Assumptions &amp; Inputs'!$J$4, 0)</f>
        <v>0</v>
      </c>
      <c r="AO18" s="190">
        <f>IFERROR(_xlfn.XLOOKUP(AO6, Hydrogen!$D$9:$BA$9, Hydrogen!$D$24:$BA$24)*'Assumptions &amp; Inputs'!$J$4, 0)</f>
        <v>0</v>
      </c>
      <c r="AP18" s="190">
        <f>IFERROR(_xlfn.XLOOKUP(AP6, Hydrogen!$D$9:$BA$9, Hydrogen!$D$24:$BA$24)*'Assumptions &amp; Inputs'!$J$4, 0)</f>
        <v>0</v>
      </c>
      <c r="AQ18" s="190">
        <f>IFERROR(_xlfn.XLOOKUP(AQ6, Hydrogen!$D$9:$BA$9, Hydrogen!$D$24:$BA$24)*'Assumptions &amp; Inputs'!$J$4, 0)</f>
        <v>0</v>
      </c>
      <c r="AR18" s="190">
        <f>IFERROR(_xlfn.XLOOKUP(AR6, Hydrogen!$D$9:$BA$9, Hydrogen!$D$24:$BA$24)*'Assumptions &amp; Inputs'!$J$4, 0)</f>
        <v>0</v>
      </c>
      <c r="AS18" s="190">
        <f>IFERROR(_xlfn.XLOOKUP(AS6, Hydrogen!$D$9:$BA$9, Hydrogen!$D$24:$BA$24)*'Assumptions &amp; Inputs'!$J$4, 0)</f>
        <v>0</v>
      </c>
      <c r="AT18" s="190">
        <f>IFERROR(_xlfn.XLOOKUP(AT6, Hydrogen!$D$9:$BA$9, Hydrogen!$D$24:$BA$24)*'Assumptions &amp; Inputs'!$J$4, 0)</f>
        <v>0</v>
      </c>
      <c r="AU18" s="190">
        <f>IFERROR(_xlfn.XLOOKUP(AU6, Hydrogen!$D$9:$BA$9, Hydrogen!$D$24:$BA$24)*'Assumptions &amp; Inputs'!$J$4, 0)</f>
        <v>0</v>
      </c>
      <c r="AV18" s="190">
        <f>IFERROR(_xlfn.XLOOKUP(AV6, Hydrogen!$D$9:$BA$9, Hydrogen!$D$24:$BA$24)*'Assumptions &amp; Inputs'!$J$4, 0)</f>
        <v>0</v>
      </c>
      <c r="AW18" s="190">
        <f>IFERROR(_xlfn.XLOOKUP(AW6, Hydrogen!$D$9:$BA$9, Hydrogen!$D$24:$BA$24)*'Assumptions &amp; Inputs'!$J$4, 0)</f>
        <v>0</v>
      </c>
      <c r="AX18" s="190">
        <f>IFERROR(_xlfn.XLOOKUP(AX6, Hydrogen!$D$9:$BA$9, Hydrogen!$D$24:$BA$24)*'Assumptions &amp; Inputs'!$J$4, 0)</f>
        <v>0</v>
      </c>
    </row>
    <row r="19" spans="1:50" ht="14.25" customHeight="1">
      <c r="A19" s="1"/>
      <c r="B19" s="1"/>
      <c r="C19" s="98" t="s">
        <v>357</v>
      </c>
      <c r="D19" s="84"/>
      <c r="E19" s="190">
        <f>IFERROR(_xlfn.XLOOKUP(E6, 'SENS Coal'!$D$9:$BA$9, 'SENS Coal'!$D$24:$BA$24)*'Assumptions &amp; Inputs'!$K$4, 0)</f>
        <v>-165</v>
      </c>
      <c r="F19" s="190">
        <f>IFERROR(_xlfn.XLOOKUP(F6, 'SENS Coal'!$D$9:$BA$9, 'SENS Coal'!$D$24:$BA$24)*'Assumptions &amp; Inputs'!$K$4, 0)</f>
        <v>-15</v>
      </c>
      <c r="G19" s="190">
        <f>IFERROR(_xlfn.XLOOKUP(G6, 'SENS Coal'!$D$9:$BA$9, 'SENS Coal'!$D$24:$BA$24)*'Assumptions &amp; Inputs'!$K$4, 0)</f>
        <v>0</v>
      </c>
      <c r="H19" s="190">
        <f>IFERROR(_xlfn.XLOOKUP(H6, 'SENS Coal'!$D$9:$BA$9, 'SENS Coal'!$D$24:$BA$24)*'Assumptions &amp; Inputs'!$K$4, 0)</f>
        <v>0</v>
      </c>
      <c r="I19" s="190">
        <f>IFERROR(_xlfn.XLOOKUP(I6, 'SENS Coal'!$D$9:$BA$9, 'SENS Coal'!$D$24:$BA$24)*'Assumptions &amp; Inputs'!$K$4, 0)</f>
        <v>0</v>
      </c>
      <c r="J19" s="190">
        <f>IFERROR(_xlfn.XLOOKUP(J6, 'SENS Coal'!$D$9:$BA$9, 'SENS Coal'!$D$24:$BA$24)*'Assumptions &amp; Inputs'!$K$4, 0)</f>
        <v>0</v>
      </c>
      <c r="K19" s="190">
        <f>IFERROR(_xlfn.XLOOKUP(K6, 'SENS Coal'!$D$9:$BA$9, 'SENS Coal'!$D$24:$BA$24)*'Assumptions &amp; Inputs'!$K$4, 0)</f>
        <v>0</v>
      </c>
      <c r="L19" s="190">
        <f>IFERROR(_xlfn.XLOOKUP(L6, 'SENS Coal'!$D$9:$BA$9, 'SENS Coal'!$D$24:$BA$24)*'Assumptions &amp; Inputs'!$K$4, 0)</f>
        <v>0</v>
      </c>
      <c r="M19" s="190">
        <f>IFERROR(_xlfn.XLOOKUP(M6, 'SENS Coal'!$D$9:$BA$9, 'SENS Coal'!$D$24:$BA$24)*'Assumptions &amp; Inputs'!$K$4, 0)</f>
        <v>0</v>
      </c>
      <c r="N19" s="190">
        <f>IFERROR(_xlfn.XLOOKUP(N6, 'SENS Coal'!$D$9:$BA$9, 'SENS Coal'!$D$24:$BA$24)*'Assumptions &amp; Inputs'!$K$4, 0)</f>
        <v>0</v>
      </c>
      <c r="O19" s="190">
        <f>IFERROR(_xlfn.XLOOKUP(O6, 'SENS Coal'!$D$9:$BA$9, 'SENS Coal'!$D$24:$BA$24)*'Assumptions &amp; Inputs'!$K$4, 0)</f>
        <v>0</v>
      </c>
      <c r="P19" s="190">
        <f>IFERROR(_xlfn.XLOOKUP(P6, 'SENS Coal'!$D$9:$BA$9, 'SENS Coal'!$D$24:$BA$24)*'Assumptions &amp; Inputs'!$K$4, 0)</f>
        <v>0</v>
      </c>
      <c r="Q19" s="190">
        <f>IFERROR(_xlfn.XLOOKUP(Q6, 'SENS Coal'!$D$9:$BA$9, 'SENS Coal'!$D$24:$BA$24)*'Assumptions &amp; Inputs'!$K$4, 0)</f>
        <v>0</v>
      </c>
      <c r="R19" s="190">
        <f>IFERROR(_xlfn.XLOOKUP(R6, 'SENS Coal'!$D$9:$BA$9, 'SENS Coal'!$D$24:$BA$24)*'Assumptions &amp; Inputs'!$K$4, 0)</f>
        <v>0</v>
      </c>
      <c r="S19" s="190">
        <f>IFERROR(_xlfn.XLOOKUP(S6, 'SENS Coal'!$D$9:$BA$9, 'SENS Coal'!$D$24:$BA$24)*'Assumptions &amp; Inputs'!$K$4, 0)</f>
        <v>0</v>
      </c>
      <c r="T19" s="190">
        <f>IFERROR(_xlfn.XLOOKUP(T6, 'SENS Coal'!$D$9:$BA$9, 'SENS Coal'!$D$24:$BA$24)*'Assumptions &amp; Inputs'!$K$4, 0)</f>
        <v>0</v>
      </c>
      <c r="U19" s="190">
        <f>IFERROR(_xlfn.XLOOKUP(U6, 'SENS Coal'!$D$9:$BA$9, 'SENS Coal'!$D$24:$BA$24)*'Assumptions &amp; Inputs'!$K$4, 0)</f>
        <v>0</v>
      </c>
      <c r="V19" s="190">
        <f>IFERROR(_xlfn.XLOOKUP(V6, 'SENS Coal'!$D$9:$BA$9, 'SENS Coal'!$D$24:$BA$24)*'Assumptions &amp; Inputs'!$K$4, 0)</f>
        <v>0</v>
      </c>
      <c r="W19" s="190">
        <f>IFERROR(_xlfn.XLOOKUP(W6, 'SENS Coal'!$D$9:$BA$9, 'SENS Coal'!$D$24:$BA$24)*'Assumptions &amp; Inputs'!$K$4, 0)</f>
        <v>0</v>
      </c>
      <c r="X19" s="190">
        <f>IFERROR(_xlfn.XLOOKUP(X6, 'SENS Coal'!$D$9:$BA$9, 'SENS Coal'!$D$24:$BA$24)*'Assumptions &amp; Inputs'!$K$4, 0)</f>
        <v>0</v>
      </c>
      <c r="Y19" s="190">
        <f>IFERROR(_xlfn.XLOOKUP(Y6, 'SENS Coal'!$D$9:$BA$9, 'SENS Coal'!$D$24:$BA$24)*'Assumptions &amp; Inputs'!$K$4, 0)</f>
        <v>0</v>
      </c>
      <c r="Z19" s="190">
        <f>IFERROR(_xlfn.XLOOKUP(Z6, 'SENS Coal'!$D$9:$BA$9, 'SENS Coal'!$D$24:$BA$24)*'Assumptions &amp; Inputs'!$K$4, 0)</f>
        <v>0</v>
      </c>
      <c r="AA19" s="190">
        <f>IFERROR(_xlfn.XLOOKUP(AA6, 'SENS Coal'!$D$9:$BA$9, 'SENS Coal'!$D$24:$BA$24)*'Assumptions &amp; Inputs'!$K$4, 0)</f>
        <v>0</v>
      </c>
      <c r="AB19" s="190">
        <f>IFERROR(_xlfn.XLOOKUP(AB6, 'SENS Coal'!$D$9:$BA$9, 'SENS Coal'!$D$24:$BA$24)*'Assumptions &amp; Inputs'!$K$4, 0)</f>
        <v>0</v>
      </c>
      <c r="AC19" s="190">
        <f>IFERROR(_xlfn.XLOOKUP(AC6, 'SENS Coal'!$D$9:$BA$9, 'SENS Coal'!$D$24:$BA$24)*'Assumptions &amp; Inputs'!$K$4, 0)</f>
        <v>0</v>
      </c>
      <c r="AD19" s="190">
        <f>IFERROR(_xlfn.XLOOKUP(AD6, 'SENS Coal'!$D$9:$BA$9, 'SENS Coal'!$D$24:$BA$24)*'Assumptions &amp; Inputs'!$K$4, 0)</f>
        <v>0</v>
      </c>
      <c r="AE19" s="190">
        <f>IFERROR(_xlfn.XLOOKUP(AE6, 'SENS Coal'!$D$9:$BA$9, 'SENS Coal'!$D$24:$BA$24)*'Assumptions &amp; Inputs'!$K$4, 0)</f>
        <v>0</v>
      </c>
      <c r="AF19" s="190">
        <f>IFERROR(_xlfn.XLOOKUP(AF6, 'SENS Coal'!$D$9:$BA$9, 'SENS Coal'!$D$24:$BA$24)*'Assumptions &amp; Inputs'!$K$4, 0)</f>
        <v>0</v>
      </c>
      <c r="AG19" s="190">
        <f>IFERROR(_xlfn.XLOOKUP(AG6, 'SENS Coal'!$D$9:$BA$9, 'SENS Coal'!$D$24:$BA$24)*'Assumptions &amp; Inputs'!$K$4, 0)</f>
        <v>0</v>
      </c>
      <c r="AH19" s="190">
        <f>IFERROR(_xlfn.XLOOKUP(AH6, 'SENS Coal'!$D$9:$BA$9, 'SENS Coal'!$D$24:$BA$24)*'Assumptions &amp; Inputs'!$K$4, 0)</f>
        <v>0</v>
      </c>
      <c r="AI19" s="190">
        <f>IFERROR(_xlfn.XLOOKUP(AI6, 'SENS Coal'!$D$9:$BA$9, 'SENS Coal'!$D$24:$BA$24)*'Assumptions &amp; Inputs'!$K$4, 0)</f>
        <v>0</v>
      </c>
      <c r="AJ19" s="190">
        <f>IFERROR(_xlfn.XLOOKUP(AJ6, 'SENS Coal'!$D$9:$BA$9, 'SENS Coal'!$D$24:$BA$24)*'Assumptions &amp; Inputs'!$K$4, 0)</f>
        <v>0</v>
      </c>
      <c r="AK19" s="190">
        <f>IFERROR(_xlfn.XLOOKUP(AK6, 'SENS Coal'!$D$9:$BA$9, 'SENS Coal'!$D$24:$BA$24)*'Assumptions &amp; Inputs'!$K$4, 0)</f>
        <v>0</v>
      </c>
      <c r="AL19" s="190">
        <f>IFERROR(_xlfn.XLOOKUP(AL6, 'SENS Coal'!$D$9:$BA$9, 'SENS Coal'!$D$24:$BA$24)*'Assumptions &amp; Inputs'!$K$4, 0)</f>
        <v>0</v>
      </c>
      <c r="AM19" s="190">
        <f>IFERROR(_xlfn.XLOOKUP(AM6, 'SENS Coal'!$D$9:$BA$9, 'SENS Coal'!$D$24:$BA$24)*'Assumptions &amp; Inputs'!$K$4, 0)</f>
        <v>0</v>
      </c>
      <c r="AN19" s="190">
        <f>IFERROR(_xlfn.XLOOKUP(AN6, 'SENS Coal'!$D$9:$BA$9, 'SENS Coal'!$D$24:$BA$24)*'Assumptions &amp; Inputs'!$K$4, 0)</f>
        <v>0</v>
      </c>
      <c r="AO19" s="190">
        <f>IFERROR(_xlfn.XLOOKUP(AO6, 'SENS Coal'!$D$9:$BA$9, 'SENS Coal'!$D$24:$BA$24)*'Assumptions &amp; Inputs'!$K$4, 0)</f>
        <v>0</v>
      </c>
      <c r="AP19" s="190">
        <f>IFERROR(_xlfn.XLOOKUP(AP6, 'SENS Coal'!$D$9:$BA$9, 'SENS Coal'!$D$24:$BA$24)*'Assumptions &amp; Inputs'!$K$4, 0)</f>
        <v>0</v>
      </c>
      <c r="AQ19" s="190">
        <f>IFERROR(_xlfn.XLOOKUP(AQ6, 'SENS Coal'!$D$9:$BA$9, 'SENS Coal'!$D$24:$BA$24)*'Assumptions &amp; Inputs'!$K$4, 0)</f>
        <v>0</v>
      </c>
      <c r="AR19" s="190">
        <f>IFERROR(_xlfn.XLOOKUP(AR6, 'SENS Coal'!$D$9:$BA$9, 'SENS Coal'!$D$24:$BA$24)*'Assumptions &amp; Inputs'!$K$4, 0)</f>
        <v>0</v>
      </c>
      <c r="AS19" s="190">
        <f>IFERROR(_xlfn.XLOOKUP(AS6, 'SENS Coal'!$D$9:$BA$9, 'SENS Coal'!$D$24:$BA$24)*'Assumptions &amp; Inputs'!$K$4, 0)</f>
        <v>0</v>
      </c>
      <c r="AT19" s="190">
        <f>IFERROR(_xlfn.XLOOKUP(AT6, 'SENS Coal'!$D$9:$BA$9, 'SENS Coal'!$D$24:$BA$24)*'Assumptions &amp; Inputs'!$K$4, 0)</f>
        <v>0</v>
      </c>
      <c r="AU19" s="190">
        <f>IFERROR(_xlfn.XLOOKUP(AU6, 'SENS Coal'!$D$9:$BA$9, 'SENS Coal'!$D$24:$BA$24)*'Assumptions &amp; Inputs'!$K$4, 0)</f>
        <v>0</v>
      </c>
      <c r="AV19" s="190">
        <f>IFERROR(_xlfn.XLOOKUP(AV6, 'SENS Coal'!$D$9:$BA$9, 'SENS Coal'!$D$24:$BA$24)*'Assumptions &amp; Inputs'!$K$4, 0)</f>
        <v>0</v>
      </c>
      <c r="AW19" s="190">
        <f>IFERROR(_xlfn.XLOOKUP(AW6, 'SENS Coal'!$D$9:$BA$9, 'SENS Coal'!$D$24:$BA$24)*'Assumptions &amp; Inputs'!$K$4, 0)</f>
        <v>0</v>
      </c>
      <c r="AX19" s="190">
        <f>IFERROR(_xlfn.XLOOKUP(AX6, 'SENS Coal'!$D$9:$BA$9, 'SENS Coal'!$D$24:$BA$24)*'Assumptions &amp; Inputs'!$K$4, 0)</f>
        <v>0</v>
      </c>
    </row>
    <row r="20" spans="1:50" ht="14.25" customHeight="1">
      <c r="A20" s="1"/>
      <c r="B20" s="1"/>
      <c r="C20" s="98" t="s">
        <v>358</v>
      </c>
      <c r="D20" s="84"/>
      <c r="E20" s="190">
        <f>IFERROR(_xlfn.XLOOKUP(E6, 'SENS Tires'!$D$9:$BA$9, 'SENS Tires'!$D$24:$BA$24)*'Assumptions &amp; Inputs'!$L$4, 0)</f>
        <v>-103.125</v>
      </c>
      <c r="F20" s="190">
        <f>IFERROR(_xlfn.XLOOKUP(F6, 'SENS Tires'!$D$9:$BA$9, 'SENS Tires'!$D$24:$BA$24)*'Assumptions &amp; Inputs'!$L$4, 0)</f>
        <v>-9.375</v>
      </c>
      <c r="G20" s="190">
        <f>IFERROR(_xlfn.XLOOKUP(G6, 'SENS Tires'!$D$9:$BA$9, 'SENS Tires'!$D$24:$BA$24)*'Assumptions &amp; Inputs'!$L$4, 0)</f>
        <v>0</v>
      </c>
      <c r="H20" s="190">
        <f>IFERROR(_xlfn.XLOOKUP(H6, 'SENS Tires'!$D$9:$BA$9, 'SENS Tires'!$D$24:$BA$24)*'Assumptions &amp; Inputs'!$L$4, 0)</f>
        <v>0</v>
      </c>
      <c r="I20" s="190">
        <f>IFERROR(_xlfn.XLOOKUP(I6, 'SENS Tires'!$D$9:$BA$9, 'SENS Tires'!$D$24:$BA$24)*'Assumptions &amp; Inputs'!$L$4, 0)</f>
        <v>0</v>
      </c>
      <c r="J20" s="190">
        <f>IFERROR(_xlfn.XLOOKUP(J6, 'SENS Tires'!$D$9:$BA$9, 'SENS Tires'!$D$24:$BA$24)*'Assumptions &amp; Inputs'!$L$4, 0)</f>
        <v>0</v>
      </c>
      <c r="K20" s="190">
        <f>IFERROR(_xlfn.XLOOKUP(K6, 'SENS Tires'!$D$9:$BA$9, 'SENS Tires'!$D$24:$BA$24)*'Assumptions &amp; Inputs'!$L$4, 0)</f>
        <v>0</v>
      </c>
      <c r="L20" s="190">
        <f>IFERROR(_xlfn.XLOOKUP(L6, 'SENS Tires'!$D$9:$BA$9, 'SENS Tires'!$D$24:$BA$24)*'Assumptions &amp; Inputs'!$L$4, 0)</f>
        <v>0</v>
      </c>
      <c r="M20" s="190">
        <f>IFERROR(_xlfn.XLOOKUP(M6, 'SENS Tires'!$D$9:$BA$9, 'SENS Tires'!$D$24:$BA$24)*'Assumptions &amp; Inputs'!$L$4, 0)</f>
        <v>0</v>
      </c>
      <c r="N20" s="190">
        <f>IFERROR(_xlfn.XLOOKUP(N6, 'SENS Tires'!$D$9:$BA$9, 'SENS Tires'!$D$24:$BA$24)*'Assumptions &amp; Inputs'!$L$4, 0)</f>
        <v>0</v>
      </c>
      <c r="O20" s="190">
        <f>IFERROR(_xlfn.XLOOKUP(O6, 'SENS Tires'!$D$9:$BA$9, 'SENS Tires'!$D$24:$BA$24)*'Assumptions &amp; Inputs'!$L$4, 0)</f>
        <v>0</v>
      </c>
      <c r="P20" s="190">
        <f>IFERROR(_xlfn.XLOOKUP(P6, 'SENS Tires'!$D$9:$BA$9, 'SENS Tires'!$D$24:$BA$24)*'Assumptions &amp; Inputs'!$L$4, 0)</f>
        <v>0</v>
      </c>
      <c r="Q20" s="190">
        <f>IFERROR(_xlfn.XLOOKUP(Q6, 'SENS Tires'!$D$9:$BA$9, 'SENS Tires'!$D$24:$BA$24)*'Assumptions &amp; Inputs'!$L$4, 0)</f>
        <v>0</v>
      </c>
      <c r="R20" s="190">
        <f>IFERROR(_xlfn.XLOOKUP(R6, 'SENS Tires'!$D$9:$BA$9, 'SENS Tires'!$D$24:$BA$24)*'Assumptions &amp; Inputs'!$L$4, 0)</f>
        <v>0</v>
      </c>
      <c r="S20" s="190">
        <f>IFERROR(_xlfn.XLOOKUP(S6, 'SENS Tires'!$D$9:$BA$9, 'SENS Tires'!$D$24:$BA$24)*'Assumptions &amp; Inputs'!$L$4, 0)</f>
        <v>0</v>
      </c>
      <c r="T20" s="190">
        <f>IFERROR(_xlfn.XLOOKUP(T6, 'SENS Tires'!$D$9:$BA$9, 'SENS Tires'!$D$24:$BA$24)*'Assumptions &amp; Inputs'!$L$4, 0)</f>
        <v>0</v>
      </c>
      <c r="U20" s="190">
        <f>IFERROR(_xlfn.XLOOKUP(U6, 'SENS Tires'!$D$9:$BA$9, 'SENS Tires'!$D$24:$BA$24)*'Assumptions &amp; Inputs'!$L$4, 0)</f>
        <v>0</v>
      </c>
      <c r="V20" s="190">
        <f>IFERROR(_xlfn.XLOOKUP(V6, 'SENS Tires'!$D$9:$BA$9, 'SENS Tires'!$D$24:$BA$24)*'Assumptions &amp; Inputs'!$L$4, 0)</f>
        <v>0</v>
      </c>
      <c r="W20" s="190">
        <f>IFERROR(_xlfn.XLOOKUP(W6, 'SENS Tires'!$D$9:$BA$9, 'SENS Tires'!$D$24:$BA$24)*'Assumptions &amp; Inputs'!$L$4, 0)</f>
        <v>0</v>
      </c>
      <c r="X20" s="190">
        <f>IFERROR(_xlfn.XLOOKUP(X6, 'SENS Tires'!$D$9:$BA$9, 'SENS Tires'!$D$24:$BA$24)*'Assumptions &amp; Inputs'!$L$4, 0)</f>
        <v>0</v>
      </c>
      <c r="Y20" s="190">
        <f>IFERROR(_xlfn.XLOOKUP(Y6, 'SENS Tires'!$D$9:$BA$9, 'SENS Tires'!$D$24:$BA$24)*'Assumptions &amp; Inputs'!$L$4, 0)</f>
        <v>0</v>
      </c>
      <c r="Z20" s="190">
        <f>IFERROR(_xlfn.XLOOKUP(Z6, 'SENS Tires'!$D$9:$BA$9, 'SENS Tires'!$D$24:$BA$24)*'Assumptions &amp; Inputs'!$L$4, 0)</f>
        <v>0</v>
      </c>
      <c r="AA20" s="190">
        <f>IFERROR(_xlfn.XLOOKUP(AA6, 'SENS Tires'!$D$9:$BA$9, 'SENS Tires'!$D$24:$BA$24)*'Assumptions &amp; Inputs'!$L$4, 0)</f>
        <v>0</v>
      </c>
      <c r="AB20" s="190">
        <f>IFERROR(_xlfn.XLOOKUP(AB6, 'SENS Tires'!$D$9:$BA$9, 'SENS Tires'!$D$24:$BA$24)*'Assumptions &amp; Inputs'!$L$4, 0)</f>
        <v>0</v>
      </c>
      <c r="AC20" s="190">
        <f>IFERROR(_xlfn.XLOOKUP(AC6, 'SENS Tires'!$D$9:$BA$9, 'SENS Tires'!$D$24:$BA$24)*'Assumptions &amp; Inputs'!$L$4, 0)</f>
        <v>0</v>
      </c>
      <c r="AD20" s="190">
        <f>IFERROR(_xlfn.XLOOKUP(AD6, 'SENS Tires'!$D$9:$BA$9, 'SENS Tires'!$D$24:$BA$24)*'Assumptions &amp; Inputs'!$L$4, 0)</f>
        <v>0</v>
      </c>
      <c r="AE20" s="190">
        <f>IFERROR(_xlfn.XLOOKUP(AE6, 'SENS Tires'!$D$9:$BA$9, 'SENS Tires'!$D$24:$BA$24)*'Assumptions &amp; Inputs'!$L$4, 0)</f>
        <v>0</v>
      </c>
      <c r="AF20" s="190">
        <f>IFERROR(_xlfn.XLOOKUP(AF6, 'SENS Tires'!$D$9:$BA$9, 'SENS Tires'!$D$24:$BA$24)*'Assumptions &amp; Inputs'!$L$4, 0)</f>
        <v>0</v>
      </c>
      <c r="AG20" s="190">
        <f>IFERROR(_xlfn.XLOOKUP(AG6, 'SENS Tires'!$D$9:$BA$9, 'SENS Tires'!$D$24:$BA$24)*'Assumptions &amp; Inputs'!$L$4, 0)</f>
        <v>0</v>
      </c>
      <c r="AH20" s="190">
        <f>IFERROR(_xlfn.XLOOKUP(AH6, 'SENS Tires'!$D$9:$BA$9, 'SENS Tires'!$D$24:$BA$24)*'Assumptions &amp; Inputs'!$L$4, 0)</f>
        <v>0</v>
      </c>
      <c r="AI20" s="190">
        <f>IFERROR(_xlfn.XLOOKUP(AI6, 'SENS Tires'!$D$9:$BA$9, 'SENS Tires'!$D$24:$BA$24)*'Assumptions &amp; Inputs'!$L$4, 0)</f>
        <v>0</v>
      </c>
      <c r="AJ20" s="190">
        <f>IFERROR(_xlfn.XLOOKUP(AJ6, 'SENS Tires'!$D$9:$BA$9, 'SENS Tires'!$D$24:$BA$24)*'Assumptions &amp; Inputs'!$L$4, 0)</f>
        <v>0</v>
      </c>
      <c r="AK20" s="190">
        <f>IFERROR(_xlfn.XLOOKUP(AK6, 'SENS Tires'!$D$9:$BA$9, 'SENS Tires'!$D$24:$BA$24)*'Assumptions &amp; Inputs'!$L$4, 0)</f>
        <v>0</v>
      </c>
      <c r="AL20" s="190">
        <f>IFERROR(_xlfn.XLOOKUP(AL6, 'SENS Tires'!$D$9:$BA$9, 'SENS Tires'!$D$24:$BA$24)*'Assumptions &amp; Inputs'!$L$4, 0)</f>
        <v>0</v>
      </c>
      <c r="AM20" s="190">
        <f>IFERROR(_xlfn.XLOOKUP(AM6, 'SENS Tires'!$D$9:$BA$9, 'SENS Tires'!$D$24:$BA$24)*'Assumptions &amp; Inputs'!$L$4, 0)</f>
        <v>0</v>
      </c>
      <c r="AN20" s="190">
        <f>IFERROR(_xlfn.XLOOKUP(AN6, 'SENS Tires'!$D$9:$BA$9, 'SENS Tires'!$D$24:$BA$24)*'Assumptions &amp; Inputs'!$L$4, 0)</f>
        <v>0</v>
      </c>
      <c r="AO20" s="190">
        <f>IFERROR(_xlfn.XLOOKUP(AO6, 'SENS Tires'!$D$9:$BA$9, 'SENS Tires'!$D$24:$BA$24)*'Assumptions &amp; Inputs'!$L$4, 0)</f>
        <v>0</v>
      </c>
      <c r="AP20" s="190">
        <f>IFERROR(_xlfn.XLOOKUP(AP6, 'SENS Tires'!$D$9:$BA$9, 'SENS Tires'!$D$24:$BA$24)*'Assumptions &amp; Inputs'!$L$4, 0)</f>
        <v>0</v>
      </c>
      <c r="AQ20" s="190">
        <f>IFERROR(_xlfn.XLOOKUP(AQ6, 'SENS Tires'!$D$9:$BA$9, 'SENS Tires'!$D$24:$BA$24)*'Assumptions &amp; Inputs'!$L$4, 0)</f>
        <v>0</v>
      </c>
      <c r="AR20" s="190">
        <f>IFERROR(_xlfn.XLOOKUP(AR6, 'SENS Tires'!$D$9:$BA$9, 'SENS Tires'!$D$24:$BA$24)*'Assumptions &amp; Inputs'!$L$4, 0)</f>
        <v>0</v>
      </c>
      <c r="AS20" s="190">
        <f>IFERROR(_xlfn.XLOOKUP(AS6, 'SENS Tires'!$D$9:$BA$9, 'SENS Tires'!$D$24:$BA$24)*'Assumptions &amp; Inputs'!$L$4, 0)</f>
        <v>0</v>
      </c>
      <c r="AT20" s="190">
        <f>IFERROR(_xlfn.XLOOKUP(AT6, 'SENS Tires'!$D$9:$BA$9, 'SENS Tires'!$D$24:$BA$24)*'Assumptions &amp; Inputs'!$L$4, 0)</f>
        <v>0</v>
      </c>
      <c r="AU20" s="190">
        <f>IFERROR(_xlfn.XLOOKUP(AU6, 'SENS Tires'!$D$9:$BA$9, 'SENS Tires'!$D$24:$BA$24)*'Assumptions &amp; Inputs'!$L$4, 0)</f>
        <v>0</v>
      </c>
      <c r="AV20" s="190">
        <f>IFERROR(_xlfn.XLOOKUP(AV6, 'SENS Tires'!$D$9:$BA$9, 'SENS Tires'!$D$24:$BA$24)*'Assumptions &amp; Inputs'!$L$4, 0)</f>
        <v>0</v>
      </c>
      <c r="AW20" s="190">
        <f>IFERROR(_xlfn.XLOOKUP(AW6, 'SENS Tires'!$D$9:$BA$9, 'SENS Tires'!$D$24:$BA$24)*'Assumptions &amp; Inputs'!$L$4, 0)</f>
        <v>0</v>
      </c>
      <c r="AX20" s="190">
        <f>IFERROR(_xlfn.XLOOKUP(AX6, 'SENS Tires'!$D$9:$BA$9, 'SENS Tires'!$D$24:$BA$24)*'Assumptions &amp; Inputs'!$L$4, 0)</f>
        <v>0</v>
      </c>
    </row>
    <row r="21" spans="1:50" ht="14.25" customHeight="1">
      <c r="A21" s="1"/>
      <c r="B21" s="1"/>
      <c r="C21" s="98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</row>
    <row r="22" spans="1:50" ht="14.25" customHeight="1">
      <c r="A22" s="1"/>
      <c r="B22" s="1"/>
      <c r="C22" s="464" t="s">
        <v>359</v>
      </c>
      <c r="D22" s="465"/>
      <c r="E22" s="168">
        <f>SUM(E8:E20)</f>
        <v>-632.58611111111111</v>
      </c>
      <c r="F22" s="168">
        <f t="shared" ref="F22:AX22" si="3">SUM(F8:F20)</f>
        <v>-215.29166666666666</v>
      </c>
      <c r="G22" s="168">
        <f t="shared" si="3"/>
        <v>-126.66666666666666</v>
      </c>
      <c r="H22" s="168">
        <f t="shared" si="3"/>
        <v>-93.055555555555557</v>
      </c>
      <c r="I22" s="168">
        <f t="shared" si="3"/>
        <v>-7.5</v>
      </c>
      <c r="J22" s="168">
        <f t="shared" si="3"/>
        <v>0</v>
      </c>
      <c r="K22" s="168">
        <f t="shared" si="3"/>
        <v>0</v>
      </c>
      <c r="L22" s="168">
        <f t="shared" si="3"/>
        <v>0</v>
      </c>
      <c r="M22" s="168">
        <f t="shared" si="3"/>
        <v>0</v>
      </c>
      <c r="N22" s="168">
        <f t="shared" si="3"/>
        <v>0</v>
      </c>
      <c r="O22" s="168">
        <f t="shared" si="3"/>
        <v>0</v>
      </c>
      <c r="P22" s="168">
        <f t="shared" si="3"/>
        <v>0</v>
      </c>
      <c r="Q22" s="168">
        <f t="shared" si="3"/>
        <v>0</v>
      </c>
      <c r="R22" s="168">
        <f t="shared" si="3"/>
        <v>0</v>
      </c>
      <c r="S22" s="168">
        <f t="shared" si="3"/>
        <v>0</v>
      </c>
      <c r="T22" s="168">
        <f t="shared" si="3"/>
        <v>0</v>
      </c>
      <c r="U22" s="168">
        <f t="shared" si="3"/>
        <v>0</v>
      </c>
      <c r="V22" s="168">
        <f t="shared" si="3"/>
        <v>0</v>
      </c>
      <c r="W22" s="168">
        <f t="shared" si="3"/>
        <v>0</v>
      </c>
      <c r="X22" s="168">
        <f t="shared" si="3"/>
        <v>0</v>
      </c>
      <c r="Y22" s="168">
        <f t="shared" si="3"/>
        <v>0</v>
      </c>
      <c r="Z22" s="168">
        <f t="shared" si="3"/>
        <v>0</v>
      </c>
      <c r="AA22" s="168">
        <f t="shared" si="3"/>
        <v>0</v>
      </c>
      <c r="AB22" s="168">
        <f t="shared" si="3"/>
        <v>0</v>
      </c>
      <c r="AC22" s="168">
        <f t="shared" si="3"/>
        <v>0</v>
      </c>
      <c r="AD22" s="168">
        <f t="shared" si="3"/>
        <v>0</v>
      </c>
      <c r="AE22" s="168">
        <f t="shared" si="3"/>
        <v>0</v>
      </c>
      <c r="AF22" s="168">
        <f t="shared" si="3"/>
        <v>0</v>
      </c>
      <c r="AG22" s="168">
        <f t="shared" si="3"/>
        <v>0</v>
      </c>
      <c r="AH22" s="168">
        <f t="shared" si="3"/>
        <v>0</v>
      </c>
      <c r="AI22" s="168">
        <f t="shared" si="3"/>
        <v>0</v>
      </c>
      <c r="AJ22" s="168">
        <f t="shared" si="3"/>
        <v>0</v>
      </c>
      <c r="AK22" s="168">
        <f t="shared" si="3"/>
        <v>0</v>
      </c>
      <c r="AL22" s="168">
        <f t="shared" si="3"/>
        <v>0</v>
      </c>
      <c r="AM22" s="168">
        <f t="shared" si="3"/>
        <v>0</v>
      </c>
      <c r="AN22" s="168">
        <f t="shared" si="3"/>
        <v>0</v>
      </c>
      <c r="AO22" s="168">
        <f t="shared" si="3"/>
        <v>0</v>
      </c>
      <c r="AP22" s="168">
        <f t="shared" si="3"/>
        <v>0</v>
      </c>
      <c r="AQ22" s="168">
        <f t="shared" si="3"/>
        <v>0</v>
      </c>
      <c r="AR22" s="168">
        <f t="shared" si="3"/>
        <v>0</v>
      </c>
      <c r="AS22" s="168">
        <f t="shared" si="3"/>
        <v>0</v>
      </c>
      <c r="AT22" s="168">
        <f t="shared" si="3"/>
        <v>0</v>
      </c>
      <c r="AU22" s="168">
        <f t="shared" si="3"/>
        <v>0</v>
      </c>
      <c r="AV22" s="168">
        <f t="shared" si="3"/>
        <v>0</v>
      </c>
      <c r="AW22" s="168">
        <f t="shared" si="3"/>
        <v>0</v>
      </c>
      <c r="AX22" s="168">
        <f t="shared" si="3"/>
        <v>0</v>
      </c>
    </row>
    <row r="23" spans="1:50" ht="14.25" customHeight="1" thickBot="1">
      <c r="A23" s="1"/>
      <c r="B23" s="1"/>
      <c r="C23" s="151" t="s">
        <v>360</v>
      </c>
      <c r="D23" s="241"/>
      <c r="E23" s="152">
        <f>SUM(E22:BB22)</f>
        <v>-1075.0999999999999</v>
      </c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</row>
    <row r="24" spans="1:50" ht="14.25" customHeight="1">
      <c r="A24" s="1"/>
      <c r="B24" s="1"/>
      <c r="C24" s="188"/>
      <c r="D24" s="188"/>
      <c r="E24" s="189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</row>
    <row r="25" spans="1:50" ht="14.25" customHeight="1">
      <c r="A25" s="1"/>
      <c r="B25" s="1"/>
      <c r="C25" s="188"/>
      <c r="D25" s="188"/>
      <c r="E25" s="189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</row>
    <row r="26" spans="1:50" ht="16" thickBot="1">
      <c r="A26" s="1" t="s">
        <v>351</v>
      </c>
      <c r="B26" s="1"/>
      <c r="C26" s="458" t="s">
        <v>361</v>
      </c>
      <c r="D26" s="458"/>
      <c r="E26" s="458"/>
      <c r="F26" s="459"/>
      <c r="G26" s="459"/>
      <c r="H26" s="459"/>
      <c r="I26" s="459"/>
      <c r="J26" s="459"/>
      <c r="K26" s="460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459"/>
      <c r="AQ26" s="459"/>
      <c r="AR26" s="459"/>
      <c r="AS26" s="459"/>
      <c r="AT26" s="459"/>
      <c r="AU26" s="459"/>
      <c r="AV26" s="459"/>
      <c r="AW26" s="459"/>
      <c r="AX26" s="459"/>
    </row>
    <row r="27" spans="1:50" ht="14.25" customHeight="1">
      <c r="A27" s="1"/>
      <c r="B27" s="1"/>
      <c r="C27" s="461" t="s">
        <v>353</v>
      </c>
      <c r="D27" s="461"/>
      <c r="E27" s="43">
        <v>0</v>
      </c>
      <c r="F27" s="90">
        <f t="shared" ref="F27:AX27" si="4">E27+1</f>
        <v>1</v>
      </c>
      <c r="G27" s="90">
        <f t="shared" si="4"/>
        <v>2</v>
      </c>
      <c r="H27" s="90">
        <f t="shared" si="4"/>
        <v>3</v>
      </c>
      <c r="I27" s="90">
        <f t="shared" si="4"/>
        <v>4</v>
      </c>
      <c r="J27" s="90">
        <f t="shared" si="4"/>
        <v>5</v>
      </c>
      <c r="K27" s="90">
        <f t="shared" si="4"/>
        <v>6</v>
      </c>
      <c r="L27" s="90">
        <f t="shared" si="4"/>
        <v>7</v>
      </c>
      <c r="M27" s="90">
        <f t="shared" si="4"/>
        <v>8</v>
      </c>
      <c r="N27" s="90">
        <f t="shared" si="4"/>
        <v>9</v>
      </c>
      <c r="O27" s="90">
        <f t="shared" si="4"/>
        <v>10</v>
      </c>
      <c r="P27" s="90">
        <f t="shared" si="4"/>
        <v>11</v>
      </c>
      <c r="Q27" s="90">
        <f t="shared" si="4"/>
        <v>12</v>
      </c>
      <c r="R27" s="90">
        <f t="shared" si="4"/>
        <v>13</v>
      </c>
      <c r="S27" s="90">
        <f t="shared" si="4"/>
        <v>14</v>
      </c>
      <c r="T27" s="90">
        <f t="shared" si="4"/>
        <v>15</v>
      </c>
      <c r="U27" s="90">
        <f t="shared" si="4"/>
        <v>16</v>
      </c>
      <c r="V27" s="90">
        <f t="shared" si="4"/>
        <v>17</v>
      </c>
      <c r="W27" s="90">
        <f t="shared" si="4"/>
        <v>18</v>
      </c>
      <c r="X27" s="90">
        <f t="shared" si="4"/>
        <v>19</v>
      </c>
      <c r="Y27" s="90">
        <f t="shared" si="4"/>
        <v>20</v>
      </c>
      <c r="Z27" s="90">
        <f t="shared" si="4"/>
        <v>21</v>
      </c>
      <c r="AA27" s="90">
        <f t="shared" si="4"/>
        <v>22</v>
      </c>
      <c r="AB27" s="90">
        <f t="shared" si="4"/>
        <v>23</v>
      </c>
      <c r="AC27" s="90">
        <f t="shared" si="4"/>
        <v>24</v>
      </c>
      <c r="AD27" s="90">
        <f t="shared" si="4"/>
        <v>25</v>
      </c>
      <c r="AE27" s="90">
        <f t="shared" si="4"/>
        <v>26</v>
      </c>
      <c r="AF27" s="90">
        <f t="shared" si="4"/>
        <v>27</v>
      </c>
      <c r="AG27" s="90">
        <f t="shared" si="4"/>
        <v>28</v>
      </c>
      <c r="AH27" s="90">
        <f t="shared" si="4"/>
        <v>29</v>
      </c>
      <c r="AI27" s="90">
        <f t="shared" si="4"/>
        <v>30</v>
      </c>
      <c r="AJ27" s="90">
        <f t="shared" si="4"/>
        <v>31</v>
      </c>
      <c r="AK27" s="90">
        <f t="shared" si="4"/>
        <v>32</v>
      </c>
      <c r="AL27" s="90">
        <f t="shared" si="4"/>
        <v>33</v>
      </c>
      <c r="AM27" s="90">
        <f t="shared" si="4"/>
        <v>34</v>
      </c>
      <c r="AN27" s="90">
        <f t="shared" si="4"/>
        <v>35</v>
      </c>
      <c r="AO27" s="90">
        <f t="shared" si="4"/>
        <v>36</v>
      </c>
      <c r="AP27" s="90">
        <f t="shared" si="4"/>
        <v>37</v>
      </c>
      <c r="AQ27" s="90">
        <f t="shared" si="4"/>
        <v>38</v>
      </c>
      <c r="AR27" s="90">
        <f t="shared" si="4"/>
        <v>39</v>
      </c>
      <c r="AS27" s="90">
        <f t="shared" si="4"/>
        <v>40</v>
      </c>
      <c r="AT27" s="90">
        <f t="shared" si="4"/>
        <v>41</v>
      </c>
      <c r="AU27" s="90">
        <f t="shared" si="4"/>
        <v>42</v>
      </c>
      <c r="AV27" s="90">
        <f t="shared" si="4"/>
        <v>43</v>
      </c>
      <c r="AW27" s="90">
        <f t="shared" si="4"/>
        <v>44</v>
      </c>
      <c r="AX27" s="90">
        <f t="shared" si="4"/>
        <v>45</v>
      </c>
    </row>
    <row r="28" spans="1:50" ht="16" thickBot="1">
      <c r="A28" s="747"/>
      <c r="B28" s="1"/>
      <c r="C28" s="200"/>
      <c r="D28" s="200"/>
      <c r="E28" s="83"/>
      <c r="F28" s="806" t="s">
        <v>354</v>
      </c>
      <c r="G28" s="806"/>
      <c r="H28" s="806"/>
      <c r="I28" s="806"/>
      <c r="J28" s="806"/>
      <c r="K28" s="806"/>
      <c r="L28" s="806"/>
      <c r="M28" s="806"/>
      <c r="N28" s="806"/>
      <c r="O28" s="806"/>
      <c r="P28" s="806"/>
      <c r="Q28" s="806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</row>
    <row r="29" spans="1:50" ht="14.25" customHeight="1">
      <c r="A29" s="1"/>
      <c r="B29" s="84"/>
      <c r="C29" s="466"/>
      <c r="D29" s="467"/>
      <c r="E29" s="292">
        <f>E6</f>
        <v>2026</v>
      </c>
      <c r="F29" s="292">
        <f t="shared" ref="F29:AX29" si="5">E29+1</f>
        <v>2027</v>
      </c>
      <c r="G29" s="292">
        <f t="shared" si="5"/>
        <v>2028</v>
      </c>
      <c r="H29" s="292">
        <f t="shared" si="5"/>
        <v>2029</v>
      </c>
      <c r="I29" s="292">
        <f t="shared" si="5"/>
        <v>2030</v>
      </c>
      <c r="J29" s="292">
        <f t="shared" si="5"/>
        <v>2031</v>
      </c>
      <c r="K29" s="292">
        <f t="shared" si="5"/>
        <v>2032</v>
      </c>
      <c r="L29" s="292">
        <f t="shared" si="5"/>
        <v>2033</v>
      </c>
      <c r="M29" s="292">
        <f t="shared" si="5"/>
        <v>2034</v>
      </c>
      <c r="N29" s="292">
        <f t="shared" si="5"/>
        <v>2035</v>
      </c>
      <c r="O29" s="292">
        <f t="shared" si="5"/>
        <v>2036</v>
      </c>
      <c r="P29" s="292">
        <f t="shared" si="5"/>
        <v>2037</v>
      </c>
      <c r="Q29" s="292">
        <f t="shared" si="5"/>
        <v>2038</v>
      </c>
      <c r="R29" s="292">
        <f t="shared" si="5"/>
        <v>2039</v>
      </c>
      <c r="S29" s="292">
        <f t="shared" si="5"/>
        <v>2040</v>
      </c>
      <c r="T29" s="292">
        <f t="shared" si="5"/>
        <v>2041</v>
      </c>
      <c r="U29" s="292">
        <f t="shared" si="5"/>
        <v>2042</v>
      </c>
      <c r="V29" s="292">
        <f t="shared" si="5"/>
        <v>2043</v>
      </c>
      <c r="W29" s="292">
        <f t="shared" si="5"/>
        <v>2044</v>
      </c>
      <c r="X29" s="292">
        <f t="shared" si="5"/>
        <v>2045</v>
      </c>
      <c r="Y29" s="292">
        <f t="shared" si="5"/>
        <v>2046</v>
      </c>
      <c r="Z29" s="292">
        <f t="shared" si="5"/>
        <v>2047</v>
      </c>
      <c r="AA29" s="292">
        <f t="shared" si="5"/>
        <v>2048</v>
      </c>
      <c r="AB29" s="292">
        <f t="shared" si="5"/>
        <v>2049</v>
      </c>
      <c r="AC29" s="292">
        <f t="shared" si="5"/>
        <v>2050</v>
      </c>
      <c r="AD29" s="292">
        <f t="shared" si="5"/>
        <v>2051</v>
      </c>
      <c r="AE29" s="292">
        <f t="shared" si="5"/>
        <v>2052</v>
      </c>
      <c r="AF29" s="292">
        <f t="shared" si="5"/>
        <v>2053</v>
      </c>
      <c r="AG29" s="292">
        <f t="shared" si="5"/>
        <v>2054</v>
      </c>
      <c r="AH29" s="292">
        <f t="shared" si="5"/>
        <v>2055</v>
      </c>
      <c r="AI29" s="292">
        <f t="shared" si="5"/>
        <v>2056</v>
      </c>
      <c r="AJ29" s="292">
        <f t="shared" si="5"/>
        <v>2057</v>
      </c>
      <c r="AK29" s="292">
        <f t="shared" si="5"/>
        <v>2058</v>
      </c>
      <c r="AL29" s="292">
        <f t="shared" si="5"/>
        <v>2059</v>
      </c>
      <c r="AM29" s="292">
        <f t="shared" si="5"/>
        <v>2060</v>
      </c>
      <c r="AN29" s="292">
        <f t="shared" si="5"/>
        <v>2061</v>
      </c>
      <c r="AO29" s="292">
        <f t="shared" si="5"/>
        <v>2062</v>
      </c>
      <c r="AP29" s="292">
        <f t="shared" si="5"/>
        <v>2063</v>
      </c>
      <c r="AQ29" s="292">
        <f t="shared" si="5"/>
        <v>2064</v>
      </c>
      <c r="AR29" s="292">
        <f t="shared" si="5"/>
        <v>2065</v>
      </c>
      <c r="AS29" s="292">
        <f t="shared" si="5"/>
        <v>2066</v>
      </c>
      <c r="AT29" s="292">
        <f t="shared" si="5"/>
        <v>2067</v>
      </c>
      <c r="AU29" s="292">
        <f t="shared" si="5"/>
        <v>2068</v>
      </c>
      <c r="AV29" s="292">
        <f t="shared" si="5"/>
        <v>2069</v>
      </c>
      <c r="AW29" s="292">
        <f t="shared" si="5"/>
        <v>2070</v>
      </c>
      <c r="AX29" s="293">
        <f t="shared" si="5"/>
        <v>2071</v>
      </c>
    </row>
    <row r="30" spans="1:50" ht="14.25" customHeight="1">
      <c r="A30" s="1"/>
      <c r="B30" s="84"/>
      <c r="C30" s="468"/>
      <c r="D30" s="84"/>
      <c r="E30" s="142">
        <f>E7</f>
        <v>46023</v>
      </c>
      <c r="F30" s="142">
        <f t="shared" ref="F30:AX30" si="6">F7</f>
        <v>46752</v>
      </c>
      <c r="G30" s="142">
        <f t="shared" si="6"/>
        <v>47118</v>
      </c>
      <c r="H30" s="142">
        <f t="shared" si="6"/>
        <v>47483</v>
      </c>
      <c r="I30" s="142">
        <f t="shared" si="6"/>
        <v>47848</v>
      </c>
      <c r="J30" s="142">
        <f t="shared" si="6"/>
        <v>48213</v>
      </c>
      <c r="K30" s="142">
        <f t="shared" si="6"/>
        <v>48579</v>
      </c>
      <c r="L30" s="142">
        <f t="shared" si="6"/>
        <v>48944</v>
      </c>
      <c r="M30" s="142">
        <f t="shared" si="6"/>
        <v>49309</v>
      </c>
      <c r="N30" s="142">
        <f t="shared" si="6"/>
        <v>49674</v>
      </c>
      <c r="O30" s="142">
        <f t="shared" si="6"/>
        <v>50040</v>
      </c>
      <c r="P30" s="142">
        <f t="shared" si="6"/>
        <v>50405</v>
      </c>
      <c r="Q30" s="142">
        <f t="shared" si="6"/>
        <v>50770</v>
      </c>
      <c r="R30" s="142">
        <f t="shared" si="6"/>
        <v>51135</v>
      </c>
      <c r="S30" s="142">
        <f t="shared" si="6"/>
        <v>51501</v>
      </c>
      <c r="T30" s="142">
        <f t="shared" si="6"/>
        <v>51866</v>
      </c>
      <c r="U30" s="142">
        <f t="shared" si="6"/>
        <v>52231</v>
      </c>
      <c r="V30" s="142">
        <f t="shared" si="6"/>
        <v>52596</v>
      </c>
      <c r="W30" s="142">
        <f t="shared" si="6"/>
        <v>52962</v>
      </c>
      <c r="X30" s="142">
        <f t="shared" si="6"/>
        <v>53327</v>
      </c>
      <c r="Y30" s="142">
        <f t="shared" si="6"/>
        <v>53692</v>
      </c>
      <c r="Z30" s="142">
        <f t="shared" si="6"/>
        <v>54057</v>
      </c>
      <c r="AA30" s="142">
        <f t="shared" si="6"/>
        <v>54423</v>
      </c>
      <c r="AB30" s="142">
        <f t="shared" si="6"/>
        <v>54788</v>
      </c>
      <c r="AC30" s="142">
        <f t="shared" si="6"/>
        <v>55153</v>
      </c>
      <c r="AD30" s="142">
        <f t="shared" si="6"/>
        <v>55518</v>
      </c>
      <c r="AE30" s="142">
        <f t="shared" si="6"/>
        <v>55884</v>
      </c>
      <c r="AF30" s="142">
        <f t="shared" si="6"/>
        <v>56249</v>
      </c>
      <c r="AG30" s="142">
        <f t="shared" si="6"/>
        <v>56614</v>
      </c>
      <c r="AH30" s="142">
        <f t="shared" si="6"/>
        <v>56979</v>
      </c>
      <c r="AI30" s="142">
        <f t="shared" si="6"/>
        <v>57345</v>
      </c>
      <c r="AJ30" s="142">
        <f t="shared" si="6"/>
        <v>57710</v>
      </c>
      <c r="AK30" s="142">
        <f t="shared" si="6"/>
        <v>58075</v>
      </c>
      <c r="AL30" s="142">
        <f t="shared" si="6"/>
        <v>58440</v>
      </c>
      <c r="AM30" s="142">
        <f t="shared" si="6"/>
        <v>58806</v>
      </c>
      <c r="AN30" s="142">
        <f t="shared" si="6"/>
        <v>59171</v>
      </c>
      <c r="AO30" s="142">
        <f t="shared" si="6"/>
        <v>59536</v>
      </c>
      <c r="AP30" s="142">
        <f t="shared" si="6"/>
        <v>59901</v>
      </c>
      <c r="AQ30" s="142">
        <f t="shared" si="6"/>
        <v>60267</v>
      </c>
      <c r="AR30" s="142">
        <f t="shared" si="6"/>
        <v>60632</v>
      </c>
      <c r="AS30" s="142">
        <f t="shared" si="6"/>
        <v>60997</v>
      </c>
      <c r="AT30" s="142">
        <f t="shared" si="6"/>
        <v>61362</v>
      </c>
      <c r="AU30" s="142">
        <f t="shared" si="6"/>
        <v>61728</v>
      </c>
      <c r="AV30" s="142">
        <f t="shared" si="6"/>
        <v>62093</v>
      </c>
      <c r="AW30" s="142">
        <f t="shared" si="6"/>
        <v>62458</v>
      </c>
      <c r="AX30" s="279">
        <f t="shared" si="6"/>
        <v>62823</v>
      </c>
    </row>
    <row r="31" spans="1:50" ht="14.25" customHeight="1">
      <c r="A31" s="1"/>
      <c r="B31" s="84"/>
      <c r="C31" s="307" t="s">
        <v>362</v>
      </c>
      <c r="D31" s="242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308"/>
    </row>
    <row r="32" spans="1:50" ht="14.25" customHeight="1">
      <c r="A32" s="1"/>
      <c r="B32" s="84"/>
      <c r="C32" s="748" t="s">
        <v>356</v>
      </c>
      <c r="D32" s="83"/>
      <c r="E32" s="469">
        <f>IFERROR(_xlfn.XLOOKUP(E$88,Load!$D$110:$BA$110,Load!$D$115:$BA$115)*'Assumptions &amp; Inputs'!$E$6,0)</f>
        <v>0</v>
      </c>
      <c r="F32" s="469">
        <f>IFERROR(_xlfn.XLOOKUP(F$88,Load!$D$110:$BA$110,Load!$D$115:$BA$115)*'Assumptions &amp; Inputs'!$E$6,0)</f>
        <v>0</v>
      </c>
      <c r="G32" s="469">
        <f>IFERROR(_xlfn.XLOOKUP(G$88,Load!$D$110:$BA$110,Load!$D$115:$BA$115)*'Assumptions &amp; Inputs'!$E$6,0)</f>
        <v>0</v>
      </c>
      <c r="H32" s="469">
        <f>IFERROR(_xlfn.XLOOKUP(H$88,Load!$D$110:$BA$110,Load!$D$115:$BA$115)*'Assumptions &amp; Inputs'!$E$6,0)</f>
        <v>0</v>
      </c>
      <c r="I32" s="469">
        <f>IFERROR(_xlfn.XLOOKUP(I$88,Load!$D$110:$BA$110,Load!$D$115:$BA$115)*'Assumptions &amp; Inputs'!$E$6,0)</f>
        <v>0</v>
      </c>
      <c r="J32" s="469">
        <f>IFERROR(_xlfn.XLOOKUP(J$88,Load!$D$110:$BA$110,Load!$D$115:$BA$115)*'Assumptions &amp; Inputs'!$E$6,0)</f>
        <v>0</v>
      </c>
      <c r="K32" s="469">
        <f>IFERROR(_xlfn.XLOOKUP(K$88,Load!$D$110:$BA$110,Load!$D$115:$BA$115)*'Assumptions &amp; Inputs'!$E$6,0)</f>
        <v>0</v>
      </c>
      <c r="L32" s="469">
        <f>IFERROR(_xlfn.XLOOKUP(L$88,Load!$D$110:$BA$110,Load!$D$115:$BA$115)*'Assumptions &amp; Inputs'!$E$6,0)</f>
        <v>0</v>
      </c>
      <c r="M32" s="469">
        <f>IFERROR(_xlfn.XLOOKUP(M$88,Load!$D$110:$BA$110,Load!$D$115:$BA$115)*'Assumptions &amp; Inputs'!$E$6,0)</f>
        <v>0</v>
      </c>
      <c r="N32" s="469">
        <f>IFERROR(_xlfn.XLOOKUP(N$88,Load!$D$110:$BA$110,Load!$D$115:$BA$115)*'Assumptions &amp; Inputs'!$E$6,0)</f>
        <v>0</v>
      </c>
      <c r="O32" s="469">
        <f>IFERROR(_xlfn.XLOOKUP(O$88,Load!$D$110:$BA$110,Load!$D$115:$BA$115)*'Assumptions &amp; Inputs'!$E$6,0)</f>
        <v>0</v>
      </c>
      <c r="P32" s="469">
        <f>IFERROR(_xlfn.XLOOKUP(P$88,Load!$D$110:$BA$110,Load!$D$115:$BA$115)*'Assumptions &amp; Inputs'!$E$6,0)</f>
        <v>0</v>
      </c>
      <c r="Q32" s="469">
        <f>IFERROR(_xlfn.XLOOKUP(Q$88,Load!$D$110:$BA$110,Load!$D$115:$BA$115)*'Assumptions &amp; Inputs'!$E$6,0)</f>
        <v>0</v>
      </c>
      <c r="R32" s="469">
        <f>IFERROR(_xlfn.XLOOKUP(R$88,Load!$D$110:$BA$110,Load!$D$115:$BA$115)*'Assumptions &amp; Inputs'!$E$6,0)</f>
        <v>0</v>
      </c>
      <c r="S32" s="469">
        <f>IFERROR(_xlfn.XLOOKUP(S$88,Load!$D$110:$BA$110,Load!$D$115:$BA$115)*'Assumptions &amp; Inputs'!$E$6,0)</f>
        <v>0</v>
      </c>
      <c r="T32" s="469">
        <f>IFERROR(_xlfn.XLOOKUP(T$88,Load!$D$110:$BA$110,Load!$D$115:$BA$115)*'Assumptions &amp; Inputs'!$E$6,0)</f>
        <v>0</v>
      </c>
      <c r="U32" s="469">
        <f>IFERROR(_xlfn.XLOOKUP(U$88,Load!$D$110:$BA$110,Load!$D$115:$BA$115)*'Assumptions &amp; Inputs'!$E$6,0)</f>
        <v>0</v>
      </c>
      <c r="V32" s="469">
        <f>IFERROR(_xlfn.XLOOKUP(V$88,Load!$D$110:$BA$110,Load!$D$115:$BA$115)*'Assumptions &amp; Inputs'!$E$6,0)</f>
        <v>0</v>
      </c>
      <c r="W32" s="469">
        <f>IFERROR(_xlfn.XLOOKUP(W$88,Load!$D$110:$BA$110,Load!$D$115:$BA$115)*'Assumptions &amp; Inputs'!$E$6,0)</f>
        <v>0</v>
      </c>
      <c r="X32" s="469">
        <f>IFERROR(_xlfn.XLOOKUP(X$88,Load!$D$110:$BA$110,Load!$D$115:$BA$115)*'Assumptions &amp; Inputs'!$E$6,0)</f>
        <v>0</v>
      </c>
      <c r="Y32" s="469">
        <f>IFERROR(_xlfn.XLOOKUP(Y$88,Load!$D$110:$BA$110,Load!$D$115:$BA$115)*'Assumptions &amp; Inputs'!$E$6,0)</f>
        <v>0</v>
      </c>
      <c r="Z32" s="469">
        <f>IFERROR(_xlfn.XLOOKUP(Z$88,Load!$D$110:$BA$110,Load!$D$115:$BA$115)*'Assumptions &amp; Inputs'!$E$6,0)</f>
        <v>0</v>
      </c>
      <c r="AA32" s="469">
        <f>IFERROR(_xlfn.XLOOKUP(AA$88,Load!$D$110:$BA$110,Load!$D$115:$BA$115)*'Assumptions &amp; Inputs'!$E$6,0)</f>
        <v>0</v>
      </c>
      <c r="AB32" s="469">
        <f>IFERROR(_xlfn.XLOOKUP(AB$88,Load!$D$110:$BA$110,Load!$D$115:$BA$115)*'Assumptions &amp; Inputs'!$E$6,0)</f>
        <v>0</v>
      </c>
      <c r="AC32" s="469">
        <f>IFERROR(_xlfn.XLOOKUP(AC$88,Load!$D$110:$BA$110,Load!$D$115:$BA$115)*'Assumptions &amp; Inputs'!$E$6,0)</f>
        <v>0</v>
      </c>
      <c r="AD32" s="469">
        <f>IFERROR(_xlfn.XLOOKUP(AD$88,Load!$D$110:$BA$110,Load!$D$115:$BA$115)*'Assumptions &amp; Inputs'!$E$6,0)</f>
        <v>0</v>
      </c>
      <c r="AE32" s="469">
        <f>IFERROR(_xlfn.XLOOKUP(AE$88,Load!$D$110:$BA$110,Load!$D$115:$BA$115)*'Assumptions &amp; Inputs'!$E$6,0)</f>
        <v>0</v>
      </c>
      <c r="AF32" s="469">
        <f>IFERROR(_xlfn.XLOOKUP(AF$88,Load!$D$110:$BA$110,Load!$D$115:$BA$115)*'Assumptions &amp; Inputs'!$E$6,0)</f>
        <v>0</v>
      </c>
      <c r="AG32" s="469">
        <f>IFERROR(_xlfn.XLOOKUP(AG$88,Load!$D$110:$BA$110,Load!$D$115:$BA$115)*'Assumptions &amp; Inputs'!$E$6,0)</f>
        <v>0</v>
      </c>
      <c r="AH32" s="469">
        <f>IFERROR(_xlfn.XLOOKUP(AH$88,Load!$D$110:$BA$110,Load!$D$115:$BA$115)*'Assumptions &amp; Inputs'!$E$6,0)</f>
        <v>0</v>
      </c>
      <c r="AI32" s="469">
        <f>IFERROR(_xlfn.XLOOKUP(AI$88,Load!$D$110:$BA$110,Load!$D$115:$BA$115)*'Assumptions &amp; Inputs'!$E$6,0)</f>
        <v>0</v>
      </c>
      <c r="AJ32" s="469">
        <f>IFERROR(_xlfn.XLOOKUP(AJ$88,Load!$D$110:$BA$110,Load!$D$115:$BA$115)*'Assumptions &amp; Inputs'!$E$6,0)</f>
        <v>0</v>
      </c>
      <c r="AK32" s="469">
        <f>IFERROR(_xlfn.XLOOKUP(AK$88,Load!$D$110:$BA$110,Load!$D$115:$BA$115)*'Assumptions &amp; Inputs'!$E$6,0)</f>
        <v>0</v>
      </c>
      <c r="AL32" s="469">
        <f>IFERROR(_xlfn.XLOOKUP(AL$88,Load!$D$110:$BA$110,Load!$D$115:$BA$115)*'Assumptions &amp; Inputs'!$E$6,0)</f>
        <v>0</v>
      </c>
      <c r="AM32" s="469">
        <f>IFERROR(_xlfn.XLOOKUP(AM$88,Load!$D$110:$BA$110,Load!$D$115:$BA$115)*'Assumptions &amp; Inputs'!$E$6,0)</f>
        <v>0</v>
      </c>
      <c r="AN32" s="469">
        <f>IFERROR(_xlfn.XLOOKUP(AN$88,Load!$D$110:$BA$110,Load!$D$115:$BA$115)*'Assumptions &amp; Inputs'!$E$6,0)</f>
        <v>0</v>
      </c>
      <c r="AO32" s="469">
        <f>IFERROR(_xlfn.XLOOKUP(AO$88,Load!$D$110:$BA$110,Load!$D$115:$BA$115)*'Assumptions &amp; Inputs'!$E$6,0)</f>
        <v>0</v>
      </c>
      <c r="AP32" s="469">
        <f>IFERROR(_xlfn.XLOOKUP(AP$88,Load!$D$110:$BA$110,Load!$D$115:$BA$115)*'Assumptions &amp; Inputs'!$E$6,0)</f>
        <v>0</v>
      </c>
      <c r="AQ32" s="469">
        <f>IFERROR(_xlfn.XLOOKUP(AQ$88,Load!$D$110:$BA$110,Load!$D$115:$BA$115)*'Assumptions &amp; Inputs'!$E$6,0)</f>
        <v>0</v>
      </c>
      <c r="AR32" s="469">
        <f>IFERROR(_xlfn.XLOOKUP(AR$88,Load!$D$110:$BA$110,Load!$D$115:$BA$115)*'Assumptions &amp; Inputs'!$E$6,0)</f>
        <v>0</v>
      </c>
      <c r="AS32" s="469">
        <f>IFERROR(_xlfn.XLOOKUP(AS$88,Load!$D$110:$BA$110,Load!$D$115:$BA$115)*'Assumptions &amp; Inputs'!$E$6,0)</f>
        <v>0</v>
      </c>
      <c r="AT32" s="469">
        <f>IFERROR(_xlfn.XLOOKUP(AT$88,Load!$D$110:$BA$110,Load!$D$115:$BA$115)*'Assumptions &amp; Inputs'!$E$6,0)</f>
        <v>0</v>
      </c>
      <c r="AU32" s="469">
        <f>IFERROR(_xlfn.XLOOKUP(AU$88,Load!$D$110:$BA$110,Load!$D$115:$BA$115)*'Assumptions &amp; Inputs'!$E$6,0)</f>
        <v>0</v>
      </c>
      <c r="AV32" s="469">
        <f>IFERROR(_xlfn.XLOOKUP(AV$88,Load!$D$110:$BA$110,Load!$D$115:$BA$115)*'Assumptions &amp; Inputs'!$E$6,0)</f>
        <v>0</v>
      </c>
      <c r="AW32" s="469">
        <f>IFERROR(_xlfn.XLOOKUP(AW$88,Load!$D$110:$BA$110,Load!$D$115:$BA$115)*'Assumptions &amp; Inputs'!$E$6,0)</f>
        <v>0</v>
      </c>
      <c r="AX32" s="469">
        <f>IFERROR(_xlfn.XLOOKUP(AX$88,Load!$D$110:$BA$110,Load!$D$115:$BA$115)*'Assumptions &amp; Inputs'!$E$6,0)</f>
        <v>0</v>
      </c>
    </row>
    <row r="33" spans="1:50" ht="14.25" customHeight="1">
      <c r="A33" s="1"/>
      <c r="B33" s="84"/>
      <c r="C33" s="748" t="s">
        <v>122</v>
      </c>
      <c r="D33" s="83"/>
      <c r="E33" s="469">
        <f>IFERROR(_xlfn.XLOOKUP(E$88,Hydrogen!$D$110:$BA$110,Hydrogen!$D$123:$BA$123)*'Assumptions &amp; Inputs'!$J$6,0)</f>
        <v>0</v>
      </c>
      <c r="F33" s="469">
        <f>IFERROR(_xlfn.XLOOKUP(F$88,Hydrogen!$D$110:$BA$110,Hydrogen!$D$123:$BA$123)*'Assumptions &amp; Inputs'!$J$6,0)</f>
        <v>20.293585122515381</v>
      </c>
      <c r="G33" s="469">
        <f>IFERROR(_xlfn.XLOOKUP(G$88,Hydrogen!$D$110:$BA$110,Hydrogen!$D$123:$BA$123)*'Assumptions &amp; Inputs'!$J$6,0)</f>
        <v>32.013862601719637</v>
      </c>
      <c r="H33" s="469">
        <f>IFERROR(_xlfn.XLOOKUP(H$88,Hydrogen!$D$110:$BA$110,Hydrogen!$D$123:$BA$123)*'Assumptions &amp; Inputs'!$J$6,0)</f>
        <v>34.548011523253336</v>
      </c>
      <c r="I33" s="469">
        <f>IFERROR(_xlfn.XLOOKUP(I$88,Hydrogen!$D$110:$BA$110,Hydrogen!$D$123:$BA$123)*'Assumptions &amp; Inputs'!$J$6,0)</f>
        <v>38.212696768149208</v>
      </c>
      <c r="J33" s="469">
        <f>IFERROR(_xlfn.XLOOKUP(J$88,Hydrogen!$D$110:$BA$110,Hydrogen!$D$123:$BA$123)*'Assumptions &amp; Inputs'!$J$6,0)</f>
        <v>40.029477406559877</v>
      </c>
      <c r="K33" s="469">
        <f>IFERROR(_xlfn.XLOOKUP(K$88,Hydrogen!$D$110:$BA$110,Hydrogen!$D$123:$BA$123)*'Assumptions &amp; Inputs'!$J$6,0)</f>
        <v>41.569074900423061</v>
      </c>
      <c r="L33" s="469">
        <f>IFERROR(_xlfn.XLOOKUP(L$88,Hydrogen!$D$110:$BA$110,Hydrogen!$D$123:$BA$123)*'Assumptions &amp; Inputs'!$J$6,0)</f>
        <v>43.161836778023861</v>
      </c>
      <c r="M33" s="469">
        <f>IFERROR(_xlfn.XLOOKUP(M$88,Hydrogen!$D$110:$BA$110,Hydrogen!$D$123:$BA$123)*'Assumptions &amp; Inputs'!$J$6,0)</f>
        <v>44.80950066087577</v>
      </c>
      <c r="N33" s="469">
        <f>IFERROR(_xlfn.XLOOKUP(N$88,Hydrogen!$D$110:$BA$110,Hydrogen!$D$123:$BA$123)*'Assumptions &amp; Inputs'!$J$6,0)</f>
        <v>46.513859203045854</v>
      </c>
      <c r="O33" s="469">
        <f>IFERROR(_xlfn.XLOOKUP(O$88,Hydrogen!$D$110:$BA$110,Hydrogen!$D$123:$BA$123)*'Assumptions &amp; Inputs'!$J$6,0)</f>
        <v>48.276761801015184</v>
      </c>
      <c r="P33" s="469">
        <f>IFERROR(_xlfn.XLOOKUP(P$88,Hydrogen!$D$110:$BA$110,Hydrogen!$D$123:$BA$123)*'Assumptions &amp; Inputs'!$J$6,0)</f>
        <v>50.100116356025836</v>
      </c>
      <c r="Q33" s="469">
        <f>IFERROR(_xlfn.XLOOKUP(Q$88,Hydrogen!$D$110:$BA$110,Hydrogen!$D$123:$BA$123)*'Assumptions &amp; Inputs'!$J$6,0)</f>
        <v>51.98589109051305</v>
      </c>
      <c r="R33" s="469">
        <f>IFERROR(_xlfn.XLOOKUP(R$88,Hydrogen!$D$110:$BA$110,Hydrogen!$D$123:$BA$123)*'Assumptions &amp; Inputs'!$J$6,0)</f>
        <v>53.936116420270089</v>
      </c>
      <c r="S33" s="469">
        <f>IFERROR(_xlfn.XLOOKUP(S$88,Hydrogen!$D$110:$BA$110,Hydrogen!$D$123:$BA$123)*'Assumptions &amp; Inputs'!$J$6,0)</f>
        <v>55.952886884041959</v>
      </c>
      <c r="T33" s="469">
        <f>IFERROR(_xlfn.XLOOKUP(T$88,Hydrogen!$D$110:$BA$110,Hydrogen!$D$123:$BA$123)*'Assumptions &amp; Inputs'!$J$6,0)</f>
        <v>58.038363132296993</v>
      </c>
      <c r="U33" s="469">
        <f>IFERROR(_xlfn.XLOOKUP(U$88,Hydrogen!$D$110:$BA$110,Hydrogen!$D$123:$BA$123)*'Assumptions &amp; Inputs'!$J$6,0)</f>
        <v>60.194773976977537</v>
      </c>
      <c r="V33" s="469">
        <f>IFERROR(_xlfn.XLOOKUP(V$88,Hydrogen!$D$110:$BA$110,Hydrogen!$D$123:$BA$123)*'Assumptions &amp; Inputs'!$J$6,0)</f>
        <v>62.4244185040858</v>
      </c>
      <c r="W33" s="469">
        <f>IFERROR(_xlfn.XLOOKUP(W$88,Hydrogen!$D$110:$BA$110,Hydrogen!$D$123:$BA$123)*'Assumptions &amp; Inputs'!$J$6,0)</f>
        <v>64.729668251016349</v>
      </c>
      <c r="X33" s="469">
        <f>IFERROR(_xlfn.XLOOKUP(X$88,Hydrogen!$D$110:$BA$110,Hydrogen!$D$123:$BA$123)*'Assumptions &amp; Inputs'!$J$6,0)</f>
        <v>67.112969450606172</v>
      </c>
      <c r="Y33" s="469">
        <f>IFERROR(_xlfn.XLOOKUP(Y$88,Hydrogen!$D$110:$BA$110,Hydrogen!$D$123:$BA$123)*'Assumptions &amp; Inputs'!$J$6,0)</f>
        <v>69.576845343931495</v>
      </c>
      <c r="Z33" s="469">
        <f>IFERROR(_xlfn.XLOOKUP(Z$88,Hydrogen!$D$110:$BA$110,Hydrogen!$D$123:$BA$123)*'Assumptions &amp; Inputs'!$J$6,0)</f>
        <v>72.123898563942703</v>
      </c>
      <c r="AA33" s="469">
        <f>IFERROR(_xlfn.XLOOKUP(AA$88,Hydrogen!$D$110:$BA$110,Hydrogen!$D$123:$BA$123)*'Assumptions &amp; Inputs'!$J$6,0)</f>
        <v>74.756813592091731</v>
      </c>
      <c r="AB33" s="469">
        <f>IFERROR(_xlfn.XLOOKUP(AB$88,Hydrogen!$D$110:$BA$110,Hydrogen!$D$123:$BA$123)*'Assumptions &amp; Inputs'!$J$6,0)</f>
        <v>77.478359290171511</v>
      </c>
      <c r="AC33" s="469">
        <f>IFERROR(_xlfn.XLOOKUP(AC$88,Hydrogen!$D$110:$BA$110,Hydrogen!$D$123:$BA$123)*'Assumptions &amp; Inputs'!$J$6,0)</f>
        <v>80.291391509654943</v>
      </c>
      <c r="AD33" s="469">
        <f>IFERROR(_xlfn.XLOOKUP(AD$88,Hydrogen!$D$110:$BA$110,Hydrogen!$D$123:$BA$123)*'Assumptions &amp; Inputs'!$J$6,0)</f>
        <v>83.198855780888763</v>
      </c>
      <c r="AE33" s="469">
        <f>IFERROR(_xlfn.XLOOKUP(AE$88,Hydrogen!$D$110:$BA$110,Hydrogen!$D$123:$BA$123)*'Assumptions &amp; Inputs'!$J$6,0)</f>
        <v>86.203790084570372</v>
      </c>
      <c r="AF33" s="469">
        <f>IFERROR(_xlfn.XLOOKUP(AF$88,Hydrogen!$D$110:$BA$110,Hydrogen!$D$123:$BA$123)*'Assumptions &amp; Inputs'!$J$6,0)</f>
        <v>0</v>
      </c>
      <c r="AG33" s="469">
        <f>IFERROR(_xlfn.XLOOKUP(AG$88,Hydrogen!$D$110:$BA$110,Hydrogen!$D$123:$BA$123)*'Assumptions &amp; Inputs'!$J$6,0)</f>
        <v>0</v>
      </c>
      <c r="AH33" s="469">
        <f>IFERROR(_xlfn.XLOOKUP(AH$88,Hydrogen!$D$110:$BA$110,Hydrogen!$D$123:$BA$123)*'Assumptions &amp; Inputs'!$J$6,0)</f>
        <v>0</v>
      </c>
      <c r="AI33" s="469">
        <f>IFERROR(_xlfn.XLOOKUP(AI$88,Hydrogen!$D$110:$BA$110,Hydrogen!$D$123:$BA$123)*'Assumptions &amp; Inputs'!$J$6,0)</f>
        <v>0</v>
      </c>
      <c r="AJ33" s="469">
        <f>IFERROR(_xlfn.XLOOKUP(AJ$88,Hydrogen!$D$110:$BA$110,Hydrogen!$D$123:$BA$123)*'Assumptions &amp; Inputs'!$J$6,0)</f>
        <v>0</v>
      </c>
      <c r="AK33" s="469">
        <f>IFERROR(_xlfn.XLOOKUP(AK$88,Hydrogen!$D$110:$BA$110,Hydrogen!$D$123:$BA$123)*'Assumptions &amp; Inputs'!$J$6,0)</f>
        <v>0</v>
      </c>
      <c r="AL33" s="469">
        <f>IFERROR(_xlfn.XLOOKUP(AL$88,Hydrogen!$D$110:$BA$110,Hydrogen!$D$123:$BA$123)*'Assumptions &amp; Inputs'!$J$6,0)</f>
        <v>0</v>
      </c>
      <c r="AM33" s="469">
        <f>IFERROR(_xlfn.XLOOKUP(AM$88,Hydrogen!$D$110:$BA$110,Hydrogen!$D$123:$BA$123)*'Assumptions &amp; Inputs'!$J$6,0)</f>
        <v>0</v>
      </c>
      <c r="AN33" s="469">
        <f>IFERROR(_xlfn.XLOOKUP(AN$88,Hydrogen!$D$110:$BA$110,Hydrogen!$D$123:$BA$123)*'Assumptions &amp; Inputs'!$J$6,0)</f>
        <v>0</v>
      </c>
      <c r="AO33" s="469">
        <f>IFERROR(_xlfn.XLOOKUP(AO$88,Hydrogen!$D$110:$BA$110,Hydrogen!$D$123:$BA$123)*'Assumptions &amp; Inputs'!$J$6,0)</f>
        <v>0</v>
      </c>
      <c r="AP33" s="469">
        <f>IFERROR(_xlfn.XLOOKUP(AP$88,Hydrogen!$D$110:$BA$110,Hydrogen!$D$123:$BA$123)*'Assumptions &amp; Inputs'!$J$6,0)</f>
        <v>0</v>
      </c>
      <c r="AQ33" s="469">
        <f>IFERROR(_xlfn.XLOOKUP(AQ$88,Hydrogen!$D$110:$BA$110,Hydrogen!$D$123:$BA$123)*'Assumptions &amp; Inputs'!$J$6,0)</f>
        <v>0</v>
      </c>
      <c r="AR33" s="469">
        <f>IFERROR(_xlfn.XLOOKUP(AR$88,Hydrogen!$D$110:$BA$110,Hydrogen!$D$123:$BA$123)*'Assumptions &amp; Inputs'!$J$6,0)</f>
        <v>0</v>
      </c>
      <c r="AS33" s="469">
        <f>IFERROR(_xlfn.XLOOKUP(AS$88,Hydrogen!$D$110:$BA$110,Hydrogen!$D$123:$BA$123)*'Assumptions &amp; Inputs'!$J$6,0)</f>
        <v>0</v>
      </c>
      <c r="AT33" s="469">
        <f>IFERROR(_xlfn.XLOOKUP(AT$88,Hydrogen!$D$110:$BA$110,Hydrogen!$D$123:$BA$123)*'Assumptions &amp; Inputs'!$J$6,0)</f>
        <v>0</v>
      </c>
      <c r="AU33" s="469">
        <f>IFERROR(_xlfn.XLOOKUP(AU$88,Hydrogen!$D$110:$BA$110,Hydrogen!$D$123:$BA$123)*'Assumptions &amp; Inputs'!$J$6,0)</f>
        <v>0</v>
      </c>
      <c r="AV33" s="469">
        <f>IFERROR(_xlfn.XLOOKUP(AV$88,Hydrogen!$D$110:$BA$110,Hydrogen!$D$123:$BA$123)*'Assumptions &amp; Inputs'!$J$6,0)</f>
        <v>0</v>
      </c>
      <c r="AW33" s="469">
        <f>IFERROR(_xlfn.XLOOKUP(AW$88,Hydrogen!$D$110:$BA$110,Hydrogen!$D$123:$BA$123)*'Assumptions &amp; Inputs'!$J$6,0)</f>
        <v>0</v>
      </c>
      <c r="AX33" s="469">
        <f>IFERROR(_xlfn.XLOOKUP(AX$88,Hydrogen!$D$110:$BA$110,Hydrogen!$D$123:$BA$123)*'Assumptions &amp; Inputs'!$J$6,0)</f>
        <v>0</v>
      </c>
    </row>
    <row r="34" spans="1:50" ht="14.25" customHeight="1">
      <c r="A34" s="1"/>
      <c r="B34" s="84"/>
      <c r="C34" s="748" t="s">
        <v>358</v>
      </c>
      <c r="D34" s="83"/>
      <c r="E34" s="469">
        <f>IFERROR(_xlfn.XLOOKUP(E$88, 'SENS Tires'!$D$110:$BA$110, 'SENS Tires'!$D$132:$BA$132)*'Assumptions &amp; Inputs'!$K$6, 0)</f>
        <v>0</v>
      </c>
      <c r="F34" s="469">
        <f>IFERROR(_xlfn.XLOOKUP(F$88, 'SENS Tires'!$D$110:$BA$110, 'SENS Tires'!$D$132:$BA$132)*'Assumptions &amp; Inputs'!$K$6, 0)</f>
        <v>112.34915300809249</v>
      </c>
      <c r="G34" s="469">
        <f>IFERROR(_xlfn.XLOOKUP(G$88, 'SENS Tires'!$D$110:$BA$110, 'SENS Tires'!$D$132:$BA$132)*'Assumptions &amp; Inputs'!$K$6, 0)</f>
        <v>151.96047426145662</v>
      </c>
      <c r="H34" s="469">
        <f>IFERROR(_xlfn.XLOOKUP(H$88, 'SENS Tires'!$D$110:$BA$110, 'SENS Tires'!$D$132:$BA$132)*'Assumptions &amp; Inputs'!$K$6, 0)</f>
        <v>154.16530991713663</v>
      </c>
      <c r="I34" s="469">
        <f>IFERROR(_xlfn.XLOOKUP(I$88, 'SENS Tires'!$D$110:$BA$110, 'SENS Tires'!$D$132:$BA$132)*'Assumptions &amp; Inputs'!$K$6, 0)</f>
        <v>156.41424228593024</v>
      </c>
      <c r="J34" s="469">
        <f>IFERROR(_xlfn.XLOOKUP(J$88, 'SENS Tires'!$D$110:$BA$110, 'SENS Tires'!$D$132:$BA$132)*'Assumptions &amp; Inputs'!$K$6, 0)</f>
        <v>158.7081533020997</v>
      </c>
      <c r="K34" s="469">
        <f>IFERROR(_xlfn.XLOOKUP(K$88, 'SENS Tires'!$D$110:$BA$110, 'SENS Tires'!$D$132:$BA$132)*'Assumptions &amp; Inputs'!$K$6, 0)</f>
        <v>161.04794253859257</v>
      </c>
      <c r="L34" s="469">
        <f>IFERROR(_xlfn.XLOOKUP(L$88, 'SENS Tires'!$D$110:$BA$110, 'SENS Tires'!$D$132:$BA$132)*'Assumptions &amp; Inputs'!$K$6, 0)</f>
        <v>163.43452755981525</v>
      </c>
      <c r="M34" s="469">
        <f>IFERROR(_xlfn.XLOOKUP(M$88, 'SENS Tires'!$D$110:$BA$110, 'SENS Tires'!$D$132:$BA$132)*'Assumptions &amp; Inputs'!$K$6, 0)</f>
        <v>165.86884428146243</v>
      </c>
      <c r="N34" s="469">
        <f>IFERROR(_xlfn.XLOOKUP(N$88, 'SENS Tires'!$D$110:$BA$110, 'SENS Tires'!$D$132:$BA$132)*'Assumptions &amp; Inputs'!$K$6, 0)</f>
        <v>168.35184733754255</v>
      </c>
      <c r="O34" s="469">
        <f>IFERROR(_xlfn.XLOOKUP(O$88, 'SENS Tires'!$D$110:$BA$110, 'SENS Tires'!$D$132:$BA$132)*'Assumptions &amp; Inputs'!$K$6, 0)</f>
        <v>170.88451045474429</v>
      </c>
      <c r="P34" s="469">
        <f>IFERROR(_xlfn.XLOOKUP(P$88, 'SENS Tires'!$D$110:$BA$110, 'SENS Tires'!$D$132:$BA$132)*'Assumptions &amp; Inputs'!$K$6, 0)</f>
        <v>173.46782683429001</v>
      </c>
      <c r="Q34" s="469">
        <f>IFERROR(_xlfn.XLOOKUP(Q$88, 'SENS Tires'!$D$110:$BA$110, 'SENS Tires'!$D$132:$BA$132)*'Assumptions &amp; Inputs'!$K$6, 0)</f>
        <v>176.10280954142669</v>
      </c>
      <c r="R34" s="469">
        <f>IFERROR(_xlfn.XLOOKUP(R$88, 'SENS Tires'!$D$110:$BA$110, 'SENS Tires'!$D$132:$BA$132)*'Assumptions &amp; Inputs'!$K$6, 0)</f>
        <v>178.79049190270609</v>
      </c>
      <c r="S34" s="469">
        <f>IFERROR(_xlfn.XLOOKUP(S$88, 'SENS Tires'!$D$110:$BA$110, 'SENS Tires'!$D$132:$BA$132)*'Assumptions &amp; Inputs'!$K$6, 0)</f>
        <v>181.53192791121111</v>
      </c>
      <c r="T34" s="469">
        <f>IFERROR(_xlfn.XLOOKUP(T$88, 'SENS Tires'!$D$110:$BA$110, 'SENS Tires'!$D$132:$BA$132)*'Assumptions &amp; Inputs'!$K$6, 0)</f>
        <v>184.32819263988614</v>
      </c>
      <c r="U34" s="469">
        <f>IFERROR(_xlfn.XLOOKUP(U$88, 'SENS Tires'!$D$110:$BA$110, 'SENS Tires'!$D$132:$BA$132)*'Assumptions &amp; Inputs'!$K$6, 0)</f>
        <v>187.18038266313476</v>
      </c>
      <c r="V34" s="469">
        <f>IFERROR(_xlfn.XLOOKUP(V$88, 'SENS Tires'!$D$110:$BA$110, 'SENS Tires'!$D$132:$BA$132)*'Assumptions &amp; Inputs'!$K$6, 0)</f>
        <v>190.08961648684834</v>
      </c>
      <c r="W34" s="469">
        <f>IFERROR(_xlfn.XLOOKUP(W$88, 'SENS Tires'!$D$110:$BA$110, 'SENS Tires'!$D$132:$BA$132)*'Assumptions &amp; Inputs'!$K$6, 0)</f>
        <v>193.05703498703616</v>
      </c>
      <c r="X34" s="469">
        <f>IFERROR(_xlfn.XLOOKUP(X$88, 'SENS Tires'!$D$110:$BA$110, 'SENS Tires'!$D$132:$BA$132)*'Assumptions &amp; Inputs'!$K$6, 0)</f>
        <v>196.08380185722774</v>
      </c>
      <c r="Y34" s="469">
        <f>IFERROR(_xlfn.XLOOKUP(Y$88, 'SENS Tires'!$D$110:$BA$110, 'SENS Tires'!$D$132:$BA$132)*'Assumptions &amp; Inputs'!$K$6, 0)</f>
        <v>199.17110406482317</v>
      </c>
      <c r="Z34" s="469">
        <f>IFERROR(_xlfn.XLOOKUP(Z$88, 'SENS Tires'!$D$110:$BA$110, 'SENS Tires'!$D$132:$BA$132)*'Assumptions &amp; Inputs'!$K$6, 0)</f>
        <v>202.3201523165705</v>
      </c>
      <c r="AA34" s="469">
        <f>IFERROR(_xlfn.XLOOKUP(AA$88, 'SENS Tires'!$D$110:$BA$110, 'SENS Tires'!$D$132:$BA$132)*'Assumptions &amp; Inputs'!$K$6, 0)</f>
        <v>205.53218153335277</v>
      </c>
      <c r="AB34" s="469">
        <f>IFERROR(_xlfn.XLOOKUP(AB$88, 'SENS Tires'!$D$110:$BA$110, 'SENS Tires'!$D$132:$BA$132)*'Assumptions &amp; Inputs'!$K$6, 0)</f>
        <v>208.80845133447067</v>
      </c>
      <c r="AC34" s="469">
        <f>IFERROR(_xlfn.XLOOKUP(AC$88, 'SENS Tires'!$D$110:$BA$110, 'SENS Tires'!$D$132:$BA$132)*'Assumptions &amp; Inputs'!$K$6, 0)</f>
        <v>212.15024653161097</v>
      </c>
      <c r="AD34" s="469">
        <f>IFERROR(_xlfn.XLOOKUP(AD$88, 'SENS Tires'!$D$110:$BA$110, 'SENS Tires'!$D$132:$BA$132)*'Assumptions &amp; Inputs'!$K$6, 0)</f>
        <v>215.55887763269405</v>
      </c>
      <c r="AE34" s="469">
        <f>IFERROR(_xlfn.XLOOKUP(AE$88, 'SENS Tires'!$D$110:$BA$110, 'SENS Tires'!$D$132:$BA$132)*'Assumptions &amp; Inputs'!$K$6, 0)</f>
        <v>219.03568135579883</v>
      </c>
      <c r="AF34" s="469">
        <f>IFERROR(_xlfn.XLOOKUP(AF$88, 'SENS Tires'!$D$110:$BA$110, 'SENS Tires'!$D$132:$BA$132)*'Assumptions &amp; Inputs'!$K$6, 0)</f>
        <v>0</v>
      </c>
      <c r="AG34" s="469">
        <f>IFERROR(_xlfn.XLOOKUP(AG$88, 'SENS Tires'!$D$110:$BA$110, 'SENS Tires'!$D$132:$BA$132)*'Assumptions &amp; Inputs'!$K$6, 0)</f>
        <v>0</v>
      </c>
      <c r="AH34" s="469">
        <f>IFERROR(_xlfn.XLOOKUP(AH$88, 'SENS Tires'!$D$110:$BA$110, 'SENS Tires'!$D$132:$BA$132)*'Assumptions &amp; Inputs'!$K$6, 0)</f>
        <v>0</v>
      </c>
      <c r="AI34" s="469">
        <f>IFERROR(_xlfn.XLOOKUP(AI$88, 'SENS Tires'!$D$110:$BA$110, 'SENS Tires'!$D$132:$BA$132)*'Assumptions &amp; Inputs'!$K$6, 0)</f>
        <v>0</v>
      </c>
      <c r="AJ34" s="469">
        <f>IFERROR(_xlfn.XLOOKUP(AJ$88, 'SENS Tires'!$D$110:$BA$110, 'SENS Tires'!$D$132:$BA$132)*'Assumptions &amp; Inputs'!$K$6, 0)</f>
        <v>0</v>
      </c>
      <c r="AK34" s="469">
        <f>IFERROR(_xlfn.XLOOKUP(AK$88, 'SENS Tires'!$D$110:$BA$110, 'SENS Tires'!$D$132:$BA$132)*'Assumptions &amp; Inputs'!$K$6, 0)</f>
        <v>0</v>
      </c>
      <c r="AL34" s="469">
        <f>IFERROR(_xlfn.XLOOKUP(AL$88, 'SENS Tires'!$D$110:$BA$110, 'SENS Tires'!$D$132:$BA$132)*'Assumptions &amp; Inputs'!$K$6, 0)</f>
        <v>0</v>
      </c>
      <c r="AM34" s="469">
        <f>IFERROR(_xlfn.XLOOKUP(AM$88, 'SENS Tires'!$D$110:$BA$110, 'SENS Tires'!$D$132:$BA$132)*'Assumptions &amp; Inputs'!$K$6, 0)</f>
        <v>0</v>
      </c>
      <c r="AN34" s="469">
        <f>IFERROR(_xlfn.XLOOKUP(AN$88, 'SENS Tires'!$D$110:$BA$110, 'SENS Tires'!$D$132:$BA$132)*'Assumptions &amp; Inputs'!$K$6, 0)</f>
        <v>0</v>
      </c>
      <c r="AO34" s="469">
        <f>IFERROR(_xlfn.XLOOKUP(AO$88, 'SENS Tires'!$D$110:$BA$110, 'SENS Tires'!$D$132:$BA$132)*'Assumptions &amp; Inputs'!$K$6, 0)</f>
        <v>0</v>
      </c>
      <c r="AP34" s="469">
        <f>IFERROR(_xlfn.XLOOKUP(AP$88, 'SENS Tires'!$D$110:$BA$110, 'SENS Tires'!$D$132:$BA$132)*'Assumptions &amp; Inputs'!$K$6, 0)</f>
        <v>0</v>
      </c>
      <c r="AQ34" s="469">
        <f>IFERROR(_xlfn.XLOOKUP(AQ$88, 'SENS Tires'!$D$110:$BA$110, 'SENS Tires'!$D$132:$BA$132)*'Assumptions &amp; Inputs'!$K$6, 0)</f>
        <v>0</v>
      </c>
      <c r="AR34" s="469">
        <f>IFERROR(_xlfn.XLOOKUP(AR$88, 'SENS Tires'!$D$110:$BA$110, 'SENS Tires'!$D$132:$BA$132)*'Assumptions &amp; Inputs'!$K$6, 0)</f>
        <v>0</v>
      </c>
      <c r="AS34" s="469">
        <f>IFERROR(_xlfn.XLOOKUP(AS$88, 'SENS Tires'!$D$110:$BA$110, 'SENS Tires'!$D$132:$BA$132)*'Assumptions &amp; Inputs'!$K$6, 0)</f>
        <v>0</v>
      </c>
      <c r="AT34" s="469">
        <f>IFERROR(_xlfn.XLOOKUP(AT$88, 'SENS Tires'!$D$110:$BA$110, 'SENS Tires'!$D$132:$BA$132)*'Assumptions &amp; Inputs'!$K$6, 0)</f>
        <v>0</v>
      </c>
      <c r="AU34" s="469">
        <f>IFERROR(_xlfn.XLOOKUP(AU$88, 'SENS Tires'!$D$110:$BA$110, 'SENS Tires'!$D$132:$BA$132)*'Assumptions &amp; Inputs'!$K$6, 0)</f>
        <v>0</v>
      </c>
      <c r="AV34" s="469">
        <f>IFERROR(_xlfn.XLOOKUP(AV$88, 'SENS Tires'!$D$110:$BA$110, 'SENS Tires'!$D$132:$BA$132)*'Assumptions &amp; Inputs'!$K$6, 0)</f>
        <v>0</v>
      </c>
      <c r="AW34" s="469">
        <f>IFERROR(_xlfn.XLOOKUP(AW$88, 'SENS Tires'!$D$110:$BA$110, 'SENS Tires'!$D$132:$BA$132)*'Assumptions &amp; Inputs'!$K$6, 0)</f>
        <v>0</v>
      </c>
      <c r="AX34" s="469">
        <f>IFERROR(_xlfn.XLOOKUP(AX$88, 'SENS Tires'!$D$110:$BA$110, 'SENS Tires'!$D$132:$BA$132)*'Assumptions &amp; Inputs'!$K$6, 0)</f>
        <v>0</v>
      </c>
    </row>
    <row r="35" spans="1:50" ht="14.25" customHeight="1">
      <c r="A35" s="1"/>
      <c r="B35" s="84"/>
      <c r="C35" s="748" t="s">
        <v>357</v>
      </c>
      <c r="D35" s="83"/>
      <c r="E35" s="469">
        <f>IFERROR(_xlfn.XLOOKUP(E$88, 'SENS Coal'!$D$110:$BA$110, 'SENS Coal'!$D$134:$BA$134)*'Assumptions &amp; Inputs'!$L$6, 0)</f>
        <v>0</v>
      </c>
      <c r="F35" s="469">
        <f>IFERROR(_xlfn.XLOOKUP(F$88, 'SENS Coal'!$D$110:$BA$110, 'SENS Coal'!$D$134:$BA$134)*'Assumptions &amp; Inputs'!$L$6, 0)</f>
        <v>185.15405287004702</v>
      </c>
      <c r="G35" s="469">
        <f>IFERROR(_xlfn.XLOOKUP(G$88, 'SENS Coal'!$D$110:$BA$110, 'SENS Coal'!$D$134:$BA$134)*'Assumptions &amp; Inputs'!$L$6, 0)</f>
        <v>251.74554005404929</v>
      </c>
      <c r="H35" s="469">
        <f>IFERROR(_xlfn.XLOOKUP(H$88, 'SENS Coal'!$D$110:$BA$110, 'SENS Coal'!$D$134:$BA$134)*'Assumptions &amp; Inputs'!$L$6, 0)</f>
        <v>256.71647900591557</v>
      </c>
      <c r="I35" s="469">
        <f>IFERROR(_xlfn.XLOOKUP(I$88, 'SENS Coal'!$D$110:$BA$110, 'SENS Coal'!$D$134:$BA$134)*'Assumptions &amp; Inputs'!$L$6, 0)</f>
        <v>279.55066396579343</v>
      </c>
      <c r="J35" s="469">
        <f>IFERROR(_xlfn.XLOOKUP(J$88, 'SENS Coal'!$D$110:$BA$110, 'SENS Coal'!$D$134:$BA$134)*'Assumptions &amp; Inputs'!$L$6, 0)</f>
        <v>288.831341680859</v>
      </c>
      <c r="K35" s="469">
        <f>IFERROR(_xlfn.XLOOKUP(K$88, 'SENS Coal'!$D$110:$BA$110, 'SENS Coal'!$D$134:$BA$134)*'Assumptions &amp; Inputs'!$L$6, 0)</f>
        <v>294.04386353279313</v>
      </c>
      <c r="L35" s="469">
        <f>IFERROR(_xlfn.XLOOKUP(L$88, 'SENS Coal'!$D$110:$BA$110, 'SENS Coal'!$D$134:$BA$134)*'Assumptions &amp; Inputs'!$L$6, 0)</f>
        <v>299.36204608421991</v>
      </c>
      <c r="M35" s="469">
        <f>IFERROR(_xlfn.XLOOKUP(M$88, 'SENS Coal'!$D$110:$BA$110, 'SENS Coal'!$D$134:$BA$134)*'Assumptions &amp; Inputs'!$L$6, 0)</f>
        <v>304.7879990234735</v>
      </c>
      <c r="N35" s="469">
        <f>IFERROR(_xlfn.XLOOKUP(N$88, 'SENS Coal'!$D$110:$BA$110, 'SENS Coal'!$D$134:$BA$134)*'Assumptions &amp; Inputs'!$L$6, 0)</f>
        <v>310.32387424146822</v>
      </c>
      <c r="O35" s="469">
        <f>IFERROR(_xlfn.XLOOKUP(O$88, 'SENS Coal'!$D$110:$BA$110, 'SENS Coal'!$D$134:$BA$134)*'Assumptions &amp; Inputs'!$L$6, 0)</f>
        <v>315.97186667572896</v>
      </c>
      <c r="P35" s="469">
        <f>IFERROR(_xlfn.XLOOKUP(P$88, 'SENS Coal'!$D$110:$BA$110, 'SENS Coal'!$D$134:$BA$134)*'Assumptions &amp; Inputs'!$L$6, 0)</f>
        <v>321.73421517130134</v>
      </c>
      <c r="Q35" s="469">
        <f>IFERROR(_xlfn.XLOOKUP(Q$88, 'SENS Coal'!$D$110:$BA$110, 'SENS Coal'!$D$134:$BA$134)*'Assumptions &amp; Inputs'!$L$6, 0)</f>
        <v>327.61320335888001</v>
      </c>
      <c r="R35" s="469">
        <f>IFERROR(_xlfn.XLOOKUP(R$88, 'SENS Coal'!$D$110:$BA$110, 'SENS Coal'!$D$134:$BA$134)*'Assumptions &amp; Inputs'!$L$6, 0)</f>
        <v>333.6111605504999</v>
      </c>
      <c r="S35" s="469">
        <f>IFERROR(_xlfn.XLOOKUP(S$88, 'SENS Coal'!$D$110:$BA$110, 'SENS Coal'!$D$134:$BA$134)*'Assumptions &amp; Inputs'!$L$6, 0)</f>
        <v>339.7304626531411</v>
      </c>
      <c r="T35" s="469">
        <f>IFERROR(_xlfn.XLOOKUP(T$88, 'SENS Coal'!$D$110:$BA$110, 'SENS Coal'!$D$134:$BA$134)*'Assumptions &amp; Inputs'!$L$6, 0)</f>
        <v>345.97353310060601</v>
      </c>
      <c r="U35" s="469">
        <f>IFERROR(_xlfn.XLOOKUP(U$88, 'SENS Coal'!$D$110:$BA$110, 'SENS Coal'!$D$134:$BA$134)*'Assumptions &amp; Inputs'!$L$6, 0)</f>
        <v>352.3428438040342</v>
      </c>
      <c r="V35" s="469">
        <f>IFERROR(_xlfn.XLOOKUP(V$88, 'SENS Coal'!$D$110:$BA$110, 'SENS Coal'!$D$134:$BA$134)*'Assumptions &amp; Inputs'!$L$6, 0)</f>
        <v>358.84091612142754</v>
      </c>
      <c r="W35" s="469">
        <f>IFERROR(_xlfn.XLOOKUP(W$88, 'SENS Coal'!$D$110:$BA$110, 'SENS Coal'!$D$134:$BA$134)*'Assumptions &amp; Inputs'!$L$6, 0)</f>
        <v>365.47032184656535</v>
      </c>
      <c r="X35" s="469">
        <f>IFERROR(_xlfn.XLOOKUP(X$88, 'SENS Coal'!$D$110:$BA$110, 'SENS Coal'!$D$134:$BA$134)*'Assumptions &amp; Inputs'!$L$6, 0)</f>
        <v>372.23368421769914</v>
      </c>
      <c r="Y35" s="469">
        <f>IFERROR(_xlfn.XLOOKUP(Y$88, 'SENS Coal'!$D$110:$BA$110, 'SENS Coal'!$D$134:$BA$134)*'Assumptions &amp; Inputs'!$L$6, 0)</f>
        <v>379.1336789464201</v>
      </c>
      <c r="Z35" s="469">
        <f>IFERROR(_xlfn.XLOOKUP(Z$88, 'SENS Coal'!$D$110:$BA$110, 'SENS Coal'!$D$134:$BA$134)*'Assumptions &amp; Inputs'!$L$6, 0)</f>
        <v>386.17303526710464</v>
      </c>
      <c r="AA35" s="469">
        <f>IFERROR(_xlfn.XLOOKUP(AA$88, 'SENS Coal'!$D$110:$BA$110, 'SENS Coal'!$D$134:$BA$134)*'Assumptions &amp; Inputs'!$L$6, 0)</f>
        <v>393.35453700734843</v>
      </c>
      <c r="AB35" s="469">
        <f>IFERROR(_xlfn.XLOOKUP(AB$88, 'SENS Coal'!$D$110:$BA$110, 'SENS Coal'!$D$134:$BA$134)*'Assumptions &amp; Inputs'!$L$6, 0)</f>
        <v>400.68102367980975</v>
      </c>
      <c r="AC35" s="469">
        <f>IFERROR(_xlfn.XLOOKUP(AC$88, 'SENS Coal'!$D$110:$BA$110, 'SENS Coal'!$D$134:$BA$134)*'Assumptions &amp; Inputs'!$L$6, 0)</f>
        <v>408.15539159588968</v>
      </c>
      <c r="AD35" s="469">
        <f>IFERROR(_xlfn.XLOOKUP(AD$88, 'SENS Coal'!$D$110:$BA$110, 'SENS Coal'!$D$134:$BA$134)*'Assumptions &amp; Inputs'!$L$6, 0)</f>
        <v>415.78059500168479</v>
      </c>
      <c r="AE35" s="469">
        <f>IFERROR(_xlfn.XLOOKUP(AE$88, 'SENS Coal'!$D$110:$BA$110, 'SENS Coal'!$D$134:$BA$134)*'Assumptions &amp; Inputs'!$L$6, 0)</f>
        <v>423.55964723666142</v>
      </c>
      <c r="AF35" s="469">
        <f>IFERROR(_xlfn.XLOOKUP(AF$88, 'SENS Coal'!$D$110:$BA$110, 'SENS Coal'!$D$134:$BA$134)*'Assumptions &amp; Inputs'!$L$6, 0)</f>
        <v>23.728009787994228</v>
      </c>
      <c r="AG35" s="469">
        <f>IFERROR(_xlfn.XLOOKUP(AG$88, 'SENS Coal'!$D$110:$BA$110, 'SENS Coal'!$D$134:$BA$134)*'Assumptions &amp; Inputs'!$L$6, 0)</f>
        <v>23.668689763524245</v>
      </c>
      <c r="AH35" s="469">
        <f>IFERROR(_xlfn.XLOOKUP(AH$88, 'SENS Coal'!$D$110:$BA$110, 'SENS Coal'!$D$134:$BA$134)*'Assumptions &amp; Inputs'!$L$6, 0)</f>
        <v>23.609518039115432</v>
      </c>
      <c r="AI35" s="469">
        <f>IFERROR(_xlfn.XLOOKUP(AI$88, 'SENS Coal'!$D$110:$BA$110, 'SENS Coal'!$D$134:$BA$134)*'Assumptions &amp; Inputs'!$L$6, 0)</f>
        <v>0</v>
      </c>
      <c r="AJ35" s="469">
        <f>IFERROR(_xlfn.XLOOKUP(AJ$88, 'SENS Coal'!$D$110:$BA$110, 'SENS Coal'!$D$134:$BA$134)*'Assumptions &amp; Inputs'!$L$6, 0)</f>
        <v>0</v>
      </c>
      <c r="AK35" s="469">
        <f>IFERROR(_xlfn.XLOOKUP(AK$88, 'SENS Coal'!$D$110:$BA$110, 'SENS Coal'!$D$134:$BA$134)*'Assumptions &amp; Inputs'!$L$6, 0)</f>
        <v>0</v>
      </c>
      <c r="AL35" s="469">
        <f>IFERROR(_xlfn.XLOOKUP(AL$88, 'SENS Coal'!$D$110:$BA$110, 'SENS Coal'!$D$134:$BA$134)*'Assumptions &amp; Inputs'!$L$6, 0)</f>
        <v>0</v>
      </c>
      <c r="AM35" s="469">
        <f>IFERROR(_xlfn.XLOOKUP(AM$88, 'SENS Coal'!$D$110:$BA$110, 'SENS Coal'!$D$134:$BA$134)*'Assumptions &amp; Inputs'!$L$6, 0)</f>
        <v>0</v>
      </c>
      <c r="AN35" s="469">
        <f>IFERROR(_xlfn.XLOOKUP(AN$88, 'SENS Coal'!$D$110:$BA$110, 'SENS Coal'!$D$134:$BA$134)*'Assumptions &amp; Inputs'!$L$6, 0)</f>
        <v>0</v>
      </c>
      <c r="AO35" s="469">
        <f>IFERROR(_xlfn.XLOOKUP(AO$88, 'SENS Coal'!$D$110:$BA$110, 'SENS Coal'!$D$134:$BA$134)*'Assumptions &amp; Inputs'!$L$6, 0)</f>
        <v>0</v>
      </c>
      <c r="AP35" s="469">
        <f>IFERROR(_xlfn.XLOOKUP(AP$88, 'SENS Coal'!$D$110:$BA$110, 'SENS Coal'!$D$134:$BA$134)*'Assumptions &amp; Inputs'!$L$6, 0)</f>
        <v>0</v>
      </c>
      <c r="AQ35" s="469">
        <f>IFERROR(_xlfn.XLOOKUP(AQ$88, 'SENS Coal'!$D$110:$BA$110, 'SENS Coal'!$D$134:$BA$134)*'Assumptions &amp; Inputs'!$L$6, 0)</f>
        <v>0</v>
      </c>
      <c r="AR35" s="469">
        <f>IFERROR(_xlfn.XLOOKUP(AR$88, 'SENS Coal'!$D$110:$BA$110, 'SENS Coal'!$D$134:$BA$134)*'Assumptions &amp; Inputs'!$L$6, 0)</f>
        <v>0</v>
      </c>
      <c r="AS35" s="469">
        <f>IFERROR(_xlfn.XLOOKUP(AS$88, 'SENS Coal'!$D$110:$BA$110, 'SENS Coal'!$D$134:$BA$134)*'Assumptions &amp; Inputs'!$L$6, 0)</f>
        <v>0</v>
      </c>
      <c r="AT35" s="469">
        <f>IFERROR(_xlfn.XLOOKUP(AT$88, 'SENS Coal'!$D$110:$BA$110, 'SENS Coal'!$D$134:$BA$134)*'Assumptions &amp; Inputs'!$L$6, 0)</f>
        <v>0</v>
      </c>
      <c r="AU35" s="469">
        <f>IFERROR(_xlfn.XLOOKUP(AU$88, 'SENS Coal'!$D$110:$BA$110, 'SENS Coal'!$D$134:$BA$134)*'Assumptions &amp; Inputs'!$L$6, 0)</f>
        <v>0</v>
      </c>
      <c r="AV35" s="469">
        <f>IFERROR(_xlfn.XLOOKUP(AV$88, 'SENS Coal'!$D$110:$BA$110, 'SENS Coal'!$D$134:$BA$134)*'Assumptions &amp; Inputs'!$L$6, 0)</f>
        <v>0</v>
      </c>
      <c r="AW35" s="469">
        <f>IFERROR(_xlfn.XLOOKUP(AW$88, 'SENS Coal'!$D$110:$BA$110, 'SENS Coal'!$D$134:$BA$134)*'Assumptions &amp; Inputs'!$L$6, 0)</f>
        <v>0</v>
      </c>
      <c r="AX35" s="469">
        <f>IFERROR(_xlfn.XLOOKUP(AX$88, 'SENS Coal'!$D$110:$BA$110, 'SENS Coal'!$D$134:$BA$134)*'Assumptions &amp; Inputs'!$L$6, 0)</f>
        <v>0</v>
      </c>
    </row>
    <row r="36" spans="1:50" ht="14.25" customHeight="1">
      <c r="A36" s="1"/>
      <c r="B36" s="84"/>
      <c r="C36" s="748"/>
      <c r="D36" s="83"/>
      <c r="E36" s="469"/>
      <c r="F36" s="469"/>
      <c r="G36" s="469"/>
      <c r="H36" s="469"/>
      <c r="I36" s="469"/>
      <c r="J36" s="469"/>
      <c r="K36" s="469"/>
      <c r="L36" s="469"/>
      <c r="M36" s="469"/>
      <c r="N36" s="469"/>
      <c r="O36" s="469"/>
      <c r="P36" s="469"/>
      <c r="Q36" s="469"/>
      <c r="R36" s="469"/>
      <c r="S36" s="469"/>
      <c r="T36" s="469"/>
      <c r="U36" s="469"/>
      <c r="V36" s="469"/>
      <c r="W36" s="469"/>
      <c r="X36" s="469"/>
      <c r="Y36" s="469"/>
      <c r="Z36" s="469"/>
      <c r="AA36" s="469"/>
      <c r="AB36" s="469"/>
      <c r="AC36" s="469"/>
      <c r="AD36" s="469"/>
      <c r="AE36" s="469"/>
      <c r="AF36" s="469"/>
      <c r="AG36" s="469"/>
      <c r="AH36" s="469"/>
      <c r="AI36" s="469"/>
      <c r="AJ36" s="469"/>
      <c r="AK36" s="469"/>
      <c r="AL36" s="469"/>
      <c r="AM36" s="469"/>
      <c r="AN36" s="469"/>
      <c r="AO36" s="469"/>
      <c r="AP36" s="469"/>
      <c r="AQ36" s="469"/>
      <c r="AR36" s="469"/>
      <c r="AS36" s="469"/>
      <c r="AT36" s="469"/>
      <c r="AU36" s="469"/>
      <c r="AV36" s="469"/>
      <c r="AW36" s="469"/>
      <c r="AX36" s="469"/>
    </row>
    <row r="37" spans="1:50" ht="14.25" customHeight="1">
      <c r="A37" s="1"/>
      <c r="B37" s="84"/>
      <c r="C37" s="309" t="s">
        <v>363</v>
      </c>
      <c r="D37" s="83"/>
      <c r="E37" s="469"/>
      <c r="F37" s="469"/>
      <c r="G37" s="469"/>
      <c r="H37" s="469"/>
      <c r="I37" s="469"/>
      <c r="J37" s="469"/>
      <c r="K37" s="469"/>
      <c r="L37" s="469"/>
      <c r="M37" s="469"/>
      <c r="N37" s="469"/>
      <c r="O37" s="469"/>
      <c r="P37" s="469"/>
      <c r="Q37" s="469"/>
      <c r="R37" s="469"/>
      <c r="S37" s="469"/>
      <c r="T37" s="469"/>
      <c r="U37" s="469"/>
      <c r="V37" s="469"/>
      <c r="W37" s="469"/>
      <c r="X37" s="469"/>
      <c r="Y37" s="469"/>
      <c r="Z37" s="469"/>
      <c r="AA37" s="469"/>
      <c r="AB37" s="469"/>
      <c r="AC37" s="469"/>
      <c r="AD37" s="469"/>
      <c r="AE37" s="469"/>
      <c r="AF37" s="469"/>
      <c r="AG37" s="469"/>
      <c r="AH37" s="469"/>
      <c r="AI37" s="469"/>
      <c r="AJ37" s="469"/>
      <c r="AK37" s="469"/>
      <c r="AL37" s="469"/>
      <c r="AM37" s="469"/>
      <c r="AN37" s="469"/>
      <c r="AO37" s="469"/>
      <c r="AP37" s="469"/>
      <c r="AQ37" s="469"/>
      <c r="AR37" s="469"/>
      <c r="AS37" s="469"/>
      <c r="AT37" s="469"/>
      <c r="AU37" s="469"/>
      <c r="AV37" s="469"/>
      <c r="AW37" s="469"/>
      <c r="AX37" s="469"/>
    </row>
    <row r="38" spans="1:50" ht="14.25" customHeight="1">
      <c r="A38" s="1"/>
      <c r="B38" s="84"/>
      <c r="C38" s="748" t="s">
        <v>356</v>
      </c>
      <c r="D38" s="83"/>
      <c r="E38" s="469">
        <f>IFERROR(-_xlfn.XLOOKUP(E$88,Load!$D$110:$BA$110,Load!$D$122:$BA$122)*'Assumptions &amp; Inputs'!$E$6,0)</f>
        <v>0</v>
      </c>
      <c r="F38" s="469">
        <f>IFERROR(-_xlfn.XLOOKUP(F$88,Load!$D$110:$BA$110,Load!$D$122:$BA$122)*'Assumptions &amp; Inputs'!$E$6,0)</f>
        <v>0</v>
      </c>
      <c r="G38" s="469">
        <f>IFERROR(-_xlfn.XLOOKUP(G$88,Load!$D$110:$BA$110,Load!$D$122:$BA$122)*'Assumptions &amp; Inputs'!$E$6,0)</f>
        <v>0</v>
      </c>
      <c r="H38" s="469">
        <f>IFERROR(-_xlfn.XLOOKUP(H$88,Load!$D$110:$BA$110,Load!$D$122:$BA$122)*'Assumptions &amp; Inputs'!$E$6,0)</f>
        <v>0</v>
      </c>
      <c r="I38" s="469">
        <f>IFERROR(-_xlfn.XLOOKUP(I$88,Load!$D$110:$BA$110,Load!$D$122:$BA$122)*'Assumptions &amp; Inputs'!$E$6,0)</f>
        <v>0</v>
      </c>
      <c r="J38" s="469">
        <f>IFERROR(-_xlfn.XLOOKUP(J$88,Load!$D$110:$BA$110,Load!$D$122:$BA$122)*'Assumptions &amp; Inputs'!$E$6,0)</f>
        <v>0</v>
      </c>
      <c r="K38" s="469">
        <f>IFERROR(-_xlfn.XLOOKUP(K$88,Load!$D$110:$BA$110,Load!$D$122:$BA$122)*'Assumptions &amp; Inputs'!$E$6,0)</f>
        <v>0</v>
      </c>
      <c r="L38" s="469">
        <f>IFERROR(-_xlfn.XLOOKUP(L$88,Load!$D$110:$BA$110,Load!$D$122:$BA$122)*'Assumptions &amp; Inputs'!$E$6,0)</f>
        <v>0</v>
      </c>
      <c r="M38" s="469">
        <f>IFERROR(-_xlfn.XLOOKUP(M$88,Load!$D$110:$BA$110,Load!$D$122:$BA$122)*'Assumptions &amp; Inputs'!$E$6,0)</f>
        <v>0</v>
      </c>
      <c r="N38" s="469">
        <f>IFERROR(-_xlfn.XLOOKUP(N$88,Load!$D$110:$BA$110,Load!$D$122:$BA$122)*'Assumptions &amp; Inputs'!$E$6,0)</f>
        <v>0</v>
      </c>
      <c r="O38" s="469">
        <f>IFERROR(-_xlfn.XLOOKUP(O$88,Load!$D$110:$BA$110,Load!$D$122:$BA$122)*'Assumptions &amp; Inputs'!$E$6,0)</f>
        <v>0</v>
      </c>
      <c r="P38" s="469">
        <f>IFERROR(-_xlfn.XLOOKUP(P$88,Load!$D$110:$BA$110,Load!$D$122:$BA$122)*'Assumptions &amp; Inputs'!$E$6,0)</f>
        <v>0</v>
      </c>
      <c r="Q38" s="469">
        <f>IFERROR(-_xlfn.XLOOKUP(Q$88,Load!$D$110:$BA$110,Load!$D$122:$BA$122)*'Assumptions &amp; Inputs'!$E$6,0)</f>
        <v>0</v>
      </c>
      <c r="R38" s="469">
        <f>IFERROR(-_xlfn.XLOOKUP(R$88,Load!$D$110:$BA$110,Load!$D$122:$BA$122)*'Assumptions &amp; Inputs'!$E$6,0)</f>
        <v>0</v>
      </c>
      <c r="S38" s="469">
        <f>IFERROR(-_xlfn.XLOOKUP(S$88,Load!$D$110:$BA$110,Load!$D$122:$BA$122)*'Assumptions &amp; Inputs'!$E$6,0)</f>
        <v>0</v>
      </c>
      <c r="T38" s="469">
        <f>IFERROR(-_xlfn.XLOOKUP(T$88,Load!$D$110:$BA$110,Load!$D$122:$BA$122)*'Assumptions &amp; Inputs'!$E$6,0)</f>
        <v>0</v>
      </c>
      <c r="U38" s="469">
        <f>IFERROR(-_xlfn.XLOOKUP(U$88,Load!$D$110:$BA$110,Load!$D$122:$BA$122)*'Assumptions &amp; Inputs'!$E$6,0)</f>
        <v>0</v>
      </c>
      <c r="V38" s="469">
        <f>IFERROR(-_xlfn.XLOOKUP(V$88,Load!$D$110:$BA$110,Load!$D$122:$BA$122)*'Assumptions &amp; Inputs'!$E$6,0)</f>
        <v>0</v>
      </c>
      <c r="W38" s="469">
        <f>IFERROR(-_xlfn.XLOOKUP(W$88,Load!$D$110:$BA$110,Load!$D$122:$BA$122)*'Assumptions &amp; Inputs'!$E$6,0)</f>
        <v>0</v>
      </c>
      <c r="X38" s="469">
        <f>IFERROR(-_xlfn.XLOOKUP(X$88,Load!$D$110:$BA$110,Load!$D$122:$BA$122)*'Assumptions &amp; Inputs'!$E$6,0)</f>
        <v>0</v>
      </c>
      <c r="Y38" s="469">
        <f>IFERROR(-_xlfn.XLOOKUP(Y$88,Load!$D$110:$BA$110,Load!$D$122:$BA$122)*'Assumptions &amp; Inputs'!$E$6,0)</f>
        <v>0</v>
      </c>
      <c r="Z38" s="469">
        <f>IFERROR(-_xlfn.XLOOKUP(Z$88,Load!$D$110:$BA$110,Load!$D$122:$BA$122)*'Assumptions &amp; Inputs'!$E$6,0)</f>
        <v>0</v>
      </c>
      <c r="AA38" s="469">
        <f>IFERROR(-_xlfn.XLOOKUP(AA$88,Load!$D$110:$BA$110,Load!$D$122:$BA$122)*'Assumptions &amp; Inputs'!$E$6,0)</f>
        <v>0</v>
      </c>
      <c r="AB38" s="469">
        <f>IFERROR(-_xlfn.XLOOKUP(AB$88,Load!$D$110:$BA$110,Load!$D$122:$BA$122)*'Assumptions &amp; Inputs'!$E$6,0)</f>
        <v>0</v>
      </c>
      <c r="AC38" s="469">
        <f>IFERROR(-_xlfn.XLOOKUP(AC$88,Load!$D$110:$BA$110,Load!$D$122:$BA$122)*'Assumptions &amp; Inputs'!$E$6,0)</f>
        <v>0</v>
      </c>
      <c r="AD38" s="469">
        <f>IFERROR(-_xlfn.XLOOKUP(AD$88,Load!$D$110:$BA$110,Load!$D$122:$BA$122)*'Assumptions &amp; Inputs'!$E$6,0)</f>
        <v>0</v>
      </c>
      <c r="AE38" s="469">
        <f>IFERROR(-_xlfn.XLOOKUP(AE$88,Load!$D$110:$BA$110,Load!$D$122:$BA$122)*'Assumptions &amp; Inputs'!$E$6,0)</f>
        <v>0</v>
      </c>
      <c r="AF38" s="469">
        <f>IFERROR(-_xlfn.XLOOKUP(AF$88,Load!$D$110:$BA$110,Load!$D$122:$BA$122)*'Assumptions &amp; Inputs'!$E$6,0)</f>
        <v>0</v>
      </c>
      <c r="AG38" s="469">
        <f>IFERROR(-_xlfn.XLOOKUP(AG$88,Load!$D$110:$BA$110,Load!$D$122:$BA$122)*'Assumptions &amp; Inputs'!$E$6,0)</f>
        <v>0</v>
      </c>
      <c r="AH38" s="469">
        <f>IFERROR(-_xlfn.XLOOKUP(AH$88,Load!$D$110:$BA$110,Load!$D$122:$BA$122)*'Assumptions &amp; Inputs'!$E$6,0)</f>
        <v>0</v>
      </c>
      <c r="AI38" s="469">
        <f>IFERROR(-_xlfn.XLOOKUP(AI$88,Load!$D$110:$BA$110,Load!$D$122:$BA$122)*'Assumptions &amp; Inputs'!$E$6,0)</f>
        <v>0</v>
      </c>
      <c r="AJ38" s="469">
        <f>IFERROR(-_xlfn.XLOOKUP(AJ$88,Load!$D$110:$BA$110,Load!$D$122:$BA$122)*'Assumptions &amp; Inputs'!$E$6,0)</f>
        <v>0</v>
      </c>
      <c r="AK38" s="469">
        <f>IFERROR(-_xlfn.XLOOKUP(AK$88,Load!$D$110:$BA$110,Load!$D$122:$BA$122)*'Assumptions &amp; Inputs'!$E$6,0)</f>
        <v>0</v>
      </c>
      <c r="AL38" s="469">
        <f>IFERROR(-_xlfn.XLOOKUP(AL$88,Load!$D$110:$BA$110,Load!$D$122:$BA$122)*'Assumptions &amp; Inputs'!$E$6,0)</f>
        <v>0</v>
      </c>
      <c r="AM38" s="469">
        <f>IFERROR(-_xlfn.XLOOKUP(AM$88,Load!$D$110:$BA$110,Load!$D$122:$BA$122)*'Assumptions &amp; Inputs'!$E$6,0)</f>
        <v>0</v>
      </c>
      <c r="AN38" s="469">
        <f>IFERROR(-_xlfn.XLOOKUP(AN$88,Load!$D$110:$BA$110,Load!$D$122:$BA$122)*'Assumptions &amp; Inputs'!$E$6,0)</f>
        <v>0</v>
      </c>
      <c r="AO38" s="469">
        <f>IFERROR(-_xlfn.XLOOKUP(AO$88,Load!$D$110:$BA$110,Load!$D$122:$BA$122)*'Assumptions &amp; Inputs'!$E$6,0)</f>
        <v>0</v>
      </c>
      <c r="AP38" s="469">
        <f>IFERROR(-_xlfn.XLOOKUP(AP$88,Load!$D$110:$BA$110,Load!$D$122:$BA$122)*'Assumptions &amp; Inputs'!$E$6,0)</f>
        <v>0</v>
      </c>
      <c r="AQ38" s="469">
        <f>IFERROR(-_xlfn.XLOOKUP(AQ$88,Load!$D$110:$BA$110,Load!$D$122:$BA$122)*'Assumptions &amp; Inputs'!$E$6,0)</f>
        <v>0</v>
      </c>
      <c r="AR38" s="469">
        <f>IFERROR(-_xlfn.XLOOKUP(AR$88,Load!$D$110:$BA$110,Load!$D$122:$BA$122)*'Assumptions &amp; Inputs'!$E$6,0)</f>
        <v>0</v>
      </c>
      <c r="AS38" s="469">
        <f>IFERROR(-_xlfn.XLOOKUP(AS$88,Load!$D$110:$BA$110,Load!$D$122:$BA$122)*'Assumptions &amp; Inputs'!$E$6,0)</f>
        <v>0</v>
      </c>
      <c r="AT38" s="469">
        <f>IFERROR(-_xlfn.XLOOKUP(AT$88,Load!$D$110:$BA$110,Load!$D$122:$BA$122)*'Assumptions &amp; Inputs'!$E$6,0)</f>
        <v>0</v>
      </c>
      <c r="AU38" s="469">
        <f>IFERROR(-_xlfn.XLOOKUP(AU$88,Load!$D$110:$BA$110,Load!$D$122:$BA$122)*'Assumptions &amp; Inputs'!$E$6,0)</f>
        <v>0</v>
      </c>
      <c r="AV38" s="469">
        <f>IFERROR(-_xlfn.XLOOKUP(AV$88,Load!$D$110:$BA$110,Load!$D$122:$BA$122)*'Assumptions &amp; Inputs'!$E$6,0)</f>
        <v>0</v>
      </c>
      <c r="AW38" s="469">
        <f>IFERROR(-_xlfn.XLOOKUP(AW$88,Load!$D$110:$BA$110,Load!$D$122:$BA$122)*'Assumptions &amp; Inputs'!$E$6,0)</f>
        <v>0</v>
      </c>
      <c r="AX38" s="469">
        <f>IFERROR(-_xlfn.XLOOKUP(AX$88,Load!$D$110:$BA$110,Load!$D$122:$BA$122)*'Assumptions &amp; Inputs'!$E$6,0)</f>
        <v>0</v>
      </c>
    </row>
    <row r="39" spans="1:50" ht="14.25" customHeight="1">
      <c r="A39" s="1"/>
      <c r="B39" s="84"/>
      <c r="C39" s="748" t="s">
        <v>122</v>
      </c>
      <c r="D39" s="83"/>
      <c r="E39" s="469">
        <f>IFERROR(-_xlfn.XLOOKUP(E$88, Hydrogen!$D$110:$BA$110, Hydrogen!$D$128:$BA$128)*'Assumptions &amp; Inputs'!$J$6, 0)</f>
        <v>0</v>
      </c>
      <c r="F39" s="469">
        <f>IFERROR(-_xlfn.XLOOKUP(F$88, Hydrogen!$D$110:$BA$110, Hydrogen!$D$128:$BA$128)*'Assumptions &amp; Inputs'!$J$6, 0)</f>
        <v>-1.9562162346521146</v>
      </c>
      <c r="G39" s="469">
        <f>IFERROR(-_xlfn.XLOOKUP(G$88, Hydrogen!$D$110:$BA$110, Hydrogen!$D$128:$BA$128)*'Assumptions &amp; Inputs'!$J$6, 0)</f>
        <v>-2.9997040825375176</v>
      </c>
      <c r="H39" s="469">
        <f>IFERROR(-_xlfn.XLOOKUP(H$88, Hydrogen!$D$110:$BA$110, Hydrogen!$D$128:$BA$128)*'Assumptions &amp; Inputs'!$J$6, 0)</f>
        <v>-3.0665922050136425</v>
      </c>
      <c r="I39" s="469">
        <f>IFERROR(-_xlfn.XLOOKUP(I$88, Hydrogen!$D$110:$BA$110, Hydrogen!$D$128:$BA$128)*'Assumptions &amp; Inputs'!$J$6, 0)</f>
        <v>-3.1350249111640514</v>
      </c>
      <c r="J39" s="469">
        <f>IFERROR(-_xlfn.XLOOKUP(J$88, Hydrogen!$D$110:$BA$110, Hydrogen!$D$128:$BA$128)*'Assumptions &amp; Inputs'!$J$6, 0)</f>
        <v>-3.2050392972989732</v>
      </c>
      <c r="K39" s="469">
        <f>IFERROR(-_xlfn.XLOOKUP(K$88, Hydrogen!$D$110:$BA$110, Hydrogen!$D$128:$BA$128)*'Assumptions &amp; Inputs'!$J$6, 0)</f>
        <v>-3.2766733877939425</v>
      </c>
      <c r="L39" s="469">
        <f>IFERROR(-_xlfn.XLOOKUP(L$88, Hydrogen!$D$110:$BA$110, Hydrogen!$D$128:$BA$128)*'Assumptions &amp; Inputs'!$J$6, 0)</f>
        <v>-3.3499661592352812</v>
      </c>
      <c r="M39" s="469">
        <f>IFERROR(-_xlfn.XLOOKUP(M$88, Hydrogen!$D$110:$BA$110, Hydrogen!$D$128:$BA$128)*'Assumptions &amp; Inputs'!$J$6, 0)</f>
        <v>-3.4249575652160096</v>
      </c>
      <c r="N39" s="469">
        <f>IFERROR(-_xlfn.XLOOKUP(N$88, Hydrogen!$D$110:$BA$110, Hydrogen!$D$128:$BA$128)*'Assumptions &amp; Inputs'!$J$6, 0)</f>
        <v>-3.5016885618002336</v>
      </c>
      <c r="O39" s="469">
        <f>IFERROR(-_xlfn.XLOOKUP(O$88, Hydrogen!$D$110:$BA$110, Hydrogen!$D$128:$BA$128)*'Assumptions &amp; Inputs'!$J$6, 0)</f>
        <v>-3.5802011336745392</v>
      </c>
      <c r="P39" s="469">
        <f>IFERROR(-_xlfn.XLOOKUP(P$88, Hydrogen!$D$110:$BA$110, Hydrogen!$D$128:$BA$128)*'Assumptions &amp; Inputs'!$J$6, 0)</f>
        <v>-3.6605383210054803</v>
      </c>
      <c r="Q39" s="469">
        <f>IFERROR(-_xlfn.XLOOKUP(Q$88, Hydrogen!$D$110:$BA$110, Hydrogen!$D$128:$BA$128)*'Assumptions &amp; Inputs'!$J$6, 0)</f>
        <v>-3.7427442470227628</v>
      </c>
      <c r="R39" s="469">
        <f>IFERROR(-_xlfn.XLOOKUP(R$88, Hydrogen!$D$110:$BA$110, Hydrogen!$D$128:$BA$128)*'Assumptions &amp; Inputs'!$J$6, 0)</f>
        <v>-3.8268641463483073</v>
      </c>
      <c r="S39" s="469">
        <f>IFERROR(-_xlfn.XLOOKUP(S$88, Hydrogen!$D$110:$BA$110, Hydrogen!$D$128:$BA$128)*'Assumptions &amp; Inputs'!$J$6, 0)</f>
        <v>-3.9129443940919151</v>
      </c>
      <c r="T39" s="469">
        <f>IFERROR(-_xlfn.XLOOKUP(T$88, Hydrogen!$D$110:$BA$110, Hydrogen!$D$128:$BA$128)*'Assumptions &amp; Inputs'!$J$6, 0)</f>
        <v>-4.0010325357348941</v>
      </c>
      <c r="U39" s="469">
        <f>IFERROR(-_xlfn.XLOOKUP(U$88, Hydrogen!$D$110:$BA$110, Hydrogen!$D$128:$BA$128)*'Assumptions &amp; Inputs'!$J$6, 0)</f>
        <v>-4.0911773178235658</v>
      </c>
      <c r="V39" s="469">
        <f>IFERROR(-_xlfn.XLOOKUP(V$88, Hydrogen!$D$110:$BA$110, Hydrogen!$D$128:$BA$128)*'Assumptions &amp; Inputs'!$J$6, 0)</f>
        <v>-4.1834287194952324</v>
      </c>
      <c r="W39" s="469">
        <f>IFERROR(-_xlfn.XLOOKUP(W$88, Hydrogen!$D$110:$BA$110, Hydrogen!$D$128:$BA$128)*'Assumptions &amp; Inputs'!$J$6, 0)</f>
        <v>-4.2778379848597865</v>
      </c>
      <c r="X39" s="469">
        <f>IFERROR(-_xlfn.XLOOKUP(X$88, Hydrogen!$D$110:$BA$110, Hydrogen!$D$128:$BA$128)*'Assumptions &amp; Inputs'!$J$6, 0)</f>
        <v>-4.374457656260871</v>
      </c>
      <c r="Y39" s="469">
        <f>IFERROR(-_xlfn.XLOOKUP(Y$88, Hydrogen!$D$110:$BA$110, Hydrogen!$D$128:$BA$128)*'Assumptions &amp; Inputs'!$J$6, 0)</f>
        <v>-4.4733416084410953</v>
      </c>
      <c r="Z39" s="469">
        <f>IFERROR(-_xlfn.XLOOKUP(Z$88, Hydrogen!$D$110:$BA$110, Hydrogen!$D$128:$BA$128)*'Assumptions &amp; Inputs'!$J$6, 0)</f>
        <v>-4.5745450836365738</v>
      </c>
      <c r="AA39" s="469">
        <f>IFERROR(-_xlfn.XLOOKUP(AA$88, Hydrogen!$D$110:$BA$110, Hydrogen!$D$128:$BA$128)*'Assumptions &amp; Inputs'!$J$6, 0)</f>
        <v>-4.678124727626761</v>
      </c>
      <c r="AB39" s="469">
        <f>IFERROR(-_xlfn.XLOOKUP(AB$88, Hydrogen!$D$110:$BA$110, Hydrogen!$D$128:$BA$128)*'Assumptions &amp; Inputs'!$J$6, 0)</f>
        <v>-4.7841386267662758</v>
      </c>
      <c r="AC39" s="469">
        <f>IFERROR(-_xlfn.XLOOKUP(AC$88, Hydrogen!$D$110:$BA$110, Hydrogen!$D$128:$BA$128)*'Assumptions &amp; Inputs'!$J$6, 0)</f>
        <v>-4.89264634602619</v>
      </c>
      <c r="AD39" s="469">
        <f>IFERROR(-_xlfn.XLOOKUP(AD$88, Hydrogen!$D$110:$BA$110, Hydrogen!$D$128:$BA$128)*'Assumptions &amp; Inputs'!$J$6, 0)</f>
        <v>-5.00370896807304</v>
      </c>
      <c r="AE39" s="469">
        <f>IFERROR(-_xlfn.XLOOKUP(AE$88, Hydrogen!$D$110:$BA$110, Hydrogen!$D$128:$BA$128)*'Assumptions &amp; Inputs'!$J$6, 0)</f>
        <v>-5.1173891334146182</v>
      </c>
      <c r="AF39" s="469">
        <f>IFERROR(-_xlfn.XLOOKUP(AF$88, Hydrogen!$D$110:$BA$110, Hydrogen!$D$128:$BA$128)*'Assumptions &amp; Inputs'!$J$6, 0)</f>
        <v>0</v>
      </c>
      <c r="AG39" s="469">
        <f>IFERROR(-_xlfn.XLOOKUP(AG$88, Hydrogen!$D$110:$BA$110, Hydrogen!$D$128:$BA$128)*'Assumptions &amp; Inputs'!$J$6, 0)</f>
        <v>0</v>
      </c>
      <c r="AH39" s="469">
        <f>IFERROR(-_xlfn.XLOOKUP(AH$88, Hydrogen!$D$110:$BA$110, Hydrogen!$D$128:$BA$128)*'Assumptions &amp; Inputs'!$J$6, 0)</f>
        <v>0</v>
      </c>
      <c r="AI39" s="469">
        <f>IFERROR(-_xlfn.XLOOKUP(AI$88, Hydrogen!$D$110:$BA$110, Hydrogen!$D$128:$BA$128)*'Assumptions &amp; Inputs'!$J$6, 0)</f>
        <v>0</v>
      </c>
      <c r="AJ39" s="469">
        <f>IFERROR(-_xlfn.XLOOKUP(AJ$88, Hydrogen!$D$110:$BA$110, Hydrogen!$D$128:$BA$128)*'Assumptions &amp; Inputs'!$J$6, 0)</f>
        <v>0</v>
      </c>
      <c r="AK39" s="469">
        <f>IFERROR(-_xlfn.XLOOKUP(AK$88, Hydrogen!$D$110:$BA$110, Hydrogen!$D$128:$BA$128)*'Assumptions &amp; Inputs'!$J$6, 0)</f>
        <v>0</v>
      </c>
      <c r="AL39" s="469">
        <f>IFERROR(-_xlfn.XLOOKUP(AL$88, Hydrogen!$D$110:$BA$110, Hydrogen!$D$128:$BA$128)*'Assumptions &amp; Inputs'!$J$6, 0)</f>
        <v>0</v>
      </c>
      <c r="AM39" s="469">
        <f>IFERROR(-_xlfn.XLOOKUP(AM$88, Hydrogen!$D$110:$BA$110, Hydrogen!$D$128:$BA$128)*'Assumptions &amp; Inputs'!$J$6, 0)</f>
        <v>0</v>
      </c>
      <c r="AN39" s="469">
        <f>IFERROR(-_xlfn.XLOOKUP(AN$88, Hydrogen!$D$110:$BA$110, Hydrogen!$D$128:$BA$128)*'Assumptions &amp; Inputs'!$J$6, 0)</f>
        <v>0</v>
      </c>
      <c r="AO39" s="469">
        <f>IFERROR(-_xlfn.XLOOKUP(AO$88, Hydrogen!$D$110:$BA$110, Hydrogen!$D$128:$BA$128)*'Assumptions &amp; Inputs'!$J$6, 0)</f>
        <v>0</v>
      </c>
      <c r="AP39" s="469">
        <f>IFERROR(-_xlfn.XLOOKUP(AP$88, Hydrogen!$D$110:$BA$110, Hydrogen!$D$128:$BA$128)*'Assumptions &amp; Inputs'!$J$6, 0)</f>
        <v>0</v>
      </c>
      <c r="AQ39" s="469">
        <f>IFERROR(-_xlfn.XLOOKUP(AQ$88, Hydrogen!$D$110:$BA$110, Hydrogen!$D$128:$BA$128)*'Assumptions &amp; Inputs'!$J$6, 0)</f>
        <v>0</v>
      </c>
      <c r="AR39" s="469">
        <f>IFERROR(-_xlfn.XLOOKUP(AR$88, Hydrogen!$D$110:$BA$110, Hydrogen!$D$128:$BA$128)*'Assumptions &amp; Inputs'!$J$6, 0)</f>
        <v>0</v>
      </c>
      <c r="AS39" s="469">
        <f>IFERROR(-_xlfn.XLOOKUP(AS$88, Hydrogen!$D$110:$BA$110, Hydrogen!$D$128:$BA$128)*'Assumptions &amp; Inputs'!$J$6, 0)</f>
        <v>0</v>
      </c>
      <c r="AT39" s="469">
        <f>IFERROR(-_xlfn.XLOOKUP(AT$88, Hydrogen!$D$110:$BA$110, Hydrogen!$D$128:$BA$128)*'Assumptions &amp; Inputs'!$J$6, 0)</f>
        <v>0</v>
      </c>
      <c r="AU39" s="469">
        <f>IFERROR(-_xlfn.XLOOKUP(AU$88, Hydrogen!$D$110:$BA$110, Hydrogen!$D$128:$BA$128)*'Assumptions &amp; Inputs'!$J$6, 0)</f>
        <v>0</v>
      </c>
      <c r="AV39" s="469">
        <f>IFERROR(-_xlfn.XLOOKUP(AV$88, Hydrogen!$D$110:$BA$110, Hydrogen!$D$128:$BA$128)*'Assumptions &amp; Inputs'!$J$6, 0)</f>
        <v>0</v>
      </c>
      <c r="AW39" s="469">
        <f>IFERROR(-_xlfn.XLOOKUP(AW$88, Hydrogen!$D$110:$BA$110, Hydrogen!$D$128:$BA$128)*'Assumptions &amp; Inputs'!$J$6, 0)</f>
        <v>0</v>
      </c>
      <c r="AX39" s="469">
        <f>IFERROR(-_xlfn.XLOOKUP(AX$88, Hydrogen!$D$110:$BA$110, Hydrogen!$D$128:$BA$128)*'Assumptions &amp; Inputs'!$J$6, 0)</f>
        <v>0</v>
      </c>
    </row>
    <row r="40" spans="1:50" ht="14.25" customHeight="1">
      <c r="A40" s="1"/>
      <c r="B40" s="84"/>
      <c r="C40" s="748" t="s">
        <v>358</v>
      </c>
      <c r="D40" s="83"/>
      <c r="E40" s="469">
        <f>IFERROR(-_xlfn.XLOOKUP(E$88, 'SENS Tires'!$D$110:$BA$110, 'SENS Tires'!$D$139:$BA$139)*'Assumptions &amp; Inputs'!$K$6, 0)</f>
        <v>0</v>
      </c>
      <c r="F40" s="469">
        <f>IFERROR(-_xlfn.XLOOKUP(F$88, 'SENS Tires'!$D$110:$BA$110, 'SENS Tires'!$D$139:$BA$139)*'Assumptions &amp; Inputs'!$K$6, 0)</f>
        <v>-19.150496365034201</v>
      </c>
      <c r="G40" s="469">
        <f>IFERROR(-_xlfn.XLOOKUP(G$88, 'SENS Tires'!$D$110:$BA$110, 'SENS Tires'!$D$139:$BA$139)*'Assumptions &amp; Inputs'!$K$6, 0)</f>
        <v>-25.676104107118714</v>
      </c>
      <c r="H40" s="469">
        <f>IFERROR(-_xlfn.XLOOKUP(H$88, 'SENS Tires'!$D$110:$BA$110, 'SENS Tires'!$D$139:$BA$139)*'Assumptions &amp; Inputs'!$K$6, 0)</f>
        <v>-25.799434842412083</v>
      </c>
      <c r="I40" s="469">
        <f>IFERROR(-_xlfn.XLOOKUP(I$88, 'SENS Tires'!$D$110:$BA$110, 'SENS Tires'!$D$139:$BA$139)*'Assumptions &amp; Inputs'!$K$6, 0)</f>
        <v>-25.900043174975465</v>
      </c>
      <c r="J40" s="469">
        <f>IFERROR(-_xlfn.XLOOKUP(J$88, 'SENS Tires'!$D$110:$BA$110, 'SENS Tires'!$D$139:$BA$139)*'Assumptions &amp; Inputs'!$K$6, 0)</f>
        <v>-26.048859877353284</v>
      </c>
      <c r="K40" s="469">
        <f>IFERROR(-_xlfn.XLOOKUP(K$88, 'SENS Tires'!$D$110:$BA$110, 'SENS Tires'!$D$139:$BA$139)*'Assumptions &amp; Inputs'!$K$6, 0)</f>
        <v>-26.208630772519271</v>
      </c>
      <c r="L40" s="469">
        <f>IFERROR(-_xlfn.XLOOKUP(L$88, 'SENS Tires'!$D$110:$BA$110, 'SENS Tires'!$D$139:$BA$139)*'Assumptions &amp; Inputs'!$K$6, 0)</f>
        <v>-26.37160249547151</v>
      </c>
      <c r="M40" s="469">
        <f>IFERROR(-_xlfn.XLOOKUP(M$88, 'SENS Tires'!$D$110:$BA$110, 'SENS Tires'!$D$139:$BA$139)*'Assumptions &amp; Inputs'!$K$6, 0)</f>
        <v>-26.537839149892093</v>
      </c>
      <c r="N40" s="469">
        <f>IFERROR(-_xlfn.XLOOKUP(N$88, 'SENS Tires'!$D$110:$BA$110, 'SENS Tires'!$D$139:$BA$139)*'Assumptions &amp; Inputs'!$K$6, 0)</f>
        <v>-26.707406122958879</v>
      </c>
      <c r="O40" s="469">
        <f>IFERROR(-_xlfn.XLOOKUP(O$88, 'SENS Tires'!$D$110:$BA$110, 'SENS Tires'!$D$139:$BA$139)*'Assumptions &amp; Inputs'!$K$6, 0)</f>
        <v>-26.880370111038932</v>
      </c>
      <c r="P40" s="469">
        <f>IFERROR(-_xlfn.XLOOKUP(P$88, 'SENS Tires'!$D$110:$BA$110, 'SENS Tires'!$D$139:$BA$139)*'Assumptions &amp; Inputs'!$K$6, 0)</f>
        <v>-27.056799145896179</v>
      </c>
      <c r="Q40" s="469">
        <f>IFERROR(-_xlfn.XLOOKUP(Q$88, 'SENS Tires'!$D$110:$BA$110, 'SENS Tires'!$D$139:$BA$139)*'Assumptions &amp; Inputs'!$K$6, 0)</f>
        <v>-27.236762621423651</v>
      </c>
      <c r="R40" s="469">
        <f>IFERROR(-_xlfn.XLOOKUP(R$88, 'SENS Tires'!$D$110:$BA$110, 'SENS Tires'!$D$139:$BA$139)*'Assumptions &amp; Inputs'!$K$6, 0)</f>
        <v>-27.420331320910773</v>
      </c>
      <c r="S40" s="469">
        <f>IFERROR(-_xlfn.XLOOKUP(S$88, 'SENS Tires'!$D$110:$BA$110, 'SENS Tires'!$D$139:$BA$139)*'Assumptions &amp; Inputs'!$K$6, 0)</f>
        <v>-27.60757744485641</v>
      </c>
      <c r="T40" s="469">
        <f>IFERROR(-_xlfn.XLOOKUP(T$88, 'SENS Tires'!$D$110:$BA$110, 'SENS Tires'!$D$139:$BA$139)*'Assumptions &amp; Inputs'!$K$6, 0)</f>
        <v>-27.798574639338565</v>
      </c>
      <c r="U40" s="469">
        <f>IFERROR(-_xlfn.XLOOKUP(U$88, 'SENS Tires'!$D$110:$BA$110, 'SENS Tires'!$D$139:$BA$139)*'Assumptions &amp; Inputs'!$K$6, 0)</f>
        <v>-27.993398024951976</v>
      </c>
      <c r="V40" s="469">
        <f>IFERROR(-_xlfn.XLOOKUP(V$88, 'SENS Tires'!$D$110:$BA$110, 'SENS Tires'!$D$139:$BA$139)*'Assumptions &amp; Inputs'!$K$6, 0)</f>
        <v>-28.1921242263248</v>
      </c>
      <c r="W40" s="469">
        <f>IFERROR(-_xlfn.XLOOKUP(W$88, 'SENS Tires'!$D$110:$BA$110, 'SENS Tires'!$D$139:$BA$139)*'Assumptions &amp; Inputs'!$K$6, 0)</f>
        <v>-28.394831402226142</v>
      </c>
      <c r="X40" s="469">
        <f>IFERROR(-_xlfn.XLOOKUP(X$88, 'SENS Tires'!$D$110:$BA$110, 'SENS Tires'!$D$139:$BA$139)*'Assumptions &amp; Inputs'!$K$6, 0)</f>
        <v>-28.601599276276161</v>
      </c>
      <c r="Y40" s="469">
        <f>IFERROR(-_xlfn.XLOOKUP(Y$88, 'SENS Tires'!$D$110:$BA$110, 'SENS Tires'!$D$139:$BA$139)*'Assumptions &amp; Inputs'!$K$6, 0)</f>
        <v>-28.812509168270847</v>
      </c>
      <c r="Z40" s="469">
        <f>IFERROR(-_xlfn.XLOOKUP(Z$88, 'SENS Tires'!$D$110:$BA$110, 'SENS Tires'!$D$139:$BA$139)*'Assumptions &amp; Inputs'!$K$6, 0)</f>
        <v>-29.027644026133714</v>
      </c>
      <c r="AA40" s="469">
        <f>IFERROR(-_xlfn.XLOOKUP(AA$88, 'SENS Tires'!$D$110:$BA$110, 'SENS Tires'!$D$139:$BA$139)*'Assumptions &amp; Inputs'!$K$6, 0)</f>
        <v>-29.247088458507072</v>
      </c>
      <c r="AB40" s="469">
        <f>IFERROR(-_xlfn.XLOOKUP(AB$88, 'SENS Tires'!$D$110:$BA$110, 'SENS Tires'!$D$139:$BA$139)*'Assumptions &amp; Inputs'!$K$6, 0)</f>
        <v>-29.470928767995545</v>
      </c>
      <c r="AC40" s="469">
        <f>IFERROR(-_xlfn.XLOOKUP(AC$88, 'SENS Tires'!$D$110:$BA$110, 'SENS Tires'!$D$139:$BA$139)*'Assumptions &amp; Inputs'!$K$6, 0)</f>
        <v>-29.69925298507497</v>
      </c>
      <c r="AD40" s="469">
        <f>IFERROR(-_xlfn.XLOOKUP(AD$88, 'SENS Tires'!$D$110:$BA$110, 'SENS Tires'!$D$139:$BA$139)*'Assumptions &amp; Inputs'!$K$6, 0)</f>
        <v>-29.932150902679975</v>
      </c>
      <c r="AE40" s="469">
        <f>IFERROR(-_xlfn.XLOOKUP(AE$88, 'SENS Tires'!$D$110:$BA$110, 'SENS Tires'!$D$139:$BA$139)*'Assumptions &amp; Inputs'!$K$6, 0)</f>
        <v>-30.169714111483803</v>
      </c>
      <c r="AF40" s="469">
        <f>IFERROR(-_xlfn.XLOOKUP(AF$88, 'SENS Tires'!$D$110:$BA$110, 'SENS Tires'!$D$139:$BA$139)*'Assumptions &amp; Inputs'!$K$6, 0)</f>
        <v>0</v>
      </c>
      <c r="AG40" s="469">
        <f>IFERROR(-_xlfn.XLOOKUP(AG$88, 'SENS Tires'!$D$110:$BA$110, 'SENS Tires'!$D$139:$BA$139)*'Assumptions &amp; Inputs'!$K$6, 0)</f>
        <v>0</v>
      </c>
      <c r="AH40" s="469">
        <f>IFERROR(-_xlfn.XLOOKUP(AH$88, 'SENS Tires'!$D$110:$BA$110, 'SENS Tires'!$D$139:$BA$139)*'Assumptions &amp; Inputs'!$K$6, 0)</f>
        <v>0</v>
      </c>
      <c r="AI40" s="469">
        <f>IFERROR(-_xlfn.XLOOKUP(AI$88, 'SENS Tires'!$D$110:$BA$110, 'SENS Tires'!$D$139:$BA$139)*'Assumptions &amp; Inputs'!$K$6, 0)</f>
        <v>0</v>
      </c>
      <c r="AJ40" s="469">
        <f>IFERROR(-_xlfn.XLOOKUP(AJ$88, 'SENS Tires'!$D$110:$BA$110, 'SENS Tires'!$D$139:$BA$139)*'Assumptions &amp; Inputs'!$K$6, 0)</f>
        <v>0</v>
      </c>
      <c r="AK40" s="469">
        <f>IFERROR(-_xlfn.XLOOKUP(AK$88, 'SENS Tires'!$D$110:$BA$110, 'SENS Tires'!$D$139:$BA$139)*'Assumptions &amp; Inputs'!$K$6, 0)</f>
        <v>0</v>
      </c>
      <c r="AL40" s="469">
        <f>IFERROR(-_xlfn.XLOOKUP(AL$88, 'SENS Tires'!$D$110:$BA$110, 'SENS Tires'!$D$139:$BA$139)*'Assumptions &amp; Inputs'!$K$6, 0)</f>
        <v>0</v>
      </c>
      <c r="AM40" s="469">
        <f>IFERROR(-_xlfn.XLOOKUP(AM$88, 'SENS Tires'!$D$110:$BA$110, 'SENS Tires'!$D$139:$BA$139)*'Assumptions &amp; Inputs'!$K$6, 0)</f>
        <v>0</v>
      </c>
      <c r="AN40" s="469">
        <f>IFERROR(-_xlfn.XLOOKUP(AN$88, 'SENS Tires'!$D$110:$BA$110, 'SENS Tires'!$D$139:$BA$139)*'Assumptions &amp; Inputs'!$K$6, 0)</f>
        <v>0</v>
      </c>
      <c r="AO40" s="469">
        <f>IFERROR(-_xlfn.XLOOKUP(AO$88, 'SENS Tires'!$D$110:$BA$110, 'SENS Tires'!$D$139:$BA$139)*'Assumptions &amp; Inputs'!$K$6, 0)</f>
        <v>0</v>
      </c>
      <c r="AP40" s="469">
        <f>IFERROR(-_xlfn.XLOOKUP(AP$88, 'SENS Tires'!$D$110:$BA$110, 'SENS Tires'!$D$139:$BA$139)*'Assumptions &amp; Inputs'!$K$6, 0)</f>
        <v>0</v>
      </c>
      <c r="AQ40" s="469">
        <f>IFERROR(-_xlfn.XLOOKUP(AQ$88, 'SENS Tires'!$D$110:$BA$110, 'SENS Tires'!$D$139:$BA$139)*'Assumptions &amp; Inputs'!$K$6, 0)</f>
        <v>0</v>
      </c>
      <c r="AR40" s="469">
        <f>IFERROR(-_xlfn.XLOOKUP(AR$88, 'SENS Tires'!$D$110:$BA$110, 'SENS Tires'!$D$139:$BA$139)*'Assumptions &amp; Inputs'!$K$6, 0)</f>
        <v>0</v>
      </c>
      <c r="AS40" s="469">
        <f>IFERROR(-_xlfn.XLOOKUP(AS$88, 'SENS Tires'!$D$110:$BA$110, 'SENS Tires'!$D$139:$BA$139)*'Assumptions &amp; Inputs'!$K$6, 0)</f>
        <v>0</v>
      </c>
      <c r="AT40" s="469">
        <f>IFERROR(-_xlfn.XLOOKUP(AT$88, 'SENS Tires'!$D$110:$BA$110, 'SENS Tires'!$D$139:$BA$139)*'Assumptions &amp; Inputs'!$K$6, 0)</f>
        <v>0</v>
      </c>
      <c r="AU40" s="469">
        <f>IFERROR(-_xlfn.XLOOKUP(AU$88, 'SENS Tires'!$D$110:$BA$110, 'SENS Tires'!$D$139:$BA$139)*'Assumptions &amp; Inputs'!$K$6, 0)</f>
        <v>0</v>
      </c>
      <c r="AV40" s="469">
        <f>IFERROR(-_xlfn.XLOOKUP(AV$88, 'SENS Tires'!$D$110:$BA$110, 'SENS Tires'!$D$139:$BA$139)*'Assumptions &amp; Inputs'!$K$6, 0)</f>
        <v>0</v>
      </c>
      <c r="AW40" s="469">
        <f>IFERROR(-_xlfn.XLOOKUP(AW$88, 'SENS Tires'!$D$110:$BA$110, 'SENS Tires'!$D$139:$BA$139)*'Assumptions &amp; Inputs'!$K$6, 0)</f>
        <v>0</v>
      </c>
      <c r="AX40" s="469">
        <f>IFERROR(-_xlfn.XLOOKUP(AX$88, 'SENS Tires'!$D$110:$BA$110, 'SENS Tires'!$D$139:$BA$139)*'Assumptions &amp; Inputs'!$K$6, 0)</f>
        <v>0</v>
      </c>
    </row>
    <row r="41" spans="1:50" ht="14.25" customHeight="1">
      <c r="A41" s="1"/>
      <c r="B41" s="84"/>
      <c r="C41" s="748" t="s">
        <v>357</v>
      </c>
      <c r="D41" s="83"/>
      <c r="E41" s="469">
        <f>IFERROR(-_xlfn.XLOOKUP(E$88, 'SENS Coal'!$D$110:$BA$110, 'SENS Coal'!$D$141:$BA$141)*'Assumptions &amp; Inputs'!$L$6, 0)</f>
        <v>0</v>
      </c>
      <c r="F41" s="469">
        <f>IFERROR(-_xlfn.XLOOKUP(F$88, 'SENS Coal'!$D$110:$BA$110, 'SENS Coal'!$D$141:$BA$141)*'Assumptions &amp; Inputs'!$L$6, 0)</f>
        <v>-26.049267878839085</v>
      </c>
      <c r="G41" s="469">
        <f>IFERROR(-_xlfn.XLOOKUP(G$88, 'SENS Coal'!$D$110:$BA$110, 'SENS Coal'!$D$141:$BA$141)*'Assumptions &amp; Inputs'!$L$6, 0)</f>
        <v>-34.894411781122805</v>
      </c>
      <c r="H41" s="469">
        <f>IFERROR(-_xlfn.XLOOKUP(H$88, 'SENS Coal'!$D$110:$BA$110, 'SENS Coal'!$D$141:$BA$141)*'Assumptions &amp; Inputs'!$L$6, 0)</f>
        <v>-35.053095740285677</v>
      </c>
      <c r="I41" s="469">
        <f>IFERROR(-_xlfn.XLOOKUP(I$88, 'SENS Coal'!$D$110:$BA$110, 'SENS Coal'!$D$141:$BA$141)*'Assumptions &amp; Inputs'!$L$6, 0)</f>
        <v>-35.384888587485506</v>
      </c>
      <c r="J41" s="469">
        <f>IFERROR(-_xlfn.XLOOKUP(J$88, 'SENS Coal'!$D$110:$BA$110, 'SENS Coal'!$D$141:$BA$141)*'Assumptions &amp; Inputs'!$L$6, 0)</f>
        <v>-35.597342661444031</v>
      </c>
      <c r="K41" s="469">
        <f>IFERROR(-_xlfn.XLOOKUP(K$88, 'SENS Coal'!$D$110:$BA$110, 'SENS Coal'!$D$141:$BA$141)*'Assumptions &amp; Inputs'!$L$6, 0)</f>
        <v>-35.773947834860486</v>
      </c>
      <c r="L41" s="469">
        <f>IFERROR(-_xlfn.XLOOKUP(L$88, 'SENS Coal'!$D$110:$BA$110, 'SENS Coal'!$D$141:$BA$141)*'Assumptions &amp; Inputs'!$L$6, 0)</f>
        <v>-35.954100868768265</v>
      </c>
      <c r="M41" s="469">
        <f>IFERROR(-_xlfn.XLOOKUP(M$88, 'SENS Coal'!$D$110:$BA$110, 'SENS Coal'!$D$141:$BA$141)*'Assumptions &amp; Inputs'!$L$6, 0)</f>
        <v>-36.137872711764778</v>
      </c>
      <c r="N41" s="469">
        <f>IFERROR(-_xlfn.XLOOKUP(N$88, 'SENS Coal'!$D$110:$BA$110, 'SENS Coal'!$D$141:$BA$141)*'Assumptions &amp; Inputs'!$L$6, 0)</f>
        <v>-36.325335731942431</v>
      </c>
      <c r="O41" s="469">
        <f>IFERROR(-_xlfn.XLOOKUP(O$88, 'SENS Coal'!$D$110:$BA$110, 'SENS Coal'!$D$141:$BA$141)*'Assumptions &amp; Inputs'!$L$6, 0)</f>
        <v>-36.516563745285495</v>
      </c>
      <c r="P41" s="469">
        <f>IFERROR(-_xlfn.XLOOKUP(P$88, 'SENS Coal'!$D$110:$BA$110, 'SENS Coal'!$D$141:$BA$141)*'Assumptions &amp; Inputs'!$L$6, 0)</f>
        <v>-36.71163204463501</v>
      </c>
      <c r="Q41" s="469">
        <f>IFERROR(-_xlfn.XLOOKUP(Q$88, 'SENS Coal'!$D$110:$BA$110, 'SENS Coal'!$D$141:$BA$141)*'Assumptions &amp; Inputs'!$L$6, 0)</f>
        <v>-36.910617429233163</v>
      </c>
      <c r="R41" s="469">
        <f>IFERROR(-_xlfn.XLOOKUP(R$88, 'SENS Coal'!$D$110:$BA$110, 'SENS Coal'!$D$141:$BA$141)*'Assumptions &amp; Inputs'!$L$6, 0)</f>
        <v>-37.113598234858621</v>
      </c>
      <c r="S41" s="469">
        <f>IFERROR(-_xlfn.XLOOKUP(S$88, 'SENS Coal'!$D$110:$BA$110, 'SENS Coal'!$D$141:$BA$141)*'Assumptions &amp; Inputs'!$L$6, 0)</f>
        <v>-37.320654364564739</v>
      </c>
      <c r="T41" s="469">
        <f>IFERROR(-_xlfn.XLOOKUP(T$88, 'SENS Coal'!$D$110:$BA$110, 'SENS Coal'!$D$141:$BA$141)*'Assumptions &amp; Inputs'!$L$6, 0)</f>
        <v>-37.531867320032632</v>
      </c>
      <c r="U41" s="469">
        <f>IFERROR(-_xlfn.XLOOKUP(U$88, 'SENS Coal'!$D$110:$BA$110, 'SENS Coal'!$D$141:$BA$141)*'Assumptions &amp; Inputs'!$L$6, 0)</f>
        <v>-37.747320233551463</v>
      </c>
      <c r="V41" s="469">
        <f>IFERROR(-_xlfn.XLOOKUP(V$88, 'SENS Coal'!$D$110:$BA$110, 'SENS Coal'!$D$141:$BA$141)*'Assumptions &amp; Inputs'!$L$6, 0)</f>
        <v>-37.967097900638457</v>
      </c>
      <c r="W41" s="469">
        <f>IFERROR(-_xlfn.XLOOKUP(W$88, 'SENS Coal'!$D$110:$BA$110, 'SENS Coal'!$D$141:$BA$141)*'Assumptions &amp; Inputs'!$L$6, 0)</f>
        <v>-38.191286813311443</v>
      </c>
      <c r="X41" s="469">
        <f>IFERROR(-_xlfn.XLOOKUP(X$88, 'SENS Coal'!$D$110:$BA$110, 'SENS Coal'!$D$141:$BA$141)*'Assumptions &amp; Inputs'!$L$6, 0)</f>
        <v>-38.419975194027032</v>
      </c>
      <c r="Y41" s="469">
        <f>IFERROR(-_xlfn.XLOOKUP(Y$88, 'SENS Coal'!$D$110:$BA$110, 'SENS Coal'!$D$141:$BA$141)*'Assumptions &amp; Inputs'!$L$6, 0)</f>
        <v>-38.65325303029762</v>
      </c>
      <c r="Z41" s="469">
        <f>IFERROR(-_xlfn.XLOOKUP(Z$88, 'SENS Coal'!$D$110:$BA$110, 'SENS Coal'!$D$141:$BA$141)*'Assumptions &amp; Inputs'!$L$6, 0)</f>
        <v>-38.891212110000936</v>
      </c>
      <c r="AA41" s="469">
        <f>IFERROR(-_xlfn.XLOOKUP(AA$88, 'SENS Coal'!$D$110:$BA$110, 'SENS Coal'!$D$141:$BA$141)*'Assumptions &amp; Inputs'!$L$6, 0)</f>
        <v>-39.133946057395896</v>
      </c>
      <c r="AB41" s="469">
        <f>IFERROR(-_xlfn.XLOOKUP(AB$88, 'SENS Coal'!$D$110:$BA$110, 'SENS Coal'!$D$141:$BA$141)*'Assumptions &amp; Inputs'!$L$6, 0)</f>
        <v>-39.38155036985895</v>
      </c>
      <c r="AC41" s="469">
        <f>IFERROR(-_xlfn.XLOOKUP(AC$88, 'SENS Coal'!$D$110:$BA$110, 'SENS Coal'!$D$141:$BA$141)*'Assumptions &amp; Inputs'!$L$6, 0)</f>
        <v>-39.634122455355282</v>
      </c>
      <c r="AD41" s="469">
        <f>IFERROR(-_xlfn.XLOOKUP(AD$88, 'SENS Coal'!$D$110:$BA$110, 'SENS Coal'!$D$141:$BA$141)*'Assumptions &amp; Inputs'!$L$6, 0)</f>
        <v>-39.891761670659569</v>
      </c>
      <c r="AE41" s="469">
        <f>IFERROR(-_xlfn.XLOOKUP(AE$88, 'SENS Coal'!$D$110:$BA$110, 'SENS Coal'!$D$141:$BA$141)*'Assumptions &amp; Inputs'!$L$6, 0)</f>
        <v>-40.15456936034137</v>
      </c>
      <c r="AF41" s="469">
        <f>IFERROR(-_xlfn.XLOOKUP(AF$88, 'SENS Coal'!$D$110:$BA$110, 'SENS Coal'!$D$141:$BA$141)*'Assumptions &amp; Inputs'!$L$6, 0)</f>
        <v>-0.23728009787994228</v>
      </c>
      <c r="AG41" s="469">
        <f>IFERROR(-_xlfn.XLOOKUP(AG$88, 'SENS Coal'!$D$110:$BA$110, 'SENS Coal'!$D$141:$BA$141)*'Assumptions &amp; Inputs'!$L$6, 0)</f>
        <v>-0.23668689763524245</v>
      </c>
      <c r="AH41" s="469">
        <f>IFERROR(-_xlfn.XLOOKUP(AH$88, 'SENS Coal'!$D$110:$BA$110, 'SENS Coal'!$D$141:$BA$141)*'Assumptions &amp; Inputs'!$L$6, 0)</f>
        <v>-0.23609518039115432</v>
      </c>
      <c r="AI41" s="469">
        <f>IFERROR(-_xlfn.XLOOKUP(AI$88, 'SENS Coal'!$D$110:$BA$110, 'SENS Coal'!$D$141:$BA$141)*'Assumptions &amp; Inputs'!$L$6, 0)</f>
        <v>0</v>
      </c>
      <c r="AJ41" s="469">
        <f>IFERROR(-_xlfn.XLOOKUP(AJ$88, 'SENS Coal'!$D$110:$BA$110, 'SENS Coal'!$D$141:$BA$141)*'Assumptions &amp; Inputs'!$L$6, 0)</f>
        <v>0</v>
      </c>
      <c r="AK41" s="469">
        <f>IFERROR(-_xlfn.XLOOKUP(AK$88, 'SENS Coal'!$D$110:$BA$110, 'SENS Coal'!$D$141:$BA$141)*'Assumptions &amp; Inputs'!$L$6, 0)</f>
        <v>0</v>
      </c>
      <c r="AL41" s="469">
        <f>IFERROR(-_xlfn.XLOOKUP(AL$88, 'SENS Coal'!$D$110:$BA$110, 'SENS Coal'!$D$141:$BA$141)*'Assumptions &amp; Inputs'!$L$6, 0)</f>
        <v>0</v>
      </c>
      <c r="AM41" s="469">
        <f>IFERROR(-_xlfn.XLOOKUP(AM$88, 'SENS Coal'!$D$110:$BA$110, 'SENS Coal'!$D$141:$BA$141)*'Assumptions &amp; Inputs'!$L$6, 0)</f>
        <v>0</v>
      </c>
      <c r="AN41" s="469">
        <f>IFERROR(-_xlfn.XLOOKUP(AN$88, 'SENS Coal'!$D$110:$BA$110, 'SENS Coal'!$D$141:$BA$141)*'Assumptions &amp; Inputs'!$L$6, 0)</f>
        <v>0</v>
      </c>
      <c r="AO41" s="469">
        <f>IFERROR(-_xlfn.XLOOKUP(AO$88, 'SENS Coal'!$D$110:$BA$110, 'SENS Coal'!$D$141:$BA$141)*'Assumptions &amp; Inputs'!$L$6, 0)</f>
        <v>0</v>
      </c>
      <c r="AP41" s="469">
        <f>IFERROR(-_xlfn.XLOOKUP(AP$88, 'SENS Coal'!$D$110:$BA$110, 'SENS Coal'!$D$141:$BA$141)*'Assumptions &amp; Inputs'!$L$6, 0)</f>
        <v>0</v>
      </c>
      <c r="AQ41" s="469">
        <f>IFERROR(-_xlfn.XLOOKUP(AQ$88, 'SENS Coal'!$D$110:$BA$110, 'SENS Coal'!$D$141:$BA$141)*'Assumptions &amp; Inputs'!$L$6, 0)</f>
        <v>0</v>
      </c>
      <c r="AR41" s="469">
        <f>IFERROR(-_xlfn.XLOOKUP(AR$88, 'SENS Coal'!$D$110:$BA$110, 'SENS Coal'!$D$141:$BA$141)*'Assumptions &amp; Inputs'!$L$6, 0)</f>
        <v>0</v>
      </c>
      <c r="AS41" s="469">
        <f>IFERROR(-_xlfn.XLOOKUP(AS$88, 'SENS Coal'!$D$110:$BA$110, 'SENS Coal'!$D$141:$BA$141)*'Assumptions &amp; Inputs'!$L$6, 0)</f>
        <v>0</v>
      </c>
      <c r="AT41" s="469">
        <f>IFERROR(-_xlfn.XLOOKUP(AT$88, 'SENS Coal'!$D$110:$BA$110, 'SENS Coal'!$D$141:$BA$141)*'Assumptions &amp; Inputs'!$L$6, 0)</f>
        <v>0</v>
      </c>
      <c r="AU41" s="469">
        <f>IFERROR(-_xlfn.XLOOKUP(AU$88, 'SENS Coal'!$D$110:$BA$110, 'SENS Coal'!$D$141:$BA$141)*'Assumptions &amp; Inputs'!$L$6, 0)</f>
        <v>0</v>
      </c>
      <c r="AV41" s="469">
        <f>IFERROR(-_xlfn.XLOOKUP(AV$88, 'SENS Coal'!$D$110:$BA$110, 'SENS Coal'!$D$141:$BA$141)*'Assumptions &amp; Inputs'!$L$6, 0)</f>
        <v>0</v>
      </c>
      <c r="AW41" s="469">
        <f>IFERROR(-_xlfn.XLOOKUP(AW$88, 'SENS Coal'!$D$110:$BA$110, 'SENS Coal'!$D$141:$BA$141)*'Assumptions &amp; Inputs'!$L$6, 0)</f>
        <v>0</v>
      </c>
      <c r="AX41" s="469">
        <f>IFERROR(-_xlfn.XLOOKUP(AX$88, 'SENS Coal'!$D$110:$BA$110, 'SENS Coal'!$D$141:$BA$141)*'Assumptions &amp; Inputs'!$L$6, 0)</f>
        <v>0</v>
      </c>
    </row>
    <row r="42" spans="1:50" ht="14.25" customHeight="1">
      <c r="A42" s="1"/>
      <c r="B42" s="84"/>
      <c r="C42" s="748"/>
      <c r="D42" s="83"/>
      <c r="E42" s="469"/>
      <c r="F42" s="469"/>
      <c r="G42" s="469"/>
      <c r="H42" s="469"/>
      <c r="I42" s="469"/>
      <c r="J42" s="469"/>
      <c r="K42" s="469"/>
      <c r="L42" s="469"/>
      <c r="M42" s="469"/>
      <c r="N42" s="469"/>
      <c r="O42" s="469"/>
      <c r="P42" s="469"/>
      <c r="Q42" s="469"/>
      <c r="R42" s="469"/>
      <c r="S42" s="469"/>
      <c r="T42" s="469"/>
      <c r="U42" s="469"/>
      <c r="V42" s="469"/>
      <c r="W42" s="469"/>
      <c r="X42" s="469"/>
      <c r="Y42" s="469"/>
      <c r="Z42" s="469"/>
      <c r="AA42" s="469"/>
      <c r="AB42" s="469"/>
      <c r="AC42" s="469"/>
      <c r="AD42" s="469"/>
      <c r="AE42" s="469"/>
      <c r="AF42" s="469"/>
      <c r="AG42" s="469"/>
      <c r="AH42" s="469"/>
      <c r="AI42" s="469"/>
      <c r="AJ42" s="469"/>
      <c r="AK42" s="469"/>
      <c r="AL42" s="469"/>
      <c r="AM42" s="469"/>
      <c r="AN42" s="469"/>
      <c r="AO42" s="469"/>
      <c r="AP42" s="469"/>
      <c r="AQ42" s="469"/>
      <c r="AR42" s="469"/>
      <c r="AS42" s="469"/>
      <c r="AT42" s="469"/>
      <c r="AU42" s="469"/>
      <c r="AV42" s="469"/>
      <c r="AW42" s="469"/>
      <c r="AX42" s="469"/>
    </row>
    <row r="43" spans="1:50" ht="14.25" customHeight="1">
      <c r="A43" s="1"/>
      <c r="B43" s="84"/>
      <c r="C43" s="309" t="s">
        <v>364</v>
      </c>
      <c r="D43" s="83"/>
      <c r="E43" s="469"/>
      <c r="F43" s="469"/>
      <c r="G43" s="469"/>
      <c r="H43" s="469"/>
      <c r="I43" s="469"/>
      <c r="J43" s="469"/>
      <c r="K43" s="469"/>
      <c r="L43" s="469"/>
      <c r="M43" s="469"/>
      <c r="N43" s="469"/>
      <c r="O43" s="469"/>
      <c r="P43" s="469"/>
      <c r="Q43" s="469"/>
      <c r="R43" s="469"/>
      <c r="S43" s="469"/>
      <c r="T43" s="469"/>
      <c r="U43" s="469"/>
      <c r="V43" s="469"/>
      <c r="W43" s="469"/>
      <c r="X43" s="469"/>
      <c r="Y43" s="469"/>
      <c r="Z43" s="469"/>
      <c r="AA43" s="469"/>
      <c r="AB43" s="469"/>
      <c r="AC43" s="469"/>
      <c r="AD43" s="469"/>
      <c r="AE43" s="469"/>
      <c r="AF43" s="469"/>
      <c r="AG43" s="469"/>
      <c r="AH43" s="469"/>
      <c r="AI43" s="469"/>
      <c r="AJ43" s="469"/>
      <c r="AK43" s="469"/>
      <c r="AL43" s="469"/>
      <c r="AM43" s="469"/>
      <c r="AN43" s="469"/>
      <c r="AO43" s="469"/>
      <c r="AP43" s="469"/>
      <c r="AQ43" s="469"/>
      <c r="AR43" s="469"/>
      <c r="AS43" s="469"/>
      <c r="AT43" s="469"/>
      <c r="AU43" s="469"/>
      <c r="AV43" s="469"/>
      <c r="AW43" s="469"/>
      <c r="AX43" s="469"/>
    </row>
    <row r="44" spans="1:50" ht="14.25" customHeight="1">
      <c r="A44" s="1"/>
      <c r="B44" s="84"/>
      <c r="C44" s="748" t="s">
        <v>356</v>
      </c>
      <c r="D44" s="83"/>
      <c r="E44" s="469">
        <f>IFERROR(_xlfn.XLOOKUP(E$88, Load!$D$110:$BA$110, Load!$D$127:$BA$127)*'Assumptions &amp; Inputs'!$E$6, 0)</f>
        <v>0</v>
      </c>
      <c r="F44" s="469">
        <f>IFERROR(_xlfn.XLOOKUP(F$88, Load!$D$110:$BA$110, Load!$D$127:$BA$127)*'Assumptions &amp; Inputs'!$E$6, 0)</f>
        <v>0</v>
      </c>
      <c r="G44" s="469">
        <f>IFERROR(_xlfn.XLOOKUP(G$88, Load!$D$110:$BA$110, Load!$D$127:$BA$127)*'Assumptions &amp; Inputs'!$E$6, 0)</f>
        <v>0</v>
      </c>
      <c r="H44" s="469">
        <f>IFERROR(_xlfn.XLOOKUP(H$88, Load!$D$110:$BA$110, Load!$D$127:$BA$127)*'Assumptions &amp; Inputs'!$E$6, 0)</f>
        <v>0</v>
      </c>
      <c r="I44" s="469">
        <f>IFERROR(_xlfn.XLOOKUP(I$88, Load!$D$110:$BA$110, Load!$D$127:$BA$127)*'Assumptions &amp; Inputs'!$E$6, 0)</f>
        <v>0</v>
      </c>
      <c r="J44" s="469">
        <f>IFERROR(_xlfn.XLOOKUP(J$88, Load!$D$110:$BA$110, Load!$D$127:$BA$127)*'Assumptions &amp; Inputs'!$E$6, 0)</f>
        <v>0</v>
      </c>
      <c r="K44" s="469">
        <f>IFERROR(_xlfn.XLOOKUP(K$88, Load!$D$110:$BA$110, Load!$D$127:$BA$127)*'Assumptions &amp; Inputs'!$E$6, 0)</f>
        <v>0</v>
      </c>
      <c r="L44" s="469">
        <f>IFERROR(_xlfn.XLOOKUP(L$88, Load!$D$110:$BA$110, Load!$D$127:$BA$127)*'Assumptions &amp; Inputs'!$E$6, 0)</f>
        <v>0</v>
      </c>
      <c r="M44" s="469">
        <f>IFERROR(_xlfn.XLOOKUP(M$88, Load!$D$110:$BA$110, Load!$D$127:$BA$127)*'Assumptions &amp; Inputs'!$E$6, 0)</f>
        <v>0</v>
      </c>
      <c r="N44" s="469">
        <f>IFERROR(_xlfn.XLOOKUP(N$88, Load!$D$110:$BA$110, Load!$D$127:$BA$127)*'Assumptions &amp; Inputs'!$E$6, 0)</f>
        <v>0</v>
      </c>
      <c r="O44" s="469">
        <f>IFERROR(_xlfn.XLOOKUP(O$88, Load!$D$110:$BA$110, Load!$D$127:$BA$127)*'Assumptions &amp; Inputs'!$E$6, 0)</f>
        <v>0</v>
      </c>
      <c r="P44" s="469">
        <f>IFERROR(_xlfn.XLOOKUP(P$88, Load!$D$110:$BA$110, Load!$D$127:$BA$127)*'Assumptions &amp; Inputs'!$E$6, 0)</f>
        <v>0</v>
      </c>
      <c r="Q44" s="469">
        <f>IFERROR(_xlfn.XLOOKUP(Q$88, Load!$D$110:$BA$110, Load!$D$127:$BA$127)*'Assumptions &amp; Inputs'!$E$6, 0)</f>
        <v>0</v>
      </c>
      <c r="R44" s="469">
        <f>IFERROR(_xlfn.XLOOKUP(R$88, Load!$D$110:$BA$110, Load!$D$127:$BA$127)*'Assumptions &amp; Inputs'!$E$6, 0)</f>
        <v>0</v>
      </c>
      <c r="S44" s="469">
        <f>IFERROR(_xlfn.XLOOKUP(S$88, Load!$D$110:$BA$110, Load!$D$127:$BA$127)*'Assumptions &amp; Inputs'!$E$6, 0)</f>
        <v>0</v>
      </c>
      <c r="T44" s="469">
        <f>IFERROR(_xlfn.XLOOKUP(T$88, Load!$D$110:$BA$110, Load!$D$127:$BA$127)*'Assumptions &amp; Inputs'!$E$6, 0)</f>
        <v>0</v>
      </c>
      <c r="U44" s="469">
        <f>IFERROR(_xlfn.XLOOKUP(U$88, Load!$D$110:$BA$110, Load!$D$127:$BA$127)*'Assumptions &amp; Inputs'!$E$6, 0)</f>
        <v>0</v>
      </c>
      <c r="V44" s="469">
        <f>IFERROR(_xlfn.XLOOKUP(V$88, Load!$D$110:$BA$110, Load!$D$127:$BA$127)*'Assumptions &amp; Inputs'!$E$6, 0)</f>
        <v>0</v>
      </c>
      <c r="W44" s="469">
        <f>IFERROR(_xlfn.XLOOKUP(W$88, Load!$D$110:$BA$110, Load!$D$127:$BA$127)*'Assumptions &amp; Inputs'!$E$6, 0)</f>
        <v>0</v>
      </c>
      <c r="X44" s="469">
        <f>IFERROR(_xlfn.XLOOKUP(X$88, Load!$D$110:$BA$110, Load!$D$127:$BA$127)*'Assumptions &amp; Inputs'!$E$6, 0)</f>
        <v>0</v>
      </c>
      <c r="Y44" s="469">
        <f>IFERROR(_xlfn.XLOOKUP(Y$88, Load!$D$110:$BA$110, Load!$D$127:$BA$127)*'Assumptions &amp; Inputs'!$E$6, 0)</f>
        <v>0</v>
      </c>
      <c r="Z44" s="469">
        <f>IFERROR(_xlfn.XLOOKUP(Z$88, Load!$D$110:$BA$110, Load!$D$127:$BA$127)*'Assumptions &amp; Inputs'!$E$6, 0)</f>
        <v>0</v>
      </c>
      <c r="AA44" s="469">
        <f>IFERROR(_xlfn.XLOOKUP(AA$88, Load!$D$110:$BA$110, Load!$D$127:$BA$127)*'Assumptions &amp; Inputs'!$E$6, 0)</f>
        <v>0</v>
      </c>
      <c r="AB44" s="469">
        <f>IFERROR(_xlfn.XLOOKUP(AB$88, Load!$D$110:$BA$110, Load!$D$127:$BA$127)*'Assumptions &amp; Inputs'!$E$6, 0)</f>
        <v>0</v>
      </c>
      <c r="AC44" s="469">
        <f>IFERROR(_xlfn.XLOOKUP(AC$88, Load!$D$110:$BA$110, Load!$D$127:$BA$127)*'Assumptions &amp; Inputs'!$E$6, 0)</f>
        <v>0</v>
      </c>
      <c r="AD44" s="469">
        <f>IFERROR(_xlfn.XLOOKUP(AD$88, Load!$D$110:$BA$110, Load!$D$127:$BA$127)*'Assumptions &amp; Inputs'!$E$6, 0)</f>
        <v>0</v>
      </c>
      <c r="AE44" s="469">
        <f>IFERROR(_xlfn.XLOOKUP(AE$88, Load!$D$110:$BA$110, Load!$D$127:$BA$127)*'Assumptions &amp; Inputs'!$E$6, 0)</f>
        <v>0</v>
      </c>
      <c r="AF44" s="469">
        <f>IFERROR(_xlfn.XLOOKUP(AF$88, Load!$D$110:$BA$110, Load!$D$127:$BA$127)*'Assumptions &amp; Inputs'!$E$6, 0)</f>
        <v>0</v>
      </c>
      <c r="AG44" s="469">
        <f>IFERROR(_xlfn.XLOOKUP(AG$88, Load!$D$110:$BA$110, Load!$D$127:$BA$127)*'Assumptions &amp; Inputs'!$E$6, 0)</f>
        <v>0</v>
      </c>
      <c r="AH44" s="469">
        <f>IFERROR(_xlfn.XLOOKUP(AH$88, Load!$D$110:$BA$110, Load!$D$127:$BA$127)*'Assumptions &amp; Inputs'!$E$6, 0)</f>
        <v>0</v>
      </c>
      <c r="AI44" s="469">
        <f>IFERROR(_xlfn.XLOOKUP(AI$88, Load!$D$110:$BA$110, Load!$D$127:$BA$127)*'Assumptions &amp; Inputs'!$E$6, 0)</f>
        <v>0</v>
      </c>
      <c r="AJ44" s="469">
        <f>IFERROR(_xlfn.XLOOKUP(AJ$88, Load!$D$110:$BA$110, Load!$D$127:$BA$127)*'Assumptions &amp; Inputs'!$E$6, 0)</f>
        <v>0</v>
      </c>
      <c r="AK44" s="469">
        <f>IFERROR(_xlfn.XLOOKUP(AK$88, Load!$D$110:$BA$110, Load!$D$127:$BA$127)*'Assumptions &amp; Inputs'!$E$6, 0)</f>
        <v>0</v>
      </c>
      <c r="AL44" s="469">
        <f>IFERROR(_xlfn.XLOOKUP(AL$88, Load!$D$110:$BA$110, Load!$D$127:$BA$127)*'Assumptions &amp; Inputs'!$E$6, 0)</f>
        <v>0</v>
      </c>
      <c r="AM44" s="469">
        <f>IFERROR(_xlfn.XLOOKUP(AM$88, Load!$D$110:$BA$110, Load!$D$127:$BA$127)*'Assumptions &amp; Inputs'!$E$6, 0)</f>
        <v>0</v>
      </c>
      <c r="AN44" s="469">
        <f>IFERROR(_xlfn.XLOOKUP(AN$88, Load!$D$110:$BA$110, Load!$D$127:$BA$127)*'Assumptions &amp; Inputs'!$E$6, 0)</f>
        <v>0</v>
      </c>
      <c r="AO44" s="469">
        <f>IFERROR(_xlfn.XLOOKUP(AO$88, Load!$D$110:$BA$110, Load!$D$127:$BA$127)*'Assumptions &amp; Inputs'!$E$6, 0)</f>
        <v>0</v>
      </c>
      <c r="AP44" s="469">
        <f>IFERROR(_xlfn.XLOOKUP(AP$88, Load!$D$110:$BA$110, Load!$D$127:$BA$127)*'Assumptions &amp; Inputs'!$E$6, 0)</f>
        <v>0</v>
      </c>
      <c r="AQ44" s="469">
        <f>IFERROR(_xlfn.XLOOKUP(AQ$88, Load!$D$110:$BA$110, Load!$D$127:$BA$127)*'Assumptions &amp; Inputs'!$E$6, 0)</f>
        <v>0</v>
      </c>
      <c r="AR44" s="469">
        <f>IFERROR(_xlfn.XLOOKUP(AR$88, Load!$D$110:$BA$110, Load!$D$127:$BA$127)*'Assumptions &amp; Inputs'!$E$6, 0)</f>
        <v>0</v>
      </c>
      <c r="AS44" s="469">
        <f>IFERROR(_xlfn.XLOOKUP(AS$88, Load!$D$110:$BA$110, Load!$D$127:$BA$127)*'Assumptions &amp; Inputs'!$E$6, 0)</f>
        <v>0</v>
      </c>
      <c r="AT44" s="469">
        <f>IFERROR(_xlfn.XLOOKUP(AT$88, Load!$D$110:$BA$110, Load!$D$127:$BA$127)*'Assumptions &amp; Inputs'!$E$6, 0)</f>
        <v>0</v>
      </c>
      <c r="AU44" s="469">
        <f>IFERROR(_xlfn.XLOOKUP(AU$88, Load!$D$110:$BA$110, Load!$D$127:$BA$127)*'Assumptions &amp; Inputs'!$E$6, 0)</f>
        <v>0</v>
      </c>
      <c r="AV44" s="469">
        <f>IFERROR(_xlfn.XLOOKUP(AV$88, Load!$D$110:$BA$110, Load!$D$127:$BA$127)*'Assumptions &amp; Inputs'!$E$6, 0)</f>
        <v>0</v>
      </c>
      <c r="AW44" s="469">
        <f>IFERROR(_xlfn.XLOOKUP(AW$88, Load!$D$110:$BA$110, Load!$D$127:$BA$127)*'Assumptions &amp; Inputs'!$E$6, 0)</f>
        <v>0</v>
      </c>
      <c r="AX44" s="469">
        <f>IFERROR(_xlfn.XLOOKUP(AX$88, Load!$D$110:$BA$110, Load!$D$127:$BA$127)*'Assumptions &amp; Inputs'!$E$6, 0)</f>
        <v>0</v>
      </c>
    </row>
    <row r="45" spans="1:50" ht="14.25" customHeight="1">
      <c r="A45" s="1"/>
      <c r="B45" s="84"/>
      <c r="C45" s="748" t="s">
        <v>122</v>
      </c>
      <c r="D45" s="83"/>
      <c r="E45" s="469">
        <f>IFERROR(_xlfn.XLOOKUP(E$88, Hydrogen!$D$110:$BA$110, Hydrogen!$D$137:$BA$137)*'Assumptions &amp; Inputs'!$J$6, 0)</f>
        <v>0</v>
      </c>
      <c r="F45" s="469">
        <f>IFERROR(_xlfn.XLOOKUP(F$88, Hydrogen!$D$110:$BA$110, Hydrogen!$D$137:$BA$137)*'Assumptions &amp; Inputs'!$J$6, 0)</f>
        <v>0</v>
      </c>
      <c r="G45" s="469">
        <f>IFERROR(_xlfn.XLOOKUP(G$88, Hydrogen!$D$110:$BA$110, Hydrogen!$D$137:$BA$137)*'Assumptions &amp; Inputs'!$J$6, 0)</f>
        <v>0</v>
      </c>
      <c r="H45" s="469">
        <f>IFERROR(_xlfn.XLOOKUP(H$88, Hydrogen!$D$110:$BA$110, Hydrogen!$D$137:$BA$137)*'Assumptions &amp; Inputs'!$J$6, 0)</f>
        <v>0</v>
      </c>
      <c r="I45" s="469">
        <f>IFERROR(_xlfn.XLOOKUP(I$88, Hydrogen!$D$110:$BA$110, Hydrogen!$D$137:$BA$137)*'Assumptions &amp; Inputs'!$J$6, 0)</f>
        <v>0</v>
      </c>
      <c r="J45" s="469">
        <f>IFERROR(_xlfn.XLOOKUP(J$88, Hydrogen!$D$110:$BA$110, Hydrogen!$D$137:$BA$137)*'Assumptions &amp; Inputs'!$J$6, 0)</f>
        <v>0</v>
      </c>
      <c r="K45" s="469">
        <f>IFERROR(_xlfn.XLOOKUP(K$88, Hydrogen!$D$110:$BA$110, Hydrogen!$D$137:$BA$137)*'Assumptions &amp; Inputs'!$J$6, 0)</f>
        <v>0</v>
      </c>
      <c r="L45" s="469">
        <f>IFERROR(_xlfn.XLOOKUP(L$88, Hydrogen!$D$110:$BA$110, Hydrogen!$D$137:$BA$137)*'Assumptions &amp; Inputs'!$J$6, 0)</f>
        <v>0</v>
      </c>
      <c r="M45" s="469">
        <f>IFERROR(_xlfn.XLOOKUP(M$88, Hydrogen!$D$110:$BA$110, Hydrogen!$D$137:$BA$137)*'Assumptions &amp; Inputs'!$J$6, 0)</f>
        <v>0</v>
      </c>
      <c r="N45" s="469">
        <f>IFERROR(_xlfn.XLOOKUP(N$88, Hydrogen!$D$110:$BA$110, Hydrogen!$D$137:$BA$137)*'Assumptions &amp; Inputs'!$J$6, 0)</f>
        <v>0</v>
      </c>
      <c r="O45" s="469">
        <f>IFERROR(_xlfn.XLOOKUP(O$88, Hydrogen!$D$110:$BA$110, Hydrogen!$D$137:$BA$137)*'Assumptions &amp; Inputs'!$J$6, 0)</f>
        <v>0</v>
      </c>
      <c r="P45" s="469">
        <f>IFERROR(_xlfn.XLOOKUP(P$88, Hydrogen!$D$110:$BA$110, Hydrogen!$D$137:$BA$137)*'Assumptions &amp; Inputs'!$J$6, 0)</f>
        <v>0</v>
      </c>
      <c r="Q45" s="469">
        <f>IFERROR(_xlfn.XLOOKUP(Q$88, Hydrogen!$D$110:$BA$110, Hydrogen!$D$137:$BA$137)*'Assumptions &amp; Inputs'!$J$6, 0)</f>
        <v>0</v>
      </c>
      <c r="R45" s="469">
        <f>IFERROR(_xlfn.XLOOKUP(R$88, Hydrogen!$D$110:$BA$110, Hydrogen!$D$137:$BA$137)*'Assumptions &amp; Inputs'!$J$6, 0)</f>
        <v>0</v>
      </c>
      <c r="S45" s="469">
        <f>IFERROR(_xlfn.XLOOKUP(S$88, Hydrogen!$D$110:$BA$110, Hydrogen!$D$137:$BA$137)*'Assumptions &amp; Inputs'!$J$6, 0)</f>
        <v>0</v>
      </c>
      <c r="T45" s="469">
        <f>IFERROR(_xlfn.XLOOKUP(T$88, Hydrogen!$D$110:$BA$110, Hydrogen!$D$137:$BA$137)*'Assumptions &amp; Inputs'!$J$6, 0)</f>
        <v>0</v>
      </c>
      <c r="U45" s="469">
        <f>IFERROR(_xlfn.XLOOKUP(U$88, Hydrogen!$D$110:$BA$110, Hydrogen!$D$137:$BA$137)*'Assumptions &amp; Inputs'!$J$6, 0)</f>
        <v>0</v>
      </c>
      <c r="V45" s="469">
        <f>IFERROR(_xlfn.XLOOKUP(V$88, Hydrogen!$D$110:$BA$110, Hydrogen!$D$137:$BA$137)*'Assumptions &amp; Inputs'!$J$6, 0)</f>
        <v>0</v>
      </c>
      <c r="W45" s="469">
        <f>IFERROR(_xlfn.XLOOKUP(W$88, Hydrogen!$D$110:$BA$110, Hydrogen!$D$137:$BA$137)*'Assumptions &amp; Inputs'!$J$6, 0)</f>
        <v>0</v>
      </c>
      <c r="X45" s="469">
        <f>IFERROR(_xlfn.XLOOKUP(X$88, Hydrogen!$D$110:$BA$110, Hydrogen!$D$137:$BA$137)*'Assumptions &amp; Inputs'!$J$6, 0)</f>
        <v>0</v>
      </c>
      <c r="Y45" s="469">
        <f>IFERROR(_xlfn.XLOOKUP(Y$88, Hydrogen!$D$110:$BA$110, Hydrogen!$D$137:$BA$137)*'Assumptions &amp; Inputs'!$J$6, 0)</f>
        <v>0</v>
      </c>
      <c r="Z45" s="469">
        <f>IFERROR(_xlfn.XLOOKUP(Z$88, Hydrogen!$D$110:$BA$110, Hydrogen!$D$137:$BA$137)*'Assumptions &amp; Inputs'!$J$6, 0)</f>
        <v>0</v>
      </c>
      <c r="AA45" s="469">
        <f>IFERROR(_xlfn.XLOOKUP(AA$88, Hydrogen!$D$110:$BA$110, Hydrogen!$D$137:$BA$137)*'Assumptions &amp; Inputs'!$J$6, 0)</f>
        <v>0</v>
      </c>
      <c r="AB45" s="469">
        <f>IFERROR(_xlfn.XLOOKUP(AB$88, Hydrogen!$D$110:$BA$110, Hydrogen!$D$137:$BA$137)*'Assumptions &amp; Inputs'!$J$6, 0)</f>
        <v>0</v>
      </c>
      <c r="AC45" s="469">
        <f>IFERROR(_xlfn.XLOOKUP(AC$88, Hydrogen!$D$110:$BA$110, Hydrogen!$D$137:$BA$137)*'Assumptions &amp; Inputs'!$J$6, 0)</f>
        <v>0</v>
      </c>
      <c r="AD45" s="469">
        <f>IFERROR(_xlfn.XLOOKUP(AD$88, Hydrogen!$D$110:$BA$110, Hydrogen!$D$137:$BA$137)*'Assumptions &amp; Inputs'!$J$6, 0)</f>
        <v>0</v>
      </c>
      <c r="AE45" s="469">
        <f>IFERROR(_xlfn.XLOOKUP(AE$88, Hydrogen!$D$110:$BA$110, Hydrogen!$D$137:$BA$137)*'Assumptions &amp; Inputs'!$J$6, 0)</f>
        <v>0</v>
      </c>
      <c r="AF45" s="469">
        <f>IFERROR(_xlfn.XLOOKUP(AF$88, Hydrogen!$D$110:$BA$110, Hydrogen!$D$137:$BA$137)*'Assumptions &amp; Inputs'!$J$6, 0)</f>
        <v>0</v>
      </c>
      <c r="AG45" s="469">
        <f>IFERROR(_xlfn.XLOOKUP(AG$88, Hydrogen!$D$110:$BA$110, Hydrogen!$D$137:$BA$137)*'Assumptions &amp; Inputs'!$J$6, 0)</f>
        <v>0</v>
      </c>
      <c r="AH45" s="469">
        <f>IFERROR(_xlfn.XLOOKUP(AH$88, Hydrogen!$D$110:$BA$110, Hydrogen!$D$137:$BA$137)*'Assumptions &amp; Inputs'!$J$6, 0)</f>
        <v>0</v>
      </c>
      <c r="AI45" s="469">
        <f>IFERROR(_xlfn.XLOOKUP(AI$88, Hydrogen!$D$110:$BA$110, Hydrogen!$D$137:$BA$137)*'Assumptions &amp; Inputs'!$J$6, 0)</f>
        <v>0</v>
      </c>
      <c r="AJ45" s="469">
        <f>IFERROR(_xlfn.XLOOKUP(AJ$88, Hydrogen!$D$110:$BA$110, Hydrogen!$D$137:$BA$137)*'Assumptions &amp; Inputs'!$J$6, 0)</f>
        <v>0</v>
      </c>
      <c r="AK45" s="469">
        <f>IFERROR(_xlfn.XLOOKUP(AK$88, Hydrogen!$D$110:$BA$110, Hydrogen!$D$137:$BA$137)*'Assumptions &amp; Inputs'!$J$6, 0)</f>
        <v>0</v>
      </c>
      <c r="AL45" s="469">
        <f>IFERROR(_xlfn.XLOOKUP(AL$88, Hydrogen!$D$110:$BA$110, Hydrogen!$D$137:$BA$137)*'Assumptions &amp; Inputs'!$J$6, 0)</f>
        <v>0</v>
      </c>
      <c r="AM45" s="469">
        <f>IFERROR(_xlfn.XLOOKUP(AM$88, Hydrogen!$D$110:$BA$110, Hydrogen!$D$137:$BA$137)*'Assumptions &amp; Inputs'!$J$6, 0)</f>
        <v>0</v>
      </c>
      <c r="AN45" s="469">
        <f>IFERROR(_xlfn.XLOOKUP(AN$88, Hydrogen!$D$110:$BA$110, Hydrogen!$D$137:$BA$137)*'Assumptions &amp; Inputs'!$J$6, 0)</f>
        <v>0</v>
      </c>
      <c r="AO45" s="469">
        <f>IFERROR(_xlfn.XLOOKUP(AO$88, Hydrogen!$D$110:$BA$110, Hydrogen!$D$137:$BA$137)*'Assumptions &amp; Inputs'!$J$6, 0)</f>
        <v>0</v>
      </c>
      <c r="AP45" s="469">
        <f>IFERROR(_xlfn.XLOOKUP(AP$88, Hydrogen!$D$110:$BA$110, Hydrogen!$D$137:$BA$137)*'Assumptions &amp; Inputs'!$J$6, 0)</f>
        <v>0</v>
      </c>
      <c r="AQ45" s="469">
        <f>IFERROR(_xlfn.XLOOKUP(AQ$88, Hydrogen!$D$110:$BA$110, Hydrogen!$D$137:$BA$137)*'Assumptions &amp; Inputs'!$J$6, 0)</f>
        <v>0</v>
      </c>
      <c r="AR45" s="469">
        <f>IFERROR(_xlfn.XLOOKUP(AR$88, Hydrogen!$D$110:$BA$110, Hydrogen!$D$137:$BA$137)*'Assumptions &amp; Inputs'!$J$6, 0)</f>
        <v>0</v>
      </c>
      <c r="AS45" s="469">
        <f>IFERROR(_xlfn.XLOOKUP(AS$88, Hydrogen!$D$110:$BA$110, Hydrogen!$D$137:$BA$137)*'Assumptions &amp; Inputs'!$J$6, 0)</f>
        <v>0</v>
      </c>
      <c r="AT45" s="469">
        <f>IFERROR(_xlfn.XLOOKUP(AT$88, Hydrogen!$D$110:$BA$110, Hydrogen!$D$137:$BA$137)*'Assumptions &amp; Inputs'!$J$6, 0)</f>
        <v>0</v>
      </c>
      <c r="AU45" s="469">
        <f>IFERROR(_xlfn.XLOOKUP(AU$88, Hydrogen!$D$110:$BA$110, Hydrogen!$D$137:$BA$137)*'Assumptions &amp; Inputs'!$J$6, 0)</f>
        <v>0</v>
      </c>
      <c r="AV45" s="469">
        <f>IFERROR(_xlfn.XLOOKUP(AV$88, Hydrogen!$D$110:$BA$110, Hydrogen!$D$137:$BA$137)*'Assumptions &amp; Inputs'!$J$6, 0)</f>
        <v>0</v>
      </c>
      <c r="AW45" s="469">
        <f>IFERROR(_xlfn.XLOOKUP(AW$88, Hydrogen!$D$110:$BA$110, Hydrogen!$D$137:$BA$137)*'Assumptions &amp; Inputs'!$J$6, 0)</f>
        <v>0</v>
      </c>
      <c r="AX45" s="469">
        <f>IFERROR(_xlfn.XLOOKUP(AX$88, Hydrogen!$D$110:$BA$110, Hydrogen!$D$137:$BA$137)*'Assumptions &amp; Inputs'!$J$6, 0)</f>
        <v>0</v>
      </c>
    </row>
    <row r="46" spans="1:50" ht="14.25" customHeight="1">
      <c r="A46" s="1"/>
      <c r="B46" s="84"/>
      <c r="C46" s="748" t="s">
        <v>358</v>
      </c>
      <c r="D46" s="83"/>
      <c r="E46" s="469">
        <f>IFERROR(_xlfn.XLOOKUP(E$88, 'SENS Tires'!$D$110:$BA$110, 'SENS Tires'!$D$148:$BA$148)*'Assumptions &amp; Inputs'!$K$6, 0)</f>
        <v>0</v>
      </c>
      <c r="F46" s="469">
        <f>IFERROR(_xlfn.XLOOKUP(F$88, 'SENS Tires'!$D$110:$BA$110, 'SENS Tires'!$D$148:$BA$148)*'Assumptions &amp; Inputs'!$K$6, 0)</f>
        <v>0</v>
      </c>
      <c r="G46" s="469">
        <f>IFERROR(_xlfn.XLOOKUP(G$88, 'SENS Tires'!$D$110:$BA$110, 'SENS Tires'!$D$148:$BA$148)*'Assumptions &amp; Inputs'!$K$6, 0)</f>
        <v>0</v>
      </c>
      <c r="H46" s="469">
        <f>IFERROR(_xlfn.XLOOKUP(H$88, 'SENS Tires'!$D$110:$BA$110, 'SENS Tires'!$D$148:$BA$148)*'Assumptions &amp; Inputs'!$K$6, 0)</f>
        <v>0</v>
      </c>
      <c r="I46" s="469">
        <f>IFERROR(_xlfn.XLOOKUP(I$88, 'SENS Tires'!$D$110:$BA$110, 'SENS Tires'!$D$148:$BA$148)*'Assumptions &amp; Inputs'!$K$6, 0)</f>
        <v>0</v>
      </c>
      <c r="J46" s="469">
        <f>IFERROR(_xlfn.XLOOKUP(J$88, 'SENS Tires'!$D$110:$BA$110, 'SENS Tires'!$D$148:$BA$148)*'Assumptions &amp; Inputs'!$K$6, 0)</f>
        <v>0</v>
      </c>
      <c r="K46" s="469">
        <f>IFERROR(_xlfn.XLOOKUP(K$88, 'SENS Tires'!$D$110:$BA$110, 'SENS Tires'!$D$148:$BA$148)*'Assumptions &amp; Inputs'!$K$6, 0)</f>
        <v>0</v>
      </c>
      <c r="L46" s="469">
        <f>IFERROR(_xlfn.XLOOKUP(L$88, 'SENS Tires'!$D$110:$BA$110, 'SENS Tires'!$D$148:$BA$148)*'Assumptions &amp; Inputs'!$K$6, 0)</f>
        <v>0</v>
      </c>
      <c r="M46" s="469">
        <f>IFERROR(_xlfn.XLOOKUP(M$88, 'SENS Tires'!$D$110:$BA$110, 'SENS Tires'!$D$148:$BA$148)*'Assumptions &amp; Inputs'!$K$6, 0)</f>
        <v>0</v>
      </c>
      <c r="N46" s="469">
        <f>IFERROR(_xlfn.XLOOKUP(N$88, 'SENS Tires'!$D$110:$BA$110, 'SENS Tires'!$D$148:$BA$148)*'Assumptions &amp; Inputs'!$K$6, 0)</f>
        <v>0</v>
      </c>
      <c r="O46" s="469">
        <f>IFERROR(_xlfn.XLOOKUP(O$88, 'SENS Tires'!$D$110:$BA$110, 'SENS Tires'!$D$148:$BA$148)*'Assumptions &amp; Inputs'!$K$6, 0)</f>
        <v>0</v>
      </c>
      <c r="P46" s="469">
        <f>IFERROR(_xlfn.XLOOKUP(P$88, 'SENS Tires'!$D$110:$BA$110, 'SENS Tires'!$D$148:$BA$148)*'Assumptions &amp; Inputs'!$K$6, 0)</f>
        <v>0</v>
      </c>
      <c r="Q46" s="469">
        <f>IFERROR(_xlfn.XLOOKUP(Q$88, 'SENS Tires'!$D$110:$BA$110, 'SENS Tires'!$D$148:$BA$148)*'Assumptions &amp; Inputs'!$K$6, 0)</f>
        <v>0</v>
      </c>
      <c r="R46" s="469">
        <f>IFERROR(_xlfn.XLOOKUP(R$88, 'SENS Tires'!$D$110:$BA$110, 'SENS Tires'!$D$148:$BA$148)*'Assumptions &amp; Inputs'!$K$6, 0)</f>
        <v>0</v>
      </c>
      <c r="S46" s="469">
        <f>IFERROR(_xlfn.XLOOKUP(S$88, 'SENS Tires'!$D$110:$BA$110, 'SENS Tires'!$D$148:$BA$148)*'Assumptions &amp; Inputs'!$K$6, 0)</f>
        <v>0</v>
      </c>
      <c r="T46" s="469">
        <f>IFERROR(_xlfn.XLOOKUP(T$88, 'SENS Tires'!$D$110:$BA$110, 'SENS Tires'!$D$148:$BA$148)*'Assumptions &amp; Inputs'!$K$6, 0)</f>
        <v>0</v>
      </c>
      <c r="U46" s="469">
        <f>IFERROR(_xlfn.XLOOKUP(U$88, 'SENS Tires'!$D$110:$BA$110, 'SENS Tires'!$D$148:$BA$148)*'Assumptions &amp; Inputs'!$K$6, 0)</f>
        <v>0</v>
      </c>
      <c r="V46" s="469">
        <f>IFERROR(_xlfn.XLOOKUP(V$88, 'SENS Tires'!$D$110:$BA$110, 'SENS Tires'!$D$148:$BA$148)*'Assumptions &amp; Inputs'!$K$6, 0)</f>
        <v>0</v>
      </c>
      <c r="W46" s="469">
        <f>IFERROR(_xlfn.XLOOKUP(W$88, 'SENS Tires'!$D$110:$BA$110, 'SENS Tires'!$D$148:$BA$148)*'Assumptions &amp; Inputs'!$K$6, 0)</f>
        <v>0</v>
      </c>
      <c r="X46" s="469">
        <f>IFERROR(_xlfn.XLOOKUP(X$88, 'SENS Tires'!$D$110:$BA$110, 'SENS Tires'!$D$148:$BA$148)*'Assumptions &amp; Inputs'!$K$6, 0)</f>
        <v>0</v>
      </c>
      <c r="Y46" s="469">
        <f>IFERROR(_xlfn.XLOOKUP(Y$88, 'SENS Tires'!$D$110:$BA$110, 'SENS Tires'!$D$148:$BA$148)*'Assumptions &amp; Inputs'!$K$6, 0)</f>
        <v>0</v>
      </c>
      <c r="Z46" s="469">
        <f>IFERROR(_xlfn.XLOOKUP(Z$88, 'SENS Tires'!$D$110:$BA$110, 'SENS Tires'!$D$148:$BA$148)*'Assumptions &amp; Inputs'!$K$6, 0)</f>
        <v>0</v>
      </c>
      <c r="AA46" s="469">
        <f>IFERROR(_xlfn.XLOOKUP(AA$88, 'SENS Tires'!$D$110:$BA$110, 'SENS Tires'!$D$148:$BA$148)*'Assumptions &amp; Inputs'!$K$6, 0)</f>
        <v>0</v>
      </c>
      <c r="AB46" s="469">
        <f>IFERROR(_xlfn.XLOOKUP(AB$88, 'SENS Tires'!$D$110:$BA$110, 'SENS Tires'!$D$148:$BA$148)*'Assumptions &amp; Inputs'!$K$6, 0)</f>
        <v>0</v>
      </c>
      <c r="AC46" s="469">
        <f>IFERROR(_xlfn.XLOOKUP(AC$88, 'SENS Tires'!$D$110:$BA$110, 'SENS Tires'!$D$148:$BA$148)*'Assumptions &amp; Inputs'!$K$6, 0)</f>
        <v>0</v>
      </c>
      <c r="AD46" s="469">
        <f>IFERROR(_xlfn.XLOOKUP(AD$88, 'SENS Tires'!$D$110:$BA$110, 'SENS Tires'!$D$148:$BA$148)*'Assumptions &amp; Inputs'!$K$6, 0)</f>
        <v>0</v>
      </c>
      <c r="AE46" s="469">
        <f>IFERROR(_xlfn.XLOOKUP(AE$88, 'SENS Tires'!$D$110:$BA$110, 'SENS Tires'!$D$148:$BA$148)*'Assumptions &amp; Inputs'!$K$6, 0)</f>
        <v>0</v>
      </c>
      <c r="AF46" s="469">
        <f>IFERROR(_xlfn.XLOOKUP(AF$88, 'SENS Tires'!$D$110:$BA$110, 'SENS Tires'!$D$148:$BA$148)*'Assumptions &amp; Inputs'!$K$6, 0)</f>
        <v>0</v>
      </c>
      <c r="AG46" s="469">
        <f>IFERROR(_xlfn.XLOOKUP(AG$88, 'SENS Tires'!$D$110:$BA$110, 'SENS Tires'!$D$148:$BA$148)*'Assumptions &amp; Inputs'!$K$6, 0)</f>
        <v>0</v>
      </c>
      <c r="AH46" s="469">
        <f>IFERROR(_xlfn.XLOOKUP(AH$88, 'SENS Tires'!$D$110:$BA$110, 'SENS Tires'!$D$148:$BA$148)*'Assumptions &amp; Inputs'!$K$6, 0)</f>
        <v>0</v>
      </c>
      <c r="AI46" s="469">
        <f>IFERROR(_xlfn.XLOOKUP(AI$88, 'SENS Tires'!$D$110:$BA$110, 'SENS Tires'!$D$148:$BA$148)*'Assumptions &amp; Inputs'!$K$6, 0)</f>
        <v>0</v>
      </c>
      <c r="AJ46" s="469">
        <f>IFERROR(_xlfn.XLOOKUP(AJ$88, 'SENS Tires'!$D$110:$BA$110, 'SENS Tires'!$D$148:$BA$148)*'Assumptions &amp; Inputs'!$K$6, 0)</f>
        <v>0</v>
      </c>
      <c r="AK46" s="469">
        <f>IFERROR(_xlfn.XLOOKUP(AK$88, 'SENS Tires'!$D$110:$BA$110, 'SENS Tires'!$D$148:$BA$148)*'Assumptions &amp; Inputs'!$K$6, 0)</f>
        <v>0</v>
      </c>
      <c r="AL46" s="469">
        <f>IFERROR(_xlfn.XLOOKUP(AL$88, 'SENS Tires'!$D$110:$BA$110, 'SENS Tires'!$D$148:$BA$148)*'Assumptions &amp; Inputs'!$K$6, 0)</f>
        <v>0</v>
      </c>
      <c r="AM46" s="469">
        <f>IFERROR(_xlfn.XLOOKUP(AM$88, 'SENS Tires'!$D$110:$BA$110, 'SENS Tires'!$D$148:$BA$148)*'Assumptions &amp; Inputs'!$K$6, 0)</f>
        <v>0</v>
      </c>
      <c r="AN46" s="469">
        <f>IFERROR(_xlfn.XLOOKUP(AN$88, 'SENS Tires'!$D$110:$BA$110, 'SENS Tires'!$D$148:$BA$148)*'Assumptions &amp; Inputs'!$K$6, 0)</f>
        <v>0</v>
      </c>
      <c r="AO46" s="469">
        <f>IFERROR(_xlfn.XLOOKUP(AO$88, 'SENS Tires'!$D$110:$BA$110, 'SENS Tires'!$D$148:$BA$148)*'Assumptions &amp; Inputs'!$K$6, 0)</f>
        <v>0</v>
      </c>
      <c r="AP46" s="469">
        <f>IFERROR(_xlfn.XLOOKUP(AP$88, 'SENS Tires'!$D$110:$BA$110, 'SENS Tires'!$D$148:$BA$148)*'Assumptions &amp; Inputs'!$K$6, 0)</f>
        <v>0</v>
      </c>
      <c r="AQ46" s="469">
        <f>IFERROR(_xlfn.XLOOKUP(AQ$88, 'SENS Tires'!$D$110:$BA$110, 'SENS Tires'!$D$148:$BA$148)*'Assumptions &amp; Inputs'!$K$6, 0)</f>
        <v>0</v>
      </c>
      <c r="AR46" s="469">
        <f>IFERROR(_xlfn.XLOOKUP(AR$88, 'SENS Tires'!$D$110:$BA$110, 'SENS Tires'!$D$148:$BA$148)*'Assumptions &amp; Inputs'!$K$6, 0)</f>
        <v>0</v>
      </c>
      <c r="AS46" s="469">
        <f>IFERROR(_xlfn.XLOOKUP(AS$88, 'SENS Tires'!$D$110:$BA$110, 'SENS Tires'!$D$148:$BA$148)*'Assumptions &amp; Inputs'!$K$6, 0)</f>
        <v>0</v>
      </c>
      <c r="AT46" s="469">
        <f>IFERROR(_xlfn.XLOOKUP(AT$88, 'SENS Tires'!$D$110:$BA$110, 'SENS Tires'!$D$148:$BA$148)*'Assumptions &amp; Inputs'!$K$6, 0)</f>
        <v>0</v>
      </c>
      <c r="AU46" s="469">
        <f>IFERROR(_xlfn.XLOOKUP(AU$88, 'SENS Tires'!$D$110:$BA$110, 'SENS Tires'!$D$148:$BA$148)*'Assumptions &amp; Inputs'!$K$6, 0)</f>
        <v>0</v>
      </c>
      <c r="AV46" s="469">
        <f>IFERROR(_xlfn.XLOOKUP(AV$88, 'SENS Tires'!$D$110:$BA$110, 'SENS Tires'!$D$148:$BA$148)*'Assumptions &amp; Inputs'!$K$6, 0)</f>
        <v>0</v>
      </c>
      <c r="AW46" s="469">
        <f>IFERROR(_xlfn.XLOOKUP(AW$88, 'SENS Tires'!$D$110:$BA$110, 'SENS Tires'!$D$148:$BA$148)*'Assumptions &amp; Inputs'!$K$6, 0)</f>
        <v>0</v>
      </c>
      <c r="AX46" s="469">
        <f>IFERROR(_xlfn.XLOOKUP(AX$88, 'SENS Tires'!$D$110:$BA$110, 'SENS Tires'!$D$148:$BA$148)*'Assumptions &amp; Inputs'!$K$6, 0)</f>
        <v>0</v>
      </c>
    </row>
    <row r="47" spans="1:50" ht="14.25" customHeight="1">
      <c r="A47" s="1"/>
      <c r="B47" s="84"/>
      <c r="C47" s="748" t="s">
        <v>357</v>
      </c>
      <c r="D47" s="83"/>
      <c r="E47" s="469">
        <f>IFERROR(_xlfn.XLOOKUP(E$88, 'SENS Coal'!$D$110:$BA$110, 'SENS Coal'!$D$150:$BA$150)*'Assumptions &amp; Inputs'!$L$6, 0)</f>
        <v>0</v>
      </c>
      <c r="F47" s="469">
        <f>IFERROR(_xlfn.XLOOKUP(F$88, 'SENS Coal'!$D$110:$BA$110, 'SENS Coal'!$D$150:$BA$150)*'Assumptions &amp; Inputs'!$L$6, 0)</f>
        <v>0</v>
      </c>
      <c r="G47" s="469">
        <f>IFERROR(_xlfn.XLOOKUP(G$88, 'SENS Coal'!$D$110:$BA$110, 'SENS Coal'!$D$150:$BA$150)*'Assumptions &amp; Inputs'!$L$6, 0)</f>
        <v>0</v>
      </c>
      <c r="H47" s="469">
        <f>IFERROR(_xlfn.XLOOKUP(H$88, 'SENS Coal'!$D$110:$BA$110, 'SENS Coal'!$D$150:$BA$150)*'Assumptions &amp; Inputs'!$L$6, 0)</f>
        <v>0</v>
      </c>
      <c r="I47" s="469">
        <f>IFERROR(_xlfn.XLOOKUP(I$88, 'SENS Coal'!$D$110:$BA$110, 'SENS Coal'!$D$150:$BA$150)*'Assumptions &amp; Inputs'!$L$6, 0)</f>
        <v>0</v>
      </c>
      <c r="J47" s="469">
        <f>IFERROR(_xlfn.XLOOKUP(J$88, 'SENS Coal'!$D$110:$BA$110, 'SENS Coal'!$D$150:$BA$150)*'Assumptions &amp; Inputs'!$L$6, 0)</f>
        <v>0</v>
      </c>
      <c r="K47" s="469">
        <f>IFERROR(_xlfn.XLOOKUP(K$88, 'SENS Coal'!$D$110:$BA$110, 'SENS Coal'!$D$150:$BA$150)*'Assumptions &amp; Inputs'!$L$6, 0)</f>
        <v>0</v>
      </c>
      <c r="L47" s="469">
        <f>IFERROR(_xlfn.XLOOKUP(L$88, 'SENS Coal'!$D$110:$BA$110, 'SENS Coal'!$D$150:$BA$150)*'Assumptions &amp; Inputs'!$L$6, 0)</f>
        <v>0</v>
      </c>
      <c r="M47" s="469">
        <f>IFERROR(_xlfn.XLOOKUP(M$88, 'SENS Coal'!$D$110:$BA$110, 'SENS Coal'!$D$150:$BA$150)*'Assumptions &amp; Inputs'!$L$6, 0)</f>
        <v>0</v>
      </c>
      <c r="N47" s="469">
        <f>IFERROR(_xlfn.XLOOKUP(N$88, 'SENS Coal'!$D$110:$BA$110, 'SENS Coal'!$D$150:$BA$150)*'Assumptions &amp; Inputs'!$L$6, 0)</f>
        <v>0</v>
      </c>
      <c r="O47" s="469">
        <f>IFERROR(_xlfn.XLOOKUP(O$88, 'SENS Coal'!$D$110:$BA$110, 'SENS Coal'!$D$150:$BA$150)*'Assumptions &amp; Inputs'!$L$6, 0)</f>
        <v>0</v>
      </c>
      <c r="P47" s="469">
        <f>IFERROR(_xlfn.XLOOKUP(P$88, 'SENS Coal'!$D$110:$BA$110, 'SENS Coal'!$D$150:$BA$150)*'Assumptions &amp; Inputs'!$L$6, 0)</f>
        <v>0</v>
      </c>
      <c r="Q47" s="469">
        <f>IFERROR(_xlfn.XLOOKUP(Q$88, 'SENS Coal'!$D$110:$BA$110, 'SENS Coal'!$D$150:$BA$150)*'Assumptions &amp; Inputs'!$L$6, 0)</f>
        <v>0</v>
      </c>
      <c r="R47" s="469">
        <f>IFERROR(_xlfn.XLOOKUP(R$88, 'SENS Coal'!$D$110:$BA$110, 'SENS Coal'!$D$150:$BA$150)*'Assumptions &amp; Inputs'!$L$6, 0)</f>
        <v>0</v>
      </c>
      <c r="S47" s="469">
        <f>IFERROR(_xlfn.XLOOKUP(S$88, 'SENS Coal'!$D$110:$BA$110, 'SENS Coal'!$D$150:$BA$150)*'Assumptions &amp; Inputs'!$L$6, 0)</f>
        <v>0</v>
      </c>
      <c r="T47" s="469">
        <f>IFERROR(_xlfn.XLOOKUP(T$88, 'SENS Coal'!$D$110:$BA$110, 'SENS Coal'!$D$150:$BA$150)*'Assumptions &amp; Inputs'!$L$6, 0)</f>
        <v>0</v>
      </c>
      <c r="U47" s="469">
        <f>IFERROR(_xlfn.XLOOKUP(U$88, 'SENS Coal'!$D$110:$BA$110, 'SENS Coal'!$D$150:$BA$150)*'Assumptions &amp; Inputs'!$L$6, 0)</f>
        <v>0</v>
      </c>
      <c r="V47" s="469">
        <f>IFERROR(_xlfn.XLOOKUP(V$88, 'SENS Coal'!$D$110:$BA$110, 'SENS Coal'!$D$150:$BA$150)*'Assumptions &amp; Inputs'!$L$6, 0)</f>
        <v>0</v>
      </c>
      <c r="W47" s="469">
        <f>IFERROR(_xlfn.XLOOKUP(W$88, 'SENS Coal'!$D$110:$BA$110, 'SENS Coal'!$D$150:$BA$150)*'Assumptions &amp; Inputs'!$L$6, 0)</f>
        <v>0</v>
      </c>
      <c r="X47" s="469">
        <f>IFERROR(_xlfn.XLOOKUP(X$88, 'SENS Coal'!$D$110:$BA$110, 'SENS Coal'!$D$150:$BA$150)*'Assumptions &amp; Inputs'!$L$6, 0)</f>
        <v>0</v>
      </c>
      <c r="Y47" s="469">
        <f>IFERROR(_xlfn.XLOOKUP(Y$88, 'SENS Coal'!$D$110:$BA$110, 'SENS Coal'!$D$150:$BA$150)*'Assumptions &amp; Inputs'!$L$6, 0)</f>
        <v>0</v>
      </c>
      <c r="Z47" s="469">
        <f>IFERROR(_xlfn.XLOOKUP(Z$88, 'SENS Coal'!$D$110:$BA$110, 'SENS Coal'!$D$150:$BA$150)*'Assumptions &amp; Inputs'!$L$6, 0)</f>
        <v>0</v>
      </c>
      <c r="AA47" s="469">
        <f>IFERROR(_xlfn.XLOOKUP(AA$88, 'SENS Coal'!$D$110:$BA$110, 'SENS Coal'!$D$150:$BA$150)*'Assumptions &amp; Inputs'!$L$6, 0)</f>
        <v>0</v>
      </c>
      <c r="AB47" s="469">
        <f>IFERROR(_xlfn.XLOOKUP(AB$88, 'SENS Coal'!$D$110:$BA$110, 'SENS Coal'!$D$150:$BA$150)*'Assumptions &amp; Inputs'!$L$6, 0)</f>
        <v>0</v>
      </c>
      <c r="AC47" s="469">
        <f>IFERROR(_xlfn.XLOOKUP(AC$88, 'SENS Coal'!$D$110:$BA$110, 'SENS Coal'!$D$150:$BA$150)*'Assumptions &amp; Inputs'!$L$6, 0)</f>
        <v>0</v>
      </c>
      <c r="AD47" s="469">
        <f>IFERROR(_xlfn.XLOOKUP(AD$88, 'SENS Coal'!$D$110:$BA$110, 'SENS Coal'!$D$150:$BA$150)*'Assumptions &amp; Inputs'!$L$6, 0)</f>
        <v>0</v>
      </c>
      <c r="AE47" s="469">
        <f>IFERROR(_xlfn.XLOOKUP(AE$88, 'SENS Coal'!$D$110:$BA$110, 'SENS Coal'!$D$150:$BA$150)*'Assumptions &amp; Inputs'!$L$6, 0)</f>
        <v>0</v>
      </c>
      <c r="AF47" s="469">
        <f>IFERROR(_xlfn.XLOOKUP(AF$88, 'SENS Coal'!$D$110:$BA$110, 'SENS Coal'!$D$150:$BA$150)*'Assumptions &amp; Inputs'!$L$6, 0)</f>
        <v>0</v>
      </c>
      <c r="AG47" s="469">
        <f>IFERROR(_xlfn.XLOOKUP(AG$88, 'SENS Coal'!$D$110:$BA$110, 'SENS Coal'!$D$150:$BA$150)*'Assumptions &amp; Inputs'!$L$6, 0)</f>
        <v>0</v>
      </c>
      <c r="AH47" s="469">
        <f>IFERROR(_xlfn.XLOOKUP(AH$88, 'SENS Coal'!$D$110:$BA$110, 'SENS Coal'!$D$150:$BA$150)*'Assumptions &amp; Inputs'!$L$6, 0)</f>
        <v>0</v>
      </c>
      <c r="AI47" s="469">
        <f>IFERROR(_xlfn.XLOOKUP(AI$88, 'SENS Coal'!$D$110:$BA$110, 'SENS Coal'!$D$150:$BA$150)*'Assumptions &amp; Inputs'!$L$6, 0)</f>
        <v>0</v>
      </c>
      <c r="AJ47" s="469">
        <f>IFERROR(_xlfn.XLOOKUP(AJ$88, 'SENS Coal'!$D$110:$BA$110, 'SENS Coal'!$D$150:$BA$150)*'Assumptions &amp; Inputs'!$L$6, 0)</f>
        <v>0</v>
      </c>
      <c r="AK47" s="469">
        <f>IFERROR(_xlfn.XLOOKUP(AK$88, 'SENS Coal'!$D$110:$BA$110, 'SENS Coal'!$D$150:$BA$150)*'Assumptions &amp; Inputs'!$L$6, 0)</f>
        <v>0</v>
      </c>
      <c r="AL47" s="469">
        <f>IFERROR(_xlfn.XLOOKUP(AL$88, 'SENS Coal'!$D$110:$BA$110, 'SENS Coal'!$D$150:$BA$150)*'Assumptions &amp; Inputs'!$L$6, 0)</f>
        <v>0</v>
      </c>
      <c r="AM47" s="469">
        <f>IFERROR(_xlfn.XLOOKUP(AM$88, 'SENS Coal'!$D$110:$BA$110, 'SENS Coal'!$D$150:$BA$150)*'Assumptions &amp; Inputs'!$L$6, 0)</f>
        <v>0</v>
      </c>
      <c r="AN47" s="469">
        <f>IFERROR(_xlfn.XLOOKUP(AN$88, 'SENS Coal'!$D$110:$BA$110, 'SENS Coal'!$D$150:$BA$150)*'Assumptions &amp; Inputs'!$L$6, 0)</f>
        <v>0</v>
      </c>
      <c r="AO47" s="469">
        <f>IFERROR(_xlfn.XLOOKUP(AO$88, 'SENS Coal'!$D$110:$BA$110, 'SENS Coal'!$D$150:$BA$150)*'Assumptions &amp; Inputs'!$L$6, 0)</f>
        <v>0</v>
      </c>
      <c r="AP47" s="469">
        <f>IFERROR(_xlfn.XLOOKUP(AP$88, 'SENS Coal'!$D$110:$BA$110, 'SENS Coal'!$D$150:$BA$150)*'Assumptions &amp; Inputs'!$L$6, 0)</f>
        <v>0</v>
      </c>
      <c r="AQ47" s="469">
        <f>IFERROR(_xlfn.XLOOKUP(AQ$88, 'SENS Coal'!$D$110:$BA$110, 'SENS Coal'!$D$150:$BA$150)*'Assumptions &amp; Inputs'!$L$6, 0)</f>
        <v>0</v>
      </c>
      <c r="AR47" s="469">
        <f>IFERROR(_xlfn.XLOOKUP(AR$88, 'SENS Coal'!$D$110:$BA$110, 'SENS Coal'!$D$150:$BA$150)*'Assumptions &amp; Inputs'!$L$6, 0)</f>
        <v>0</v>
      </c>
      <c r="AS47" s="469">
        <f>IFERROR(_xlfn.XLOOKUP(AS$88, 'SENS Coal'!$D$110:$BA$110, 'SENS Coal'!$D$150:$BA$150)*'Assumptions &amp; Inputs'!$L$6, 0)</f>
        <v>0</v>
      </c>
      <c r="AT47" s="469">
        <f>IFERROR(_xlfn.XLOOKUP(AT$88, 'SENS Coal'!$D$110:$BA$110, 'SENS Coal'!$D$150:$BA$150)*'Assumptions &amp; Inputs'!$L$6, 0)</f>
        <v>0</v>
      </c>
      <c r="AU47" s="469">
        <f>IFERROR(_xlfn.XLOOKUP(AU$88, 'SENS Coal'!$D$110:$BA$110, 'SENS Coal'!$D$150:$BA$150)*'Assumptions &amp; Inputs'!$L$6, 0)</f>
        <v>0</v>
      </c>
      <c r="AV47" s="469">
        <f>IFERROR(_xlfn.XLOOKUP(AV$88, 'SENS Coal'!$D$110:$BA$110, 'SENS Coal'!$D$150:$BA$150)*'Assumptions &amp; Inputs'!$L$6, 0)</f>
        <v>0</v>
      </c>
      <c r="AW47" s="469">
        <f>IFERROR(_xlfn.XLOOKUP(AW$88, 'SENS Coal'!$D$110:$BA$110, 'SENS Coal'!$D$150:$BA$150)*'Assumptions &amp; Inputs'!$L$6, 0)</f>
        <v>0</v>
      </c>
      <c r="AX47" s="469">
        <f>IFERROR(_xlfn.XLOOKUP(AX$88, 'SENS Coal'!$D$110:$BA$110, 'SENS Coal'!$D$150:$BA$150)*'Assumptions &amp; Inputs'!$L$6, 0)</f>
        <v>0</v>
      </c>
    </row>
    <row r="48" spans="1:50" ht="14.25" customHeight="1">
      <c r="A48" s="1"/>
      <c r="B48" s="84"/>
      <c r="C48" s="748"/>
      <c r="D48" s="745"/>
      <c r="E48" s="469"/>
      <c r="F48" s="469"/>
      <c r="G48" s="469"/>
      <c r="H48" s="469"/>
      <c r="I48" s="469"/>
      <c r="J48" s="469"/>
      <c r="K48" s="469"/>
      <c r="L48" s="469"/>
      <c r="M48" s="469"/>
      <c r="N48" s="469"/>
      <c r="O48" s="469"/>
      <c r="P48" s="469"/>
      <c r="Q48" s="469"/>
      <c r="R48" s="469"/>
      <c r="S48" s="469"/>
      <c r="T48" s="469"/>
      <c r="U48" s="469"/>
      <c r="V48" s="469"/>
      <c r="W48" s="469"/>
      <c r="X48" s="469"/>
      <c r="Y48" s="469"/>
      <c r="Z48" s="469"/>
      <c r="AA48" s="469"/>
      <c r="AB48" s="469"/>
      <c r="AC48" s="469"/>
      <c r="AD48" s="469"/>
      <c r="AE48" s="469"/>
      <c r="AF48" s="469"/>
      <c r="AG48" s="469"/>
      <c r="AH48" s="469"/>
      <c r="AI48" s="469"/>
      <c r="AJ48" s="469"/>
      <c r="AK48" s="469"/>
      <c r="AL48" s="469"/>
      <c r="AM48" s="469"/>
      <c r="AN48" s="469"/>
      <c r="AO48" s="469"/>
      <c r="AP48" s="469"/>
      <c r="AQ48" s="469"/>
      <c r="AR48" s="469"/>
      <c r="AS48" s="469"/>
      <c r="AT48" s="469"/>
      <c r="AU48" s="469"/>
      <c r="AV48" s="469"/>
      <c r="AW48" s="469"/>
      <c r="AX48" s="470"/>
    </row>
    <row r="49" spans="1:50" ht="14.25" customHeight="1">
      <c r="A49" s="1"/>
      <c r="B49" s="84"/>
      <c r="C49" s="310" t="s">
        <v>365</v>
      </c>
      <c r="D49" s="244"/>
      <c r="E49" s="228">
        <f>SUM(E31:E35)+SUM(E38:E41)+SUM(E44:E47)</f>
        <v>0</v>
      </c>
      <c r="F49" s="228">
        <f t="shared" ref="F49:AX49" si="7">SUM(F31:F35)+SUM(F38:F41)+SUM(F44:F47)</f>
        <v>270.64081052212953</v>
      </c>
      <c r="G49" s="228">
        <f t="shared" si="7"/>
        <v>372.1496569464465</v>
      </c>
      <c r="H49" s="228">
        <f t="shared" si="7"/>
        <v>381.51067765859415</v>
      </c>
      <c r="I49" s="228">
        <f t="shared" si="7"/>
        <v>409.75764634624784</v>
      </c>
      <c r="J49" s="228">
        <f t="shared" si="7"/>
        <v>422.71773055342231</v>
      </c>
      <c r="K49" s="228">
        <f t="shared" si="7"/>
        <v>431.40162897663504</v>
      </c>
      <c r="L49" s="228">
        <f t="shared" si="7"/>
        <v>440.282740898584</v>
      </c>
      <c r="M49" s="228">
        <f t="shared" si="7"/>
        <v>449.36567453893883</v>
      </c>
      <c r="N49" s="228">
        <f t="shared" si="7"/>
        <v>458.6551503653551</v>
      </c>
      <c r="O49" s="228">
        <f t="shared" si="7"/>
        <v>468.15600394148953</v>
      </c>
      <c r="P49" s="228">
        <f t="shared" si="7"/>
        <v>477.87318885008057</v>
      </c>
      <c r="Q49" s="228">
        <f t="shared" si="7"/>
        <v>487.81177969314024</v>
      </c>
      <c r="R49" s="228">
        <f t="shared" si="7"/>
        <v>497.97697517135839</v>
      </c>
      <c r="S49" s="228">
        <f t="shared" si="7"/>
        <v>508.3741012448811</v>
      </c>
      <c r="T49" s="228">
        <f t="shared" si="7"/>
        <v>519.00861437768299</v>
      </c>
      <c r="U49" s="228">
        <f t="shared" si="7"/>
        <v>529.88610486781943</v>
      </c>
      <c r="V49" s="228">
        <f t="shared" si="7"/>
        <v>541.01230026590326</v>
      </c>
      <c r="W49" s="228">
        <f t="shared" si="7"/>
        <v>552.3930688842205</v>
      </c>
      <c r="X49" s="228">
        <f t="shared" si="7"/>
        <v>564.03442339896901</v>
      </c>
      <c r="Y49" s="228">
        <f t="shared" si="7"/>
        <v>575.94252454816524</v>
      </c>
      <c r="Z49" s="228">
        <f t="shared" si="7"/>
        <v>588.12368492784663</v>
      </c>
      <c r="AA49" s="228">
        <f t="shared" si="7"/>
        <v>600.58437288926314</v>
      </c>
      <c r="AB49" s="228">
        <f t="shared" si="7"/>
        <v>613.33121653983108</v>
      </c>
      <c r="AC49" s="228">
        <f t="shared" si="7"/>
        <v>626.37100785069924</v>
      </c>
      <c r="AD49" s="228">
        <f t="shared" si="7"/>
        <v>639.71070687385509</v>
      </c>
      <c r="AE49" s="228">
        <f t="shared" si="7"/>
        <v>653.35744607179083</v>
      </c>
      <c r="AF49" s="228">
        <f t="shared" si="7"/>
        <v>23.490729690114286</v>
      </c>
      <c r="AG49" s="228">
        <f t="shared" si="7"/>
        <v>23.432002865889004</v>
      </c>
      <c r="AH49" s="228">
        <f t="shared" si="7"/>
        <v>23.373422858724279</v>
      </c>
      <c r="AI49" s="228">
        <f t="shared" si="7"/>
        <v>0</v>
      </c>
      <c r="AJ49" s="228">
        <f t="shared" si="7"/>
        <v>0</v>
      </c>
      <c r="AK49" s="228">
        <f t="shared" si="7"/>
        <v>0</v>
      </c>
      <c r="AL49" s="228">
        <f t="shared" si="7"/>
        <v>0</v>
      </c>
      <c r="AM49" s="228">
        <f t="shared" si="7"/>
        <v>0</v>
      </c>
      <c r="AN49" s="228">
        <f t="shared" si="7"/>
        <v>0</v>
      </c>
      <c r="AO49" s="228">
        <f t="shared" si="7"/>
        <v>0</v>
      </c>
      <c r="AP49" s="228">
        <f t="shared" si="7"/>
        <v>0</v>
      </c>
      <c r="AQ49" s="228">
        <f t="shared" si="7"/>
        <v>0</v>
      </c>
      <c r="AR49" s="228">
        <f t="shared" si="7"/>
        <v>0</v>
      </c>
      <c r="AS49" s="228">
        <f t="shared" si="7"/>
        <v>0</v>
      </c>
      <c r="AT49" s="228">
        <f t="shared" si="7"/>
        <v>0</v>
      </c>
      <c r="AU49" s="228">
        <f t="shared" si="7"/>
        <v>0</v>
      </c>
      <c r="AV49" s="228">
        <f t="shared" si="7"/>
        <v>0</v>
      </c>
      <c r="AW49" s="228">
        <f t="shared" si="7"/>
        <v>0</v>
      </c>
      <c r="AX49" s="311">
        <f t="shared" si="7"/>
        <v>0</v>
      </c>
    </row>
    <row r="50" spans="1:50" ht="14.25" customHeight="1">
      <c r="A50" s="1"/>
      <c r="B50" s="84"/>
      <c r="C50" s="748"/>
      <c r="D50" s="745"/>
      <c r="E50" s="469"/>
      <c r="F50" s="469"/>
      <c r="G50" s="469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  <c r="AF50" s="469"/>
      <c r="AG50" s="469"/>
      <c r="AH50" s="469"/>
      <c r="AI50" s="469"/>
      <c r="AJ50" s="469"/>
      <c r="AK50" s="469"/>
      <c r="AL50" s="469"/>
      <c r="AM50" s="469"/>
      <c r="AN50" s="469"/>
      <c r="AO50" s="469"/>
      <c r="AP50" s="469"/>
      <c r="AQ50" s="469"/>
      <c r="AR50" s="469"/>
      <c r="AS50" s="469"/>
      <c r="AT50" s="469"/>
      <c r="AU50" s="469"/>
      <c r="AV50" s="469"/>
      <c r="AW50" s="469"/>
      <c r="AX50" s="470"/>
    </row>
    <row r="51" spans="1:50" ht="14.25" customHeight="1">
      <c r="A51" s="1"/>
      <c r="B51" s="84"/>
      <c r="C51" s="309" t="s">
        <v>366</v>
      </c>
      <c r="D51" s="83"/>
      <c r="E51" s="469">
        <f>_xlfn.XLOOKUP(E29, 'Real Estate'!$D$103:$BA$103, 'Real Estate'!$D$114:$BA$114)</f>
        <v>0</v>
      </c>
      <c r="F51" s="469">
        <f>_xlfn.XLOOKUP(F29, 'Real Estate'!$D$103:$BA$103, 'Real Estate'!$D$114:$BA$114)</f>
        <v>0</v>
      </c>
      <c r="G51" s="469">
        <f>_xlfn.XLOOKUP(G29, 'Real Estate'!$D$103:$BA$103, 'Real Estate'!$D$114:$BA$114)</f>
        <v>0</v>
      </c>
      <c r="H51" s="469">
        <f>_xlfn.XLOOKUP(H29, 'Real Estate'!$D$103:$BA$103, 'Real Estate'!$D$114:$BA$114)</f>
        <v>0</v>
      </c>
      <c r="I51" s="469">
        <f>_xlfn.XLOOKUP(I29, 'Real Estate'!$D$103:$BA$103, 'Real Estate'!$D$114:$BA$114)</f>
        <v>0</v>
      </c>
      <c r="J51" s="469">
        <f>_xlfn.XLOOKUP(J29, 'Real Estate'!$D$103:$BA$103, 'Real Estate'!$D$114:$BA$114)</f>
        <v>0</v>
      </c>
      <c r="K51" s="469">
        <f>_xlfn.XLOOKUP(K29, 'Real Estate'!$D$103:$BA$103, 'Real Estate'!$D$114:$BA$114)</f>
        <v>0</v>
      </c>
      <c r="L51" s="469">
        <f>_xlfn.XLOOKUP(L29, 'Real Estate'!$D$103:$BA$103, 'Real Estate'!$D$114:$BA$114)</f>
        <v>0</v>
      </c>
      <c r="M51" s="469">
        <f>_xlfn.XLOOKUP(M29, 'Real Estate'!$D$103:$BA$103, 'Real Estate'!$D$114:$BA$114)</f>
        <v>0</v>
      </c>
      <c r="N51" s="469">
        <f>_xlfn.XLOOKUP(N29, 'Real Estate'!$D$103:$BA$103, 'Real Estate'!$D$114:$BA$114)</f>
        <v>0</v>
      </c>
      <c r="O51" s="469">
        <f>_xlfn.XLOOKUP(O29, 'Real Estate'!$D$103:$BA$103, 'Real Estate'!$D$114:$BA$114)</f>
        <v>0</v>
      </c>
      <c r="P51" s="469">
        <f>_xlfn.XLOOKUP(P29, 'Real Estate'!$D$103:$BA$103, 'Real Estate'!$D$114:$BA$114)</f>
        <v>0</v>
      </c>
      <c r="Q51" s="469">
        <f>_xlfn.XLOOKUP(Q29, 'Real Estate'!$D$103:$BA$103, 'Real Estate'!$D$114:$BA$114)</f>
        <v>0</v>
      </c>
      <c r="R51" s="469">
        <f>_xlfn.XLOOKUP(R29, 'Real Estate'!$D$103:$BA$103, 'Real Estate'!$D$114:$BA$114)</f>
        <v>0</v>
      </c>
      <c r="S51" s="469">
        <f>_xlfn.XLOOKUP(S29, 'Real Estate'!$D$103:$BA$103, 'Real Estate'!$D$114:$BA$114)</f>
        <v>0</v>
      </c>
      <c r="T51" s="469">
        <f>_xlfn.XLOOKUP(T29, 'Real Estate'!$D$103:$BA$103, 'Real Estate'!$D$114:$BA$114)</f>
        <v>0</v>
      </c>
      <c r="U51" s="469">
        <f>_xlfn.XLOOKUP(U29, 'Real Estate'!$D$103:$BA$103, 'Real Estate'!$D$114:$BA$114)</f>
        <v>0</v>
      </c>
      <c r="V51" s="469">
        <f>_xlfn.XLOOKUP(V29, 'Real Estate'!$D$103:$BA$103, 'Real Estate'!$D$114:$BA$114)</f>
        <v>0</v>
      </c>
      <c r="W51" s="469">
        <f>_xlfn.XLOOKUP(W29, 'Real Estate'!$D$103:$BA$103, 'Real Estate'!$D$114:$BA$114)</f>
        <v>0</v>
      </c>
      <c r="X51" s="469">
        <f>_xlfn.XLOOKUP(X29, 'Real Estate'!$D$103:$BA$103, 'Real Estate'!$D$114:$BA$114)</f>
        <v>0</v>
      </c>
      <c r="Y51" s="469">
        <f>_xlfn.XLOOKUP(Y29, 'Real Estate'!$D$103:$BA$103, 'Real Estate'!$D$114:$BA$114)</f>
        <v>0</v>
      </c>
      <c r="Z51" s="469">
        <f>_xlfn.XLOOKUP(Z29, 'Real Estate'!$D$103:$BA$103, 'Real Estate'!$D$114:$BA$114)</f>
        <v>0</v>
      </c>
      <c r="AA51" s="469">
        <f>_xlfn.XLOOKUP(AA29, 'Real Estate'!$D$103:$BA$103, 'Real Estate'!$D$114:$BA$114)</f>
        <v>0</v>
      </c>
      <c r="AB51" s="469">
        <f>_xlfn.XLOOKUP(AB29, 'Real Estate'!$D$103:$BA$103, 'Real Estate'!$D$114:$BA$114)</f>
        <v>0</v>
      </c>
      <c r="AC51" s="469">
        <f>_xlfn.XLOOKUP(AC29, 'Real Estate'!$D$103:$BA$103, 'Real Estate'!$D$114:$BA$114)</f>
        <v>0</v>
      </c>
      <c r="AD51" s="469">
        <f>_xlfn.XLOOKUP(AD29, 'Real Estate'!$D$103:$BA$103, 'Real Estate'!$D$114:$BA$114)</f>
        <v>0</v>
      </c>
      <c r="AE51" s="469">
        <f>_xlfn.XLOOKUP(AE29, 'Real Estate'!$D$103:$BA$103, 'Real Estate'!$D$114:$BA$114)</f>
        <v>0</v>
      </c>
      <c r="AF51" s="469">
        <f>_xlfn.XLOOKUP(AF29, 'Real Estate'!$D$103:$BA$103, 'Real Estate'!$D$114:$BA$114)</f>
        <v>0</v>
      </c>
      <c r="AG51" s="469">
        <f>_xlfn.XLOOKUP(AG29, 'Real Estate'!$D$103:$BA$103, 'Real Estate'!$D$114:$BA$114)</f>
        <v>0</v>
      </c>
      <c r="AH51" s="469">
        <f>_xlfn.XLOOKUP(AH29, 'Real Estate'!$D$103:$BA$103, 'Real Estate'!$D$114:$BA$114)</f>
        <v>0</v>
      </c>
      <c r="AI51" s="469">
        <f>_xlfn.XLOOKUP(AI29, 'Real Estate'!$D$103:$BA$103, 'Real Estate'!$D$114:$BA$114)</f>
        <v>0</v>
      </c>
      <c r="AJ51" s="469">
        <f>_xlfn.XLOOKUP(AJ29, 'Real Estate'!$D$103:$BA$103, 'Real Estate'!$D$114:$BA$114)</f>
        <v>0</v>
      </c>
      <c r="AK51" s="469">
        <f>_xlfn.XLOOKUP(AK29, 'Real Estate'!$D$103:$BA$103, 'Real Estate'!$D$114:$BA$114)</f>
        <v>0</v>
      </c>
      <c r="AL51" s="469">
        <f>_xlfn.XLOOKUP(AL29, 'Real Estate'!$D$103:$BA$103, 'Real Estate'!$D$114:$BA$114)</f>
        <v>0</v>
      </c>
      <c r="AM51" s="469">
        <f>_xlfn.XLOOKUP(AM29, 'Real Estate'!$D$103:$BA$103, 'Real Estate'!$D$114:$BA$114)</f>
        <v>0</v>
      </c>
      <c r="AN51" s="469">
        <f>_xlfn.XLOOKUP(AN29, 'Real Estate'!$D$103:$BA$103, 'Real Estate'!$D$114:$BA$114)</f>
        <v>0</v>
      </c>
      <c r="AO51" s="469">
        <f>_xlfn.XLOOKUP(AO29, 'Real Estate'!$D$103:$BA$103, 'Real Estate'!$D$114:$BA$114)</f>
        <v>0</v>
      </c>
      <c r="AP51" s="469">
        <f>_xlfn.XLOOKUP(AP29, 'Real Estate'!$D$103:$BA$103, 'Real Estate'!$D$114:$BA$114)</f>
        <v>0</v>
      </c>
      <c r="AQ51" s="469">
        <f>_xlfn.XLOOKUP(AQ29, 'Real Estate'!$D$103:$BA$103, 'Real Estate'!$D$114:$BA$114)</f>
        <v>0</v>
      </c>
      <c r="AR51" s="469">
        <f>_xlfn.XLOOKUP(AR29, 'Real Estate'!$D$103:$BA$103, 'Real Estate'!$D$114:$BA$114)</f>
        <v>0</v>
      </c>
      <c r="AS51" s="469">
        <f>_xlfn.XLOOKUP(AS29, 'Real Estate'!$D$103:$BA$103, 'Real Estate'!$D$114:$BA$114)</f>
        <v>0</v>
      </c>
      <c r="AT51" s="469">
        <f>_xlfn.XLOOKUP(AT29, 'Real Estate'!$D$103:$BA$103, 'Real Estate'!$D$114:$BA$114)</f>
        <v>0</v>
      </c>
      <c r="AU51" s="469">
        <f>_xlfn.XLOOKUP(AU29, 'Real Estate'!$D$103:$BA$103, 'Real Estate'!$D$114:$BA$114)</f>
        <v>0</v>
      </c>
      <c r="AV51" s="469">
        <f>_xlfn.XLOOKUP(AV29, 'Real Estate'!$D$103:$BA$103, 'Real Estate'!$D$114:$BA$114)</f>
        <v>0</v>
      </c>
      <c r="AW51" s="469">
        <f>_xlfn.XLOOKUP(AW29, 'Real Estate'!$D$103:$BA$103, 'Real Estate'!$D$114:$BA$114)</f>
        <v>0</v>
      </c>
      <c r="AX51" s="470">
        <f>_xlfn.XLOOKUP(AX29, 'Real Estate'!$D$103:$BA$103, 'Real Estate'!$D$114:$BA$114)</f>
        <v>0</v>
      </c>
    </row>
    <row r="52" spans="1:50" ht="14.25" customHeight="1">
      <c r="A52" s="1"/>
      <c r="B52" s="84"/>
      <c r="C52" s="309"/>
      <c r="D52" s="745"/>
      <c r="E52" s="469"/>
      <c r="F52" s="469"/>
      <c r="G52" s="469"/>
      <c r="H52" s="469"/>
      <c r="I52" s="469"/>
      <c r="J52" s="469"/>
      <c r="K52" s="469"/>
      <c r="L52" s="469"/>
      <c r="M52" s="469"/>
      <c r="N52" s="469"/>
      <c r="O52" s="469"/>
      <c r="P52" s="469"/>
      <c r="Q52" s="469"/>
      <c r="R52" s="469"/>
      <c r="S52" s="469"/>
      <c r="T52" s="469"/>
      <c r="U52" s="469"/>
      <c r="V52" s="469"/>
      <c r="W52" s="469"/>
      <c r="X52" s="469"/>
      <c r="Y52" s="469"/>
      <c r="Z52" s="469"/>
      <c r="AA52" s="469"/>
      <c r="AB52" s="469"/>
      <c r="AC52" s="469"/>
      <c r="AD52" s="469"/>
      <c r="AE52" s="469"/>
      <c r="AF52" s="469"/>
      <c r="AG52" s="469"/>
      <c r="AH52" s="469"/>
      <c r="AI52" s="469"/>
      <c r="AJ52" s="469"/>
      <c r="AK52" s="469"/>
      <c r="AL52" s="469"/>
      <c r="AM52" s="469"/>
      <c r="AN52" s="469"/>
      <c r="AO52" s="469"/>
      <c r="AP52" s="469"/>
      <c r="AQ52" s="469"/>
      <c r="AR52" s="469"/>
      <c r="AS52" s="469"/>
      <c r="AT52" s="469"/>
      <c r="AU52" s="469"/>
      <c r="AV52" s="469"/>
      <c r="AW52" s="469"/>
      <c r="AX52" s="470"/>
    </row>
    <row r="53" spans="1:50" ht="14.25" customHeight="1">
      <c r="A53" s="1"/>
      <c r="B53" s="84"/>
      <c r="C53" s="309" t="s">
        <v>367</v>
      </c>
      <c r="D53" s="83"/>
      <c r="E53" s="469">
        <f>-_xlfn.XLOOKUP(E31, 'Real Estate'!$D$103:$BA$103, 'Real Estate'!$D$121:$BA$121)</f>
        <v>0</v>
      </c>
      <c r="F53" s="469">
        <f>-_xlfn.XLOOKUP(F31, 'Real Estate'!$D$103:$BA$103, 'Real Estate'!$D$121:$BA$121)</f>
        <v>0</v>
      </c>
      <c r="G53" s="469">
        <f>-_xlfn.XLOOKUP(G31, 'Real Estate'!$D$103:$BA$103, 'Real Estate'!$D$121:$BA$121)</f>
        <v>0</v>
      </c>
      <c r="H53" s="469">
        <f>-_xlfn.XLOOKUP(H31, 'Real Estate'!$D$103:$BA$103, 'Real Estate'!$D$121:$BA$121)</f>
        <v>0</v>
      </c>
      <c r="I53" s="469">
        <f>-_xlfn.XLOOKUP(I31, 'Real Estate'!$D$103:$BA$103, 'Real Estate'!$D$121:$BA$121)</f>
        <v>0</v>
      </c>
      <c r="J53" s="469">
        <f>-_xlfn.XLOOKUP(J31, 'Real Estate'!$D$103:$BA$103, 'Real Estate'!$D$121:$BA$121)</f>
        <v>0</v>
      </c>
      <c r="K53" s="469">
        <f>-_xlfn.XLOOKUP(K31, 'Real Estate'!$D$103:$BA$103, 'Real Estate'!$D$121:$BA$121)</f>
        <v>0</v>
      </c>
      <c r="L53" s="469">
        <f>-_xlfn.XLOOKUP(L31, 'Real Estate'!$D$103:$BA$103, 'Real Estate'!$D$121:$BA$121)</f>
        <v>0</v>
      </c>
      <c r="M53" s="469">
        <f>-_xlfn.XLOOKUP(M31, 'Real Estate'!$D$103:$BA$103, 'Real Estate'!$D$121:$BA$121)</f>
        <v>0</v>
      </c>
      <c r="N53" s="469">
        <f>-_xlfn.XLOOKUP(N31, 'Real Estate'!$D$103:$BA$103, 'Real Estate'!$D$121:$BA$121)</f>
        <v>0</v>
      </c>
      <c r="O53" s="469">
        <f>-_xlfn.XLOOKUP(O31, 'Real Estate'!$D$103:$BA$103, 'Real Estate'!$D$121:$BA$121)</f>
        <v>0</v>
      </c>
      <c r="P53" s="469">
        <f>-_xlfn.XLOOKUP(P31, 'Real Estate'!$D$103:$BA$103, 'Real Estate'!$D$121:$BA$121)</f>
        <v>0</v>
      </c>
      <c r="Q53" s="469">
        <f>-_xlfn.XLOOKUP(Q31, 'Real Estate'!$D$103:$BA$103, 'Real Estate'!$D$121:$BA$121)</f>
        <v>0</v>
      </c>
      <c r="R53" s="469">
        <f>-_xlfn.XLOOKUP(R31, 'Real Estate'!$D$103:$BA$103, 'Real Estate'!$D$121:$BA$121)</f>
        <v>0</v>
      </c>
      <c r="S53" s="469">
        <f>-_xlfn.XLOOKUP(S31, 'Real Estate'!$D$103:$BA$103, 'Real Estate'!$D$121:$BA$121)</f>
        <v>0</v>
      </c>
      <c r="T53" s="469">
        <f>-_xlfn.XLOOKUP(T31, 'Real Estate'!$D$103:$BA$103, 'Real Estate'!$D$121:$BA$121)</f>
        <v>0</v>
      </c>
      <c r="U53" s="469">
        <f>-_xlfn.XLOOKUP(U31, 'Real Estate'!$D$103:$BA$103, 'Real Estate'!$D$121:$BA$121)</f>
        <v>0</v>
      </c>
      <c r="V53" s="469">
        <f>-_xlfn.XLOOKUP(V31, 'Real Estate'!$D$103:$BA$103, 'Real Estate'!$D$121:$BA$121)</f>
        <v>0</v>
      </c>
      <c r="W53" s="469">
        <f>-_xlfn.XLOOKUP(W31, 'Real Estate'!$D$103:$BA$103, 'Real Estate'!$D$121:$BA$121)</f>
        <v>0</v>
      </c>
      <c r="X53" s="469">
        <f>-_xlfn.XLOOKUP(X31, 'Real Estate'!$D$103:$BA$103, 'Real Estate'!$D$121:$BA$121)</f>
        <v>0</v>
      </c>
      <c r="Y53" s="469">
        <f>-_xlfn.XLOOKUP(Y31, 'Real Estate'!$D$103:$BA$103, 'Real Estate'!$D$121:$BA$121)</f>
        <v>0</v>
      </c>
      <c r="Z53" s="469">
        <f>-_xlfn.XLOOKUP(Z31, 'Real Estate'!$D$103:$BA$103, 'Real Estate'!$D$121:$BA$121)</f>
        <v>0</v>
      </c>
      <c r="AA53" s="469">
        <f>-_xlfn.XLOOKUP(AA31, 'Real Estate'!$D$103:$BA$103, 'Real Estate'!$D$121:$BA$121)</f>
        <v>0</v>
      </c>
      <c r="AB53" s="469">
        <f>-_xlfn.XLOOKUP(AB31, 'Real Estate'!$D$103:$BA$103, 'Real Estate'!$D$121:$BA$121)</f>
        <v>0</v>
      </c>
      <c r="AC53" s="469">
        <f>-_xlfn.XLOOKUP(AC31, 'Real Estate'!$D$103:$BA$103, 'Real Estate'!$D$121:$BA$121)</f>
        <v>0</v>
      </c>
      <c r="AD53" s="469">
        <f>-_xlfn.XLOOKUP(AD31, 'Real Estate'!$D$103:$BA$103, 'Real Estate'!$D$121:$BA$121)</f>
        <v>0</v>
      </c>
      <c r="AE53" s="469">
        <f>-_xlfn.XLOOKUP(AE31, 'Real Estate'!$D$103:$BA$103, 'Real Estate'!$D$121:$BA$121)</f>
        <v>0</v>
      </c>
      <c r="AF53" s="469">
        <f>-_xlfn.XLOOKUP(AF31, 'Real Estate'!$D$103:$BA$103, 'Real Estate'!$D$121:$BA$121)</f>
        <v>0</v>
      </c>
      <c r="AG53" s="469">
        <f>-_xlfn.XLOOKUP(AG31, 'Real Estate'!$D$103:$BA$103, 'Real Estate'!$D$121:$BA$121)</f>
        <v>0</v>
      </c>
      <c r="AH53" s="469">
        <f>-_xlfn.XLOOKUP(AH31, 'Real Estate'!$D$103:$BA$103, 'Real Estate'!$D$121:$BA$121)</f>
        <v>0</v>
      </c>
      <c r="AI53" s="469">
        <f>-_xlfn.XLOOKUP(AI31, 'Real Estate'!$D$103:$BA$103, 'Real Estate'!$D$121:$BA$121)</f>
        <v>0</v>
      </c>
      <c r="AJ53" s="469">
        <f>-_xlfn.XLOOKUP(AJ31, 'Real Estate'!$D$103:$BA$103, 'Real Estate'!$D$121:$BA$121)</f>
        <v>0</v>
      </c>
      <c r="AK53" s="469">
        <f>-_xlfn.XLOOKUP(AK31, 'Real Estate'!$D$103:$BA$103, 'Real Estate'!$D$121:$BA$121)</f>
        <v>0</v>
      </c>
      <c r="AL53" s="469">
        <f>-_xlfn.XLOOKUP(AL31, 'Real Estate'!$D$103:$BA$103, 'Real Estate'!$D$121:$BA$121)</f>
        <v>0</v>
      </c>
      <c r="AM53" s="469">
        <f>-_xlfn.XLOOKUP(AM31, 'Real Estate'!$D$103:$BA$103, 'Real Estate'!$D$121:$BA$121)</f>
        <v>0</v>
      </c>
      <c r="AN53" s="469">
        <f>-_xlfn.XLOOKUP(AN31, 'Real Estate'!$D$103:$BA$103, 'Real Estate'!$D$121:$BA$121)</f>
        <v>0</v>
      </c>
      <c r="AO53" s="469">
        <f>-_xlfn.XLOOKUP(AO31, 'Real Estate'!$D$103:$BA$103, 'Real Estate'!$D$121:$BA$121)</f>
        <v>0</v>
      </c>
      <c r="AP53" s="469">
        <f>-_xlfn.XLOOKUP(AP31, 'Real Estate'!$D$103:$BA$103, 'Real Estate'!$D$121:$BA$121)</f>
        <v>0</v>
      </c>
      <c r="AQ53" s="469">
        <f>-_xlfn.XLOOKUP(AQ31, 'Real Estate'!$D$103:$BA$103, 'Real Estate'!$D$121:$BA$121)</f>
        <v>0</v>
      </c>
      <c r="AR53" s="469">
        <f>-_xlfn.XLOOKUP(AR31, 'Real Estate'!$D$103:$BA$103, 'Real Estate'!$D$121:$BA$121)</f>
        <v>0</v>
      </c>
      <c r="AS53" s="469">
        <f>-_xlfn.XLOOKUP(AS31, 'Real Estate'!$D$103:$BA$103, 'Real Estate'!$D$121:$BA$121)</f>
        <v>0</v>
      </c>
      <c r="AT53" s="469">
        <f>-_xlfn.XLOOKUP(AT31, 'Real Estate'!$D$103:$BA$103, 'Real Estate'!$D$121:$BA$121)</f>
        <v>0</v>
      </c>
      <c r="AU53" s="469">
        <f>-_xlfn.XLOOKUP(AU31, 'Real Estate'!$D$103:$BA$103, 'Real Estate'!$D$121:$BA$121)</f>
        <v>0</v>
      </c>
      <c r="AV53" s="469">
        <f>-_xlfn.XLOOKUP(AV31, 'Real Estate'!$D$103:$BA$103, 'Real Estate'!$D$121:$BA$121)</f>
        <v>0</v>
      </c>
      <c r="AW53" s="469">
        <f>-_xlfn.XLOOKUP(AW31, 'Real Estate'!$D$103:$BA$103, 'Real Estate'!$D$121:$BA$121)</f>
        <v>0</v>
      </c>
      <c r="AX53" s="470">
        <f>-_xlfn.XLOOKUP(AX31, 'Real Estate'!$D$103:$BA$103, 'Real Estate'!$D$121:$BA$121)</f>
        <v>0</v>
      </c>
    </row>
    <row r="54" spans="1:50" ht="14.25" customHeight="1">
      <c r="A54" s="1"/>
      <c r="B54" s="84"/>
      <c r="C54" s="309"/>
      <c r="D54" s="745"/>
      <c r="E54" s="469"/>
      <c r="F54" s="469"/>
      <c r="G54" s="469"/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69"/>
      <c r="AB54" s="469"/>
      <c r="AC54" s="469"/>
      <c r="AD54" s="469"/>
      <c r="AE54" s="469"/>
      <c r="AF54" s="469"/>
      <c r="AG54" s="469"/>
      <c r="AH54" s="469"/>
      <c r="AI54" s="469"/>
      <c r="AJ54" s="469"/>
      <c r="AK54" s="469"/>
      <c r="AL54" s="469"/>
      <c r="AM54" s="469"/>
      <c r="AN54" s="469"/>
      <c r="AO54" s="469"/>
      <c r="AP54" s="469"/>
      <c r="AQ54" s="469"/>
      <c r="AR54" s="469"/>
      <c r="AS54" s="469"/>
      <c r="AT54" s="469"/>
      <c r="AU54" s="469"/>
      <c r="AV54" s="469"/>
      <c r="AW54" s="469"/>
      <c r="AX54" s="470"/>
    </row>
    <row r="55" spans="1:50" ht="14.25" customHeight="1">
      <c r="A55" s="1"/>
      <c r="B55" s="84"/>
      <c r="C55" s="309" t="s">
        <v>368</v>
      </c>
      <c r="D55" s="83"/>
      <c r="E55" s="469">
        <f>_xlfn.XLOOKUP(E29, 'Real Estate'!$D$103:$BA$103, 'Real Estate'!$D$130:$BA$130)</f>
        <v>0</v>
      </c>
      <c r="F55" s="469">
        <f>_xlfn.XLOOKUP(F29, 'Real Estate'!$D$103:$BA$103, 'Real Estate'!$D$130:$BA$130)</f>
        <v>0</v>
      </c>
      <c r="G55" s="469">
        <f>_xlfn.XLOOKUP(G29, 'Real Estate'!$D$103:$BA$103, 'Real Estate'!$D$130:$BA$130)</f>
        <v>0</v>
      </c>
      <c r="H55" s="469">
        <f>_xlfn.XLOOKUP(H29, 'Real Estate'!$D$103:$BA$103, 'Real Estate'!$D$130:$BA$130)</f>
        <v>0</v>
      </c>
      <c r="I55" s="469">
        <f>_xlfn.XLOOKUP(I29, 'Real Estate'!$D$103:$BA$103, 'Real Estate'!$D$130:$BA$130)</f>
        <v>0</v>
      </c>
      <c r="J55" s="469">
        <f>_xlfn.XLOOKUP(J29, 'Real Estate'!$D$103:$BA$103, 'Real Estate'!$D$130:$BA$130)</f>
        <v>0</v>
      </c>
      <c r="K55" s="469">
        <f>_xlfn.XLOOKUP(K29, 'Real Estate'!$D$103:$BA$103, 'Real Estate'!$D$130:$BA$130)</f>
        <v>0</v>
      </c>
      <c r="L55" s="469">
        <f>_xlfn.XLOOKUP(L29, 'Real Estate'!$D$103:$BA$103, 'Real Estate'!$D$130:$BA$130)</f>
        <v>0</v>
      </c>
      <c r="M55" s="469">
        <f>_xlfn.XLOOKUP(M29, 'Real Estate'!$D$103:$BA$103, 'Real Estate'!$D$130:$BA$130)</f>
        <v>0</v>
      </c>
      <c r="N55" s="469">
        <f>_xlfn.XLOOKUP(N29, 'Real Estate'!$D$103:$BA$103, 'Real Estate'!$D$130:$BA$130)</f>
        <v>0</v>
      </c>
      <c r="O55" s="469">
        <f>_xlfn.XLOOKUP(O29, 'Real Estate'!$D$103:$BA$103, 'Real Estate'!$D$130:$BA$130)</f>
        <v>0</v>
      </c>
      <c r="P55" s="469">
        <f>_xlfn.XLOOKUP(P29, 'Real Estate'!$D$103:$BA$103, 'Real Estate'!$D$130:$BA$130)</f>
        <v>0</v>
      </c>
      <c r="Q55" s="469">
        <f>_xlfn.XLOOKUP(Q29, 'Real Estate'!$D$103:$BA$103, 'Real Estate'!$D$130:$BA$130)</f>
        <v>0</v>
      </c>
      <c r="R55" s="469">
        <f>_xlfn.XLOOKUP(R29, 'Real Estate'!$D$103:$BA$103, 'Real Estate'!$D$130:$BA$130)</f>
        <v>0</v>
      </c>
      <c r="S55" s="469">
        <f>_xlfn.XLOOKUP(S29, 'Real Estate'!$D$103:$BA$103, 'Real Estate'!$D$130:$BA$130)</f>
        <v>0</v>
      </c>
      <c r="T55" s="469">
        <f>_xlfn.XLOOKUP(T29, 'Real Estate'!$D$103:$BA$103, 'Real Estate'!$D$130:$BA$130)</f>
        <v>0</v>
      </c>
      <c r="U55" s="469">
        <f>_xlfn.XLOOKUP(U29, 'Real Estate'!$D$103:$BA$103, 'Real Estate'!$D$130:$BA$130)</f>
        <v>0</v>
      </c>
      <c r="V55" s="469">
        <f>_xlfn.XLOOKUP(V29, 'Real Estate'!$D$103:$BA$103, 'Real Estate'!$D$130:$BA$130)</f>
        <v>0</v>
      </c>
      <c r="W55" s="469">
        <f>_xlfn.XLOOKUP(W29, 'Real Estate'!$D$103:$BA$103, 'Real Estate'!$D$130:$BA$130)</f>
        <v>0</v>
      </c>
      <c r="X55" s="469">
        <f>_xlfn.XLOOKUP(X29, 'Real Estate'!$D$103:$BA$103, 'Real Estate'!$D$130:$BA$130)</f>
        <v>0</v>
      </c>
      <c r="Y55" s="469">
        <f>_xlfn.XLOOKUP(Y29, 'Real Estate'!$D$103:$BA$103, 'Real Estate'!$D$130:$BA$130)</f>
        <v>0</v>
      </c>
      <c r="Z55" s="469">
        <f>_xlfn.XLOOKUP(Z29, 'Real Estate'!$D$103:$BA$103, 'Real Estate'!$D$130:$BA$130)</f>
        <v>0</v>
      </c>
      <c r="AA55" s="469">
        <f>_xlfn.XLOOKUP(AA29, 'Real Estate'!$D$103:$BA$103, 'Real Estate'!$D$130:$BA$130)</f>
        <v>0</v>
      </c>
      <c r="AB55" s="469">
        <f>_xlfn.XLOOKUP(AB29, 'Real Estate'!$D$103:$BA$103, 'Real Estate'!$D$130:$BA$130)</f>
        <v>0</v>
      </c>
      <c r="AC55" s="469">
        <f>_xlfn.XLOOKUP(AC29, 'Real Estate'!$D$103:$BA$103, 'Real Estate'!$D$130:$BA$130)</f>
        <v>0</v>
      </c>
      <c r="AD55" s="469">
        <f>_xlfn.XLOOKUP(AD29, 'Real Estate'!$D$103:$BA$103, 'Real Estate'!$D$130:$BA$130)</f>
        <v>0</v>
      </c>
      <c r="AE55" s="469">
        <f>_xlfn.XLOOKUP(AE29, 'Real Estate'!$D$103:$BA$103, 'Real Estate'!$D$130:$BA$130)</f>
        <v>0</v>
      </c>
      <c r="AF55" s="469">
        <f>_xlfn.XLOOKUP(AF29, 'Real Estate'!$D$103:$BA$103, 'Real Estate'!$D$130:$BA$130)</f>
        <v>0</v>
      </c>
      <c r="AG55" s="469">
        <f>_xlfn.XLOOKUP(AG29, 'Real Estate'!$D$103:$BA$103, 'Real Estate'!$D$130:$BA$130)</f>
        <v>0</v>
      </c>
      <c r="AH55" s="469">
        <f>_xlfn.XLOOKUP(AH29, 'Real Estate'!$D$103:$BA$103, 'Real Estate'!$D$130:$BA$130)</f>
        <v>0</v>
      </c>
      <c r="AI55" s="469">
        <f>_xlfn.XLOOKUP(AI29, 'Real Estate'!$D$103:$BA$103, 'Real Estate'!$D$130:$BA$130)</f>
        <v>0</v>
      </c>
      <c r="AJ55" s="469">
        <f>_xlfn.XLOOKUP(AJ29, 'Real Estate'!$D$103:$BA$103, 'Real Estate'!$D$130:$BA$130)</f>
        <v>0</v>
      </c>
      <c r="AK55" s="469">
        <f>_xlfn.XLOOKUP(AK29, 'Real Estate'!$D$103:$BA$103, 'Real Estate'!$D$130:$BA$130)</f>
        <v>0</v>
      </c>
      <c r="AL55" s="469">
        <f>_xlfn.XLOOKUP(AL29, 'Real Estate'!$D$103:$BA$103, 'Real Estate'!$D$130:$BA$130)</f>
        <v>0</v>
      </c>
      <c r="AM55" s="469">
        <f>_xlfn.XLOOKUP(AM29, 'Real Estate'!$D$103:$BA$103, 'Real Estate'!$D$130:$BA$130)</f>
        <v>0</v>
      </c>
      <c r="AN55" s="469">
        <f>_xlfn.XLOOKUP(AN29, 'Real Estate'!$D$103:$BA$103, 'Real Estate'!$D$130:$BA$130)</f>
        <v>0</v>
      </c>
      <c r="AO55" s="469">
        <f>_xlfn.XLOOKUP(AO29, 'Real Estate'!$D$103:$BA$103, 'Real Estate'!$D$130:$BA$130)</f>
        <v>0</v>
      </c>
      <c r="AP55" s="469">
        <f>_xlfn.XLOOKUP(AP29, 'Real Estate'!$D$103:$BA$103, 'Real Estate'!$D$130:$BA$130)</f>
        <v>0</v>
      </c>
      <c r="AQ55" s="469">
        <f>_xlfn.XLOOKUP(AQ29, 'Real Estate'!$D$103:$BA$103, 'Real Estate'!$D$130:$BA$130)</f>
        <v>0</v>
      </c>
      <c r="AR55" s="469">
        <f>_xlfn.XLOOKUP(AR29, 'Real Estate'!$D$103:$BA$103, 'Real Estate'!$D$130:$BA$130)</f>
        <v>0</v>
      </c>
      <c r="AS55" s="469">
        <f>_xlfn.XLOOKUP(AS29, 'Real Estate'!$D$103:$BA$103, 'Real Estate'!$D$130:$BA$130)</f>
        <v>0</v>
      </c>
      <c r="AT55" s="469">
        <f>_xlfn.XLOOKUP(AT29, 'Real Estate'!$D$103:$BA$103, 'Real Estate'!$D$130:$BA$130)</f>
        <v>0</v>
      </c>
      <c r="AU55" s="469">
        <f>_xlfn.XLOOKUP(AU29, 'Real Estate'!$D$103:$BA$103, 'Real Estate'!$D$130:$BA$130)</f>
        <v>0</v>
      </c>
      <c r="AV55" s="469">
        <f>_xlfn.XLOOKUP(AV29, 'Real Estate'!$D$103:$BA$103, 'Real Estate'!$D$130:$BA$130)</f>
        <v>0</v>
      </c>
      <c r="AW55" s="469">
        <f>_xlfn.XLOOKUP(AW29, 'Real Estate'!$D$103:$BA$103, 'Real Estate'!$D$130:$BA$130)</f>
        <v>0</v>
      </c>
      <c r="AX55" s="470">
        <f>_xlfn.XLOOKUP(AX29, 'Real Estate'!$D$103:$BA$103, 'Real Estate'!$D$130:$BA$130)</f>
        <v>0</v>
      </c>
    </row>
    <row r="56" spans="1:50" ht="14.25" customHeight="1">
      <c r="A56" s="1"/>
      <c r="B56" s="84"/>
      <c r="C56" s="748"/>
      <c r="D56" s="745"/>
      <c r="E56" s="469"/>
      <c r="F56" s="469"/>
      <c r="G56" s="469"/>
      <c r="H56" s="469"/>
      <c r="I56" s="469"/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  <c r="X56" s="469"/>
      <c r="Y56" s="469"/>
      <c r="Z56" s="469"/>
      <c r="AA56" s="469"/>
      <c r="AB56" s="469"/>
      <c r="AC56" s="469"/>
      <c r="AD56" s="469"/>
      <c r="AE56" s="469"/>
      <c r="AF56" s="469"/>
      <c r="AG56" s="469"/>
      <c r="AH56" s="469"/>
      <c r="AI56" s="469"/>
      <c r="AJ56" s="469"/>
      <c r="AK56" s="469"/>
      <c r="AL56" s="469"/>
      <c r="AM56" s="469"/>
      <c r="AN56" s="469"/>
      <c r="AO56" s="469"/>
      <c r="AP56" s="469"/>
      <c r="AQ56" s="469"/>
      <c r="AR56" s="469"/>
      <c r="AS56" s="469"/>
      <c r="AT56" s="469"/>
      <c r="AU56" s="469"/>
      <c r="AV56" s="469"/>
      <c r="AW56" s="469"/>
      <c r="AX56" s="470"/>
    </row>
    <row r="57" spans="1:50" ht="14.25" customHeight="1">
      <c r="A57" s="1"/>
      <c r="B57" s="84"/>
      <c r="C57" s="310" t="s">
        <v>369</v>
      </c>
      <c r="D57" s="244"/>
      <c r="E57" s="228">
        <f>SUM(E55,E53, E51)</f>
        <v>0</v>
      </c>
      <c r="F57" s="228">
        <f>SUM(F55,F51)</f>
        <v>0</v>
      </c>
      <c r="G57" s="228">
        <f>SUM(G55,G51)</f>
        <v>0</v>
      </c>
      <c r="H57" s="228">
        <f t="shared" ref="H57:AX57" si="8">SUM(H55,H51)</f>
        <v>0</v>
      </c>
      <c r="I57" s="228">
        <f t="shared" si="8"/>
        <v>0</v>
      </c>
      <c r="J57" s="228">
        <f t="shared" si="8"/>
        <v>0</v>
      </c>
      <c r="K57" s="228">
        <f t="shared" si="8"/>
        <v>0</v>
      </c>
      <c r="L57" s="228">
        <f t="shared" si="8"/>
        <v>0</v>
      </c>
      <c r="M57" s="228">
        <f t="shared" si="8"/>
        <v>0</v>
      </c>
      <c r="N57" s="228">
        <f t="shared" si="8"/>
        <v>0</v>
      </c>
      <c r="O57" s="228">
        <f t="shared" si="8"/>
        <v>0</v>
      </c>
      <c r="P57" s="228">
        <f t="shared" si="8"/>
        <v>0</v>
      </c>
      <c r="Q57" s="228">
        <f t="shared" si="8"/>
        <v>0</v>
      </c>
      <c r="R57" s="228">
        <f t="shared" si="8"/>
        <v>0</v>
      </c>
      <c r="S57" s="228">
        <f t="shared" si="8"/>
        <v>0</v>
      </c>
      <c r="T57" s="228">
        <f t="shared" si="8"/>
        <v>0</v>
      </c>
      <c r="U57" s="228">
        <f t="shared" si="8"/>
        <v>0</v>
      </c>
      <c r="V57" s="228">
        <f t="shared" si="8"/>
        <v>0</v>
      </c>
      <c r="W57" s="228">
        <f t="shared" si="8"/>
        <v>0</v>
      </c>
      <c r="X57" s="228">
        <f t="shared" si="8"/>
        <v>0</v>
      </c>
      <c r="Y57" s="228">
        <f t="shared" si="8"/>
        <v>0</v>
      </c>
      <c r="Z57" s="228">
        <f t="shared" si="8"/>
        <v>0</v>
      </c>
      <c r="AA57" s="228">
        <f t="shared" si="8"/>
        <v>0</v>
      </c>
      <c r="AB57" s="228">
        <f t="shared" si="8"/>
        <v>0</v>
      </c>
      <c r="AC57" s="228">
        <f t="shared" si="8"/>
        <v>0</v>
      </c>
      <c r="AD57" s="228">
        <f t="shared" si="8"/>
        <v>0</v>
      </c>
      <c r="AE57" s="228">
        <f t="shared" si="8"/>
        <v>0</v>
      </c>
      <c r="AF57" s="228">
        <f t="shared" si="8"/>
        <v>0</v>
      </c>
      <c r="AG57" s="228">
        <f t="shared" si="8"/>
        <v>0</v>
      </c>
      <c r="AH57" s="228">
        <f t="shared" si="8"/>
        <v>0</v>
      </c>
      <c r="AI57" s="228">
        <f t="shared" si="8"/>
        <v>0</v>
      </c>
      <c r="AJ57" s="228">
        <f t="shared" si="8"/>
        <v>0</v>
      </c>
      <c r="AK57" s="228">
        <f t="shared" si="8"/>
        <v>0</v>
      </c>
      <c r="AL57" s="228">
        <f t="shared" si="8"/>
        <v>0</v>
      </c>
      <c r="AM57" s="228">
        <f t="shared" si="8"/>
        <v>0</v>
      </c>
      <c r="AN57" s="228">
        <f t="shared" si="8"/>
        <v>0</v>
      </c>
      <c r="AO57" s="228">
        <f t="shared" si="8"/>
        <v>0</v>
      </c>
      <c r="AP57" s="228">
        <f t="shared" si="8"/>
        <v>0</v>
      </c>
      <c r="AQ57" s="228">
        <f t="shared" si="8"/>
        <v>0</v>
      </c>
      <c r="AR57" s="228">
        <f t="shared" si="8"/>
        <v>0</v>
      </c>
      <c r="AS57" s="228">
        <f t="shared" si="8"/>
        <v>0</v>
      </c>
      <c r="AT57" s="228">
        <f t="shared" si="8"/>
        <v>0</v>
      </c>
      <c r="AU57" s="228">
        <f t="shared" si="8"/>
        <v>0</v>
      </c>
      <c r="AV57" s="228">
        <f t="shared" si="8"/>
        <v>0</v>
      </c>
      <c r="AW57" s="228">
        <f t="shared" si="8"/>
        <v>0</v>
      </c>
      <c r="AX57" s="311">
        <f t="shared" si="8"/>
        <v>0</v>
      </c>
    </row>
    <row r="58" spans="1:50" ht="14.25" customHeight="1">
      <c r="A58" s="1"/>
      <c r="B58" s="84"/>
      <c r="C58" s="307"/>
      <c r="D58" s="242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308"/>
    </row>
    <row r="59" spans="1:50" ht="14.25" customHeight="1">
      <c r="A59" s="1"/>
      <c r="B59" s="84"/>
      <c r="C59" s="309" t="s">
        <v>370</v>
      </c>
      <c r="D59" s="83"/>
      <c r="E59" s="471"/>
      <c r="F59" s="472"/>
      <c r="G59" s="472"/>
      <c r="H59" s="472"/>
      <c r="I59" s="472"/>
      <c r="J59" s="472"/>
      <c r="K59" s="472"/>
      <c r="L59" s="472"/>
      <c r="M59" s="472"/>
      <c r="N59" s="472"/>
      <c r="O59" s="472"/>
      <c r="P59" s="472"/>
      <c r="Q59" s="472"/>
      <c r="R59" s="472"/>
      <c r="S59" s="472"/>
      <c r="T59" s="472"/>
      <c r="U59" s="472"/>
      <c r="V59" s="472"/>
      <c r="W59" s="472"/>
      <c r="X59" s="472"/>
      <c r="Y59" s="472"/>
      <c r="Z59" s="472"/>
      <c r="AA59" s="472"/>
      <c r="AB59" s="472"/>
      <c r="AC59" s="472"/>
      <c r="AD59" s="472"/>
      <c r="AE59" s="472"/>
      <c r="AF59" s="472"/>
      <c r="AG59" s="472"/>
      <c r="AH59" s="472"/>
      <c r="AI59" s="472"/>
      <c r="AJ59" s="472"/>
      <c r="AK59" s="472"/>
      <c r="AL59" s="472"/>
      <c r="AM59" s="472"/>
      <c r="AN59" s="472"/>
      <c r="AO59" s="472"/>
      <c r="AP59" s="472"/>
      <c r="AQ59" s="472"/>
      <c r="AR59" s="472"/>
      <c r="AS59" s="472"/>
      <c r="AT59" s="472"/>
      <c r="AU59" s="472"/>
      <c r="AV59" s="472"/>
      <c r="AW59" s="472"/>
      <c r="AX59" s="473"/>
    </row>
    <row r="60" spans="1:50" ht="14.25" customHeight="1">
      <c r="A60" s="1"/>
      <c r="B60" s="84"/>
      <c r="C60" s="748" t="s">
        <v>371</v>
      </c>
      <c r="D60" s="83"/>
      <c r="E60" s="474">
        <f>IFERROR(_xlfn.XLOOKUP(E$88, 'GEN-SOLAR'!$D$110:$BA$110, 'GEN-SOLAR'!$D$116:$BA$116)*'Assumptions &amp; Inputs'!$H$6, 0)</f>
        <v>0</v>
      </c>
      <c r="F60" s="474">
        <f>IFERROR(_xlfn.XLOOKUP(F$88, 'GEN-SOLAR'!$D$110:$BA$110, 'GEN-SOLAR'!$D$116:$BA$116)*'Assumptions &amp; Inputs'!$H$6, 0)</f>
        <v>3.5740799999999999</v>
      </c>
      <c r="G60" s="474">
        <f>IFERROR(_xlfn.XLOOKUP(G$88, 'GEN-SOLAR'!$D$110:$BA$110, 'GEN-SOLAR'!$D$116:$BA$116)*'Assumptions &amp; Inputs'!$H$6, 0)</f>
        <v>10.854762281023458</v>
      </c>
      <c r="H60" s="474">
        <f>IFERROR(_xlfn.XLOOKUP(H$88, 'GEN-SOLAR'!$D$110:$BA$110, 'GEN-SOLAR'!$D$116:$BA$116)*'Assumptions &amp; Inputs'!$H$6, 0)</f>
        <v>10.961138951377485</v>
      </c>
      <c r="I60" s="474">
        <f>IFERROR(_xlfn.XLOOKUP(I$88, 'GEN-SOLAR'!$D$110:$BA$110, 'GEN-SOLAR'!$D$116:$BA$116)*'Assumptions &amp; Inputs'!$H$6, 0)</f>
        <v>11.068275780734057</v>
      </c>
      <c r="J60" s="474">
        <f>IFERROR(_xlfn.XLOOKUP(J$88, 'GEN-SOLAR'!$D$110:$BA$110, 'GEN-SOLAR'!$D$116:$BA$116)*'Assumptions &amp; Inputs'!$H$6, 0)</f>
        <v>11.176171805146858</v>
      </c>
      <c r="K60" s="474">
        <f>IFERROR(_xlfn.XLOOKUP(K$88, 'GEN-SOLAR'!$D$110:$BA$110, 'GEN-SOLAR'!$D$116:$BA$116)*'Assumptions &amp; Inputs'!$H$6, 0)</f>
        <v>11.28482586318108</v>
      </c>
      <c r="L60" s="474">
        <f>IFERROR(_xlfn.XLOOKUP(L$88, 'GEN-SOLAR'!$D$110:$BA$110, 'GEN-SOLAR'!$D$116:$BA$116)*'Assumptions &amp; Inputs'!$H$6, 0)</f>
        <v>11.39423659024226</v>
      </c>
      <c r="M60" s="474">
        <f>IFERROR(_xlfn.XLOOKUP(M$88, 'GEN-SOLAR'!$D$110:$BA$110, 'GEN-SOLAR'!$D$116:$BA$116)*'Assumptions &amp; Inputs'!$H$6, 0)</f>
        <v>11.504402412779976</v>
      </c>
      <c r="N60" s="474">
        <f>IFERROR(_xlfn.XLOOKUP(N$88, 'GEN-SOLAR'!$D$110:$BA$110, 'GEN-SOLAR'!$D$116:$BA$116)*'Assumptions &amp; Inputs'!$H$6, 0)</f>
        <v>11.615321542363919</v>
      </c>
      <c r="O60" s="474">
        <f>IFERROR(_xlfn.XLOOKUP(O$88, 'GEN-SOLAR'!$D$110:$BA$110, 'GEN-SOLAR'!$D$116:$BA$116)*'Assumptions &amp; Inputs'!$H$6, 0)</f>
        <v>11.726991969629802</v>
      </c>
      <c r="P60" s="474">
        <f>IFERROR(_xlfn.XLOOKUP(P$88, 'GEN-SOLAR'!$D$110:$BA$110, 'GEN-SOLAR'!$D$116:$BA$116)*'Assumptions &amp; Inputs'!$H$6, 0)</f>
        <v>11.839411458092584</v>
      </c>
      <c r="Q60" s="474">
        <f>IFERROR(_xlfn.XLOOKUP(Q$88, 'GEN-SOLAR'!$D$110:$BA$110, 'GEN-SOLAR'!$D$116:$BA$116)*'Assumptions &amp; Inputs'!$H$6, 0)</f>
        <v>11.952577537824389</v>
      </c>
      <c r="R60" s="474">
        <f>IFERROR(_xlfn.XLOOKUP(R$88, 'GEN-SOLAR'!$D$110:$BA$110, 'GEN-SOLAR'!$D$116:$BA$116)*'Assumptions &amp; Inputs'!$H$6, 0)</f>
        <v>12.066487498994384</v>
      </c>
      <c r="S60" s="474">
        <f>IFERROR(_xlfn.XLOOKUP(S$88, 'GEN-SOLAR'!$D$110:$BA$110, 'GEN-SOLAR'!$D$116:$BA$116)*'Assumptions &amp; Inputs'!$H$6, 0)</f>
        <v>12.181138385268076</v>
      </c>
      <c r="T60" s="474">
        <f>IFERROR(_xlfn.XLOOKUP(T$88, 'GEN-SOLAR'!$D$110:$BA$110, 'GEN-SOLAR'!$D$116:$BA$116)*'Assumptions &amp; Inputs'!$H$6, 0)</f>
        <v>12.296526987063066</v>
      </c>
      <c r="U60" s="474">
        <f>IFERROR(_xlfn.XLOOKUP(U$88, 'GEN-SOLAR'!$D$110:$BA$110, 'GEN-SOLAR'!$D$116:$BA$116)*'Assumptions &amp; Inputs'!$H$6, 0)</f>
        <v>12.412649834658637</v>
      </c>
      <c r="V60" s="474">
        <f>IFERROR(_xlfn.XLOOKUP(V$88, 'GEN-SOLAR'!$D$110:$BA$110, 'GEN-SOLAR'!$D$116:$BA$116)*'Assumptions &amp; Inputs'!$H$6, 0)</f>
        <v>12.529503191156159</v>
      </c>
      <c r="W60" s="474">
        <f>IFERROR(_xlfn.XLOOKUP(W$88, 'GEN-SOLAR'!$D$110:$BA$110, 'GEN-SOLAR'!$D$116:$BA$116)*'Assumptions &amp; Inputs'!$H$6, 0)</f>
        <v>12.647083045287514</v>
      </c>
      <c r="X60" s="474">
        <f>IFERROR(_xlfn.XLOOKUP(X$88, 'GEN-SOLAR'!$D$110:$BA$110, 'GEN-SOLAR'!$D$116:$BA$116)*'Assumptions &amp; Inputs'!$H$6, 0)</f>
        <v>12.765385104068516</v>
      </c>
      <c r="Y60" s="474">
        <f>IFERROR(_xlfn.XLOOKUP(Y$88, 'GEN-SOLAR'!$D$110:$BA$110, 'GEN-SOLAR'!$D$116:$BA$116)*'Assumptions &amp; Inputs'!$H$6, 0)</f>
        <v>12.88440478529431</v>
      </c>
      <c r="Z60" s="474">
        <f>IFERROR(_xlfn.XLOOKUP(Z$88, 'GEN-SOLAR'!$D$110:$BA$110, 'GEN-SOLAR'!$D$116:$BA$116)*'Assumptions &amp; Inputs'!$H$6, 0)</f>
        <v>13.004137209873669</v>
      </c>
      <c r="AA60" s="474">
        <f>IFERROR(_xlfn.XLOOKUP(AA$88, 'GEN-SOLAR'!$D$110:$BA$110, 'GEN-SOLAR'!$D$116:$BA$116)*'Assumptions &amp; Inputs'!$H$6, 0)</f>
        <v>13.124577193999121</v>
      </c>
      <c r="AB60" s="474">
        <f>IFERROR(_xlfn.XLOOKUP(AB$88, 'GEN-SOLAR'!$D$110:$BA$110, 'GEN-SOLAR'!$D$116:$BA$116)*'Assumptions &amp; Inputs'!$H$6, 0)</f>
        <v>13.245719241149537</v>
      </c>
      <c r="AC60" s="474">
        <f>IFERROR(_xlfn.XLOOKUP(AC$88, 'GEN-SOLAR'!$D$110:$BA$110, 'GEN-SOLAR'!$D$116:$BA$116)*'Assumptions &amp; Inputs'!$H$6, 0)</f>
        <v>13.367557533922202</v>
      </c>
      <c r="AD60" s="474">
        <f>IFERROR(_xlfn.XLOOKUP(AD$88, 'GEN-SOLAR'!$D$110:$BA$110, 'GEN-SOLAR'!$D$116:$BA$116)*'Assumptions &amp; Inputs'!$H$6, 0)</f>
        <v>13.490085925690764</v>
      </c>
      <c r="AE60" s="474">
        <f>IFERROR(_xlfn.XLOOKUP(AE$88, 'GEN-SOLAR'!$D$110:$BA$110, 'GEN-SOLAR'!$D$116:$BA$116)*'Assumptions &amp; Inputs'!$H$6, 0)</f>
        <v>13.613297932085922</v>
      </c>
      <c r="AF60" s="474">
        <f>IFERROR(_xlfn.XLOOKUP(AF$88, 'GEN-SOLAR'!$D$110:$BA$110, 'GEN-SOLAR'!$D$116:$BA$116)*'Assumptions &amp; Inputs'!$H$6, 0)</f>
        <v>0</v>
      </c>
      <c r="AG60" s="474">
        <f>IFERROR(_xlfn.XLOOKUP(AG$88, 'GEN-SOLAR'!$D$110:$BA$110, 'GEN-SOLAR'!$D$116:$BA$116)*'Assumptions &amp; Inputs'!$H$6, 0)</f>
        <v>0</v>
      </c>
      <c r="AH60" s="474">
        <f>IFERROR(_xlfn.XLOOKUP(AH$88, 'GEN-SOLAR'!$D$110:$BA$110, 'GEN-SOLAR'!$D$116:$BA$116)*'Assumptions &amp; Inputs'!$H$6, 0)</f>
        <v>0</v>
      </c>
      <c r="AI60" s="474">
        <f>IFERROR(_xlfn.XLOOKUP(AI$88, 'GEN-SOLAR'!$D$110:$BA$110, 'GEN-SOLAR'!$D$116:$BA$116)*'Assumptions &amp; Inputs'!$H$6, 0)</f>
        <v>0</v>
      </c>
      <c r="AJ60" s="474">
        <f>IFERROR(_xlfn.XLOOKUP(AJ$88, 'GEN-SOLAR'!$D$110:$BA$110, 'GEN-SOLAR'!$D$116:$BA$116)*'Assumptions &amp; Inputs'!$H$6, 0)</f>
        <v>0</v>
      </c>
      <c r="AK60" s="474">
        <f>IFERROR(_xlfn.XLOOKUP(AK$88, 'GEN-SOLAR'!$D$110:$BA$110, 'GEN-SOLAR'!$D$116:$BA$116)*'Assumptions &amp; Inputs'!$H$6, 0)</f>
        <v>0</v>
      </c>
      <c r="AL60" s="474">
        <f>IFERROR(_xlfn.XLOOKUP(AL$88, 'GEN-SOLAR'!$D$110:$BA$110, 'GEN-SOLAR'!$D$116:$BA$116)*'Assumptions &amp; Inputs'!$H$6, 0)</f>
        <v>0</v>
      </c>
      <c r="AM60" s="474">
        <f>IFERROR(_xlfn.XLOOKUP(AM$88, 'GEN-SOLAR'!$D$110:$BA$110, 'GEN-SOLAR'!$D$116:$BA$116)*'Assumptions &amp; Inputs'!$H$6, 0)</f>
        <v>0</v>
      </c>
      <c r="AN60" s="474">
        <f>IFERROR(_xlfn.XLOOKUP(AN$88, 'GEN-SOLAR'!$D$110:$BA$110, 'GEN-SOLAR'!$D$116:$BA$116)*'Assumptions &amp; Inputs'!$H$6, 0)</f>
        <v>0</v>
      </c>
      <c r="AO60" s="474">
        <f>IFERROR(_xlfn.XLOOKUP(AO$88, 'GEN-SOLAR'!$D$110:$BA$110, 'GEN-SOLAR'!$D$116:$BA$116)*'Assumptions &amp; Inputs'!$H$6, 0)</f>
        <v>0</v>
      </c>
      <c r="AP60" s="474">
        <f>IFERROR(_xlfn.XLOOKUP(AP$88, 'GEN-SOLAR'!$D$110:$BA$110, 'GEN-SOLAR'!$D$116:$BA$116)*'Assumptions &amp; Inputs'!$H$6, 0)</f>
        <v>0</v>
      </c>
      <c r="AQ60" s="474">
        <f>IFERROR(_xlfn.XLOOKUP(AQ$88, 'GEN-SOLAR'!$D$110:$BA$110, 'GEN-SOLAR'!$D$116:$BA$116)*'Assumptions &amp; Inputs'!$H$6, 0)</f>
        <v>0</v>
      </c>
      <c r="AR60" s="474">
        <f>IFERROR(_xlfn.XLOOKUP(AR$88, 'GEN-SOLAR'!$D$110:$BA$110, 'GEN-SOLAR'!$D$116:$BA$116)*'Assumptions &amp; Inputs'!$H$6, 0)</f>
        <v>0</v>
      </c>
      <c r="AS60" s="474">
        <f>IFERROR(_xlfn.XLOOKUP(AS$88, 'GEN-SOLAR'!$D$110:$BA$110, 'GEN-SOLAR'!$D$116:$BA$116)*'Assumptions &amp; Inputs'!$H$6, 0)</f>
        <v>0</v>
      </c>
      <c r="AT60" s="474">
        <f>IFERROR(_xlfn.XLOOKUP(AT$88, 'GEN-SOLAR'!$D$110:$BA$110, 'GEN-SOLAR'!$D$116:$BA$116)*'Assumptions &amp; Inputs'!$H$6, 0)</f>
        <v>0</v>
      </c>
      <c r="AU60" s="474">
        <f>IFERROR(_xlfn.XLOOKUP(AU$88, 'GEN-SOLAR'!$D$110:$BA$110, 'GEN-SOLAR'!$D$116:$BA$116)*'Assumptions &amp; Inputs'!$H$6, 0)</f>
        <v>0</v>
      </c>
      <c r="AV60" s="474">
        <f>IFERROR(_xlfn.XLOOKUP(AV$88, 'GEN-SOLAR'!$D$110:$BA$110, 'GEN-SOLAR'!$D$116:$BA$116)*'Assumptions &amp; Inputs'!$H$6, 0)</f>
        <v>0</v>
      </c>
      <c r="AW60" s="474">
        <f>IFERROR(_xlfn.XLOOKUP(AW$88, 'GEN-SOLAR'!$D$110:$BA$110, 'GEN-SOLAR'!$D$116:$BA$116)*'Assumptions &amp; Inputs'!$H$6, 0)</f>
        <v>0</v>
      </c>
      <c r="AX60" s="474">
        <f>IFERROR(_xlfn.XLOOKUP(AX$88, 'GEN-SOLAR'!$D$110:$BA$110, 'GEN-SOLAR'!$D$116:$BA$116)*'Assumptions &amp; Inputs'!$H$6, 0)</f>
        <v>0</v>
      </c>
    </row>
    <row r="61" spans="1:50" ht="14.25" customHeight="1">
      <c r="A61" s="1"/>
      <c r="B61" s="84"/>
      <c r="C61" s="748" t="s">
        <v>372</v>
      </c>
      <c r="D61" s="83"/>
      <c r="E61" s="474">
        <f>IFERROR(_xlfn.XLOOKUP(E$88, 'GEN-BESS'!$D$110:$BA$110, 'GEN-BESS'!$D$120:$BA$120)*'Assumptions &amp; Inputs'!$F$6, 0)</f>
        <v>0</v>
      </c>
      <c r="F61" s="474">
        <f>IFERROR(_xlfn.XLOOKUP(F$88, 'GEN-BESS'!$D$110:$BA$110, 'GEN-BESS'!$D$120:$BA$120)*'Assumptions &amp; Inputs'!$F$6, 0)</f>
        <v>5.4444879999999998</v>
      </c>
      <c r="G61" s="474">
        <f>IFERROR(_xlfn.XLOOKUP(G$88, 'GEN-BESS'!$D$110:$BA$110, 'GEN-BESS'!$D$120:$BA$120)*'Assumptions &amp; Inputs'!$F$6, 0)</f>
        <v>6.6419135999999996</v>
      </c>
      <c r="H61" s="474">
        <f>IFERROR(_xlfn.XLOOKUP(H$88, 'GEN-BESS'!$D$110:$BA$110, 'GEN-BESS'!$D$120:$BA$120)*'Assumptions &amp; Inputs'!$F$6, 0)</f>
        <v>6.7747518719999995</v>
      </c>
      <c r="I61" s="474">
        <f>IFERROR(_xlfn.XLOOKUP(I$88, 'GEN-BESS'!$D$110:$BA$110, 'GEN-BESS'!$D$120:$BA$120)*'Assumptions &amp; Inputs'!$F$6, 0)</f>
        <v>6.9102469094399996</v>
      </c>
      <c r="J61" s="474">
        <f>IFERROR(_xlfn.XLOOKUP(J$88, 'GEN-BESS'!$D$110:$BA$110, 'GEN-BESS'!$D$120:$BA$120)*'Assumptions &amp; Inputs'!$F$6, 0)</f>
        <v>7.0484518476288009</v>
      </c>
      <c r="K61" s="474">
        <f>IFERROR(_xlfn.XLOOKUP(K$88, 'GEN-BESS'!$D$110:$BA$110, 'GEN-BESS'!$D$120:$BA$120)*'Assumptions &amp; Inputs'!$F$6, 0)</f>
        <v>7.1894208845813772</v>
      </c>
      <c r="L61" s="474">
        <f>IFERROR(_xlfn.XLOOKUP(L$88, 'GEN-BESS'!$D$110:$BA$110, 'GEN-BESS'!$D$120:$BA$120)*'Assumptions &amp; Inputs'!$F$6, 0)</f>
        <v>7.3332093022730032</v>
      </c>
      <c r="M61" s="474">
        <f>IFERROR(_xlfn.XLOOKUP(M$88, 'GEN-BESS'!$D$110:$BA$110, 'GEN-BESS'!$D$120:$BA$120)*'Assumptions &amp; Inputs'!$F$6, 0)</f>
        <v>7.4798734883184634</v>
      </c>
      <c r="N61" s="474">
        <f>IFERROR(_xlfn.XLOOKUP(N$88, 'GEN-BESS'!$D$110:$BA$110, 'GEN-BESS'!$D$120:$BA$120)*'Assumptions &amp; Inputs'!$F$6, 0)</f>
        <v>7.6294709580848323</v>
      </c>
      <c r="O61" s="474">
        <f>IFERROR(_xlfn.XLOOKUP(O$88, 'GEN-BESS'!$D$110:$BA$110, 'GEN-BESS'!$D$120:$BA$120)*'Assumptions &amp; Inputs'!$F$6, 0)</f>
        <v>7.7820603772465287</v>
      </c>
      <c r="P61" s="474">
        <f>IFERROR(_xlfn.XLOOKUP(P$88, 'GEN-BESS'!$D$110:$BA$110, 'GEN-BESS'!$D$120:$BA$120)*'Assumptions &amp; Inputs'!$F$6, 0)</f>
        <v>7.9377015847914585</v>
      </c>
      <c r="Q61" s="474">
        <f>IFERROR(_xlfn.XLOOKUP(Q$88, 'GEN-BESS'!$D$110:$BA$110, 'GEN-BESS'!$D$120:$BA$120)*'Assumptions &amp; Inputs'!$F$6, 0)</f>
        <v>8.0964556164872885</v>
      </c>
      <c r="R61" s="474">
        <f>IFERROR(_xlfn.XLOOKUP(R$88, 'GEN-BESS'!$D$110:$BA$110, 'GEN-BESS'!$D$120:$BA$120)*'Assumptions &amp; Inputs'!$F$6, 0)</f>
        <v>8.2583847288170347</v>
      </c>
      <c r="S61" s="474">
        <f>IFERROR(_xlfn.XLOOKUP(S$88, 'GEN-BESS'!$D$110:$BA$110, 'GEN-BESS'!$D$120:$BA$120)*'Assumptions &amp; Inputs'!$F$6, 0)</f>
        <v>8.4235524233933763</v>
      </c>
      <c r="T61" s="474">
        <f>IFERROR(_xlfn.XLOOKUP(T$88, 'GEN-BESS'!$D$110:$BA$110, 'GEN-BESS'!$D$120:$BA$120)*'Assumptions &amp; Inputs'!$F$6, 0)</f>
        <v>8.5920234718612392</v>
      </c>
      <c r="U61" s="474">
        <f>IFERROR(_xlfn.XLOOKUP(U$88, 'GEN-BESS'!$D$110:$BA$110, 'GEN-BESS'!$D$120:$BA$120)*'Assumptions &amp; Inputs'!$F$6, 0)</f>
        <v>8.7638639412984656</v>
      </c>
      <c r="V61" s="474">
        <f>IFERROR(_xlfn.XLOOKUP(V$88, 'GEN-BESS'!$D$110:$BA$110, 'GEN-BESS'!$D$120:$BA$120)*'Assumptions &amp; Inputs'!$F$6, 0)</f>
        <v>8.9391412201244371</v>
      </c>
      <c r="W61" s="474">
        <f>IFERROR(_xlfn.XLOOKUP(W$88, 'GEN-BESS'!$D$110:$BA$110, 'GEN-BESS'!$D$120:$BA$120)*'Assumptions &amp; Inputs'!$F$6, 0)</f>
        <v>9.1179240445269247</v>
      </c>
      <c r="X61" s="474">
        <f>IFERROR(_xlfn.XLOOKUP(X$88, 'GEN-BESS'!$D$110:$BA$110, 'GEN-BESS'!$D$120:$BA$120)*'Assumptions &amp; Inputs'!$F$6, 0)</f>
        <v>9.3002825254174635</v>
      </c>
      <c r="Y61" s="474">
        <f>IFERROR(_xlfn.XLOOKUP(Y$88, 'GEN-BESS'!$D$110:$BA$110, 'GEN-BESS'!$D$120:$BA$120)*'Assumptions &amp; Inputs'!$F$6, 0)</f>
        <v>9.4862881759258144</v>
      </c>
      <c r="Z61" s="474">
        <f>IFERROR(_xlfn.XLOOKUP(Z$88, 'GEN-BESS'!$D$110:$BA$110, 'GEN-BESS'!$D$120:$BA$120)*'Assumptions &amp; Inputs'!$F$6, 0)</f>
        <v>9.6760139394443296</v>
      </c>
      <c r="AA61" s="474">
        <f>IFERROR(_xlfn.XLOOKUP(AA$88, 'GEN-BESS'!$D$110:$BA$110, 'GEN-BESS'!$D$120:$BA$120)*'Assumptions &amp; Inputs'!$F$6, 0)</f>
        <v>9.8695342182332162</v>
      </c>
      <c r="AB61" s="474">
        <f>IFERROR(_xlfn.XLOOKUP(AB$88, 'GEN-BESS'!$D$110:$BA$110, 'GEN-BESS'!$D$120:$BA$120)*'Assumptions &amp; Inputs'!$F$6, 0)</f>
        <v>10.066924902597878</v>
      </c>
      <c r="AC61" s="474">
        <f>IFERROR(_xlfn.XLOOKUP(AC$88, 'GEN-BESS'!$D$110:$BA$110, 'GEN-BESS'!$D$120:$BA$120)*'Assumptions &amp; Inputs'!$F$6, 0)</f>
        <v>10.268263400649836</v>
      </c>
      <c r="AD61" s="474">
        <f>IFERROR(_xlfn.XLOOKUP(AD$88, 'GEN-BESS'!$D$110:$BA$110, 'GEN-BESS'!$D$120:$BA$120)*'Assumptions &amp; Inputs'!$F$6, 0)</f>
        <v>10.473628668662833</v>
      </c>
      <c r="AE61" s="474">
        <f>IFERROR(_xlfn.XLOOKUP(AE$88, 'GEN-BESS'!$D$110:$BA$110, 'GEN-BESS'!$D$120:$BA$120)*'Assumptions &amp; Inputs'!$F$6, 0)</f>
        <v>10.683101242036091</v>
      </c>
      <c r="AF61" s="474">
        <f>IFERROR(_xlfn.XLOOKUP(AF$88, 'GEN-BESS'!$D$110:$BA$110, 'GEN-BESS'!$D$120:$BA$120)*'Assumptions &amp; Inputs'!$F$6, 0)</f>
        <v>0</v>
      </c>
      <c r="AG61" s="474">
        <f>IFERROR(_xlfn.XLOOKUP(AG$88, 'GEN-BESS'!$D$110:$BA$110, 'GEN-BESS'!$D$120:$BA$120)*'Assumptions &amp; Inputs'!$F$6, 0)</f>
        <v>0</v>
      </c>
      <c r="AH61" s="474">
        <f>IFERROR(_xlfn.XLOOKUP(AH$88, 'GEN-BESS'!$D$110:$BA$110, 'GEN-BESS'!$D$120:$BA$120)*'Assumptions &amp; Inputs'!$F$6, 0)</f>
        <v>0</v>
      </c>
      <c r="AI61" s="474">
        <f>IFERROR(_xlfn.XLOOKUP(AI$88, 'GEN-BESS'!$D$110:$BA$110, 'GEN-BESS'!$D$120:$BA$120)*'Assumptions &amp; Inputs'!$F$6, 0)</f>
        <v>0</v>
      </c>
      <c r="AJ61" s="474">
        <f>IFERROR(_xlfn.XLOOKUP(AJ$88, 'GEN-BESS'!$D$110:$BA$110, 'GEN-BESS'!$D$120:$BA$120)*'Assumptions &amp; Inputs'!$F$6, 0)</f>
        <v>0</v>
      </c>
      <c r="AK61" s="474">
        <f>IFERROR(_xlfn.XLOOKUP(AK$88, 'GEN-BESS'!$D$110:$BA$110, 'GEN-BESS'!$D$120:$BA$120)*'Assumptions &amp; Inputs'!$F$6, 0)</f>
        <v>0</v>
      </c>
      <c r="AL61" s="474">
        <f>IFERROR(_xlfn.XLOOKUP(AL$88, 'GEN-BESS'!$D$110:$BA$110, 'GEN-BESS'!$D$120:$BA$120)*'Assumptions &amp; Inputs'!$F$6, 0)</f>
        <v>0</v>
      </c>
      <c r="AM61" s="474">
        <f>IFERROR(_xlfn.XLOOKUP(AM$88, 'GEN-BESS'!$D$110:$BA$110, 'GEN-BESS'!$D$120:$BA$120)*'Assumptions &amp; Inputs'!$F$6, 0)</f>
        <v>0</v>
      </c>
      <c r="AN61" s="474">
        <f>IFERROR(_xlfn.XLOOKUP(AN$88, 'GEN-BESS'!$D$110:$BA$110, 'GEN-BESS'!$D$120:$BA$120)*'Assumptions &amp; Inputs'!$F$6, 0)</f>
        <v>0</v>
      </c>
      <c r="AO61" s="474">
        <f>IFERROR(_xlfn.XLOOKUP(AO$88, 'GEN-BESS'!$D$110:$BA$110, 'GEN-BESS'!$D$120:$BA$120)*'Assumptions &amp; Inputs'!$F$6, 0)</f>
        <v>0</v>
      </c>
      <c r="AP61" s="474">
        <f>IFERROR(_xlfn.XLOOKUP(AP$88, 'GEN-BESS'!$D$110:$BA$110, 'GEN-BESS'!$D$120:$BA$120)*'Assumptions &amp; Inputs'!$F$6, 0)</f>
        <v>0</v>
      </c>
      <c r="AQ61" s="474">
        <f>IFERROR(_xlfn.XLOOKUP(AQ$88, 'GEN-BESS'!$D$110:$BA$110, 'GEN-BESS'!$D$120:$BA$120)*'Assumptions &amp; Inputs'!$F$6, 0)</f>
        <v>0</v>
      </c>
      <c r="AR61" s="474">
        <f>IFERROR(_xlfn.XLOOKUP(AR$88, 'GEN-BESS'!$D$110:$BA$110, 'GEN-BESS'!$D$120:$BA$120)*'Assumptions &amp; Inputs'!$F$6, 0)</f>
        <v>0</v>
      </c>
      <c r="AS61" s="474">
        <f>IFERROR(_xlfn.XLOOKUP(AS$88, 'GEN-BESS'!$D$110:$BA$110, 'GEN-BESS'!$D$120:$BA$120)*'Assumptions &amp; Inputs'!$F$6, 0)</f>
        <v>0</v>
      </c>
      <c r="AT61" s="474">
        <f>IFERROR(_xlfn.XLOOKUP(AT$88, 'GEN-BESS'!$D$110:$BA$110, 'GEN-BESS'!$D$120:$BA$120)*'Assumptions &amp; Inputs'!$F$6, 0)</f>
        <v>0</v>
      </c>
      <c r="AU61" s="474">
        <f>IFERROR(_xlfn.XLOOKUP(AU$88, 'GEN-BESS'!$D$110:$BA$110, 'GEN-BESS'!$D$120:$BA$120)*'Assumptions &amp; Inputs'!$F$6, 0)</f>
        <v>0</v>
      </c>
      <c r="AV61" s="474">
        <f>IFERROR(_xlfn.XLOOKUP(AV$88, 'GEN-BESS'!$D$110:$BA$110, 'GEN-BESS'!$D$120:$BA$120)*'Assumptions &amp; Inputs'!$F$6, 0)</f>
        <v>0</v>
      </c>
      <c r="AW61" s="474">
        <f>IFERROR(_xlfn.XLOOKUP(AW$88, 'GEN-BESS'!$D$110:$BA$110, 'GEN-BESS'!$D$120:$BA$120)*'Assumptions &amp; Inputs'!$F$6, 0)</f>
        <v>0</v>
      </c>
      <c r="AX61" s="474">
        <f>IFERROR(_xlfn.XLOOKUP(AX$88, 'GEN-BESS'!$D$110:$BA$110, 'GEN-BESS'!$D$120:$BA$120)*'Assumptions &amp; Inputs'!$F$6, 0)</f>
        <v>0</v>
      </c>
    </row>
    <row r="62" spans="1:50">
      <c r="A62" s="1"/>
      <c r="B62" s="84"/>
      <c r="C62" s="748" t="s">
        <v>373</v>
      </c>
      <c r="D62" s="83"/>
      <c r="E62" s="474">
        <f>IFERROR(_xlfn.XLOOKUP(E$88, 'GEN-CCGT'!$D$110:$BA$110, 'GEN-CCGT'!$D$118:$BA$118)*'Assumptions &amp; Inputs'!$G$6, 0)</f>
        <v>0</v>
      </c>
      <c r="F62" s="474">
        <f>IFERROR(_xlfn.XLOOKUP(F$88, 'GEN-CCGT'!$D$110:$BA$110, 'GEN-CCGT'!$D$118:$BA$118)*'Assumptions &amp; Inputs'!$G$6, 0)</f>
        <v>0</v>
      </c>
      <c r="G62" s="474">
        <f>IFERROR(_xlfn.XLOOKUP(G$88, 'GEN-CCGT'!$D$110:$BA$110, 'GEN-CCGT'!$D$118:$BA$118)*'Assumptions &amp; Inputs'!$G$6, 0)</f>
        <v>0</v>
      </c>
      <c r="H62" s="474">
        <f>IFERROR(_xlfn.XLOOKUP(H$88, 'GEN-CCGT'!$D$110:$BA$110, 'GEN-CCGT'!$D$118:$BA$118)*'Assumptions &amp; Inputs'!$G$6, 0)</f>
        <v>31.642268156927994</v>
      </c>
      <c r="I62" s="474">
        <f>IFERROR(_xlfn.XLOOKUP(I$88, 'GEN-CCGT'!$D$110:$BA$110, 'GEN-CCGT'!$D$118:$BA$118)*'Assumptions &amp; Inputs'!$G$6, 0)</f>
        <v>48.412670280099839</v>
      </c>
      <c r="J62" s="474">
        <f>IFERROR(_xlfn.XLOOKUP(J$88, 'GEN-CCGT'!$D$110:$BA$110, 'GEN-CCGT'!$D$118:$BA$118)*'Assumptions &amp; Inputs'!$G$6, 0)</f>
        <v>49.257471376487594</v>
      </c>
      <c r="K62" s="474">
        <f>IFERROR(_xlfn.XLOOKUP(K$88, 'GEN-CCGT'!$D$110:$BA$110, 'GEN-CCGT'!$D$118:$BA$118)*'Assumptions &amp; Inputs'!$G$6, 0)</f>
        <v>50.117014252007309</v>
      </c>
      <c r="L62" s="474">
        <f>IFERROR(_xlfn.XLOOKUP(L$88, 'GEN-CCGT'!$D$110:$BA$110, 'GEN-CCGT'!$D$118:$BA$118)*'Assumptions &amp; Inputs'!$G$6, 0)</f>
        <v>50.991556150704817</v>
      </c>
      <c r="M62" s="474">
        <f>IFERROR(_xlfn.XLOOKUP(M$88, 'GEN-CCGT'!$D$110:$BA$110, 'GEN-CCGT'!$D$118:$BA$118)*'Assumptions &amp; Inputs'!$G$6, 0)</f>
        <v>51.881358805534624</v>
      </c>
      <c r="N62" s="474">
        <f>IFERROR(_xlfn.XLOOKUP(N$88, 'GEN-CCGT'!$D$110:$BA$110, 'GEN-CCGT'!$D$118:$BA$118)*'Assumptions &amp; Inputs'!$G$6, 0)</f>
        <v>52.786688516691207</v>
      </c>
      <c r="O62" s="474">
        <f>IFERROR(_xlfn.XLOOKUP(O$88, 'GEN-CCGT'!$D$110:$BA$110, 'GEN-CCGT'!$D$118:$BA$118)*'Assumptions &amp; Inputs'!$G$6, 0)</f>
        <v>53.707816231307469</v>
      </c>
      <c r="P62" s="474">
        <f>IFERROR(_xlfn.XLOOKUP(P$88, 'GEN-CCGT'!$D$110:$BA$110, 'GEN-CCGT'!$D$118:$BA$118)*'Assumptions &amp; Inputs'!$G$6, 0)</f>
        <v>54.645017624543776</v>
      </c>
      <c r="Q62" s="474">
        <f>IFERROR(_xlfn.XLOOKUP(Q$88, 'GEN-CCGT'!$D$110:$BA$110, 'GEN-CCGT'!$D$118:$BA$118)*'Assumptions &amp; Inputs'!$G$6, 0)</f>
        <v>55.598573182092075</v>
      </c>
      <c r="R62" s="474">
        <f>IFERROR(_xlfn.XLOOKUP(R$88, 'GEN-CCGT'!$D$110:$BA$110, 'GEN-CCGT'!$D$118:$BA$118)*'Assumptions &amp; Inputs'!$G$6, 0)</f>
        <v>56.568768284119592</v>
      </c>
      <c r="S62" s="474">
        <f>IFERROR(_xlfn.XLOOKUP(S$88, 'GEN-CCGT'!$D$110:$BA$110, 'GEN-CCGT'!$D$118:$BA$118)*'Assumptions &amp; Inputs'!$G$6, 0)</f>
        <v>57.555893290677481</v>
      </c>
      <c r="T62" s="474">
        <f>IFERROR(_xlfn.XLOOKUP(T$88, 'GEN-CCGT'!$D$110:$BA$110, 'GEN-CCGT'!$D$118:$BA$118)*'Assumptions &amp; Inputs'!$G$6, 0)</f>
        <v>58.560243628599785</v>
      </c>
      <c r="U62" s="474">
        <f>IFERROR(_xlfn.XLOOKUP(U$88, 'GEN-CCGT'!$D$110:$BA$110, 'GEN-CCGT'!$D$118:$BA$118)*'Assumptions &amp; Inputs'!$G$6, 0)</f>
        <v>59.582119879918864</v>
      </c>
      <c r="V62" s="474">
        <f>IFERROR(_xlfn.XLOOKUP(V$88, 'GEN-CCGT'!$D$110:$BA$110, 'GEN-CCGT'!$D$118:$BA$118)*'Assumptions &amp; Inputs'!$G$6, 0)</f>
        <v>60.621827871823456</v>
      </c>
      <c r="W62" s="474">
        <f>IFERROR(_xlfn.XLOOKUP(W$88, 'GEN-CCGT'!$D$110:$BA$110, 'GEN-CCGT'!$D$118:$BA$118)*'Assumptions &amp; Inputs'!$G$6, 0)</f>
        <v>61.679678768186776</v>
      </c>
      <c r="X62" s="474">
        <f>IFERROR(_xlfn.XLOOKUP(X$88, 'GEN-CCGT'!$D$110:$BA$110, 'GEN-CCGT'!$D$118:$BA$118)*'Assumptions &amp; Inputs'!$G$6, 0)</f>
        <v>62.755989162691641</v>
      </c>
      <c r="Y62" s="474">
        <f>IFERROR(_xlfn.XLOOKUP(Y$88, 'GEN-CCGT'!$D$110:$BA$110, 'GEN-CCGT'!$D$118:$BA$118)*'Assumptions &amp; Inputs'!$G$6, 0)</f>
        <v>63.851081173580617</v>
      </c>
      <c r="Z62" s="474">
        <f>IFERROR(_xlfn.XLOOKUP(Z$88, 'GEN-CCGT'!$D$110:$BA$110, 'GEN-CCGT'!$D$118:$BA$118)*'Assumptions &amp; Inputs'!$G$6, 0)</f>
        <v>64.96528254005959</v>
      </c>
      <c r="AA62" s="474">
        <f>IFERROR(_xlfn.XLOOKUP(AA$88, 'GEN-CCGT'!$D$110:$BA$110, 'GEN-CCGT'!$D$118:$BA$118)*'Assumptions &amp; Inputs'!$G$6, 0)</f>
        <v>66.098926720383645</v>
      </c>
      <c r="AB62" s="474">
        <f>IFERROR(_xlfn.XLOOKUP(AB$88, 'GEN-CCGT'!$D$110:$BA$110, 'GEN-CCGT'!$D$118:$BA$118)*'Assumptions &amp; Inputs'!$G$6, 0)</f>
        <v>67.25235299165432</v>
      </c>
      <c r="AC62" s="474">
        <f>IFERROR(_xlfn.XLOOKUP(AC$88, 'GEN-CCGT'!$D$110:$BA$110, 'GEN-CCGT'!$D$118:$BA$118)*'Assumptions &amp; Inputs'!$G$6, 0)</f>
        <v>68.425906551358693</v>
      </c>
      <c r="AD62" s="474">
        <f>IFERROR(_xlfn.XLOOKUP(AD$88, 'GEN-CCGT'!$D$110:$BA$110, 'GEN-CCGT'!$D$118:$BA$118)*'Assumptions &amp; Inputs'!$G$6, 0)</f>
        <v>69.619938620679932</v>
      </c>
      <c r="AE62" s="474">
        <f>IFERROR(_xlfn.XLOOKUP(AE$88, 'GEN-CCGT'!$D$110:$BA$110, 'GEN-CCGT'!$D$118:$BA$118)*'Assumptions &amp; Inputs'!$G$6, 0)</f>
        <v>70.834806549610789</v>
      </c>
      <c r="AF62" s="474">
        <f>IFERROR(_xlfn.XLOOKUP(AF$88, 'GEN-CCGT'!$D$110:$BA$110, 'GEN-CCGT'!$D$118:$BA$118)*'Assumptions &amp; Inputs'!$G$6, 0)</f>
        <v>72.070873923901488</v>
      </c>
      <c r="AG62" s="474">
        <f>IFERROR(_xlfn.XLOOKUP(AG$88, 'GEN-CCGT'!$D$110:$BA$110, 'GEN-CCGT'!$D$118:$BA$118)*'Assumptions &amp; Inputs'!$G$6, 0)</f>
        <v>73.328510673873595</v>
      </c>
      <c r="AH62" s="474">
        <f>IFERROR(_xlfn.XLOOKUP(AH$88, 'GEN-CCGT'!$D$110:$BA$110, 'GEN-CCGT'!$D$118:$BA$118)*'Assumptions &amp; Inputs'!$G$6, 0)</f>
        <v>0</v>
      </c>
      <c r="AI62" s="474">
        <f>IFERROR(_xlfn.XLOOKUP(AI$88, 'GEN-CCGT'!$D$110:$BA$110, 'GEN-CCGT'!$D$118:$BA$118)*'Assumptions &amp; Inputs'!$G$6, 0)</f>
        <v>0</v>
      </c>
      <c r="AJ62" s="474">
        <f>IFERROR(_xlfn.XLOOKUP(AJ$88, 'GEN-CCGT'!$D$110:$BA$110, 'GEN-CCGT'!$D$118:$BA$118)*'Assumptions &amp; Inputs'!$G$6, 0)</f>
        <v>0</v>
      </c>
      <c r="AK62" s="474">
        <f>IFERROR(_xlfn.XLOOKUP(AK$88, 'GEN-CCGT'!$D$110:$BA$110, 'GEN-CCGT'!$D$118:$BA$118)*'Assumptions &amp; Inputs'!$G$6, 0)</f>
        <v>0</v>
      </c>
      <c r="AL62" s="474">
        <f>IFERROR(_xlfn.XLOOKUP(AL$88, 'GEN-CCGT'!$D$110:$BA$110, 'GEN-CCGT'!$D$118:$BA$118)*'Assumptions &amp; Inputs'!$G$6, 0)</f>
        <v>0</v>
      </c>
      <c r="AM62" s="474">
        <f>IFERROR(_xlfn.XLOOKUP(AM$88, 'GEN-CCGT'!$D$110:$BA$110, 'GEN-CCGT'!$D$118:$BA$118)*'Assumptions &amp; Inputs'!$G$6, 0)</f>
        <v>0</v>
      </c>
      <c r="AN62" s="474">
        <f>IFERROR(_xlfn.XLOOKUP(AN$88, 'GEN-CCGT'!$D$110:$BA$110, 'GEN-CCGT'!$D$118:$BA$118)*'Assumptions &amp; Inputs'!$G$6, 0)</f>
        <v>0</v>
      </c>
      <c r="AO62" s="474">
        <f>IFERROR(_xlfn.XLOOKUP(AO$88, 'GEN-CCGT'!$D$110:$BA$110, 'GEN-CCGT'!$D$118:$BA$118)*'Assumptions &amp; Inputs'!$G$6, 0)</f>
        <v>0</v>
      </c>
      <c r="AP62" s="474">
        <f>IFERROR(_xlfn.XLOOKUP(AP$88, 'GEN-CCGT'!$D$110:$BA$110, 'GEN-CCGT'!$D$118:$BA$118)*'Assumptions &amp; Inputs'!$G$6, 0)</f>
        <v>0</v>
      </c>
      <c r="AQ62" s="474">
        <f>IFERROR(_xlfn.XLOOKUP(AQ$88, 'GEN-CCGT'!$D$110:$BA$110, 'GEN-CCGT'!$D$118:$BA$118)*'Assumptions &amp; Inputs'!$G$6, 0)</f>
        <v>0</v>
      </c>
      <c r="AR62" s="474">
        <f>IFERROR(_xlfn.XLOOKUP(AR$88, 'GEN-CCGT'!$D$110:$BA$110, 'GEN-CCGT'!$D$118:$BA$118)*'Assumptions &amp; Inputs'!$G$6, 0)</f>
        <v>0</v>
      </c>
      <c r="AS62" s="474">
        <f>IFERROR(_xlfn.XLOOKUP(AS$88, 'GEN-CCGT'!$D$110:$BA$110, 'GEN-CCGT'!$D$118:$BA$118)*'Assumptions &amp; Inputs'!$G$6, 0)</f>
        <v>0</v>
      </c>
      <c r="AT62" s="474">
        <f>IFERROR(_xlfn.XLOOKUP(AT$88, 'GEN-CCGT'!$D$110:$BA$110, 'GEN-CCGT'!$D$118:$BA$118)*'Assumptions &amp; Inputs'!$G$6, 0)</f>
        <v>0</v>
      </c>
      <c r="AU62" s="474">
        <f>IFERROR(_xlfn.XLOOKUP(AU$88, 'GEN-CCGT'!$D$110:$BA$110, 'GEN-CCGT'!$D$118:$BA$118)*'Assumptions &amp; Inputs'!$G$6, 0)</f>
        <v>0</v>
      </c>
      <c r="AV62" s="474">
        <f>IFERROR(_xlfn.XLOOKUP(AV$88, 'GEN-CCGT'!$D$110:$BA$110, 'GEN-CCGT'!$D$118:$BA$118)*'Assumptions &amp; Inputs'!$G$6, 0)</f>
        <v>0</v>
      </c>
      <c r="AW62" s="474">
        <f>IFERROR(_xlfn.XLOOKUP(AW$88, 'GEN-CCGT'!$D$110:$BA$110, 'GEN-CCGT'!$D$118:$BA$118)*'Assumptions &amp; Inputs'!$G$6, 0)</f>
        <v>0</v>
      </c>
      <c r="AX62" s="474">
        <f>IFERROR(_xlfn.XLOOKUP(AX$88, 'GEN-CCGT'!$D$110:$BA$110, 'GEN-CCGT'!$D$118:$BA$118)*'Assumptions &amp; Inputs'!$G$6, 0)</f>
        <v>0</v>
      </c>
    </row>
    <row r="63" spans="1:50">
      <c r="A63" s="1"/>
      <c r="B63" s="84"/>
      <c r="C63" s="748" t="s">
        <v>374</v>
      </c>
      <c r="D63" s="83"/>
      <c r="E63" s="469">
        <f>IFERROR(_xlfn.XLOOKUP(E$88, 'GEN-CARBON'!$D$110:$BA$110, 'GEN-CARBON'!$D$118:$BA$118)*'Assumptions &amp; Inputs'!$I$6, 0)</f>
        <v>0</v>
      </c>
      <c r="F63" s="469">
        <f>IFERROR(_xlfn.XLOOKUP(F$88, 'GEN-CARBON'!$D$110:$BA$110, 'GEN-CARBON'!$D$118:$BA$118)*'Assumptions &amp; Inputs'!$I$6, 0)</f>
        <v>0</v>
      </c>
      <c r="G63" s="469">
        <f>IFERROR(_xlfn.XLOOKUP(G$88, 'GEN-CARBON'!$D$110:$BA$110, 'GEN-CARBON'!$D$118:$BA$118)*'Assumptions &amp; Inputs'!$I$6, 0)</f>
        <v>0</v>
      </c>
      <c r="H63" s="469">
        <f>IFERROR(_xlfn.XLOOKUP(H$88, 'GEN-CARBON'!$D$110:$BA$110, 'GEN-CARBON'!$D$118:$BA$118)*'Assumptions &amp; Inputs'!$I$6, 0)</f>
        <v>0</v>
      </c>
      <c r="I63" s="469">
        <f>IFERROR(_xlfn.XLOOKUP(I$88, 'GEN-CARBON'!$D$110:$BA$110, 'GEN-CARBON'!$D$118:$BA$118)*'Assumptions &amp; Inputs'!$I$6, 0)</f>
        <v>43.233959788911356</v>
      </c>
      <c r="J63" s="469">
        <f>IFERROR(_xlfn.XLOOKUP(J$88, 'GEN-CARBON'!$D$110:$BA$110, 'GEN-CARBON'!$D$118:$BA$118)*'Assumptions &amp; Inputs'!$I$6, 0)</f>
        <v>52.742558254113796</v>
      </c>
      <c r="K63" s="469">
        <f>IFERROR(_xlfn.XLOOKUP(K$88, 'GEN-CARBON'!$D$110:$BA$110, 'GEN-CARBON'!$D$118:$BA$118)*'Assumptions &amp; Inputs'!$I$6, 0)</f>
        <v>53.662915895648084</v>
      </c>
      <c r="L63" s="469">
        <f>IFERROR(_xlfn.XLOOKUP(L$88, 'GEN-CARBON'!$D$110:$BA$110, 'GEN-CARBON'!$D$118:$BA$118)*'Assumptions &amp; Inputs'!$I$6, 0)</f>
        <v>54.599333778027137</v>
      </c>
      <c r="M63" s="469">
        <f>IFERROR(_xlfn.XLOOKUP(M$88, 'GEN-CARBON'!$D$110:$BA$110, 'GEN-CARBON'!$D$118:$BA$118)*'Assumptions &amp; Inputs'!$I$6, 0)</f>
        <v>55.552092152453717</v>
      </c>
      <c r="N63" s="469">
        <f>IFERROR(_xlfn.XLOOKUP(N$88, 'GEN-CARBON'!$D$110:$BA$110, 'GEN-CARBON'!$D$118:$BA$118)*'Assumptions &amp; Inputs'!$I$6, 0)</f>
        <v>56.521476160514034</v>
      </c>
      <c r="O63" s="469">
        <f>IFERROR(_xlfn.XLOOKUP(O$88, 'GEN-CARBON'!$D$110:$BA$110, 'GEN-CARBON'!$D$118:$BA$118)*'Assumptions &amp; Inputs'!$I$6, 0)</f>
        <v>57.507775919515012</v>
      </c>
      <c r="P63" s="469">
        <f>IFERROR(_xlfn.XLOOKUP(P$88, 'GEN-CARBON'!$D$110:$BA$110, 'GEN-CARBON'!$D$118:$BA$118)*'Assumptions &amp; Inputs'!$I$6, 0)</f>
        <v>58.511286609310538</v>
      </c>
      <c r="Q63" s="469">
        <f>IFERROR(_xlfn.XLOOKUP(Q$88, 'GEN-CARBON'!$D$110:$BA$110, 'GEN-CARBON'!$D$118:$BA$118)*'Assumptions &amp; Inputs'!$I$6, 0)</f>
        <v>59.532308560643024</v>
      </c>
      <c r="R63" s="469">
        <f>IFERROR(_xlfn.XLOOKUP(R$88, 'GEN-CARBON'!$D$110:$BA$110, 'GEN-CARBON'!$D$118:$BA$118)*'Assumptions &amp; Inputs'!$I$6, 0)</f>
        <v>60.57114734502624</v>
      </c>
      <c r="S63" s="469">
        <f>IFERROR(_xlfn.XLOOKUP(S$88, 'GEN-CARBON'!$D$110:$BA$110, 'GEN-CARBON'!$D$118:$BA$118)*'Assumptions &amp; Inputs'!$I$6, 0)</f>
        <v>61.628113866196955</v>
      </c>
      <c r="T63" s="469">
        <f>IFERROR(_xlfn.XLOOKUP(T$88, 'GEN-CARBON'!$D$110:$BA$110, 'GEN-CARBON'!$D$118:$BA$118)*'Assumptions &amp; Inputs'!$I$6, 0)</f>
        <v>62.703524453162075</v>
      </c>
      <c r="U63" s="469">
        <f>IFERROR(_xlfn.XLOOKUP(U$88, 'GEN-CARBON'!$D$110:$BA$110, 'GEN-CARBON'!$D$118:$BA$118)*'Assumptions &amp; Inputs'!$I$6, 0)</f>
        <v>63.797700954869761</v>
      </c>
      <c r="V63" s="469">
        <f>IFERROR(_xlfn.XLOOKUP(V$88, 'GEN-CARBON'!$D$110:$BA$110, 'GEN-CARBON'!$D$118:$BA$118)*'Assumptions &amp; Inputs'!$I$6, 0)</f>
        <v>64.910970836532243</v>
      </c>
      <c r="W63" s="469">
        <f>IFERROR(_xlfn.XLOOKUP(W$88, 'GEN-CARBON'!$D$110:$BA$110, 'GEN-CARBON'!$D$118:$BA$118)*'Assumptions &amp; Inputs'!$I$6, 0)</f>
        <v>66.043667277629737</v>
      </c>
      <c r="X63" s="469">
        <f>IFERROR(_xlfn.XLOOKUP(X$88, 'GEN-CARBON'!$D$110:$BA$110, 'GEN-CARBON'!$D$118:$BA$118)*'Assumptions &amp; Inputs'!$I$6, 0)</f>
        <v>67.196129271624386</v>
      </c>
      <c r="Y63" s="469">
        <f>IFERROR(_xlfn.XLOOKUP(Y$88, 'GEN-CARBON'!$D$110:$BA$110, 'GEN-CARBON'!$D$118:$BA$118)*'Assumptions &amp; Inputs'!$I$6, 0)</f>
        <v>68.368701727414233</v>
      </c>
      <c r="Z63" s="469">
        <f>IFERROR(_xlfn.XLOOKUP(Z$88, 'GEN-CARBON'!$D$110:$BA$110, 'GEN-CARBON'!$D$118:$BA$118)*'Assumptions &amp; Inputs'!$I$6, 0)</f>
        <v>69.561735572557609</v>
      </c>
      <c r="AA63" s="469">
        <f>IFERROR(_xlfn.XLOOKUP(AA$88, 'GEN-CARBON'!$D$110:$BA$110, 'GEN-CARBON'!$D$118:$BA$118)*'Assumptions &amp; Inputs'!$I$6, 0)</f>
        <v>70.775587858298763</v>
      </c>
      <c r="AB63" s="469">
        <f>IFERROR(_xlfn.XLOOKUP(AB$88, 'GEN-CARBON'!$D$110:$BA$110, 'GEN-CARBON'!$D$118:$BA$118)*'Assumptions &amp; Inputs'!$I$6, 0)</f>
        <v>72.01062186642605</v>
      </c>
      <c r="AC63" s="469">
        <f>IFERROR(_xlfn.XLOOKUP(AC$88, 'GEN-CARBON'!$D$110:$BA$110, 'GEN-CARBON'!$D$118:$BA$118)*'Assumptions &amp; Inputs'!$I$6, 0)</f>
        <v>73.267207217995178</v>
      </c>
      <c r="AD63" s="469">
        <f>IFERROR(_xlfn.XLOOKUP(AD$88, 'GEN-CARBON'!$D$110:$BA$110, 'GEN-CARBON'!$D$118:$BA$118)*'Assumptions &amp; Inputs'!$I$6, 0)</f>
        <v>74.545719983949212</v>
      </c>
      <c r="AE63" s="469">
        <f>IFERROR(_xlfn.XLOOKUP(AE$88, 'GEN-CARBON'!$D$110:$BA$110, 'GEN-CARBON'!$D$118:$BA$118)*'Assumptions &amp; Inputs'!$I$6, 0)</f>
        <v>75.846542797669144</v>
      </c>
      <c r="AF63" s="469">
        <f>IFERROR(_xlfn.XLOOKUP(AF$88, 'GEN-CARBON'!$D$110:$BA$110, 'GEN-CARBON'!$D$118:$BA$118)*'Assumptions &amp; Inputs'!$I$6, 0)</f>
        <v>77.17006496948845</v>
      </c>
      <c r="AG63" s="469">
        <f>IFERROR(_xlfn.XLOOKUP(AG$88, 'GEN-CARBON'!$D$110:$BA$110, 'GEN-CARBON'!$D$118:$BA$118)*'Assumptions &amp; Inputs'!$I$6, 0)</f>
        <v>78.51668260320605</v>
      </c>
      <c r="AH63" s="469">
        <f>IFERROR(_xlfn.XLOOKUP(AH$88, 'GEN-CARBON'!$D$110:$BA$110, 'GEN-CARBON'!$D$118:$BA$118)*'Assumptions &amp; Inputs'!$I$6, 0)</f>
        <v>79.886798714631979</v>
      </c>
      <c r="AI63" s="469">
        <f>IFERROR(_xlfn.XLOOKUP(AI$88, 'GEN-CARBON'!$D$110:$BA$110, 'GEN-CARBON'!$D$118:$BA$118)*'Assumptions &amp; Inputs'!$I$6, 0)</f>
        <v>0</v>
      </c>
      <c r="AJ63" s="469">
        <f>IFERROR(_xlfn.XLOOKUP(AJ$88, 'GEN-CARBON'!$D$110:$BA$110, 'GEN-CARBON'!$D$118:$BA$118)*'Assumptions &amp; Inputs'!$I$6, 0)</f>
        <v>0</v>
      </c>
      <c r="AK63" s="469">
        <f>IFERROR(_xlfn.XLOOKUP(AK$88, 'GEN-CARBON'!$D$110:$BA$110, 'GEN-CARBON'!$D$118:$BA$118)*'Assumptions &amp; Inputs'!$I$6, 0)</f>
        <v>0</v>
      </c>
      <c r="AL63" s="469">
        <f>IFERROR(_xlfn.XLOOKUP(AL$88, 'GEN-CARBON'!$D$110:$BA$110, 'GEN-CARBON'!$D$118:$BA$118)*'Assumptions &amp; Inputs'!$I$6, 0)</f>
        <v>0</v>
      </c>
      <c r="AM63" s="469">
        <f>IFERROR(_xlfn.XLOOKUP(AM$88, 'GEN-CARBON'!$D$110:$BA$110, 'GEN-CARBON'!$D$118:$BA$118)*'Assumptions &amp; Inputs'!$I$6, 0)</f>
        <v>0</v>
      </c>
      <c r="AN63" s="469">
        <f>IFERROR(_xlfn.XLOOKUP(AN$88, 'GEN-CARBON'!$D$110:$BA$110, 'GEN-CARBON'!$D$118:$BA$118)*'Assumptions &amp; Inputs'!$I$6, 0)</f>
        <v>0</v>
      </c>
      <c r="AO63" s="469">
        <f>IFERROR(_xlfn.XLOOKUP(AO$88, 'GEN-CARBON'!$D$110:$BA$110, 'GEN-CARBON'!$D$118:$BA$118)*'Assumptions &amp; Inputs'!$I$6, 0)</f>
        <v>0</v>
      </c>
      <c r="AP63" s="469">
        <f>IFERROR(_xlfn.XLOOKUP(AP$88, 'GEN-CARBON'!$D$110:$BA$110, 'GEN-CARBON'!$D$118:$BA$118)*'Assumptions &amp; Inputs'!$I$6, 0)</f>
        <v>0</v>
      </c>
      <c r="AQ63" s="469">
        <f>IFERROR(_xlfn.XLOOKUP(AQ$88, 'GEN-CARBON'!$D$110:$BA$110, 'GEN-CARBON'!$D$118:$BA$118)*'Assumptions &amp; Inputs'!$I$6, 0)</f>
        <v>0</v>
      </c>
      <c r="AR63" s="469">
        <f>IFERROR(_xlfn.XLOOKUP(AR$88, 'GEN-CARBON'!$D$110:$BA$110, 'GEN-CARBON'!$D$118:$BA$118)*'Assumptions &amp; Inputs'!$I$6, 0)</f>
        <v>0</v>
      </c>
      <c r="AS63" s="469">
        <f>IFERROR(_xlfn.XLOOKUP(AS$88, 'GEN-CARBON'!$D$110:$BA$110, 'GEN-CARBON'!$D$118:$BA$118)*'Assumptions &amp; Inputs'!$I$6, 0)</f>
        <v>0</v>
      </c>
      <c r="AT63" s="469">
        <f>IFERROR(_xlfn.XLOOKUP(AT$88, 'GEN-CARBON'!$D$110:$BA$110, 'GEN-CARBON'!$D$118:$BA$118)*'Assumptions &amp; Inputs'!$I$6, 0)</f>
        <v>0</v>
      </c>
      <c r="AU63" s="469">
        <f>IFERROR(_xlfn.XLOOKUP(AU$88, 'GEN-CARBON'!$D$110:$BA$110, 'GEN-CARBON'!$D$118:$BA$118)*'Assumptions &amp; Inputs'!$I$6, 0)</f>
        <v>0</v>
      </c>
      <c r="AV63" s="469">
        <f>IFERROR(_xlfn.XLOOKUP(AV$88, 'GEN-CARBON'!$D$110:$BA$110, 'GEN-CARBON'!$D$118:$BA$118)*'Assumptions &amp; Inputs'!$I$6, 0)</f>
        <v>0</v>
      </c>
      <c r="AW63" s="469">
        <f>IFERROR(_xlfn.XLOOKUP(AW$88, 'GEN-CARBON'!$D$110:$BA$110, 'GEN-CARBON'!$D$118:$BA$118)*'Assumptions &amp; Inputs'!$I$6, 0)</f>
        <v>0</v>
      </c>
      <c r="AX63" s="469">
        <f>IFERROR(_xlfn.XLOOKUP(AX$88, 'GEN-CARBON'!$D$110:$BA$110, 'GEN-CARBON'!$D$118:$BA$118)*'Assumptions &amp; Inputs'!$I$6, 0)</f>
        <v>0</v>
      </c>
    </row>
    <row r="64" spans="1:50" ht="14.25" customHeight="1">
      <c r="A64" s="1"/>
      <c r="B64" s="84"/>
      <c r="C64" s="748"/>
      <c r="D64" s="83"/>
      <c r="E64" s="471"/>
      <c r="F64" s="471"/>
      <c r="G64" s="471"/>
      <c r="H64" s="471"/>
      <c r="I64" s="471"/>
      <c r="J64" s="471"/>
      <c r="K64" s="471"/>
      <c r="L64" s="471"/>
      <c r="M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  <c r="Y64" s="471"/>
      <c r="Z64" s="471"/>
      <c r="AA64" s="471"/>
      <c r="AB64" s="471"/>
      <c r="AC64" s="471"/>
      <c r="AD64" s="471"/>
      <c r="AE64" s="471"/>
      <c r="AF64" s="471"/>
      <c r="AG64" s="471"/>
      <c r="AH64" s="471"/>
      <c r="AI64" s="471"/>
      <c r="AJ64" s="471"/>
      <c r="AK64" s="471"/>
      <c r="AL64" s="471"/>
      <c r="AM64" s="471"/>
      <c r="AN64" s="471"/>
      <c r="AO64" s="471"/>
      <c r="AP64" s="471"/>
      <c r="AQ64" s="471"/>
      <c r="AR64" s="471"/>
      <c r="AS64" s="471"/>
      <c r="AT64" s="471"/>
      <c r="AU64" s="471"/>
      <c r="AV64" s="471"/>
      <c r="AW64" s="471"/>
      <c r="AX64" s="471"/>
    </row>
    <row r="65" spans="1:50" ht="14.25" customHeight="1">
      <c r="A65" s="1"/>
      <c r="B65" s="84"/>
      <c r="C65" s="309" t="s">
        <v>375</v>
      </c>
      <c r="D65" s="83"/>
      <c r="E65" s="471"/>
      <c r="F65" s="471"/>
      <c r="G65" s="471"/>
      <c r="H65" s="471"/>
      <c r="I65" s="471"/>
      <c r="J65" s="471"/>
      <c r="K65" s="471"/>
      <c r="L65" s="471"/>
      <c r="M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  <c r="Y65" s="471"/>
      <c r="Z65" s="471"/>
      <c r="AA65" s="471"/>
      <c r="AB65" s="471"/>
      <c r="AC65" s="471"/>
      <c r="AD65" s="471"/>
      <c r="AE65" s="471"/>
      <c r="AF65" s="471"/>
      <c r="AG65" s="471"/>
      <c r="AH65" s="471"/>
      <c r="AI65" s="471"/>
      <c r="AJ65" s="471"/>
      <c r="AK65" s="471"/>
      <c r="AL65" s="471"/>
      <c r="AM65" s="471"/>
      <c r="AN65" s="471"/>
      <c r="AO65" s="471"/>
      <c r="AP65" s="471"/>
      <c r="AQ65" s="471"/>
      <c r="AR65" s="471"/>
      <c r="AS65" s="471"/>
      <c r="AT65" s="471"/>
      <c r="AU65" s="471"/>
      <c r="AV65" s="471"/>
      <c r="AW65" s="471"/>
      <c r="AX65" s="471"/>
    </row>
    <row r="66" spans="1:50" ht="14.25" customHeight="1">
      <c r="A66" s="1"/>
      <c r="B66" s="84"/>
      <c r="C66" s="748" t="s">
        <v>371</v>
      </c>
      <c r="D66" s="83"/>
      <c r="E66" s="474">
        <f>IFERROR(-_xlfn.XLOOKUP(E$88, 'GEN-SOLAR'!$D$110:$BA$110, 'GEN-SOLAR'!$D$122:$BA$122)*'Assumptions &amp; Inputs'!$H$6, 0)</f>
        <v>0</v>
      </c>
      <c r="F66" s="474">
        <f>IFERROR(-_xlfn.XLOOKUP(F$88, 'GEN-SOLAR'!$D$110:$BA$110, 'GEN-SOLAR'!$D$122:$BA$122)*'Assumptions &amp; Inputs'!$H$6, 0)</f>
        <v>-1.2316625830346446</v>
      </c>
      <c r="G66" s="474">
        <f>IFERROR(-_xlfn.XLOOKUP(G$88, 'GEN-SOLAR'!$D$110:$BA$110, 'GEN-SOLAR'!$D$122:$BA$122)*'Assumptions &amp; Inputs'!$H$6, 0)</f>
        <v>-1.2686124605256839</v>
      </c>
      <c r="H66" s="474">
        <f>IFERROR(-_xlfn.XLOOKUP(H$88, 'GEN-SOLAR'!$D$110:$BA$110, 'GEN-SOLAR'!$D$122:$BA$122)*'Assumptions &amp; Inputs'!$H$6, 0)</f>
        <v>-1.3066708343414546</v>
      </c>
      <c r="I66" s="474">
        <f>IFERROR(-_xlfn.XLOOKUP(I$88, 'GEN-SOLAR'!$D$110:$BA$110, 'GEN-SOLAR'!$D$122:$BA$122)*'Assumptions &amp; Inputs'!$H$6, 0)</f>
        <v>-1.3458709593716982</v>
      </c>
      <c r="J66" s="474">
        <f>IFERROR(-_xlfn.XLOOKUP(J$88, 'GEN-SOLAR'!$D$110:$BA$110, 'GEN-SOLAR'!$D$122:$BA$122)*'Assumptions &amp; Inputs'!$H$6, 0)</f>
        <v>-1.386247088152849</v>
      </c>
      <c r="K66" s="474">
        <f>IFERROR(-_xlfn.XLOOKUP(K$88, 'GEN-SOLAR'!$D$110:$BA$110, 'GEN-SOLAR'!$D$122:$BA$122)*'Assumptions &amp; Inputs'!$H$6, 0)</f>
        <v>-1.4278345007974347</v>
      </c>
      <c r="L66" s="474">
        <f>IFERROR(-_xlfn.XLOOKUP(L$88, 'GEN-SOLAR'!$D$110:$BA$110, 'GEN-SOLAR'!$D$122:$BA$122)*'Assumptions &amp; Inputs'!$H$6, 0)</f>
        <v>-1.470669535821358</v>
      </c>
      <c r="M66" s="474">
        <f>IFERROR(-_xlfn.XLOOKUP(M$88, 'GEN-SOLAR'!$D$110:$BA$110, 'GEN-SOLAR'!$D$122:$BA$122)*'Assumptions &amp; Inputs'!$H$6, 0)</f>
        <v>-1.5147896218959986</v>
      </c>
      <c r="N66" s="474">
        <f>IFERROR(-_xlfn.XLOOKUP(N$88, 'GEN-SOLAR'!$D$110:$BA$110, 'GEN-SOLAR'!$D$122:$BA$122)*'Assumptions &amp; Inputs'!$H$6, 0)</f>
        <v>-1.5602333105528785</v>
      </c>
      <c r="O66" s="474">
        <f>IFERROR(-_xlfn.XLOOKUP(O$88, 'GEN-SOLAR'!$D$110:$BA$110, 'GEN-SOLAR'!$D$122:$BA$122)*'Assumptions &amp; Inputs'!$H$6, 0)</f>
        <v>-1.6070403098694652</v>
      </c>
      <c r="P66" s="474">
        <f>IFERROR(-_xlfn.XLOOKUP(P$88, 'GEN-SOLAR'!$D$110:$BA$110, 'GEN-SOLAR'!$D$122:$BA$122)*'Assumptions &amp; Inputs'!$H$6, 0)</f>
        <v>-1.655251519165549</v>
      </c>
      <c r="Q66" s="474">
        <f>IFERROR(-_xlfn.XLOOKUP(Q$88, 'GEN-SOLAR'!$D$110:$BA$110, 'GEN-SOLAR'!$D$122:$BA$122)*'Assumptions &amp; Inputs'!$H$6, 0)</f>
        <v>-1.7049090647405156</v>
      </c>
      <c r="R66" s="474">
        <f>IFERROR(-_xlfn.XLOOKUP(R$88, 'GEN-SOLAR'!$D$110:$BA$110, 'GEN-SOLAR'!$D$122:$BA$122)*'Assumptions &amp; Inputs'!$H$6, 0)</f>
        <v>-1.7560563366827309</v>
      </c>
      <c r="S66" s="474">
        <f>IFERROR(-_xlfn.XLOOKUP(S$88, 'GEN-SOLAR'!$D$110:$BA$110, 'GEN-SOLAR'!$D$122:$BA$122)*'Assumptions &amp; Inputs'!$H$6, 0)</f>
        <v>-1.8087380267832129</v>
      </c>
      <c r="T66" s="474">
        <f>IFERROR(-_xlfn.XLOOKUP(T$88, 'GEN-SOLAR'!$D$110:$BA$110, 'GEN-SOLAR'!$D$122:$BA$122)*'Assumptions &amp; Inputs'!$H$6, 0)</f>
        <v>-1.8630001675867096</v>
      </c>
      <c r="U66" s="474">
        <f>IFERROR(-_xlfn.XLOOKUP(U$88, 'GEN-SOLAR'!$D$110:$BA$110, 'GEN-SOLAR'!$D$122:$BA$122)*'Assumptions &amp; Inputs'!$H$6, 0)</f>
        <v>-1.9188901726143106</v>
      </c>
      <c r="V66" s="474">
        <f>IFERROR(-_xlfn.XLOOKUP(V$88, 'GEN-SOLAR'!$D$110:$BA$110, 'GEN-SOLAR'!$D$122:$BA$122)*'Assumptions &amp; Inputs'!$H$6, 0)</f>
        <v>-1.9764568777927403</v>
      </c>
      <c r="W66" s="474">
        <f>IFERROR(-_xlfn.XLOOKUP(W$88, 'GEN-SOLAR'!$D$110:$BA$110, 'GEN-SOLAR'!$D$122:$BA$122)*'Assumptions &amp; Inputs'!$H$6, 0)</f>
        <v>-2.035750584126522</v>
      </c>
      <c r="X66" s="474">
        <f>IFERROR(-_xlfn.XLOOKUP(X$88, 'GEN-SOLAR'!$D$110:$BA$110, 'GEN-SOLAR'!$D$122:$BA$122)*'Assumptions &amp; Inputs'!$H$6, 0)</f>
        <v>-2.096823101650318</v>
      </c>
      <c r="Y66" s="474">
        <f>IFERROR(-_xlfn.XLOOKUP(Y$88, 'GEN-SOLAR'!$D$110:$BA$110, 'GEN-SOLAR'!$D$122:$BA$122)*'Assumptions &amp; Inputs'!$H$6, 0)</f>
        <v>-2.1597277946998275</v>
      </c>
      <c r="Z66" s="474">
        <f>IFERROR(-_xlfn.XLOOKUP(Z$88, 'GEN-SOLAR'!$D$110:$BA$110, 'GEN-SOLAR'!$D$122:$BA$122)*'Assumptions &amp; Inputs'!$H$6, 0)</f>
        <v>-2.2245196285408224</v>
      </c>
      <c r="AA66" s="474">
        <f>IFERROR(-_xlfn.XLOOKUP(AA$88, 'GEN-SOLAR'!$D$110:$BA$110, 'GEN-SOLAR'!$D$122:$BA$122)*'Assumptions &amp; Inputs'!$H$6, 0)</f>
        <v>-2.2912552173970471</v>
      </c>
      <c r="AB66" s="474">
        <f>IFERROR(-_xlfn.XLOOKUP(AB$88, 'GEN-SOLAR'!$D$110:$BA$110, 'GEN-SOLAR'!$D$122:$BA$122)*'Assumptions &amp; Inputs'!$H$6, 0)</f>
        <v>-2.3599928739189586</v>
      </c>
      <c r="AC66" s="474">
        <f>IFERROR(-_xlfn.XLOOKUP(AC$88, 'GEN-SOLAR'!$D$110:$BA$110, 'GEN-SOLAR'!$D$122:$BA$122)*'Assumptions &amp; Inputs'!$H$6, 0)</f>
        <v>-2.4307926601365275</v>
      </c>
      <c r="AD66" s="474">
        <f>IFERROR(-_xlfn.XLOOKUP(AD$88, 'GEN-SOLAR'!$D$110:$BA$110, 'GEN-SOLAR'!$D$122:$BA$122)*'Assumptions &amp; Inputs'!$H$6, 0)</f>
        <v>-2.5037164399406233</v>
      </c>
      <c r="AE66" s="474">
        <f>IFERROR(-_xlfn.XLOOKUP(AE$88, 'GEN-SOLAR'!$D$110:$BA$110, 'GEN-SOLAR'!$D$122:$BA$122)*'Assumptions &amp; Inputs'!$H$6, 0)</f>
        <v>-2.5788279331388426</v>
      </c>
      <c r="AF66" s="474">
        <f>IFERROR(-_xlfn.XLOOKUP(AF$88, 'GEN-SOLAR'!$D$110:$BA$110, 'GEN-SOLAR'!$D$122:$BA$122)*'Assumptions &amp; Inputs'!$H$6, 0)</f>
        <v>-2.1249525169443927E-6</v>
      </c>
      <c r="AG66" s="474">
        <f>IFERROR(-_xlfn.XLOOKUP(AG$88, 'GEN-SOLAR'!$D$110:$BA$110, 'GEN-SOLAR'!$D$122:$BA$122)*'Assumptions &amp; Inputs'!$H$6, 0)</f>
        <v>-2.1887010924527248E-6</v>
      </c>
      <c r="AH66" s="474">
        <f>IFERROR(-_xlfn.XLOOKUP(AH$88, 'GEN-SOLAR'!$D$110:$BA$110, 'GEN-SOLAR'!$D$122:$BA$122)*'Assumptions &amp; Inputs'!$H$6, 0)</f>
        <v>-2.2543621252263061E-6</v>
      </c>
      <c r="AI66" s="474">
        <f>IFERROR(-_xlfn.XLOOKUP(AI$88, 'GEN-SOLAR'!$D$110:$BA$110, 'GEN-SOLAR'!$D$122:$BA$122)*'Assumptions &amp; Inputs'!$H$6, 0)</f>
        <v>-2.3219929889830952E-6</v>
      </c>
      <c r="AJ66" s="474">
        <f>IFERROR(-_xlfn.XLOOKUP(AJ$88, 'GEN-SOLAR'!$D$110:$BA$110, 'GEN-SOLAR'!$D$122:$BA$122)*'Assumptions &amp; Inputs'!$H$6, 0)</f>
        <v>-2.3916527786525884E-6</v>
      </c>
      <c r="AK66" s="474">
        <f>IFERROR(-_xlfn.XLOOKUP(AK$88, 'GEN-SOLAR'!$D$110:$BA$110, 'GEN-SOLAR'!$D$122:$BA$122)*'Assumptions &amp; Inputs'!$H$6, 0)</f>
        <v>-2.4634023620121658E-6</v>
      </c>
      <c r="AL66" s="474">
        <f>IFERROR(-_xlfn.XLOOKUP(AL$88, 'GEN-SOLAR'!$D$110:$BA$110, 'GEN-SOLAR'!$D$122:$BA$122)*'Assumptions &amp; Inputs'!$H$6, 0)</f>
        <v>-2.537304432872531E-6</v>
      </c>
      <c r="AM66" s="474">
        <f>IFERROR(-_xlfn.XLOOKUP(AM$88, 'GEN-SOLAR'!$D$110:$BA$110, 'GEN-SOLAR'!$D$122:$BA$122)*'Assumptions &amp; Inputs'!$H$6, 0)</f>
        <v>-2.6134235658587073E-6</v>
      </c>
      <c r="AN66" s="474">
        <f>IFERROR(-_xlfn.XLOOKUP(AN$88, 'GEN-SOLAR'!$D$110:$BA$110, 'GEN-SOLAR'!$D$122:$BA$122)*'Assumptions &amp; Inputs'!$H$6, 0)</f>
        <v>-2.6918262728344683E-6</v>
      </c>
      <c r="AO66" s="474">
        <f>IFERROR(-_xlfn.XLOOKUP(AO$88, 'GEN-SOLAR'!$D$110:$BA$110, 'GEN-SOLAR'!$D$122:$BA$122)*'Assumptions &amp; Inputs'!$H$6, 0)</f>
        <v>-2.7725810610195027E-6</v>
      </c>
      <c r="AP66" s="474">
        <f>IFERROR(-_xlfn.XLOOKUP(AP$88, 'GEN-SOLAR'!$D$110:$BA$110, 'GEN-SOLAR'!$D$122:$BA$122)*'Assumptions &amp; Inputs'!$H$6, 0)</f>
        <v>-2.8557584928500874E-6</v>
      </c>
      <c r="AQ66" s="474">
        <f>IFERROR(-_xlfn.XLOOKUP(AQ$88, 'GEN-SOLAR'!$D$110:$BA$110, 'GEN-SOLAR'!$D$122:$BA$122)*'Assumptions &amp; Inputs'!$H$6, 0)</f>
        <v>-2.9414312476355905E-6</v>
      </c>
      <c r="AR66" s="474">
        <f>IFERROR(-_xlfn.XLOOKUP(AR$88, 'GEN-SOLAR'!$D$110:$BA$110, 'GEN-SOLAR'!$D$122:$BA$122)*'Assumptions &amp; Inputs'!$H$6, 0)</f>
        <v>-3.0296741850646581E-6</v>
      </c>
      <c r="AS66" s="474">
        <f>IFERROR(-_xlfn.XLOOKUP(AS$88, 'GEN-SOLAR'!$D$110:$BA$110, 'GEN-SOLAR'!$D$122:$BA$122)*'Assumptions &amp; Inputs'!$H$6, 0)</f>
        <v>-3.1205644106165973E-6</v>
      </c>
      <c r="AT66" s="474">
        <f>IFERROR(-_xlfn.XLOOKUP(AT$88, 'GEN-SOLAR'!$D$110:$BA$110, 'GEN-SOLAR'!$D$122:$BA$122)*'Assumptions &amp; Inputs'!$H$6, 0)</f>
        <v>-3.2141813429350959E-6</v>
      </c>
      <c r="AU66" s="474">
        <f>IFERROR(-_xlfn.XLOOKUP(AU$88, 'GEN-SOLAR'!$D$110:$BA$110, 'GEN-SOLAR'!$D$122:$BA$122)*'Assumptions &amp; Inputs'!$H$6, 0)</f>
        <v>-3.310606783223149E-6</v>
      </c>
      <c r="AV66" s="474">
        <f>IFERROR(-_xlfn.XLOOKUP(AV$88, 'GEN-SOLAR'!$D$110:$BA$110, 'GEN-SOLAR'!$D$122:$BA$122)*'Assumptions &amp; Inputs'!$H$6, 0)</f>
        <v>-3.4099249867198433E-6</v>
      </c>
      <c r="AW66" s="474">
        <f>IFERROR(-_xlfn.XLOOKUP(AW$88, 'GEN-SOLAR'!$D$110:$BA$110, 'GEN-SOLAR'!$D$122:$BA$122)*'Assumptions &amp; Inputs'!$H$6, 0)</f>
        <v>-3.5122227363214387E-6</v>
      </c>
      <c r="AX66" s="474">
        <f>IFERROR(-_xlfn.XLOOKUP(AX$88, 'GEN-SOLAR'!$D$110:$BA$110, 'GEN-SOLAR'!$D$122:$BA$122)*'Assumptions &amp; Inputs'!$H$6, 0)</f>
        <v>-3.6175894184110823E-6</v>
      </c>
    </row>
    <row r="67" spans="1:50" ht="14.25" customHeight="1">
      <c r="A67" s="1"/>
      <c r="B67" s="84"/>
      <c r="C67" s="748" t="s">
        <v>372</v>
      </c>
      <c r="D67" s="83"/>
      <c r="E67" s="474">
        <f>IFERROR(-_xlfn.XLOOKUP(E$88, 'GEN-BESS'!$D$110:$BA$110, 'GEN-BESS'!$D$125:$BA$125)*'Assumptions &amp; Inputs'!$F$6, 0)</f>
        <v>0</v>
      </c>
      <c r="F67" s="474">
        <f>IFERROR(-_xlfn.XLOOKUP(F$88, 'GEN-BESS'!$D$110:$BA$110, 'GEN-BESS'!$D$125:$BA$125)*'Assumptions &amp; Inputs'!$F$6, 0)</f>
        <v>-0.52</v>
      </c>
      <c r="G67" s="474">
        <f>IFERROR(-_xlfn.XLOOKUP(G$88, 'GEN-BESS'!$D$110:$BA$110, 'GEN-BESS'!$D$125:$BA$125)*'Assumptions &amp; Inputs'!$F$6, 0)</f>
        <v>-0.53560000000000008</v>
      </c>
      <c r="H67" s="474">
        <f>IFERROR(-_xlfn.XLOOKUP(H$88, 'GEN-BESS'!$D$110:$BA$110, 'GEN-BESS'!$D$125:$BA$125)*'Assumptions &amp; Inputs'!$F$6, 0)</f>
        <v>-0.55166800000000005</v>
      </c>
      <c r="I67" s="474">
        <f>IFERROR(-_xlfn.XLOOKUP(I$88, 'GEN-BESS'!$D$110:$BA$110, 'GEN-BESS'!$D$125:$BA$125)*'Assumptions &amp; Inputs'!$F$6, 0)</f>
        <v>-0.56821803999999998</v>
      </c>
      <c r="J67" s="474">
        <f>IFERROR(-_xlfn.XLOOKUP(J$88, 'GEN-BESS'!$D$110:$BA$110, 'GEN-BESS'!$D$125:$BA$125)*'Assumptions &amp; Inputs'!$F$6, 0)</f>
        <v>-0.58526458120000002</v>
      </c>
      <c r="K67" s="474">
        <f>IFERROR(-_xlfn.XLOOKUP(K$88, 'GEN-BESS'!$D$110:$BA$110, 'GEN-BESS'!$D$125:$BA$125)*'Assumptions &amp; Inputs'!$F$6, 0)</f>
        <v>-0.60282251863599989</v>
      </c>
      <c r="L67" s="474">
        <f>IFERROR(-_xlfn.XLOOKUP(L$88, 'GEN-BESS'!$D$110:$BA$110, 'GEN-BESS'!$D$125:$BA$125)*'Assumptions &amp; Inputs'!$F$6, 0)</f>
        <v>-0.62090719419508</v>
      </c>
      <c r="M67" s="474">
        <f>IFERROR(-_xlfn.XLOOKUP(M$88, 'GEN-BESS'!$D$110:$BA$110, 'GEN-BESS'!$D$125:$BA$125)*'Assumptions &amp; Inputs'!$F$6, 0)</f>
        <v>-0.63953441002093236</v>
      </c>
      <c r="N67" s="474">
        <f>IFERROR(-_xlfn.XLOOKUP(N$88, 'GEN-BESS'!$D$110:$BA$110, 'GEN-BESS'!$D$125:$BA$125)*'Assumptions &amp; Inputs'!$F$6, 0)</f>
        <v>-0.65872044232156035</v>
      </c>
      <c r="O67" s="474">
        <f>IFERROR(-_xlfn.XLOOKUP(O$88, 'GEN-BESS'!$D$110:$BA$110, 'GEN-BESS'!$D$125:$BA$125)*'Assumptions &amp; Inputs'!$F$6, 0)</f>
        <v>-0.67848205559120711</v>
      </c>
      <c r="P67" s="474">
        <f>IFERROR(-_xlfn.XLOOKUP(P$88, 'GEN-BESS'!$D$110:$BA$110, 'GEN-BESS'!$D$125:$BA$125)*'Assumptions &amp; Inputs'!$F$6, 0)</f>
        <v>-0.69883651725894336</v>
      </c>
      <c r="Q67" s="474">
        <f>IFERROR(-_xlfn.XLOOKUP(Q$88, 'GEN-BESS'!$D$110:$BA$110, 'GEN-BESS'!$D$125:$BA$125)*'Assumptions &amp; Inputs'!$F$6, 0)</f>
        <v>-0.71980161277671173</v>
      </c>
      <c r="R67" s="474">
        <f>IFERROR(-_xlfn.XLOOKUP(R$88, 'GEN-BESS'!$D$110:$BA$110, 'GEN-BESS'!$D$125:$BA$125)*'Assumptions &amp; Inputs'!$F$6, 0)</f>
        <v>-0.74139566116001288</v>
      </c>
      <c r="S67" s="474">
        <f>IFERROR(-_xlfn.XLOOKUP(S$88, 'GEN-BESS'!$D$110:$BA$110, 'GEN-BESS'!$D$125:$BA$125)*'Assumptions &amp; Inputs'!$F$6, 0)</f>
        <v>-0.76363753099481324</v>
      </c>
      <c r="T67" s="474">
        <f>IFERROR(-_xlfn.XLOOKUP(T$88, 'GEN-BESS'!$D$110:$BA$110, 'GEN-BESS'!$D$125:$BA$125)*'Assumptions &amp; Inputs'!$F$6, 0)</f>
        <v>-0.78654665692465775</v>
      </c>
      <c r="U67" s="474">
        <f>IFERROR(-_xlfn.XLOOKUP(U$88, 'GEN-BESS'!$D$110:$BA$110, 'GEN-BESS'!$D$125:$BA$125)*'Assumptions &amp; Inputs'!$F$6, 0)</f>
        <v>-0.8101430566323975</v>
      </c>
      <c r="V67" s="474">
        <f>IFERROR(-_xlfn.XLOOKUP(V$88, 'GEN-BESS'!$D$110:$BA$110, 'GEN-BESS'!$D$125:$BA$125)*'Assumptions &amp; Inputs'!$F$6, 0)</f>
        <v>-0.83444734833136935</v>
      </c>
      <c r="W67" s="474">
        <f>IFERROR(-_xlfn.XLOOKUP(W$88, 'GEN-BESS'!$D$110:$BA$110, 'GEN-BESS'!$D$125:$BA$125)*'Assumptions &amp; Inputs'!$F$6, 0)</f>
        <v>-0.85948076878131041</v>
      </c>
      <c r="X67" s="474">
        <f>IFERROR(-_xlfn.XLOOKUP(X$88, 'GEN-BESS'!$D$110:$BA$110, 'GEN-BESS'!$D$125:$BA$125)*'Assumptions &amp; Inputs'!$F$6, 0)</f>
        <v>-0.88526519184474972</v>
      </c>
      <c r="Y67" s="474">
        <f>IFERROR(-_xlfn.XLOOKUP(Y$88, 'GEN-BESS'!$D$110:$BA$110, 'GEN-BESS'!$D$125:$BA$125)*'Assumptions &amp; Inputs'!$F$6, 0)</f>
        <v>-0.9118231476000922</v>
      </c>
      <c r="Z67" s="474">
        <f>IFERROR(-_xlfn.XLOOKUP(Z$88, 'GEN-BESS'!$D$110:$BA$110, 'GEN-BESS'!$D$125:$BA$125)*'Assumptions &amp; Inputs'!$F$6, 0)</f>
        <v>-0.93917784202809496</v>
      </c>
      <c r="AA67" s="474">
        <f>IFERROR(-_xlfn.XLOOKUP(AA$88, 'GEN-BESS'!$D$110:$BA$110, 'GEN-BESS'!$D$125:$BA$125)*'Assumptions &amp; Inputs'!$F$6, 0)</f>
        <v>-0.96735317728893766</v>
      </c>
      <c r="AB67" s="474">
        <f>IFERROR(-_xlfn.XLOOKUP(AB$88, 'GEN-BESS'!$D$110:$BA$110, 'GEN-BESS'!$D$125:$BA$125)*'Assumptions &amp; Inputs'!$F$6, 0)</f>
        <v>-0.99637377260760585</v>
      </c>
      <c r="AC67" s="474">
        <f>IFERROR(-_xlfn.XLOOKUP(AC$88, 'GEN-BESS'!$D$110:$BA$110, 'GEN-BESS'!$D$125:$BA$125)*'Assumptions &amp; Inputs'!$F$6, 0)</f>
        <v>-1.0262649857858341</v>
      </c>
      <c r="AD67" s="474">
        <f>IFERROR(-_xlfn.XLOOKUP(AD$88, 'GEN-BESS'!$D$110:$BA$110, 'GEN-BESS'!$D$125:$BA$125)*'Assumptions &amp; Inputs'!$F$6, 0)</f>
        <v>-1.0570529353594089</v>
      </c>
      <c r="AE67" s="474">
        <f>IFERROR(-_xlfn.XLOOKUP(AE$88, 'GEN-BESS'!$D$110:$BA$110, 'GEN-BESS'!$D$125:$BA$125)*'Assumptions &amp; Inputs'!$F$6, 0)</f>
        <v>-1.0887645234201913</v>
      </c>
      <c r="AF67" s="474">
        <f>IFERROR(-_xlfn.XLOOKUP(AF$88, 'GEN-BESS'!$D$110:$BA$110, 'GEN-BESS'!$D$125:$BA$125)*'Assumptions &amp; Inputs'!$F$6, 0)</f>
        <v>0</v>
      </c>
      <c r="AG67" s="474">
        <f>IFERROR(-_xlfn.XLOOKUP(AG$88, 'GEN-BESS'!$D$110:$BA$110, 'GEN-BESS'!$D$125:$BA$125)*'Assumptions &amp; Inputs'!$F$6, 0)</f>
        <v>0</v>
      </c>
      <c r="AH67" s="474">
        <f>IFERROR(-_xlfn.XLOOKUP(AH$88, 'GEN-BESS'!$D$110:$BA$110, 'GEN-BESS'!$D$125:$BA$125)*'Assumptions &amp; Inputs'!$F$6, 0)</f>
        <v>0</v>
      </c>
      <c r="AI67" s="474">
        <f>IFERROR(-_xlfn.XLOOKUP(AI$88, 'GEN-BESS'!$D$110:$BA$110, 'GEN-BESS'!$D$125:$BA$125)*'Assumptions &amp; Inputs'!$F$6, 0)</f>
        <v>0</v>
      </c>
      <c r="AJ67" s="474">
        <f>IFERROR(-_xlfn.XLOOKUP(AJ$88, 'GEN-BESS'!$D$110:$BA$110, 'GEN-BESS'!$D$125:$BA$125)*'Assumptions &amp; Inputs'!$F$6, 0)</f>
        <v>0</v>
      </c>
      <c r="AK67" s="474">
        <f>IFERROR(-_xlfn.XLOOKUP(AK$88, 'GEN-BESS'!$D$110:$BA$110, 'GEN-BESS'!$D$125:$BA$125)*'Assumptions &amp; Inputs'!$F$6, 0)</f>
        <v>0</v>
      </c>
      <c r="AL67" s="474">
        <f>IFERROR(-_xlfn.XLOOKUP(AL$88, 'GEN-BESS'!$D$110:$BA$110, 'GEN-BESS'!$D$125:$BA$125)*'Assumptions &amp; Inputs'!$F$6, 0)</f>
        <v>0</v>
      </c>
      <c r="AM67" s="474">
        <f>IFERROR(-_xlfn.XLOOKUP(AM$88, 'GEN-BESS'!$D$110:$BA$110, 'GEN-BESS'!$D$125:$BA$125)*'Assumptions &amp; Inputs'!$F$6, 0)</f>
        <v>0</v>
      </c>
      <c r="AN67" s="474">
        <f>IFERROR(-_xlfn.XLOOKUP(AN$88, 'GEN-BESS'!$D$110:$BA$110, 'GEN-BESS'!$D$125:$BA$125)*'Assumptions &amp; Inputs'!$F$6, 0)</f>
        <v>0</v>
      </c>
      <c r="AO67" s="474">
        <f>IFERROR(-_xlfn.XLOOKUP(AO$88, 'GEN-BESS'!$D$110:$BA$110, 'GEN-BESS'!$D$125:$BA$125)*'Assumptions &amp; Inputs'!$F$6, 0)</f>
        <v>0</v>
      </c>
      <c r="AP67" s="474">
        <f>IFERROR(-_xlfn.XLOOKUP(AP$88, 'GEN-BESS'!$D$110:$BA$110, 'GEN-BESS'!$D$125:$BA$125)*'Assumptions &amp; Inputs'!$F$6, 0)</f>
        <v>0</v>
      </c>
      <c r="AQ67" s="474">
        <f>IFERROR(-_xlfn.XLOOKUP(AQ$88, 'GEN-BESS'!$D$110:$BA$110, 'GEN-BESS'!$D$125:$BA$125)*'Assumptions &amp; Inputs'!$F$6, 0)</f>
        <v>0</v>
      </c>
      <c r="AR67" s="474">
        <f>IFERROR(-_xlfn.XLOOKUP(AR$88, 'GEN-BESS'!$D$110:$BA$110, 'GEN-BESS'!$D$125:$BA$125)*'Assumptions &amp; Inputs'!$F$6, 0)</f>
        <v>0</v>
      </c>
      <c r="AS67" s="474">
        <f>IFERROR(-_xlfn.XLOOKUP(AS$88, 'GEN-BESS'!$D$110:$BA$110, 'GEN-BESS'!$D$125:$BA$125)*'Assumptions &amp; Inputs'!$F$6, 0)</f>
        <v>0</v>
      </c>
      <c r="AT67" s="474">
        <f>IFERROR(-_xlfn.XLOOKUP(AT$88, 'GEN-BESS'!$D$110:$BA$110, 'GEN-BESS'!$D$125:$BA$125)*'Assumptions &amp; Inputs'!$F$6, 0)</f>
        <v>0</v>
      </c>
      <c r="AU67" s="474">
        <f>IFERROR(-_xlfn.XLOOKUP(AU$88, 'GEN-BESS'!$D$110:$BA$110, 'GEN-BESS'!$D$125:$BA$125)*'Assumptions &amp; Inputs'!$F$6, 0)</f>
        <v>0</v>
      </c>
      <c r="AV67" s="474">
        <f>IFERROR(-_xlfn.XLOOKUP(AV$88, 'GEN-BESS'!$D$110:$BA$110, 'GEN-BESS'!$D$125:$BA$125)*'Assumptions &amp; Inputs'!$F$6, 0)</f>
        <v>0</v>
      </c>
      <c r="AW67" s="474">
        <f>IFERROR(-_xlfn.XLOOKUP(AW$88, 'GEN-BESS'!$D$110:$BA$110, 'GEN-BESS'!$D$125:$BA$125)*'Assumptions &amp; Inputs'!$F$6, 0)</f>
        <v>0</v>
      </c>
      <c r="AX67" s="474">
        <f>IFERROR(-_xlfn.XLOOKUP(AX$88, 'GEN-BESS'!$D$110:$BA$110, 'GEN-BESS'!$D$125:$BA$125)*'Assumptions &amp; Inputs'!$F$6, 0)</f>
        <v>0</v>
      </c>
    </row>
    <row r="68" spans="1:50" ht="14.25" customHeight="1">
      <c r="A68" s="1"/>
      <c r="B68" s="84"/>
      <c r="C68" s="748" t="s">
        <v>373</v>
      </c>
      <c r="D68" s="83"/>
      <c r="E68" s="474">
        <f>IFERROR(-_xlfn.XLOOKUP(E$88, 'GEN-CCGT'!$D$110:$BA$110, 'GEN-CCGT'!$D$124:$BA$124)*'Assumptions &amp; Inputs'!$G$6, 0)</f>
        <v>0</v>
      </c>
      <c r="F68" s="474">
        <f>IFERROR(-_xlfn.XLOOKUP(F$88, 'GEN-CCGT'!$D$110:$BA$110, 'GEN-CCGT'!$D$124:$BA$124)*'Assumptions &amp; Inputs'!$G$6, 0)</f>
        <v>0</v>
      </c>
      <c r="G68" s="474">
        <f>IFERROR(-_xlfn.XLOOKUP(G$88, 'GEN-CCGT'!$D$110:$BA$110, 'GEN-CCGT'!$D$124:$BA$124)*'Assumptions &amp; Inputs'!$G$6, 0)</f>
        <v>0</v>
      </c>
      <c r="H68" s="474">
        <f>IFERROR(-_xlfn.XLOOKUP(H$88, 'GEN-CCGT'!$D$110:$BA$110, 'GEN-CCGT'!$D$124:$BA$124)*'Assumptions &amp; Inputs'!$G$6, 0)</f>
        <v>-14.7909816</v>
      </c>
      <c r="I68" s="474">
        <f>IFERROR(-_xlfn.XLOOKUP(I$88, 'GEN-CCGT'!$D$110:$BA$110, 'GEN-CCGT'!$D$124:$BA$124)*'Assumptions &amp; Inputs'!$G$6, 0)</f>
        <v>-22.237659899999997</v>
      </c>
      <c r="J68" s="474">
        <f>IFERROR(-_xlfn.XLOOKUP(J$88, 'GEN-CCGT'!$D$110:$BA$110, 'GEN-CCGT'!$D$124:$BA$124)*'Assumptions &amp; Inputs'!$G$6, 0)</f>
        <v>-22.239182468999996</v>
      </c>
      <c r="K68" s="474">
        <f>IFERROR(-_xlfn.XLOOKUP(K$88, 'GEN-CCGT'!$D$110:$BA$110, 'GEN-CCGT'!$D$124:$BA$124)*'Assumptions &amp; Inputs'!$G$6, 0)</f>
        <v>-22.242414733140002</v>
      </c>
      <c r="L68" s="474">
        <f>IFERROR(-_xlfn.XLOOKUP(L$88, 'GEN-CCGT'!$D$110:$BA$110, 'GEN-CCGT'!$D$124:$BA$124)*'Assumptions &amp; Inputs'!$G$6, 0)</f>
        <v>-22.247403823229028</v>
      </c>
      <c r="M68" s="474">
        <f>IFERROR(-_xlfn.XLOOKUP(M$88, 'GEN-CCGT'!$D$110:$BA$110, 'GEN-CCGT'!$D$124:$BA$124)*'Assumptions &amp; Inputs'!$G$6, 0)</f>
        <v>-22.254198294400492</v>
      </c>
      <c r="N68" s="474">
        <f>IFERROR(-_xlfn.XLOOKUP(N$88, 'GEN-CCGT'!$D$110:$BA$110, 'GEN-CCGT'!$D$124:$BA$124)*'Assumptions &amp; Inputs'!$G$6, 0)</f>
        <v>-22.262848168815907</v>
      </c>
      <c r="O68" s="474">
        <f>IFERROR(-_xlfn.XLOOKUP(O$88, 'GEN-CCGT'!$D$110:$BA$110, 'GEN-CCGT'!$D$124:$BA$124)*'Assumptions &amp; Inputs'!$G$6, 0)</f>
        <v>-22.273404979649822</v>
      </c>
      <c r="P68" s="474">
        <f>IFERROR(-_xlfn.XLOOKUP(P$88, 'GEN-CCGT'!$D$110:$BA$110, 'GEN-CCGT'!$D$124:$BA$124)*'Assumptions &amp; Inputs'!$G$6, 0)</f>
        <v>-22.285921816394342</v>
      </c>
      <c r="Q68" s="474">
        <f>IFERROR(-_xlfn.XLOOKUP(Q$88, 'GEN-CCGT'!$D$110:$BA$110, 'GEN-CCGT'!$D$124:$BA$124)*'Assumptions &amp; Inputs'!$G$6, 0)</f>
        <v>-22.300453371522799</v>
      </c>
      <c r="R68" s="474">
        <f>IFERROR(-_xlfn.XLOOKUP(R$88, 'GEN-CCGT'!$D$110:$BA$110, 'GEN-CCGT'!$D$124:$BA$124)*'Assumptions &amp; Inputs'!$G$6, 0)</f>
        <v>-22.317055988553527</v>
      </c>
      <c r="S68" s="474">
        <f>IFERROR(-_xlfn.XLOOKUP(S$88, 'GEN-CCGT'!$D$110:$BA$110, 'GEN-CCGT'!$D$124:$BA$124)*'Assumptions &amp; Inputs'!$G$6, 0)</f>
        <v>-22.335787711555461</v>
      </c>
      <c r="T68" s="474">
        <f>IFERROR(-_xlfn.XLOOKUP(T$88, 'GEN-CCGT'!$D$110:$BA$110, 'GEN-CCGT'!$D$124:$BA$124)*'Assumptions &amp; Inputs'!$G$6, 0)</f>
        <v>-22.356708336139093</v>
      </c>
      <c r="U68" s="474">
        <f>IFERROR(-_xlfn.XLOOKUP(U$88, 'GEN-CCGT'!$D$110:$BA$110, 'GEN-CCGT'!$D$124:$BA$124)*'Assumptions &amp; Inputs'!$G$6, 0)</f>
        <v>-22.379879461977133</v>
      </c>
      <c r="V68" s="474">
        <f>IFERROR(-_xlfn.XLOOKUP(V$88, 'GEN-CCGT'!$D$110:$BA$110, 'GEN-CCGT'!$D$124:$BA$124)*'Assumptions &amp; Inputs'!$G$6, 0)</f>
        <v>-22.405364546900934</v>
      </c>
      <c r="W68" s="474">
        <f>IFERROR(-_xlfn.XLOOKUP(W$88, 'GEN-CCGT'!$D$110:$BA$110, 'GEN-CCGT'!$D$124:$BA$124)*'Assumptions &amp; Inputs'!$G$6, 0)</f>
        <v>-22.43322896261979</v>
      </c>
      <c r="X68" s="474">
        <f>IFERROR(-_xlfn.XLOOKUP(X$88, 'GEN-CCGT'!$D$110:$BA$110, 'GEN-CCGT'!$D$124:$BA$124)*'Assumptions &amp; Inputs'!$G$6, 0)</f>
        <v>-22.463540052111934</v>
      </c>
      <c r="Y68" s="474">
        <f>IFERROR(-_xlfn.XLOOKUP(Y$88, 'GEN-CCGT'!$D$110:$BA$110, 'GEN-CCGT'!$D$124:$BA$124)*'Assumptions &amp; Inputs'!$G$6, 0)</f>
        <v>-22.496367188737302</v>
      </c>
      <c r="Z68" s="474">
        <f>IFERROR(-_xlfn.XLOOKUP(Z$88, 'GEN-CCGT'!$D$110:$BA$110, 'GEN-CCGT'!$D$124:$BA$124)*'Assumptions &amp; Inputs'!$G$6, 0)</f>
        <v>-22.531781837123777</v>
      </c>
      <c r="AA68" s="474">
        <f>IFERROR(-_xlfn.XLOOKUP(AA$88, 'GEN-CCGT'!$D$110:$BA$110, 'GEN-CCGT'!$D$124:$BA$124)*'Assumptions &amp; Inputs'!$G$6, 0)</f>
        <v>-22.569857615880039</v>
      </c>
      <c r="AB68" s="474">
        <f>IFERROR(-_xlfn.XLOOKUP(AB$88, 'GEN-CCGT'!$D$110:$BA$110, 'GEN-CCGT'!$D$124:$BA$124)*'Assumptions &amp; Inputs'!$G$6, 0)</f>
        <v>-22.610670362189882</v>
      </c>
      <c r="AC68" s="474">
        <f>IFERROR(-_xlfn.XLOOKUP(AC$88, 'GEN-CCGT'!$D$110:$BA$110, 'GEN-CCGT'!$D$124:$BA$124)*'Assumptions &amp; Inputs'!$G$6, 0)</f>
        <v>-22.654298198344435</v>
      </c>
      <c r="AD68" s="474">
        <f>IFERROR(-_xlfn.XLOOKUP(AD$88, 'GEN-CCGT'!$D$110:$BA$110, 'GEN-CCGT'!$D$124:$BA$124)*'Assumptions &amp; Inputs'!$G$6, 0)</f>
        <v>-22.700821600270405</v>
      </c>
      <c r="AE68" s="474">
        <f>IFERROR(-_xlfn.XLOOKUP(AE$88, 'GEN-CCGT'!$D$110:$BA$110, 'GEN-CCGT'!$D$124:$BA$124)*'Assumptions &amp; Inputs'!$G$6, 0)</f>
        <v>-22.750323468114214</v>
      </c>
      <c r="AF68" s="474">
        <f>IFERROR(-_xlfn.XLOOKUP(AF$88, 'GEN-CCGT'!$D$110:$BA$110, 'GEN-CCGT'!$D$124:$BA$124)*'Assumptions &amp; Inputs'!$G$6, 0)</f>
        <v>-22.802889198943749</v>
      </c>
      <c r="AG68" s="474">
        <f>IFERROR(-_xlfn.XLOOKUP(AG$88, 'GEN-CCGT'!$D$110:$BA$110, 'GEN-CCGT'!$D$124:$BA$124)*'Assumptions &amp; Inputs'!$G$6, 0)</f>
        <v>-22.858606761631197</v>
      </c>
      <c r="AH68" s="474">
        <f>IFERROR(-_xlfn.XLOOKUP(AH$88, 'GEN-CCGT'!$D$110:$BA$110, 'GEN-CCGT'!$D$124:$BA$124)*'Assumptions &amp; Inputs'!$G$6, 0)</f>
        <v>0</v>
      </c>
      <c r="AI68" s="474">
        <f>IFERROR(-_xlfn.XLOOKUP(AI$88, 'GEN-CCGT'!$D$110:$BA$110, 'GEN-CCGT'!$D$124:$BA$124)*'Assumptions &amp; Inputs'!$G$6, 0)</f>
        <v>0</v>
      </c>
      <c r="AJ68" s="474">
        <f>IFERROR(-_xlfn.XLOOKUP(AJ$88, 'GEN-CCGT'!$D$110:$BA$110, 'GEN-CCGT'!$D$124:$BA$124)*'Assumptions &amp; Inputs'!$G$6, 0)</f>
        <v>0</v>
      </c>
      <c r="AK68" s="474">
        <f>IFERROR(-_xlfn.XLOOKUP(AK$88, 'GEN-CCGT'!$D$110:$BA$110, 'GEN-CCGT'!$D$124:$BA$124)*'Assumptions &amp; Inputs'!$G$6, 0)</f>
        <v>0</v>
      </c>
      <c r="AL68" s="474">
        <f>IFERROR(-_xlfn.XLOOKUP(AL$88, 'GEN-CCGT'!$D$110:$BA$110, 'GEN-CCGT'!$D$124:$BA$124)*'Assumptions &amp; Inputs'!$G$6, 0)</f>
        <v>0</v>
      </c>
      <c r="AM68" s="474">
        <f>IFERROR(-_xlfn.XLOOKUP(AM$88, 'GEN-CCGT'!$D$110:$BA$110, 'GEN-CCGT'!$D$124:$BA$124)*'Assumptions &amp; Inputs'!$G$6, 0)</f>
        <v>0</v>
      </c>
      <c r="AN68" s="474">
        <f>IFERROR(-_xlfn.XLOOKUP(AN$88, 'GEN-CCGT'!$D$110:$BA$110, 'GEN-CCGT'!$D$124:$BA$124)*'Assumptions &amp; Inputs'!$G$6, 0)</f>
        <v>0</v>
      </c>
      <c r="AO68" s="474">
        <f>IFERROR(-_xlfn.XLOOKUP(AO$88, 'GEN-CCGT'!$D$110:$BA$110, 'GEN-CCGT'!$D$124:$BA$124)*'Assumptions &amp; Inputs'!$G$6, 0)</f>
        <v>0</v>
      </c>
      <c r="AP68" s="474">
        <f>IFERROR(-_xlfn.XLOOKUP(AP$88, 'GEN-CCGT'!$D$110:$BA$110, 'GEN-CCGT'!$D$124:$BA$124)*'Assumptions &amp; Inputs'!$G$6, 0)</f>
        <v>0</v>
      </c>
      <c r="AQ68" s="474">
        <f>IFERROR(-_xlfn.XLOOKUP(AQ$88, 'GEN-CCGT'!$D$110:$BA$110, 'GEN-CCGT'!$D$124:$BA$124)*'Assumptions &amp; Inputs'!$G$6, 0)</f>
        <v>0</v>
      </c>
      <c r="AR68" s="474">
        <f>IFERROR(-_xlfn.XLOOKUP(AR$88, 'GEN-CCGT'!$D$110:$BA$110, 'GEN-CCGT'!$D$124:$BA$124)*'Assumptions &amp; Inputs'!$G$6, 0)</f>
        <v>0</v>
      </c>
      <c r="AS68" s="474">
        <f>IFERROR(-_xlfn.XLOOKUP(AS$88, 'GEN-CCGT'!$D$110:$BA$110, 'GEN-CCGT'!$D$124:$BA$124)*'Assumptions &amp; Inputs'!$G$6, 0)</f>
        <v>0</v>
      </c>
      <c r="AT68" s="474">
        <f>IFERROR(-_xlfn.XLOOKUP(AT$88, 'GEN-CCGT'!$D$110:$BA$110, 'GEN-CCGT'!$D$124:$BA$124)*'Assumptions &amp; Inputs'!$G$6, 0)</f>
        <v>0</v>
      </c>
      <c r="AU68" s="474">
        <f>IFERROR(-_xlfn.XLOOKUP(AU$88, 'GEN-CCGT'!$D$110:$BA$110, 'GEN-CCGT'!$D$124:$BA$124)*'Assumptions &amp; Inputs'!$G$6, 0)</f>
        <v>0</v>
      </c>
      <c r="AV68" s="474">
        <f>IFERROR(-_xlfn.XLOOKUP(AV$88, 'GEN-CCGT'!$D$110:$BA$110, 'GEN-CCGT'!$D$124:$BA$124)*'Assumptions &amp; Inputs'!$G$6, 0)</f>
        <v>0</v>
      </c>
      <c r="AW68" s="474">
        <f>IFERROR(-_xlfn.XLOOKUP(AW$88, 'GEN-CCGT'!$D$110:$BA$110, 'GEN-CCGT'!$D$124:$BA$124)*'Assumptions &amp; Inputs'!$G$6, 0)</f>
        <v>0</v>
      </c>
      <c r="AX68" s="474">
        <f>IFERROR(-_xlfn.XLOOKUP(AX$88, 'GEN-CCGT'!$D$110:$BA$110, 'GEN-CCGT'!$D$124:$BA$124)*'Assumptions &amp; Inputs'!$G$6, 0)</f>
        <v>0</v>
      </c>
    </row>
    <row r="69" spans="1:50" ht="14.25" customHeight="1">
      <c r="A69" s="1"/>
      <c r="B69" s="84"/>
      <c r="C69" s="748" t="s">
        <v>374</v>
      </c>
      <c r="D69" s="83"/>
      <c r="E69" s="469">
        <f>IFERROR(-_xlfn.XLOOKUP(E$88, 'GEN-CARBON'!$D$110:$BA$110, 'GEN-CARBON'!$D$124:$BA$124)*'Assumptions &amp; Inputs'!$I$6, 0)</f>
        <v>0</v>
      </c>
      <c r="F69" s="469">
        <f>IFERROR(-_xlfn.XLOOKUP(F$88, 'GEN-CARBON'!$D$110:$BA$110, 'GEN-CARBON'!$D$124:$BA$124)*'Assumptions &amp; Inputs'!$I$6, 0)</f>
        <v>0</v>
      </c>
      <c r="G69" s="469">
        <f>IFERROR(-_xlfn.XLOOKUP(G$88, 'GEN-CARBON'!$D$110:$BA$110, 'GEN-CARBON'!$D$124:$BA$124)*'Assumptions &amp; Inputs'!$I$6, 0)</f>
        <v>0</v>
      </c>
      <c r="H69" s="469">
        <f>IFERROR(-_xlfn.XLOOKUP(H$88, 'GEN-CARBON'!$D$110:$BA$110, 'GEN-CARBON'!$D$124:$BA$124)*'Assumptions &amp; Inputs'!$I$6, 0)</f>
        <v>0</v>
      </c>
      <c r="I69" s="469">
        <f>IFERROR(-_xlfn.XLOOKUP(I$88, 'GEN-CARBON'!$D$110:$BA$110, 'GEN-CARBON'!$D$124:$BA$124)*'Assumptions &amp; Inputs'!$I$6, 0)</f>
        <v>-12.292310840963939</v>
      </c>
      <c r="J69" s="469">
        <f>IFERROR(-_xlfn.XLOOKUP(J$88, 'GEN-CARBON'!$D$110:$BA$110, 'GEN-CARBON'!$D$124:$BA$124)*'Assumptions &amp; Inputs'!$I$6, 0)</f>
        <v>-14.881767118760855</v>
      </c>
      <c r="K69" s="469">
        <f>IFERROR(-_xlfn.XLOOKUP(K$88, 'GEN-CARBON'!$D$110:$BA$110, 'GEN-CARBON'!$D$124:$BA$124)*'Assumptions &amp; Inputs'!$I$6, 0)</f>
        <v>-15.045412700963952</v>
      </c>
      <c r="L69" s="469">
        <f>IFERROR(-_xlfn.XLOOKUP(L$88, 'GEN-CARBON'!$D$110:$BA$110, 'GEN-CARBON'!$D$124:$BA$124)*'Assumptions &amp; Inputs'!$I$6, 0)</f>
        <v>-15.214674669211545</v>
      </c>
      <c r="M69" s="469">
        <f>IFERROR(-_xlfn.XLOOKUP(M$88, 'GEN-CARBON'!$D$110:$BA$110, 'GEN-CARBON'!$D$124:$BA$124)*'Assumptions &amp; Inputs'!$I$6, 0)</f>
        <v>-15.389719747538518</v>
      </c>
      <c r="N69" s="469">
        <f>IFERROR(-_xlfn.XLOOKUP(N$88, 'GEN-CARBON'!$D$110:$BA$110, 'GEN-CARBON'!$D$124:$BA$124)*'Assumptions &amp; Inputs'!$I$6, 0)</f>
        <v>-15.57071966611967</v>
      </c>
      <c r="O69" s="469">
        <f>IFERROR(-_xlfn.XLOOKUP(O$88, 'GEN-CARBON'!$D$110:$BA$110, 'GEN-CARBON'!$D$124:$BA$124)*'Assumptions &amp; Inputs'!$I$6, 0)</f>
        <v>-15.757851311442872</v>
      </c>
      <c r="P69" s="469">
        <f>IFERROR(-_xlfn.XLOOKUP(P$88, 'GEN-CARBON'!$D$110:$BA$110, 'GEN-CARBON'!$D$124:$BA$124)*'Assumptions &amp; Inputs'!$I$6, 0)</f>
        <v>-15.951296880987419</v>
      </c>
      <c r="Q69" s="469">
        <f>IFERROR(-_xlfn.XLOOKUP(Q$88, 'GEN-CARBON'!$D$110:$BA$110, 'GEN-CARBON'!$D$124:$BA$124)*'Assumptions &amp; Inputs'!$I$6, 0)</f>
        <v>-16.1512440425428</v>
      </c>
      <c r="R69" s="469">
        <f>IFERROR(-_xlfn.XLOOKUP(R$88, 'GEN-CARBON'!$D$110:$BA$110, 'GEN-CARBON'!$D$124:$BA$124)*'Assumptions &amp; Inputs'!$I$6, 0)</f>
        <v>-16.357886098307031</v>
      </c>
      <c r="S69" s="469">
        <f>IFERROR(-_xlfn.XLOOKUP(S$88, 'GEN-CARBON'!$D$110:$BA$110, 'GEN-CARBON'!$D$124:$BA$124)*'Assumptions &amp; Inputs'!$I$6, 0)</f>
        <v>-16.571422153907964</v>
      </c>
      <c r="T69" s="469">
        <f>IFERROR(-_xlfn.XLOOKUP(T$88, 'GEN-CARBON'!$D$110:$BA$110, 'GEN-CARBON'!$D$124:$BA$124)*'Assumptions &amp; Inputs'!$I$6, 0)</f>
        <v>-16.792057292495301</v>
      </c>
      <c r="U69" s="469">
        <f>IFERROR(-_xlfn.XLOOKUP(U$88, 'GEN-CARBON'!$D$110:$BA$110, 'GEN-CARBON'!$D$124:$BA$124)*'Assumptions &amp; Inputs'!$I$6, 0)</f>
        <v>-17.020002754055326</v>
      </c>
      <c r="V69" s="469">
        <f>IFERROR(-_xlfn.XLOOKUP(V$88, 'GEN-CARBON'!$D$110:$BA$110, 'GEN-CARBON'!$D$124:$BA$124)*'Assumptions &amp; Inputs'!$I$6, 0)</f>
        <v>-17.255476120105193</v>
      </c>
      <c r="W69" s="469">
        <f>IFERROR(-_xlfn.XLOOKUP(W$88, 'GEN-CARBON'!$D$110:$BA$110, 'GEN-CARBON'!$D$124:$BA$124)*'Assumptions &amp; Inputs'!$I$6, 0)</f>
        <v>-17.498701503927986</v>
      </c>
      <c r="X69" s="469">
        <f>IFERROR(-_xlfn.XLOOKUP(X$88, 'GEN-CARBON'!$D$110:$BA$110, 'GEN-CARBON'!$D$124:$BA$124)*'Assumptions &amp; Inputs'!$I$6, 0)</f>
        <v>-17.749909746514916</v>
      </c>
      <c r="Y69" s="469">
        <f>IFERROR(-_xlfn.XLOOKUP(Y$88, 'GEN-CARBON'!$D$110:$BA$110, 'GEN-CARBON'!$D$124:$BA$124)*'Assumptions &amp; Inputs'!$I$6, 0)</f>
        <v>-18.009338618385776</v>
      </c>
      <c r="Z69" s="469">
        <f>IFERROR(-_xlfn.XLOOKUP(Z$88, 'GEN-CARBON'!$D$110:$BA$110, 'GEN-CARBON'!$D$124:$BA$124)*'Assumptions &amp; Inputs'!$I$6, 0)</f>
        <v>-18.277233027464071</v>
      </c>
      <c r="AA69" s="469">
        <f>IFERROR(-_xlfn.XLOOKUP(AA$88, 'GEN-CARBON'!$D$110:$BA$110, 'GEN-CARBON'!$D$124:$BA$124)*'Assumptions &amp; Inputs'!$I$6, 0)</f>
        <v>-18.553845233188405</v>
      </c>
      <c r="AB69" s="469">
        <f>IFERROR(-_xlfn.XLOOKUP(AB$88, 'GEN-CARBON'!$D$110:$BA$110, 'GEN-CARBON'!$D$124:$BA$124)*'Assumptions &amp; Inputs'!$I$6, 0)</f>
        <v>-18.839435067047216</v>
      </c>
      <c r="AC69" s="469">
        <f>IFERROR(-_xlfn.XLOOKUP(AC$88, 'GEN-CARBON'!$D$110:$BA$110, 'GEN-CARBON'!$D$124:$BA$124)*'Assumptions &amp; Inputs'!$I$6, 0)</f>
        <v>-19.134270159729631</v>
      </c>
      <c r="AD69" s="469">
        <f>IFERROR(-_xlfn.XLOOKUP(AD$88, 'GEN-CARBON'!$D$110:$BA$110, 'GEN-CARBON'!$D$124:$BA$124)*'Assumptions &amp; Inputs'!$I$6, 0)</f>
        <v>-19.438626175090842</v>
      </c>
      <c r="AE69" s="469">
        <f>IFERROR(-_xlfn.XLOOKUP(AE$88, 'GEN-CARBON'!$D$110:$BA$110, 'GEN-CARBON'!$D$124:$BA$124)*'Assumptions &amp; Inputs'!$I$6, 0)</f>
        <v>-19.752787051136472</v>
      </c>
      <c r="AF69" s="469">
        <f>IFERROR(-_xlfn.XLOOKUP(AF$88, 'GEN-CARBON'!$D$110:$BA$110, 'GEN-CARBON'!$D$124:$BA$124)*'Assumptions &amp; Inputs'!$I$6, 0)</f>
        <v>-20.07704524823648</v>
      </c>
      <c r="AG69" s="469">
        <f>IFERROR(-_xlfn.XLOOKUP(AG$88, 'GEN-CARBON'!$D$110:$BA$110, 'GEN-CARBON'!$D$124:$BA$124)*'Assumptions &amp; Inputs'!$I$6, 0)</f>
        <v>-20.411702004785575</v>
      </c>
      <c r="AH69" s="469">
        <f>IFERROR(-_xlfn.XLOOKUP(AH$88, 'GEN-CARBON'!$D$110:$BA$110, 'GEN-CARBON'!$D$124:$BA$124)*'Assumptions &amp; Inputs'!$I$6, 0)</f>
        <v>-20.757067600533389</v>
      </c>
      <c r="AI69" s="469">
        <f>IFERROR(-_xlfn.XLOOKUP(AI$88, 'GEN-CARBON'!$D$110:$BA$110, 'GEN-CARBON'!$D$124:$BA$124)*'Assumptions &amp; Inputs'!$I$6, 0)</f>
        <v>0</v>
      </c>
      <c r="AJ69" s="469">
        <f>IFERROR(-_xlfn.XLOOKUP(AJ$88, 'GEN-CARBON'!$D$110:$BA$110, 'GEN-CARBON'!$D$124:$BA$124)*'Assumptions &amp; Inputs'!$I$6, 0)</f>
        <v>0</v>
      </c>
      <c r="AK69" s="469">
        <f>IFERROR(-_xlfn.XLOOKUP(AK$88, 'GEN-CARBON'!$D$110:$BA$110, 'GEN-CARBON'!$D$124:$BA$124)*'Assumptions &amp; Inputs'!$I$6, 0)</f>
        <v>0</v>
      </c>
      <c r="AL69" s="469">
        <f>IFERROR(-_xlfn.XLOOKUP(AL$88, 'GEN-CARBON'!$D$110:$BA$110, 'GEN-CARBON'!$D$124:$BA$124)*'Assumptions &amp; Inputs'!$I$6, 0)</f>
        <v>0</v>
      </c>
      <c r="AM69" s="469">
        <f>IFERROR(-_xlfn.XLOOKUP(AM$88, 'GEN-CARBON'!$D$110:$BA$110, 'GEN-CARBON'!$D$124:$BA$124)*'Assumptions &amp; Inputs'!$I$6, 0)</f>
        <v>0</v>
      </c>
      <c r="AN69" s="469">
        <f>IFERROR(-_xlfn.XLOOKUP(AN$88, 'GEN-CARBON'!$D$110:$BA$110, 'GEN-CARBON'!$D$124:$BA$124)*'Assumptions &amp; Inputs'!$I$6, 0)</f>
        <v>0</v>
      </c>
      <c r="AO69" s="469">
        <f>IFERROR(-_xlfn.XLOOKUP(AO$88, 'GEN-CARBON'!$D$110:$BA$110, 'GEN-CARBON'!$D$124:$BA$124)*'Assumptions &amp; Inputs'!$I$6, 0)</f>
        <v>0</v>
      </c>
      <c r="AP69" s="469">
        <f>IFERROR(-_xlfn.XLOOKUP(AP$88, 'GEN-CARBON'!$D$110:$BA$110, 'GEN-CARBON'!$D$124:$BA$124)*'Assumptions &amp; Inputs'!$I$6, 0)</f>
        <v>0</v>
      </c>
      <c r="AQ69" s="469">
        <f>IFERROR(-_xlfn.XLOOKUP(AQ$88, 'GEN-CARBON'!$D$110:$BA$110, 'GEN-CARBON'!$D$124:$BA$124)*'Assumptions &amp; Inputs'!$I$6, 0)</f>
        <v>0</v>
      </c>
      <c r="AR69" s="469">
        <f>IFERROR(-_xlfn.XLOOKUP(AR$88, 'GEN-CARBON'!$D$110:$BA$110, 'GEN-CARBON'!$D$124:$BA$124)*'Assumptions &amp; Inputs'!$I$6, 0)</f>
        <v>0</v>
      </c>
      <c r="AS69" s="469">
        <f>IFERROR(-_xlfn.XLOOKUP(AS$88, 'GEN-CARBON'!$D$110:$BA$110, 'GEN-CARBON'!$D$124:$BA$124)*'Assumptions &amp; Inputs'!$I$6, 0)</f>
        <v>0</v>
      </c>
      <c r="AT69" s="469">
        <f>IFERROR(-_xlfn.XLOOKUP(AT$88, 'GEN-CARBON'!$D$110:$BA$110, 'GEN-CARBON'!$D$124:$BA$124)*'Assumptions &amp; Inputs'!$I$6, 0)</f>
        <v>0</v>
      </c>
      <c r="AU69" s="469">
        <f>IFERROR(-_xlfn.XLOOKUP(AU$88, 'GEN-CARBON'!$D$110:$BA$110, 'GEN-CARBON'!$D$124:$BA$124)*'Assumptions &amp; Inputs'!$I$6, 0)</f>
        <v>0</v>
      </c>
      <c r="AV69" s="469">
        <f>IFERROR(-_xlfn.XLOOKUP(AV$88, 'GEN-CARBON'!$D$110:$BA$110, 'GEN-CARBON'!$D$124:$BA$124)*'Assumptions &amp; Inputs'!$I$6, 0)</f>
        <v>0</v>
      </c>
      <c r="AW69" s="469">
        <f>IFERROR(-_xlfn.XLOOKUP(AW$88, 'GEN-CARBON'!$D$110:$BA$110, 'GEN-CARBON'!$D$124:$BA$124)*'Assumptions &amp; Inputs'!$I$6, 0)</f>
        <v>0</v>
      </c>
      <c r="AX69" s="469">
        <f>IFERROR(-_xlfn.XLOOKUP(AX$88, 'GEN-CARBON'!$D$110:$BA$110, 'GEN-CARBON'!$D$124:$BA$124)*'Assumptions &amp; Inputs'!$I$6, 0)</f>
        <v>0</v>
      </c>
    </row>
    <row r="70" spans="1:50" ht="14.25" customHeight="1">
      <c r="A70" s="1"/>
      <c r="B70" s="84"/>
      <c r="C70" s="748"/>
      <c r="D70" s="83"/>
      <c r="E70" s="469"/>
      <c r="F70" s="469"/>
      <c r="G70" s="469"/>
      <c r="H70" s="469"/>
      <c r="I70" s="469"/>
      <c r="J70" s="469"/>
      <c r="K70" s="469"/>
      <c r="L70" s="469"/>
      <c r="M70" s="469"/>
      <c r="N70" s="469"/>
      <c r="O70" s="469"/>
      <c r="P70" s="469"/>
      <c r="Q70" s="469"/>
      <c r="R70" s="469"/>
      <c r="S70" s="469"/>
      <c r="T70" s="469"/>
      <c r="U70" s="469"/>
      <c r="V70" s="469"/>
      <c r="W70" s="469"/>
      <c r="X70" s="469"/>
      <c r="Y70" s="469"/>
      <c r="Z70" s="469"/>
      <c r="AA70" s="469"/>
      <c r="AB70" s="469"/>
      <c r="AC70" s="469"/>
      <c r="AD70" s="469"/>
      <c r="AE70" s="469"/>
      <c r="AF70" s="469"/>
      <c r="AG70" s="469"/>
      <c r="AH70" s="469"/>
      <c r="AI70" s="469"/>
      <c r="AJ70" s="469"/>
      <c r="AK70" s="469"/>
      <c r="AL70" s="469"/>
      <c r="AM70" s="469"/>
      <c r="AN70" s="469"/>
      <c r="AO70" s="469"/>
      <c r="AP70" s="469"/>
      <c r="AQ70" s="469"/>
      <c r="AR70" s="469"/>
      <c r="AS70" s="469"/>
      <c r="AT70" s="469"/>
      <c r="AU70" s="469"/>
      <c r="AV70" s="469"/>
      <c r="AW70" s="469"/>
      <c r="AX70" s="469"/>
    </row>
    <row r="71" spans="1:50" ht="14.25" customHeight="1">
      <c r="A71" s="1"/>
      <c r="B71" s="84"/>
      <c r="C71" s="309" t="s">
        <v>376</v>
      </c>
      <c r="D71" s="83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69"/>
      <c r="Q71" s="469"/>
      <c r="R71" s="469"/>
      <c r="S71" s="469"/>
      <c r="T71" s="469"/>
      <c r="U71" s="469"/>
      <c r="V71" s="469"/>
      <c r="W71" s="469"/>
      <c r="X71" s="469"/>
      <c r="Y71" s="469"/>
      <c r="Z71" s="469"/>
      <c r="AA71" s="469"/>
      <c r="AB71" s="469"/>
      <c r="AC71" s="469"/>
      <c r="AD71" s="469"/>
      <c r="AE71" s="469"/>
      <c r="AF71" s="469"/>
      <c r="AG71" s="469"/>
      <c r="AH71" s="469"/>
      <c r="AI71" s="469"/>
      <c r="AJ71" s="469"/>
      <c r="AK71" s="469"/>
      <c r="AL71" s="469"/>
      <c r="AM71" s="469"/>
      <c r="AN71" s="469"/>
      <c r="AO71" s="469"/>
      <c r="AP71" s="469"/>
      <c r="AQ71" s="469"/>
      <c r="AR71" s="469"/>
      <c r="AS71" s="469"/>
      <c r="AT71" s="469"/>
      <c r="AU71" s="469"/>
      <c r="AV71" s="469"/>
      <c r="AW71" s="469"/>
      <c r="AX71" s="469"/>
    </row>
    <row r="72" spans="1:50" ht="14.25" customHeight="1">
      <c r="A72" s="1"/>
      <c r="B72" s="84"/>
      <c r="C72" s="748" t="s">
        <v>371</v>
      </c>
      <c r="D72" s="83"/>
      <c r="E72" s="474">
        <f>IFERROR(_xlfn.XLOOKUP(E$88, 'GEN-SOLAR'!$D$110:$BA$110, 'GEN-SOLAR'!$D$130:$BA$130)*'Assumptions &amp; Inputs'!$H$6, 0)</f>
        <v>0</v>
      </c>
      <c r="F72" s="474">
        <f>IFERROR(_xlfn.XLOOKUP(F$88, 'GEN-SOLAR'!$D$110:$BA$110, 'GEN-SOLAR'!$D$130:$BA$130)*'Assumptions &amp; Inputs'!$H$6, 0)</f>
        <v>0</v>
      </c>
      <c r="G72" s="474">
        <f>IFERROR(_xlfn.XLOOKUP(G$88, 'GEN-SOLAR'!$D$110:$BA$110, 'GEN-SOLAR'!$D$130:$BA$130)*'Assumptions &amp; Inputs'!$H$6, 0)</f>
        <v>0</v>
      </c>
      <c r="H72" s="474">
        <f>IFERROR(_xlfn.XLOOKUP(H$88, 'GEN-SOLAR'!$D$110:$BA$110, 'GEN-SOLAR'!$D$130:$BA$130)*'Assumptions &amp; Inputs'!$H$6, 0)</f>
        <v>0</v>
      </c>
      <c r="I72" s="474">
        <f>IFERROR(_xlfn.XLOOKUP(I$88, 'GEN-SOLAR'!$D$110:$BA$110, 'GEN-SOLAR'!$D$130:$BA$130)*'Assumptions &amp; Inputs'!$H$6, 0)</f>
        <v>0</v>
      </c>
      <c r="J72" s="474">
        <f>IFERROR(_xlfn.XLOOKUP(J$88, 'GEN-SOLAR'!$D$110:$BA$110, 'GEN-SOLAR'!$D$130:$BA$130)*'Assumptions &amp; Inputs'!$H$6, 0)</f>
        <v>0</v>
      </c>
      <c r="K72" s="474">
        <f>IFERROR(_xlfn.XLOOKUP(K$88, 'GEN-SOLAR'!$D$110:$BA$110, 'GEN-SOLAR'!$D$130:$BA$130)*'Assumptions &amp; Inputs'!$H$6, 0)</f>
        <v>0</v>
      </c>
      <c r="L72" s="474">
        <f>IFERROR(_xlfn.XLOOKUP(L$88, 'GEN-SOLAR'!$D$110:$BA$110, 'GEN-SOLAR'!$D$130:$BA$130)*'Assumptions &amp; Inputs'!$H$6, 0)</f>
        <v>0</v>
      </c>
      <c r="M72" s="474">
        <f>IFERROR(_xlfn.XLOOKUP(M$88, 'GEN-SOLAR'!$D$110:$BA$110, 'GEN-SOLAR'!$D$130:$BA$130)*'Assumptions &amp; Inputs'!$H$6, 0)</f>
        <v>0</v>
      </c>
      <c r="N72" s="474">
        <f>IFERROR(_xlfn.XLOOKUP(N$88, 'GEN-SOLAR'!$D$110:$BA$110, 'GEN-SOLAR'!$D$130:$BA$130)*'Assumptions &amp; Inputs'!$H$6, 0)</f>
        <v>0</v>
      </c>
      <c r="O72" s="474">
        <f>IFERROR(_xlfn.XLOOKUP(O$88, 'GEN-SOLAR'!$D$110:$BA$110, 'GEN-SOLAR'!$D$130:$BA$130)*'Assumptions &amp; Inputs'!$H$6, 0)</f>
        <v>0</v>
      </c>
      <c r="P72" s="474">
        <f>IFERROR(_xlfn.XLOOKUP(P$88, 'GEN-SOLAR'!$D$110:$BA$110, 'GEN-SOLAR'!$D$130:$BA$130)*'Assumptions &amp; Inputs'!$H$6, 0)</f>
        <v>0</v>
      </c>
      <c r="Q72" s="474">
        <f>IFERROR(_xlfn.XLOOKUP(Q$88, 'GEN-SOLAR'!$D$110:$BA$110, 'GEN-SOLAR'!$D$130:$BA$130)*'Assumptions &amp; Inputs'!$H$6, 0)</f>
        <v>0</v>
      </c>
      <c r="R72" s="474">
        <f>IFERROR(_xlfn.XLOOKUP(R$88, 'GEN-SOLAR'!$D$110:$BA$110, 'GEN-SOLAR'!$D$130:$BA$130)*'Assumptions &amp; Inputs'!$H$6, 0)</f>
        <v>0</v>
      </c>
      <c r="S72" s="474">
        <f>IFERROR(_xlfn.XLOOKUP(S$88, 'GEN-SOLAR'!$D$110:$BA$110, 'GEN-SOLAR'!$D$130:$BA$130)*'Assumptions &amp; Inputs'!$H$6, 0)</f>
        <v>0</v>
      </c>
      <c r="T72" s="474">
        <f>IFERROR(_xlfn.XLOOKUP(T$88, 'GEN-SOLAR'!$D$110:$BA$110, 'GEN-SOLAR'!$D$130:$BA$130)*'Assumptions &amp; Inputs'!$H$6, 0)</f>
        <v>0</v>
      </c>
      <c r="U72" s="474">
        <f>IFERROR(_xlfn.XLOOKUP(U$88, 'GEN-SOLAR'!$D$110:$BA$110, 'GEN-SOLAR'!$D$130:$BA$130)*'Assumptions &amp; Inputs'!$H$6, 0)</f>
        <v>0</v>
      </c>
      <c r="V72" s="474">
        <f>IFERROR(_xlfn.XLOOKUP(V$88, 'GEN-SOLAR'!$D$110:$BA$110, 'GEN-SOLAR'!$D$130:$BA$130)*'Assumptions &amp; Inputs'!$H$6, 0)</f>
        <v>0</v>
      </c>
      <c r="W72" s="474">
        <f>IFERROR(_xlfn.XLOOKUP(W$88, 'GEN-SOLAR'!$D$110:$BA$110, 'GEN-SOLAR'!$D$130:$BA$130)*'Assumptions &amp; Inputs'!$H$6, 0)</f>
        <v>0</v>
      </c>
      <c r="X72" s="474">
        <f>IFERROR(_xlfn.XLOOKUP(X$88, 'GEN-SOLAR'!$D$110:$BA$110, 'GEN-SOLAR'!$D$130:$BA$130)*'Assumptions &amp; Inputs'!$H$6, 0)</f>
        <v>0</v>
      </c>
      <c r="Y72" s="474">
        <f>IFERROR(_xlfn.XLOOKUP(Y$88, 'GEN-SOLAR'!$D$110:$BA$110, 'GEN-SOLAR'!$D$130:$BA$130)*'Assumptions &amp; Inputs'!$H$6, 0)</f>
        <v>0</v>
      </c>
      <c r="Z72" s="474">
        <f>IFERROR(_xlfn.XLOOKUP(Z$88, 'GEN-SOLAR'!$D$110:$BA$110, 'GEN-SOLAR'!$D$130:$BA$130)*'Assumptions &amp; Inputs'!$H$6, 0)</f>
        <v>0</v>
      </c>
      <c r="AA72" s="474">
        <f>IFERROR(_xlfn.XLOOKUP(AA$88, 'GEN-SOLAR'!$D$110:$BA$110, 'GEN-SOLAR'!$D$130:$BA$130)*'Assumptions &amp; Inputs'!$H$6, 0)</f>
        <v>0</v>
      </c>
      <c r="AB72" s="474">
        <f>IFERROR(_xlfn.XLOOKUP(AB$88, 'GEN-SOLAR'!$D$110:$BA$110, 'GEN-SOLAR'!$D$130:$BA$130)*'Assumptions &amp; Inputs'!$H$6, 0)</f>
        <v>0</v>
      </c>
      <c r="AC72" s="474">
        <f>IFERROR(_xlfn.XLOOKUP(AC$88, 'GEN-SOLAR'!$D$110:$BA$110, 'GEN-SOLAR'!$D$130:$BA$130)*'Assumptions &amp; Inputs'!$H$6, 0)</f>
        <v>0</v>
      </c>
      <c r="AD72" s="474">
        <f>IFERROR(_xlfn.XLOOKUP(AD$88, 'GEN-SOLAR'!$D$110:$BA$110, 'GEN-SOLAR'!$D$130:$BA$130)*'Assumptions &amp; Inputs'!$H$6, 0)</f>
        <v>0</v>
      </c>
      <c r="AE72" s="474">
        <f>IFERROR(_xlfn.XLOOKUP(AE$88, 'GEN-SOLAR'!$D$110:$BA$110, 'GEN-SOLAR'!$D$130:$BA$130)*'Assumptions &amp; Inputs'!$H$6, 0)</f>
        <v>0</v>
      </c>
      <c r="AF72" s="474">
        <f>IFERROR(_xlfn.XLOOKUP(AF$88, 'GEN-SOLAR'!$D$110:$BA$110, 'GEN-SOLAR'!$D$130:$BA$130)*'Assumptions &amp; Inputs'!$H$6, 0)</f>
        <v>0</v>
      </c>
      <c r="AG72" s="474">
        <f>IFERROR(_xlfn.XLOOKUP(AG$88, 'GEN-SOLAR'!$D$110:$BA$110, 'GEN-SOLAR'!$D$130:$BA$130)*'Assumptions &amp; Inputs'!$H$6, 0)</f>
        <v>0</v>
      </c>
      <c r="AH72" s="474">
        <f>IFERROR(_xlfn.XLOOKUP(AH$88, 'GEN-SOLAR'!$D$110:$BA$110, 'GEN-SOLAR'!$D$130:$BA$130)*'Assumptions &amp; Inputs'!$H$6, 0)</f>
        <v>0</v>
      </c>
      <c r="AI72" s="474">
        <f>IFERROR(_xlfn.XLOOKUP(AI$88, 'GEN-SOLAR'!$D$110:$BA$110, 'GEN-SOLAR'!$D$130:$BA$130)*'Assumptions &amp; Inputs'!$H$6, 0)</f>
        <v>0</v>
      </c>
      <c r="AJ72" s="474">
        <f>IFERROR(_xlfn.XLOOKUP(AJ$88, 'GEN-SOLAR'!$D$110:$BA$110, 'GEN-SOLAR'!$D$130:$BA$130)*'Assumptions &amp; Inputs'!$H$6, 0)</f>
        <v>0</v>
      </c>
      <c r="AK72" s="474">
        <f>IFERROR(_xlfn.XLOOKUP(AK$88, 'GEN-SOLAR'!$D$110:$BA$110, 'GEN-SOLAR'!$D$130:$BA$130)*'Assumptions &amp; Inputs'!$H$6, 0)</f>
        <v>0</v>
      </c>
      <c r="AL72" s="474">
        <f>IFERROR(_xlfn.XLOOKUP(AL$88, 'GEN-SOLAR'!$D$110:$BA$110, 'GEN-SOLAR'!$D$130:$BA$130)*'Assumptions &amp; Inputs'!$H$6, 0)</f>
        <v>0</v>
      </c>
      <c r="AM72" s="474">
        <f>IFERROR(_xlfn.XLOOKUP(AM$88, 'GEN-SOLAR'!$D$110:$BA$110, 'GEN-SOLAR'!$D$130:$BA$130)*'Assumptions &amp; Inputs'!$H$6, 0)</f>
        <v>0</v>
      </c>
      <c r="AN72" s="474">
        <f>IFERROR(_xlfn.XLOOKUP(AN$88, 'GEN-SOLAR'!$D$110:$BA$110, 'GEN-SOLAR'!$D$130:$BA$130)*'Assumptions &amp; Inputs'!$H$6, 0)</f>
        <v>0</v>
      </c>
      <c r="AO72" s="474">
        <f>IFERROR(_xlfn.XLOOKUP(AO$88, 'GEN-SOLAR'!$D$110:$BA$110, 'GEN-SOLAR'!$D$130:$BA$130)*'Assumptions &amp; Inputs'!$H$6, 0)</f>
        <v>0</v>
      </c>
      <c r="AP72" s="474">
        <f>IFERROR(_xlfn.XLOOKUP(AP$88, 'GEN-SOLAR'!$D$110:$BA$110, 'GEN-SOLAR'!$D$130:$BA$130)*'Assumptions &amp; Inputs'!$H$6, 0)</f>
        <v>0</v>
      </c>
      <c r="AQ72" s="474">
        <f>IFERROR(_xlfn.XLOOKUP(AQ$88, 'GEN-SOLAR'!$D$110:$BA$110, 'GEN-SOLAR'!$D$130:$BA$130)*'Assumptions &amp; Inputs'!$H$6, 0)</f>
        <v>0</v>
      </c>
      <c r="AR72" s="474">
        <f>IFERROR(_xlfn.XLOOKUP(AR$88, 'GEN-SOLAR'!$D$110:$BA$110, 'GEN-SOLAR'!$D$130:$BA$130)*'Assumptions &amp; Inputs'!$H$6, 0)</f>
        <v>0</v>
      </c>
      <c r="AS72" s="474">
        <f>IFERROR(_xlfn.XLOOKUP(AS$88, 'GEN-SOLAR'!$D$110:$BA$110, 'GEN-SOLAR'!$D$130:$BA$130)*'Assumptions &amp; Inputs'!$H$6, 0)</f>
        <v>0</v>
      </c>
      <c r="AT72" s="474">
        <f>IFERROR(_xlfn.XLOOKUP(AT$88, 'GEN-SOLAR'!$D$110:$BA$110, 'GEN-SOLAR'!$D$130:$BA$130)*'Assumptions &amp; Inputs'!$H$6, 0)</f>
        <v>0</v>
      </c>
      <c r="AU72" s="474">
        <f>IFERROR(_xlfn.XLOOKUP(AU$88, 'GEN-SOLAR'!$D$110:$BA$110, 'GEN-SOLAR'!$D$130:$BA$130)*'Assumptions &amp; Inputs'!$H$6, 0)</f>
        <v>0</v>
      </c>
      <c r="AV72" s="474">
        <f>IFERROR(_xlfn.XLOOKUP(AV$88, 'GEN-SOLAR'!$D$110:$BA$110, 'GEN-SOLAR'!$D$130:$BA$130)*'Assumptions &amp; Inputs'!$H$6, 0)</f>
        <v>0</v>
      </c>
      <c r="AW72" s="474">
        <f>IFERROR(_xlfn.XLOOKUP(AW$88, 'GEN-SOLAR'!$D$110:$BA$110, 'GEN-SOLAR'!$D$130:$BA$130)*'Assumptions &amp; Inputs'!$H$6, 0)</f>
        <v>0</v>
      </c>
      <c r="AX72" s="474">
        <f>IFERROR(_xlfn.XLOOKUP(AX$88, 'GEN-SOLAR'!$D$110:$BA$110, 'GEN-SOLAR'!$D$130:$BA$130)*'Assumptions &amp; Inputs'!$H$6, 0)</f>
        <v>0</v>
      </c>
    </row>
    <row r="73" spans="1:50" ht="14.25" customHeight="1">
      <c r="A73" s="1"/>
      <c r="B73" s="84"/>
      <c r="C73" s="748" t="s">
        <v>372</v>
      </c>
      <c r="D73" s="83"/>
      <c r="E73" s="474">
        <f>IFERROR(_xlfn.XLOOKUP(E$88, 'GEN-BESS'!$D$110:$BA$110, 'GEN-BESS'!$D$134:$BA$134)*'Assumptions &amp; Inputs'!$F$6, 0)</f>
        <v>0</v>
      </c>
      <c r="F73" s="474">
        <f>IFERROR(_xlfn.XLOOKUP(F$88, 'GEN-BESS'!$D$110:$BA$110, 'GEN-BESS'!$D$134:$BA$134)*'Assumptions &amp; Inputs'!$F$6, 0)</f>
        <v>0</v>
      </c>
      <c r="G73" s="474">
        <f>IFERROR(_xlfn.XLOOKUP(G$88, 'GEN-BESS'!$D$110:$BA$110, 'GEN-BESS'!$D$134:$BA$134)*'Assumptions &amp; Inputs'!$F$6, 0)</f>
        <v>0</v>
      </c>
      <c r="H73" s="474">
        <f>IFERROR(_xlfn.XLOOKUP(H$88, 'GEN-BESS'!$D$110:$BA$110, 'GEN-BESS'!$D$134:$BA$134)*'Assumptions &amp; Inputs'!$F$6, 0)</f>
        <v>0</v>
      </c>
      <c r="I73" s="474">
        <f>IFERROR(_xlfn.XLOOKUP(I$88, 'GEN-BESS'!$D$110:$BA$110, 'GEN-BESS'!$D$134:$BA$134)*'Assumptions &amp; Inputs'!$F$6, 0)</f>
        <v>0</v>
      </c>
      <c r="J73" s="474">
        <f>IFERROR(_xlfn.XLOOKUP(J$88, 'GEN-BESS'!$D$110:$BA$110, 'GEN-BESS'!$D$134:$BA$134)*'Assumptions &amp; Inputs'!$F$6, 0)</f>
        <v>0</v>
      </c>
      <c r="K73" s="474">
        <f>IFERROR(_xlfn.XLOOKUP(K$88, 'GEN-BESS'!$D$110:$BA$110, 'GEN-BESS'!$D$134:$BA$134)*'Assumptions &amp; Inputs'!$F$6, 0)</f>
        <v>0</v>
      </c>
      <c r="L73" s="474">
        <f>IFERROR(_xlfn.XLOOKUP(L$88, 'GEN-BESS'!$D$110:$BA$110, 'GEN-BESS'!$D$134:$BA$134)*'Assumptions &amp; Inputs'!$F$6, 0)</f>
        <v>0</v>
      </c>
      <c r="M73" s="474">
        <f>IFERROR(_xlfn.XLOOKUP(M$88, 'GEN-BESS'!$D$110:$BA$110, 'GEN-BESS'!$D$134:$BA$134)*'Assumptions &amp; Inputs'!$F$6, 0)</f>
        <v>0</v>
      </c>
      <c r="N73" s="474">
        <f>IFERROR(_xlfn.XLOOKUP(N$88, 'GEN-BESS'!$D$110:$BA$110, 'GEN-BESS'!$D$134:$BA$134)*'Assumptions &amp; Inputs'!$F$6, 0)</f>
        <v>0</v>
      </c>
      <c r="O73" s="474">
        <f>IFERROR(_xlfn.XLOOKUP(O$88, 'GEN-BESS'!$D$110:$BA$110, 'GEN-BESS'!$D$134:$BA$134)*'Assumptions &amp; Inputs'!$F$6, 0)</f>
        <v>0</v>
      </c>
      <c r="P73" s="474">
        <f>IFERROR(_xlfn.XLOOKUP(P$88, 'GEN-BESS'!$D$110:$BA$110, 'GEN-BESS'!$D$134:$BA$134)*'Assumptions &amp; Inputs'!$F$6, 0)</f>
        <v>0</v>
      </c>
      <c r="Q73" s="474">
        <f>IFERROR(_xlfn.XLOOKUP(Q$88, 'GEN-BESS'!$D$110:$BA$110, 'GEN-BESS'!$D$134:$BA$134)*'Assumptions &amp; Inputs'!$F$6, 0)</f>
        <v>0</v>
      </c>
      <c r="R73" s="474">
        <f>IFERROR(_xlfn.XLOOKUP(R$88, 'GEN-BESS'!$D$110:$BA$110, 'GEN-BESS'!$D$134:$BA$134)*'Assumptions &amp; Inputs'!$F$6, 0)</f>
        <v>0</v>
      </c>
      <c r="S73" s="474">
        <f>IFERROR(_xlfn.XLOOKUP(S$88, 'GEN-BESS'!$D$110:$BA$110, 'GEN-BESS'!$D$134:$BA$134)*'Assumptions &amp; Inputs'!$F$6, 0)</f>
        <v>0</v>
      </c>
      <c r="T73" s="474">
        <f>IFERROR(_xlfn.XLOOKUP(T$88, 'GEN-BESS'!$D$110:$BA$110, 'GEN-BESS'!$D$134:$BA$134)*'Assumptions &amp; Inputs'!$F$6, 0)</f>
        <v>0</v>
      </c>
      <c r="U73" s="474">
        <f>IFERROR(_xlfn.XLOOKUP(U$88, 'GEN-BESS'!$D$110:$BA$110, 'GEN-BESS'!$D$134:$BA$134)*'Assumptions &amp; Inputs'!$F$6, 0)</f>
        <v>0</v>
      </c>
      <c r="V73" s="474">
        <f>IFERROR(_xlfn.XLOOKUP(V$88, 'GEN-BESS'!$D$110:$BA$110, 'GEN-BESS'!$D$134:$BA$134)*'Assumptions &amp; Inputs'!$F$6, 0)</f>
        <v>0</v>
      </c>
      <c r="W73" s="474">
        <f>IFERROR(_xlfn.XLOOKUP(W$88, 'GEN-BESS'!$D$110:$BA$110, 'GEN-BESS'!$D$134:$BA$134)*'Assumptions &amp; Inputs'!$F$6, 0)</f>
        <v>0</v>
      </c>
      <c r="X73" s="474">
        <f>IFERROR(_xlfn.XLOOKUP(X$88, 'GEN-BESS'!$D$110:$BA$110, 'GEN-BESS'!$D$134:$BA$134)*'Assumptions &amp; Inputs'!$F$6, 0)</f>
        <v>0</v>
      </c>
      <c r="Y73" s="474">
        <f>IFERROR(_xlfn.XLOOKUP(Y$88, 'GEN-BESS'!$D$110:$BA$110, 'GEN-BESS'!$D$134:$BA$134)*'Assumptions &amp; Inputs'!$F$6, 0)</f>
        <v>0</v>
      </c>
      <c r="Z73" s="474">
        <f>IFERROR(_xlfn.XLOOKUP(Z$88, 'GEN-BESS'!$D$110:$BA$110, 'GEN-BESS'!$D$134:$BA$134)*'Assumptions &amp; Inputs'!$F$6, 0)</f>
        <v>0</v>
      </c>
      <c r="AA73" s="474">
        <f>IFERROR(_xlfn.XLOOKUP(AA$88, 'GEN-BESS'!$D$110:$BA$110, 'GEN-BESS'!$D$134:$BA$134)*'Assumptions &amp; Inputs'!$F$6, 0)</f>
        <v>0</v>
      </c>
      <c r="AB73" s="474">
        <f>IFERROR(_xlfn.XLOOKUP(AB$88, 'GEN-BESS'!$D$110:$BA$110, 'GEN-BESS'!$D$134:$BA$134)*'Assumptions &amp; Inputs'!$F$6, 0)</f>
        <v>0</v>
      </c>
      <c r="AC73" s="474">
        <f>IFERROR(_xlfn.XLOOKUP(AC$88, 'GEN-BESS'!$D$110:$BA$110, 'GEN-BESS'!$D$134:$BA$134)*'Assumptions &amp; Inputs'!$F$6, 0)</f>
        <v>0</v>
      </c>
      <c r="AD73" s="474">
        <f>IFERROR(_xlfn.XLOOKUP(AD$88, 'GEN-BESS'!$D$110:$BA$110, 'GEN-BESS'!$D$134:$BA$134)*'Assumptions &amp; Inputs'!$F$6, 0)</f>
        <v>0</v>
      </c>
      <c r="AE73" s="474">
        <f>IFERROR(_xlfn.XLOOKUP(AE$88, 'GEN-BESS'!$D$110:$BA$110, 'GEN-BESS'!$D$134:$BA$134)*'Assumptions &amp; Inputs'!$F$6, 0)</f>
        <v>0</v>
      </c>
      <c r="AF73" s="474">
        <f>IFERROR(_xlfn.XLOOKUP(AF$88, 'GEN-BESS'!$D$110:$BA$110, 'GEN-BESS'!$D$134:$BA$134)*'Assumptions &amp; Inputs'!$F$6, 0)</f>
        <v>0</v>
      </c>
      <c r="AG73" s="474">
        <f>IFERROR(_xlfn.XLOOKUP(AG$88, 'GEN-BESS'!$D$110:$BA$110, 'GEN-BESS'!$D$134:$BA$134)*'Assumptions &amp; Inputs'!$F$6, 0)</f>
        <v>0</v>
      </c>
      <c r="AH73" s="474">
        <f>IFERROR(_xlfn.XLOOKUP(AH$88, 'GEN-BESS'!$D$110:$BA$110, 'GEN-BESS'!$D$134:$BA$134)*'Assumptions &amp; Inputs'!$F$6, 0)</f>
        <v>0</v>
      </c>
      <c r="AI73" s="474">
        <f>IFERROR(_xlfn.XLOOKUP(AI$88, 'GEN-BESS'!$D$110:$BA$110, 'GEN-BESS'!$D$134:$BA$134)*'Assumptions &amp; Inputs'!$F$6, 0)</f>
        <v>0</v>
      </c>
      <c r="AJ73" s="474">
        <f>IFERROR(_xlfn.XLOOKUP(AJ$88, 'GEN-BESS'!$D$110:$BA$110, 'GEN-BESS'!$D$134:$BA$134)*'Assumptions &amp; Inputs'!$F$6, 0)</f>
        <v>0</v>
      </c>
      <c r="AK73" s="474">
        <f>IFERROR(_xlfn.XLOOKUP(AK$88, 'GEN-BESS'!$D$110:$BA$110, 'GEN-BESS'!$D$134:$BA$134)*'Assumptions &amp; Inputs'!$F$6, 0)</f>
        <v>0</v>
      </c>
      <c r="AL73" s="474">
        <f>IFERROR(_xlfn.XLOOKUP(AL$88, 'GEN-BESS'!$D$110:$BA$110, 'GEN-BESS'!$D$134:$BA$134)*'Assumptions &amp; Inputs'!$F$6, 0)</f>
        <v>0</v>
      </c>
      <c r="AM73" s="474">
        <f>IFERROR(_xlfn.XLOOKUP(AM$88, 'GEN-BESS'!$D$110:$BA$110, 'GEN-BESS'!$D$134:$BA$134)*'Assumptions &amp; Inputs'!$F$6, 0)</f>
        <v>0</v>
      </c>
      <c r="AN73" s="474">
        <f>IFERROR(_xlfn.XLOOKUP(AN$88, 'GEN-BESS'!$D$110:$BA$110, 'GEN-BESS'!$D$134:$BA$134)*'Assumptions &amp; Inputs'!$F$6, 0)</f>
        <v>0</v>
      </c>
      <c r="AO73" s="474">
        <f>IFERROR(_xlfn.XLOOKUP(AO$88, 'GEN-BESS'!$D$110:$BA$110, 'GEN-BESS'!$D$134:$BA$134)*'Assumptions &amp; Inputs'!$F$6, 0)</f>
        <v>0</v>
      </c>
      <c r="AP73" s="474">
        <f>IFERROR(_xlfn.XLOOKUP(AP$88, 'GEN-BESS'!$D$110:$BA$110, 'GEN-BESS'!$D$134:$BA$134)*'Assumptions &amp; Inputs'!$F$6, 0)</f>
        <v>0</v>
      </c>
      <c r="AQ73" s="474">
        <f>IFERROR(_xlfn.XLOOKUP(AQ$88, 'GEN-BESS'!$D$110:$BA$110, 'GEN-BESS'!$D$134:$BA$134)*'Assumptions &amp; Inputs'!$F$6, 0)</f>
        <v>0</v>
      </c>
      <c r="AR73" s="474">
        <f>IFERROR(_xlfn.XLOOKUP(AR$88, 'GEN-BESS'!$D$110:$BA$110, 'GEN-BESS'!$D$134:$BA$134)*'Assumptions &amp; Inputs'!$F$6, 0)</f>
        <v>0</v>
      </c>
      <c r="AS73" s="474">
        <f>IFERROR(_xlfn.XLOOKUP(AS$88, 'GEN-BESS'!$D$110:$BA$110, 'GEN-BESS'!$D$134:$BA$134)*'Assumptions &amp; Inputs'!$F$6, 0)</f>
        <v>0</v>
      </c>
      <c r="AT73" s="474">
        <f>IFERROR(_xlfn.XLOOKUP(AT$88, 'GEN-BESS'!$D$110:$BA$110, 'GEN-BESS'!$D$134:$BA$134)*'Assumptions &amp; Inputs'!$F$6, 0)</f>
        <v>0</v>
      </c>
      <c r="AU73" s="474">
        <f>IFERROR(_xlfn.XLOOKUP(AU$88, 'GEN-BESS'!$D$110:$BA$110, 'GEN-BESS'!$D$134:$BA$134)*'Assumptions &amp; Inputs'!$F$6, 0)</f>
        <v>0</v>
      </c>
      <c r="AV73" s="474">
        <f>IFERROR(_xlfn.XLOOKUP(AV$88, 'GEN-BESS'!$D$110:$BA$110, 'GEN-BESS'!$D$134:$BA$134)*'Assumptions &amp; Inputs'!$F$6, 0)</f>
        <v>0</v>
      </c>
      <c r="AW73" s="474">
        <f>IFERROR(_xlfn.XLOOKUP(AW$88, 'GEN-BESS'!$D$110:$BA$110, 'GEN-BESS'!$D$134:$BA$134)*'Assumptions &amp; Inputs'!$F$6, 0)</f>
        <v>0</v>
      </c>
      <c r="AX73" s="474">
        <f>IFERROR(_xlfn.XLOOKUP(AX$88, 'GEN-BESS'!$D$110:$BA$110, 'GEN-BESS'!$D$134:$BA$134)*'Assumptions &amp; Inputs'!$F$6, 0)</f>
        <v>0</v>
      </c>
    </row>
    <row r="74" spans="1:50" ht="14.25" customHeight="1">
      <c r="A74" s="1"/>
      <c r="B74" s="84"/>
      <c r="C74" s="748" t="s">
        <v>373</v>
      </c>
      <c r="D74" s="83"/>
      <c r="E74" s="474">
        <f>IFERROR(_xlfn.XLOOKUP(E$88, 'GEN-CCGT'!$D$110:$BA$110, 'GEN-CCGT'!$D$131:$BA$131)*'Assumptions &amp; Inputs'!$G$6, 0)</f>
        <v>0</v>
      </c>
      <c r="F74" s="474">
        <f>IFERROR(_xlfn.XLOOKUP(F$88, 'GEN-CCGT'!$D$110:$BA$110, 'GEN-CCGT'!$D$131:$BA$131)*'Assumptions &amp; Inputs'!$G$6, 0)</f>
        <v>0</v>
      </c>
      <c r="G74" s="474">
        <f>IFERROR(_xlfn.XLOOKUP(G$88, 'GEN-CCGT'!$D$110:$BA$110, 'GEN-CCGT'!$D$131:$BA$131)*'Assumptions &amp; Inputs'!$G$6, 0)</f>
        <v>0</v>
      </c>
      <c r="H74" s="474">
        <f>IFERROR(_xlfn.XLOOKUP(H$88, 'GEN-CCGT'!$D$110:$BA$110, 'GEN-CCGT'!$D$131:$BA$131)*'Assumptions &amp; Inputs'!$G$6, 0)</f>
        <v>0</v>
      </c>
      <c r="I74" s="474">
        <f>IFERROR(_xlfn.XLOOKUP(I$88, 'GEN-CCGT'!$D$110:$BA$110, 'GEN-CCGT'!$D$131:$BA$131)*'Assumptions &amp; Inputs'!$G$6, 0)</f>
        <v>0</v>
      </c>
      <c r="J74" s="474">
        <f>IFERROR(_xlfn.XLOOKUP(J$88, 'GEN-CCGT'!$D$110:$BA$110, 'GEN-CCGT'!$D$131:$BA$131)*'Assumptions &amp; Inputs'!$G$6, 0)</f>
        <v>0</v>
      </c>
      <c r="K74" s="474">
        <f>IFERROR(_xlfn.XLOOKUP(K$88, 'GEN-CCGT'!$D$110:$BA$110, 'GEN-CCGT'!$D$131:$BA$131)*'Assumptions &amp; Inputs'!$G$6, 0)</f>
        <v>0</v>
      </c>
      <c r="L74" s="474">
        <f>IFERROR(_xlfn.XLOOKUP(L$88, 'GEN-CCGT'!$D$110:$BA$110, 'GEN-CCGT'!$D$131:$BA$131)*'Assumptions &amp; Inputs'!$G$6, 0)</f>
        <v>0</v>
      </c>
      <c r="M74" s="474">
        <f>IFERROR(_xlfn.XLOOKUP(M$88, 'GEN-CCGT'!$D$110:$BA$110, 'GEN-CCGT'!$D$131:$BA$131)*'Assumptions &amp; Inputs'!$G$6, 0)</f>
        <v>0</v>
      </c>
      <c r="N74" s="474">
        <f>IFERROR(_xlfn.XLOOKUP(N$88, 'GEN-CCGT'!$D$110:$BA$110, 'GEN-CCGT'!$D$131:$BA$131)*'Assumptions &amp; Inputs'!$G$6, 0)</f>
        <v>0</v>
      </c>
      <c r="O74" s="474">
        <f>IFERROR(_xlfn.XLOOKUP(O$88, 'GEN-CCGT'!$D$110:$BA$110, 'GEN-CCGT'!$D$131:$BA$131)*'Assumptions &amp; Inputs'!$G$6, 0)</f>
        <v>0</v>
      </c>
      <c r="P74" s="474">
        <f>IFERROR(_xlfn.XLOOKUP(P$88, 'GEN-CCGT'!$D$110:$BA$110, 'GEN-CCGT'!$D$131:$BA$131)*'Assumptions &amp; Inputs'!$G$6, 0)</f>
        <v>0</v>
      </c>
      <c r="Q74" s="474">
        <f>IFERROR(_xlfn.XLOOKUP(Q$88, 'GEN-CCGT'!$D$110:$BA$110, 'GEN-CCGT'!$D$131:$BA$131)*'Assumptions &amp; Inputs'!$G$6, 0)</f>
        <v>0</v>
      </c>
      <c r="R74" s="474">
        <f>IFERROR(_xlfn.XLOOKUP(R$88, 'GEN-CCGT'!$D$110:$BA$110, 'GEN-CCGT'!$D$131:$BA$131)*'Assumptions &amp; Inputs'!$G$6, 0)</f>
        <v>0</v>
      </c>
      <c r="S74" s="474">
        <f>IFERROR(_xlfn.XLOOKUP(S$88, 'GEN-CCGT'!$D$110:$BA$110, 'GEN-CCGT'!$D$131:$BA$131)*'Assumptions &amp; Inputs'!$G$6, 0)</f>
        <v>0</v>
      </c>
      <c r="T74" s="474">
        <f>IFERROR(_xlfn.XLOOKUP(T$88, 'GEN-CCGT'!$D$110:$BA$110, 'GEN-CCGT'!$D$131:$BA$131)*'Assumptions &amp; Inputs'!$G$6, 0)</f>
        <v>0</v>
      </c>
      <c r="U74" s="474">
        <f>IFERROR(_xlfn.XLOOKUP(U$88, 'GEN-CCGT'!$D$110:$BA$110, 'GEN-CCGT'!$D$131:$BA$131)*'Assumptions &amp; Inputs'!$G$6, 0)</f>
        <v>0</v>
      </c>
      <c r="V74" s="474">
        <f>IFERROR(_xlfn.XLOOKUP(V$88, 'GEN-CCGT'!$D$110:$BA$110, 'GEN-CCGT'!$D$131:$BA$131)*'Assumptions &amp; Inputs'!$G$6, 0)</f>
        <v>0</v>
      </c>
      <c r="W74" s="474">
        <f>IFERROR(_xlfn.XLOOKUP(W$88, 'GEN-CCGT'!$D$110:$BA$110, 'GEN-CCGT'!$D$131:$BA$131)*'Assumptions &amp; Inputs'!$G$6, 0)</f>
        <v>0</v>
      </c>
      <c r="X74" s="474">
        <f>IFERROR(_xlfn.XLOOKUP(X$88, 'GEN-CCGT'!$D$110:$BA$110, 'GEN-CCGT'!$D$131:$BA$131)*'Assumptions &amp; Inputs'!$G$6, 0)</f>
        <v>0</v>
      </c>
      <c r="Y74" s="474">
        <f>IFERROR(_xlfn.XLOOKUP(Y$88, 'GEN-CCGT'!$D$110:$BA$110, 'GEN-CCGT'!$D$131:$BA$131)*'Assumptions &amp; Inputs'!$G$6, 0)</f>
        <v>0</v>
      </c>
      <c r="Z74" s="474">
        <f>IFERROR(_xlfn.XLOOKUP(Z$88, 'GEN-CCGT'!$D$110:$BA$110, 'GEN-CCGT'!$D$131:$BA$131)*'Assumptions &amp; Inputs'!$G$6, 0)</f>
        <v>0</v>
      </c>
      <c r="AA74" s="474">
        <f>IFERROR(_xlfn.XLOOKUP(AA$88, 'GEN-CCGT'!$D$110:$BA$110, 'GEN-CCGT'!$D$131:$BA$131)*'Assumptions &amp; Inputs'!$G$6, 0)</f>
        <v>0</v>
      </c>
      <c r="AB74" s="474">
        <f>IFERROR(_xlfn.XLOOKUP(AB$88, 'GEN-CCGT'!$D$110:$BA$110, 'GEN-CCGT'!$D$131:$BA$131)*'Assumptions &amp; Inputs'!$G$6, 0)</f>
        <v>0</v>
      </c>
      <c r="AC74" s="474">
        <f>IFERROR(_xlfn.XLOOKUP(AC$88, 'GEN-CCGT'!$D$110:$BA$110, 'GEN-CCGT'!$D$131:$BA$131)*'Assumptions &amp; Inputs'!$G$6, 0)</f>
        <v>0</v>
      </c>
      <c r="AD74" s="474">
        <f>IFERROR(_xlfn.XLOOKUP(AD$88, 'GEN-CCGT'!$D$110:$BA$110, 'GEN-CCGT'!$D$131:$BA$131)*'Assumptions &amp; Inputs'!$G$6, 0)</f>
        <v>0</v>
      </c>
      <c r="AE74" s="474">
        <f>IFERROR(_xlfn.XLOOKUP(AE$88, 'GEN-CCGT'!$D$110:$BA$110, 'GEN-CCGT'!$D$131:$BA$131)*'Assumptions &amp; Inputs'!$G$6, 0)</f>
        <v>0</v>
      </c>
      <c r="AF74" s="474">
        <f>IFERROR(_xlfn.XLOOKUP(AF$88, 'GEN-CCGT'!$D$110:$BA$110, 'GEN-CCGT'!$D$131:$BA$131)*'Assumptions &amp; Inputs'!$G$6, 0)</f>
        <v>0</v>
      </c>
      <c r="AG74" s="474">
        <f>IFERROR(_xlfn.XLOOKUP(AG$88, 'GEN-CCGT'!$D$110:$BA$110, 'GEN-CCGT'!$D$131:$BA$131)*'Assumptions &amp; Inputs'!$G$6, 0)</f>
        <v>0</v>
      </c>
      <c r="AH74" s="474">
        <f>IFERROR(_xlfn.XLOOKUP(AH$88, 'GEN-CCGT'!$D$110:$BA$110, 'GEN-CCGT'!$D$131:$BA$131)*'Assumptions &amp; Inputs'!$G$6, 0)</f>
        <v>0</v>
      </c>
      <c r="AI74" s="474">
        <f>IFERROR(_xlfn.XLOOKUP(AI$88, 'GEN-CCGT'!$D$110:$BA$110, 'GEN-CCGT'!$D$131:$BA$131)*'Assumptions &amp; Inputs'!$G$6, 0)</f>
        <v>0</v>
      </c>
      <c r="AJ74" s="474">
        <f>IFERROR(_xlfn.XLOOKUP(AJ$88, 'GEN-CCGT'!$D$110:$BA$110, 'GEN-CCGT'!$D$131:$BA$131)*'Assumptions &amp; Inputs'!$G$6, 0)</f>
        <v>0</v>
      </c>
      <c r="AK74" s="474">
        <f>IFERROR(_xlfn.XLOOKUP(AK$88, 'GEN-CCGT'!$D$110:$BA$110, 'GEN-CCGT'!$D$131:$BA$131)*'Assumptions &amp; Inputs'!$G$6, 0)</f>
        <v>0</v>
      </c>
      <c r="AL74" s="474">
        <f>IFERROR(_xlfn.XLOOKUP(AL$88, 'GEN-CCGT'!$D$110:$BA$110, 'GEN-CCGT'!$D$131:$BA$131)*'Assumptions &amp; Inputs'!$G$6, 0)</f>
        <v>0</v>
      </c>
      <c r="AM74" s="474">
        <f>IFERROR(_xlfn.XLOOKUP(AM$88, 'GEN-CCGT'!$D$110:$BA$110, 'GEN-CCGT'!$D$131:$BA$131)*'Assumptions &amp; Inputs'!$G$6, 0)</f>
        <v>0</v>
      </c>
      <c r="AN74" s="474">
        <f>IFERROR(_xlfn.XLOOKUP(AN$88, 'GEN-CCGT'!$D$110:$BA$110, 'GEN-CCGT'!$D$131:$BA$131)*'Assumptions &amp; Inputs'!$G$6, 0)</f>
        <v>0</v>
      </c>
      <c r="AO74" s="474">
        <f>IFERROR(_xlfn.XLOOKUP(AO$88, 'GEN-CCGT'!$D$110:$BA$110, 'GEN-CCGT'!$D$131:$BA$131)*'Assumptions &amp; Inputs'!$G$6, 0)</f>
        <v>0</v>
      </c>
      <c r="AP74" s="474">
        <f>IFERROR(_xlfn.XLOOKUP(AP$88, 'GEN-CCGT'!$D$110:$BA$110, 'GEN-CCGT'!$D$131:$BA$131)*'Assumptions &amp; Inputs'!$G$6, 0)</f>
        <v>0</v>
      </c>
      <c r="AQ74" s="474">
        <f>IFERROR(_xlfn.XLOOKUP(AQ$88, 'GEN-CCGT'!$D$110:$BA$110, 'GEN-CCGT'!$D$131:$BA$131)*'Assumptions &amp; Inputs'!$G$6, 0)</f>
        <v>0</v>
      </c>
      <c r="AR74" s="474">
        <f>IFERROR(_xlfn.XLOOKUP(AR$88, 'GEN-CCGT'!$D$110:$BA$110, 'GEN-CCGT'!$D$131:$BA$131)*'Assumptions &amp; Inputs'!$G$6, 0)</f>
        <v>0</v>
      </c>
      <c r="AS74" s="474">
        <f>IFERROR(_xlfn.XLOOKUP(AS$88, 'GEN-CCGT'!$D$110:$BA$110, 'GEN-CCGT'!$D$131:$BA$131)*'Assumptions &amp; Inputs'!$G$6, 0)</f>
        <v>0</v>
      </c>
      <c r="AT74" s="474">
        <f>IFERROR(_xlfn.XLOOKUP(AT$88, 'GEN-CCGT'!$D$110:$BA$110, 'GEN-CCGT'!$D$131:$BA$131)*'Assumptions &amp; Inputs'!$G$6, 0)</f>
        <v>0</v>
      </c>
      <c r="AU74" s="474">
        <f>IFERROR(_xlfn.XLOOKUP(AU$88, 'GEN-CCGT'!$D$110:$BA$110, 'GEN-CCGT'!$D$131:$BA$131)*'Assumptions &amp; Inputs'!$G$6, 0)</f>
        <v>0</v>
      </c>
      <c r="AV74" s="474">
        <f>IFERROR(_xlfn.XLOOKUP(AV$88, 'GEN-CCGT'!$D$110:$BA$110, 'GEN-CCGT'!$D$131:$BA$131)*'Assumptions &amp; Inputs'!$G$6, 0)</f>
        <v>0</v>
      </c>
      <c r="AW74" s="474">
        <f>IFERROR(_xlfn.XLOOKUP(AW$88, 'GEN-CCGT'!$D$110:$BA$110, 'GEN-CCGT'!$D$131:$BA$131)*'Assumptions &amp; Inputs'!$G$6, 0)</f>
        <v>0</v>
      </c>
      <c r="AX74" s="474">
        <f>IFERROR(_xlfn.XLOOKUP(AX$88, 'GEN-CCGT'!$D$110:$BA$110, 'GEN-CCGT'!$D$131:$BA$131)*'Assumptions &amp; Inputs'!$G$6, 0)</f>
        <v>0</v>
      </c>
    </row>
    <row r="75" spans="1:50" ht="14.25" customHeight="1">
      <c r="A75" s="1"/>
      <c r="B75" s="84"/>
      <c r="C75" s="748" t="s">
        <v>374</v>
      </c>
      <c r="D75" s="83"/>
      <c r="E75" s="469">
        <f>IFERROR(_xlfn.XLOOKUP(E$88, 'GEN-CARBON'!$D$110:$BA$110, 'GEN-CARBON'!$D$131:$BA$131)*'Assumptions &amp; Inputs'!$I$6, 0)</f>
        <v>0</v>
      </c>
      <c r="F75" s="469">
        <f>IFERROR(_xlfn.XLOOKUP(F$88, 'GEN-CARBON'!$D$110:$BA$110, 'GEN-CARBON'!$D$131:$BA$131)*'Assumptions &amp; Inputs'!$I$6, 0)</f>
        <v>0</v>
      </c>
      <c r="G75" s="469">
        <f>IFERROR(_xlfn.XLOOKUP(G$88, 'GEN-CARBON'!$D$110:$BA$110, 'GEN-CARBON'!$D$131:$BA$131)*'Assumptions &amp; Inputs'!$I$6, 0)</f>
        <v>0</v>
      </c>
      <c r="H75" s="469">
        <f>IFERROR(_xlfn.XLOOKUP(H$88, 'GEN-CARBON'!$D$110:$BA$110, 'GEN-CARBON'!$D$131:$BA$131)*'Assumptions &amp; Inputs'!$I$6, 0)</f>
        <v>0</v>
      </c>
      <c r="I75" s="469">
        <f>IFERROR(_xlfn.XLOOKUP(I$88, 'GEN-CARBON'!$D$110:$BA$110, 'GEN-CARBON'!$D$131:$BA$131)*'Assumptions &amp; Inputs'!$I$6, 0)</f>
        <v>0</v>
      </c>
      <c r="J75" s="469">
        <f>IFERROR(_xlfn.XLOOKUP(J$88, 'GEN-CARBON'!$D$110:$BA$110, 'GEN-CARBON'!$D$131:$BA$131)*'Assumptions &amp; Inputs'!$I$6, 0)</f>
        <v>0</v>
      </c>
      <c r="K75" s="469">
        <f>IFERROR(_xlfn.XLOOKUP(K$88, 'GEN-CARBON'!$D$110:$BA$110, 'GEN-CARBON'!$D$131:$BA$131)*'Assumptions &amp; Inputs'!$I$6, 0)</f>
        <v>0</v>
      </c>
      <c r="L75" s="469">
        <f>IFERROR(_xlfn.XLOOKUP(L$88, 'GEN-CARBON'!$D$110:$BA$110, 'GEN-CARBON'!$D$131:$BA$131)*'Assumptions &amp; Inputs'!$I$6, 0)</f>
        <v>0</v>
      </c>
      <c r="M75" s="469">
        <f>IFERROR(_xlfn.XLOOKUP(M$88, 'GEN-CARBON'!$D$110:$BA$110, 'GEN-CARBON'!$D$131:$BA$131)*'Assumptions &amp; Inputs'!$I$6, 0)</f>
        <v>0</v>
      </c>
      <c r="N75" s="469">
        <f>IFERROR(_xlfn.XLOOKUP(N$88, 'GEN-CARBON'!$D$110:$BA$110, 'GEN-CARBON'!$D$131:$BA$131)*'Assumptions &amp; Inputs'!$I$6, 0)</f>
        <v>0</v>
      </c>
      <c r="O75" s="469">
        <f>IFERROR(_xlfn.XLOOKUP(O$88, 'GEN-CARBON'!$D$110:$BA$110, 'GEN-CARBON'!$D$131:$BA$131)*'Assumptions &amp; Inputs'!$I$6, 0)</f>
        <v>0</v>
      </c>
      <c r="P75" s="469">
        <f>IFERROR(_xlfn.XLOOKUP(P$88, 'GEN-CARBON'!$D$110:$BA$110, 'GEN-CARBON'!$D$131:$BA$131)*'Assumptions &amp; Inputs'!$I$6, 0)</f>
        <v>0</v>
      </c>
      <c r="Q75" s="469">
        <f>IFERROR(_xlfn.XLOOKUP(Q$88, 'GEN-CARBON'!$D$110:$BA$110, 'GEN-CARBON'!$D$131:$BA$131)*'Assumptions &amp; Inputs'!$I$6, 0)</f>
        <v>0</v>
      </c>
      <c r="R75" s="469">
        <f>IFERROR(_xlfn.XLOOKUP(R$88, 'GEN-CARBON'!$D$110:$BA$110, 'GEN-CARBON'!$D$131:$BA$131)*'Assumptions &amp; Inputs'!$I$6, 0)</f>
        <v>0</v>
      </c>
      <c r="S75" s="469">
        <f>IFERROR(_xlfn.XLOOKUP(S$88, 'GEN-CARBON'!$D$110:$BA$110, 'GEN-CARBON'!$D$131:$BA$131)*'Assumptions &amp; Inputs'!$I$6, 0)</f>
        <v>0</v>
      </c>
      <c r="T75" s="469">
        <f>IFERROR(_xlfn.XLOOKUP(T$88, 'GEN-CARBON'!$D$110:$BA$110, 'GEN-CARBON'!$D$131:$BA$131)*'Assumptions &amp; Inputs'!$I$6, 0)</f>
        <v>0</v>
      </c>
      <c r="U75" s="469">
        <f>IFERROR(_xlfn.XLOOKUP(U$88, 'GEN-CARBON'!$D$110:$BA$110, 'GEN-CARBON'!$D$131:$BA$131)*'Assumptions &amp; Inputs'!$I$6, 0)</f>
        <v>0</v>
      </c>
      <c r="V75" s="469">
        <f>IFERROR(_xlfn.XLOOKUP(V$88, 'GEN-CARBON'!$D$110:$BA$110, 'GEN-CARBON'!$D$131:$BA$131)*'Assumptions &amp; Inputs'!$I$6, 0)</f>
        <v>0</v>
      </c>
      <c r="W75" s="469">
        <f>IFERROR(_xlfn.XLOOKUP(W$88, 'GEN-CARBON'!$D$110:$BA$110, 'GEN-CARBON'!$D$131:$BA$131)*'Assumptions &amp; Inputs'!$I$6, 0)</f>
        <v>0</v>
      </c>
      <c r="X75" s="469">
        <f>IFERROR(_xlfn.XLOOKUP(X$88, 'GEN-CARBON'!$D$110:$BA$110, 'GEN-CARBON'!$D$131:$BA$131)*'Assumptions &amp; Inputs'!$I$6, 0)</f>
        <v>0</v>
      </c>
      <c r="Y75" s="469">
        <f>IFERROR(_xlfn.XLOOKUP(Y$88, 'GEN-CARBON'!$D$110:$BA$110, 'GEN-CARBON'!$D$131:$BA$131)*'Assumptions &amp; Inputs'!$I$6, 0)</f>
        <v>0</v>
      </c>
      <c r="Z75" s="469">
        <f>IFERROR(_xlfn.XLOOKUP(Z$88, 'GEN-CARBON'!$D$110:$BA$110, 'GEN-CARBON'!$D$131:$BA$131)*'Assumptions &amp; Inputs'!$I$6, 0)</f>
        <v>0</v>
      </c>
      <c r="AA75" s="469">
        <f>IFERROR(_xlfn.XLOOKUP(AA$88, 'GEN-CARBON'!$D$110:$BA$110, 'GEN-CARBON'!$D$131:$BA$131)*'Assumptions &amp; Inputs'!$I$6, 0)</f>
        <v>0</v>
      </c>
      <c r="AB75" s="469">
        <f>IFERROR(_xlfn.XLOOKUP(AB$88, 'GEN-CARBON'!$D$110:$BA$110, 'GEN-CARBON'!$D$131:$BA$131)*'Assumptions &amp; Inputs'!$I$6, 0)</f>
        <v>0</v>
      </c>
      <c r="AC75" s="469">
        <f>IFERROR(_xlfn.XLOOKUP(AC$88, 'GEN-CARBON'!$D$110:$BA$110, 'GEN-CARBON'!$D$131:$BA$131)*'Assumptions &amp; Inputs'!$I$6, 0)</f>
        <v>0</v>
      </c>
      <c r="AD75" s="469">
        <f>IFERROR(_xlfn.XLOOKUP(AD$88, 'GEN-CARBON'!$D$110:$BA$110, 'GEN-CARBON'!$D$131:$BA$131)*'Assumptions &amp; Inputs'!$I$6, 0)</f>
        <v>0</v>
      </c>
      <c r="AE75" s="469">
        <f>IFERROR(_xlfn.XLOOKUP(AE$88, 'GEN-CARBON'!$D$110:$BA$110, 'GEN-CARBON'!$D$131:$BA$131)*'Assumptions &amp; Inputs'!$I$6, 0)</f>
        <v>0</v>
      </c>
      <c r="AF75" s="469">
        <f>IFERROR(_xlfn.XLOOKUP(AF$88, 'GEN-CARBON'!$D$110:$BA$110, 'GEN-CARBON'!$D$131:$BA$131)*'Assumptions &amp; Inputs'!$I$6, 0)</f>
        <v>0</v>
      </c>
      <c r="AG75" s="469">
        <f>IFERROR(_xlfn.XLOOKUP(AG$88, 'GEN-CARBON'!$D$110:$BA$110, 'GEN-CARBON'!$D$131:$BA$131)*'Assumptions &amp; Inputs'!$I$6, 0)</f>
        <v>0</v>
      </c>
      <c r="AH75" s="469">
        <f>IFERROR(_xlfn.XLOOKUP(AH$88, 'GEN-CARBON'!$D$110:$BA$110, 'GEN-CARBON'!$D$131:$BA$131)*'Assumptions &amp; Inputs'!$I$6, 0)</f>
        <v>0</v>
      </c>
      <c r="AI75" s="469">
        <f>IFERROR(_xlfn.XLOOKUP(AI$88, 'GEN-CARBON'!$D$110:$BA$110, 'GEN-CARBON'!$D$131:$BA$131)*'Assumptions &amp; Inputs'!$I$6, 0)</f>
        <v>0</v>
      </c>
      <c r="AJ75" s="469">
        <f>IFERROR(_xlfn.XLOOKUP(AJ$88, 'GEN-CARBON'!$D$110:$BA$110, 'GEN-CARBON'!$D$131:$BA$131)*'Assumptions &amp; Inputs'!$I$6, 0)</f>
        <v>0</v>
      </c>
      <c r="AK75" s="469">
        <f>IFERROR(_xlfn.XLOOKUP(AK$88, 'GEN-CARBON'!$D$110:$BA$110, 'GEN-CARBON'!$D$131:$BA$131)*'Assumptions &amp; Inputs'!$I$6, 0)</f>
        <v>0</v>
      </c>
      <c r="AL75" s="469">
        <f>IFERROR(_xlfn.XLOOKUP(AL$88, 'GEN-CARBON'!$D$110:$BA$110, 'GEN-CARBON'!$D$131:$BA$131)*'Assumptions &amp; Inputs'!$I$6, 0)</f>
        <v>0</v>
      </c>
      <c r="AM75" s="469">
        <f>IFERROR(_xlfn.XLOOKUP(AM$88, 'GEN-CARBON'!$D$110:$BA$110, 'GEN-CARBON'!$D$131:$BA$131)*'Assumptions &amp; Inputs'!$I$6, 0)</f>
        <v>0</v>
      </c>
      <c r="AN75" s="469">
        <f>IFERROR(_xlfn.XLOOKUP(AN$88, 'GEN-CARBON'!$D$110:$BA$110, 'GEN-CARBON'!$D$131:$BA$131)*'Assumptions &amp; Inputs'!$I$6, 0)</f>
        <v>0</v>
      </c>
      <c r="AO75" s="469">
        <f>IFERROR(_xlfn.XLOOKUP(AO$88, 'GEN-CARBON'!$D$110:$BA$110, 'GEN-CARBON'!$D$131:$BA$131)*'Assumptions &amp; Inputs'!$I$6, 0)</f>
        <v>0</v>
      </c>
      <c r="AP75" s="469">
        <f>IFERROR(_xlfn.XLOOKUP(AP$88, 'GEN-CARBON'!$D$110:$BA$110, 'GEN-CARBON'!$D$131:$BA$131)*'Assumptions &amp; Inputs'!$I$6, 0)</f>
        <v>0</v>
      </c>
      <c r="AQ75" s="469">
        <f>IFERROR(_xlfn.XLOOKUP(AQ$88, 'GEN-CARBON'!$D$110:$BA$110, 'GEN-CARBON'!$D$131:$BA$131)*'Assumptions &amp; Inputs'!$I$6, 0)</f>
        <v>0</v>
      </c>
      <c r="AR75" s="469">
        <f>IFERROR(_xlfn.XLOOKUP(AR$88, 'GEN-CARBON'!$D$110:$BA$110, 'GEN-CARBON'!$D$131:$BA$131)*'Assumptions &amp; Inputs'!$I$6, 0)</f>
        <v>0</v>
      </c>
      <c r="AS75" s="469">
        <f>IFERROR(_xlfn.XLOOKUP(AS$88, 'GEN-CARBON'!$D$110:$BA$110, 'GEN-CARBON'!$D$131:$BA$131)*'Assumptions &amp; Inputs'!$I$6, 0)</f>
        <v>0</v>
      </c>
      <c r="AT75" s="469">
        <f>IFERROR(_xlfn.XLOOKUP(AT$88, 'GEN-CARBON'!$D$110:$BA$110, 'GEN-CARBON'!$D$131:$BA$131)*'Assumptions &amp; Inputs'!$I$6, 0)</f>
        <v>0</v>
      </c>
      <c r="AU75" s="469">
        <f>IFERROR(_xlfn.XLOOKUP(AU$88, 'GEN-CARBON'!$D$110:$BA$110, 'GEN-CARBON'!$D$131:$BA$131)*'Assumptions &amp; Inputs'!$I$6, 0)</f>
        <v>0</v>
      </c>
      <c r="AV75" s="469">
        <f>IFERROR(_xlfn.XLOOKUP(AV$88, 'GEN-CARBON'!$D$110:$BA$110, 'GEN-CARBON'!$D$131:$BA$131)*'Assumptions &amp; Inputs'!$I$6, 0)</f>
        <v>0</v>
      </c>
      <c r="AW75" s="469">
        <f>IFERROR(_xlfn.XLOOKUP(AW$88, 'GEN-CARBON'!$D$110:$BA$110, 'GEN-CARBON'!$D$131:$BA$131)*'Assumptions &amp; Inputs'!$I$6, 0)</f>
        <v>0</v>
      </c>
      <c r="AX75" s="469">
        <f>IFERROR(_xlfn.XLOOKUP(AX$88, 'GEN-CARBON'!$D$110:$BA$110, 'GEN-CARBON'!$D$131:$BA$131)*'Assumptions &amp; Inputs'!$I$6, 0)</f>
        <v>0</v>
      </c>
    </row>
    <row r="76" spans="1:50" ht="14.25" customHeight="1">
      <c r="A76" s="1"/>
      <c r="B76" s="84"/>
      <c r="C76" s="748"/>
      <c r="D76" s="745"/>
      <c r="E76" s="469"/>
      <c r="F76" s="469"/>
      <c r="G76" s="469"/>
      <c r="H76" s="469"/>
      <c r="I76" s="469"/>
      <c r="J76" s="469"/>
      <c r="K76" s="469"/>
      <c r="L76" s="469"/>
      <c r="M76" s="469"/>
      <c r="N76" s="469"/>
      <c r="O76" s="469"/>
      <c r="P76" s="469"/>
      <c r="Q76" s="469"/>
      <c r="R76" s="469"/>
      <c r="S76" s="469"/>
      <c r="T76" s="469"/>
      <c r="U76" s="469"/>
      <c r="V76" s="469"/>
      <c r="W76" s="469"/>
      <c r="X76" s="469"/>
      <c r="Y76" s="469"/>
      <c r="Z76" s="469"/>
      <c r="AA76" s="469"/>
      <c r="AB76" s="469"/>
      <c r="AC76" s="469"/>
      <c r="AD76" s="469"/>
      <c r="AE76" s="469"/>
      <c r="AF76" s="469"/>
      <c r="AG76" s="469"/>
      <c r="AH76" s="469"/>
      <c r="AI76" s="469"/>
      <c r="AJ76" s="469"/>
      <c r="AK76" s="469"/>
      <c r="AL76" s="469"/>
      <c r="AM76" s="469"/>
      <c r="AN76" s="469"/>
      <c r="AO76" s="469"/>
      <c r="AP76" s="469"/>
      <c r="AQ76" s="469"/>
      <c r="AR76" s="469"/>
      <c r="AS76" s="469"/>
      <c r="AT76" s="469"/>
      <c r="AU76" s="469"/>
      <c r="AV76" s="469"/>
      <c r="AW76" s="469"/>
      <c r="AX76" s="470"/>
    </row>
    <row r="77" spans="1:50" ht="14.25" customHeight="1">
      <c r="A77" s="1"/>
      <c r="B77" s="84"/>
      <c r="C77" s="310" t="s">
        <v>377</v>
      </c>
      <c r="D77" s="244"/>
      <c r="E77" s="228">
        <f>SUM(E60:E63)+SUM(E66:E69)+SUM(E72:E75)</f>
        <v>0</v>
      </c>
      <c r="F77" s="228">
        <f>SUM(F60:F63)+SUM(F66:F69)+SUM(F72:F75)</f>
        <v>7.266905416965356</v>
      </c>
      <c r="G77" s="228">
        <f t="shared" ref="G77:AX77" si="9">SUM(G60:G63)+SUM(G66:G69)+SUM(G72:G75)</f>
        <v>15.692463420497774</v>
      </c>
      <c r="H77" s="228">
        <f t="shared" si="9"/>
        <v>32.728838545964024</v>
      </c>
      <c r="I77" s="228">
        <f t="shared" si="9"/>
        <v>73.181093018849623</v>
      </c>
      <c r="J77" s="228">
        <f t="shared" si="9"/>
        <v>81.132192026263354</v>
      </c>
      <c r="K77" s="228">
        <f t="shared" si="9"/>
        <v>82.935692441880462</v>
      </c>
      <c r="L77" s="228">
        <f t="shared" si="9"/>
        <v>84.764680598790207</v>
      </c>
      <c r="M77" s="228">
        <f t="shared" si="9"/>
        <v>86.619484785230824</v>
      </c>
      <c r="N77" s="228">
        <f t="shared" si="9"/>
        <v>88.50043558984396</v>
      </c>
      <c r="O77" s="228">
        <f t="shared" si="9"/>
        <v>90.407865841145451</v>
      </c>
      <c r="P77" s="228">
        <f t="shared" si="9"/>
        <v>92.342110542932119</v>
      </c>
      <c r="Q77" s="228">
        <f t="shared" si="9"/>
        <v>94.303506805463968</v>
      </c>
      <c r="R77" s="228">
        <f t="shared" si="9"/>
        <v>96.292393772253959</v>
      </c>
      <c r="S77" s="228">
        <f t="shared" si="9"/>
        <v>98.309112542294457</v>
      </c>
      <c r="T77" s="228">
        <f t="shared" si="9"/>
        <v>100.3540060875404</v>
      </c>
      <c r="U77" s="228">
        <f t="shared" si="9"/>
        <v>102.42741916546655</v>
      </c>
      <c r="V77" s="228">
        <f t="shared" si="9"/>
        <v>104.52969822650606</v>
      </c>
      <c r="W77" s="228">
        <f t="shared" si="9"/>
        <v>106.66119131617533</v>
      </c>
      <c r="X77" s="228">
        <f t="shared" si="9"/>
        <v>108.8222479716801</v>
      </c>
      <c r="Y77" s="228">
        <f t="shared" si="9"/>
        <v>111.01321911279199</v>
      </c>
      <c r="Z77" s="228">
        <f t="shared" si="9"/>
        <v>113.23445692677845</v>
      </c>
      <c r="AA77" s="228">
        <f t="shared" si="9"/>
        <v>115.48631474716032</v>
      </c>
      <c r="AB77" s="228">
        <f t="shared" si="9"/>
        <v>117.76914692606412</v>
      </c>
      <c r="AC77" s="228">
        <f t="shared" si="9"/>
        <v>120.08330869992949</v>
      </c>
      <c r="AD77" s="228">
        <f t="shared" si="9"/>
        <v>122.42915604832149</v>
      </c>
      <c r="AE77" s="228">
        <f t="shared" si="9"/>
        <v>124.80704554559225</v>
      </c>
      <c r="AF77" s="228">
        <f t="shared" si="9"/>
        <v>106.36100232125719</v>
      </c>
      <c r="AG77" s="228">
        <f t="shared" si="9"/>
        <v>108.57488232196179</v>
      </c>
      <c r="AH77" s="228">
        <f t="shared" si="9"/>
        <v>59.12972885973646</v>
      </c>
      <c r="AI77" s="228">
        <f t="shared" si="9"/>
        <v>-2.3219929889830952E-6</v>
      </c>
      <c r="AJ77" s="228">
        <f t="shared" si="9"/>
        <v>-2.3916527786525884E-6</v>
      </c>
      <c r="AK77" s="228">
        <f t="shared" si="9"/>
        <v>-2.4634023620121658E-6</v>
      </c>
      <c r="AL77" s="228">
        <f t="shared" si="9"/>
        <v>-2.537304432872531E-6</v>
      </c>
      <c r="AM77" s="228">
        <f t="shared" si="9"/>
        <v>-2.6134235658587073E-6</v>
      </c>
      <c r="AN77" s="228">
        <f t="shared" si="9"/>
        <v>-2.6918262728344683E-6</v>
      </c>
      <c r="AO77" s="228">
        <f t="shared" si="9"/>
        <v>-2.7725810610195027E-6</v>
      </c>
      <c r="AP77" s="228">
        <f t="shared" si="9"/>
        <v>-2.8557584928500874E-6</v>
      </c>
      <c r="AQ77" s="228">
        <f t="shared" si="9"/>
        <v>-2.9414312476355905E-6</v>
      </c>
      <c r="AR77" s="228">
        <f t="shared" si="9"/>
        <v>-3.0296741850646581E-6</v>
      </c>
      <c r="AS77" s="228">
        <f t="shared" si="9"/>
        <v>-3.1205644106165973E-6</v>
      </c>
      <c r="AT77" s="228">
        <f t="shared" si="9"/>
        <v>-3.2141813429350959E-6</v>
      </c>
      <c r="AU77" s="228">
        <f t="shared" si="9"/>
        <v>-3.310606783223149E-6</v>
      </c>
      <c r="AV77" s="228">
        <f t="shared" si="9"/>
        <v>-3.4099249867198433E-6</v>
      </c>
      <c r="AW77" s="228">
        <f t="shared" si="9"/>
        <v>-3.5122227363214387E-6</v>
      </c>
      <c r="AX77" s="311">
        <f t="shared" si="9"/>
        <v>-3.6175894184110823E-6</v>
      </c>
    </row>
    <row r="78" spans="1:50" ht="14.25" customHeight="1">
      <c r="A78" s="2"/>
      <c r="B78" s="83"/>
      <c r="C78" s="296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308"/>
    </row>
    <row r="79" spans="1:50" ht="14.25" customHeight="1">
      <c r="A79" s="2"/>
      <c r="B79" s="83"/>
      <c r="C79" s="296" t="s">
        <v>378</v>
      </c>
      <c r="D79" s="83"/>
      <c r="E79" s="289">
        <f>SUM(E32:E35, E51, E60:E63)</f>
        <v>0</v>
      </c>
      <c r="F79" s="289">
        <f>SUM(F32:F35, F51, F60:F63)</f>
        <v>326.81535900065489</v>
      </c>
      <c r="G79" s="289">
        <f>SUM(G32:G35, G51, G60:G63)</f>
        <v>453.21655279824898</v>
      </c>
      <c r="H79" s="289">
        <f t="shared" ref="H79:AX79" si="10">SUM(H32:H35, H51, H60:H63)</f>
        <v>494.80795942661103</v>
      </c>
      <c r="I79" s="289">
        <f t="shared" si="10"/>
        <v>583.80275577905809</v>
      </c>
      <c r="J79" s="289">
        <f t="shared" si="10"/>
        <v>607.79362567289559</v>
      </c>
      <c r="K79" s="289">
        <f t="shared" si="10"/>
        <v>618.91505786722655</v>
      </c>
      <c r="L79" s="289">
        <f t="shared" si="10"/>
        <v>630.27674624330621</v>
      </c>
      <c r="M79" s="289">
        <f t="shared" si="10"/>
        <v>641.88407082489857</v>
      </c>
      <c r="N79" s="289">
        <f t="shared" si="10"/>
        <v>653.74253795971072</v>
      </c>
      <c r="O79" s="289">
        <f t="shared" si="10"/>
        <v>665.85778342918729</v>
      </c>
      <c r="P79" s="289">
        <f t="shared" si="10"/>
        <v>678.23557563835573</v>
      </c>
      <c r="Q79" s="289">
        <f t="shared" si="10"/>
        <v>690.88181888786664</v>
      </c>
      <c r="R79" s="289">
        <f t="shared" si="10"/>
        <v>703.80255673043348</v>
      </c>
      <c r="S79" s="289">
        <f t="shared" si="10"/>
        <v>717.00397541393011</v>
      </c>
      <c r="T79" s="289">
        <f t="shared" si="10"/>
        <v>730.49240741347535</v>
      </c>
      <c r="U79" s="289">
        <f t="shared" si="10"/>
        <v>744.27433505489228</v>
      </c>
      <c r="V79" s="289">
        <f t="shared" si="10"/>
        <v>758.35639423199802</v>
      </c>
      <c r="W79" s="289">
        <f t="shared" si="10"/>
        <v>772.74537822024899</v>
      </c>
      <c r="X79" s="289">
        <f t="shared" si="10"/>
        <v>787.44824158933511</v>
      </c>
      <c r="Y79" s="289">
        <f t="shared" si="10"/>
        <v>802.47210421738976</v>
      </c>
      <c r="Z79" s="289">
        <f t="shared" si="10"/>
        <v>817.82425540955296</v>
      </c>
      <c r="AA79" s="289">
        <f t="shared" si="10"/>
        <v>833.51215812370754</v>
      </c>
      <c r="AB79" s="289">
        <f t="shared" si="10"/>
        <v>849.54345330627973</v>
      </c>
      <c r="AC79" s="289">
        <f t="shared" si="10"/>
        <v>865.92596434108157</v>
      </c>
      <c r="AD79" s="289">
        <f t="shared" si="10"/>
        <v>882.6677016142504</v>
      </c>
      <c r="AE79" s="289">
        <f t="shared" si="10"/>
        <v>899.77686719843257</v>
      </c>
      <c r="AF79" s="289">
        <f t="shared" si="10"/>
        <v>172.96894868138418</v>
      </c>
      <c r="AG79" s="289">
        <f t="shared" si="10"/>
        <v>175.5138830406039</v>
      </c>
      <c r="AH79" s="289">
        <f t="shared" si="10"/>
        <v>103.49631675374741</v>
      </c>
      <c r="AI79" s="289">
        <f t="shared" si="10"/>
        <v>0</v>
      </c>
      <c r="AJ79" s="289">
        <f t="shared" si="10"/>
        <v>0</v>
      </c>
      <c r="AK79" s="289">
        <f t="shared" si="10"/>
        <v>0</v>
      </c>
      <c r="AL79" s="289">
        <f t="shared" si="10"/>
        <v>0</v>
      </c>
      <c r="AM79" s="289">
        <f t="shared" si="10"/>
        <v>0</v>
      </c>
      <c r="AN79" s="289">
        <f t="shared" si="10"/>
        <v>0</v>
      </c>
      <c r="AO79" s="289">
        <f t="shared" si="10"/>
        <v>0</v>
      </c>
      <c r="AP79" s="289">
        <f t="shared" si="10"/>
        <v>0</v>
      </c>
      <c r="AQ79" s="289">
        <f t="shared" si="10"/>
        <v>0</v>
      </c>
      <c r="AR79" s="289">
        <f t="shared" si="10"/>
        <v>0</v>
      </c>
      <c r="AS79" s="289">
        <f t="shared" si="10"/>
        <v>0</v>
      </c>
      <c r="AT79" s="289">
        <f t="shared" si="10"/>
        <v>0</v>
      </c>
      <c r="AU79" s="289">
        <f t="shared" si="10"/>
        <v>0</v>
      </c>
      <c r="AV79" s="289">
        <f t="shared" si="10"/>
        <v>0</v>
      </c>
      <c r="AW79" s="289">
        <f t="shared" si="10"/>
        <v>0</v>
      </c>
      <c r="AX79" s="312">
        <f t="shared" si="10"/>
        <v>0</v>
      </c>
    </row>
    <row r="80" spans="1:50" ht="14.25" customHeight="1">
      <c r="A80" s="2"/>
      <c r="B80" s="83"/>
      <c r="C80" s="296" t="s">
        <v>379</v>
      </c>
      <c r="D80" s="83"/>
      <c r="E80" s="289">
        <f>SUM(E66:E69, E38:E41)</f>
        <v>0</v>
      </c>
      <c r="F80" s="289">
        <f t="shared" ref="F80:AX80" si="11">SUM(F66:F69, F38:F41)</f>
        <v>-48.907643061560044</v>
      </c>
      <c r="G80" s="289">
        <f t="shared" si="11"/>
        <v>-65.374432431304726</v>
      </c>
      <c r="H80" s="289">
        <f t="shared" si="11"/>
        <v>-80.568443222052849</v>
      </c>
      <c r="I80" s="289">
        <f t="shared" si="11"/>
        <v>-100.86401641396066</v>
      </c>
      <c r="J80" s="289">
        <f t="shared" si="11"/>
        <v>-103.94370309320999</v>
      </c>
      <c r="K80" s="289">
        <f t="shared" si="11"/>
        <v>-104.57773644871108</v>
      </c>
      <c r="L80" s="289">
        <f t="shared" si="11"/>
        <v>-105.22932474593206</v>
      </c>
      <c r="M80" s="289">
        <f t="shared" si="11"/>
        <v>-105.89891150072881</v>
      </c>
      <c r="N80" s="289">
        <f t="shared" si="11"/>
        <v>-106.58695200451156</v>
      </c>
      <c r="O80" s="289">
        <f t="shared" si="11"/>
        <v>-107.29391364655234</v>
      </c>
      <c r="P80" s="289">
        <f t="shared" si="11"/>
        <v>-108.02027624534293</v>
      </c>
      <c r="Q80" s="289">
        <f t="shared" si="11"/>
        <v>-108.76653238926241</v>
      </c>
      <c r="R80" s="289">
        <f t="shared" si="11"/>
        <v>-109.533187786821</v>
      </c>
      <c r="S80" s="289">
        <f t="shared" si="11"/>
        <v>-110.32076162675452</v>
      </c>
      <c r="T80" s="289">
        <f t="shared" si="11"/>
        <v>-111.12978694825185</v>
      </c>
      <c r="U80" s="289">
        <f t="shared" si="11"/>
        <v>-111.96081102160618</v>
      </c>
      <c r="V80" s="289">
        <f t="shared" si="11"/>
        <v>-112.81439573958872</v>
      </c>
      <c r="W80" s="289">
        <f t="shared" si="11"/>
        <v>-113.69111801985298</v>
      </c>
      <c r="X80" s="289">
        <f t="shared" si="11"/>
        <v>-114.59157021868599</v>
      </c>
      <c r="Y80" s="289">
        <f t="shared" si="11"/>
        <v>-115.51636055643256</v>
      </c>
      <c r="Z80" s="289">
        <f t="shared" si="11"/>
        <v>-116.46611355492799</v>
      </c>
      <c r="AA80" s="289">
        <f t="shared" si="11"/>
        <v>-117.44147048728416</v>
      </c>
      <c r="AB80" s="289">
        <f t="shared" si="11"/>
        <v>-118.44308984038443</v>
      </c>
      <c r="AC80" s="289">
        <f t="shared" si="11"/>
        <v>-119.47164779045286</v>
      </c>
      <c r="AD80" s="289">
        <f t="shared" si="11"/>
        <v>-120.52783869207386</v>
      </c>
      <c r="AE80" s="289">
        <f t="shared" si="11"/>
        <v>-121.61237558104951</v>
      </c>
      <c r="AF80" s="289">
        <f t="shared" si="11"/>
        <v>-43.117216670012688</v>
      </c>
      <c r="AG80" s="289">
        <f t="shared" si="11"/>
        <v>-43.506997852753109</v>
      </c>
      <c r="AH80" s="289">
        <f t="shared" si="11"/>
        <v>-20.993165035286669</v>
      </c>
      <c r="AI80" s="289">
        <f t="shared" si="11"/>
        <v>-2.3219929889830952E-6</v>
      </c>
      <c r="AJ80" s="289">
        <f t="shared" si="11"/>
        <v>-2.3916527786525884E-6</v>
      </c>
      <c r="AK80" s="289">
        <f t="shared" si="11"/>
        <v>-2.4634023620121658E-6</v>
      </c>
      <c r="AL80" s="289">
        <f t="shared" si="11"/>
        <v>-2.537304432872531E-6</v>
      </c>
      <c r="AM80" s="289">
        <f t="shared" si="11"/>
        <v>-2.6134235658587073E-6</v>
      </c>
      <c r="AN80" s="289">
        <f t="shared" si="11"/>
        <v>-2.6918262728344683E-6</v>
      </c>
      <c r="AO80" s="289">
        <f t="shared" si="11"/>
        <v>-2.7725810610195027E-6</v>
      </c>
      <c r="AP80" s="289">
        <f t="shared" si="11"/>
        <v>-2.8557584928500874E-6</v>
      </c>
      <c r="AQ80" s="289">
        <f t="shared" si="11"/>
        <v>-2.9414312476355905E-6</v>
      </c>
      <c r="AR80" s="289">
        <f t="shared" si="11"/>
        <v>-3.0296741850646581E-6</v>
      </c>
      <c r="AS80" s="289">
        <f t="shared" si="11"/>
        <v>-3.1205644106165973E-6</v>
      </c>
      <c r="AT80" s="289">
        <f t="shared" si="11"/>
        <v>-3.2141813429350959E-6</v>
      </c>
      <c r="AU80" s="289">
        <f t="shared" si="11"/>
        <v>-3.310606783223149E-6</v>
      </c>
      <c r="AV80" s="289">
        <f t="shared" si="11"/>
        <v>-3.4099249867198433E-6</v>
      </c>
      <c r="AW80" s="289">
        <f t="shared" si="11"/>
        <v>-3.5122227363214387E-6</v>
      </c>
      <c r="AX80" s="312">
        <f t="shared" si="11"/>
        <v>-3.6175894184110823E-6</v>
      </c>
    </row>
    <row r="81" spans="1:50" ht="14.25" customHeight="1">
      <c r="A81" s="2"/>
      <c r="B81" s="83"/>
      <c r="C81" s="296" t="s">
        <v>380</v>
      </c>
      <c r="D81" s="83"/>
      <c r="E81" s="289">
        <f>SUM(E72:E75, E55, E44:E47)</f>
        <v>0</v>
      </c>
      <c r="F81" s="289">
        <f t="shared" ref="F81:AX81" si="12">SUM(F72:F75, F55, F44:F47)</f>
        <v>0</v>
      </c>
      <c r="G81" s="289">
        <f>SUM(G72:G75, G55, G44:G47)</f>
        <v>0</v>
      </c>
      <c r="H81" s="289">
        <f t="shared" si="12"/>
        <v>0</v>
      </c>
      <c r="I81" s="289">
        <f t="shared" si="12"/>
        <v>0</v>
      </c>
      <c r="J81" s="289">
        <f t="shared" si="12"/>
        <v>0</v>
      </c>
      <c r="K81" s="289">
        <f t="shared" si="12"/>
        <v>0</v>
      </c>
      <c r="L81" s="289">
        <f t="shared" si="12"/>
        <v>0</v>
      </c>
      <c r="M81" s="289">
        <f t="shared" si="12"/>
        <v>0</v>
      </c>
      <c r="N81" s="289">
        <f t="shared" si="12"/>
        <v>0</v>
      </c>
      <c r="O81" s="289">
        <f t="shared" si="12"/>
        <v>0</v>
      </c>
      <c r="P81" s="289">
        <f t="shared" si="12"/>
        <v>0</v>
      </c>
      <c r="Q81" s="289">
        <f t="shared" si="12"/>
        <v>0</v>
      </c>
      <c r="R81" s="289">
        <f t="shared" si="12"/>
        <v>0</v>
      </c>
      <c r="S81" s="289">
        <f t="shared" si="12"/>
        <v>0</v>
      </c>
      <c r="T81" s="289">
        <f t="shared" si="12"/>
        <v>0</v>
      </c>
      <c r="U81" s="289">
        <f t="shared" si="12"/>
        <v>0</v>
      </c>
      <c r="V81" s="289">
        <f t="shared" si="12"/>
        <v>0</v>
      </c>
      <c r="W81" s="289">
        <f t="shared" si="12"/>
        <v>0</v>
      </c>
      <c r="X81" s="289">
        <f t="shared" si="12"/>
        <v>0</v>
      </c>
      <c r="Y81" s="289">
        <f t="shared" si="12"/>
        <v>0</v>
      </c>
      <c r="Z81" s="289">
        <f t="shared" si="12"/>
        <v>0</v>
      </c>
      <c r="AA81" s="289">
        <f t="shared" si="12"/>
        <v>0</v>
      </c>
      <c r="AB81" s="289">
        <f t="shared" si="12"/>
        <v>0</v>
      </c>
      <c r="AC81" s="289">
        <f t="shared" si="12"/>
        <v>0</v>
      </c>
      <c r="AD81" s="289">
        <f t="shared" si="12"/>
        <v>0</v>
      </c>
      <c r="AE81" s="289">
        <f t="shared" si="12"/>
        <v>0</v>
      </c>
      <c r="AF81" s="289">
        <f t="shared" si="12"/>
        <v>0</v>
      </c>
      <c r="AG81" s="289">
        <f t="shared" si="12"/>
        <v>0</v>
      </c>
      <c r="AH81" s="289">
        <f t="shared" si="12"/>
        <v>0</v>
      </c>
      <c r="AI81" s="289">
        <f t="shared" si="12"/>
        <v>0</v>
      </c>
      <c r="AJ81" s="289">
        <f t="shared" si="12"/>
        <v>0</v>
      </c>
      <c r="AK81" s="289">
        <f t="shared" si="12"/>
        <v>0</v>
      </c>
      <c r="AL81" s="289">
        <f t="shared" si="12"/>
        <v>0</v>
      </c>
      <c r="AM81" s="289">
        <f t="shared" si="12"/>
        <v>0</v>
      </c>
      <c r="AN81" s="289">
        <f t="shared" si="12"/>
        <v>0</v>
      </c>
      <c r="AO81" s="289">
        <f t="shared" si="12"/>
        <v>0</v>
      </c>
      <c r="AP81" s="289">
        <f t="shared" si="12"/>
        <v>0</v>
      </c>
      <c r="AQ81" s="289">
        <f t="shared" si="12"/>
        <v>0</v>
      </c>
      <c r="AR81" s="289">
        <f t="shared" si="12"/>
        <v>0</v>
      </c>
      <c r="AS81" s="289">
        <f t="shared" si="12"/>
        <v>0</v>
      </c>
      <c r="AT81" s="289">
        <f t="shared" si="12"/>
        <v>0</v>
      </c>
      <c r="AU81" s="289">
        <f t="shared" si="12"/>
        <v>0</v>
      </c>
      <c r="AV81" s="289">
        <f t="shared" si="12"/>
        <v>0</v>
      </c>
      <c r="AW81" s="289">
        <f t="shared" si="12"/>
        <v>0</v>
      </c>
      <c r="AX81" s="312">
        <f t="shared" si="12"/>
        <v>0</v>
      </c>
    </row>
    <row r="82" spans="1:50" ht="14.25" customHeight="1" thickBot="1">
      <c r="A82" s="2"/>
      <c r="B82" s="83"/>
      <c r="C82" s="313" t="s">
        <v>381</v>
      </c>
      <c r="D82" s="314"/>
      <c r="E82" s="315">
        <f>E49+E57+E77</f>
        <v>0</v>
      </c>
      <c r="F82" s="315">
        <f>F49+F57+F77</f>
        <v>277.90771593909489</v>
      </c>
      <c r="G82" s="315">
        <f>G49+G57+G77</f>
        <v>387.8421203669443</v>
      </c>
      <c r="H82" s="315">
        <f t="shared" ref="H82:AX82" si="13">H49+H57+H77</f>
        <v>414.23951620455819</v>
      </c>
      <c r="I82" s="315">
        <f t="shared" si="13"/>
        <v>482.93873936509749</v>
      </c>
      <c r="J82" s="315">
        <f t="shared" si="13"/>
        <v>503.84992257968565</v>
      </c>
      <c r="K82" s="315">
        <f t="shared" si="13"/>
        <v>514.33732141851556</v>
      </c>
      <c r="L82" s="315">
        <f t="shared" si="13"/>
        <v>525.04742149737422</v>
      </c>
      <c r="M82" s="315">
        <f t="shared" si="13"/>
        <v>535.98515932416967</v>
      </c>
      <c r="N82" s="315">
        <f t="shared" si="13"/>
        <v>547.15558595519906</v>
      </c>
      <c r="O82" s="315">
        <f t="shared" si="13"/>
        <v>558.56386978263504</v>
      </c>
      <c r="P82" s="315">
        <f t="shared" si="13"/>
        <v>570.21529939301263</v>
      </c>
      <c r="Q82" s="315">
        <f t="shared" si="13"/>
        <v>582.11528649860418</v>
      </c>
      <c r="R82" s="315">
        <f t="shared" si="13"/>
        <v>594.26936894361233</v>
      </c>
      <c r="S82" s="315">
        <f t="shared" si="13"/>
        <v>606.68321378717553</v>
      </c>
      <c r="T82" s="315">
        <f t="shared" si="13"/>
        <v>619.36262046522336</v>
      </c>
      <c r="U82" s="315">
        <f t="shared" si="13"/>
        <v>632.31352403328594</v>
      </c>
      <c r="V82" s="315">
        <f t="shared" si="13"/>
        <v>645.54199849240933</v>
      </c>
      <c r="W82" s="315">
        <f t="shared" si="13"/>
        <v>659.05426020039579</v>
      </c>
      <c r="X82" s="315">
        <f t="shared" si="13"/>
        <v>672.85667137064911</v>
      </c>
      <c r="Y82" s="315">
        <f t="shared" si="13"/>
        <v>686.95574366095718</v>
      </c>
      <c r="Z82" s="315">
        <f t="shared" si="13"/>
        <v>701.35814185462505</v>
      </c>
      <c r="AA82" s="315">
        <f t="shared" si="13"/>
        <v>716.07068763642349</v>
      </c>
      <c r="AB82" s="315">
        <f t="shared" si="13"/>
        <v>731.10036346589516</v>
      </c>
      <c r="AC82" s="315">
        <f t="shared" si="13"/>
        <v>746.45431655062873</v>
      </c>
      <c r="AD82" s="315">
        <f t="shared" si="13"/>
        <v>762.13986292217658</v>
      </c>
      <c r="AE82" s="315">
        <f t="shared" si="13"/>
        <v>778.16449161738308</v>
      </c>
      <c r="AF82" s="315">
        <f t="shared" si="13"/>
        <v>129.85173201137147</v>
      </c>
      <c r="AG82" s="315">
        <f t="shared" si="13"/>
        <v>132.0068851878508</v>
      </c>
      <c r="AH82" s="315">
        <f t="shared" si="13"/>
        <v>82.503151718460742</v>
      </c>
      <c r="AI82" s="315">
        <f t="shared" si="13"/>
        <v>-2.3219929889830952E-6</v>
      </c>
      <c r="AJ82" s="315">
        <f t="shared" si="13"/>
        <v>-2.3916527786525884E-6</v>
      </c>
      <c r="AK82" s="315">
        <f t="shared" si="13"/>
        <v>-2.4634023620121658E-6</v>
      </c>
      <c r="AL82" s="315">
        <f t="shared" si="13"/>
        <v>-2.537304432872531E-6</v>
      </c>
      <c r="AM82" s="315">
        <f t="shared" si="13"/>
        <v>-2.6134235658587073E-6</v>
      </c>
      <c r="AN82" s="315">
        <f t="shared" si="13"/>
        <v>-2.6918262728344683E-6</v>
      </c>
      <c r="AO82" s="315">
        <f t="shared" si="13"/>
        <v>-2.7725810610195027E-6</v>
      </c>
      <c r="AP82" s="315">
        <f t="shared" si="13"/>
        <v>-2.8557584928500874E-6</v>
      </c>
      <c r="AQ82" s="315">
        <f t="shared" si="13"/>
        <v>-2.9414312476355905E-6</v>
      </c>
      <c r="AR82" s="315">
        <f t="shared" si="13"/>
        <v>-3.0296741850646581E-6</v>
      </c>
      <c r="AS82" s="315">
        <f t="shared" si="13"/>
        <v>-3.1205644106165973E-6</v>
      </c>
      <c r="AT82" s="315">
        <f t="shared" si="13"/>
        <v>-3.2141813429350959E-6</v>
      </c>
      <c r="AU82" s="315">
        <f t="shared" si="13"/>
        <v>-3.310606783223149E-6</v>
      </c>
      <c r="AV82" s="315">
        <f t="shared" si="13"/>
        <v>-3.4099249867198433E-6</v>
      </c>
      <c r="AW82" s="315">
        <f t="shared" si="13"/>
        <v>-3.5122227363214387E-6</v>
      </c>
      <c r="AX82" s="316">
        <f t="shared" si="13"/>
        <v>-3.6175894184110823E-6</v>
      </c>
    </row>
    <row r="83" spans="1:50" ht="14.25" customHeight="1">
      <c r="A83" s="2"/>
      <c r="B83" s="2"/>
      <c r="C83" s="475"/>
      <c r="D83" s="499" t="s">
        <v>459</v>
      </c>
      <c r="E83" s="500">
        <f t="shared" ref="E83:AX83" si="14">IF(E82-SUM(E79:E81)=0,0,E82-SUM(E79:E81))</f>
        <v>0</v>
      </c>
      <c r="F83" s="500">
        <f t="shared" si="14"/>
        <v>5.6843418860808015E-14</v>
      </c>
      <c r="G83" s="500">
        <f t="shared" si="14"/>
        <v>5.6843418860808015E-14</v>
      </c>
      <c r="H83" s="500">
        <f t="shared" si="14"/>
        <v>0</v>
      </c>
      <c r="I83" s="500">
        <f t="shared" si="14"/>
        <v>5.6843418860808015E-14</v>
      </c>
      <c r="J83" s="500">
        <f t="shared" si="14"/>
        <v>5.6843418860808015E-14</v>
      </c>
      <c r="K83" s="500">
        <f t="shared" si="14"/>
        <v>1.1368683772161603E-13</v>
      </c>
      <c r="L83" s="500">
        <f t="shared" si="14"/>
        <v>1.1368683772161603E-13</v>
      </c>
      <c r="M83" s="500">
        <f t="shared" si="14"/>
        <v>-1.1368683772161603E-13</v>
      </c>
      <c r="N83" s="500">
        <f t="shared" si="14"/>
        <v>-1.1368683772161603E-13</v>
      </c>
      <c r="O83" s="500">
        <f t="shared" si="14"/>
        <v>1.1368683772161603E-13</v>
      </c>
      <c r="P83" s="500">
        <f t="shared" si="14"/>
        <v>-2.2737367544323206E-13</v>
      </c>
      <c r="Q83" s="500">
        <f t="shared" si="14"/>
        <v>-1.1368683772161603E-13</v>
      </c>
      <c r="R83" s="500">
        <f t="shared" si="14"/>
        <v>-1.1368683772161603E-13</v>
      </c>
      <c r="S83" s="500">
        <f t="shared" si="14"/>
        <v>-1.1368683772161603E-13</v>
      </c>
      <c r="T83" s="500">
        <f t="shared" si="14"/>
        <v>-1.1368683772161603E-13</v>
      </c>
      <c r="U83" s="500">
        <f t="shared" si="14"/>
        <v>-1.1368683772161603E-13</v>
      </c>
      <c r="V83" s="500">
        <f t="shared" si="14"/>
        <v>0</v>
      </c>
      <c r="W83" s="500">
        <f t="shared" si="14"/>
        <v>-2.2737367544323206E-13</v>
      </c>
      <c r="X83" s="500">
        <f t="shared" si="14"/>
        <v>0</v>
      </c>
      <c r="Y83" s="500">
        <f t="shared" si="14"/>
        <v>0</v>
      </c>
      <c r="Z83" s="500">
        <f t="shared" si="14"/>
        <v>1.1368683772161603E-13</v>
      </c>
      <c r="AA83" s="500">
        <f t="shared" si="14"/>
        <v>1.1368683772161603E-13</v>
      </c>
      <c r="AB83" s="500">
        <f t="shared" si="14"/>
        <v>-1.1368683772161603E-13</v>
      </c>
      <c r="AC83" s="500">
        <f t="shared" si="14"/>
        <v>0</v>
      </c>
      <c r="AD83" s="500">
        <f t="shared" si="14"/>
        <v>0</v>
      </c>
      <c r="AE83" s="500">
        <f t="shared" si="14"/>
        <v>0</v>
      </c>
      <c r="AF83" s="500">
        <f t="shared" si="14"/>
        <v>-2.8421709430404007E-14</v>
      </c>
      <c r="AG83" s="500">
        <f t="shared" si="14"/>
        <v>0</v>
      </c>
      <c r="AH83" s="500">
        <f t="shared" si="14"/>
        <v>0</v>
      </c>
      <c r="AI83" s="500">
        <f t="shared" si="14"/>
        <v>0</v>
      </c>
      <c r="AJ83" s="500">
        <f t="shared" si="14"/>
        <v>0</v>
      </c>
      <c r="AK83" s="500">
        <f t="shared" si="14"/>
        <v>0</v>
      </c>
      <c r="AL83" s="500">
        <f t="shared" si="14"/>
        <v>0</v>
      </c>
      <c r="AM83" s="500">
        <f t="shared" si="14"/>
        <v>0</v>
      </c>
      <c r="AN83" s="500">
        <f t="shared" si="14"/>
        <v>0</v>
      </c>
      <c r="AO83" s="500">
        <f t="shared" si="14"/>
        <v>0</v>
      </c>
      <c r="AP83" s="500">
        <f t="shared" si="14"/>
        <v>0</v>
      </c>
      <c r="AQ83" s="500">
        <f t="shared" si="14"/>
        <v>0</v>
      </c>
      <c r="AR83" s="500">
        <f t="shared" si="14"/>
        <v>0</v>
      </c>
      <c r="AS83" s="500">
        <f t="shared" si="14"/>
        <v>0</v>
      </c>
      <c r="AT83" s="500">
        <f t="shared" si="14"/>
        <v>0</v>
      </c>
      <c r="AU83" s="500">
        <f t="shared" si="14"/>
        <v>0</v>
      </c>
      <c r="AV83" s="500">
        <f t="shared" si="14"/>
        <v>0</v>
      </c>
      <c r="AW83" s="500">
        <f t="shared" si="14"/>
        <v>0</v>
      </c>
      <c r="AX83" s="500">
        <f t="shared" si="14"/>
        <v>0</v>
      </c>
    </row>
    <row r="84" spans="1:50" ht="14.25" customHeight="1">
      <c r="A84" s="200"/>
      <c r="B84" s="200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</row>
    <row r="85" spans="1:50" ht="16" thickBot="1">
      <c r="A85" s="84" t="s">
        <v>351</v>
      </c>
      <c r="B85" s="1"/>
      <c r="C85" s="458" t="s">
        <v>382</v>
      </c>
      <c r="D85" s="458"/>
      <c r="E85" s="458"/>
      <c r="F85" s="459"/>
      <c r="G85" s="459"/>
      <c r="H85" s="459"/>
      <c r="I85" s="459"/>
      <c r="J85" s="459"/>
      <c r="K85" s="460"/>
      <c r="L85" s="459"/>
      <c r="M85" s="459"/>
      <c r="N85" s="459"/>
      <c r="O85" s="459"/>
      <c r="P85" s="459"/>
      <c r="Q85" s="459"/>
      <c r="R85" s="459"/>
      <c r="S85" s="459"/>
      <c r="T85" s="459"/>
      <c r="U85" s="459"/>
      <c r="V85" s="459"/>
      <c r="W85" s="459"/>
      <c r="X85" s="459"/>
      <c r="Y85" s="459"/>
      <c r="Z85" s="459"/>
      <c r="AA85" s="459"/>
      <c r="AB85" s="459"/>
      <c r="AC85" s="459"/>
      <c r="AD85" s="459"/>
      <c r="AE85" s="459"/>
      <c r="AF85" s="459"/>
      <c r="AG85" s="459"/>
      <c r="AH85" s="459"/>
      <c r="AI85" s="459"/>
      <c r="AJ85" s="459"/>
      <c r="AK85" s="459"/>
      <c r="AL85" s="459"/>
      <c r="AM85" s="459"/>
      <c r="AN85" s="459"/>
      <c r="AO85" s="459"/>
      <c r="AP85" s="459"/>
      <c r="AQ85" s="459"/>
      <c r="AR85" s="459"/>
      <c r="AS85" s="459"/>
      <c r="AT85" s="459"/>
      <c r="AU85" s="459"/>
      <c r="AV85" s="459"/>
      <c r="AW85" s="459"/>
      <c r="AX85" s="459"/>
    </row>
    <row r="86" spans="1:50" ht="14.25" customHeight="1">
      <c r="A86" s="1"/>
      <c r="B86" s="1"/>
      <c r="C86" s="461" t="s">
        <v>353</v>
      </c>
      <c r="D86" s="461"/>
      <c r="E86" s="43">
        <v>0</v>
      </c>
      <c r="F86" s="90">
        <f t="shared" ref="F86:AX86" si="15">E86+1</f>
        <v>1</v>
      </c>
      <c r="G86" s="90">
        <f t="shared" si="15"/>
        <v>2</v>
      </c>
      <c r="H86" s="90">
        <f t="shared" si="15"/>
        <v>3</v>
      </c>
      <c r="I86" s="90">
        <f t="shared" si="15"/>
        <v>4</v>
      </c>
      <c r="J86" s="90">
        <f t="shared" si="15"/>
        <v>5</v>
      </c>
      <c r="K86" s="90">
        <f t="shared" si="15"/>
        <v>6</v>
      </c>
      <c r="L86" s="90">
        <f t="shared" si="15"/>
        <v>7</v>
      </c>
      <c r="M86" s="90">
        <f t="shared" si="15"/>
        <v>8</v>
      </c>
      <c r="N86" s="90">
        <f t="shared" si="15"/>
        <v>9</v>
      </c>
      <c r="O86" s="90">
        <f t="shared" si="15"/>
        <v>10</v>
      </c>
      <c r="P86" s="90">
        <f t="shared" si="15"/>
        <v>11</v>
      </c>
      <c r="Q86" s="90">
        <f t="shared" si="15"/>
        <v>12</v>
      </c>
      <c r="R86" s="90">
        <f t="shared" si="15"/>
        <v>13</v>
      </c>
      <c r="S86" s="90">
        <f t="shared" si="15"/>
        <v>14</v>
      </c>
      <c r="T86" s="90">
        <f t="shared" si="15"/>
        <v>15</v>
      </c>
      <c r="U86" s="90">
        <f t="shared" si="15"/>
        <v>16</v>
      </c>
      <c r="V86" s="90">
        <f t="shared" si="15"/>
        <v>17</v>
      </c>
      <c r="W86" s="90">
        <f t="shared" si="15"/>
        <v>18</v>
      </c>
      <c r="X86" s="90">
        <f t="shared" si="15"/>
        <v>19</v>
      </c>
      <c r="Y86" s="90">
        <f t="shared" si="15"/>
        <v>20</v>
      </c>
      <c r="Z86" s="90">
        <f t="shared" si="15"/>
        <v>21</v>
      </c>
      <c r="AA86" s="90">
        <f t="shared" si="15"/>
        <v>22</v>
      </c>
      <c r="AB86" s="90">
        <f t="shared" si="15"/>
        <v>23</v>
      </c>
      <c r="AC86" s="90">
        <f t="shared" si="15"/>
        <v>24</v>
      </c>
      <c r="AD86" s="90">
        <f t="shared" si="15"/>
        <v>25</v>
      </c>
      <c r="AE86" s="90">
        <f t="shared" si="15"/>
        <v>26</v>
      </c>
      <c r="AF86" s="90">
        <f t="shared" si="15"/>
        <v>27</v>
      </c>
      <c r="AG86" s="90">
        <f t="shared" si="15"/>
        <v>28</v>
      </c>
      <c r="AH86" s="90">
        <f t="shared" si="15"/>
        <v>29</v>
      </c>
      <c r="AI86" s="90">
        <f t="shared" si="15"/>
        <v>30</v>
      </c>
      <c r="AJ86" s="90">
        <f t="shared" si="15"/>
        <v>31</v>
      </c>
      <c r="AK86" s="90">
        <f t="shared" si="15"/>
        <v>32</v>
      </c>
      <c r="AL86" s="90">
        <f t="shared" si="15"/>
        <v>33</v>
      </c>
      <c r="AM86" s="90">
        <f t="shared" si="15"/>
        <v>34</v>
      </c>
      <c r="AN86" s="90">
        <f t="shared" si="15"/>
        <v>35</v>
      </c>
      <c r="AO86" s="90">
        <f t="shared" si="15"/>
        <v>36</v>
      </c>
      <c r="AP86" s="90">
        <f t="shared" si="15"/>
        <v>37</v>
      </c>
      <c r="AQ86" s="90">
        <f t="shared" si="15"/>
        <v>38</v>
      </c>
      <c r="AR86" s="90">
        <f t="shared" si="15"/>
        <v>39</v>
      </c>
      <c r="AS86" s="90">
        <f t="shared" si="15"/>
        <v>40</v>
      </c>
      <c r="AT86" s="90">
        <f t="shared" si="15"/>
        <v>41</v>
      </c>
      <c r="AU86" s="90">
        <f t="shared" si="15"/>
        <v>42</v>
      </c>
      <c r="AV86" s="90">
        <f t="shared" si="15"/>
        <v>43</v>
      </c>
      <c r="AW86" s="90">
        <f t="shared" si="15"/>
        <v>44</v>
      </c>
      <c r="AX86" s="90">
        <f t="shared" si="15"/>
        <v>45</v>
      </c>
    </row>
    <row r="87" spans="1:50" ht="14.25" customHeight="1" thickBot="1">
      <c r="A87" s="1"/>
      <c r="B87" s="1"/>
      <c r="C87" s="200"/>
      <c r="D87" s="200"/>
      <c r="E87" s="83"/>
      <c r="F87" s="808" t="s">
        <v>354</v>
      </c>
      <c r="G87" s="808"/>
      <c r="H87" s="808"/>
      <c r="I87" s="808"/>
      <c r="J87" s="808"/>
      <c r="K87" s="808"/>
      <c r="L87" s="808"/>
      <c r="M87" s="808"/>
      <c r="N87" s="808"/>
      <c r="O87" s="808"/>
      <c r="P87" s="808"/>
      <c r="Q87" s="808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</row>
    <row r="88" spans="1:50" ht="14.25" customHeight="1">
      <c r="A88" s="1"/>
      <c r="B88" s="84"/>
      <c r="C88" s="462"/>
      <c r="D88" s="463"/>
      <c r="E88" s="204">
        <f>E29</f>
        <v>2026</v>
      </c>
      <c r="F88" s="204">
        <f t="shared" ref="F88:AX88" si="16">E88+1</f>
        <v>2027</v>
      </c>
      <c r="G88" s="204">
        <f t="shared" si="16"/>
        <v>2028</v>
      </c>
      <c r="H88" s="204">
        <f t="shared" si="16"/>
        <v>2029</v>
      </c>
      <c r="I88" s="204">
        <f t="shared" si="16"/>
        <v>2030</v>
      </c>
      <c r="J88" s="204">
        <f t="shared" si="16"/>
        <v>2031</v>
      </c>
      <c r="K88" s="204">
        <f t="shared" si="16"/>
        <v>2032</v>
      </c>
      <c r="L88" s="204">
        <f t="shared" si="16"/>
        <v>2033</v>
      </c>
      <c r="M88" s="204">
        <f t="shared" si="16"/>
        <v>2034</v>
      </c>
      <c r="N88" s="204">
        <f t="shared" si="16"/>
        <v>2035</v>
      </c>
      <c r="O88" s="204">
        <f t="shared" si="16"/>
        <v>2036</v>
      </c>
      <c r="P88" s="204">
        <f t="shared" si="16"/>
        <v>2037</v>
      </c>
      <c r="Q88" s="204">
        <f t="shared" si="16"/>
        <v>2038</v>
      </c>
      <c r="R88" s="204">
        <f t="shared" si="16"/>
        <v>2039</v>
      </c>
      <c r="S88" s="204">
        <f t="shared" si="16"/>
        <v>2040</v>
      </c>
      <c r="T88" s="204">
        <f t="shared" si="16"/>
        <v>2041</v>
      </c>
      <c r="U88" s="204">
        <f t="shared" si="16"/>
        <v>2042</v>
      </c>
      <c r="V88" s="204">
        <f t="shared" si="16"/>
        <v>2043</v>
      </c>
      <c r="W88" s="204">
        <f t="shared" si="16"/>
        <v>2044</v>
      </c>
      <c r="X88" s="204">
        <f t="shared" si="16"/>
        <v>2045</v>
      </c>
      <c r="Y88" s="204">
        <f t="shared" si="16"/>
        <v>2046</v>
      </c>
      <c r="Z88" s="204">
        <f t="shared" si="16"/>
        <v>2047</v>
      </c>
      <c r="AA88" s="204">
        <f t="shared" si="16"/>
        <v>2048</v>
      </c>
      <c r="AB88" s="204">
        <f t="shared" si="16"/>
        <v>2049</v>
      </c>
      <c r="AC88" s="204">
        <f t="shared" si="16"/>
        <v>2050</v>
      </c>
      <c r="AD88" s="204">
        <f t="shared" si="16"/>
        <v>2051</v>
      </c>
      <c r="AE88" s="204">
        <f t="shared" si="16"/>
        <v>2052</v>
      </c>
      <c r="AF88" s="204">
        <f t="shared" si="16"/>
        <v>2053</v>
      </c>
      <c r="AG88" s="204">
        <f t="shared" si="16"/>
        <v>2054</v>
      </c>
      <c r="AH88" s="204">
        <f t="shared" si="16"/>
        <v>2055</v>
      </c>
      <c r="AI88" s="204">
        <f t="shared" si="16"/>
        <v>2056</v>
      </c>
      <c r="AJ88" s="204">
        <f t="shared" si="16"/>
        <v>2057</v>
      </c>
      <c r="AK88" s="204">
        <f t="shared" si="16"/>
        <v>2058</v>
      </c>
      <c r="AL88" s="204">
        <f t="shared" si="16"/>
        <v>2059</v>
      </c>
      <c r="AM88" s="204">
        <f t="shared" si="16"/>
        <v>2060</v>
      </c>
      <c r="AN88" s="204">
        <f t="shared" si="16"/>
        <v>2061</v>
      </c>
      <c r="AO88" s="204">
        <f t="shared" si="16"/>
        <v>2062</v>
      </c>
      <c r="AP88" s="204">
        <f t="shared" si="16"/>
        <v>2063</v>
      </c>
      <c r="AQ88" s="204">
        <f t="shared" si="16"/>
        <v>2064</v>
      </c>
      <c r="AR88" s="204">
        <f t="shared" si="16"/>
        <v>2065</v>
      </c>
      <c r="AS88" s="204">
        <f t="shared" si="16"/>
        <v>2066</v>
      </c>
      <c r="AT88" s="204">
        <f t="shared" si="16"/>
        <v>2067</v>
      </c>
      <c r="AU88" s="204">
        <f t="shared" si="16"/>
        <v>2068</v>
      </c>
      <c r="AV88" s="204">
        <f t="shared" si="16"/>
        <v>2069</v>
      </c>
      <c r="AW88" s="204">
        <f t="shared" si="16"/>
        <v>2070</v>
      </c>
      <c r="AX88" s="204">
        <f t="shared" si="16"/>
        <v>2071</v>
      </c>
    </row>
    <row r="89" spans="1:50" ht="14.25" customHeight="1">
      <c r="A89" s="1"/>
      <c r="B89" s="84"/>
      <c r="C89" s="98"/>
      <c r="D89" s="84"/>
      <c r="E89" s="142">
        <f>E30</f>
        <v>46023</v>
      </c>
      <c r="F89" s="142">
        <f t="shared" ref="F89:AX89" si="17">F30</f>
        <v>46752</v>
      </c>
      <c r="G89" s="142">
        <f t="shared" si="17"/>
        <v>47118</v>
      </c>
      <c r="H89" s="142">
        <f t="shared" si="17"/>
        <v>47483</v>
      </c>
      <c r="I89" s="142">
        <f t="shared" si="17"/>
        <v>47848</v>
      </c>
      <c r="J89" s="142">
        <f t="shared" si="17"/>
        <v>48213</v>
      </c>
      <c r="K89" s="142">
        <f t="shared" si="17"/>
        <v>48579</v>
      </c>
      <c r="L89" s="142">
        <f t="shared" si="17"/>
        <v>48944</v>
      </c>
      <c r="M89" s="142">
        <f t="shared" si="17"/>
        <v>49309</v>
      </c>
      <c r="N89" s="142">
        <f t="shared" si="17"/>
        <v>49674</v>
      </c>
      <c r="O89" s="142">
        <f t="shared" si="17"/>
        <v>50040</v>
      </c>
      <c r="P89" s="142">
        <f t="shared" si="17"/>
        <v>50405</v>
      </c>
      <c r="Q89" s="142">
        <f t="shared" si="17"/>
        <v>50770</v>
      </c>
      <c r="R89" s="142">
        <f t="shared" si="17"/>
        <v>51135</v>
      </c>
      <c r="S89" s="142">
        <f t="shared" si="17"/>
        <v>51501</v>
      </c>
      <c r="T89" s="142">
        <f t="shared" si="17"/>
        <v>51866</v>
      </c>
      <c r="U89" s="142">
        <f t="shared" si="17"/>
        <v>52231</v>
      </c>
      <c r="V89" s="142">
        <f t="shared" si="17"/>
        <v>52596</v>
      </c>
      <c r="W89" s="142">
        <f t="shared" si="17"/>
        <v>52962</v>
      </c>
      <c r="X89" s="142">
        <f t="shared" si="17"/>
        <v>53327</v>
      </c>
      <c r="Y89" s="142">
        <f t="shared" si="17"/>
        <v>53692</v>
      </c>
      <c r="Z89" s="142">
        <f t="shared" si="17"/>
        <v>54057</v>
      </c>
      <c r="AA89" s="142">
        <f t="shared" si="17"/>
        <v>54423</v>
      </c>
      <c r="AB89" s="142">
        <f t="shared" si="17"/>
        <v>54788</v>
      </c>
      <c r="AC89" s="142">
        <f t="shared" si="17"/>
        <v>55153</v>
      </c>
      <c r="AD89" s="142">
        <f t="shared" si="17"/>
        <v>55518</v>
      </c>
      <c r="AE89" s="142">
        <f t="shared" si="17"/>
        <v>55884</v>
      </c>
      <c r="AF89" s="142">
        <f t="shared" si="17"/>
        <v>56249</v>
      </c>
      <c r="AG89" s="142">
        <f t="shared" si="17"/>
        <v>56614</v>
      </c>
      <c r="AH89" s="142">
        <f t="shared" si="17"/>
        <v>56979</v>
      </c>
      <c r="AI89" s="142">
        <f t="shared" si="17"/>
        <v>57345</v>
      </c>
      <c r="AJ89" s="142">
        <f t="shared" si="17"/>
        <v>57710</v>
      </c>
      <c r="AK89" s="142">
        <f t="shared" si="17"/>
        <v>58075</v>
      </c>
      <c r="AL89" s="142">
        <f t="shared" si="17"/>
        <v>58440</v>
      </c>
      <c r="AM89" s="142">
        <f t="shared" si="17"/>
        <v>58806</v>
      </c>
      <c r="AN89" s="142">
        <f t="shared" si="17"/>
        <v>59171</v>
      </c>
      <c r="AO89" s="142">
        <f t="shared" si="17"/>
        <v>59536</v>
      </c>
      <c r="AP89" s="142">
        <f t="shared" si="17"/>
        <v>59901</v>
      </c>
      <c r="AQ89" s="142">
        <f t="shared" si="17"/>
        <v>60267</v>
      </c>
      <c r="AR89" s="142">
        <f t="shared" si="17"/>
        <v>60632</v>
      </c>
      <c r="AS89" s="142">
        <f t="shared" si="17"/>
        <v>60997</v>
      </c>
      <c r="AT89" s="142">
        <f t="shared" si="17"/>
        <v>61362</v>
      </c>
      <c r="AU89" s="142">
        <f t="shared" si="17"/>
        <v>61728</v>
      </c>
      <c r="AV89" s="142">
        <f t="shared" si="17"/>
        <v>62093</v>
      </c>
      <c r="AW89" s="142">
        <f t="shared" si="17"/>
        <v>62458</v>
      </c>
      <c r="AX89" s="142">
        <f t="shared" si="17"/>
        <v>62823</v>
      </c>
    </row>
    <row r="90" spans="1:50" ht="14.25" customHeight="1">
      <c r="A90" s="1"/>
      <c r="B90" s="84"/>
      <c r="C90" s="222" t="s">
        <v>383</v>
      </c>
      <c r="D90" s="243"/>
      <c r="E90" s="476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</row>
    <row r="91" spans="1:50" ht="14.25" customHeight="1">
      <c r="A91" s="1"/>
      <c r="B91" s="84"/>
      <c r="C91" s="664" t="s">
        <v>122</v>
      </c>
      <c r="D91" s="745"/>
      <c r="E91" s="476">
        <f>'Power Summary'!C6</f>
        <v>0</v>
      </c>
      <c r="F91" s="476">
        <f>'Power Summary'!D6</f>
        <v>321200.00000000006</v>
      </c>
      <c r="G91" s="476">
        <f>'Power Summary'!E6</f>
        <v>481800.00000000006</v>
      </c>
      <c r="H91" s="476">
        <f>'Power Summary'!F6</f>
        <v>481800.00000000006</v>
      </c>
      <c r="I91" s="476">
        <f>'Power Summary'!G6</f>
        <v>481800.00000000006</v>
      </c>
      <c r="J91" s="476">
        <f>'Power Summary'!H6</f>
        <v>481800.00000000006</v>
      </c>
      <c r="K91" s="476">
        <f>'Power Summary'!I6</f>
        <v>481800.00000000006</v>
      </c>
      <c r="L91" s="476">
        <f>'Power Summary'!J6</f>
        <v>481800.00000000006</v>
      </c>
      <c r="M91" s="476">
        <f>'Power Summary'!K6</f>
        <v>481800.00000000006</v>
      </c>
      <c r="N91" s="476">
        <f>'Power Summary'!L6</f>
        <v>481800.00000000006</v>
      </c>
      <c r="O91" s="476">
        <f>'Power Summary'!M6</f>
        <v>481800.00000000006</v>
      </c>
      <c r="P91" s="476">
        <f>'Power Summary'!N6</f>
        <v>481800.00000000006</v>
      </c>
      <c r="Q91" s="476">
        <f>'Power Summary'!O6</f>
        <v>481800.00000000006</v>
      </c>
      <c r="R91" s="476">
        <f>'Power Summary'!P6</f>
        <v>481800.00000000006</v>
      </c>
      <c r="S91" s="476">
        <f>'Power Summary'!Q6</f>
        <v>481800.00000000006</v>
      </c>
      <c r="T91" s="476">
        <f>'Power Summary'!R6</f>
        <v>481800.00000000006</v>
      </c>
      <c r="U91" s="476">
        <f>'Power Summary'!S6</f>
        <v>481800.00000000006</v>
      </c>
      <c r="V91" s="476">
        <f>'Power Summary'!T6</f>
        <v>481800.00000000006</v>
      </c>
      <c r="W91" s="476">
        <f>'Power Summary'!U6</f>
        <v>481800.00000000006</v>
      </c>
      <c r="X91" s="476">
        <f>'Power Summary'!V6</f>
        <v>481800.00000000006</v>
      </c>
      <c r="Y91" s="476">
        <f>'Power Summary'!W6</f>
        <v>481800.00000000006</v>
      </c>
      <c r="Z91" s="476">
        <f>'Power Summary'!X6</f>
        <v>481800.00000000006</v>
      </c>
      <c r="AA91" s="476">
        <f>'Power Summary'!Y6</f>
        <v>481800.00000000006</v>
      </c>
      <c r="AB91" s="476">
        <f>'Power Summary'!Z6</f>
        <v>481800.00000000006</v>
      </c>
      <c r="AC91" s="476">
        <f>'Power Summary'!AA6</f>
        <v>481800.00000000006</v>
      </c>
      <c r="AD91" s="476">
        <f>'Power Summary'!AB6</f>
        <v>481800.00000000006</v>
      </c>
      <c r="AE91" s="476">
        <f>'Power Summary'!AC6</f>
        <v>481800.00000000006</v>
      </c>
      <c r="AF91" s="476">
        <f>'Power Summary'!AD6</f>
        <v>0</v>
      </c>
      <c r="AG91" s="476">
        <f>'Power Summary'!AE6</f>
        <v>0</v>
      </c>
      <c r="AH91" s="476">
        <f>'Power Summary'!AF6</f>
        <v>0</v>
      </c>
      <c r="AI91" s="476">
        <f>'Power Summary'!AG6</f>
        <v>0</v>
      </c>
      <c r="AJ91" s="476">
        <f>'Power Summary'!AH6</f>
        <v>0</v>
      </c>
      <c r="AK91" s="476">
        <f>'Power Summary'!AI6</f>
        <v>0</v>
      </c>
      <c r="AL91" s="476">
        <f>'Power Summary'!AJ6</f>
        <v>0</v>
      </c>
      <c r="AM91" s="476">
        <f>'Power Summary'!AK6</f>
        <v>0</v>
      </c>
      <c r="AN91" s="476">
        <f>'Power Summary'!AL6</f>
        <v>0</v>
      </c>
      <c r="AO91" s="476">
        <f>'Power Summary'!AM6</f>
        <v>0</v>
      </c>
      <c r="AP91" s="476">
        <f>'Power Summary'!AN6</f>
        <v>0</v>
      </c>
      <c r="AQ91" s="476">
        <f>'Power Summary'!AO6</f>
        <v>0</v>
      </c>
      <c r="AR91" s="476">
        <f>'Power Summary'!AP6</f>
        <v>0</v>
      </c>
      <c r="AS91" s="476">
        <f>'Power Summary'!AQ6</f>
        <v>0</v>
      </c>
      <c r="AT91" s="476">
        <f>'Power Summary'!AR6</f>
        <v>0</v>
      </c>
      <c r="AU91" s="476">
        <f>'Power Summary'!AS6</f>
        <v>0</v>
      </c>
      <c r="AV91" s="476">
        <f>'Power Summary'!AT6</f>
        <v>0</v>
      </c>
      <c r="AW91" s="476">
        <f>'Power Summary'!AU6</f>
        <v>0</v>
      </c>
      <c r="AX91" s="476">
        <f>'Power Summary'!AV6</f>
        <v>0</v>
      </c>
    </row>
    <row r="92" spans="1:50" ht="14.25" customHeight="1">
      <c r="A92" s="1"/>
      <c r="B92" s="84"/>
      <c r="C92" s="664" t="s">
        <v>384</v>
      </c>
      <c r="D92" s="745"/>
      <c r="E92" s="476">
        <f>'Power Summary'!C7</f>
        <v>2544480</v>
      </c>
      <c r="F92" s="476">
        <f>'Power Summary'!D7</f>
        <v>2544480</v>
      </c>
      <c r="G92" s="476">
        <f>'Power Summary'!E7</f>
        <v>2544480</v>
      </c>
      <c r="H92" s="476">
        <f>'Power Summary'!F7</f>
        <v>2544480</v>
      </c>
      <c r="I92" s="476">
        <f>'Power Summary'!G7</f>
        <v>2544480</v>
      </c>
      <c r="J92" s="476">
        <f>'Power Summary'!H7</f>
        <v>2544480</v>
      </c>
      <c r="K92" s="476">
        <f>'Power Summary'!I7</f>
        <v>2544480</v>
      </c>
      <c r="L92" s="476">
        <f>'Power Summary'!J7</f>
        <v>2544480</v>
      </c>
      <c r="M92" s="476">
        <f>'Power Summary'!K7</f>
        <v>2544480</v>
      </c>
      <c r="N92" s="476">
        <f>'Power Summary'!L7</f>
        <v>2544480</v>
      </c>
      <c r="O92" s="476">
        <f>'Power Summary'!M7</f>
        <v>2544480</v>
      </c>
      <c r="P92" s="476">
        <f>'Power Summary'!N7</f>
        <v>2544480</v>
      </c>
      <c r="Q92" s="476">
        <f>'Power Summary'!O7</f>
        <v>2544480</v>
      </c>
      <c r="R92" s="476">
        <f>'Power Summary'!P7</f>
        <v>2544480</v>
      </c>
      <c r="S92" s="476">
        <f>'Power Summary'!Q7</f>
        <v>2544480</v>
      </c>
      <c r="T92" s="476">
        <f>'Power Summary'!R7</f>
        <v>2544480</v>
      </c>
      <c r="U92" s="476">
        <f>'Power Summary'!S7</f>
        <v>2544480</v>
      </c>
      <c r="V92" s="476">
        <f>'Power Summary'!T7</f>
        <v>2544480</v>
      </c>
      <c r="W92" s="476">
        <f>'Power Summary'!U7</f>
        <v>2544480</v>
      </c>
      <c r="X92" s="476">
        <f>'Power Summary'!V7</f>
        <v>2544480</v>
      </c>
      <c r="Y92" s="476">
        <f>'Power Summary'!W7</f>
        <v>2544480</v>
      </c>
      <c r="Z92" s="476">
        <f>'Power Summary'!X7</f>
        <v>2544480</v>
      </c>
      <c r="AA92" s="476">
        <f>'Power Summary'!Y7</f>
        <v>2544480</v>
      </c>
      <c r="AB92" s="476">
        <f>'Power Summary'!Z7</f>
        <v>2544480</v>
      </c>
      <c r="AC92" s="476">
        <f>'Power Summary'!AA7</f>
        <v>2544480</v>
      </c>
      <c r="AD92" s="476">
        <f>'Power Summary'!AB7</f>
        <v>2544480</v>
      </c>
      <c r="AE92" s="476">
        <f>'Power Summary'!AC7</f>
        <v>2544480</v>
      </c>
      <c r="AF92" s="476">
        <f>'Power Summary'!AD7</f>
        <v>2544480</v>
      </c>
      <c r="AG92" s="476">
        <f>'Power Summary'!AE7</f>
        <v>2544480</v>
      </c>
      <c r="AH92" s="476">
        <f>'Power Summary'!AF7</f>
        <v>2544480</v>
      </c>
      <c r="AI92" s="476">
        <f>'Power Summary'!AG7</f>
        <v>2544480</v>
      </c>
      <c r="AJ92" s="476">
        <f>'Power Summary'!AH7</f>
        <v>2544480</v>
      </c>
      <c r="AK92" s="476">
        <f>'Power Summary'!AI7</f>
        <v>2544480</v>
      </c>
      <c r="AL92" s="476">
        <f>'Power Summary'!AJ7</f>
        <v>2544480</v>
      </c>
      <c r="AM92" s="476">
        <f>'Power Summary'!AK7</f>
        <v>2544480</v>
      </c>
      <c r="AN92" s="476">
        <f>'Power Summary'!AL7</f>
        <v>2544480</v>
      </c>
      <c r="AO92" s="476">
        <f>'Power Summary'!AM7</f>
        <v>2544480</v>
      </c>
      <c r="AP92" s="476">
        <f>'Power Summary'!AN7</f>
        <v>2544480</v>
      </c>
      <c r="AQ92" s="476">
        <f>'Power Summary'!AO7</f>
        <v>2544480</v>
      </c>
      <c r="AR92" s="476">
        <f>'Power Summary'!AP7</f>
        <v>2544480</v>
      </c>
      <c r="AS92" s="476">
        <f>'Power Summary'!AQ7</f>
        <v>2544480</v>
      </c>
      <c r="AT92" s="476">
        <f>'Power Summary'!AR7</f>
        <v>2544480</v>
      </c>
      <c r="AU92" s="476">
        <f>'Power Summary'!AS7</f>
        <v>2544480</v>
      </c>
      <c r="AV92" s="476">
        <f>'Power Summary'!AT7</f>
        <v>2544480</v>
      </c>
      <c r="AW92" s="476">
        <f>'Power Summary'!AU7</f>
        <v>2544480</v>
      </c>
      <c r="AX92" s="476">
        <f>'Power Summary'!AV7</f>
        <v>0</v>
      </c>
    </row>
    <row r="93" spans="1:50" ht="14.25" customHeight="1">
      <c r="A93" s="1"/>
      <c r="B93" s="84"/>
      <c r="C93" s="664" t="s">
        <v>357</v>
      </c>
      <c r="D93" s="745"/>
      <c r="E93" s="476">
        <f>'Power Summary'!C8</f>
        <v>0</v>
      </c>
      <c r="F93" s="476">
        <f>'Power Summary'!D8</f>
        <v>2628</v>
      </c>
      <c r="G93" s="476">
        <f>'Power Summary'!E8</f>
        <v>3504</v>
      </c>
      <c r="H93" s="476">
        <f>'Power Summary'!F8</f>
        <v>3504</v>
      </c>
      <c r="I93" s="476">
        <f>'Power Summary'!G8</f>
        <v>3504</v>
      </c>
      <c r="J93" s="476">
        <f>'Power Summary'!H8</f>
        <v>3504</v>
      </c>
      <c r="K93" s="476">
        <f>'Power Summary'!I8</f>
        <v>3504</v>
      </c>
      <c r="L93" s="476">
        <f>'Power Summary'!J8</f>
        <v>3504</v>
      </c>
      <c r="M93" s="476">
        <f>'Power Summary'!K8</f>
        <v>3504</v>
      </c>
      <c r="N93" s="476">
        <f>'Power Summary'!L8</f>
        <v>3504</v>
      </c>
      <c r="O93" s="476">
        <f>'Power Summary'!M8</f>
        <v>3504</v>
      </c>
      <c r="P93" s="476">
        <f>'Power Summary'!N8</f>
        <v>3504</v>
      </c>
      <c r="Q93" s="476">
        <f>'Power Summary'!O8</f>
        <v>3504</v>
      </c>
      <c r="R93" s="476">
        <f>'Power Summary'!P8</f>
        <v>3504</v>
      </c>
      <c r="S93" s="476">
        <f>'Power Summary'!Q8</f>
        <v>3504</v>
      </c>
      <c r="T93" s="476">
        <f>'Power Summary'!R8</f>
        <v>3504</v>
      </c>
      <c r="U93" s="476">
        <f>'Power Summary'!S8</f>
        <v>3504</v>
      </c>
      <c r="V93" s="476">
        <f>'Power Summary'!T8</f>
        <v>3504</v>
      </c>
      <c r="W93" s="476">
        <f>'Power Summary'!U8</f>
        <v>3504</v>
      </c>
      <c r="X93" s="476">
        <f>'Power Summary'!V8</f>
        <v>3504</v>
      </c>
      <c r="Y93" s="476">
        <f>'Power Summary'!W8</f>
        <v>3504</v>
      </c>
      <c r="Z93" s="476">
        <f>'Power Summary'!X8</f>
        <v>3504</v>
      </c>
      <c r="AA93" s="476">
        <f>'Power Summary'!Y8</f>
        <v>3504</v>
      </c>
      <c r="AB93" s="476">
        <f>'Power Summary'!Z8</f>
        <v>3504</v>
      </c>
      <c r="AC93" s="476">
        <f>'Power Summary'!AA8</f>
        <v>3504</v>
      </c>
      <c r="AD93" s="476">
        <f>'Power Summary'!AB8</f>
        <v>3504</v>
      </c>
      <c r="AE93" s="476">
        <f>'Power Summary'!AC8</f>
        <v>3504</v>
      </c>
      <c r="AF93" s="476">
        <f>'Power Summary'!AD8</f>
        <v>0</v>
      </c>
      <c r="AG93" s="476">
        <f>'Power Summary'!AE8</f>
        <v>0</v>
      </c>
      <c r="AH93" s="476">
        <f>'Power Summary'!AF8</f>
        <v>0</v>
      </c>
      <c r="AI93" s="476">
        <f>'Power Summary'!AG8</f>
        <v>0</v>
      </c>
      <c r="AJ93" s="476">
        <f>'Power Summary'!AH8</f>
        <v>0</v>
      </c>
      <c r="AK93" s="476">
        <f>'Power Summary'!AI8</f>
        <v>0</v>
      </c>
      <c r="AL93" s="476">
        <f>'Power Summary'!AJ8</f>
        <v>0</v>
      </c>
      <c r="AM93" s="476">
        <f>'Power Summary'!AK8</f>
        <v>0</v>
      </c>
      <c r="AN93" s="476">
        <f>'Power Summary'!AL8</f>
        <v>0</v>
      </c>
      <c r="AO93" s="476">
        <f>'Power Summary'!AM8</f>
        <v>0</v>
      </c>
      <c r="AP93" s="476">
        <f>'Power Summary'!AN8</f>
        <v>0</v>
      </c>
      <c r="AQ93" s="476">
        <f>'Power Summary'!AO8</f>
        <v>0</v>
      </c>
      <c r="AR93" s="476">
        <f>'Power Summary'!AP8</f>
        <v>0</v>
      </c>
      <c r="AS93" s="476">
        <f>'Power Summary'!AQ8</f>
        <v>0</v>
      </c>
      <c r="AT93" s="476">
        <f>'Power Summary'!AR8</f>
        <v>0</v>
      </c>
      <c r="AU93" s="476">
        <f>'Power Summary'!AS8</f>
        <v>0</v>
      </c>
      <c r="AV93" s="476">
        <f>'Power Summary'!AT8</f>
        <v>0</v>
      </c>
      <c r="AW93" s="476">
        <f>'Power Summary'!AU8</f>
        <v>0</v>
      </c>
      <c r="AX93" s="476">
        <f>'Power Summary'!AV8</f>
        <v>0</v>
      </c>
    </row>
    <row r="94" spans="1:50" ht="14.25" customHeight="1">
      <c r="A94" s="1"/>
      <c r="B94" s="84"/>
      <c r="C94" s="664" t="s">
        <v>358</v>
      </c>
      <c r="D94" s="745"/>
      <c r="E94" s="476">
        <f>'Power Summary'!C9</f>
        <v>0</v>
      </c>
      <c r="F94" s="476">
        <f>'Power Summary'!D9</f>
        <v>8593.56</v>
      </c>
      <c r="G94" s="476">
        <f>'Power Summary'!E9</f>
        <v>11458.08</v>
      </c>
      <c r="H94" s="476">
        <f>'Power Summary'!F9</f>
        <v>11458.08</v>
      </c>
      <c r="I94" s="476">
        <f>'Power Summary'!G9</f>
        <v>11458.08</v>
      </c>
      <c r="J94" s="476">
        <f>'Power Summary'!H9</f>
        <v>11458.08</v>
      </c>
      <c r="K94" s="476">
        <f>'Power Summary'!I9</f>
        <v>11458.08</v>
      </c>
      <c r="L94" s="476">
        <f>'Power Summary'!J9</f>
        <v>11458.08</v>
      </c>
      <c r="M94" s="476">
        <f>'Power Summary'!K9</f>
        <v>11458.08</v>
      </c>
      <c r="N94" s="476">
        <f>'Power Summary'!L9</f>
        <v>11458.08</v>
      </c>
      <c r="O94" s="476">
        <f>'Power Summary'!M9</f>
        <v>11458.08</v>
      </c>
      <c r="P94" s="476">
        <f>'Power Summary'!N9</f>
        <v>11458.08</v>
      </c>
      <c r="Q94" s="476">
        <f>'Power Summary'!O9</f>
        <v>11458.08</v>
      </c>
      <c r="R94" s="476">
        <f>'Power Summary'!P9</f>
        <v>11458.08</v>
      </c>
      <c r="S94" s="476">
        <f>'Power Summary'!Q9</f>
        <v>11458.08</v>
      </c>
      <c r="T94" s="476">
        <f>'Power Summary'!R9</f>
        <v>11458.08</v>
      </c>
      <c r="U94" s="476">
        <f>'Power Summary'!S9</f>
        <v>11458.08</v>
      </c>
      <c r="V94" s="476">
        <f>'Power Summary'!T9</f>
        <v>11458.08</v>
      </c>
      <c r="W94" s="476">
        <f>'Power Summary'!U9</f>
        <v>11458.08</v>
      </c>
      <c r="X94" s="476">
        <f>'Power Summary'!V9</f>
        <v>11458.08</v>
      </c>
      <c r="Y94" s="476">
        <f>'Power Summary'!W9</f>
        <v>11458.08</v>
      </c>
      <c r="Z94" s="476">
        <f>'Power Summary'!X9</f>
        <v>11458.08</v>
      </c>
      <c r="AA94" s="476">
        <f>'Power Summary'!Y9</f>
        <v>11458.08</v>
      </c>
      <c r="AB94" s="476">
        <f>'Power Summary'!Z9</f>
        <v>11458.08</v>
      </c>
      <c r="AC94" s="476">
        <f>'Power Summary'!AA9</f>
        <v>11458.08</v>
      </c>
      <c r="AD94" s="476">
        <f>'Power Summary'!AB9</f>
        <v>11458.08</v>
      </c>
      <c r="AE94" s="476">
        <f>'Power Summary'!AC9</f>
        <v>11458.08</v>
      </c>
      <c r="AF94" s="476">
        <f>'Power Summary'!AD9</f>
        <v>0</v>
      </c>
      <c r="AG94" s="476">
        <f>'Power Summary'!AE9</f>
        <v>0</v>
      </c>
      <c r="AH94" s="476">
        <f>'Power Summary'!AF9</f>
        <v>0</v>
      </c>
      <c r="AI94" s="476">
        <f>'Power Summary'!AG9</f>
        <v>0</v>
      </c>
      <c r="AJ94" s="476">
        <f>'Power Summary'!AH9</f>
        <v>0</v>
      </c>
      <c r="AK94" s="476">
        <f>'Power Summary'!AI9</f>
        <v>0</v>
      </c>
      <c r="AL94" s="476">
        <f>'Power Summary'!AJ9</f>
        <v>0</v>
      </c>
      <c r="AM94" s="476">
        <f>'Power Summary'!AK9</f>
        <v>0</v>
      </c>
      <c r="AN94" s="476">
        <f>'Power Summary'!AL9</f>
        <v>0</v>
      </c>
      <c r="AO94" s="476">
        <f>'Power Summary'!AM9</f>
        <v>0</v>
      </c>
      <c r="AP94" s="476">
        <f>'Power Summary'!AN9</f>
        <v>0</v>
      </c>
      <c r="AQ94" s="476">
        <f>'Power Summary'!AO9</f>
        <v>0</v>
      </c>
      <c r="AR94" s="476">
        <f>'Power Summary'!AP9</f>
        <v>0</v>
      </c>
      <c r="AS94" s="476">
        <f>'Power Summary'!AQ9</f>
        <v>0</v>
      </c>
      <c r="AT94" s="476">
        <f>'Power Summary'!AR9</f>
        <v>0</v>
      </c>
      <c r="AU94" s="476">
        <f>'Power Summary'!AS9</f>
        <v>0</v>
      </c>
      <c r="AV94" s="476">
        <f>'Power Summary'!AT9</f>
        <v>0</v>
      </c>
      <c r="AW94" s="476">
        <f>'Power Summary'!AU9</f>
        <v>0</v>
      </c>
      <c r="AX94" s="476">
        <f>'Power Summary'!AV9</f>
        <v>0</v>
      </c>
    </row>
    <row r="95" spans="1:50" ht="14.25" customHeight="1">
      <c r="A95" s="4"/>
      <c r="B95" s="221"/>
      <c r="C95" s="664" t="s">
        <v>385</v>
      </c>
      <c r="D95" s="745"/>
      <c r="E95" s="476">
        <f>'Power Summary'!C10</f>
        <v>0</v>
      </c>
      <c r="F95" s="476">
        <f>'Power Summary'!D10</f>
        <v>93644.444444444453</v>
      </c>
      <c r="G95" s="476">
        <f>'Power Summary'!E10</f>
        <v>112000</v>
      </c>
      <c r="H95" s="476">
        <f>'Power Summary'!F10</f>
        <v>112000</v>
      </c>
      <c r="I95" s="476">
        <f>'Power Summary'!G10</f>
        <v>112000</v>
      </c>
      <c r="J95" s="476">
        <f>'Power Summary'!H10</f>
        <v>112000</v>
      </c>
      <c r="K95" s="476">
        <f>'Power Summary'!I10</f>
        <v>112000</v>
      </c>
      <c r="L95" s="476">
        <f>'Power Summary'!J10</f>
        <v>112000</v>
      </c>
      <c r="M95" s="476">
        <f>'Power Summary'!K10</f>
        <v>112000</v>
      </c>
      <c r="N95" s="476">
        <f>'Power Summary'!L10</f>
        <v>112000</v>
      </c>
      <c r="O95" s="476">
        <f>'Power Summary'!M10</f>
        <v>112000</v>
      </c>
      <c r="P95" s="476">
        <f>'Power Summary'!N10</f>
        <v>112000</v>
      </c>
      <c r="Q95" s="476">
        <f>'Power Summary'!O10</f>
        <v>112000</v>
      </c>
      <c r="R95" s="476">
        <f>'Power Summary'!P10</f>
        <v>112000</v>
      </c>
      <c r="S95" s="476">
        <f>'Power Summary'!Q10</f>
        <v>112000</v>
      </c>
      <c r="T95" s="476">
        <f>'Power Summary'!R10</f>
        <v>112000</v>
      </c>
      <c r="U95" s="476">
        <f>'Power Summary'!S10</f>
        <v>112000</v>
      </c>
      <c r="V95" s="476">
        <f>'Power Summary'!T10</f>
        <v>112000</v>
      </c>
      <c r="W95" s="476">
        <f>'Power Summary'!U10</f>
        <v>112000</v>
      </c>
      <c r="X95" s="476">
        <f>'Power Summary'!V10</f>
        <v>112000</v>
      </c>
      <c r="Y95" s="476">
        <f>'Power Summary'!W10</f>
        <v>112000</v>
      </c>
      <c r="Z95" s="476">
        <f>'Power Summary'!X10</f>
        <v>112000</v>
      </c>
      <c r="AA95" s="476">
        <f>'Power Summary'!Y10</f>
        <v>112000</v>
      </c>
      <c r="AB95" s="476">
        <f>'Power Summary'!Z10</f>
        <v>112000</v>
      </c>
      <c r="AC95" s="476">
        <f>'Power Summary'!AA10</f>
        <v>112000</v>
      </c>
      <c r="AD95" s="476">
        <f>'Power Summary'!AB10</f>
        <v>112000</v>
      </c>
      <c r="AE95" s="476">
        <f>'Power Summary'!AC10</f>
        <v>112000</v>
      </c>
      <c r="AF95" s="476">
        <f>'Power Summary'!AD10</f>
        <v>0</v>
      </c>
      <c r="AG95" s="476">
        <f>'Power Summary'!AE10</f>
        <v>0</v>
      </c>
      <c r="AH95" s="476">
        <f>'Power Summary'!AF10</f>
        <v>0</v>
      </c>
      <c r="AI95" s="476">
        <f>'Power Summary'!AG10</f>
        <v>0</v>
      </c>
      <c r="AJ95" s="476">
        <f>'Power Summary'!AH10</f>
        <v>0</v>
      </c>
      <c r="AK95" s="476">
        <f>'Power Summary'!AI10</f>
        <v>0</v>
      </c>
      <c r="AL95" s="476">
        <f>'Power Summary'!AJ10</f>
        <v>0</v>
      </c>
      <c r="AM95" s="476">
        <f>'Power Summary'!AK10</f>
        <v>0</v>
      </c>
      <c r="AN95" s="476">
        <f>'Power Summary'!AL10</f>
        <v>0</v>
      </c>
      <c r="AO95" s="476">
        <f>'Power Summary'!AM10</f>
        <v>0</v>
      </c>
      <c r="AP95" s="476">
        <f>'Power Summary'!AN10</f>
        <v>0</v>
      </c>
      <c r="AQ95" s="476">
        <f>'Power Summary'!AO10</f>
        <v>0</v>
      </c>
      <c r="AR95" s="476">
        <f>'Power Summary'!AP10</f>
        <v>0</v>
      </c>
      <c r="AS95" s="476">
        <f>'Power Summary'!AQ10</f>
        <v>0</v>
      </c>
      <c r="AT95" s="476">
        <f>'Power Summary'!AR10</f>
        <v>0</v>
      </c>
      <c r="AU95" s="476">
        <f>'Power Summary'!AS10</f>
        <v>0</v>
      </c>
      <c r="AV95" s="476">
        <f>'Power Summary'!AT10</f>
        <v>0</v>
      </c>
      <c r="AW95" s="476">
        <f>'Power Summary'!AU10</f>
        <v>0</v>
      </c>
      <c r="AX95" s="476">
        <f>'Power Summary'!AV10</f>
        <v>0</v>
      </c>
    </row>
    <row r="96" spans="1:50" ht="14.25" customHeight="1">
      <c r="A96" s="1"/>
      <c r="B96" s="84"/>
      <c r="C96" s="98"/>
      <c r="D96" s="84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/>
      <c r="AE96" s="223"/>
      <c r="AF96" s="223"/>
      <c r="AG96" s="223"/>
      <c r="AH96" s="223"/>
      <c r="AI96" s="223"/>
      <c r="AJ96" s="223"/>
      <c r="AK96" s="223"/>
      <c r="AL96" s="223"/>
      <c r="AM96" s="223"/>
      <c r="AN96" s="223"/>
      <c r="AO96" s="223"/>
      <c r="AP96" s="223"/>
      <c r="AQ96" s="223"/>
      <c r="AR96" s="223"/>
      <c r="AS96" s="223"/>
      <c r="AT96" s="223"/>
      <c r="AU96" s="223"/>
      <c r="AV96" s="223"/>
      <c r="AW96" s="223"/>
      <c r="AX96" s="223"/>
    </row>
    <row r="97" spans="1:50" ht="14.25" customHeight="1">
      <c r="A97" s="1"/>
      <c r="B97" s="84"/>
      <c r="C97" s="101" t="s">
        <v>386</v>
      </c>
      <c r="D97" s="8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  <c r="AM97" s="223"/>
      <c r="AN97" s="223"/>
      <c r="AO97" s="223"/>
      <c r="AP97" s="223"/>
      <c r="AQ97" s="223"/>
      <c r="AR97" s="223"/>
      <c r="AS97" s="223"/>
      <c r="AT97" s="223"/>
      <c r="AU97" s="223"/>
      <c r="AV97" s="223"/>
      <c r="AW97" s="223"/>
      <c r="AX97" s="223"/>
    </row>
    <row r="98" spans="1:50" ht="14.25" customHeight="1">
      <c r="A98" s="1"/>
      <c r="B98" s="84"/>
      <c r="C98" s="98" t="s">
        <v>6</v>
      </c>
      <c r="D98" s="84"/>
      <c r="E98" s="476">
        <f>'Power Summary'!C19</f>
        <v>0</v>
      </c>
      <c r="F98" s="476">
        <f>'Power Summary'!D19</f>
        <v>58400</v>
      </c>
      <c r="G98" s="476">
        <f>'Power Summary'!E19</f>
        <v>173887.64387132286</v>
      </c>
      <c r="H98" s="476">
        <f>'Power Summary'!F19</f>
        <v>172148.7674326096</v>
      </c>
      <c r="I98" s="476">
        <f>'Power Summary'!G19</f>
        <v>170422.93256718674</v>
      </c>
      <c r="J98" s="476">
        <f>'Power Summary'!H19</f>
        <v>168710.05233123226</v>
      </c>
      <c r="K98" s="476">
        <f>'Power Summary'!I19</f>
        <v>167010.04032432317</v>
      </c>
      <c r="L98" s="476">
        <f>'Power Summary'!J19</f>
        <v>165322.8106861749</v>
      </c>
      <c r="M98" s="476">
        <f>'Power Summary'!K19</f>
        <v>163648.27809339995</v>
      </c>
      <c r="N98" s="476">
        <f>'Power Summary'!L19</f>
        <v>161986.35775628564</v>
      </c>
      <c r="O98" s="476">
        <f>'Power Summary'!M19</f>
        <v>160336.96541559012</v>
      </c>
      <c r="P98" s="476">
        <f>'Power Summary'!N19</f>
        <v>158700.01733935764</v>
      </c>
      <c r="Q98" s="476">
        <f>'Power Summary'!O19</f>
        <v>157075.43031975214</v>
      </c>
      <c r="R98" s="476">
        <f>'Power Summary'!P19</f>
        <v>155463.12166990916</v>
      </c>
      <c r="S98" s="476">
        <f>'Power Summary'!Q19</f>
        <v>153863.00922080665</v>
      </c>
      <c r="T98" s="476">
        <f>'Power Summary'!R19</f>
        <v>152275.01131815341</v>
      </c>
      <c r="U98" s="476">
        <f>'Power Summary'!S19</f>
        <v>150699.04681929617</v>
      </c>
      <c r="V98" s="476">
        <f>'Power Summary'!T19</f>
        <v>149135.03509014455</v>
      </c>
      <c r="W98" s="476">
        <f>'Power Summary'!U19</f>
        <v>147582.89600211396</v>
      </c>
      <c r="X98" s="476">
        <f>'Power Summary'!V19</f>
        <v>146042.54992908644</v>
      </c>
      <c r="Y98" s="476">
        <f>'Power Summary'!W19</f>
        <v>144513.91774438915</v>
      </c>
      <c r="Z98" s="476">
        <f>'Power Summary'!X19</f>
        <v>142996.92081779055</v>
      </c>
      <c r="AA98" s="476">
        <f>'Power Summary'!Y19</f>
        <v>141491.48101251441</v>
      </c>
      <c r="AB98" s="476">
        <f>'Power Summary'!Z19</f>
        <v>139997.52068227052</v>
      </c>
      <c r="AC98" s="476">
        <f>'Power Summary'!AA19</f>
        <v>138514.96266830381</v>
      </c>
      <c r="AD98" s="476">
        <f>'Power Summary'!AB19</f>
        <v>137043.73029645966</v>
      </c>
      <c r="AE98" s="476">
        <f>'Power Summary'!AC19</f>
        <v>135583.74737426726</v>
      </c>
      <c r="AF98" s="476">
        <f>'Power Summary'!AD19</f>
        <v>0</v>
      </c>
      <c r="AG98" s="476">
        <f>'Power Summary'!AE19</f>
        <v>0</v>
      </c>
      <c r="AH98" s="476">
        <f>'Power Summary'!AF19</f>
        <v>0</v>
      </c>
      <c r="AI98" s="476">
        <f>'Power Summary'!AG19</f>
        <v>0</v>
      </c>
      <c r="AJ98" s="476">
        <f>'Power Summary'!AH19</f>
        <v>0</v>
      </c>
      <c r="AK98" s="476">
        <f>'Power Summary'!AI19</f>
        <v>0</v>
      </c>
      <c r="AL98" s="476">
        <f>'Power Summary'!AJ19</f>
        <v>0</v>
      </c>
      <c r="AM98" s="476">
        <f>'Power Summary'!AK19</f>
        <v>0</v>
      </c>
      <c r="AN98" s="476">
        <f>'Power Summary'!AL19</f>
        <v>0</v>
      </c>
      <c r="AO98" s="476">
        <f>'Power Summary'!AM19</f>
        <v>0</v>
      </c>
      <c r="AP98" s="476">
        <f>'Power Summary'!AN19</f>
        <v>0</v>
      </c>
      <c r="AQ98" s="476">
        <f>'Power Summary'!AO19</f>
        <v>0</v>
      </c>
      <c r="AR98" s="476">
        <f>'Power Summary'!AP19</f>
        <v>0</v>
      </c>
      <c r="AS98" s="476">
        <f>'Power Summary'!AQ19</f>
        <v>0</v>
      </c>
      <c r="AT98" s="476">
        <f>'Power Summary'!AR19</f>
        <v>0</v>
      </c>
      <c r="AU98" s="476">
        <f>'Power Summary'!AS19</f>
        <v>0</v>
      </c>
      <c r="AV98" s="476">
        <f>'Power Summary'!AT19</f>
        <v>0</v>
      </c>
      <c r="AW98" s="476">
        <f>'Power Summary'!AU19</f>
        <v>0</v>
      </c>
      <c r="AX98" s="476">
        <f>'Power Summary'!AV19</f>
        <v>0</v>
      </c>
    </row>
    <row r="99" spans="1:50" ht="14.25" customHeight="1">
      <c r="A99" s="1"/>
      <c r="B99" s="84"/>
      <c r="C99" s="98" t="s">
        <v>387</v>
      </c>
      <c r="D99" s="84"/>
      <c r="E99" s="476">
        <f>'Power Summary'!C20</f>
        <v>0</v>
      </c>
      <c r="F99" s="476">
        <f>'Power Summary'!D20</f>
        <v>88962.222222222219</v>
      </c>
      <c r="G99" s="476">
        <f>'Power Summary'!E20</f>
        <v>106400</v>
      </c>
      <c r="H99" s="476">
        <f>'Power Summary'!F20</f>
        <v>106400</v>
      </c>
      <c r="I99" s="476">
        <f>'Power Summary'!G20</f>
        <v>106400</v>
      </c>
      <c r="J99" s="476">
        <f>'Power Summary'!H20</f>
        <v>106400</v>
      </c>
      <c r="K99" s="476">
        <f>'Power Summary'!I20</f>
        <v>106400</v>
      </c>
      <c r="L99" s="476">
        <f>'Power Summary'!J20</f>
        <v>106400</v>
      </c>
      <c r="M99" s="476">
        <f>'Power Summary'!K20</f>
        <v>106400</v>
      </c>
      <c r="N99" s="476">
        <f>'Power Summary'!L20</f>
        <v>106400</v>
      </c>
      <c r="O99" s="476">
        <f>'Power Summary'!M20</f>
        <v>106400</v>
      </c>
      <c r="P99" s="476">
        <f>'Power Summary'!N20</f>
        <v>106400</v>
      </c>
      <c r="Q99" s="476">
        <f>'Power Summary'!O20</f>
        <v>106400</v>
      </c>
      <c r="R99" s="476">
        <f>'Power Summary'!P20</f>
        <v>106400</v>
      </c>
      <c r="S99" s="476">
        <f>'Power Summary'!Q20</f>
        <v>106400</v>
      </c>
      <c r="T99" s="476">
        <f>'Power Summary'!R20</f>
        <v>106400</v>
      </c>
      <c r="U99" s="476">
        <f>'Power Summary'!S20</f>
        <v>106400</v>
      </c>
      <c r="V99" s="476">
        <f>'Power Summary'!T20</f>
        <v>106400</v>
      </c>
      <c r="W99" s="476">
        <f>'Power Summary'!U20</f>
        <v>106400</v>
      </c>
      <c r="X99" s="476">
        <f>'Power Summary'!V20</f>
        <v>106400</v>
      </c>
      <c r="Y99" s="476">
        <f>'Power Summary'!W20</f>
        <v>106400</v>
      </c>
      <c r="Z99" s="476">
        <f>'Power Summary'!X20</f>
        <v>106400</v>
      </c>
      <c r="AA99" s="476">
        <f>'Power Summary'!Y20</f>
        <v>106400</v>
      </c>
      <c r="AB99" s="476">
        <f>'Power Summary'!Z20</f>
        <v>106400</v>
      </c>
      <c r="AC99" s="476">
        <f>'Power Summary'!AA20</f>
        <v>106400</v>
      </c>
      <c r="AD99" s="476">
        <f>'Power Summary'!AB20</f>
        <v>106400</v>
      </c>
      <c r="AE99" s="476">
        <f>'Power Summary'!AC20</f>
        <v>106400</v>
      </c>
      <c r="AF99" s="476">
        <f>'Power Summary'!AD20</f>
        <v>0</v>
      </c>
      <c r="AG99" s="476">
        <f>'Power Summary'!AE20</f>
        <v>0</v>
      </c>
      <c r="AH99" s="476">
        <f>'Power Summary'!AF20</f>
        <v>0</v>
      </c>
      <c r="AI99" s="476">
        <f>'Power Summary'!AG20</f>
        <v>0</v>
      </c>
      <c r="AJ99" s="476">
        <f>'Power Summary'!AH20</f>
        <v>0</v>
      </c>
      <c r="AK99" s="476">
        <f>'Power Summary'!AI20</f>
        <v>0</v>
      </c>
      <c r="AL99" s="476">
        <f>'Power Summary'!AJ20</f>
        <v>0</v>
      </c>
      <c r="AM99" s="476">
        <f>'Power Summary'!AK20</f>
        <v>0</v>
      </c>
      <c r="AN99" s="476">
        <f>'Power Summary'!AL20</f>
        <v>0</v>
      </c>
      <c r="AO99" s="476">
        <f>'Power Summary'!AM20</f>
        <v>0</v>
      </c>
      <c r="AP99" s="476">
        <f>'Power Summary'!AN20</f>
        <v>0</v>
      </c>
      <c r="AQ99" s="476">
        <f>'Power Summary'!AO20</f>
        <v>0</v>
      </c>
      <c r="AR99" s="476">
        <f>'Power Summary'!AP20</f>
        <v>0</v>
      </c>
      <c r="AS99" s="476">
        <f>'Power Summary'!AQ20</f>
        <v>0</v>
      </c>
      <c r="AT99" s="476">
        <f>'Power Summary'!AR20</f>
        <v>0</v>
      </c>
      <c r="AU99" s="476">
        <f>'Power Summary'!AS20</f>
        <v>0</v>
      </c>
      <c r="AV99" s="476">
        <f>'Power Summary'!AT20</f>
        <v>0</v>
      </c>
      <c r="AW99" s="476">
        <f>'Power Summary'!AU20</f>
        <v>0</v>
      </c>
      <c r="AX99" s="476">
        <f>'Power Summary'!AV20</f>
        <v>0</v>
      </c>
    </row>
    <row r="100" spans="1:50" ht="14.25" customHeight="1">
      <c r="A100" s="1"/>
      <c r="B100" s="84"/>
      <c r="C100" s="98" t="s">
        <v>4</v>
      </c>
      <c r="D100" s="84"/>
      <c r="E100" s="476">
        <f>'Power Summary'!C21</f>
        <v>0</v>
      </c>
      <c r="F100" s="476">
        <f>'Power Summary'!D21</f>
        <v>0</v>
      </c>
      <c r="G100" s="476">
        <f>'Power Summary'!E21</f>
        <v>0</v>
      </c>
      <c r="H100" s="476">
        <f>'Power Summary'!F21</f>
        <v>496953.59999999998</v>
      </c>
      <c r="I100" s="476">
        <f>'Power Summary'!G21</f>
        <v>745430.4</v>
      </c>
      <c r="J100" s="476">
        <f>'Power Summary'!H21</f>
        <v>743566.82400000002</v>
      </c>
      <c r="K100" s="476">
        <f>'Power Summary'!I21</f>
        <v>741707.90694000013</v>
      </c>
      <c r="L100" s="476">
        <f>'Power Summary'!J21</f>
        <v>739853.63717265008</v>
      </c>
      <c r="M100" s="476">
        <f>'Power Summary'!K21</f>
        <v>738004.00307971844</v>
      </c>
      <c r="N100" s="476">
        <f>'Power Summary'!L21</f>
        <v>736158.99307201931</v>
      </c>
      <c r="O100" s="476">
        <f>'Power Summary'!M21</f>
        <v>734318.59558933927</v>
      </c>
      <c r="P100" s="476">
        <f>'Power Summary'!N21</f>
        <v>732482.79910036596</v>
      </c>
      <c r="Q100" s="476">
        <f>'Power Summary'!O21</f>
        <v>730651.59210261505</v>
      </c>
      <c r="R100" s="476">
        <f>'Power Summary'!P21</f>
        <v>728824.96312235855</v>
      </c>
      <c r="S100" s="476">
        <f>'Power Summary'!Q21</f>
        <v>727002.90071455261</v>
      </c>
      <c r="T100" s="476">
        <f>'Power Summary'!R21</f>
        <v>725185.39346276631</v>
      </c>
      <c r="U100" s="476">
        <f>'Power Summary'!S21</f>
        <v>723372.42997910944</v>
      </c>
      <c r="V100" s="476">
        <f>'Power Summary'!T21</f>
        <v>721563.99890416162</v>
      </c>
      <c r="W100" s="476">
        <f>'Power Summary'!U21</f>
        <v>719760.08890690131</v>
      </c>
      <c r="X100" s="476">
        <f>'Power Summary'!V21</f>
        <v>717960.68868463405</v>
      </c>
      <c r="Y100" s="476">
        <f>'Power Summary'!W21</f>
        <v>716165.78696292255</v>
      </c>
      <c r="Z100" s="476">
        <f>'Power Summary'!X21</f>
        <v>714375.37249551527</v>
      </c>
      <c r="AA100" s="476">
        <f>'Power Summary'!Y21</f>
        <v>712589.43406427652</v>
      </c>
      <c r="AB100" s="476">
        <f>'Power Summary'!Z21</f>
        <v>710807.96047911583</v>
      </c>
      <c r="AC100" s="476">
        <f>'Power Summary'!AA21</f>
        <v>709030.94057791808</v>
      </c>
      <c r="AD100" s="476">
        <f>'Power Summary'!AB21</f>
        <v>707258.36322647345</v>
      </c>
      <c r="AE100" s="476">
        <f>'Power Summary'!AC21</f>
        <v>705490.21731840726</v>
      </c>
      <c r="AF100" s="476">
        <f>'Power Summary'!AD21</f>
        <v>703726.4917751113</v>
      </c>
      <c r="AG100" s="476">
        <f>'Power Summary'!AE21</f>
        <v>701967.17554567347</v>
      </c>
      <c r="AH100" s="476">
        <f>'Power Summary'!AF21</f>
        <v>0</v>
      </c>
      <c r="AI100" s="476">
        <f>'Power Summary'!AG21</f>
        <v>0</v>
      </c>
      <c r="AJ100" s="476">
        <f>'Power Summary'!AH21</f>
        <v>0</v>
      </c>
      <c r="AK100" s="476">
        <f>'Power Summary'!AI21</f>
        <v>0</v>
      </c>
      <c r="AL100" s="476">
        <f>'Power Summary'!AJ21</f>
        <v>0</v>
      </c>
      <c r="AM100" s="476">
        <f>'Power Summary'!AK21</f>
        <v>0</v>
      </c>
      <c r="AN100" s="476">
        <f>'Power Summary'!AL21</f>
        <v>0</v>
      </c>
      <c r="AO100" s="476">
        <f>'Power Summary'!AM21</f>
        <v>0</v>
      </c>
      <c r="AP100" s="476">
        <f>'Power Summary'!AN21</f>
        <v>0</v>
      </c>
      <c r="AQ100" s="476">
        <f>'Power Summary'!AO21</f>
        <v>0</v>
      </c>
      <c r="AR100" s="476">
        <f>'Power Summary'!AP21</f>
        <v>0</v>
      </c>
      <c r="AS100" s="476">
        <f>'Power Summary'!AQ21</f>
        <v>0</v>
      </c>
      <c r="AT100" s="476">
        <f>'Power Summary'!AR21</f>
        <v>0</v>
      </c>
      <c r="AU100" s="476">
        <f>'Power Summary'!AS21</f>
        <v>0</v>
      </c>
      <c r="AV100" s="476">
        <f>'Power Summary'!AT21</f>
        <v>0</v>
      </c>
      <c r="AW100" s="476">
        <f>'Power Summary'!AU21</f>
        <v>0</v>
      </c>
      <c r="AX100" s="476">
        <f>'Power Summary'!AV21</f>
        <v>0</v>
      </c>
    </row>
    <row r="101" spans="1:50" ht="14.25" customHeight="1">
      <c r="A101" s="1"/>
      <c r="B101" s="84"/>
      <c r="C101" s="98" t="s">
        <v>9</v>
      </c>
      <c r="D101" s="84"/>
      <c r="E101" s="476">
        <f>'Power Summary'!C22</f>
        <v>0</v>
      </c>
      <c r="F101" s="476">
        <f>'Power Summary'!D22</f>
        <v>0</v>
      </c>
      <c r="G101" s="476">
        <f>'Power Summary'!E22</f>
        <v>0</v>
      </c>
      <c r="H101" s="476">
        <f>'Power Summary'!F22</f>
        <v>0</v>
      </c>
      <c r="I101" s="476">
        <f>'Power Summary'!G22</f>
        <v>665691.6</v>
      </c>
      <c r="J101" s="476">
        <f>'Power Summary'!H22</f>
        <v>796176</v>
      </c>
      <c r="K101" s="476">
        <f>'Power Summary'!I22</f>
        <v>794185.55999999994</v>
      </c>
      <c r="L101" s="476">
        <f>'Power Summary'!J22</f>
        <v>792200.09610000008</v>
      </c>
      <c r="M101" s="476">
        <f>'Power Summary'!K22</f>
        <v>790219.59585975017</v>
      </c>
      <c r="N101" s="476">
        <f>'Power Summary'!L22</f>
        <v>788244.04687010078</v>
      </c>
      <c r="O101" s="476">
        <f>'Power Summary'!M22</f>
        <v>786273.43675292563</v>
      </c>
      <c r="P101" s="476">
        <f>'Power Summary'!N22</f>
        <v>784307.75316104328</v>
      </c>
      <c r="Q101" s="476">
        <f>'Power Summary'!O22</f>
        <v>782346.98377814074</v>
      </c>
      <c r="R101" s="476">
        <f>'Power Summary'!P22</f>
        <v>780391.11631869536</v>
      </c>
      <c r="S101" s="476">
        <f>'Power Summary'!Q22</f>
        <v>778440.13852789858</v>
      </c>
      <c r="T101" s="476">
        <f>'Power Summary'!R22</f>
        <v>776494.03818157897</v>
      </c>
      <c r="U101" s="476">
        <f>'Power Summary'!S22</f>
        <v>774552.80308612506</v>
      </c>
      <c r="V101" s="476">
        <f>'Power Summary'!T22</f>
        <v>772616.42107840977</v>
      </c>
      <c r="W101" s="476">
        <f>'Power Summary'!U22</f>
        <v>770684.88002571382</v>
      </c>
      <c r="X101" s="476">
        <f>'Power Summary'!V22</f>
        <v>768758.16782564949</v>
      </c>
      <c r="Y101" s="476">
        <f>'Power Summary'!W22</f>
        <v>766836.27240608551</v>
      </c>
      <c r="Z101" s="476">
        <f>'Power Summary'!X22</f>
        <v>764919.18172507023</v>
      </c>
      <c r="AA101" s="476">
        <f>'Power Summary'!Y22</f>
        <v>763006.8837707577</v>
      </c>
      <c r="AB101" s="476">
        <f>'Power Summary'!Z22</f>
        <v>761099.36656133074</v>
      </c>
      <c r="AC101" s="476">
        <f>'Power Summary'!AA22</f>
        <v>759196.61814492743</v>
      </c>
      <c r="AD101" s="476">
        <f>'Power Summary'!AB22</f>
        <v>757298.62659956515</v>
      </c>
      <c r="AE101" s="476">
        <f>'Power Summary'!AC22</f>
        <v>755405.38003306638</v>
      </c>
      <c r="AF101" s="476">
        <f>'Power Summary'!AD22</f>
        <v>753516.86658298376</v>
      </c>
      <c r="AG101" s="476">
        <f>'Power Summary'!AE22</f>
        <v>751633.07441652624</v>
      </c>
      <c r="AH101" s="476">
        <f>'Power Summary'!AF22</f>
        <v>749753.99173048488</v>
      </c>
      <c r="AI101" s="476">
        <f>'Power Summary'!AG22</f>
        <v>0</v>
      </c>
      <c r="AJ101" s="476">
        <f>'Power Summary'!AH22</f>
        <v>0</v>
      </c>
      <c r="AK101" s="476">
        <f>'Power Summary'!AI22</f>
        <v>0</v>
      </c>
      <c r="AL101" s="476">
        <f>'Power Summary'!AJ22</f>
        <v>0</v>
      </c>
      <c r="AM101" s="476">
        <f>'Power Summary'!AK22</f>
        <v>0</v>
      </c>
      <c r="AN101" s="476">
        <f>'Power Summary'!AL22</f>
        <v>0</v>
      </c>
      <c r="AO101" s="476">
        <f>'Power Summary'!AM22</f>
        <v>0</v>
      </c>
      <c r="AP101" s="476">
        <f>'Power Summary'!AN22</f>
        <v>0</v>
      </c>
      <c r="AQ101" s="476">
        <f>'Power Summary'!AO22</f>
        <v>0</v>
      </c>
      <c r="AR101" s="476">
        <f>'Power Summary'!AP22</f>
        <v>0</v>
      </c>
      <c r="AS101" s="476">
        <f>'Power Summary'!AQ22</f>
        <v>0</v>
      </c>
      <c r="AT101" s="476">
        <f>'Power Summary'!AR22</f>
        <v>0</v>
      </c>
      <c r="AU101" s="476">
        <f>'Power Summary'!AS22</f>
        <v>0</v>
      </c>
      <c r="AV101" s="476">
        <f>'Power Summary'!AT22</f>
        <v>0</v>
      </c>
      <c r="AW101" s="476">
        <f>'Power Summary'!AU22</f>
        <v>0</v>
      </c>
      <c r="AX101" s="476">
        <f>'Power Summary'!AV22</f>
        <v>0</v>
      </c>
    </row>
    <row r="102" spans="1:50" ht="14.25" customHeight="1">
      <c r="A102" s="1"/>
      <c r="B102" s="84"/>
      <c r="C102" s="98"/>
      <c r="D102" s="84"/>
      <c r="E102" s="476"/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6"/>
      <c r="AC102" s="476"/>
      <c r="AD102" s="476"/>
      <c r="AE102" s="476"/>
      <c r="AF102" s="476"/>
      <c r="AG102" s="476"/>
      <c r="AH102" s="476"/>
      <c r="AI102" s="476"/>
      <c r="AJ102" s="476"/>
      <c r="AK102" s="476"/>
      <c r="AL102" s="476"/>
      <c r="AM102" s="476"/>
      <c r="AN102" s="476"/>
      <c r="AO102" s="476"/>
      <c r="AP102" s="476"/>
      <c r="AQ102" s="476"/>
      <c r="AR102" s="476"/>
      <c r="AS102" s="476"/>
      <c r="AT102" s="476"/>
      <c r="AU102" s="476"/>
      <c r="AV102" s="476"/>
      <c r="AW102" s="476"/>
      <c r="AX102" s="476"/>
    </row>
    <row r="103" spans="1:50" ht="14.25" customHeight="1">
      <c r="A103" s="1"/>
      <c r="B103" s="84"/>
      <c r="C103" s="477" t="s">
        <v>388</v>
      </c>
      <c r="D103" s="306"/>
      <c r="E103" s="77">
        <f>'Power Summary'!C24</f>
        <v>2544480</v>
      </c>
      <c r="F103" s="77">
        <f>'Power Summary'!D24</f>
        <v>2970546.0044444446</v>
      </c>
      <c r="G103" s="77">
        <f>'Power Summary'!E24</f>
        <v>3153242.08</v>
      </c>
      <c r="H103" s="77">
        <f>'Power Summary'!F24</f>
        <v>3153242.08</v>
      </c>
      <c r="I103" s="77">
        <f>'Power Summary'!G24</f>
        <v>3153242.08</v>
      </c>
      <c r="J103" s="77">
        <f>'Power Summary'!H24</f>
        <v>3153242.08</v>
      </c>
      <c r="K103" s="77">
        <f>'Power Summary'!I24</f>
        <v>3153242.08</v>
      </c>
      <c r="L103" s="77">
        <f>'Power Summary'!J24</f>
        <v>3153242.08</v>
      </c>
      <c r="M103" s="77">
        <f>'Power Summary'!K24</f>
        <v>3153242.08</v>
      </c>
      <c r="N103" s="77">
        <f>'Power Summary'!L24</f>
        <v>3153242.08</v>
      </c>
      <c r="O103" s="77">
        <f>'Power Summary'!M24</f>
        <v>3153242.08</v>
      </c>
      <c r="P103" s="77">
        <f>'Power Summary'!N24</f>
        <v>3153242.08</v>
      </c>
      <c r="Q103" s="77">
        <f>'Power Summary'!O24</f>
        <v>3153242.08</v>
      </c>
      <c r="R103" s="77">
        <f>'Power Summary'!P24</f>
        <v>3153242.08</v>
      </c>
      <c r="S103" s="77">
        <f>'Power Summary'!Q24</f>
        <v>3153242.08</v>
      </c>
      <c r="T103" s="77">
        <f>'Power Summary'!R24</f>
        <v>3153242.08</v>
      </c>
      <c r="U103" s="77">
        <f>'Power Summary'!S24</f>
        <v>3153242.08</v>
      </c>
      <c r="V103" s="77">
        <f>'Power Summary'!T24</f>
        <v>3153242.08</v>
      </c>
      <c r="W103" s="77">
        <f>'Power Summary'!U24</f>
        <v>3153242.08</v>
      </c>
      <c r="X103" s="77">
        <f>'Power Summary'!V24</f>
        <v>3153242.08</v>
      </c>
      <c r="Y103" s="77">
        <f>'Power Summary'!W24</f>
        <v>3153242.08</v>
      </c>
      <c r="Z103" s="77">
        <f>'Power Summary'!X24</f>
        <v>3153242.08</v>
      </c>
      <c r="AA103" s="77">
        <f>'Power Summary'!Y24</f>
        <v>3153242.08</v>
      </c>
      <c r="AB103" s="77">
        <f>'Power Summary'!Z24</f>
        <v>3153242.08</v>
      </c>
      <c r="AC103" s="77">
        <f>'Power Summary'!AA24</f>
        <v>3153242.08</v>
      </c>
      <c r="AD103" s="77">
        <f>'Power Summary'!AB24</f>
        <v>3153242.08</v>
      </c>
      <c r="AE103" s="77">
        <f>'Power Summary'!AC24</f>
        <v>3153242.08</v>
      </c>
      <c r="AF103" s="77">
        <f>'Power Summary'!AD24</f>
        <v>2544480</v>
      </c>
      <c r="AG103" s="77">
        <f>'Power Summary'!AE24</f>
        <v>2544480</v>
      </c>
      <c r="AH103" s="77">
        <f>'Power Summary'!AF24</f>
        <v>2544480</v>
      </c>
      <c r="AI103" s="77">
        <f>'Power Summary'!AG24</f>
        <v>2544480</v>
      </c>
      <c r="AJ103" s="77">
        <f>'Power Summary'!AH24</f>
        <v>2544480</v>
      </c>
      <c r="AK103" s="77">
        <f>'Power Summary'!AI24</f>
        <v>2544480</v>
      </c>
      <c r="AL103" s="77">
        <f>'Power Summary'!AJ24</f>
        <v>2544480</v>
      </c>
      <c r="AM103" s="77">
        <f>'Power Summary'!AK24</f>
        <v>2544480</v>
      </c>
      <c r="AN103" s="77">
        <f>'Power Summary'!AL24</f>
        <v>2544480</v>
      </c>
      <c r="AO103" s="77">
        <f>'Power Summary'!AM24</f>
        <v>2544480</v>
      </c>
      <c r="AP103" s="77">
        <f>'Power Summary'!AN24</f>
        <v>2544480</v>
      </c>
      <c r="AQ103" s="77">
        <f>'Power Summary'!AO24</f>
        <v>2544480</v>
      </c>
      <c r="AR103" s="77">
        <f>'Power Summary'!AP24</f>
        <v>2544480</v>
      </c>
      <c r="AS103" s="77">
        <f>'Power Summary'!AQ24</f>
        <v>2544480</v>
      </c>
      <c r="AT103" s="77">
        <f>'Power Summary'!AR24</f>
        <v>2544480</v>
      </c>
      <c r="AU103" s="77">
        <f>'Power Summary'!AS24</f>
        <v>2544480</v>
      </c>
      <c r="AV103" s="77">
        <f>'Power Summary'!AT24</f>
        <v>2544480</v>
      </c>
      <c r="AW103" s="77">
        <f>'Power Summary'!AU24</f>
        <v>2544480</v>
      </c>
      <c r="AX103" s="77">
        <f>'Power Summary'!AV24</f>
        <v>0</v>
      </c>
    </row>
    <row r="104" spans="1:50" ht="14.25" customHeight="1">
      <c r="A104" s="1"/>
      <c r="B104" s="84"/>
      <c r="C104" s="322" t="s">
        <v>389</v>
      </c>
      <c r="D104" s="83"/>
      <c r="E104" s="163">
        <f>'Power Summary'!C26</f>
        <v>0</v>
      </c>
      <c r="F104" s="163">
        <f>'Power Summary'!D26</f>
        <v>147362.22222222222</v>
      </c>
      <c r="G104" s="163">
        <f>'Power Summary'!E26</f>
        <v>280287.64387132286</v>
      </c>
      <c r="H104" s="163">
        <f>'Power Summary'!F26</f>
        <v>775502.36743260955</v>
      </c>
      <c r="I104" s="163">
        <f>'Power Summary'!G26</f>
        <v>1687944.9325671867</v>
      </c>
      <c r="J104" s="163">
        <f>'Power Summary'!H26</f>
        <v>1814852.8763312323</v>
      </c>
      <c r="K104" s="163">
        <f>'Power Summary'!I26</f>
        <v>1809303.5072643231</v>
      </c>
      <c r="L104" s="163">
        <f>'Power Summary'!J26</f>
        <v>1803776.5439588251</v>
      </c>
      <c r="M104" s="163">
        <f>'Power Summary'!K26</f>
        <v>1798271.8770328686</v>
      </c>
      <c r="N104" s="163">
        <f>'Power Summary'!L26</f>
        <v>1792789.3976984057</v>
      </c>
      <c r="O104" s="163">
        <f>'Power Summary'!M26</f>
        <v>1787328.9977578549</v>
      </c>
      <c r="P104" s="163">
        <f>'Power Summary'!N26</f>
        <v>1781890.569600767</v>
      </c>
      <c r="Q104" s="163">
        <f>'Power Summary'!O26</f>
        <v>1776474.006200508</v>
      </c>
      <c r="R104" s="163">
        <f>'Power Summary'!P26</f>
        <v>1771079.2011109632</v>
      </c>
      <c r="S104" s="163">
        <f>'Power Summary'!Q26</f>
        <v>1765706.048463258</v>
      </c>
      <c r="T104" s="163">
        <f>'Power Summary'!R26</f>
        <v>1760354.4429624986</v>
      </c>
      <c r="U104" s="163">
        <f>'Power Summary'!S26</f>
        <v>1755024.2798845307</v>
      </c>
      <c r="V104" s="163">
        <f>'Power Summary'!T26</f>
        <v>1749715.4550727159</v>
      </c>
      <c r="W104" s="163">
        <f>'Power Summary'!U26</f>
        <v>1744427.8649347289</v>
      </c>
      <c r="X104" s="163">
        <f>'Power Summary'!V26</f>
        <v>1739161.40643937</v>
      </c>
      <c r="Y104" s="163">
        <f>'Power Summary'!W26</f>
        <v>1733915.9771133973</v>
      </c>
      <c r="Z104" s="163">
        <f>'Power Summary'!X26</f>
        <v>1728691.4750383762</v>
      </c>
      <c r="AA104" s="163">
        <f>'Power Summary'!Y26</f>
        <v>1723487.7988475487</v>
      </c>
      <c r="AB104" s="163">
        <f>'Power Summary'!Z26</f>
        <v>1718304.8477227171</v>
      </c>
      <c r="AC104" s="163">
        <f>'Power Summary'!AA26</f>
        <v>1713142.5213911491</v>
      </c>
      <c r="AD104" s="163">
        <f>'Power Summary'!AB26</f>
        <v>1708000.7201224982</v>
      </c>
      <c r="AE104" s="163">
        <f>'Power Summary'!AC26</f>
        <v>1702879.3447257411</v>
      </c>
      <c r="AF104" s="163">
        <f>'Power Summary'!AD26</f>
        <v>1457243.3583580949</v>
      </c>
      <c r="AG104" s="163">
        <f>'Power Summary'!AE26</f>
        <v>1453600.2499621997</v>
      </c>
      <c r="AH104" s="163">
        <f>'Power Summary'!AF26</f>
        <v>749753.99173048488</v>
      </c>
      <c r="AI104" s="163">
        <f>'Power Summary'!AG26</f>
        <v>0</v>
      </c>
      <c r="AJ104" s="163">
        <f>'Power Summary'!AH26</f>
        <v>0</v>
      </c>
      <c r="AK104" s="163">
        <f>'Power Summary'!AI26</f>
        <v>0</v>
      </c>
      <c r="AL104" s="163">
        <f>'Power Summary'!AJ26</f>
        <v>0</v>
      </c>
      <c r="AM104" s="163">
        <f>'Power Summary'!AK26</f>
        <v>0</v>
      </c>
      <c r="AN104" s="163">
        <f>'Power Summary'!AL26</f>
        <v>0</v>
      </c>
      <c r="AO104" s="163">
        <f>'Power Summary'!AM26</f>
        <v>0</v>
      </c>
      <c r="AP104" s="163">
        <f>'Power Summary'!AN26</f>
        <v>0</v>
      </c>
      <c r="AQ104" s="163">
        <f>'Power Summary'!AO26</f>
        <v>0</v>
      </c>
      <c r="AR104" s="163">
        <f>'Power Summary'!AP26</f>
        <v>0</v>
      </c>
      <c r="AS104" s="163">
        <f>'Power Summary'!AQ26</f>
        <v>0</v>
      </c>
      <c r="AT104" s="163">
        <f>'Power Summary'!AR26</f>
        <v>0</v>
      </c>
      <c r="AU104" s="163">
        <f>'Power Summary'!AS26</f>
        <v>0</v>
      </c>
      <c r="AV104" s="163">
        <f>'Power Summary'!AT26</f>
        <v>0</v>
      </c>
      <c r="AW104" s="163">
        <f>'Power Summary'!AU26</f>
        <v>0</v>
      </c>
      <c r="AX104" s="163">
        <f>'Power Summary'!AV26</f>
        <v>0</v>
      </c>
    </row>
    <row r="105" spans="1:50" ht="14.25" customHeight="1" thickBot="1">
      <c r="A105" s="1"/>
      <c r="B105" s="84"/>
      <c r="C105" s="26" t="s">
        <v>390</v>
      </c>
      <c r="D105" s="24"/>
      <c r="E105" s="224">
        <f>'Power Summary'!C27</f>
        <v>2544480</v>
      </c>
      <c r="F105" s="224">
        <f>'Power Summary'!D27</f>
        <v>2823183.7822222225</v>
      </c>
      <c r="G105" s="224">
        <f>'Power Summary'!E27</f>
        <v>2872954.4361286773</v>
      </c>
      <c r="H105" s="224">
        <f>'Power Summary'!F27</f>
        <v>2377739.7125673904</v>
      </c>
      <c r="I105" s="224">
        <f>'Power Summary'!G27</f>
        <v>1465297.1474328134</v>
      </c>
      <c r="J105" s="224">
        <f>'Power Summary'!H27</f>
        <v>1338389.2036687678</v>
      </c>
      <c r="K105" s="224">
        <f>'Power Summary'!I27</f>
        <v>1343938.572735677</v>
      </c>
      <c r="L105" s="224">
        <f>'Power Summary'!J27</f>
        <v>1349465.536041175</v>
      </c>
      <c r="M105" s="224">
        <f>'Power Summary'!K27</f>
        <v>1354970.2029671315</v>
      </c>
      <c r="N105" s="224">
        <f>'Power Summary'!L27</f>
        <v>1360452.6823015944</v>
      </c>
      <c r="O105" s="224">
        <f>'Power Summary'!M27</f>
        <v>1365913.0822421452</v>
      </c>
      <c r="P105" s="224">
        <f>'Power Summary'!N27</f>
        <v>1371351.5103992331</v>
      </c>
      <c r="Q105" s="224">
        <f>'Power Summary'!O27</f>
        <v>1376768.0737994921</v>
      </c>
      <c r="R105" s="224">
        <f>'Power Summary'!P27</f>
        <v>1382162.8788890368</v>
      </c>
      <c r="S105" s="224">
        <f>'Power Summary'!Q27</f>
        <v>1387536.0315367421</v>
      </c>
      <c r="T105" s="224">
        <f>'Power Summary'!R27</f>
        <v>1392887.6370375014</v>
      </c>
      <c r="U105" s="224">
        <f>'Power Summary'!S27</f>
        <v>1398217.8001154694</v>
      </c>
      <c r="V105" s="224">
        <f>'Power Summary'!T27</f>
        <v>1403526.6249272842</v>
      </c>
      <c r="W105" s="224">
        <f>'Power Summary'!U27</f>
        <v>1408814.2150652711</v>
      </c>
      <c r="X105" s="224">
        <f>'Power Summary'!V27</f>
        <v>1414080.6735606301</v>
      </c>
      <c r="Y105" s="224">
        <f>'Power Summary'!W27</f>
        <v>1419326.1028866027</v>
      </c>
      <c r="Z105" s="224">
        <f>'Power Summary'!X27</f>
        <v>1424550.6049616239</v>
      </c>
      <c r="AA105" s="224">
        <f>'Power Summary'!Y27</f>
        <v>1429754.2811524514</v>
      </c>
      <c r="AB105" s="224">
        <f>'Power Summary'!Z27</f>
        <v>1434937.232277283</v>
      </c>
      <c r="AC105" s="224">
        <f>'Power Summary'!AA27</f>
        <v>1440099.5586088509</v>
      </c>
      <c r="AD105" s="224">
        <f>'Power Summary'!AB27</f>
        <v>1445241.3598775018</v>
      </c>
      <c r="AE105" s="224">
        <f>'Power Summary'!AC27</f>
        <v>1450362.735274259</v>
      </c>
      <c r="AF105" s="224">
        <f>'Power Summary'!AD27</f>
        <v>1087236.6416419051</v>
      </c>
      <c r="AG105" s="224">
        <f>'Power Summary'!AE27</f>
        <v>1090879.7500378003</v>
      </c>
      <c r="AH105" s="224">
        <f>'Power Summary'!AF27</f>
        <v>1794726.0082695151</v>
      </c>
      <c r="AI105" s="224">
        <f>'Power Summary'!AG27</f>
        <v>2544480</v>
      </c>
      <c r="AJ105" s="224">
        <f>'Power Summary'!AH27</f>
        <v>2544480</v>
      </c>
      <c r="AK105" s="224">
        <f>'Power Summary'!AI27</f>
        <v>2544480</v>
      </c>
      <c r="AL105" s="224">
        <f>'Power Summary'!AJ27</f>
        <v>2544480</v>
      </c>
      <c r="AM105" s="224">
        <f>'Power Summary'!AK27</f>
        <v>2544480</v>
      </c>
      <c r="AN105" s="224">
        <f>'Power Summary'!AL27</f>
        <v>2544480</v>
      </c>
      <c r="AO105" s="224">
        <f>'Power Summary'!AM27</f>
        <v>2544480</v>
      </c>
      <c r="AP105" s="224">
        <f>'Power Summary'!AN27</f>
        <v>2544480</v>
      </c>
      <c r="AQ105" s="224">
        <f>'Power Summary'!AO27</f>
        <v>2544480</v>
      </c>
      <c r="AR105" s="224">
        <f>'Power Summary'!AP27</f>
        <v>2544480</v>
      </c>
      <c r="AS105" s="224">
        <f>'Power Summary'!AQ27</f>
        <v>2544480</v>
      </c>
      <c r="AT105" s="224">
        <f>'Power Summary'!AR27</f>
        <v>2544480</v>
      </c>
      <c r="AU105" s="224">
        <f>'Power Summary'!AS27</f>
        <v>2544480</v>
      </c>
      <c r="AV105" s="224">
        <f>'Power Summary'!AT27</f>
        <v>2544480</v>
      </c>
      <c r="AW105" s="224">
        <f>'Power Summary'!AU27</f>
        <v>2544480</v>
      </c>
      <c r="AX105" s="224">
        <f>'Power Summary'!AV27</f>
        <v>0</v>
      </c>
    </row>
    <row r="106" spans="1:50" ht="14.25" customHeight="1">
      <c r="A106" s="1"/>
      <c r="B106" s="1"/>
      <c r="C106" s="83"/>
      <c r="D106" s="8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</row>
    <row r="107" spans="1:50" ht="14.25" customHeight="1">
      <c r="A107" s="1"/>
      <c r="B107" s="1"/>
      <c r="C107" s="2"/>
      <c r="D107" s="2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</row>
    <row r="108" spans="1:50" ht="16" thickBot="1">
      <c r="A108" s="1" t="s">
        <v>351</v>
      </c>
      <c r="B108" s="1"/>
      <c r="C108" s="458" t="s">
        <v>391</v>
      </c>
      <c r="D108" s="458"/>
      <c r="E108" s="458"/>
      <c r="F108" s="459"/>
      <c r="G108" s="459"/>
      <c r="H108" s="459"/>
      <c r="I108" s="459"/>
      <c r="J108" s="459"/>
      <c r="K108" s="460"/>
      <c r="L108" s="459"/>
      <c r="M108" s="459"/>
      <c r="N108" s="459"/>
      <c r="O108" s="459"/>
      <c r="P108" s="459"/>
      <c r="Q108" s="459"/>
      <c r="R108" s="459"/>
      <c r="S108" s="459"/>
      <c r="T108" s="459"/>
      <c r="U108" s="459"/>
      <c r="V108" s="459"/>
      <c r="W108" s="459"/>
      <c r="X108" s="459"/>
      <c r="Y108" s="459"/>
      <c r="Z108" s="459"/>
      <c r="AA108" s="459"/>
      <c r="AB108" s="459"/>
      <c r="AC108" s="459"/>
      <c r="AD108" s="459"/>
      <c r="AE108" s="459"/>
      <c r="AF108" s="459"/>
      <c r="AG108" s="459"/>
      <c r="AH108" s="459"/>
      <c r="AI108" s="459"/>
      <c r="AJ108" s="459"/>
      <c r="AK108" s="459"/>
      <c r="AL108" s="459"/>
      <c r="AM108" s="459"/>
      <c r="AN108" s="459"/>
      <c r="AO108" s="459"/>
      <c r="AP108" s="459"/>
      <c r="AQ108" s="459"/>
      <c r="AR108" s="459"/>
      <c r="AS108" s="459"/>
      <c r="AT108" s="459"/>
      <c r="AU108" s="459"/>
      <c r="AV108" s="459"/>
      <c r="AW108" s="459"/>
      <c r="AX108" s="459"/>
    </row>
    <row r="109" spans="1:50" ht="14.25" customHeight="1">
      <c r="A109" s="1"/>
      <c r="B109" s="1"/>
      <c r="C109" s="461" t="s">
        <v>392</v>
      </c>
      <c r="D109" s="461"/>
      <c r="E109" s="43">
        <v>0</v>
      </c>
      <c r="F109" s="90">
        <f t="shared" ref="F109:AX109" si="18">E109+1</f>
        <v>1</v>
      </c>
      <c r="G109" s="90">
        <f t="shared" si="18"/>
        <v>2</v>
      </c>
      <c r="H109" s="90">
        <f t="shared" si="18"/>
        <v>3</v>
      </c>
      <c r="I109" s="90">
        <f t="shared" si="18"/>
        <v>4</v>
      </c>
      <c r="J109" s="90">
        <f t="shared" si="18"/>
        <v>5</v>
      </c>
      <c r="K109" s="90">
        <f t="shared" si="18"/>
        <v>6</v>
      </c>
      <c r="L109" s="90">
        <f t="shared" si="18"/>
        <v>7</v>
      </c>
      <c r="M109" s="90">
        <f t="shared" si="18"/>
        <v>8</v>
      </c>
      <c r="N109" s="90">
        <f t="shared" si="18"/>
        <v>9</v>
      </c>
      <c r="O109" s="90">
        <f t="shared" si="18"/>
        <v>10</v>
      </c>
      <c r="P109" s="90">
        <f t="shared" si="18"/>
        <v>11</v>
      </c>
      <c r="Q109" s="90">
        <f t="shared" si="18"/>
        <v>12</v>
      </c>
      <c r="R109" s="90">
        <f t="shared" si="18"/>
        <v>13</v>
      </c>
      <c r="S109" s="90">
        <f t="shared" si="18"/>
        <v>14</v>
      </c>
      <c r="T109" s="90">
        <f t="shared" si="18"/>
        <v>15</v>
      </c>
      <c r="U109" s="90">
        <f t="shared" si="18"/>
        <v>16</v>
      </c>
      <c r="V109" s="90">
        <f t="shared" si="18"/>
        <v>17</v>
      </c>
      <c r="W109" s="90">
        <f t="shared" si="18"/>
        <v>18</v>
      </c>
      <c r="X109" s="90">
        <f t="shared" si="18"/>
        <v>19</v>
      </c>
      <c r="Y109" s="90">
        <f t="shared" si="18"/>
        <v>20</v>
      </c>
      <c r="Z109" s="90">
        <f t="shared" si="18"/>
        <v>21</v>
      </c>
      <c r="AA109" s="90">
        <f t="shared" si="18"/>
        <v>22</v>
      </c>
      <c r="AB109" s="90">
        <f t="shared" si="18"/>
        <v>23</v>
      </c>
      <c r="AC109" s="90">
        <f t="shared" si="18"/>
        <v>24</v>
      </c>
      <c r="AD109" s="90">
        <f t="shared" si="18"/>
        <v>25</v>
      </c>
      <c r="AE109" s="90">
        <f t="shared" si="18"/>
        <v>26</v>
      </c>
      <c r="AF109" s="90">
        <f t="shared" si="18"/>
        <v>27</v>
      </c>
      <c r="AG109" s="90">
        <f t="shared" si="18"/>
        <v>28</v>
      </c>
      <c r="AH109" s="90">
        <f t="shared" si="18"/>
        <v>29</v>
      </c>
      <c r="AI109" s="90">
        <f t="shared" si="18"/>
        <v>30</v>
      </c>
      <c r="AJ109" s="90">
        <f t="shared" si="18"/>
        <v>31</v>
      </c>
      <c r="AK109" s="90">
        <f t="shared" si="18"/>
        <v>32</v>
      </c>
      <c r="AL109" s="90">
        <f t="shared" si="18"/>
        <v>33</v>
      </c>
      <c r="AM109" s="90">
        <f t="shared" si="18"/>
        <v>34</v>
      </c>
      <c r="AN109" s="90">
        <f t="shared" si="18"/>
        <v>35</v>
      </c>
      <c r="AO109" s="90">
        <f t="shared" si="18"/>
        <v>36</v>
      </c>
      <c r="AP109" s="90">
        <f t="shared" si="18"/>
        <v>37</v>
      </c>
      <c r="AQ109" s="90">
        <f t="shared" si="18"/>
        <v>38</v>
      </c>
      <c r="AR109" s="90">
        <f t="shared" si="18"/>
        <v>39</v>
      </c>
      <c r="AS109" s="90">
        <f t="shared" si="18"/>
        <v>40</v>
      </c>
      <c r="AT109" s="90">
        <f t="shared" si="18"/>
        <v>41</v>
      </c>
      <c r="AU109" s="90">
        <f t="shared" si="18"/>
        <v>42</v>
      </c>
      <c r="AV109" s="90">
        <f t="shared" si="18"/>
        <v>43</v>
      </c>
      <c r="AW109" s="90">
        <f t="shared" si="18"/>
        <v>44</v>
      </c>
      <c r="AX109" s="90">
        <f t="shared" si="18"/>
        <v>45</v>
      </c>
    </row>
    <row r="110" spans="1:50" ht="14.25" customHeight="1" thickBot="1">
      <c r="A110" s="1"/>
      <c r="B110" s="1"/>
      <c r="C110" s="200"/>
      <c r="D110" s="200"/>
      <c r="E110" s="83"/>
      <c r="F110" s="806" t="s">
        <v>354</v>
      </c>
      <c r="G110" s="806"/>
      <c r="H110" s="806"/>
      <c r="I110" s="806"/>
      <c r="J110" s="806"/>
      <c r="K110" s="806"/>
      <c r="L110" s="806"/>
      <c r="M110" s="806"/>
      <c r="N110" s="806"/>
      <c r="O110" s="806"/>
      <c r="P110" s="806"/>
      <c r="Q110" s="806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</row>
    <row r="111" spans="1:50" ht="14.25" customHeight="1">
      <c r="A111" s="1"/>
      <c r="B111" s="84"/>
      <c r="C111" s="462"/>
      <c r="D111" s="463"/>
      <c r="E111" s="204">
        <f>E88</f>
        <v>2026</v>
      </c>
      <c r="F111" s="204">
        <f t="shared" ref="F111:AX111" si="19">E111+1</f>
        <v>2027</v>
      </c>
      <c r="G111" s="204">
        <f t="shared" si="19"/>
        <v>2028</v>
      </c>
      <c r="H111" s="204">
        <f t="shared" si="19"/>
        <v>2029</v>
      </c>
      <c r="I111" s="204">
        <f t="shared" si="19"/>
        <v>2030</v>
      </c>
      <c r="J111" s="204">
        <f t="shared" si="19"/>
        <v>2031</v>
      </c>
      <c r="K111" s="204">
        <f t="shared" si="19"/>
        <v>2032</v>
      </c>
      <c r="L111" s="204">
        <f t="shared" si="19"/>
        <v>2033</v>
      </c>
      <c r="M111" s="204">
        <f t="shared" si="19"/>
        <v>2034</v>
      </c>
      <c r="N111" s="204">
        <f t="shared" si="19"/>
        <v>2035</v>
      </c>
      <c r="O111" s="204">
        <f t="shared" si="19"/>
        <v>2036</v>
      </c>
      <c r="P111" s="204">
        <f t="shared" si="19"/>
        <v>2037</v>
      </c>
      <c r="Q111" s="204">
        <f t="shared" si="19"/>
        <v>2038</v>
      </c>
      <c r="R111" s="204">
        <f t="shared" si="19"/>
        <v>2039</v>
      </c>
      <c r="S111" s="204">
        <f t="shared" si="19"/>
        <v>2040</v>
      </c>
      <c r="T111" s="204">
        <f t="shared" si="19"/>
        <v>2041</v>
      </c>
      <c r="U111" s="204">
        <f t="shared" si="19"/>
        <v>2042</v>
      </c>
      <c r="V111" s="204">
        <f t="shared" si="19"/>
        <v>2043</v>
      </c>
      <c r="W111" s="204">
        <f t="shared" si="19"/>
        <v>2044</v>
      </c>
      <c r="X111" s="204">
        <f t="shared" si="19"/>
        <v>2045</v>
      </c>
      <c r="Y111" s="204">
        <f t="shared" si="19"/>
        <v>2046</v>
      </c>
      <c r="Z111" s="204">
        <f t="shared" si="19"/>
        <v>2047</v>
      </c>
      <c r="AA111" s="204">
        <f t="shared" si="19"/>
        <v>2048</v>
      </c>
      <c r="AB111" s="204">
        <f t="shared" si="19"/>
        <v>2049</v>
      </c>
      <c r="AC111" s="204">
        <f t="shared" si="19"/>
        <v>2050</v>
      </c>
      <c r="AD111" s="204">
        <f t="shared" si="19"/>
        <v>2051</v>
      </c>
      <c r="AE111" s="204">
        <f t="shared" si="19"/>
        <v>2052</v>
      </c>
      <c r="AF111" s="204">
        <f t="shared" si="19"/>
        <v>2053</v>
      </c>
      <c r="AG111" s="204">
        <f t="shared" si="19"/>
        <v>2054</v>
      </c>
      <c r="AH111" s="204">
        <f t="shared" si="19"/>
        <v>2055</v>
      </c>
      <c r="AI111" s="204">
        <f t="shared" si="19"/>
        <v>2056</v>
      </c>
      <c r="AJ111" s="204">
        <f t="shared" si="19"/>
        <v>2057</v>
      </c>
      <c r="AK111" s="204">
        <f t="shared" si="19"/>
        <v>2058</v>
      </c>
      <c r="AL111" s="204">
        <f t="shared" si="19"/>
        <v>2059</v>
      </c>
      <c r="AM111" s="204">
        <f t="shared" si="19"/>
        <v>2060</v>
      </c>
      <c r="AN111" s="204">
        <f t="shared" si="19"/>
        <v>2061</v>
      </c>
      <c r="AO111" s="204">
        <f t="shared" si="19"/>
        <v>2062</v>
      </c>
      <c r="AP111" s="204">
        <f t="shared" si="19"/>
        <v>2063</v>
      </c>
      <c r="AQ111" s="204">
        <f t="shared" si="19"/>
        <v>2064</v>
      </c>
      <c r="AR111" s="204">
        <f t="shared" si="19"/>
        <v>2065</v>
      </c>
      <c r="AS111" s="204">
        <f t="shared" si="19"/>
        <v>2066</v>
      </c>
      <c r="AT111" s="204">
        <f t="shared" si="19"/>
        <v>2067</v>
      </c>
      <c r="AU111" s="204">
        <f t="shared" si="19"/>
        <v>2068</v>
      </c>
      <c r="AV111" s="204">
        <f t="shared" si="19"/>
        <v>2069</v>
      </c>
      <c r="AW111" s="204">
        <f t="shared" si="19"/>
        <v>2070</v>
      </c>
      <c r="AX111" s="204">
        <f t="shared" si="19"/>
        <v>2071</v>
      </c>
    </row>
    <row r="112" spans="1:50" ht="14.25" customHeight="1">
      <c r="A112" s="1"/>
      <c r="B112" s="84"/>
      <c r="C112" s="98"/>
      <c r="D112" s="84"/>
      <c r="E112" s="142">
        <f>E89</f>
        <v>46023</v>
      </c>
      <c r="F112" s="142">
        <f t="shared" ref="F112:AX112" si="20">F89</f>
        <v>46752</v>
      </c>
      <c r="G112" s="142">
        <f t="shared" si="20"/>
        <v>47118</v>
      </c>
      <c r="H112" s="142">
        <f t="shared" si="20"/>
        <v>47483</v>
      </c>
      <c r="I112" s="142">
        <f t="shared" si="20"/>
        <v>47848</v>
      </c>
      <c r="J112" s="142">
        <f t="shared" si="20"/>
        <v>48213</v>
      </c>
      <c r="K112" s="142">
        <f t="shared" si="20"/>
        <v>48579</v>
      </c>
      <c r="L112" s="142">
        <f t="shared" si="20"/>
        <v>48944</v>
      </c>
      <c r="M112" s="142">
        <f t="shared" si="20"/>
        <v>49309</v>
      </c>
      <c r="N112" s="142">
        <f t="shared" si="20"/>
        <v>49674</v>
      </c>
      <c r="O112" s="142">
        <f t="shared" si="20"/>
        <v>50040</v>
      </c>
      <c r="P112" s="142">
        <f t="shared" si="20"/>
        <v>50405</v>
      </c>
      <c r="Q112" s="142">
        <f t="shared" si="20"/>
        <v>50770</v>
      </c>
      <c r="R112" s="142">
        <f t="shared" si="20"/>
        <v>51135</v>
      </c>
      <c r="S112" s="142">
        <f t="shared" si="20"/>
        <v>51501</v>
      </c>
      <c r="T112" s="142">
        <f t="shared" si="20"/>
        <v>51866</v>
      </c>
      <c r="U112" s="142">
        <f t="shared" si="20"/>
        <v>52231</v>
      </c>
      <c r="V112" s="142">
        <f t="shared" si="20"/>
        <v>52596</v>
      </c>
      <c r="W112" s="142">
        <f t="shared" si="20"/>
        <v>52962</v>
      </c>
      <c r="X112" s="142">
        <f t="shared" si="20"/>
        <v>53327</v>
      </c>
      <c r="Y112" s="142">
        <f t="shared" si="20"/>
        <v>53692</v>
      </c>
      <c r="Z112" s="142">
        <f t="shared" si="20"/>
        <v>54057</v>
      </c>
      <c r="AA112" s="142">
        <f t="shared" si="20"/>
        <v>54423</v>
      </c>
      <c r="AB112" s="142">
        <f t="shared" si="20"/>
        <v>54788</v>
      </c>
      <c r="AC112" s="142">
        <f t="shared" si="20"/>
        <v>55153</v>
      </c>
      <c r="AD112" s="142">
        <f t="shared" si="20"/>
        <v>55518</v>
      </c>
      <c r="AE112" s="142">
        <f t="shared" si="20"/>
        <v>55884</v>
      </c>
      <c r="AF112" s="142">
        <f t="shared" si="20"/>
        <v>56249</v>
      </c>
      <c r="AG112" s="142">
        <f t="shared" si="20"/>
        <v>56614</v>
      </c>
      <c r="AH112" s="142">
        <f t="shared" si="20"/>
        <v>56979</v>
      </c>
      <c r="AI112" s="142">
        <f t="shared" si="20"/>
        <v>57345</v>
      </c>
      <c r="AJ112" s="142">
        <f t="shared" si="20"/>
        <v>57710</v>
      </c>
      <c r="AK112" s="142">
        <f t="shared" si="20"/>
        <v>58075</v>
      </c>
      <c r="AL112" s="142">
        <f t="shared" si="20"/>
        <v>58440</v>
      </c>
      <c r="AM112" s="142">
        <f t="shared" si="20"/>
        <v>58806</v>
      </c>
      <c r="AN112" s="142">
        <f t="shared" si="20"/>
        <v>59171</v>
      </c>
      <c r="AO112" s="142">
        <f t="shared" si="20"/>
        <v>59536</v>
      </c>
      <c r="AP112" s="142">
        <f t="shared" si="20"/>
        <v>59901</v>
      </c>
      <c r="AQ112" s="142">
        <f t="shared" si="20"/>
        <v>60267</v>
      </c>
      <c r="AR112" s="142">
        <f t="shared" si="20"/>
        <v>60632</v>
      </c>
      <c r="AS112" s="142">
        <f t="shared" si="20"/>
        <v>60997</v>
      </c>
      <c r="AT112" s="142">
        <f t="shared" si="20"/>
        <v>61362</v>
      </c>
      <c r="AU112" s="142">
        <f t="shared" si="20"/>
        <v>61728</v>
      </c>
      <c r="AV112" s="142">
        <f t="shared" si="20"/>
        <v>62093</v>
      </c>
      <c r="AW112" s="142">
        <f t="shared" si="20"/>
        <v>62458</v>
      </c>
      <c r="AX112" s="142">
        <f t="shared" si="20"/>
        <v>62823</v>
      </c>
    </row>
    <row r="113" spans="1:50" ht="14.25" customHeight="1">
      <c r="A113" s="1"/>
      <c r="B113" s="84"/>
      <c r="C113" s="218" t="s">
        <v>393</v>
      </c>
      <c r="D113" s="246"/>
      <c r="E113" s="219">
        <f>Hydrogen!D118</f>
        <v>0</v>
      </c>
      <c r="F113" s="219">
        <f>Hydrogen!E118</f>
        <v>5776.2619372442023</v>
      </c>
      <c r="G113" s="219">
        <f>Hydrogen!F118</f>
        <v>8664.3929058663034</v>
      </c>
      <c r="H113" s="219">
        <f>Hydrogen!G118</f>
        <v>8664.3929058663034</v>
      </c>
      <c r="I113" s="219">
        <f>Hydrogen!H118</f>
        <v>8664.3929058663034</v>
      </c>
      <c r="J113" s="219">
        <f>Hydrogen!I118</f>
        <v>8664.3929058663034</v>
      </c>
      <c r="K113" s="219">
        <f>Hydrogen!J118</f>
        <v>8664.3929058663034</v>
      </c>
      <c r="L113" s="219">
        <f>Hydrogen!K118</f>
        <v>8664.3929058663034</v>
      </c>
      <c r="M113" s="219">
        <f>Hydrogen!L118</f>
        <v>8664.3929058663034</v>
      </c>
      <c r="N113" s="219">
        <f>Hydrogen!M118</f>
        <v>8664.3929058663034</v>
      </c>
      <c r="O113" s="219">
        <f>Hydrogen!N118</f>
        <v>8664.3929058663034</v>
      </c>
      <c r="P113" s="219">
        <f>Hydrogen!O118</f>
        <v>8664.3929058663034</v>
      </c>
      <c r="Q113" s="219">
        <f>Hydrogen!P118</f>
        <v>8664.3929058663034</v>
      </c>
      <c r="R113" s="219">
        <f>Hydrogen!Q118</f>
        <v>8664.3929058663034</v>
      </c>
      <c r="S113" s="219">
        <f>Hydrogen!R118</f>
        <v>8664.3929058663034</v>
      </c>
      <c r="T113" s="219">
        <f>Hydrogen!S118</f>
        <v>8664.3929058663034</v>
      </c>
      <c r="U113" s="219">
        <f>Hydrogen!T118</f>
        <v>8664.3929058663034</v>
      </c>
      <c r="V113" s="219">
        <f>Hydrogen!U118</f>
        <v>8664.3929058663034</v>
      </c>
      <c r="W113" s="219">
        <f>Hydrogen!V118</f>
        <v>8664.3929058663034</v>
      </c>
      <c r="X113" s="219">
        <f>Hydrogen!W118</f>
        <v>8664.3929058663034</v>
      </c>
      <c r="Y113" s="219">
        <f>Hydrogen!X118</f>
        <v>8664.3929058663034</v>
      </c>
      <c r="Z113" s="219">
        <f>Hydrogen!Y118</f>
        <v>8664.3929058663034</v>
      </c>
      <c r="AA113" s="219">
        <f>Hydrogen!Z118</f>
        <v>8664.3929058663034</v>
      </c>
      <c r="AB113" s="219">
        <f>Hydrogen!AA118</f>
        <v>8664.3929058663034</v>
      </c>
      <c r="AC113" s="219">
        <f>Hydrogen!AB118</f>
        <v>8664.3929058663034</v>
      </c>
      <c r="AD113" s="219">
        <f>Hydrogen!AC118</f>
        <v>8664.3929058663034</v>
      </c>
      <c r="AE113" s="219">
        <f>Hydrogen!AD118</f>
        <v>8664.3929058663034</v>
      </c>
      <c r="AF113" s="219">
        <f>Hydrogen!AE118</f>
        <v>0</v>
      </c>
      <c r="AG113" s="219">
        <f>Hydrogen!AF118</f>
        <v>0</v>
      </c>
      <c r="AH113" s="219">
        <f>Hydrogen!AG118</f>
        <v>0</v>
      </c>
      <c r="AI113" s="219">
        <f>Hydrogen!AH118</f>
        <v>0</v>
      </c>
      <c r="AJ113" s="219">
        <f>Hydrogen!AI118</f>
        <v>0</v>
      </c>
      <c r="AK113" s="219">
        <f>Hydrogen!AJ118</f>
        <v>0</v>
      </c>
      <c r="AL113" s="219">
        <f>Hydrogen!AK118</f>
        <v>0</v>
      </c>
      <c r="AM113" s="219">
        <f>Hydrogen!AL118</f>
        <v>0</v>
      </c>
      <c r="AN113" s="219">
        <f>Hydrogen!AM118</f>
        <v>0</v>
      </c>
      <c r="AO113" s="219">
        <f>Hydrogen!AN118</f>
        <v>0</v>
      </c>
      <c r="AP113" s="219">
        <f>Hydrogen!AO118</f>
        <v>0</v>
      </c>
      <c r="AQ113" s="219">
        <f>Hydrogen!AP118</f>
        <v>0</v>
      </c>
      <c r="AR113" s="219">
        <f>Hydrogen!AQ118</f>
        <v>0</v>
      </c>
      <c r="AS113" s="219">
        <f>Hydrogen!AR118</f>
        <v>0</v>
      </c>
      <c r="AT113" s="219">
        <f>Hydrogen!AS118</f>
        <v>0</v>
      </c>
      <c r="AU113" s="219">
        <f>Hydrogen!AT118</f>
        <v>0</v>
      </c>
      <c r="AV113" s="219">
        <f>Hydrogen!AU118</f>
        <v>0</v>
      </c>
      <c r="AW113" s="219">
        <f>Hydrogen!AV118</f>
        <v>0</v>
      </c>
      <c r="AX113" s="219">
        <f>Hydrogen!AW118</f>
        <v>0</v>
      </c>
    </row>
    <row r="114" spans="1:50" ht="14.25" customHeight="1">
      <c r="A114" s="1"/>
      <c r="B114" s="84"/>
      <c r="C114" s="478"/>
      <c r="D114" s="47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  <c r="AA114" s="219"/>
      <c r="AB114" s="219"/>
      <c r="AC114" s="219"/>
      <c r="AD114" s="219"/>
      <c r="AE114" s="219"/>
      <c r="AF114" s="219"/>
      <c r="AG114" s="219"/>
      <c r="AH114" s="219"/>
      <c r="AI114" s="219"/>
      <c r="AJ114" s="219"/>
      <c r="AK114" s="219"/>
      <c r="AL114" s="219"/>
      <c r="AM114" s="219"/>
      <c r="AN114" s="219"/>
      <c r="AO114" s="219"/>
      <c r="AP114" s="219"/>
      <c r="AQ114" s="219"/>
      <c r="AR114" s="219"/>
      <c r="AS114" s="219"/>
      <c r="AT114" s="219"/>
      <c r="AU114" s="219"/>
      <c r="AV114" s="219"/>
      <c r="AW114" s="219"/>
      <c r="AX114" s="219"/>
    </row>
    <row r="115" spans="1:50" ht="14.25" customHeight="1">
      <c r="A115" s="1"/>
      <c r="B115" s="84"/>
      <c r="C115" s="218" t="s">
        <v>357</v>
      </c>
      <c r="D115" s="246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19"/>
      <c r="AD115" s="219"/>
      <c r="AE115" s="219"/>
      <c r="AF115" s="219"/>
      <c r="AG115" s="219"/>
      <c r="AH115" s="219"/>
      <c r="AI115" s="219"/>
      <c r="AJ115" s="219"/>
      <c r="AK115" s="219"/>
      <c r="AL115" s="219"/>
      <c r="AM115" s="219"/>
      <c r="AN115" s="219"/>
      <c r="AO115" s="219"/>
      <c r="AP115" s="219"/>
      <c r="AQ115" s="219"/>
      <c r="AR115" s="219"/>
      <c r="AS115" s="219"/>
      <c r="AT115" s="219"/>
      <c r="AU115" s="219"/>
      <c r="AV115" s="219"/>
      <c r="AW115" s="219"/>
      <c r="AX115" s="219"/>
    </row>
    <row r="116" spans="1:50" ht="14.25" customHeight="1">
      <c r="A116" s="1"/>
      <c r="B116" s="84"/>
      <c r="C116" s="478" t="s">
        <v>394</v>
      </c>
      <c r="D116" s="479"/>
      <c r="E116" s="219">
        <f>'SENS Coal'!D118</f>
        <v>0</v>
      </c>
      <c r="F116" s="219">
        <f>'SENS Coal'!E118</f>
        <v>0.99338399999999993</v>
      </c>
      <c r="G116" s="219">
        <f>'SENS Coal'!F118</f>
        <v>1.3245119999999999</v>
      </c>
      <c r="H116" s="219">
        <f>'SENS Coal'!G118</f>
        <v>1.3245119999999999</v>
      </c>
      <c r="I116" s="219">
        <f>'SENS Coal'!H118</f>
        <v>1.3245119999999999</v>
      </c>
      <c r="J116" s="219">
        <f>'SENS Coal'!I118</f>
        <v>1.3245119999999999</v>
      </c>
      <c r="K116" s="219">
        <f>'SENS Coal'!J118</f>
        <v>1.3245119999999999</v>
      </c>
      <c r="L116" s="219">
        <f>'SENS Coal'!K118</f>
        <v>1.3245119999999999</v>
      </c>
      <c r="M116" s="219">
        <f>'SENS Coal'!L118</f>
        <v>1.3245119999999999</v>
      </c>
      <c r="N116" s="219">
        <f>'SENS Coal'!M118</f>
        <v>1.3245119999999999</v>
      </c>
      <c r="O116" s="219">
        <f>'SENS Coal'!N118</f>
        <v>1.3245119999999999</v>
      </c>
      <c r="P116" s="219">
        <f>'SENS Coal'!O118</f>
        <v>1.3245119999999999</v>
      </c>
      <c r="Q116" s="219">
        <f>'SENS Coal'!P118</f>
        <v>1.3245119999999999</v>
      </c>
      <c r="R116" s="219">
        <f>'SENS Coal'!Q118</f>
        <v>1.3245119999999999</v>
      </c>
      <c r="S116" s="219">
        <f>'SENS Coal'!R118</f>
        <v>1.3245119999999999</v>
      </c>
      <c r="T116" s="219">
        <f>'SENS Coal'!S118</f>
        <v>1.3245119999999999</v>
      </c>
      <c r="U116" s="219">
        <f>'SENS Coal'!T118</f>
        <v>1.3245119999999999</v>
      </c>
      <c r="V116" s="219">
        <f>'SENS Coal'!U118</f>
        <v>1.3245119999999999</v>
      </c>
      <c r="W116" s="219">
        <f>'SENS Coal'!V118</f>
        <v>1.3245119999999999</v>
      </c>
      <c r="X116" s="219">
        <f>'SENS Coal'!W118</f>
        <v>1.3245119999999999</v>
      </c>
      <c r="Y116" s="219">
        <f>'SENS Coal'!X118</f>
        <v>1.3245119999999999</v>
      </c>
      <c r="Z116" s="219">
        <f>'SENS Coal'!Y118</f>
        <v>1.3245119999999999</v>
      </c>
      <c r="AA116" s="219">
        <f>'SENS Coal'!Z118</f>
        <v>1.3245119999999999</v>
      </c>
      <c r="AB116" s="219">
        <f>'SENS Coal'!AA118</f>
        <v>1.3245119999999999</v>
      </c>
      <c r="AC116" s="219">
        <f>'SENS Coal'!AB118</f>
        <v>1.3245119999999999</v>
      </c>
      <c r="AD116" s="219">
        <f>'SENS Coal'!AC118</f>
        <v>1.3245119999999999</v>
      </c>
      <c r="AE116" s="219">
        <f>'SENS Coal'!AD118</f>
        <v>1.3245119999999999</v>
      </c>
      <c r="AF116" s="219">
        <f>'SENS Coal'!AE118</f>
        <v>0</v>
      </c>
      <c r="AG116" s="219">
        <f>'SENS Coal'!AF118</f>
        <v>0</v>
      </c>
      <c r="AH116" s="219">
        <f>'SENS Coal'!AG118</f>
        <v>0</v>
      </c>
      <c r="AI116" s="219">
        <f>'SENS Coal'!AH118</f>
        <v>0</v>
      </c>
      <c r="AJ116" s="219">
        <f>'SENS Coal'!AI118</f>
        <v>0</v>
      </c>
      <c r="AK116" s="219">
        <f>'SENS Coal'!AJ118</f>
        <v>0</v>
      </c>
      <c r="AL116" s="219">
        <f>'SENS Coal'!AK118</f>
        <v>0</v>
      </c>
      <c r="AM116" s="219">
        <f>'SENS Coal'!AL118</f>
        <v>0</v>
      </c>
      <c r="AN116" s="219">
        <f>'SENS Coal'!AM118</f>
        <v>0</v>
      </c>
      <c r="AO116" s="219">
        <f>'SENS Coal'!AN118</f>
        <v>0</v>
      </c>
      <c r="AP116" s="219">
        <f>'SENS Coal'!AO118</f>
        <v>0</v>
      </c>
      <c r="AQ116" s="219">
        <f>'SENS Coal'!AP118</f>
        <v>0</v>
      </c>
      <c r="AR116" s="219">
        <f>'SENS Coal'!AQ118</f>
        <v>0</v>
      </c>
      <c r="AS116" s="219">
        <f>'SENS Coal'!AR118</f>
        <v>0</v>
      </c>
      <c r="AT116" s="219">
        <f>'SENS Coal'!AS118</f>
        <v>0</v>
      </c>
      <c r="AU116" s="219">
        <f>'SENS Coal'!AT118</f>
        <v>0</v>
      </c>
      <c r="AV116" s="219">
        <f>'SENS Coal'!AU118</f>
        <v>0</v>
      </c>
      <c r="AW116" s="219">
        <f>'SENS Coal'!AV118</f>
        <v>0</v>
      </c>
      <c r="AX116" s="219">
        <f>'SENS Coal'!AW118</f>
        <v>0</v>
      </c>
    </row>
    <row r="117" spans="1:50" ht="14.25" customHeight="1">
      <c r="A117" s="1"/>
      <c r="B117" s="84"/>
      <c r="C117" s="478"/>
      <c r="D117" s="47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  <c r="AA117" s="219"/>
      <c r="AB117" s="219"/>
      <c r="AC117" s="219"/>
      <c r="AD117" s="219"/>
      <c r="AE117" s="219"/>
      <c r="AF117" s="219"/>
      <c r="AG117" s="219"/>
      <c r="AH117" s="219"/>
      <c r="AI117" s="219"/>
      <c r="AJ117" s="219"/>
      <c r="AK117" s="219"/>
      <c r="AL117" s="219"/>
      <c r="AM117" s="219"/>
      <c r="AN117" s="219"/>
      <c r="AO117" s="219"/>
      <c r="AP117" s="219"/>
      <c r="AQ117" s="219"/>
      <c r="AR117" s="219"/>
      <c r="AS117" s="219"/>
      <c r="AT117" s="219"/>
      <c r="AU117" s="219"/>
      <c r="AV117" s="219"/>
      <c r="AW117" s="219"/>
      <c r="AX117" s="219"/>
    </row>
    <row r="118" spans="1:50" ht="14.25" customHeight="1">
      <c r="A118" s="1"/>
      <c r="B118" s="84"/>
      <c r="C118" s="98" t="s">
        <v>395</v>
      </c>
      <c r="D118" s="84"/>
      <c r="E118" s="219">
        <f>'SENS Coal'!D120</f>
        <v>0</v>
      </c>
      <c r="F118" s="219">
        <f>'SENS Coal'!E120</f>
        <v>0.24437246399999998</v>
      </c>
      <c r="G118" s="219">
        <f>'SENS Coal'!F120</f>
        <v>0.32582995199999998</v>
      </c>
      <c r="H118" s="219">
        <f>'SENS Coal'!G120</f>
        <v>0.32582995199999998</v>
      </c>
      <c r="I118" s="219">
        <f>'SENS Coal'!H120</f>
        <v>0.32582995199999998</v>
      </c>
      <c r="J118" s="219">
        <f>'SENS Coal'!I120</f>
        <v>0.32582995199999998</v>
      </c>
      <c r="K118" s="219">
        <f>'SENS Coal'!J120</f>
        <v>0.32582995199999998</v>
      </c>
      <c r="L118" s="219">
        <f>'SENS Coal'!K120</f>
        <v>0.32582995199999998</v>
      </c>
      <c r="M118" s="219">
        <f>'SENS Coal'!L120</f>
        <v>0.32582995199999998</v>
      </c>
      <c r="N118" s="219">
        <f>'SENS Coal'!M120</f>
        <v>0.32582995199999998</v>
      </c>
      <c r="O118" s="219">
        <f>'SENS Coal'!N120</f>
        <v>0.32582995199999998</v>
      </c>
      <c r="P118" s="219">
        <f>'SENS Coal'!O120</f>
        <v>0.32582995199999998</v>
      </c>
      <c r="Q118" s="219">
        <f>'SENS Coal'!P120</f>
        <v>0.32582995199999998</v>
      </c>
      <c r="R118" s="219">
        <f>'SENS Coal'!Q120</f>
        <v>0.32582995199999998</v>
      </c>
      <c r="S118" s="219">
        <f>'SENS Coal'!R120</f>
        <v>0.32582995199999998</v>
      </c>
      <c r="T118" s="219">
        <f>'SENS Coal'!S120</f>
        <v>0.32582995199999998</v>
      </c>
      <c r="U118" s="219">
        <f>'SENS Coal'!T120</f>
        <v>0.32582995199999998</v>
      </c>
      <c r="V118" s="219">
        <f>'SENS Coal'!U120</f>
        <v>0.32582995199999998</v>
      </c>
      <c r="W118" s="219">
        <f>'SENS Coal'!V120</f>
        <v>0.32582995199999998</v>
      </c>
      <c r="X118" s="219">
        <f>'SENS Coal'!W120</f>
        <v>0.32582995199999998</v>
      </c>
      <c r="Y118" s="219">
        <f>'SENS Coal'!X120</f>
        <v>0.32582995199999998</v>
      </c>
      <c r="Z118" s="219">
        <f>'SENS Coal'!Y120</f>
        <v>0.32582995199999998</v>
      </c>
      <c r="AA118" s="219">
        <f>'SENS Coal'!Z120</f>
        <v>0.32582995199999998</v>
      </c>
      <c r="AB118" s="219">
        <f>'SENS Coal'!AA120</f>
        <v>0.32582995199999998</v>
      </c>
      <c r="AC118" s="219">
        <f>'SENS Coal'!AB120</f>
        <v>0.32582995199999998</v>
      </c>
      <c r="AD118" s="219">
        <f>'SENS Coal'!AC120</f>
        <v>0.32582995199999998</v>
      </c>
      <c r="AE118" s="219">
        <f>'SENS Coal'!AD120</f>
        <v>0.32582995199999998</v>
      </c>
      <c r="AF118" s="219">
        <f>'SENS Coal'!AE120</f>
        <v>0</v>
      </c>
      <c r="AG118" s="219">
        <f>'SENS Coal'!AF120</f>
        <v>0</v>
      </c>
      <c r="AH118" s="219">
        <f>'SENS Coal'!AG120</f>
        <v>0</v>
      </c>
      <c r="AI118" s="219">
        <f>'SENS Coal'!AH120</f>
        <v>0</v>
      </c>
      <c r="AJ118" s="219">
        <f>'SENS Coal'!AI120</f>
        <v>0</v>
      </c>
      <c r="AK118" s="219">
        <f>'SENS Coal'!AJ120</f>
        <v>0</v>
      </c>
      <c r="AL118" s="219">
        <f>'SENS Coal'!AK120</f>
        <v>0</v>
      </c>
      <c r="AM118" s="219">
        <f>'SENS Coal'!AL120</f>
        <v>0</v>
      </c>
      <c r="AN118" s="219">
        <f>'SENS Coal'!AM120</f>
        <v>0</v>
      </c>
      <c r="AO118" s="219">
        <f>'SENS Coal'!AN120</f>
        <v>0</v>
      </c>
      <c r="AP118" s="219">
        <f>'SENS Coal'!AO120</f>
        <v>0</v>
      </c>
      <c r="AQ118" s="219">
        <f>'SENS Coal'!AP120</f>
        <v>0</v>
      </c>
      <c r="AR118" s="219">
        <f>'SENS Coal'!AQ120</f>
        <v>0</v>
      </c>
      <c r="AS118" s="219">
        <f>'SENS Coal'!AR120</f>
        <v>0</v>
      </c>
      <c r="AT118" s="219">
        <f>'SENS Coal'!AS120</f>
        <v>0</v>
      </c>
      <c r="AU118" s="219">
        <f>'SENS Coal'!AT120</f>
        <v>0</v>
      </c>
      <c r="AV118" s="219">
        <f>'SENS Coal'!AU120</f>
        <v>0</v>
      </c>
      <c r="AW118" s="219">
        <f>'SENS Coal'!AV120</f>
        <v>0</v>
      </c>
      <c r="AX118" s="219">
        <f>'SENS Coal'!AW120</f>
        <v>0</v>
      </c>
    </row>
    <row r="119" spans="1:50" ht="14.25" customHeight="1">
      <c r="A119" s="1"/>
      <c r="B119" s="84"/>
      <c r="C119" s="98" t="s">
        <v>396</v>
      </c>
      <c r="D119" s="84"/>
      <c r="E119" s="219">
        <f>'SENS Coal'!D121</f>
        <v>0</v>
      </c>
      <c r="F119" s="219">
        <f>'SENS Coal'!E121</f>
        <v>89.26464676056338</v>
      </c>
      <c r="G119" s="219">
        <f>'SENS Coal'!F121</f>
        <v>119.01952901408451</v>
      </c>
      <c r="H119" s="219">
        <f>'SENS Coal'!G121</f>
        <v>119.01952901408451</v>
      </c>
      <c r="I119" s="219">
        <f>'SENS Coal'!H121</f>
        <v>119.01952901408451</v>
      </c>
      <c r="J119" s="219">
        <f>'SENS Coal'!I121</f>
        <v>119.01952901408451</v>
      </c>
      <c r="K119" s="219">
        <f>'SENS Coal'!J121</f>
        <v>119.01952901408451</v>
      </c>
      <c r="L119" s="219">
        <f>'SENS Coal'!K121</f>
        <v>119.01952901408451</v>
      </c>
      <c r="M119" s="219">
        <f>'SENS Coal'!L121</f>
        <v>119.01952901408451</v>
      </c>
      <c r="N119" s="219">
        <f>'SENS Coal'!M121</f>
        <v>119.01952901408451</v>
      </c>
      <c r="O119" s="219">
        <f>'SENS Coal'!N121</f>
        <v>119.01952901408451</v>
      </c>
      <c r="P119" s="219">
        <f>'SENS Coal'!O121</f>
        <v>119.01952901408451</v>
      </c>
      <c r="Q119" s="219">
        <f>'SENS Coal'!P121</f>
        <v>119.01952901408451</v>
      </c>
      <c r="R119" s="219">
        <f>'SENS Coal'!Q121</f>
        <v>119.01952901408451</v>
      </c>
      <c r="S119" s="219">
        <f>'SENS Coal'!R121</f>
        <v>119.01952901408451</v>
      </c>
      <c r="T119" s="219">
        <f>'SENS Coal'!S121</f>
        <v>119.01952901408451</v>
      </c>
      <c r="U119" s="219">
        <f>'SENS Coal'!T121</f>
        <v>119.01952901408451</v>
      </c>
      <c r="V119" s="219">
        <f>'SENS Coal'!U121</f>
        <v>119.01952901408451</v>
      </c>
      <c r="W119" s="219">
        <f>'SENS Coal'!V121</f>
        <v>119.01952901408451</v>
      </c>
      <c r="X119" s="219">
        <f>'SENS Coal'!W121</f>
        <v>119.01952901408451</v>
      </c>
      <c r="Y119" s="219">
        <f>'SENS Coal'!X121</f>
        <v>119.01952901408451</v>
      </c>
      <c r="Z119" s="219">
        <f>'SENS Coal'!Y121</f>
        <v>119.01952901408451</v>
      </c>
      <c r="AA119" s="219">
        <f>'SENS Coal'!Z121</f>
        <v>119.01952901408451</v>
      </c>
      <c r="AB119" s="219">
        <f>'SENS Coal'!AA121</f>
        <v>119.01952901408451</v>
      </c>
      <c r="AC119" s="219">
        <f>'SENS Coal'!AB121</f>
        <v>119.01952901408451</v>
      </c>
      <c r="AD119" s="219">
        <f>'SENS Coal'!AC121</f>
        <v>119.01952901408451</v>
      </c>
      <c r="AE119" s="219">
        <f>'SENS Coal'!AD121</f>
        <v>119.01952901408451</v>
      </c>
      <c r="AF119" s="219">
        <f>'SENS Coal'!AE121</f>
        <v>0</v>
      </c>
      <c r="AG119" s="219">
        <f>'SENS Coal'!AF121</f>
        <v>0</v>
      </c>
      <c r="AH119" s="219">
        <f>'SENS Coal'!AG121</f>
        <v>0</v>
      </c>
      <c r="AI119" s="219">
        <f>'SENS Coal'!AH121</f>
        <v>0</v>
      </c>
      <c r="AJ119" s="219">
        <f>'SENS Coal'!AI121</f>
        <v>0</v>
      </c>
      <c r="AK119" s="219">
        <f>'SENS Coal'!AJ121</f>
        <v>0</v>
      </c>
      <c r="AL119" s="219">
        <f>'SENS Coal'!AK121</f>
        <v>0</v>
      </c>
      <c r="AM119" s="219">
        <f>'SENS Coal'!AL121</f>
        <v>0</v>
      </c>
      <c r="AN119" s="219">
        <f>'SENS Coal'!AM121</f>
        <v>0</v>
      </c>
      <c r="AO119" s="219">
        <f>'SENS Coal'!AN121</f>
        <v>0</v>
      </c>
      <c r="AP119" s="219">
        <f>'SENS Coal'!AO121</f>
        <v>0</v>
      </c>
      <c r="AQ119" s="219">
        <f>'SENS Coal'!AP121</f>
        <v>0</v>
      </c>
      <c r="AR119" s="219">
        <f>'SENS Coal'!AQ121</f>
        <v>0</v>
      </c>
      <c r="AS119" s="219">
        <f>'SENS Coal'!AR121</f>
        <v>0</v>
      </c>
      <c r="AT119" s="219">
        <f>'SENS Coal'!AS121</f>
        <v>0</v>
      </c>
      <c r="AU119" s="219">
        <f>'SENS Coal'!AT121</f>
        <v>0</v>
      </c>
      <c r="AV119" s="219">
        <f>'SENS Coal'!AU121</f>
        <v>0</v>
      </c>
      <c r="AW119" s="219">
        <f>'SENS Coal'!AV121</f>
        <v>0</v>
      </c>
      <c r="AX119" s="219">
        <f>'SENS Coal'!AW121</f>
        <v>0</v>
      </c>
    </row>
    <row r="120" spans="1:50" ht="14.25" customHeight="1">
      <c r="A120" s="1"/>
      <c r="B120" s="84"/>
      <c r="C120" s="98" t="s">
        <v>397</v>
      </c>
      <c r="D120" s="84"/>
      <c r="E120" s="219">
        <f>'SENS Coal'!D122</f>
        <v>0</v>
      </c>
      <c r="F120" s="219">
        <f>'SENS Coal'!E122</f>
        <v>69.139526399999994</v>
      </c>
      <c r="G120" s="219">
        <f>'SENS Coal'!F122</f>
        <v>92.186035199999992</v>
      </c>
      <c r="H120" s="219">
        <f>'SENS Coal'!G122</f>
        <v>92.186035199999992</v>
      </c>
      <c r="I120" s="219">
        <f>'SENS Coal'!H122</f>
        <v>92.186035199999992</v>
      </c>
      <c r="J120" s="219">
        <f>'SENS Coal'!I122</f>
        <v>92.186035199999992</v>
      </c>
      <c r="K120" s="219">
        <f>'SENS Coal'!J122</f>
        <v>92.186035199999992</v>
      </c>
      <c r="L120" s="219">
        <f>'SENS Coal'!K122</f>
        <v>92.186035199999992</v>
      </c>
      <c r="M120" s="219">
        <f>'SENS Coal'!L122</f>
        <v>92.186035199999992</v>
      </c>
      <c r="N120" s="219">
        <f>'SENS Coal'!M122</f>
        <v>92.186035199999992</v>
      </c>
      <c r="O120" s="219">
        <f>'SENS Coal'!N122</f>
        <v>92.186035199999992</v>
      </c>
      <c r="P120" s="219">
        <f>'SENS Coal'!O122</f>
        <v>92.186035199999992</v>
      </c>
      <c r="Q120" s="219">
        <f>'SENS Coal'!P122</f>
        <v>92.186035199999992</v>
      </c>
      <c r="R120" s="219">
        <f>'SENS Coal'!Q122</f>
        <v>92.186035199999992</v>
      </c>
      <c r="S120" s="219">
        <f>'SENS Coal'!R122</f>
        <v>92.186035199999992</v>
      </c>
      <c r="T120" s="219">
        <f>'SENS Coal'!S122</f>
        <v>92.186035199999992</v>
      </c>
      <c r="U120" s="219">
        <f>'SENS Coal'!T122</f>
        <v>92.186035199999992</v>
      </c>
      <c r="V120" s="219">
        <f>'SENS Coal'!U122</f>
        <v>92.186035199999992</v>
      </c>
      <c r="W120" s="219">
        <f>'SENS Coal'!V122</f>
        <v>92.186035199999992</v>
      </c>
      <c r="X120" s="219">
        <f>'SENS Coal'!W122</f>
        <v>92.186035199999992</v>
      </c>
      <c r="Y120" s="219">
        <f>'SENS Coal'!X122</f>
        <v>92.186035199999992</v>
      </c>
      <c r="Z120" s="219">
        <f>'SENS Coal'!Y122</f>
        <v>92.186035199999992</v>
      </c>
      <c r="AA120" s="219">
        <f>'SENS Coal'!Z122</f>
        <v>92.186035199999992</v>
      </c>
      <c r="AB120" s="219">
        <f>'SENS Coal'!AA122</f>
        <v>92.186035199999992</v>
      </c>
      <c r="AC120" s="219">
        <f>'SENS Coal'!AB122</f>
        <v>92.186035199999992</v>
      </c>
      <c r="AD120" s="219">
        <f>'SENS Coal'!AC122</f>
        <v>92.186035199999992</v>
      </c>
      <c r="AE120" s="219">
        <f>'SENS Coal'!AD122</f>
        <v>92.186035199999992</v>
      </c>
      <c r="AF120" s="219">
        <f>'SENS Coal'!AE122</f>
        <v>0</v>
      </c>
      <c r="AG120" s="219">
        <f>'SENS Coal'!AF122</f>
        <v>0</v>
      </c>
      <c r="AH120" s="219">
        <f>'SENS Coal'!AG122</f>
        <v>0</v>
      </c>
      <c r="AI120" s="219">
        <f>'SENS Coal'!AH122</f>
        <v>0</v>
      </c>
      <c r="AJ120" s="219">
        <f>'SENS Coal'!AI122</f>
        <v>0</v>
      </c>
      <c r="AK120" s="219">
        <f>'SENS Coal'!AJ122</f>
        <v>0</v>
      </c>
      <c r="AL120" s="219">
        <f>'SENS Coal'!AK122</f>
        <v>0</v>
      </c>
      <c r="AM120" s="219">
        <f>'SENS Coal'!AL122</f>
        <v>0</v>
      </c>
      <c r="AN120" s="219">
        <f>'SENS Coal'!AM122</f>
        <v>0</v>
      </c>
      <c r="AO120" s="219">
        <f>'SENS Coal'!AN122</f>
        <v>0</v>
      </c>
      <c r="AP120" s="219">
        <f>'SENS Coal'!AO122</f>
        <v>0</v>
      </c>
      <c r="AQ120" s="219">
        <f>'SENS Coal'!AP122</f>
        <v>0</v>
      </c>
      <c r="AR120" s="219">
        <f>'SENS Coal'!AQ122</f>
        <v>0</v>
      </c>
      <c r="AS120" s="219">
        <f>'SENS Coal'!AR122</f>
        <v>0</v>
      </c>
      <c r="AT120" s="219">
        <f>'SENS Coal'!AS122</f>
        <v>0</v>
      </c>
      <c r="AU120" s="219">
        <f>'SENS Coal'!AT122</f>
        <v>0</v>
      </c>
      <c r="AV120" s="219">
        <f>'SENS Coal'!AU122</f>
        <v>0</v>
      </c>
      <c r="AW120" s="219">
        <f>'SENS Coal'!AV122</f>
        <v>0</v>
      </c>
      <c r="AX120" s="219">
        <f>'SENS Coal'!AW122</f>
        <v>0</v>
      </c>
    </row>
    <row r="121" spans="1:50" ht="14.25" customHeight="1">
      <c r="A121" s="2"/>
      <c r="B121" s="83"/>
      <c r="C121" s="98" t="s">
        <v>325</v>
      </c>
      <c r="D121" s="84"/>
      <c r="E121" s="219">
        <f>'SENS Coal'!D123</f>
        <v>0</v>
      </c>
      <c r="F121" s="219">
        <f>'SENS Coal'!E123</f>
        <v>6.9258732480000015E-2</v>
      </c>
      <c r="G121" s="219">
        <f>'SENS Coal'!F123</f>
        <v>9.234497664000002E-2</v>
      </c>
      <c r="H121" s="219">
        <f>'SENS Coal'!G123</f>
        <v>9.234497664000002E-2</v>
      </c>
      <c r="I121" s="219">
        <f>'SENS Coal'!H123</f>
        <v>9.234497664000002E-2</v>
      </c>
      <c r="J121" s="219">
        <f>'SENS Coal'!I123</f>
        <v>9.234497664000002E-2</v>
      </c>
      <c r="K121" s="219">
        <f>'SENS Coal'!J123</f>
        <v>9.234497664000002E-2</v>
      </c>
      <c r="L121" s="219">
        <f>'SENS Coal'!K123</f>
        <v>9.234497664000002E-2</v>
      </c>
      <c r="M121" s="219">
        <f>'SENS Coal'!L123</f>
        <v>9.234497664000002E-2</v>
      </c>
      <c r="N121" s="219">
        <f>'SENS Coal'!M123</f>
        <v>9.234497664000002E-2</v>
      </c>
      <c r="O121" s="219">
        <f>'SENS Coal'!N123</f>
        <v>9.234497664000002E-2</v>
      </c>
      <c r="P121" s="219">
        <f>'SENS Coal'!O123</f>
        <v>9.234497664000002E-2</v>
      </c>
      <c r="Q121" s="219">
        <f>'SENS Coal'!P123</f>
        <v>9.234497664000002E-2</v>
      </c>
      <c r="R121" s="219">
        <f>'SENS Coal'!Q123</f>
        <v>9.234497664000002E-2</v>
      </c>
      <c r="S121" s="219">
        <f>'SENS Coal'!R123</f>
        <v>9.234497664000002E-2</v>
      </c>
      <c r="T121" s="219">
        <f>'SENS Coal'!S123</f>
        <v>9.234497664000002E-2</v>
      </c>
      <c r="U121" s="219">
        <f>'SENS Coal'!T123</f>
        <v>9.234497664000002E-2</v>
      </c>
      <c r="V121" s="219">
        <f>'SENS Coal'!U123</f>
        <v>9.234497664000002E-2</v>
      </c>
      <c r="W121" s="219">
        <f>'SENS Coal'!V123</f>
        <v>9.234497664000002E-2</v>
      </c>
      <c r="X121" s="219">
        <f>'SENS Coal'!W123</f>
        <v>9.234497664000002E-2</v>
      </c>
      <c r="Y121" s="219">
        <f>'SENS Coal'!X123</f>
        <v>9.234497664000002E-2</v>
      </c>
      <c r="Z121" s="219">
        <f>'SENS Coal'!Y123</f>
        <v>9.234497664000002E-2</v>
      </c>
      <c r="AA121" s="219">
        <f>'SENS Coal'!Z123</f>
        <v>9.234497664000002E-2</v>
      </c>
      <c r="AB121" s="219">
        <f>'SENS Coal'!AA123</f>
        <v>9.234497664000002E-2</v>
      </c>
      <c r="AC121" s="219">
        <f>'SENS Coal'!AB123</f>
        <v>9.234497664000002E-2</v>
      </c>
      <c r="AD121" s="219">
        <f>'SENS Coal'!AC123</f>
        <v>9.234497664000002E-2</v>
      </c>
      <c r="AE121" s="219">
        <f>'SENS Coal'!AD123</f>
        <v>9.234497664000002E-2</v>
      </c>
      <c r="AF121" s="219">
        <f>'SENS Coal'!AE123</f>
        <v>0</v>
      </c>
      <c r="AG121" s="219">
        <f>'SENS Coal'!AF123</f>
        <v>0</v>
      </c>
      <c r="AH121" s="219">
        <f>'SENS Coal'!AG123</f>
        <v>0</v>
      </c>
      <c r="AI121" s="219">
        <f>'SENS Coal'!AH123</f>
        <v>0</v>
      </c>
      <c r="AJ121" s="219">
        <f>'SENS Coal'!AI123</f>
        <v>0</v>
      </c>
      <c r="AK121" s="219">
        <f>'SENS Coal'!AJ123</f>
        <v>0</v>
      </c>
      <c r="AL121" s="219">
        <f>'SENS Coal'!AK123</f>
        <v>0</v>
      </c>
      <c r="AM121" s="219">
        <f>'SENS Coal'!AL123</f>
        <v>0</v>
      </c>
      <c r="AN121" s="219">
        <f>'SENS Coal'!AM123</f>
        <v>0</v>
      </c>
      <c r="AO121" s="219">
        <f>'SENS Coal'!AN123</f>
        <v>0</v>
      </c>
      <c r="AP121" s="219">
        <f>'SENS Coal'!AO123</f>
        <v>0</v>
      </c>
      <c r="AQ121" s="219">
        <f>'SENS Coal'!AP123</f>
        <v>0</v>
      </c>
      <c r="AR121" s="219">
        <f>'SENS Coal'!AQ123</f>
        <v>0</v>
      </c>
      <c r="AS121" s="219">
        <f>'SENS Coal'!AR123</f>
        <v>0</v>
      </c>
      <c r="AT121" s="219">
        <f>'SENS Coal'!AS123</f>
        <v>0</v>
      </c>
      <c r="AU121" s="219">
        <f>'SENS Coal'!AT123</f>
        <v>0</v>
      </c>
      <c r="AV121" s="219">
        <f>'SENS Coal'!AU123</f>
        <v>0</v>
      </c>
      <c r="AW121" s="219">
        <f>'SENS Coal'!AV123</f>
        <v>0</v>
      </c>
      <c r="AX121" s="219">
        <f>'SENS Coal'!AW123</f>
        <v>0</v>
      </c>
    </row>
    <row r="122" spans="1:50" ht="14.25" customHeight="1">
      <c r="A122" s="2"/>
      <c r="B122" s="83"/>
      <c r="C122" s="98"/>
      <c r="D122" s="84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  <c r="AB122" s="219"/>
      <c r="AC122" s="219"/>
      <c r="AD122" s="219"/>
      <c r="AE122" s="219"/>
      <c r="AF122" s="219"/>
      <c r="AG122" s="219"/>
      <c r="AH122" s="219"/>
      <c r="AI122" s="219"/>
      <c r="AJ122" s="219"/>
      <c r="AK122" s="219"/>
      <c r="AL122" s="219"/>
      <c r="AM122" s="219"/>
      <c r="AN122" s="219"/>
      <c r="AO122" s="219"/>
      <c r="AP122" s="219"/>
      <c r="AQ122" s="219"/>
      <c r="AR122" s="219"/>
      <c r="AS122" s="219"/>
      <c r="AT122" s="219"/>
      <c r="AU122" s="219"/>
      <c r="AV122" s="219"/>
      <c r="AW122" s="219"/>
      <c r="AX122" s="219"/>
    </row>
    <row r="123" spans="1:50" ht="14.25" customHeight="1">
      <c r="A123" s="200"/>
      <c r="B123" s="200"/>
      <c r="C123" s="101" t="s">
        <v>358</v>
      </c>
      <c r="D123" s="83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  <c r="AB123" s="219"/>
      <c r="AC123" s="219"/>
      <c r="AD123" s="219"/>
      <c r="AE123" s="219"/>
      <c r="AF123" s="219"/>
      <c r="AG123" s="219"/>
      <c r="AH123" s="219"/>
      <c r="AI123" s="219"/>
      <c r="AJ123" s="219"/>
      <c r="AK123" s="219"/>
      <c r="AL123" s="219"/>
      <c r="AM123" s="219"/>
      <c r="AN123" s="219"/>
      <c r="AO123" s="219"/>
      <c r="AP123" s="219"/>
      <c r="AQ123" s="219"/>
      <c r="AR123" s="219"/>
      <c r="AS123" s="219"/>
      <c r="AT123" s="219"/>
      <c r="AU123" s="219"/>
      <c r="AV123" s="219"/>
      <c r="AW123" s="219"/>
      <c r="AX123" s="219"/>
    </row>
    <row r="124" spans="1:50" ht="14.25" customHeight="1">
      <c r="A124" s="1"/>
      <c r="B124" s="84"/>
      <c r="C124" s="98" t="s">
        <v>398</v>
      </c>
      <c r="D124" s="84"/>
      <c r="E124" s="219">
        <f>'SENS Tires'!D118</f>
        <v>0</v>
      </c>
      <c r="F124" s="219">
        <f>'SENS Tires'!E118</f>
        <v>6.6225599999999996E-2</v>
      </c>
      <c r="G124" s="219">
        <f>'SENS Tires'!F118</f>
        <v>8.8300799999999985E-2</v>
      </c>
      <c r="H124" s="219">
        <f>'SENS Tires'!G118</f>
        <v>8.8300799999999985E-2</v>
      </c>
      <c r="I124" s="219">
        <f>'SENS Tires'!H118</f>
        <v>8.8300799999999985E-2</v>
      </c>
      <c r="J124" s="219">
        <f>'SENS Tires'!I118</f>
        <v>8.8300799999999985E-2</v>
      </c>
      <c r="K124" s="219">
        <f>'SENS Tires'!J118</f>
        <v>8.8300799999999985E-2</v>
      </c>
      <c r="L124" s="219">
        <f>'SENS Tires'!K118</f>
        <v>8.8300799999999985E-2</v>
      </c>
      <c r="M124" s="219">
        <f>'SENS Tires'!L118</f>
        <v>8.8300799999999985E-2</v>
      </c>
      <c r="N124" s="219">
        <f>'SENS Tires'!M118</f>
        <v>8.8300799999999985E-2</v>
      </c>
      <c r="O124" s="219">
        <f>'SENS Tires'!N118</f>
        <v>8.8300799999999985E-2</v>
      </c>
      <c r="P124" s="219">
        <f>'SENS Tires'!O118</f>
        <v>8.8300799999999985E-2</v>
      </c>
      <c r="Q124" s="219">
        <f>'SENS Tires'!P118</f>
        <v>8.8300799999999985E-2</v>
      </c>
      <c r="R124" s="219">
        <f>'SENS Tires'!Q118</f>
        <v>8.8300799999999985E-2</v>
      </c>
      <c r="S124" s="219">
        <f>'SENS Tires'!R118</f>
        <v>8.8300799999999985E-2</v>
      </c>
      <c r="T124" s="219">
        <f>'SENS Tires'!S118</f>
        <v>8.8300799999999985E-2</v>
      </c>
      <c r="U124" s="219">
        <f>'SENS Tires'!T118</f>
        <v>8.8300799999999985E-2</v>
      </c>
      <c r="V124" s="219">
        <f>'SENS Tires'!U118</f>
        <v>8.8300799999999985E-2</v>
      </c>
      <c r="W124" s="219">
        <f>'SENS Tires'!V118</f>
        <v>8.8300799999999985E-2</v>
      </c>
      <c r="X124" s="219">
        <f>'SENS Tires'!W118</f>
        <v>8.8300799999999985E-2</v>
      </c>
      <c r="Y124" s="219">
        <f>'SENS Tires'!X118</f>
        <v>8.8300799999999985E-2</v>
      </c>
      <c r="Z124" s="219">
        <f>'SENS Tires'!Y118</f>
        <v>8.8300799999999985E-2</v>
      </c>
      <c r="AA124" s="219">
        <f>'SENS Tires'!Z118</f>
        <v>8.8300799999999985E-2</v>
      </c>
      <c r="AB124" s="219">
        <f>'SENS Tires'!AA118</f>
        <v>8.8300799999999985E-2</v>
      </c>
      <c r="AC124" s="219">
        <f>'SENS Tires'!AB118</f>
        <v>8.8300799999999985E-2</v>
      </c>
      <c r="AD124" s="219">
        <f>'SENS Tires'!AC118</f>
        <v>8.8300799999999985E-2</v>
      </c>
      <c r="AE124" s="219">
        <f>'SENS Tires'!AD118</f>
        <v>8.8300799999999985E-2</v>
      </c>
      <c r="AF124" s="219">
        <f>'SENS Tires'!AE118</f>
        <v>0</v>
      </c>
      <c r="AG124" s="219">
        <f>'SENS Tires'!AF118</f>
        <v>0</v>
      </c>
      <c r="AH124" s="219">
        <f>'SENS Tires'!AG118</f>
        <v>0</v>
      </c>
      <c r="AI124" s="219">
        <f>'SENS Tires'!AH118</f>
        <v>0</v>
      </c>
      <c r="AJ124" s="219">
        <f>'SENS Tires'!AI118</f>
        <v>0</v>
      </c>
      <c r="AK124" s="219">
        <f>'SENS Tires'!AJ118</f>
        <v>0</v>
      </c>
      <c r="AL124" s="219">
        <f>'SENS Tires'!AK118</f>
        <v>0</v>
      </c>
      <c r="AM124" s="219">
        <f>'SENS Tires'!AL118</f>
        <v>0</v>
      </c>
      <c r="AN124" s="219">
        <f>'SENS Tires'!AM118</f>
        <v>0</v>
      </c>
      <c r="AO124" s="219">
        <f>'SENS Tires'!AN118</f>
        <v>0</v>
      </c>
      <c r="AP124" s="219">
        <f>'SENS Tires'!AO118</f>
        <v>0</v>
      </c>
      <c r="AQ124" s="219">
        <f>'SENS Tires'!AP118</f>
        <v>0</v>
      </c>
      <c r="AR124" s="219">
        <f>'SENS Tires'!AQ118</f>
        <v>0</v>
      </c>
      <c r="AS124" s="219">
        <f>'SENS Tires'!AR118</f>
        <v>0</v>
      </c>
      <c r="AT124" s="219">
        <f>'SENS Tires'!AS118</f>
        <v>0</v>
      </c>
      <c r="AU124" s="219">
        <f>'SENS Tires'!AT118</f>
        <v>0</v>
      </c>
      <c r="AV124" s="219">
        <f>'SENS Tires'!AU118</f>
        <v>0</v>
      </c>
      <c r="AW124" s="219">
        <f>'SENS Tires'!AV118</f>
        <v>0</v>
      </c>
      <c r="AX124" s="219">
        <f>'SENS Tires'!AW118</f>
        <v>0</v>
      </c>
    </row>
    <row r="125" spans="1:50" ht="14.25" customHeight="1">
      <c r="A125" s="1"/>
      <c r="B125" s="84"/>
      <c r="C125" s="98"/>
      <c r="D125" s="84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  <c r="AB125" s="219"/>
      <c r="AC125" s="219"/>
      <c r="AD125" s="219"/>
      <c r="AE125" s="219"/>
      <c r="AF125" s="219"/>
      <c r="AG125" s="219"/>
      <c r="AH125" s="219"/>
      <c r="AI125" s="219"/>
      <c r="AJ125" s="219"/>
      <c r="AK125" s="219"/>
      <c r="AL125" s="219"/>
      <c r="AM125" s="219"/>
      <c r="AN125" s="219"/>
      <c r="AO125" s="219"/>
      <c r="AP125" s="219"/>
      <c r="AQ125" s="219"/>
      <c r="AR125" s="219"/>
      <c r="AS125" s="219"/>
      <c r="AT125" s="219"/>
      <c r="AU125" s="219"/>
      <c r="AV125" s="219"/>
      <c r="AW125" s="219"/>
      <c r="AX125" s="219"/>
    </row>
    <row r="126" spans="1:50" ht="14.25" customHeight="1">
      <c r="A126" s="1"/>
      <c r="B126" s="84"/>
      <c r="C126" s="98" t="s">
        <v>399</v>
      </c>
      <c r="D126" s="84"/>
      <c r="E126" s="211">
        <f>'SENS Tires'!D120</f>
        <v>0</v>
      </c>
      <c r="F126" s="211">
        <f>'SENS Tires'!E120</f>
        <v>2.9801519999999998E-2</v>
      </c>
      <c r="G126" s="211">
        <f>'SENS Tires'!F120</f>
        <v>3.9735359999999997E-2</v>
      </c>
      <c r="H126" s="211">
        <f>'SENS Tires'!G120</f>
        <v>3.9735359999999997E-2</v>
      </c>
      <c r="I126" s="211">
        <f>'SENS Tires'!H120</f>
        <v>3.9735359999999997E-2</v>
      </c>
      <c r="J126" s="211">
        <f>'SENS Tires'!I120</f>
        <v>3.9735359999999997E-2</v>
      </c>
      <c r="K126" s="211">
        <f>'SENS Tires'!J120</f>
        <v>3.9735359999999997E-2</v>
      </c>
      <c r="L126" s="211">
        <f>'SENS Tires'!K120</f>
        <v>3.9735359999999997E-2</v>
      </c>
      <c r="M126" s="211">
        <f>'SENS Tires'!L120</f>
        <v>3.9735359999999997E-2</v>
      </c>
      <c r="N126" s="211">
        <f>'SENS Tires'!M120</f>
        <v>3.9735359999999997E-2</v>
      </c>
      <c r="O126" s="211">
        <f>'SENS Tires'!N120</f>
        <v>3.9735359999999997E-2</v>
      </c>
      <c r="P126" s="211">
        <f>'SENS Tires'!O120</f>
        <v>3.9735359999999997E-2</v>
      </c>
      <c r="Q126" s="211">
        <f>'SENS Tires'!P120</f>
        <v>3.9735359999999997E-2</v>
      </c>
      <c r="R126" s="211">
        <f>'SENS Tires'!Q120</f>
        <v>3.9735359999999997E-2</v>
      </c>
      <c r="S126" s="211">
        <f>'SENS Tires'!R120</f>
        <v>3.9735359999999997E-2</v>
      </c>
      <c r="T126" s="211">
        <f>'SENS Tires'!S120</f>
        <v>3.9735359999999997E-2</v>
      </c>
      <c r="U126" s="211">
        <f>'SENS Tires'!T120</f>
        <v>3.9735359999999997E-2</v>
      </c>
      <c r="V126" s="211">
        <f>'SENS Tires'!U120</f>
        <v>3.9735359999999997E-2</v>
      </c>
      <c r="W126" s="211">
        <f>'SENS Tires'!V120</f>
        <v>3.9735359999999997E-2</v>
      </c>
      <c r="X126" s="211">
        <f>'SENS Tires'!W120</f>
        <v>3.9735359999999997E-2</v>
      </c>
      <c r="Y126" s="211">
        <f>'SENS Tires'!X120</f>
        <v>3.9735359999999997E-2</v>
      </c>
      <c r="Z126" s="211">
        <f>'SENS Tires'!Y120</f>
        <v>3.9735359999999997E-2</v>
      </c>
      <c r="AA126" s="211">
        <f>'SENS Tires'!Z120</f>
        <v>3.9735359999999997E-2</v>
      </c>
      <c r="AB126" s="211">
        <f>'SENS Tires'!AA120</f>
        <v>3.9735359999999997E-2</v>
      </c>
      <c r="AC126" s="211">
        <f>'SENS Tires'!AB120</f>
        <v>3.9735359999999997E-2</v>
      </c>
      <c r="AD126" s="211">
        <f>'SENS Tires'!AC120</f>
        <v>3.9735359999999997E-2</v>
      </c>
      <c r="AE126" s="211">
        <f>'SENS Tires'!AD120</f>
        <v>3.9735359999999997E-2</v>
      </c>
      <c r="AF126" s="211">
        <f>'SENS Tires'!AE120</f>
        <v>0</v>
      </c>
      <c r="AG126" s="211">
        <f>'SENS Tires'!AF120</f>
        <v>0</v>
      </c>
      <c r="AH126" s="211">
        <f>'SENS Tires'!AG120</f>
        <v>0</v>
      </c>
      <c r="AI126" s="211">
        <f>'SENS Tires'!AH120</f>
        <v>0</v>
      </c>
      <c r="AJ126" s="211">
        <f>'SENS Tires'!AI120</f>
        <v>0</v>
      </c>
      <c r="AK126" s="211">
        <f>'SENS Tires'!AJ120</f>
        <v>0</v>
      </c>
      <c r="AL126" s="211">
        <f>'SENS Tires'!AK120</f>
        <v>0</v>
      </c>
      <c r="AM126" s="211">
        <f>'SENS Tires'!AL120</f>
        <v>0</v>
      </c>
      <c r="AN126" s="211">
        <f>'SENS Tires'!AM120</f>
        <v>0</v>
      </c>
      <c r="AO126" s="211">
        <f>'SENS Tires'!AN120</f>
        <v>0</v>
      </c>
      <c r="AP126" s="211">
        <f>'SENS Tires'!AO120</f>
        <v>0</v>
      </c>
      <c r="AQ126" s="211">
        <f>'SENS Tires'!AP120</f>
        <v>0</v>
      </c>
      <c r="AR126" s="211">
        <f>'SENS Tires'!AQ120</f>
        <v>0</v>
      </c>
      <c r="AS126" s="211">
        <f>'SENS Tires'!AR120</f>
        <v>0</v>
      </c>
      <c r="AT126" s="211">
        <f>'SENS Tires'!AS120</f>
        <v>0</v>
      </c>
      <c r="AU126" s="211">
        <f>'SENS Tires'!AT120</f>
        <v>0</v>
      </c>
      <c r="AV126" s="211">
        <f>'SENS Tires'!AU120</f>
        <v>0</v>
      </c>
      <c r="AW126" s="211">
        <f>'SENS Tires'!AV120</f>
        <v>0</v>
      </c>
      <c r="AX126" s="211">
        <f>'SENS Tires'!AW120</f>
        <v>0</v>
      </c>
    </row>
    <row r="127" spans="1:50" ht="14.25" customHeight="1">
      <c r="A127" s="2"/>
      <c r="B127" s="83"/>
      <c r="C127" s="98" t="s">
        <v>400</v>
      </c>
      <c r="D127" s="84"/>
      <c r="E127" s="211">
        <f>'SENS Tires'!D121</f>
        <v>0</v>
      </c>
      <c r="F127" s="211">
        <f>'SENS Tires'!E121</f>
        <v>2.9801519999999998E-2</v>
      </c>
      <c r="G127" s="211">
        <f>'SENS Tires'!F121</f>
        <v>3.9735359999999997E-2</v>
      </c>
      <c r="H127" s="211">
        <f>'SENS Tires'!G121</f>
        <v>3.9735359999999997E-2</v>
      </c>
      <c r="I127" s="211">
        <f>'SENS Tires'!H121</f>
        <v>3.9735359999999997E-2</v>
      </c>
      <c r="J127" s="211">
        <f>'SENS Tires'!I121</f>
        <v>3.9735359999999997E-2</v>
      </c>
      <c r="K127" s="211">
        <f>'SENS Tires'!J121</f>
        <v>3.9735359999999997E-2</v>
      </c>
      <c r="L127" s="211">
        <f>'SENS Tires'!K121</f>
        <v>3.9735359999999997E-2</v>
      </c>
      <c r="M127" s="211">
        <f>'SENS Tires'!L121</f>
        <v>3.9735359999999997E-2</v>
      </c>
      <c r="N127" s="211">
        <f>'SENS Tires'!M121</f>
        <v>3.9735359999999997E-2</v>
      </c>
      <c r="O127" s="211">
        <f>'SENS Tires'!N121</f>
        <v>3.9735359999999997E-2</v>
      </c>
      <c r="P127" s="211">
        <f>'SENS Tires'!O121</f>
        <v>3.9735359999999997E-2</v>
      </c>
      <c r="Q127" s="211">
        <f>'SENS Tires'!P121</f>
        <v>3.9735359999999997E-2</v>
      </c>
      <c r="R127" s="211">
        <f>'SENS Tires'!Q121</f>
        <v>3.9735359999999997E-2</v>
      </c>
      <c r="S127" s="211">
        <f>'SENS Tires'!R121</f>
        <v>3.9735359999999997E-2</v>
      </c>
      <c r="T127" s="211">
        <f>'SENS Tires'!S121</f>
        <v>3.9735359999999997E-2</v>
      </c>
      <c r="U127" s="211">
        <f>'SENS Tires'!T121</f>
        <v>3.9735359999999997E-2</v>
      </c>
      <c r="V127" s="211">
        <f>'SENS Tires'!U121</f>
        <v>3.9735359999999997E-2</v>
      </c>
      <c r="W127" s="211">
        <f>'SENS Tires'!V121</f>
        <v>3.9735359999999997E-2</v>
      </c>
      <c r="X127" s="211">
        <f>'SENS Tires'!W121</f>
        <v>3.9735359999999997E-2</v>
      </c>
      <c r="Y127" s="211">
        <f>'SENS Tires'!X121</f>
        <v>3.9735359999999997E-2</v>
      </c>
      <c r="Z127" s="211">
        <f>'SENS Tires'!Y121</f>
        <v>3.9735359999999997E-2</v>
      </c>
      <c r="AA127" s="211">
        <f>'SENS Tires'!Z121</f>
        <v>3.9735359999999997E-2</v>
      </c>
      <c r="AB127" s="211">
        <f>'SENS Tires'!AA121</f>
        <v>3.9735359999999997E-2</v>
      </c>
      <c r="AC127" s="211">
        <f>'SENS Tires'!AB121</f>
        <v>3.9735359999999997E-2</v>
      </c>
      <c r="AD127" s="211">
        <f>'SENS Tires'!AC121</f>
        <v>3.9735359999999997E-2</v>
      </c>
      <c r="AE127" s="211">
        <f>'SENS Tires'!AD121</f>
        <v>3.9735359999999997E-2</v>
      </c>
      <c r="AF127" s="211">
        <f>'SENS Tires'!AE121</f>
        <v>0</v>
      </c>
      <c r="AG127" s="211">
        <f>'SENS Tires'!AF121</f>
        <v>0</v>
      </c>
      <c r="AH127" s="211">
        <f>'SENS Tires'!AG121</f>
        <v>0</v>
      </c>
      <c r="AI127" s="211">
        <f>'SENS Tires'!AH121</f>
        <v>0</v>
      </c>
      <c r="AJ127" s="211">
        <f>'SENS Tires'!AI121</f>
        <v>0</v>
      </c>
      <c r="AK127" s="211">
        <f>'SENS Tires'!AJ121</f>
        <v>0</v>
      </c>
      <c r="AL127" s="211">
        <f>'SENS Tires'!AK121</f>
        <v>0</v>
      </c>
      <c r="AM127" s="211">
        <f>'SENS Tires'!AL121</f>
        <v>0</v>
      </c>
      <c r="AN127" s="211">
        <f>'SENS Tires'!AM121</f>
        <v>0</v>
      </c>
      <c r="AO127" s="211">
        <f>'SENS Tires'!AN121</f>
        <v>0</v>
      </c>
      <c r="AP127" s="211">
        <f>'SENS Tires'!AO121</f>
        <v>0</v>
      </c>
      <c r="AQ127" s="211">
        <f>'SENS Tires'!AP121</f>
        <v>0</v>
      </c>
      <c r="AR127" s="211">
        <f>'SENS Tires'!AQ121</f>
        <v>0</v>
      </c>
      <c r="AS127" s="211">
        <f>'SENS Tires'!AR121</f>
        <v>0</v>
      </c>
      <c r="AT127" s="211">
        <f>'SENS Tires'!AS121</f>
        <v>0</v>
      </c>
      <c r="AU127" s="211">
        <f>'SENS Tires'!AT121</f>
        <v>0</v>
      </c>
      <c r="AV127" s="211">
        <f>'SENS Tires'!AU121</f>
        <v>0</v>
      </c>
      <c r="AW127" s="211">
        <f>'SENS Tires'!AV121</f>
        <v>0</v>
      </c>
      <c r="AX127" s="211">
        <f>'SENS Tires'!AW121</f>
        <v>0</v>
      </c>
    </row>
    <row r="128" spans="1:50" ht="14.25" customHeight="1" thickBot="1">
      <c r="A128" s="1"/>
      <c r="B128" s="84"/>
      <c r="C128" s="480" t="s">
        <v>401</v>
      </c>
      <c r="D128" s="62"/>
      <c r="E128" s="220">
        <f>'SENS Tires'!D122</f>
        <v>0</v>
      </c>
      <c r="F128" s="220">
        <f>'SENS Tires'!E122</f>
        <v>6.6225599999999996E-3</v>
      </c>
      <c r="G128" s="220">
        <f>'SENS Tires'!F122</f>
        <v>8.8300799999999988E-3</v>
      </c>
      <c r="H128" s="220">
        <f>'SENS Tires'!G122</f>
        <v>8.8300799999999988E-3</v>
      </c>
      <c r="I128" s="220">
        <f>'SENS Tires'!H122</f>
        <v>8.8300799999999988E-3</v>
      </c>
      <c r="J128" s="220">
        <f>'SENS Tires'!I122</f>
        <v>8.8300799999999988E-3</v>
      </c>
      <c r="K128" s="220">
        <f>'SENS Tires'!J122</f>
        <v>8.8300799999999988E-3</v>
      </c>
      <c r="L128" s="220">
        <f>'SENS Tires'!K122</f>
        <v>8.8300799999999988E-3</v>
      </c>
      <c r="M128" s="220">
        <f>'SENS Tires'!L122</f>
        <v>8.8300799999999988E-3</v>
      </c>
      <c r="N128" s="220">
        <f>'SENS Tires'!M122</f>
        <v>8.8300799999999988E-3</v>
      </c>
      <c r="O128" s="220">
        <f>'SENS Tires'!N122</f>
        <v>8.8300799999999988E-3</v>
      </c>
      <c r="P128" s="220">
        <f>'SENS Tires'!O122</f>
        <v>8.8300799999999988E-3</v>
      </c>
      <c r="Q128" s="220">
        <f>'SENS Tires'!P122</f>
        <v>8.8300799999999988E-3</v>
      </c>
      <c r="R128" s="220">
        <f>'SENS Tires'!Q122</f>
        <v>8.8300799999999988E-3</v>
      </c>
      <c r="S128" s="220">
        <f>'SENS Tires'!R122</f>
        <v>8.8300799999999988E-3</v>
      </c>
      <c r="T128" s="220">
        <f>'SENS Tires'!S122</f>
        <v>8.8300799999999988E-3</v>
      </c>
      <c r="U128" s="220">
        <f>'SENS Tires'!T122</f>
        <v>8.8300799999999988E-3</v>
      </c>
      <c r="V128" s="220">
        <f>'SENS Tires'!U122</f>
        <v>8.8300799999999988E-3</v>
      </c>
      <c r="W128" s="220">
        <f>'SENS Tires'!V122</f>
        <v>8.8300799999999988E-3</v>
      </c>
      <c r="X128" s="220">
        <f>'SENS Tires'!W122</f>
        <v>8.8300799999999988E-3</v>
      </c>
      <c r="Y128" s="220">
        <f>'SENS Tires'!X122</f>
        <v>8.8300799999999988E-3</v>
      </c>
      <c r="Z128" s="220">
        <f>'SENS Tires'!Y122</f>
        <v>8.8300799999999988E-3</v>
      </c>
      <c r="AA128" s="220">
        <f>'SENS Tires'!Z122</f>
        <v>8.8300799999999988E-3</v>
      </c>
      <c r="AB128" s="220">
        <f>'SENS Tires'!AA122</f>
        <v>8.8300799999999988E-3</v>
      </c>
      <c r="AC128" s="220">
        <f>'SENS Tires'!AB122</f>
        <v>8.8300799999999988E-3</v>
      </c>
      <c r="AD128" s="220">
        <f>'SENS Tires'!AC122</f>
        <v>8.8300799999999988E-3</v>
      </c>
      <c r="AE128" s="220">
        <f>'SENS Tires'!AD122</f>
        <v>8.8300799999999988E-3</v>
      </c>
      <c r="AF128" s="220">
        <f>'SENS Tires'!AE122</f>
        <v>0</v>
      </c>
      <c r="AG128" s="220">
        <f>'SENS Tires'!AF122</f>
        <v>0</v>
      </c>
      <c r="AH128" s="220">
        <f>'SENS Tires'!AG122</f>
        <v>0</v>
      </c>
      <c r="AI128" s="220">
        <f>'SENS Tires'!AH122</f>
        <v>0</v>
      </c>
      <c r="AJ128" s="220">
        <f>'SENS Tires'!AI122</f>
        <v>0</v>
      </c>
      <c r="AK128" s="220">
        <f>'SENS Tires'!AJ122</f>
        <v>0</v>
      </c>
      <c r="AL128" s="220">
        <f>'SENS Tires'!AK122</f>
        <v>0</v>
      </c>
      <c r="AM128" s="220">
        <f>'SENS Tires'!AL122</f>
        <v>0</v>
      </c>
      <c r="AN128" s="220">
        <f>'SENS Tires'!AM122</f>
        <v>0</v>
      </c>
      <c r="AO128" s="220">
        <f>'SENS Tires'!AN122</f>
        <v>0</v>
      </c>
      <c r="AP128" s="220">
        <f>'SENS Tires'!AO122</f>
        <v>0</v>
      </c>
      <c r="AQ128" s="220">
        <f>'SENS Tires'!AP122</f>
        <v>0</v>
      </c>
      <c r="AR128" s="220">
        <f>'SENS Tires'!AQ122</f>
        <v>0</v>
      </c>
      <c r="AS128" s="220">
        <f>'SENS Tires'!AR122</f>
        <v>0</v>
      </c>
      <c r="AT128" s="220">
        <f>'SENS Tires'!AS122</f>
        <v>0</v>
      </c>
      <c r="AU128" s="220">
        <f>'SENS Tires'!AT122</f>
        <v>0</v>
      </c>
      <c r="AV128" s="220">
        <f>'SENS Tires'!AU122</f>
        <v>0</v>
      </c>
      <c r="AW128" s="220">
        <f>'SENS Tires'!AV122</f>
        <v>0</v>
      </c>
      <c r="AX128" s="220">
        <f>'SENS Tires'!AW122</f>
        <v>0</v>
      </c>
    </row>
    <row r="129" spans="1:50" ht="14.25" customHeight="1">
      <c r="A129" s="1"/>
      <c r="B129" s="1"/>
      <c r="C129" s="84"/>
      <c r="D129" s="84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11"/>
      <c r="AG129" s="211"/>
      <c r="AH129" s="211"/>
      <c r="AI129" s="211"/>
      <c r="AJ129" s="211"/>
      <c r="AK129" s="211"/>
      <c r="AL129" s="211"/>
      <c r="AM129" s="211"/>
      <c r="AN129" s="211"/>
      <c r="AO129" s="211"/>
      <c r="AP129" s="211"/>
      <c r="AQ129" s="211"/>
      <c r="AR129" s="211"/>
      <c r="AS129" s="211"/>
      <c r="AT129" s="211"/>
      <c r="AU129" s="211"/>
      <c r="AV129" s="211"/>
      <c r="AW129" s="211"/>
      <c r="AX129" s="211"/>
    </row>
    <row r="130" spans="1:50" ht="14.25" customHeight="1">
      <c r="A130" s="1"/>
      <c r="B130" s="1"/>
      <c r="C130" s="1"/>
      <c r="D130" s="1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ht="16" thickBot="1">
      <c r="A131" s="1" t="s">
        <v>351</v>
      </c>
      <c r="B131" s="1"/>
      <c r="C131" s="458" t="s">
        <v>402</v>
      </c>
      <c r="D131" s="458"/>
      <c r="E131" s="458"/>
      <c r="F131" s="459"/>
      <c r="G131" s="459"/>
      <c r="H131" s="459"/>
      <c r="I131" s="459"/>
      <c r="J131" s="459"/>
      <c r="K131" s="460"/>
      <c r="L131" s="459"/>
      <c r="M131" s="459"/>
      <c r="N131" s="459"/>
      <c r="O131" s="459"/>
      <c r="P131" s="459"/>
      <c r="Q131" s="459"/>
      <c r="R131" s="459"/>
      <c r="S131" s="459"/>
      <c r="T131" s="459"/>
      <c r="U131" s="459"/>
      <c r="V131" s="459"/>
      <c r="W131" s="459"/>
      <c r="X131" s="459"/>
      <c r="Y131" s="459"/>
      <c r="Z131" s="459"/>
      <c r="AA131" s="459"/>
      <c r="AB131" s="459"/>
      <c r="AC131" s="459"/>
      <c r="AD131" s="459"/>
      <c r="AE131" s="459"/>
      <c r="AF131" s="459"/>
      <c r="AG131" s="459"/>
      <c r="AH131" s="459"/>
      <c r="AI131" s="459"/>
      <c r="AJ131" s="459"/>
      <c r="AK131" s="459"/>
      <c r="AL131" s="459"/>
      <c r="AM131" s="459"/>
      <c r="AN131" s="459"/>
      <c r="AO131" s="459"/>
      <c r="AP131" s="459"/>
      <c r="AQ131" s="459"/>
      <c r="AR131" s="459"/>
      <c r="AS131" s="459"/>
      <c r="AT131" s="459"/>
      <c r="AU131" s="459"/>
      <c r="AV131" s="459"/>
      <c r="AW131" s="459"/>
      <c r="AX131" s="459"/>
    </row>
    <row r="132" spans="1:50" ht="14.25" customHeight="1">
      <c r="A132" s="1"/>
      <c r="B132" s="1"/>
      <c r="C132" s="461" t="s">
        <v>353</v>
      </c>
      <c r="D132" s="461"/>
      <c r="E132" s="90">
        <v>0</v>
      </c>
      <c r="F132" s="90">
        <f t="shared" ref="F132:AX132" si="21">E132+1</f>
        <v>1</v>
      </c>
      <c r="G132" s="90">
        <f t="shared" si="21"/>
        <v>2</v>
      </c>
      <c r="H132" s="90">
        <f t="shared" si="21"/>
        <v>3</v>
      </c>
      <c r="I132" s="90">
        <f t="shared" si="21"/>
        <v>4</v>
      </c>
      <c r="J132" s="90">
        <f t="shared" si="21"/>
        <v>5</v>
      </c>
      <c r="K132" s="90">
        <f t="shared" si="21"/>
        <v>6</v>
      </c>
      <c r="L132" s="90">
        <f t="shared" si="21"/>
        <v>7</v>
      </c>
      <c r="M132" s="90">
        <f t="shared" si="21"/>
        <v>8</v>
      </c>
      <c r="N132" s="90">
        <f t="shared" si="21"/>
        <v>9</v>
      </c>
      <c r="O132" s="90">
        <f t="shared" si="21"/>
        <v>10</v>
      </c>
      <c r="P132" s="90">
        <f t="shared" si="21"/>
        <v>11</v>
      </c>
      <c r="Q132" s="90">
        <f t="shared" si="21"/>
        <v>12</v>
      </c>
      <c r="R132" s="90">
        <f t="shared" si="21"/>
        <v>13</v>
      </c>
      <c r="S132" s="90">
        <f t="shared" si="21"/>
        <v>14</v>
      </c>
      <c r="T132" s="90">
        <f t="shared" si="21"/>
        <v>15</v>
      </c>
      <c r="U132" s="90">
        <f t="shared" si="21"/>
        <v>16</v>
      </c>
      <c r="V132" s="90">
        <f t="shared" si="21"/>
        <v>17</v>
      </c>
      <c r="W132" s="90">
        <f t="shared" si="21"/>
        <v>18</v>
      </c>
      <c r="X132" s="90">
        <f t="shared" si="21"/>
        <v>19</v>
      </c>
      <c r="Y132" s="90">
        <f t="shared" si="21"/>
        <v>20</v>
      </c>
      <c r="Z132" s="90">
        <f t="shared" si="21"/>
        <v>21</v>
      </c>
      <c r="AA132" s="90">
        <f t="shared" si="21"/>
        <v>22</v>
      </c>
      <c r="AB132" s="90">
        <f t="shared" si="21"/>
        <v>23</v>
      </c>
      <c r="AC132" s="90">
        <f t="shared" si="21"/>
        <v>24</v>
      </c>
      <c r="AD132" s="90">
        <f t="shared" si="21"/>
        <v>25</v>
      </c>
      <c r="AE132" s="90">
        <f t="shared" si="21"/>
        <v>26</v>
      </c>
      <c r="AF132" s="90">
        <f t="shared" si="21"/>
        <v>27</v>
      </c>
      <c r="AG132" s="90">
        <f t="shared" si="21"/>
        <v>28</v>
      </c>
      <c r="AH132" s="90">
        <f t="shared" si="21"/>
        <v>29</v>
      </c>
      <c r="AI132" s="90">
        <f t="shared" si="21"/>
        <v>30</v>
      </c>
      <c r="AJ132" s="90">
        <f t="shared" si="21"/>
        <v>31</v>
      </c>
      <c r="AK132" s="90">
        <f t="shared" si="21"/>
        <v>32</v>
      </c>
      <c r="AL132" s="90">
        <f t="shared" si="21"/>
        <v>33</v>
      </c>
      <c r="AM132" s="90">
        <f t="shared" si="21"/>
        <v>34</v>
      </c>
      <c r="AN132" s="90">
        <f t="shared" si="21"/>
        <v>35</v>
      </c>
      <c r="AO132" s="90">
        <f t="shared" si="21"/>
        <v>36</v>
      </c>
      <c r="AP132" s="90">
        <f t="shared" si="21"/>
        <v>37</v>
      </c>
      <c r="AQ132" s="90">
        <f t="shared" si="21"/>
        <v>38</v>
      </c>
      <c r="AR132" s="90">
        <f t="shared" si="21"/>
        <v>39</v>
      </c>
      <c r="AS132" s="90">
        <f t="shared" si="21"/>
        <v>40</v>
      </c>
      <c r="AT132" s="90">
        <f t="shared" si="21"/>
        <v>41</v>
      </c>
      <c r="AU132" s="90">
        <f t="shared" si="21"/>
        <v>42</v>
      </c>
      <c r="AV132" s="90">
        <f t="shared" si="21"/>
        <v>43</v>
      </c>
      <c r="AW132" s="90">
        <f t="shared" si="21"/>
        <v>44</v>
      </c>
      <c r="AX132" s="90">
        <f t="shared" si="21"/>
        <v>45</v>
      </c>
    </row>
    <row r="133" spans="1:50" ht="14.25" customHeight="1" thickBot="1">
      <c r="A133" s="1"/>
      <c r="B133" s="1"/>
      <c r="C133" s="2"/>
      <c r="D133" s="2"/>
      <c r="E133" s="2"/>
      <c r="F133" s="806" t="s">
        <v>354</v>
      </c>
      <c r="G133" s="806"/>
      <c r="H133" s="806"/>
      <c r="I133" s="806"/>
      <c r="J133" s="806"/>
      <c r="K133" s="806"/>
      <c r="L133" s="806"/>
      <c r="M133" s="806"/>
      <c r="N133" s="806"/>
      <c r="O133" s="806"/>
      <c r="P133" s="806"/>
      <c r="Q133" s="806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</row>
    <row r="134" spans="1:50" ht="14.25" customHeight="1">
      <c r="A134" s="1"/>
      <c r="B134" s="747"/>
      <c r="C134" s="291"/>
      <c r="D134" s="82"/>
      <c r="E134" s="292">
        <f>E6</f>
        <v>2026</v>
      </c>
      <c r="F134" s="292">
        <f t="shared" ref="F134:AX134" si="22">E134+1</f>
        <v>2027</v>
      </c>
      <c r="G134" s="292">
        <f t="shared" si="22"/>
        <v>2028</v>
      </c>
      <c r="H134" s="292">
        <f t="shared" si="22"/>
        <v>2029</v>
      </c>
      <c r="I134" s="292">
        <f t="shared" si="22"/>
        <v>2030</v>
      </c>
      <c r="J134" s="292">
        <f t="shared" si="22"/>
        <v>2031</v>
      </c>
      <c r="K134" s="292">
        <f t="shared" si="22"/>
        <v>2032</v>
      </c>
      <c r="L134" s="292">
        <f t="shared" si="22"/>
        <v>2033</v>
      </c>
      <c r="M134" s="292">
        <f t="shared" si="22"/>
        <v>2034</v>
      </c>
      <c r="N134" s="292">
        <f t="shared" si="22"/>
        <v>2035</v>
      </c>
      <c r="O134" s="292">
        <f t="shared" si="22"/>
        <v>2036</v>
      </c>
      <c r="P134" s="292">
        <f t="shared" si="22"/>
        <v>2037</v>
      </c>
      <c r="Q134" s="292">
        <f t="shared" si="22"/>
        <v>2038</v>
      </c>
      <c r="R134" s="292">
        <f t="shared" si="22"/>
        <v>2039</v>
      </c>
      <c r="S134" s="292">
        <f t="shared" si="22"/>
        <v>2040</v>
      </c>
      <c r="T134" s="292">
        <f t="shared" si="22"/>
        <v>2041</v>
      </c>
      <c r="U134" s="292">
        <f t="shared" si="22"/>
        <v>2042</v>
      </c>
      <c r="V134" s="292">
        <f t="shared" si="22"/>
        <v>2043</v>
      </c>
      <c r="W134" s="292">
        <f t="shared" si="22"/>
        <v>2044</v>
      </c>
      <c r="X134" s="292">
        <f t="shared" si="22"/>
        <v>2045</v>
      </c>
      <c r="Y134" s="292">
        <f t="shared" si="22"/>
        <v>2046</v>
      </c>
      <c r="Z134" s="292">
        <f t="shared" si="22"/>
        <v>2047</v>
      </c>
      <c r="AA134" s="292">
        <f t="shared" si="22"/>
        <v>2048</v>
      </c>
      <c r="AB134" s="292">
        <f t="shared" si="22"/>
        <v>2049</v>
      </c>
      <c r="AC134" s="292">
        <f t="shared" si="22"/>
        <v>2050</v>
      </c>
      <c r="AD134" s="292">
        <f t="shared" si="22"/>
        <v>2051</v>
      </c>
      <c r="AE134" s="292">
        <f t="shared" si="22"/>
        <v>2052</v>
      </c>
      <c r="AF134" s="292">
        <f t="shared" si="22"/>
        <v>2053</v>
      </c>
      <c r="AG134" s="292">
        <f t="shared" si="22"/>
        <v>2054</v>
      </c>
      <c r="AH134" s="292">
        <f t="shared" si="22"/>
        <v>2055</v>
      </c>
      <c r="AI134" s="292">
        <f t="shared" si="22"/>
        <v>2056</v>
      </c>
      <c r="AJ134" s="292">
        <f t="shared" si="22"/>
        <v>2057</v>
      </c>
      <c r="AK134" s="292">
        <f t="shared" si="22"/>
        <v>2058</v>
      </c>
      <c r="AL134" s="292">
        <f t="shared" si="22"/>
        <v>2059</v>
      </c>
      <c r="AM134" s="292">
        <f t="shared" si="22"/>
        <v>2060</v>
      </c>
      <c r="AN134" s="292">
        <f t="shared" si="22"/>
        <v>2061</v>
      </c>
      <c r="AO134" s="292">
        <f t="shared" si="22"/>
        <v>2062</v>
      </c>
      <c r="AP134" s="292">
        <f t="shared" si="22"/>
        <v>2063</v>
      </c>
      <c r="AQ134" s="292">
        <f t="shared" si="22"/>
        <v>2064</v>
      </c>
      <c r="AR134" s="292">
        <f t="shared" si="22"/>
        <v>2065</v>
      </c>
      <c r="AS134" s="292">
        <f t="shared" si="22"/>
        <v>2066</v>
      </c>
      <c r="AT134" s="292">
        <f t="shared" si="22"/>
        <v>2067</v>
      </c>
      <c r="AU134" s="292">
        <f t="shared" si="22"/>
        <v>2068</v>
      </c>
      <c r="AV134" s="292">
        <f t="shared" si="22"/>
        <v>2069</v>
      </c>
      <c r="AW134" s="292">
        <f t="shared" si="22"/>
        <v>2070</v>
      </c>
      <c r="AX134" s="293">
        <f t="shared" si="22"/>
        <v>2071</v>
      </c>
    </row>
    <row r="135" spans="1:50" ht="14.25" customHeight="1">
      <c r="A135" s="1"/>
      <c r="B135" s="84"/>
      <c r="C135" s="294"/>
      <c r="D135" s="92"/>
      <c r="E135" s="93">
        <f>E7</f>
        <v>46023</v>
      </c>
      <c r="F135" s="93">
        <f t="shared" ref="F135:R135" si="23">F7</f>
        <v>46752</v>
      </c>
      <c r="G135" s="93">
        <f t="shared" si="23"/>
        <v>47118</v>
      </c>
      <c r="H135" s="93">
        <f t="shared" si="23"/>
        <v>47483</v>
      </c>
      <c r="I135" s="93">
        <f t="shared" si="23"/>
        <v>47848</v>
      </c>
      <c r="J135" s="93">
        <f t="shared" si="23"/>
        <v>48213</v>
      </c>
      <c r="K135" s="93">
        <f t="shared" si="23"/>
        <v>48579</v>
      </c>
      <c r="L135" s="93">
        <f t="shared" si="23"/>
        <v>48944</v>
      </c>
      <c r="M135" s="93">
        <f t="shared" si="23"/>
        <v>49309</v>
      </c>
      <c r="N135" s="93">
        <f t="shared" si="23"/>
        <v>49674</v>
      </c>
      <c r="O135" s="93">
        <f t="shared" si="23"/>
        <v>50040</v>
      </c>
      <c r="P135" s="93">
        <f t="shared" si="23"/>
        <v>50405</v>
      </c>
      <c r="Q135" s="93">
        <f t="shared" si="23"/>
        <v>50770</v>
      </c>
      <c r="R135" s="93">
        <f t="shared" si="23"/>
        <v>51135</v>
      </c>
      <c r="S135" s="93">
        <f t="shared" ref="S135:AX135" si="24">S7</f>
        <v>51501</v>
      </c>
      <c r="T135" s="93">
        <f t="shared" si="24"/>
        <v>51866</v>
      </c>
      <c r="U135" s="93">
        <f t="shared" si="24"/>
        <v>52231</v>
      </c>
      <c r="V135" s="93">
        <f t="shared" si="24"/>
        <v>52596</v>
      </c>
      <c r="W135" s="93">
        <f t="shared" si="24"/>
        <v>52962</v>
      </c>
      <c r="X135" s="93">
        <f t="shared" si="24"/>
        <v>53327</v>
      </c>
      <c r="Y135" s="93">
        <f t="shared" si="24"/>
        <v>53692</v>
      </c>
      <c r="Z135" s="93">
        <f t="shared" si="24"/>
        <v>54057</v>
      </c>
      <c r="AA135" s="93">
        <f t="shared" si="24"/>
        <v>54423</v>
      </c>
      <c r="AB135" s="93">
        <f t="shared" si="24"/>
        <v>54788</v>
      </c>
      <c r="AC135" s="93">
        <f t="shared" si="24"/>
        <v>55153</v>
      </c>
      <c r="AD135" s="93">
        <f t="shared" si="24"/>
        <v>55518</v>
      </c>
      <c r="AE135" s="93">
        <f t="shared" si="24"/>
        <v>55884</v>
      </c>
      <c r="AF135" s="93">
        <f t="shared" si="24"/>
        <v>56249</v>
      </c>
      <c r="AG135" s="93">
        <f t="shared" si="24"/>
        <v>56614</v>
      </c>
      <c r="AH135" s="93">
        <f t="shared" si="24"/>
        <v>56979</v>
      </c>
      <c r="AI135" s="93">
        <f t="shared" si="24"/>
        <v>57345</v>
      </c>
      <c r="AJ135" s="93">
        <f t="shared" si="24"/>
        <v>57710</v>
      </c>
      <c r="AK135" s="93">
        <f t="shared" si="24"/>
        <v>58075</v>
      </c>
      <c r="AL135" s="93">
        <f t="shared" si="24"/>
        <v>58440</v>
      </c>
      <c r="AM135" s="93">
        <f t="shared" si="24"/>
        <v>58806</v>
      </c>
      <c r="AN135" s="93">
        <f t="shared" si="24"/>
        <v>59171</v>
      </c>
      <c r="AO135" s="93">
        <f t="shared" si="24"/>
        <v>59536</v>
      </c>
      <c r="AP135" s="93">
        <f t="shared" si="24"/>
        <v>59901</v>
      </c>
      <c r="AQ135" s="93">
        <f t="shared" si="24"/>
        <v>60267</v>
      </c>
      <c r="AR135" s="93">
        <f t="shared" si="24"/>
        <v>60632</v>
      </c>
      <c r="AS135" s="93">
        <f t="shared" si="24"/>
        <v>60997</v>
      </c>
      <c r="AT135" s="93">
        <f t="shared" si="24"/>
        <v>61362</v>
      </c>
      <c r="AU135" s="93">
        <f t="shared" si="24"/>
        <v>61728</v>
      </c>
      <c r="AV135" s="93">
        <f t="shared" si="24"/>
        <v>62093</v>
      </c>
      <c r="AW135" s="93">
        <f t="shared" si="24"/>
        <v>62458</v>
      </c>
      <c r="AX135" s="295">
        <f t="shared" si="24"/>
        <v>62823</v>
      </c>
    </row>
    <row r="136" spans="1:50" ht="14.25" customHeight="1">
      <c r="A136" s="1"/>
      <c r="B136" s="84"/>
      <c r="C136" s="296" t="s">
        <v>403</v>
      </c>
      <c r="D136" s="83"/>
      <c r="E136" s="208">
        <f t="shared" ref="E136:AX136" si="25">E79+E80+E81</f>
        <v>0</v>
      </c>
      <c r="F136" s="208">
        <f t="shared" si="25"/>
        <v>277.90771593909483</v>
      </c>
      <c r="G136" s="208">
        <f t="shared" si="25"/>
        <v>387.84212036694424</v>
      </c>
      <c r="H136" s="208">
        <f t="shared" si="25"/>
        <v>414.23951620455819</v>
      </c>
      <c r="I136" s="208">
        <f t="shared" si="25"/>
        <v>482.93873936509743</v>
      </c>
      <c r="J136" s="208">
        <f t="shared" si="25"/>
        <v>503.8499225796856</v>
      </c>
      <c r="K136" s="208">
        <f t="shared" si="25"/>
        <v>514.33732141851544</v>
      </c>
      <c r="L136" s="208">
        <f t="shared" si="25"/>
        <v>525.0474214973741</v>
      </c>
      <c r="M136" s="208">
        <f t="shared" si="25"/>
        <v>535.98515932416979</v>
      </c>
      <c r="N136" s="208">
        <f t="shared" si="25"/>
        <v>547.15558595519917</v>
      </c>
      <c r="O136" s="208">
        <f t="shared" si="25"/>
        <v>558.56386978263492</v>
      </c>
      <c r="P136" s="208">
        <f t="shared" si="25"/>
        <v>570.21529939301286</v>
      </c>
      <c r="Q136" s="208">
        <f t="shared" si="25"/>
        <v>582.11528649860429</v>
      </c>
      <c r="R136" s="208">
        <f t="shared" si="25"/>
        <v>594.26936894361245</v>
      </c>
      <c r="S136" s="208">
        <f t="shared" si="25"/>
        <v>606.68321378717565</v>
      </c>
      <c r="T136" s="208">
        <f t="shared" si="25"/>
        <v>619.36262046522347</v>
      </c>
      <c r="U136" s="208">
        <f t="shared" si="25"/>
        <v>632.31352403328606</v>
      </c>
      <c r="V136" s="208">
        <f t="shared" si="25"/>
        <v>645.54199849240933</v>
      </c>
      <c r="W136" s="208">
        <f t="shared" si="25"/>
        <v>659.05426020039602</v>
      </c>
      <c r="X136" s="208">
        <f t="shared" si="25"/>
        <v>672.85667137064911</v>
      </c>
      <c r="Y136" s="208">
        <f t="shared" si="25"/>
        <v>686.95574366095718</v>
      </c>
      <c r="Z136" s="208">
        <f t="shared" si="25"/>
        <v>701.35814185462493</v>
      </c>
      <c r="AA136" s="208">
        <f t="shared" si="25"/>
        <v>716.07068763642337</v>
      </c>
      <c r="AB136" s="208">
        <f t="shared" si="25"/>
        <v>731.10036346589527</v>
      </c>
      <c r="AC136" s="208">
        <f t="shared" si="25"/>
        <v>746.45431655062873</v>
      </c>
      <c r="AD136" s="208">
        <f t="shared" si="25"/>
        <v>762.13986292217658</v>
      </c>
      <c r="AE136" s="208">
        <f t="shared" si="25"/>
        <v>778.16449161738308</v>
      </c>
      <c r="AF136" s="208">
        <f t="shared" si="25"/>
        <v>129.8517320113715</v>
      </c>
      <c r="AG136" s="208">
        <f t="shared" si="25"/>
        <v>132.0068851878508</v>
      </c>
      <c r="AH136" s="208">
        <f t="shared" si="25"/>
        <v>82.503151718460742</v>
      </c>
      <c r="AI136" s="208">
        <f t="shared" si="25"/>
        <v>-2.3219929889830952E-6</v>
      </c>
      <c r="AJ136" s="208">
        <f t="shared" si="25"/>
        <v>-2.3916527786525884E-6</v>
      </c>
      <c r="AK136" s="208">
        <f t="shared" si="25"/>
        <v>-2.4634023620121658E-6</v>
      </c>
      <c r="AL136" s="208">
        <f t="shared" si="25"/>
        <v>-2.537304432872531E-6</v>
      </c>
      <c r="AM136" s="208">
        <f t="shared" si="25"/>
        <v>-2.6134235658587073E-6</v>
      </c>
      <c r="AN136" s="208">
        <f t="shared" si="25"/>
        <v>-2.6918262728344683E-6</v>
      </c>
      <c r="AO136" s="208">
        <f t="shared" si="25"/>
        <v>-2.7725810610195027E-6</v>
      </c>
      <c r="AP136" s="208">
        <f t="shared" si="25"/>
        <v>-2.8557584928500874E-6</v>
      </c>
      <c r="AQ136" s="208">
        <f t="shared" si="25"/>
        <v>-2.9414312476355905E-6</v>
      </c>
      <c r="AR136" s="208">
        <f t="shared" si="25"/>
        <v>-3.0296741850646581E-6</v>
      </c>
      <c r="AS136" s="208">
        <f t="shared" si="25"/>
        <v>-3.1205644106165973E-6</v>
      </c>
      <c r="AT136" s="208">
        <f t="shared" si="25"/>
        <v>-3.2141813429350959E-6</v>
      </c>
      <c r="AU136" s="208">
        <f t="shared" si="25"/>
        <v>-3.310606783223149E-6</v>
      </c>
      <c r="AV136" s="208">
        <f t="shared" si="25"/>
        <v>-3.4099249867198433E-6</v>
      </c>
      <c r="AW136" s="208">
        <f t="shared" si="25"/>
        <v>-3.5122227363214387E-6</v>
      </c>
      <c r="AX136" s="15">
        <f t="shared" si="25"/>
        <v>-3.6175894184110823E-6</v>
      </c>
    </row>
    <row r="137" spans="1:50" ht="14.25" customHeight="1">
      <c r="A137" s="747"/>
      <c r="B137" s="84"/>
      <c r="C137" s="298" t="str">
        <f>"   Less: Taxes @ "&amp;TEXT(SUM('Assumptions &amp; Inputs'!$E$13,'Assumptions &amp; Inputs'!$E$14),"0.0%")</f>
        <v xml:space="preserve">   Less: Taxes @ 25.0%</v>
      </c>
      <c r="D137" s="248"/>
      <c r="E137" s="210">
        <f>IF(E136&gt;0, -E136*'Assumptions &amp; Inputs'!$G$12, 0)</f>
        <v>0</v>
      </c>
      <c r="F137" s="210">
        <f>IF(F136&gt;0, -F136*'Assumptions &amp; Inputs'!$G$12, 0)</f>
        <v>-72.256006144164658</v>
      </c>
      <c r="G137" s="210">
        <f>IF(G136&gt;0, -G136*'Assumptions &amp; Inputs'!$G$12, 0)</f>
        <v>-100.83895129540551</v>
      </c>
      <c r="H137" s="210">
        <f>IF(H136&gt;0, -H136*'Assumptions &amp; Inputs'!$G$12, 0)</f>
        <v>-107.70227421318513</v>
      </c>
      <c r="I137" s="210">
        <f>IF(I136&gt;0, -I136*'Assumptions &amp; Inputs'!$G$12, 0)</f>
        <v>-125.56407223492533</v>
      </c>
      <c r="J137" s="210">
        <f>IF(J136&gt;0, -J136*'Assumptions &amp; Inputs'!$G$12, 0)</f>
        <v>-131.00097987071825</v>
      </c>
      <c r="K137" s="210">
        <f>IF(K136&gt;0, -K136*'Assumptions &amp; Inputs'!$G$12, 0)</f>
        <v>-133.72770356881401</v>
      </c>
      <c r="L137" s="210">
        <f>IF(L136&gt;0, -L136*'Assumptions &amp; Inputs'!$G$12, 0)</f>
        <v>-136.51232958931726</v>
      </c>
      <c r="M137" s="210">
        <f>IF(M136&gt;0, -M136*'Assumptions &amp; Inputs'!$G$12, 0)</f>
        <v>-139.35614142428415</v>
      </c>
      <c r="N137" s="210">
        <f>IF(N136&gt;0, -N136*'Assumptions &amp; Inputs'!$G$12, 0)</f>
        <v>-142.26045234835178</v>
      </c>
      <c r="O137" s="210">
        <f>IF(O136&gt;0, -O136*'Assumptions &amp; Inputs'!$G$12, 0)</f>
        <v>-145.22660614348507</v>
      </c>
      <c r="P137" s="210">
        <f>IF(P136&gt;0, -P136*'Assumptions &amp; Inputs'!$G$12, 0)</f>
        <v>-148.25597784218334</v>
      </c>
      <c r="Q137" s="210">
        <f>IF(Q136&gt;0, -Q136*'Assumptions &amp; Inputs'!$G$12, 0)</f>
        <v>-151.34997448963713</v>
      </c>
      <c r="R137" s="210">
        <f>IF(R136&gt;0, -R136*'Assumptions &amp; Inputs'!$G$12, 0)</f>
        <v>-154.51003592533925</v>
      </c>
      <c r="S137" s="210">
        <f>IF(S136&gt;0, -S136*'Assumptions &amp; Inputs'!$G$12, 0)</f>
        <v>-157.73763558466567</v>
      </c>
      <c r="T137" s="210">
        <f>IF(T136&gt;0, -T136*'Assumptions &amp; Inputs'!$G$12, 0)</f>
        <v>-161.03428132095812</v>
      </c>
      <c r="U137" s="210">
        <f>IF(U136&gt;0, -U136*'Assumptions &amp; Inputs'!$G$12, 0)</f>
        <v>-164.40151624865439</v>
      </c>
      <c r="V137" s="210">
        <f>IF(V136&gt;0, -V136*'Assumptions &amp; Inputs'!$G$12, 0)</f>
        <v>-167.84091960802644</v>
      </c>
      <c r="W137" s="210">
        <f>IF(W136&gt;0, -W136*'Assumptions &amp; Inputs'!$G$12, 0)</f>
        <v>-171.35410765210298</v>
      </c>
      <c r="X137" s="210">
        <f>IF(X136&gt;0, -X136*'Assumptions &amp; Inputs'!$G$12, 0)</f>
        <v>-174.94273455636878</v>
      </c>
      <c r="Y137" s="210">
        <f>IF(Y136&gt;0, -Y136*'Assumptions &amp; Inputs'!$G$12, 0)</f>
        <v>-178.60849335184886</v>
      </c>
      <c r="Z137" s="210">
        <f>IF(Z136&gt;0, -Z136*'Assumptions &amp; Inputs'!$G$12, 0)</f>
        <v>-182.3531168822025</v>
      </c>
      <c r="AA137" s="210">
        <f>IF(AA136&gt;0, -AA136*'Assumptions &amp; Inputs'!$G$12, 0)</f>
        <v>-186.17837878547007</v>
      </c>
      <c r="AB137" s="210">
        <f>IF(AB136&gt;0, -AB136*'Assumptions &amp; Inputs'!$G$12, 0)</f>
        <v>-190.08609450113278</v>
      </c>
      <c r="AC137" s="210">
        <f>IF(AC136&gt;0, -AC136*'Assumptions &amp; Inputs'!$G$12, 0)</f>
        <v>-194.07812230316347</v>
      </c>
      <c r="AD137" s="210">
        <f>IF(AD136&gt;0, -AD136*'Assumptions &amp; Inputs'!$G$12, 0)</f>
        <v>-198.15636435976592</v>
      </c>
      <c r="AE137" s="210">
        <f>IF(AE136&gt;0, -AE136*'Assumptions &amp; Inputs'!$G$12, 0)</f>
        <v>-202.3227678205196</v>
      </c>
      <c r="AF137" s="210">
        <f>IF(AF136&gt;0, -AF136*'Assumptions &amp; Inputs'!$G$12, 0)</f>
        <v>-33.761450322956591</v>
      </c>
      <c r="AG137" s="210">
        <f>IF(AG136&gt;0, -AG136*'Assumptions &amp; Inputs'!$G$12, 0)</f>
        <v>-34.32179014884121</v>
      </c>
      <c r="AH137" s="210">
        <f>IF(AH136&gt;0, -AH136*'Assumptions &amp; Inputs'!$G$12, 0)</f>
        <v>-21.450819446799795</v>
      </c>
      <c r="AI137" s="210">
        <f>IF(AI136&gt;0, -AI136*'Assumptions &amp; Inputs'!$G$12, 0)</f>
        <v>0</v>
      </c>
      <c r="AJ137" s="210">
        <f>IF(AJ136&gt;0, -AJ136*'Assumptions &amp; Inputs'!$G$12, 0)</f>
        <v>0</v>
      </c>
      <c r="AK137" s="210">
        <f>IF(AK136&gt;0, -AK136*'Assumptions &amp; Inputs'!$G$12, 0)</f>
        <v>0</v>
      </c>
      <c r="AL137" s="210">
        <f>IF(AL136&gt;0, -AL136*'Assumptions &amp; Inputs'!$G$12, 0)</f>
        <v>0</v>
      </c>
      <c r="AM137" s="210">
        <f>IF(AM136&gt;0, -AM136*'Assumptions &amp; Inputs'!$G$12, 0)</f>
        <v>0</v>
      </c>
      <c r="AN137" s="210">
        <f>IF(AN136&gt;0, -AN136*'Assumptions &amp; Inputs'!$G$12, 0)</f>
        <v>0</v>
      </c>
      <c r="AO137" s="210">
        <f>IF(AO136&gt;0, -AO136*'Assumptions &amp; Inputs'!$G$12, 0)</f>
        <v>0</v>
      </c>
      <c r="AP137" s="210">
        <f>IF(AP136&gt;0, -AP136*'Assumptions &amp; Inputs'!$G$12, 0)</f>
        <v>0</v>
      </c>
      <c r="AQ137" s="210">
        <f>IF(AQ136&gt;0, -AQ136*'Assumptions &amp; Inputs'!$G$12, 0)</f>
        <v>0</v>
      </c>
      <c r="AR137" s="210">
        <f>IF(AR136&gt;0, -AR136*'Assumptions &amp; Inputs'!$G$12, 0)</f>
        <v>0</v>
      </c>
      <c r="AS137" s="210">
        <f>IF(AS136&gt;0, -AS136*'Assumptions &amp; Inputs'!$G$12, 0)</f>
        <v>0</v>
      </c>
      <c r="AT137" s="210">
        <f>IF(AT136&gt;0, -AT136*'Assumptions &amp; Inputs'!$G$12, 0)</f>
        <v>0</v>
      </c>
      <c r="AU137" s="210">
        <f>IF(AU136&gt;0, -AU136*'Assumptions &amp; Inputs'!$G$12, 0)</f>
        <v>0</v>
      </c>
      <c r="AV137" s="210">
        <f>IF(AV136&gt;0, -AV136*'Assumptions &amp; Inputs'!$G$12, 0)</f>
        <v>0</v>
      </c>
      <c r="AW137" s="210">
        <f>IF(AW136&gt;0, -AW136*'Assumptions &amp; Inputs'!$G$12, 0)</f>
        <v>0</v>
      </c>
      <c r="AX137" s="299">
        <f>IF(AX136&gt;0, -AX136*'Assumptions &amp; Inputs'!$G$12, 0)</f>
        <v>0</v>
      </c>
    </row>
    <row r="138" spans="1:50" ht="14.25" customHeight="1">
      <c r="A138" s="1"/>
      <c r="B138" s="84"/>
      <c r="C138" s="296" t="s">
        <v>404</v>
      </c>
      <c r="D138" s="84"/>
      <c r="E138" s="211">
        <f>E136+E137</f>
        <v>0</v>
      </c>
      <c r="F138" s="211">
        <f t="shared" ref="F138:AX138" si="26">F136+F137</f>
        <v>205.65170979493018</v>
      </c>
      <c r="G138" s="211">
        <f t="shared" si="26"/>
        <v>287.00316907153876</v>
      </c>
      <c r="H138" s="211">
        <f t="shared" si="26"/>
        <v>306.53724199137304</v>
      </c>
      <c r="I138" s="211">
        <f t="shared" si="26"/>
        <v>357.3746671301721</v>
      </c>
      <c r="J138" s="211">
        <f>J136+J137</f>
        <v>372.84894270896734</v>
      </c>
      <c r="K138" s="211">
        <f>K136+K137</f>
        <v>380.60961784970141</v>
      </c>
      <c r="L138" s="211">
        <f>L136+L137</f>
        <v>388.53509190805687</v>
      </c>
      <c r="M138" s="211">
        <f t="shared" si="26"/>
        <v>396.62901789988564</v>
      </c>
      <c r="N138" s="211">
        <f t="shared" si="26"/>
        <v>404.89513360684737</v>
      </c>
      <c r="O138" s="211">
        <f t="shared" si="26"/>
        <v>413.33726363914985</v>
      </c>
      <c r="P138" s="211">
        <f t="shared" si="26"/>
        <v>421.95932155082949</v>
      </c>
      <c r="Q138" s="211">
        <f t="shared" si="26"/>
        <v>430.76531200896716</v>
      </c>
      <c r="R138" s="211">
        <f t="shared" si="26"/>
        <v>439.7593330182732</v>
      </c>
      <c r="S138" s="211">
        <f t="shared" si="26"/>
        <v>448.94557820250998</v>
      </c>
      <c r="T138" s="211">
        <f t="shared" si="26"/>
        <v>458.32833914426533</v>
      </c>
      <c r="U138" s="211">
        <f t="shared" si="26"/>
        <v>467.91200778463167</v>
      </c>
      <c r="V138" s="211">
        <f t="shared" si="26"/>
        <v>477.70107888438292</v>
      </c>
      <c r="W138" s="211">
        <f t="shared" si="26"/>
        <v>487.70015254829303</v>
      </c>
      <c r="X138" s="211">
        <f t="shared" si="26"/>
        <v>497.91393681428031</v>
      </c>
      <c r="Y138" s="211">
        <f t="shared" si="26"/>
        <v>508.34725030910829</v>
      </c>
      <c r="Z138" s="211">
        <f t="shared" si="26"/>
        <v>519.00502497242246</v>
      </c>
      <c r="AA138" s="211">
        <f t="shared" si="26"/>
        <v>529.89230885095333</v>
      </c>
      <c r="AB138" s="211">
        <f t="shared" si="26"/>
        <v>541.01426896476255</v>
      </c>
      <c r="AC138" s="211">
        <f t="shared" si="26"/>
        <v>552.37619424746526</v>
      </c>
      <c r="AD138" s="211">
        <f t="shared" si="26"/>
        <v>563.98349856241066</v>
      </c>
      <c r="AE138" s="211">
        <f t="shared" si="26"/>
        <v>575.84172379686345</v>
      </c>
      <c r="AF138" s="211">
        <f t="shared" si="26"/>
        <v>96.090281688414905</v>
      </c>
      <c r="AG138" s="211">
        <f t="shared" si="26"/>
        <v>97.685095039009582</v>
      </c>
      <c r="AH138" s="211">
        <f t="shared" si="26"/>
        <v>61.052332271660944</v>
      </c>
      <c r="AI138" s="211">
        <f t="shared" si="26"/>
        <v>-2.3219929889830952E-6</v>
      </c>
      <c r="AJ138" s="211">
        <f t="shared" si="26"/>
        <v>-2.3916527786525884E-6</v>
      </c>
      <c r="AK138" s="211">
        <f t="shared" si="26"/>
        <v>-2.4634023620121658E-6</v>
      </c>
      <c r="AL138" s="211">
        <f t="shared" si="26"/>
        <v>-2.537304432872531E-6</v>
      </c>
      <c r="AM138" s="211">
        <f t="shared" si="26"/>
        <v>-2.6134235658587073E-6</v>
      </c>
      <c r="AN138" s="211">
        <f t="shared" si="26"/>
        <v>-2.6918262728344683E-6</v>
      </c>
      <c r="AO138" s="211">
        <f t="shared" si="26"/>
        <v>-2.7725810610195027E-6</v>
      </c>
      <c r="AP138" s="211">
        <f t="shared" si="26"/>
        <v>-2.8557584928500874E-6</v>
      </c>
      <c r="AQ138" s="211">
        <f t="shared" si="26"/>
        <v>-2.9414312476355905E-6</v>
      </c>
      <c r="AR138" s="211">
        <f t="shared" si="26"/>
        <v>-3.0296741850646581E-6</v>
      </c>
      <c r="AS138" s="211">
        <f t="shared" si="26"/>
        <v>-3.1205644106165973E-6</v>
      </c>
      <c r="AT138" s="211">
        <f t="shared" si="26"/>
        <v>-3.2141813429350959E-6</v>
      </c>
      <c r="AU138" s="211">
        <f t="shared" si="26"/>
        <v>-3.310606783223149E-6</v>
      </c>
      <c r="AV138" s="211">
        <f t="shared" si="26"/>
        <v>-3.4099249867198433E-6</v>
      </c>
      <c r="AW138" s="211">
        <f t="shared" si="26"/>
        <v>-3.5122227363214387E-6</v>
      </c>
      <c r="AX138" s="300">
        <f t="shared" si="26"/>
        <v>-3.6175894184110823E-6</v>
      </c>
    </row>
    <row r="139" spans="1:50" ht="14.25" customHeight="1">
      <c r="A139" s="1"/>
      <c r="B139" s="84"/>
      <c r="C139" s="481" t="s">
        <v>460</v>
      </c>
      <c r="D139" s="482"/>
      <c r="E139" s="208">
        <f>IFERROR(_xlfn.XLOOKUP(E$134, 'Real Estate'!$D$25:$BA$25, 'Real Estate'!$D30:$BA30), 0)+IFERROR(_xlfn.XLOOKUP(E$134, 'GEN-CCGT'!$D$32:$BA$32, 'GEN-CCGT'!$D37:$BA37)*'Assumptions &amp; Inputs'!$G$4, 0)+IFERROR(_xlfn.XLOOKUP(E$134, 'GEN-SOLAR'!$D$32:$BA$32, 'GEN-SOLAR'!$D37:$BA37)*'Assumptions &amp; Inputs'!$H$4, 0)+IFERROR(_xlfn.XLOOKUP(E$134, 'GEN-BESS'!$D$32:$BA$32, 'GEN-BESS'!$D37:$BA37)*'Assumptions &amp; Inputs'!$F$4, 0)+IFERROR(_xlfn.XLOOKUP(E$134, 'GEN-CARBON'!$D$32:$BA$32, 'GEN-CARBON'!$D37:$BA37)*'Assumptions &amp; Inputs'!$I$4, 0)+IFERROR(_xlfn.XLOOKUP(E$134, Load!$D$32:$BA$32, Load!$D37:$BA37)*'Assumptions &amp; Inputs'!$E$4, 0)+IFERROR(_xlfn.XLOOKUP(E$134, Hydrogen!$D$32:$BA$32, Hydrogen!$D37:$BA37)*'Assumptions &amp; Inputs'!$J$4, 0)+IFERROR(_xlfn.XLOOKUP(E$134, 'SENS Tires'!$D$32:$BA$32, 'SENS Tires'!$D37:$BA37)*'Assumptions &amp; Inputs'!$K$4, 0)+IFERROR(_xlfn.XLOOKUP(E$134, 'SENS Coal'!$D$32:$BA$32, 'SENS Coal'!$D37:$BA37)*'Assumptions &amp; Inputs'!$L$4, 0)</f>
        <v>0</v>
      </c>
      <c r="F139" s="208">
        <f>IFERROR(_xlfn.XLOOKUP(F$134, 'Real Estate'!$D$25:$BA$25, 'Real Estate'!$D30:$BA30), 0)+IFERROR(_xlfn.XLOOKUP(F$134, 'GEN-CCGT'!$D$32:$BA$32, 'GEN-CCGT'!$D37:$BA37)*'Assumptions &amp; Inputs'!$G$4, 0)+IFERROR(_xlfn.XLOOKUP(F$134, 'GEN-SOLAR'!$D$32:$BA$32, 'GEN-SOLAR'!$D37:$BA37)*'Assumptions &amp; Inputs'!$H$4, 0)+IFERROR(_xlfn.XLOOKUP(F$134, 'GEN-BESS'!$D$32:$BA$32, 'GEN-BESS'!$D37:$BA37)*'Assumptions &amp; Inputs'!$F$4, 0)+IFERROR(_xlfn.XLOOKUP(F$134, 'GEN-CARBON'!$D$32:$BA$32, 'GEN-CARBON'!$D37:$BA37)*'Assumptions &amp; Inputs'!$I$4, 0)+IFERROR(_xlfn.XLOOKUP(F$134, Load!$D$32:$BA$32, Load!$D37:$BA37)*'Assumptions &amp; Inputs'!$E$4, 0)+IFERROR(_xlfn.XLOOKUP(F$134, Hydrogen!$D$32:$BA$32, Hydrogen!$D37:$BA37)*'Assumptions &amp; Inputs'!$J$4, 0)+IFERROR(_xlfn.XLOOKUP(F$134, 'SENS Tires'!$D$32:$BA$32, 'SENS Tires'!$D37:$BA37)*'Assumptions &amp; Inputs'!$K$4, 0)+IFERROR(_xlfn.XLOOKUP(F$134, 'SENS Coal'!$D$32:$BA$32, 'SENS Coal'!$D37:$BA37)*'Assumptions &amp; Inputs'!$L$4, 0)</f>
        <v>0</v>
      </c>
      <c r="G139" s="208">
        <f>IFERROR(_xlfn.XLOOKUP(G$134, 'Real Estate'!$D$25:$BA$25, 'Real Estate'!$D30:$BA30), 0)+IFERROR(_xlfn.XLOOKUP(G$134, 'GEN-CCGT'!$D$32:$BA$32, 'GEN-CCGT'!$D37:$BA37)*'Assumptions &amp; Inputs'!$G$4, 0)+IFERROR(_xlfn.XLOOKUP(G$134, 'GEN-SOLAR'!$D$32:$BA$32, 'GEN-SOLAR'!$D37:$BA37)*'Assumptions &amp; Inputs'!$H$4, 0)+IFERROR(_xlfn.XLOOKUP(G$134, 'GEN-BESS'!$D$32:$BA$32, 'GEN-BESS'!$D37:$BA37)*'Assumptions &amp; Inputs'!$F$4, 0)+IFERROR(_xlfn.XLOOKUP(G$134, 'GEN-CARBON'!$D$32:$BA$32, 'GEN-CARBON'!$D37:$BA37)*'Assumptions &amp; Inputs'!$I$4, 0)+IFERROR(_xlfn.XLOOKUP(G$134, Load!$D$32:$BA$32, Load!$D37:$BA37)*'Assumptions &amp; Inputs'!$E$4, 0)+IFERROR(_xlfn.XLOOKUP(G$134, Hydrogen!$D$32:$BA$32, Hydrogen!$D37:$BA37)*'Assumptions &amp; Inputs'!$J$4, 0)+IFERROR(_xlfn.XLOOKUP(G$134, 'SENS Tires'!$D$32:$BA$32, 'SENS Tires'!$D37:$BA37)*'Assumptions &amp; Inputs'!$K$4, 0)+IFERROR(_xlfn.XLOOKUP(G$134, 'SENS Coal'!$D$32:$BA$32, 'SENS Coal'!$D37:$BA37)*'Assumptions &amp; Inputs'!$L$4, 0)</f>
        <v>21.185000000000002</v>
      </c>
      <c r="H139" s="208">
        <f>IFERROR(_xlfn.XLOOKUP(H$134, 'Real Estate'!$D$25:$BA$25, 'Real Estate'!$D30:$BA30), 0)+IFERROR(_xlfn.XLOOKUP(H$134, 'GEN-CCGT'!$D$32:$BA$32, 'GEN-CCGT'!$D37:$BA37)*'Assumptions &amp; Inputs'!$G$4, 0)+IFERROR(_xlfn.XLOOKUP(H$134, 'GEN-SOLAR'!$D$32:$BA$32, 'GEN-SOLAR'!$D37:$BA37)*'Assumptions &amp; Inputs'!$H$4, 0)+IFERROR(_xlfn.XLOOKUP(H$134, 'GEN-BESS'!$D$32:$BA$32, 'GEN-BESS'!$D37:$BA37)*'Assumptions &amp; Inputs'!$F$4, 0)+IFERROR(_xlfn.XLOOKUP(H$134, 'GEN-CARBON'!$D$32:$BA$32, 'GEN-CARBON'!$D37:$BA37)*'Assumptions &amp; Inputs'!$I$4, 0)+IFERROR(_xlfn.XLOOKUP(H$134, Load!$D$32:$BA$32, Load!$D37:$BA37)*'Assumptions &amp; Inputs'!$E$4, 0)+IFERROR(_xlfn.XLOOKUP(H$134, Hydrogen!$D$32:$BA$32, Hydrogen!$D37:$BA37)*'Assumptions &amp; Inputs'!$J$4, 0)+IFERROR(_xlfn.XLOOKUP(H$134, 'SENS Tires'!$D$32:$BA$32, 'SENS Tires'!$D37:$BA37)*'Assumptions &amp; Inputs'!$K$4, 0)+IFERROR(_xlfn.XLOOKUP(H$134, 'SENS Coal'!$D$32:$BA$32, 'SENS Coal'!$D37:$BA37)*'Assumptions &amp; Inputs'!$L$4, 0)</f>
        <v>21.185000000000002</v>
      </c>
      <c r="I139" s="208">
        <f>IFERROR(_xlfn.XLOOKUP(I$134, 'Real Estate'!$D$25:$BA$25, 'Real Estate'!$D30:$BA30), 0)+IFERROR(_xlfn.XLOOKUP(I$134, 'GEN-CCGT'!$D$32:$BA$32, 'GEN-CCGT'!$D37:$BA37)*'Assumptions &amp; Inputs'!$G$4, 0)+IFERROR(_xlfn.XLOOKUP(I$134, 'GEN-SOLAR'!$D$32:$BA$32, 'GEN-SOLAR'!$D37:$BA37)*'Assumptions &amp; Inputs'!$H$4, 0)+IFERROR(_xlfn.XLOOKUP(I$134, 'GEN-BESS'!$D$32:$BA$32, 'GEN-BESS'!$D37:$BA37)*'Assumptions &amp; Inputs'!$F$4, 0)+IFERROR(_xlfn.XLOOKUP(I$134, 'GEN-CARBON'!$D$32:$BA$32, 'GEN-CARBON'!$D37:$BA37)*'Assumptions &amp; Inputs'!$I$4, 0)+IFERROR(_xlfn.XLOOKUP(I$134, Load!$D$32:$BA$32, Load!$D37:$BA37)*'Assumptions &amp; Inputs'!$E$4, 0)+IFERROR(_xlfn.XLOOKUP(I$134, Hydrogen!$D$32:$BA$32, Hydrogen!$D37:$BA37)*'Assumptions &amp; Inputs'!$J$4, 0)+IFERROR(_xlfn.XLOOKUP(I$134, 'SENS Tires'!$D$32:$BA$32, 'SENS Tires'!$D37:$BA37)*'Assumptions &amp; Inputs'!$K$4, 0)+IFERROR(_xlfn.XLOOKUP(I$134, 'SENS Coal'!$D$32:$BA$32, 'SENS Coal'!$D37:$BA37)*'Assumptions &amp; Inputs'!$L$4, 0)</f>
        <v>25.364999999999998</v>
      </c>
      <c r="J139" s="208">
        <f>IFERROR(_xlfn.XLOOKUP(J$134, 'Real Estate'!$D$25:$BA$25, 'Real Estate'!$D30:$BA30), 0)+IFERROR(_xlfn.XLOOKUP(J$134, 'GEN-CCGT'!$D$32:$BA$32, 'GEN-CCGT'!$D37:$BA37)*'Assumptions &amp; Inputs'!$G$4, 0)+IFERROR(_xlfn.XLOOKUP(J$134, 'GEN-SOLAR'!$D$32:$BA$32, 'GEN-SOLAR'!$D37:$BA37)*'Assumptions &amp; Inputs'!$H$4, 0)+IFERROR(_xlfn.XLOOKUP(J$134, 'GEN-BESS'!$D$32:$BA$32, 'GEN-BESS'!$D37:$BA37)*'Assumptions &amp; Inputs'!$F$4, 0)+IFERROR(_xlfn.XLOOKUP(J$134, 'GEN-CARBON'!$D$32:$BA$32, 'GEN-CARBON'!$D37:$BA37)*'Assumptions &amp; Inputs'!$I$4, 0)+IFERROR(_xlfn.XLOOKUP(J$134, Load!$D$32:$BA$32, Load!$D37:$BA37)*'Assumptions &amp; Inputs'!$E$4, 0)+IFERROR(_xlfn.XLOOKUP(J$134, Hydrogen!$D$32:$BA$32, Hydrogen!$D37:$BA37)*'Assumptions &amp; Inputs'!$J$4, 0)+IFERROR(_xlfn.XLOOKUP(J$134, 'SENS Tires'!$D$32:$BA$32, 'SENS Tires'!$D37:$BA37)*'Assumptions &amp; Inputs'!$K$4, 0)+IFERROR(_xlfn.XLOOKUP(J$134, 'SENS Coal'!$D$32:$BA$32, 'SENS Coal'!$D37:$BA37)*'Assumptions &amp; Inputs'!$L$4, 0)</f>
        <v>39.045000000000002</v>
      </c>
      <c r="K139" s="208">
        <f>IFERROR(_xlfn.XLOOKUP(K$134, 'Real Estate'!$D$25:$BA$25, 'Real Estate'!$D30:$BA30), 0)+IFERROR(_xlfn.XLOOKUP(K$134, 'GEN-CCGT'!$D$32:$BA$32, 'GEN-CCGT'!$D37:$BA37)*'Assumptions &amp; Inputs'!$G$4, 0)+IFERROR(_xlfn.XLOOKUP(K$134, 'GEN-SOLAR'!$D$32:$BA$32, 'GEN-SOLAR'!$D37:$BA37)*'Assumptions &amp; Inputs'!$H$4, 0)+IFERROR(_xlfn.XLOOKUP(K$134, 'GEN-BESS'!$D$32:$BA$32, 'GEN-BESS'!$D37:$BA37)*'Assumptions &amp; Inputs'!$F$4, 0)+IFERROR(_xlfn.XLOOKUP(K$134, 'GEN-CARBON'!$D$32:$BA$32, 'GEN-CARBON'!$D37:$BA37)*'Assumptions &amp; Inputs'!$I$4, 0)+IFERROR(_xlfn.XLOOKUP(K$134, Load!$D$32:$BA$32, Load!$D37:$BA37)*'Assumptions &amp; Inputs'!$E$4, 0)+IFERROR(_xlfn.XLOOKUP(K$134, Hydrogen!$D$32:$BA$32, Hydrogen!$D37:$BA37)*'Assumptions &amp; Inputs'!$J$4, 0)+IFERROR(_xlfn.XLOOKUP(K$134, 'SENS Tires'!$D$32:$BA$32, 'SENS Tires'!$D37:$BA37)*'Assumptions &amp; Inputs'!$K$4, 0)+IFERROR(_xlfn.XLOOKUP(K$134, 'SENS Coal'!$D$32:$BA$32, 'SENS Coal'!$D37:$BA37)*'Assumptions &amp; Inputs'!$L$4, 0)</f>
        <v>39.045000000000002</v>
      </c>
      <c r="L139" s="208">
        <f>IFERROR(_xlfn.XLOOKUP(L$134, 'Real Estate'!$D$25:$BA$25, 'Real Estate'!$D30:$BA30), 0)+IFERROR(_xlfn.XLOOKUP(L$134, 'GEN-CCGT'!$D$32:$BA$32, 'GEN-CCGT'!$D37:$BA37)*'Assumptions &amp; Inputs'!$G$4, 0)+IFERROR(_xlfn.XLOOKUP(L$134, 'GEN-SOLAR'!$D$32:$BA$32, 'GEN-SOLAR'!$D37:$BA37)*'Assumptions &amp; Inputs'!$H$4, 0)+IFERROR(_xlfn.XLOOKUP(L$134, 'GEN-BESS'!$D$32:$BA$32, 'GEN-BESS'!$D37:$BA37)*'Assumptions &amp; Inputs'!$F$4, 0)+IFERROR(_xlfn.XLOOKUP(L$134, 'GEN-CARBON'!$D$32:$BA$32, 'GEN-CARBON'!$D37:$BA37)*'Assumptions &amp; Inputs'!$I$4, 0)+IFERROR(_xlfn.XLOOKUP(L$134, Load!$D$32:$BA$32, Load!$D37:$BA37)*'Assumptions &amp; Inputs'!$E$4, 0)+IFERROR(_xlfn.XLOOKUP(L$134, Hydrogen!$D$32:$BA$32, Hydrogen!$D37:$BA37)*'Assumptions &amp; Inputs'!$J$4, 0)+IFERROR(_xlfn.XLOOKUP(L$134, 'SENS Tires'!$D$32:$BA$32, 'SENS Tires'!$D37:$BA37)*'Assumptions &amp; Inputs'!$K$4, 0)+IFERROR(_xlfn.XLOOKUP(L$134, 'SENS Coal'!$D$32:$BA$32, 'SENS Coal'!$D37:$BA37)*'Assumptions &amp; Inputs'!$L$4, 0)</f>
        <v>39.045000000000002</v>
      </c>
      <c r="M139" s="208">
        <f>IFERROR(_xlfn.XLOOKUP(M$134, 'Real Estate'!$D$25:$BA$25, 'Real Estate'!$D30:$BA30), 0)+IFERROR(_xlfn.XLOOKUP(M$134, 'GEN-CCGT'!$D$32:$BA$32, 'GEN-CCGT'!$D37:$BA37)*'Assumptions &amp; Inputs'!$G$4, 0)+IFERROR(_xlfn.XLOOKUP(M$134, 'GEN-SOLAR'!$D$32:$BA$32, 'GEN-SOLAR'!$D37:$BA37)*'Assumptions &amp; Inputs'!$H$4, 0)+IFERROR(_xlfn.XLOOKUP(M$134, 'GEN-BESS'!$D$32:$BA$32, 'GEN-BESS'!$D37:$BA37)*'Assumptions &amp; Inputs'!$F$4, 0)+IFERROR(_xlfn.XLOOKUP(M$134, 'GEN-CARBON'!$D$32:$BA$32, 'GEN-CARBON'!$D37:$BA37)*'Assumptions &amp; Inputs'!$I$4, 0)+IFERROR(_xlfn.XLOOKUP(M$134, Load!$D$32:$BA$32, Load!$D37:$BA37)*'Assumptions &amp; Inputs'!$E$4, 0)+IFERROR(_xlfn.XLOOKUP(M$134, Hydrogen!$D$32:$BA$32, Hydrogen!$D37:$BA37)*'Assumptions &amp; Inputs'!$J$4, 0)+IFERROR(_xlfn.XLOOKUP(M$134, 'SENS Tires'!$D$32:$BA$32, 'SENS Tires'!$D37:$BA37)*'Assumptions &amp; Inputs'!$K$4, 0)+IFERROR(_xlfn.XLOOKUP(M$134, 'SENS Coal'!$D$32:$BA$32, 'SENS Coal'!$D37:$BA37)*'Assumptions &amp; Inputs'!$L$4, 0)</f>
        <v>39.045000000000002</v>
      </c>
      <c r="N139" s="208">
        <f>IFERROR(_xlfn.XLOOKUP(N$134, 'Real Estate'!$D$25:$BA$25, 'Real Estate'!$D30:$BA30), 0)+IFERROR(_xlfn.XLOOKUP(N$134, 'GEN-CCGT'!$D$32:$BA$32, 'GEN-CCGT'!$D37:$BA37)*'Assumptions &amp; Inputs'!$G$4, 0)+IFERROR(_xlfn.XLOOKUP(N$134, 'GEN-SOLAR'!$D$32:$BA$32, 'GEN-SOLAR'!$D37:$BA37)*'Assumptions &amp; Inputs'!$H$4, 0)+IFERROR(_xlfn.XLOOKUP(N$134, 'GEN-BESS'!$D$32:$BA$32, 'GEN-BESS'!$D37:$BA37)*'Assumptions &amp; Inputs'!$F$4, 0)+IFERROR(_xlfn.XLOOKUP(N$134, 'GEN-CARBON'!$D$32:$BA$32, 'GEN-CARBON'!$D37:$BA37)*'Assumptions &amp; Inputs'!$I$4, 0)+IFERROR(_xlfn.XLOOKUP(N$134, Load!$D$32:$BA$32, Load!$D37:$BA37)*'Assumptions &amp; Inputs'!$E$4, 0)+IFERROR(_xlfn.XLOOKUP(N$134, Hydrogen!$D$32:$BA$32, Hydrogen!$D37:$BA37)*'Assumptions &amp; Inputs'!$J$4, 0)+IFERROR(_xlfn.XLOOKUP(N$134, 'SENS Tires'!$D$32:$BA$32, 'SENS Tires'!$D37:$BA37)*'Assumptions &amp; Inputs'!$K$4, 0)+IFERROR(_xlfn.XLOOKUP(N$134, 'SENS Coal'!$D$32:$BA$32, 'SENS Coal'!$D37:$BA37)*'Assumptions &amp; Inputs'!$L$4, 0)</f>
        <v>39.045000000000002</v>
      </c>
      <c r="O139" s="208">
        <f>IFERROR(_xlfn.XLOOKUP(O$134, 'Real Estate'!$D$25:$BA$25, 'Real Estate'!$D30:$BA30), 0)+IFERROR(_xlfn.XLOOKUP(O$134, 'GEN-CCGT'!$D$32:$BA$32, 'GEN-CCGT'!$D37:$BA37)*'Assumptions &amp; Inputs'!$G$4, 0)+IFERROR(_xlfn.XLOOKUP(O$134, 'GEN-SOLAR'!$D$32:$BA$32, 'GEN-SOLAR'!$D37:$BA37)*'Assumptions &amp; Inputs'!$H$4, 0)+IFERROR(_xlfn.XLOOKUP(O$134, 'GEN-BESS'!$D$32:$BA$32, 'GEN-BESS'!$D37:$BA37)*'Assumptions &amp; Inputs'!$F$4, 0)+IFERROR(_xlfn.XLOOKUP(O$134, 'GEN-CARBON'!$D$32:$BA$32, 'GEN-CARBON'!$D37:$BA37)*'Assumptions &amp; Inputs'!$I$4, 0)+IFERROR(_xlfn.XLOOKUP(O$134, Load!$D$32:$BA$32, Load!$D37:$BA37)*'Assumptions &amp; Inputs'!$E$4, 0)+IFERROR(_xlfn.XLOOKUP(O$134, Hydrogen!$D$32:$BA$32, Hydrogen!$D37:$BA37)*'Assumptions &amp; Inputs'!$J$4, 0)+IFERROR(_xlfn.XLOOKUP(O$134, 'SENS Tires'!$D$32:$BA$32, 'SENS Tires'!$D37:$BA37)*'Assumptions &amp; Inputs'!$K$4, 0)+IFERROR(_xlfn.XLOOKUP(O$134, 'SENS Coal'!$D$32:$BA$32, 'SENS Coal'!$D37:$BA37)*'Assumptions &amp; Inputs'!$L$4, 0)</f>
        <v>39.045000000000002</v>
      </c>
      <c r="P139" s="208">
        <f>IFERROR(_xlfn.XLOOKUP(P$134, 'Real Estate'!$D$25:$BA$25, 'Real Estate'!$D30:$BA30), 0)+IFERROR(_xlfn.XLOOKUP(P$134, 'GEN-CCGT'!$D$32:$BA$32, 'GEN-CCGT'!$D37:$BA37)*'Assumptions &amp; Inputs'!$G$4, 0)+IFERROR(_xlfn.XLOOKUP(P$134, 'GEN-SOLAR'!$D$32:$BA$32, 'GEN-SOLAR'!$D37:$BA37)*'Assumptions &amp; Inputs'!$H$4, 0)+IFERROR(_xlfn.XLOOKUP(P$134, 'GEN-BESS'!$D$32:$BA$32, 'GEN-BESS'!$D37:$BA37)*'Assumptions &amp; Inputs'!$F$4, 0)+IFERROR(_xlfn.XLOOKUP(P$134, 'GEN-CARBON'!$D$32:$BA$32, 'GEN-CARBON'!$D37:$BA37)*'Assumptions &amp; Inputs'!$I$4, 0)+IFERROR(_xlfn.XLOOKUP(P$134, Load!$D$32:$BA$32, Load!$D37:$BA37)*'Assumptions &amp; Inputs'!$E$4, 0)+IFERROR(_xlfn.XLOOKUP(P$134, Hydrogen!$D$32:$BA$32, Hydrogen!$D37:$BA37)*'Assumptions &amp; Inputs'!$J$4, 0)+IFERROR(_xlfn.XLOOKUP(P$134, 'SENS Tires'!$D$32:$BA$32, 'SENS Tires'!$D37:$BA37)*'Assumptions &amp; Inputs'!$K$4, 0)+IFERROR(_xlfn.XLOOKUP(P$134, 'SENS Coal'!$D$32:$BA$32, 'SENS Coal'!$D37:$BA37)*'Assumptions &amp; Inputs'!$L$4, 0)</f>
        <v>39.045000000000002</v>
      </c>
      <c r="Q139" s="208">
        <f>IFERROR(_xlfn.XLOOKUP(Q$134, 'Real Estate'!$D$25:$BA$25, 'Real Estate'!$D30:$BA30), 0)+IFERROR(_xlfn.XLOOKUP(Q$134, 'GEN-CCGT'!$D$32:$BA$32, 'GEN-CCGT'!$D37:$BA37)*'Assumptions &amp; Inputs'!$G$4, 0)+IFERROR(_xlfn.XLOOKUP(Q$134, 'GEN-SOLAR'!$D$32:$BA$32, 'GEN-SOLAR'!$D37:$BA37)*'Assumptions &amp; Inputs'!$H$4, 0)+IFERROR(_xlfn.XLOOKUP(Q$134, 'GEN-BESS'!$D$32:$BA$32, 'GEN-BESS'!$D37:$BA37)*'Assumptions &amp; Inputs'!$F$4, 0)+IFERROR(_xlfn.XLOOKUP(Q$134, 'GEN-CARBON'!$D$32:$BA$32, 'GEN-CARBON'!$D37:$BA37)*'Assumptions &amp; Inputs'!$I$4, 0)+IFERROR(_xlfn.XLOOKUP(Q$134, Load!$D$32:$BA$32, Load!$D37:$BA37)*'Assumptions &amp; Inputs'!$E$4, 0)+IFERROR(_xlfn.XLOOKUP(Q$134, Hydrogen!$D$32:$BA$32, Hydrogen!$D37:$BA37)*'Assumptions &amp; Inputs'!$J$4, 0)+IFERROR(_xlfn.XLOOKUP(Q$134, 'SENS Tires'!$D$32:$BA$32, 'SENS Tires'!$D37:$BA37)*'Assumptions &amp; Inputs'!$K$4, 0)+IFERROR(_xlfn.XLOOKUP(Q$134, 'SENS Coal'!$D$32:$BA$32, 'SENS Coal'!$D37:$BA37)*'Assumptions &amp; Inputs'!$L$4, 0)</f>
        <v>39.045000000000002</v>
      </c>
      <c r="R139" s="208">
        <f>IFERROR(_xlfn.XLOOKUP(R$134, 'Real Estate'!$D$25:$BA$25, 'Real Estate'!$D30:$BA30), 0)+IFERROR(_xlfn.XLOOKUP(R$134, 'GEN-CCGT'!$D$32:$BA$32, 'GEN-CCGT'!$D37:$BA37)*'Assumptions &amp; Inputs'!$G$4, 0)+IFERROR(_xlfn.XLOOKUP(R$134, 'GEN-SOLAR'!$D$32:$BA$32, 'GEN-SOLAR'!$D37:$BA37)*'Assumptions &amp; Inputs'!$H$4, 0)+IFERROR(_xlfn.XLOOKUP(R$134, 'GEN-BESS'!$D$32:$BA$32, 'GEN-BESS'!$D37:$BA37)*'Assumptions &amp; Inputs'!$F$4, 0)+IFERROR(_xlfn.XLOOKUP(R$134, 'GEN-CARBON'!$D$32:$BA$32, 'GEN-CARBON'!$D37:$BA37)*'Assumptions &amp; Inputs'!$I$4, 0)+IFERROR(_xlfn.XLOOKUP(R$134, Load!$D$32:$BA$32, Load!$D37:$BA37)*'Assumptions &amp; Inputs'!$E$4, 0)+IFERROR(_xlfn.XLOOKUP(R$134, Hydrogen!$D$32:$BA$32, Hydrogen!$D37:$BA37)*'Assumptions &amp; Inputs'!$J$4, 0)+IFERROR(_xlfn.XLOOKUP(R$134, 'SENS Tires'!$D$32:$BA$32, 'SENS Tires'!$D37:$BA37)*'Assumptions &amp; Inputs'!$K$4, 0)+IFERROR(_xlfn.XLOOKUP(R$134, 'SENS Coal'!$D$32:$BA$32, 'SENS Coal'!$D37:$BA37)*'Assumptions &amp; Inputs'!$L$4, 0)</f>
        <v>39.045000000000002</v>
      </c>
      <c r="S139" s="208">
        <f>IFERROR(_xlfn.XLOOKUP(S$134, 'Real Estate'!$D$25:$BA$25, 'Real Estate'!$D30:$BA30), 0)+IFERROR(_xlfn.XLOOKUP(S$134, 'GEN-CCGT'!$D$32:$BA$32, 'GEN-CCGT'!$D37:$BA37)*'Assumptions &amp; Inputs'!$G$4, 0)+IFERROR(_xlfn.XLOOKUP(S$134, 'GEN-SOLAR'!$D$32:$BA$32, 'GEN-SOLAR'!$D37:$BA37)*'Assumptions &amp; Inputs'!$H$4, 0)+IFERROR(_xlfn.XLOOKUP(S$134, 'GEN-BESS'!$D$32:$BA$32, 'GEN-BESS'!$D37:$BA37)*'Assumptions &amp; Inputs'!$F$4, 0)+IFERROR(_xlfn.XLOOKUP(S$134, 'GEN-CARBON'!$D$32:$BA$32, 'GEN-CARBON'!$D37:$BA37)*'Assumptions &amp; Inputs'!$I$4, 0)+IFERROR(_xlfn.XLOOKUP(S$134, Load!$D$32:$BA$32, Load!$D37:$BA37)*'Assumptions &amp; Inputs'!$E$4, 0)+IFERROR(_xlfn.XLOOKUP(S$134, Hydrogen!$D$32:$BA$32, Hydrogen!$D37:$BA37)*'Assumptions &amp; Inputs'!$J$4, 0)+IFERROR(_xlfn.XLOOKUP(S$134, 'SENS Tires'!$D$32:$BA$32, 'SENS Tires'!$D37:$BA37)*'Assumptions &amp; Inputs'!$K$4, 0)+IFERROR(_xlfn.XLOOKUP(S$134, 'SENS Coal'!$D$32:$BA$32, 'SENS Coal'!$D37:$BA37)*'Assumptions &amp; Inputs'!$L$4, 0)</f>
        <v>39.045000000000002</v>
      </c>
      <c r="T139" s="208">
        <f>IFERROR(_xlfn.XLOOKUP(T$134, 'Real Estate'!$D$25:$BA$25, 'Real Estate'!$D30:$BA30), 0)+IFERROR(_xlfn.XLOOKUP(T$134, 'GEN-CCGT'!$D$32:$BA$32, 'GEN-CCGT'!$D37:$BA37)*'Assumptions &amp; Inputs'!$G$4, 0)+IFERROR(_xlfn.XLOOKUP(T$134, 'GEN-SOLAR'!$D$32:$BA$32, 'GEN-SOLAR'!$D37:$BA37)*'Assumptions &amp; Inputs'!$H$4, 0)+IFERROR(_xlfn.XLOOKUP(T$134, 'GEN-BESS'!$D$32:$BA$32, 'GEN-BESS'!$D37:$BA37)*'Assumptions &amp; Inputs'!$F$4, 0)+IFERROR(_xlfn.XLOOKUP(T$134, 'GEN-CARBON'!$D$32:$BA$32, 'GEN-CARBON'!$D37:$BA37)*'Assumptions &amp; Inputs'!$I$4, 0)+IFERROR(_xlfn.XLOOKUP(T$134, Load!$D$32:$BA$32, Load!$D37:$BA37)*'Assumptions &amp; Inputs'!$E$4, 0)+IFERROR(_xlfn.XLOOKUP(T$134, Hydrogen!$D$32:$BA$32, Hydrogen!$D37:$BA37)*'Assumptions &amp; Inputs'!$J$4, 0)+IFERROR(_xlfn.XLOOKUP(T$134, 'SENS Tires'!$D$32:$BA$32, 'SENS Tires'!$D37:$BA37)*'Assumptions &amp; Inputs'!$K$4, 0)+IFERROR(_xlfn.XLOOKUP(T$134, 'SENS Coal'!$D$32:$BA$32, 'SENS Coal'!$D37:$BA37)*'Assumptions &amp; Inputs'!$L$4, 0)</f>
        <v>39.045000000000002</v>
      </c>
      <c r="U139" s="208">
        <f>IFERROR(_xlfn.XLOOKUP(U$134, 'Real Estate'!$D$25:$BA$25, 'Real Estate'!$D30:$BA30), 0)+IFERROR(_xlfn.XLOOKUP(U$134, 'GEN-CCGT'!$D$32:$BA$32, 'GEN-CCGT'!$D37:$BA37)*'Assumptions &amp; Inputs'!$G$4, 0)+IFERROR(_xlfn.XLOOKUP(U$134, 'GEN-SOLAR'!$D$32:$BA$32, 'GEN-SOLAR'!$D37:$BA37)*'Assumptions &amp; Inputs'!$H$4, 0)+IFERROR(_xlfn.XLOOKUP(U$134, 'GEN-BESS'!$D$32:$BA$32, 'GEN-BESS'!$D37:$BA37)*'Assumptions &amp; Inputs'!$F$4, 0)+IFERROR(_xlfn.XLOOKUP(U$134, 'GEN-CARBON'!$D$32:$BA$32, 'GEN-CARBON'!$D37:$BA37)*'Assumptions &amp; Inputs'!$I$4, 0)+IFERROR(_xlfn.XLOOKUP(U$134, Load!$D$32:$BA$32, Load!$D37:$BA37)*'Assumptions &amp; Inputs'!$E$4, 0)+IFERROR(_xlfn.XLOOKUP(U$134, Hydrogen!$D$32:$BA$32, Hydrogen!$D37:$BA37)*'Assumptions &amp; Inputs'!$J$4, 0)+IFERROR(_xlfn.XLOOKUP(U$134, 'SENS Tires'!$D$32:$BA$32, 'SENS Tires'!$D37:$BA37)*'Assumptions &amp; Inputs'!$K$4, 0)+IFERROR(_xlfn.XLOOKUP(U$134, 'SENS Coal'!$D$32:$BA$32, 'SENS Coal'!$D37:$BA37)*'Assumptions &amp; Inputs'!$L$4, 0)</f>
        <v>39.045000000000002</v>
      </c>
      <c r="V139" s="208">
        <f>IFERROR(_xlfn.XLOOKUP(V$134, 'Real Estate'!$D$25:$BA$25, 'Real Estate'!$D30:$BA30), 0)+IFERROR(_xlfn.XLOOKUP(V$134, 'GEN-CCGT'!$D$32:$BA$32, 'GEN-CCGT'!$D37:$BA37)*'Assumptions &amp; Inputs'!$G$4, 0)+IFERROR(_xlfn.XLOOKUP(V$134, 'GEN-SOLAR'!$D$32:$BA$32, 'GEN-SOLAR'!$D37:$BA37)*'Assumptions &amp; Inputs'!$H$4, 0)+IFERROR(_xlfn.XLOOKUP(V$134, 'GEN-BESS'!$D$32:$BA$32, 'GEN-BESS'!$D37:$BA37)*'Assumptions &amp; Inputs'!$F$4, 0)+IFERROR(_xlfn.XLOOKUP(V$134, 'GEN-CARBON'!$D$32:$BA$32, 'GEN-CARBON'!$D37:$BA37)*'Assumptions &amp; Inputs'!$I$4, 0)+IFERROR(_xlfn.XLOOKUP(V$134, Load!$D$32:$BA$32, Load!$D37:$BA37)*'Assumptions &amp; Inputs'!$E$4, 0)+IFERROR(_xlfn.XLOOKUP(V$134, Hydrogen!$D$32:$BA$32, Hydrogen!$D37:$BA37)*'Assumptions &amp; Inputs'!$J$4, 0)+IFERROR(_xlfn.XLOOKUP(V$134, 'SENS Tires'!$D$32:$BA$32, 'SENS Tires'!$D37:$BA37)*'Assumptions &amp; Inputs'!$K$4, 0)+IFERROR(_xlfn.XLOOKUP(V$134, 'SENS Coal'!$D$32:$BA$32, 'SENS Coal'!$D37:$BA37)*'Assumptions &amp; Inputs'!$L$4, 0)</f>
        <v>39.045000000000002</v>
      </c>
      <c r="W139" s="208">
        <f>IFERROR(_xlfn.XLOOKUP(W$134, 'Real Estate'!$D$25:$BA$25, 'Real Estate'!$D30:$BA30), 0)+IFERROR(_xlfn.XLOOKUP(W$134, 'GEN-CCGT'!$D$32:$BA$32, 'GEN-CCGT'!$D37:$BA37)*'Assumptions &amp; Inputs'!$G$4, 0)+IFERROR(_xlfn.XLOOKUP(W$134, 'GEN-SOLAR'!$D$32:$BA$32, 'GEN-SOLAR'!$D37:$BA37)*'Assumptions &amp; Inputs'!$H$4, 0)+IFERROR(_xlfn.XLOOKUP(W$134, 'GEN-BESS'!$D$32:$BA$32, 'GEN-BESS'!$D37:$BA37)*'Assumptions &amp; Inputs'!$F$4, 0)+IFERROR(_xlfn.XLOOKUP(W$134, 'GEN-CARBON'!$D$32:$BA$32, 'GEN-CARBON'!$D37:$BA37)*'Assumptions &amp; Inputs'!$I$4, 0)+IFERROR(_xlfn.XLOOKUP(W$134, Load!$D$32:$BA$32, Load!$D37:$BA37)*'Assumptions &amp; Inputs'!$E$4, 0)+IFERROR(_xlfn.XLOOKUP(W$134, Hydrogen!$D$32:$BA$32, Hydrogen!$D37:$BA37)*'Assumptions &amp; Inputs'!$J$4, 0)+IFERROR(_xlfn.XLOOKUP(W$134, 'SENS Tires'!$D$32:$BA$32, 'SENS Tires'!$D37:$BA37)*'Assumptions &amp; Inputs'!$K$4, 0)+IFERROR(_xlfn.XLOOKUP(W$134, 'SENS Coal'!$D$32:$BA$32, 'SENS Coal'!$D37:$BA37)*'Assumptions &amp; Inputs'!$L$4, 0)</f>
        <v>39.045000000000002</v>
      </c>
      <c r="X139" s="208">
        <f>IFERROR(_xlfn.XLOOKUP(X$134, 'Real Estate'!$D$25:$BA$25, 'Real Estate'!$D30:$BA30), 0)+IFERROR(_xlfn.XLOOKUP(X$134, 'GEN-CCGT'!$D$32:$BA$32, 'GEN-CCGT'!$D37:$BA37)*'Assumptions &amp; Inputs'!$G$4, 0)+IFERROR(_xlfn.XLOOKUP(X$134, 'GEN-SOLAR'!$D$32:$BA$32, 'GEN-SOLAR'!$D37:$BA37)*'Assumptions &amp; Inputs'!$H$4, 0)+IFERROR(_xlfn.XLOOKUP(X$134, 'GEN-BESS'!$D$32:$BA$32, 'GEN-BESS'!$D37:$BA37)*'Assumptions &amp; Inputs'!$F$4, 0)+IFERROR(_xlfn.XLOOKUP(X$134, 'GEN-CARBON'!$D$32:$BA$32, 'GEN-CARBON'!$D37:$BA37)*'Assumptions &amp; Inputs'!$I$4, 0)+IFERROR(_xlfn.XLOOKUP(X$134, Load!$D$32:$BA$32, Load!$D37:$BA37)*'Assumptions &amp; Inputs'!$E$4, 0)+IFERROR(_xlfn.XLOOKUP(X$134, Hydrogen!$D$32:$BA$32, Hydrogen!$D37:$BA37)*'Assumptions &amp; Inputs'!$J$4, 0)+IFERROR(_xlfn.XLOOKUP(X$134, 'SENS Tires'!$D$32:$BA$32, 'SENS Tires'!$D37:$BA37)*'Assumptions &amp; Inputs'!$K$4, 0)+IFERROR(_xlfn.XLOOKUP(X$134, 'SENS Coal'!$D$32:$BA$32, 'SENS Coal'!$D37:$BA37)*'Assumptions &amp; Inputs'!$L$4, 0)</f>
        <v>39.045000000000002</v>
      </c>
      <c r="Y139" s="208">
        <f>IFERROR(_xlfn.XLOOKUP(Y$134, 'Real Estate'!$D$25:$BA$25, 'Real Estate'!$D30:$BA30), 0)+IFERROR(_xlfn.XLOOKUP(Y$134, 'GEN-CCGT'!$D$32:$BA$32, 'GEN-CCGT'!$D37:$BA37)*'Assumptions &amp; Inputs'!$G$4, 0)+IFERROR(_xlfn.XLOOKUP(Y$134, 'GEN-SOLAR'!$D$32:$BA$32, 'GEN-SOLAR'!$D37:$BA37)*'Assumptions &amp; Inputs'!$H$4, 0)+IFERROR(_xlfn.XLOOKUP(Y$134, 'GEN-BESS'!$D$32:$BA$32, 'GEN-BESS'!$D37:$BA37)*'Assumptions &amp; Inputs'!$F$4, 0)+IFERROR(_xlfn.XLOOKUP(Y$134, 'GEN-CARBON'!$D$32:$BA$32, 'GEN-CARBON'!$D37:$BA37)*'Assumptions &amp; Inputs'!$I$4, 0)+IFERROR(_xlfn.XLOOKUP(Y$134, Load!$D$32:$BA$32, Load!$D37:$BA37)*'Assumptions &amp; Inputs'!$E$4, 0)+IFERROR(_xlfn.XLOOKUP(Y$134, Hydrogen!$D$32:$BA$32, Hydrogen!$D37:$BA37)*'Assumptions &amp; Inputs'!$J$4, 0)+IFERROR(_xlfn.XLOOKUP(Y$134, 'SENS Tires'!$D$32:$BA$32, 'SENS Tires'!$D37:$BA37)*'Assumptions &amp; Inputs'!$K$4, 0)+IFERROR(_xlfn.XLOOKUP(Y$134, 'SENS Coal'!$D$32:$BA$32, 'SENS Coal'!$D37:$BA37)*'Assumptions &amp; Inputs'!$L$4, 0)</f>
        <v>39.045000000000002</v>
      </c>
      <c r="Z139" s="208">
        <f>IFERROR(_xlfn.XLOOKUP(Z$134, 'Real Estate'!$D$25:$BA$25, 'Real Estate'!$D30:$BA30), 0)+IFERROR(_xlfn.XLOOKUP(Z$134, 'GEN-CCGT'!$D$32:$BA$32, 'GEN-CCGT'!$D37:$BA37)*'Assumptions &amp; Inputs'!$G$4, 0)+IFERROR(_xlfn.XLOOKUP(Z$134, 'GEN-SOLAR'!$D$32:$BA$32, 'GEN-SOLAR'!$D37:$BA37)*'Assumptions &amp; Inputs'!$H$4, 0)+IFERROR(_xlfn.XLOOKUP(Z$134, 'GEN-BESS'!$D$32:$BA$32, 'GEN-BESS'!$D37:$BA37)*'Assumptions &amp; Inputs'!$F$4, 0)+IFERROR(_xlfn.XLOOKUP(Z$134, 'GEN-CARBON'!$D$32:$BA$32, 'GEN-CARBON'!$D37:$BA37)*'Assumptions &amp; Inputs'!$I$4, 0)+IFERROR(_xlfn.XLOOKUP(Z$134, Load!$D$32:$BA$32, Load!$D37:$BA37)*'Assumptions &amp; Inputs'!$E$4, 0)+IFERROR(_xlfn.XLOOKUP(Z$134, Hydrogen!$D$32:$BA$32, Hydrogen!$D37:$BA37)*'Assumptions &amp; Inputs'!$J$4, 0)+IFERROR(_xlfn.XLOOKUP(Z$134, 'SENS Tires'!$D$32:$BA$32, 'SENS Tires'!$D37:$BA37)*'Assumptions &amp; Inputs'!$K$4, 0)+IFERROR(_xlfn.XLOOKUP(Z$134, 'SENS Coal'!$D$32:$BA$32, 'SENS Coal'!$D37:$BA37)*'Assumptions &amp; Inputs'!$L$4, 0)</f>
        <v>39.045000000000002</v>
      </c>
      <c r="AA139" s="208">
        <f>IFERROR(_xlfn.XLOOKUP(AA$134, 'Real Estate'!$D$25:$BA$25, 'Real Estate'!$D30:$BA30), 0)+IFERROR(_xlfn.XLOOKUP(AA$134, 'GEN-CCGT'!$D$32:$BA$32, 'GEN-CCGT'!$D37:$BA37)*'Assumptions &amp; Inputs'!$G$4, 0)+IFERROR(_xlfn.XLOOKUP(AA$134, 'GEN-SOLAR'!$D$32:$BA$32, 'GEN-SOLAR'!$D37:$BA37)*'Assumptions &amp; Inputs'!$H$4, 0)+IFERROR(_xlfn.XLOOKUP(AA$134, 'GEN-BESS'!$D$32:$BA$32, 'GEN-BESS'!$D37:$BA37)*'Assumptions &amp; Inputs'!$F$4, 0)+IFERROR(_xlfn.XLOOKUP(AA$134, 'GEN-CARBON'!$D$32:$BA$32, 'GEN-CARBON'!$D37:$BA37)*'Assumptions &amp; Inputs'!$I$4, 0)+IFERROR(_xlfn.XLOOKUP(AA$134, Load!$D$32:$BA$32, Load!$D37:$BA37)*'Assumptions &amp; Inputs'!$E$4, 0)+IFERROR(_xlfn.XLOOKUP(AA$134, Hydrogen!$D$32:$BA$32, Hydrogen!$D37:$BA37)*'Assumptions &amp; Inputs'!$J$4, 0)+IFERROR(_xlfn.XLOOKUP(AA$134, 'SENS Tires'!$D$32:$BA$32, 'SENS Tires'!$D37:$BA37)*'Assumptions &amp; Inputs'!$K$4, 0)+IFERROR(_xlfn.XLOOKUP(AA$134, 'SENS Coal'!$D$32:$BA$32, 'SENS Coal'!$D37:$BA37)*'Assumptions &amp; Inputs'!$L$4, 0)</f>
        <v>39.045000000000002</v>
      </c>
      <c r="AB139" s="208">
        <f>IFERROR(_xlfn.XLOOKUP(AB$134, 'Real Estate'!$D$25:$BA$25, 'Real Estate'!$D30:$BA30), 0)+IFERROR(_xlfn.XLOOKUP(AB$134, 'GEN-CCGT'!$D$32:$BA$32, 'GEN-CCGT'!$D37:$BA37)*'Assumptions &amp; Inputs'!$G$4, 0)+IFERROR(_xlfn.XLOOKUP(AB$134, 'GEN-SOLAR'!$D$32:$BA$32, 'GEN-SOLAR'!$D37:$BA37)*'Assumptions &amp; Inputs'!$H$4, 0)+IFERROR(_xlfn.XLOOKUP(AB$134, 'GEN-BESS'!$D$32:$BA$32, 'GEN-BESS'!$D37:$BA37)*'Assumptions &amp; Inputs'!$F$4, 0)+IFERROR(_xlfn.XLOOKUP(AB$134, 'GEN-CARBON'!$D$32:$BA$32, 'GEN-CARBON'!$D37:$BA37)*'Assumptions &amp; Inputs'!$I$4, 0)+IFERROR(_xlfn.XLOOKUP(AB$134, Load!$D$32:$BA$32, Load!$D37:$BA37)*'Assumptions &amp; Inputs'!$E$4, 0)+IFERROR(_xlfn.XLOOKUP(AB$134, Hydrogen!$D$32:$BA$32, Hydrogen!$D37:$BA37)*'Assumptions &amp; Inputs'!$J$4, 0)+IFERROR(_xlfn.XLOOKUP(AB$134, 'SENS Tires'!$D$32:$BA$32, 'SENS Tires'!$D37:$BA37)*'Assumptions &amp; Inputs'!$K$4, 0)+IFERROR(_xlfn.XLOOKUP(AB$134, 'SENS Coal'!$D$32:$BA$32, 'SENS Coal'!$D37:$BA37)*'Assumptions &amp; Inputs'!$L$4, 0)</f>
        <v>39.045000000000002</v>
      </c>
      <c r="AC139" s="208">
        <f>IFERROR(_xlfn.XLOOKUP(AC$134, 'Real Estate'!$D$25:$BA$25, 'Real Estate'!$D30:$BA30), 0)+IFERROR(_xlfn.XLOOKUP(AC$134, 'GEN-CCGT'!$D$32:$BA$32, 'GEN-CCGT'!$D37:$BA37)*'Assumptions &amp; Inputs'!$G$4, 0)+IFERROR(_xlfn.XLOOKUP(AC$134, 'GEN-SOLAR'!$D$32:$BA$32, 'GEN-SOLAR'!$D37:$BA37)*'Assumptions &amp; Inputs'!$H$4, 0)+IFERROR(_xlfn.XLOOKUP(AC$134, 'GEN-BESS'!$D$32:$BA$32, 'GEN-BESS'!$D37:$BA37)*'Assumptions &amp; Inputs'!$F$4, 0)+IFERROR(_xlfn.XLOOKUP(AC$134, 'GEN-CARBON'!$D$32:$BA$32, 'GEN-CARBON'!$D37:$BA37)*'Assumptions &amp; Inputs'!$I$4, 0)+IFERROR(_xlfn.XLOOKUP(AC$134, Load!$D$32:$BA$32, Load!$D37:$BA37)*'Assumptions &amp; Inputs'!$E$4, 0)+IFERROR(_xlfn.XLOOKUP(AC$134, Hydrogen!$D$32:$BA$32, Hydrogen!$D37:$BA37)*'Assumptions &amp; Inputs'!$J$4, 0)+IFERROR(_xlfn.XLOOKUP(AC$134, 'SENS Tires'!$D$32:$BA$32, 'SENS Tires'!$D37:$BA37)*'Assumptions &amp; Inputs'!$K$4, 0)+IFERROR(_xlfn.XLOOKUP(AC$134, 'SENS Coal'!$D$32:$BA$32, 'SENS Coal'!$D37:$BA37)*'Assumptions &amp; Inputs'!$L$4, 0)</f>
        <v>39.045000000000002</v>
      </c>
      <c r="AD139" s="208">
        <f>IFERROR(_xlfn.XLOOKUP(AD$134, 'Real Estate'!$D$25:$BA$25, 'Real Estate'!$D30:$BA30), 0)+IFERROR(_xlfn.XLOOKUP(AD$134, 'GEN-CCGT'!$D$32:$BA$32, 'GEN-CCGT'!$D37:$BA37)*'Assumptions &amp; Inputs'!$G$4, 0)+IFERROR(_xlfn.XLOOKUP(AD$134, 'GEN-SOLAR'!$D$32:$BA$32, 'GEN-SOLAR'!$D37:$BA37)*'Assumptions &amp; Inputs'!$H$4, 0)+IFERROR(_xlfn.XLOOKUP(AD$134, 'GEN-BESS'!$D$32:$BA$32, 'GEN-BESS'!$D37:$BA37)*'Assumptions &amp; Inputs'!$F$4, 0)+IFERROR(_xlfn.XLOOKUP(AD$134, 'GEN-CARBON'!$D$32:$BA$32, 'GEN-CARBON'!$D37:$BA37)*'Assumptions &amp; Inputs'!$I$4, 0)+IFERROR(_xlfn.XLOOKUP(AD$134, Load!$D$32:$BA$32, Load!$D37:$BA37)*'Assumptions &amp; Inputs'!$E$4, 0)+IFERROR(_xlfn.XLOOKUP(AD$134, Hydrogen!$D$32:$BA$32, Hydrogen!$D37:$BA37)*'Assumptions &amp; Inputs'!$J$4, 0)+IFERROR(_xlfn.XLOOKUP(AD$134, 'SENS Tires'!$D$32:$BA$32, 'SENS Tires'!$D37:$BA37)*'Assumptions &amp; Inputs'!$K$4, 0)+IFERROR(_xlfn.XLOOKUP(AD$134, 'SENS Coal'!$D$32:$BA$32, 'SENS Coal'!$D37:$BA37)*'Assumptions &amp; Inputs'!$L$4, 0)</f>
        <v>39.045000000000002</v>
      </c>
      <c r="AE139" s="208">
        <f>IFERROR(_xlfn.XLOOKUP(AE$134, 'Real Estate'!$D$25:$BA$25, 'Real Estate'!$D30:$BA30), 0)+IFERROR(_xlfn.XLOOKUP(AE$134, 'GEN-CCGT'!$D$32:$BA$32, 'GEN-CCGT'!$D37:$BA37)*'Assumptions &amp; Inputs'!$G$4, 0)+IFERROR(_xlfn.XLOOKUP(AE$134, 'GEN-SOLAR'!$D$32:$BA$32, 'GEN-SOLAR'!$D37:$BA37)*'Assumptions &amp; Inputs'!$H$4, 0)+IFERROR(_xlfn.XLOOKUP(AE$134, 'GEN-BESS'!$D$32:$BA$32, 'GEN-BESS'!$D37:$BA37)*'Assumptions &amp; Inputs'!$F$4, 0)+IFERROR(_xlfn.XLOOKUP(AE$134, 'GEN-CARBON'!$D$32:$BA$32, 'GEN-CARBON'!$D37:$BA37)*'Assumptions &amp; Inputs'!$I$4, 0)+IFERROR(_xlfn.XLOOKUP(AE$134, Load!$D$32:$BA$32, Load!$D37:$BA37)*'Assumptions &amp; Inputs'!$E$4, 0)+IFERROR(_xlfn.XLOOKUP(AE$134, Hydrogen!$D$32:$BA$32, Hydrogen!$D37:$BA37)*'Assumptions &amp; Inputs'!$J$4, 0)+IFERROR(_xlfn.XLOOKUP(AE$134, 'SENS Tires'!$D$32:$BA$32, 'SENS Tires'!$D37:$BA37)*'Assumptions &amp; Inputs'!$K$4, 0)+IFERROR(_xlfn.XLOOKUP(AE$134, 'SENS Coal'!$D$32:$BA$32, 'SENS Coal'!$D37:$BA37)*'Assumptions &amp; Inputs'!$L$4, 0)</f>
        <v>39.045000000000002</v>
      </c>
      <c r="AF139" s="208">
        <f>IFERROR(_xlfn.XLOOKUP(AF$134, 'Real Estate'!$D$25:$BA$25, 'Real Estate'!$D30:$BA30), 0)+IFERROR(_xlfn.XLOOKUP(AF$134, 'GEN-CCGT'!$D$32:$BA$32, 'GEN-CCGT'!$D37:$BA37)*'Assumptions &amp; Inputs'!$G$4, 0)+IFERROR(_xlfn.XLOOKUP(AF$134, 'GEN-SOLAR'!$D$32:$BA$32, 'GEN-SOLAR'!$D37:$BA37)*'Assumptions &amp; Inputs'!$H$4, 0)+IFERROR(_xlfn.XLOOKUP(AF$134, 'GEN-BESS'!$D$32:$BA$32, 'GEN-BESS'!$D37:$BA37)*'Assumptions &amp; Inputs'!$F$4, 0)+IFERROR(_xlfn.XLOOKUP(AF$134, 'GEN-CARBON'!$D$32:$BA$32, 'GEN-CARBON'!$D37:$BA37)*'Assumptions &amp; Inputs'!$I$4, 0)+IFERROR(_xlfn.XLOOKUP(AF$134, Load!$D$32:$BA$32, Load!$D37:$BA37)*'Assumptions &amp; Inputs'!$E$4, 0)+IFERROR(_xlfn.XLOOKUP(AF$134, Hydrogen!$D$32:$BA$32, Hydrogen!$D37:$BA37)*'Assumptions &amp; Inputs'!$J$4, 0)+IFERROR(_xlfn.XLOOKUP(AF$134, 'SENS Tires'!$D$32:$BA$32, 'SENS Tires'!$D37:$BA37)*'Assumptions &amp; Inputs'!$K$4, 0)+IFERROR(_xlfn.XLOOKUP(AF$134, 'SENS Coal'!$D$32:$BA$32, 'SENS Coal'!$D37:$BA37)*'Assumptions &amp; Inputs'!$L$4, 0)</f>
        <v>17.86</v>
      </c>
      <c r="AG139" s="208">
        <f>IFERROR(_xlfn.XLOOKUP(AG$134, 'Real Estate'!$D$25:$BA$25, 'Real Estate'!$D30:$BA30), 0)+IFERROR(_xlfn.XLOOKUP(AG$134, 'GEN-CCGT'!$D$32:$BA$32, 'GEN-CCGT'!$D37:$BA37)*'Assumptions &amp; Inputs'!$G$4, 0)+IFERROR(_xlfn.XLOOKUP(AG$134, 'GEN-SOLAR'!$D$32:$BA$32, 'GEN-SOLAR'!$D37:$BA37)*'Assumptions &amp; Inputs'!$H$4, 0)+IFERROR(_xlfn.XLOOKUP(AG$134, 'GEN-BESS'!$D$32:$BA$32, 'GEN-BESS'!$D37:$BA37)*'Assumptions &amp; Inputs'!$F$4, 0)+IFERROR(_xlfn.XLOOKUP(AG$134, 'GEN-CARBON'!$D$32:$BA$32, 'GEN-CARBON'!$D37:$BA37)*'Assumptions &amp; Inputs'!$I$4, 0)+IFERROR(_xlfn.XLOOKUP(AG$134, Load!$D$32:$BA$32, Load!$D37:$BA37)*'Assumptions &amp; Inputs'!$E$4, 0)+IFERROR(_xlfn.XLOOKUP(AG$134, Hydrogen!$D$32:$BA$32, Hydrogen!$D37:$BA37)*'Assumptions &amp; Inputs'!$J$4, 0)+IFERROR(_xlfn.XLOOKUP(AG$134, 'SENS Tires'!$D$32:$BA$32, 'SENS Tires'!$D37:$BA37)*'Assumptions &amp; Inputs'!$K$4, 0)+IFERROR(_xlfn.XLOOKUP(AG$134, 'SENS Coal'!$D$32:$BA$32, 'SENS Coal'!$D37:$BA37)*'Assumptions &amp; Inputs'!$L$4, 0)</f>
        <v>17.86</v>
      </c>
      <c r="AH139" s="208">
        <f>IFERROR(_xlfn.XLOOKUP(AH$134, 'Real Estate'!$D$25:$BA$25, 'Real Estate'!$D30:$BA30), 0)+IFERROR(_xlfn.XLOOKUP(AH$134, 'GEN-CCGT'!$D$32:$BA$32, 'GEN-CCGT'!$D37:$BA37)*'Assumptions &amp; Inputs'!$G$4, 0)+IFERROR(_xlfn.XLOOKUP(AH$134, 'GEN-SOLAR'!$D$32:$BA$32, 'GEN-SOLAR'!$D37:$BA37)*'Assumptions &amp; Inputs'!$H$4, 0)+IFERROR(_xlfn.XLOOKUP(AH$134, 'GEN-BESS'!$D$32:$BA$32, 'GEN-BESS'!$D37:$BA37)*'Assumptions &amp; Inputs'!$F$4, 0)+IFERROR(_xlfn.XLOOKUP(AH$134, 'GEN-CARBON'!$D$32:$BA$32, 'GEN-CARBON'!$D37:$BA37)*'Assumptions &amp; Inputs'!$I$4, 0)+IFERROR(_xlfn.XLOOKUP(AH$134, Load!$D$32:$BA$32, Load!$D37:$BA37)*'Assumptions &amp; Inputs'!$E$4, 0)+IFERROR(_xlfn.XLOOKUP(AH$134, Hydrogen!$D$32:$BA$32, Hydrogen!$D37:$BA37)*'Assumptions &amp; Inputs'!$J$4, 0)+IFERROR(_xlfn.XLOOKUP(AH$134, 'SENS Tires'!$D$32:$BA$32, 'SENS Tires'!$D37:$BA37)*'Assumptions &amp; Inputs'!$K$4, 0)+IFERROR(_xlfn.XLOOKUP(AH$134, 'SENS Coal'!$D$32:$BA$32, 'SENS Coal'!$D37:$BA37)*'Assumptions &amp; Inputs'!$L$4, 0)</f>
        <v>13.68</v>
      </c>
      <c r="AI139" s="208">
        <f>IFERROR(_xlfn.XLOOKUP(AI$134, 'Real Estate'!$D$25:$BA$25, 'Real Estate'!$D30:$BA30), 0)+IFERROR(_xlfn.XLOOKUP(AI$134, 'GEN-CCGT'!$D$32:$BA$32, 'GEN-CCGT'!$D37:$BA37)*'Assumptions &amp; Inputs'!$G$4, 0)+IFERROR(_xlfn.XLOOKUP(AI$134, 'GEN-SOLAR'!$D$32:$BA$32, 'GEN-SOLAR'!$D37:$BA37)*'Assumptions &amp; Inputs'!$H$4, 0)+IFERROR(_xlfn.XLOOKUP(AI$134, 'GEN-BESS'!$D$32:$BA$32, 'GEN-BESS'!$D37:$BA37)*'Assumptions &amp; Inputs'!$F$4, 0)+IFERROR(_xlfn.XLOOKUP(AI$134, 'GEN-CARBON'!$D$32:$BA$32, 'GEN-CARBON'!$D37:$BA37)*'Assumptions &amp; Inputs'!$I$4, 0)+IFERROR(_xlfn.XLOOKUP(AI$134, Load!$D$32:$BA$32, Load!$D37:$BA37)*'Assumptions &amp; Inputs'!$E$4, 0)+IFERROR(_xlfn.XLOOKUP(AI$134, Hydrogen!$D$32:$BA$32, Hydrogen!$D37:$BA37)*'Assumptions &amp; Inputs'!$J$4, 0)+IFERROR(_xlfn.XLOOKUP(AI$134, 'SENS Tires'!$D$32:$BA$32, 'SENS Tires'!$D37:$BA37)*'Assumptions &amp; Inputs'!$K$4, 0)+IFERROR(_xlfn.XLOOKUP(AI$134, 'SENS Coal'!$D$32:$BA$32, 'SENS Coal'!$D37:$BA37)*'Assumptions &amp; Inputs'!$L$4, 0)</f>
        <v>0</v>
      </c>
      <c r="AJ139" s="208">
        <f>IFERROR(_xlfn.XLOOKUP(AJ$134, 'Real Estate'!$D$25:$BA$25, 'Real Estate'!$D30:$BA30), 0)+IFERROR(_xlfn.XLOOKUP(AJ$134, 'GEN-CCGT'!$D$32:$BA$32, 'GEN-CCGT'!$D37:$BA37)*'Assumptions &amp; Inputs'!$G$4, 0)+IFERROR(_xlfn.XLOOKUP(AJ$134, 'GEN-SOLAR'!$D$32:$BA$32, 'GEN-SOLAR'!$D37:$BA37)*'Assumptions &amp; Inputs'!$H$4, 0)+IFERROR(_xlfn.XLOOKUP(AJ$134, 'GEN-BESS'!$D$32:$BA$32, 'GEN-BESS'!$D37:$BA37)*'Assumptions &amp; Inputs'!$F$4, 0)+IFERROR(_xlfn.XLOOKUP(AJ$134, 'GEN-CARBON'!$D$32:$BA$32, 'GEN-CARBON'!$D37:$BA37)*'Assumptions &amp; Inputs'!$I$4, 0)+IFERROR(_xlfn.XLOOKUP(AJ$134, Load!$D$32:$BA$32, Load!$D37:$BA37)*'Assumptions &amp; Inputs'!$E$4, 0)+IFERROR(_xlfn.XLOOKUP(AJ$134, Hydrogen!$D$32:$BA$32, Hydrogen!$D37:$BA37)*'Assumptions &amp; Inputs'!$J$4, 0)+IFERROR(_xlfn.XLOOKUP(AJ$134, 'SENS Tires'!$D$32:$BA$32, 'SENS Tires'!$D37:$BA37)*'Assumptions &amp; Inputs'!$K$4, 0)+IFERROR(_xlfn.XLOOKUP(AJ$134, 'SENS Coal'!$D$32:$BA$32, 'SENS Coal'!$D37:$BA37)*'Assumptions &amp; Inputs'!$L$4, 0)</f>
        <v>0</v>
      </c>
      <c r="AK139" s="208">
        <f>IFERROR(_xlfn.XLOOKUP(AK$134, 'Real Estate'!$D$25:$BA$25, 'Real Estate'!$D30:$BA30), 0)+IFERROR(_xlfn.XLOOKUP(AK$134, 'GEN-CCGT'!$D$32:$BA$32, 'GEN-CCGT'!$D37:$BA37)*'Assumptions &amp; Inputs'!$G$4, 0)+IFERROR(_xlfn.XLOOKUP(AK$134, 'GEN-SOLAR'!$D$32:$BA$32, 'GEN-SOLAR'!$D37:$BA37)*'Assumptions &amp; Inputs'!$H$4, 0)+IFERROR(_xlfn.XLOOKUP(AK$134, 'GEN-BESS'!$D$32:$BA$32, 'GEN-BESS'!$D37:$BA37)*'Assumptions &amp; Inputs'!$F$4, 0)+IFERROR(_xlfn.XLOOKUP(AK$134, 'GEN-CARBON'!$D$32:$BA$32, 'GEN-CARBON'!$D37:$BA37)*'Assumptions &amp; Inputs'!$I$4, 0)+IFERROR(_xlfn.XLOOKUP(AK$134, Load!$D$32:$BA$32, Load!$D37:$BA37)*'Assumptions &amp; Inputs'!$E$4, 0)+IFERROR(_xlfn.XLOOKUP(AK$134, Hydrogen!$D$32:$BA$32, Hydrogen!$D37:$BA37)*'Assumptions &amp; Inputs'!$J$4, 0)+IFERROR(_xlfn.XLOOKUP(AK$134, 'SENS Tires'!$D$32:$BA$32, 'SENS Tires'!$D37:$BA37)*'Assumptions &amp; Inputs'!$K$4, 0)+IFERROR(_xlfn.XLOOKUP(AK$134, 'SENS Coal'!$D$32:$BA$32, 'SENS Coal'!$D37:$BA37)*'Assumptions &amp; Inputs'!$L$4, 0)</f>
        <v>0</v>
      </c>
      <c r="AL139" s="208">
        <f>IFERROR(_xlfn.XLOOKUP(AL$134, 'Real Estate'!$D$25:$BA$25, 'Real Estate'!$D30:$BA30), 0)+IFERROR(_xlfn.XLOOKUP(AL$134, 'GEN-CCGT'!$D$32:$BA$32, 'GEN-CCGT'!$D37:$BA37)*'Assumptions &amp; Inputs'!$G$4, 0)+IFERROR(_xlfn.XLOOKUP(AL$134, 'GEN-SOLAR'!$D$32:$BA$32, 'GEN-SOLAR'!$D37:$BA37)*'Assumptions &amp; Inputs'!$H$4, 0)+IFERROR(_xlfn.XLOOKUP(AL$134, 'GEN-BESS'!$D$32:$BA$32, 'GEN-BESS'!$D37:$BA37)*'Assumptions &amp; Inputs'!$F$4, 0)+IFERROR(_xlfn.XLOOKUP(AL$134, 'GEN-CARBON'!$D$32:$BA$32, 'GEN-CARBON'!$D37:$BA37)*'Assumptions &amp; Inputs'!$I$4, 0)+IFERROR(_xlfn.XLOOKUP(AL$134, Load!$D$32:$BA$32, Load!$D37:$BA37)*'Assumptions &amp; Inputs'!$E$4, 0)+IFERROR(_xlfn.XLOOKUP(AL$134, Hydrogen!$D$32:$BA$32, Hydrogen!$D37:$BA37)*'Assumptions &amp; Inputs'!$J$4, 0)+IFERROR(_xlfn.XLOOKUP(AL$134, 'SENS Tires'!$D$32:$BA$32, 'SENS Tires'!$D37:$BA37)*'Assumptions &amp; Inputs'!$K$4, 0)+IFERROR(_xlfn.XLOOKUP(AL$134, 'SENS Coal'!$D$32:$BA$32, 'SENS Coal'!$D37:$BA37)*'Assumptions &amp; Inputs'!$L$4, 0)</f>
        <v>0</v>
      </c>
      <c r="AM139" s="208">
        <f>IFERROR(_xlfn.XLOOKUP(AM$134, 'Real Estate'!$D$25:$BA$25, 'Real Estate'!$D30:$BA30), 0)+IFERROR(_xlfn.XLOOKUP(AM$134, 'GEN-CCGT'!$D$32:$BA$32, 'GEN-CCGT'!$D37:$BA37)*'Assumptions &amp; Inputs'!$G$4, 0)+IFERROR(_xlfn.XLOOKUP(AM$134, 'GEN-SOLAR'!$D$32:$BA$32, 'GEN-SOLAR'!$D37:$BA37)*'Assumptions &amp; Inputs'!$H$4, 0)+IFERROR(_xlfn.XLOOKUP(AM$134, 'GEN-BESS'!$D$32:$BA$32, 'GEN-BESS'!$D37:$BA37)*'Assumptions &amp; Inputs'!$F$4, 0)+IFERROR(_xlfn.XLOOKUP(AM$134, 'GEN-CARBON'!$D$32:$BA$32, 'GEN-CARBON'!$D37:$BA37)*'Assumptions &amp; Inputs'!$I$4, 0)+IFERROR(_xlfn.XLOOKUP(AM$134, Load!$D$32:$BA$32, Load!$D37:$BA37)*'Assumptions &amp; Inputs'!$E$4, 0)+IFERROR(_xlfn.XLOOKUP(AM$134, Hydrogen!$D$32:$BA$32, Hydrogen!$D37:$BA37)*'Assumptions &amp; Inputs'!$J$4, 0)+IFERROR(_xlfn.XLOOKUP(AM$134, 'SENS Tires'!$D$32:$BA$32, 'SENS Tires'!$D37:$BA37)*'Assumptions &amp; Inputs'!$K$4, 0)+IFERROR(_xlfn.XLOOKUP(AM$134, 'SENS Coal'!$D$32:$BA$32, 'SENS Coal'!$D37:$BA37)*'Assumptions &amp; Inputs'!$L$4, 0)</f>
        <v>0</v>
      </c>
      <c r="AN139" s="208">
        <f>IFERROR(_xlfn.XLOOKUP(AN$134, 'Real Estate'!$D$25:$BA$25, 'Real Estate'!$D30:$BA30), 0)+IFERROR(_xlfn.XLOOKUP(AN$134, 'GEN-CCGT'!$D$32:$BA$32, 'GEN-CCGT'!$D37:$BA37)*'Assumptions &amp; Inputs'!$G$4, 0)+IFERROR(_xlfn.XLOOKUP(AN$134, 'GEN-SOLAR'!$D$32:$BA$32, 'GEN-SOLAR'!$D37:$BA37)*'Assumptions &amp; Inputs'!$H$4, 0)+IFERROR(_xlfn.XLOOKUP(AN$134, 'GEN-BESS'!$D$32:$BA$32, 'GEN-BESS'!$D37:$BA37)*'Assumptions &amp; Inputs'!$F$4, 0)+IFERROR(_xlfn.XLOOKUP(AN$134, 'GEN-CARBON'!$D$32:$BA$32, 'GEN-CARBON'!$D37:$BA37)*'Assumptions &amp; Inputs'!$I$4, 0)+IFERROR(_xlfn.XLOOKUP(AN$134, Load!$D$32:$BA$32, Load!$D37:$BA37)*'Assumptions &amp; Inputs'!$E$4, 0)+IFERROR(_xlfn.XLOOKUP(AN$134, Hydrogen!$D$32:$BA$32, Hydrogen!$D37:$BA37)*'Assumptions &amp; Inputs'!$J$4, 0)+IFERROR(_xlfn.XLOOKUP(AN$134, 'SENS Tires'!$D$32:$BA$32, 'SENS Tires'!$D37:$BA37)*'Assumptions &amp; Inputs'!$K$4, 0)+IFERROR(_xlfn.XLOOKUP(AN$134, 'SENS Coal'!$D$32:$BA$32, 'SENS Coal'!$D37:$BA37)*'Assumptions &amp; Inputs'!$L$4, 0)</f>
        <v>0</v>
      </c>
      <c r="AO139" s="208">
        <f>IFERROR(_xlfn.XLOOKUP(AO$134, 'Real Estate'!$D$25:$BA$25, 'Real Estate'!$D30:$BA30), 0)+IFERROR(_xlfn.XLOOKUP(AO$134, 'GEN-CCGT'!$D$32:$BA$32, 'GEN-CCGT'!$D37:$BA37)*'Assumptions &amp; Inputs'!$G$4, 0)+IFERROR(_xlfn.XLOOKUP(AO$134, 'GEN-SOLAR'!$D$32:$BA$32, 'GEN-SOLAR'!$D37:$BA37)*'Assumptions &amp; Inputs'!$H$4, 0)+IFERROR(_xlfn.XLOOKUP(AO$134, 'GEN-BESS'!$D$32:$BA$32, 'GEN-BESS'!$D37:$BA37)*'Assumptions &amp; Inputs'!$F$4, 0)+IFERROR(_xlfn.XLOOKUP(AO$134, 'GEN-CARBON'!$D$32:$BA$32, 'GEN-CARBON'!$D37:$BA37)*'Assumptions &amp; Inputs'!$I$4, 0)+IFERROR(_xlfn.XLOOKUP(AO$134, Load!$D$32:$BA$32, Load!$D37:$BA37)*'Assumptions &amp; Inputs'!$E$4, 0)+IFERROR(_xlfn.XLOOKUP(AO$134, Hydrogen!$D$32:$BA$32, Hydrogen!$D37:$BA37)*'Assumptions &amp; Inputs'!$J$4, 0)+IFERROR(_xlfn.XLOOKUP(AO$134, 'SENS Tires'!$D$32:$BA$32, 'SENS Tires'!$D37:$BA37)*'Assumptions &amp; Inputs'!$K$4, 0)+IFERROR(_xlfn.XLOOKUP(AO$134, 'SENS Coal'!$D$32:$BA$32, 'SENS Coal'!$D37:$BA37)*'Assumptions &amp; Inputs'!$L$4, 0)</f>
        <v>0</v>
      </c>
      <c r="AP139" s="208">
        <f>IFERROR(_xlfn.XLOOKUP(AP$134, 'Real Estate'!$D$25:$BA$25, 'Real Estate'!$D30:$BA30), 0)+IFERROR(_xlfn.XLOOKUP(AP$134, 'GEN-CCGT'!$D$32:$BA$32, 'GEN-CCGT'!$D37:$BA37)*'Assumptions &amp; Inputs'!$G$4, 0)+IFERROR(_xlfn.XLOOKUP(AP$134, 'GEN-SOLAR'!$D$32:$BA$32, 'GEN-SOLAR'!$D37:$BA37)*'Assumptions &amp; Inputs'!$H$4, 0)+IFERROR(_xlfn.XLOOKUP(AP$134, 'GEN-BESS'!$D$32:$BA$32, 'GEN-BESS'!$D37:$BA37)*'Assumptions &amp; Inputs'!$F$4, 0)+IFERROR(_xlfn.XLOOKUP(AP$134, 'GEN-CARBON'!$D$32:$BA$32, 'GEN-CARBON'!$D37:$BA37)*'Assumptions &amp; Inputs'!$I$4, 0)+IFERROR(_xlfn.XLOOKUP(AP$134, Load!$D$32:$BA$32, Load!$D37:$BA37)*'Assumptions &amp; Inputs'!$E$4, 0)+IFERROR(_xlfn.XLOOKUP(AP$134, Hydrogen!$D$32:$BA$32, Hydrogen!$D37:$BA37)*'Assumptions &amp; Inputs'!$J$4, 0)+IFERROR(_xlfn.XLOOKUP(AP$134, 'SENS Tires'!$D$32:$BA$32, 'SENS Tires'!$D37:$BA37)*'Assumptions &amp; Inputs'!$K$4, 0)+IFERROR(_xlfn.XLOOKUP(AP$134, 'SENS Coal'!$D$32:$BA$32, 'SENS Coal'!$D37:$BA37)*'Assumptions &amp; Inputs'!$L$4, 0)</f>
        <v>0</v>
      </c>
      <c r="AQ139" s="208">
        <f>IFERROR(_xlfn.XLOOKUP(AQ$134, 'Real Estate'!$D$25:$BA$25, 'Real Estate'!$D30:$BA30), 0)+IFERROR(_xlfn.XLOOKUP(AQ$134, 'GEN-CCGT'!$D$32:$BA$32, 'GEN-CCGT'!$D37:$BA37)*'Assumptions &amp; Inputs'!$G$4, 0)+IFERROR(_xlfn.XLOOKUP(AQ$134, 'GEN-SOLAR'!$D$32:$BA$32, 'GEN-SOLAR'!$D37:$BA37)*'Assumptions &amp; Inputs'!$H$4, 0)+IFERROR(_xlfn.XLOOKUP(AQ$134, 'GEN-BESS'!$D$32:$BA$32, 'GEN-BESS'!$D37:$BA37)*'Assumptions &amp; Inputs'!$F$4, 0)+IFERROR(_xlfn.XLOOKUP(AQ$134, 'GEN-CARBON'!$D$32:$BA$32, 'GEN-CARBON'!$D37:$BA37)*'Assumptions &amp; Inputs'!$I$4, 0)+IFERROR(_xlfn.XLOOKUP(AQ$134, Load!$D$32:$BA$32, Load!$D37:$BA37)*'Assumptions &amp; Inputs'!$E$4, 0)+IFERROR(_xlfn.XLOOKUP(AQ$134, Hydrogen!$D$32:$BA$32, Hydrogen!$D37:$BA37)*'Assumptions &amp; Inputs'!$J$4, 0)+IFERROR(_xlfn.XLOOKUP(AQ$134, 'SENS Tires'!$D$32:$BA$32, 'SENS Tires'!$D37:$BA37)*'Assumptions &amp; Inputs'!$K$4, 0)+IFERROR(_xlfn.XLOOKUP(AQ$134, 'SENS Coal'!$D$32:$BA$32, 'SENS Coal'!$D37:$BA37)*'Assumptions &amp; Inputs'!$L$4, 0)</f>
        <v>0</v>
      </c>
      <c r="AR139" s="208">
        <f>IFERROR(_xlfn.XLOOKUP(AR$134, 'Real Estate'!$D$25:$BA$25, 'Real Estate'!$D30:$BA30), 0)+IFERROR(_xlfn.XLOOKUP(AR$134, 'GEN-CCGT'!$D$32:$BA$32, 'GEN-CCGT'!$D37:$BA37)*'Assumptions &amp; Inputs'!$G$4, 0)+IFERROR(_xlfn.XLOOKUP(AR$134, 'GEN-SOLAR'!$D$32:$BA$32, 'GEN-SOLAR'!$D37:$BA37)*'Assumptions &amp; Inputs'!$H$4, 0)+IFERROR(_xlfn.XLOOKUP(AR$134, 'GEN-BESS'!$D$32:$BA$32, 'GEN-BESS'!$D37:$BA37)*'Assumptions &amp; Inputs'!$F$4, 0)+IFERROR(_xlfn.XLOOKUP(AR$134, 'GEN-CARBON'!$D$32:$BA$32, 'GEN-CARBON'!$D37:$BA37)*'Assumptions &amp; Inputs'!$I$4, 0)+IFERROR(_xlfn.XLOOKUP(AR$134, Load!$D$32:$BA$32, Load!$D37:$BA37)*'Assumptions &amp; Inputs'!$E$4, 0)+IFERROR(_xlfn.XLOOKUP(AR$134, Hydrogen!$D$32:$BA$32, Hydrogen!$D37:$BA37)*'Assumptions &amp; Inputs'!$J$4, 0)+IFERROR(_xlfn.XLOOKUP(AR$134, 'SENS Tires'!$D$32:$BA$32, 'SENS Tires'!$D37:$BA37)*'Assumptions &amp; Inputs'!$K$4, 0)+IFERROR(_xlfn.XLOOKUP(AR$134, 'SENS Coal'!$D$32:$BA$32, 'SENS Coal'!$D37:$BA37)*'Assumptions &amp; Inputs'!$L$4, 0)</f>
        <v>0</v>
      </c>
      <c r="AS139" s="208">
        <f>IFERROR(_xlfn.XLOOKUP(AS$134, 'Real Estate'!$D$25:$BA$25, 'Real Estate'!$D30:$BA30), 0)+IFERROR(_xlfn.XLOOKUP(AS$134, 'GEN-CCGT'!$D$32:$BA$32, 'GEN-CCGT'!$D37:$BA37)*'Assumptions &amp; Inputs'!$G$4, 0)+IFERROR(_xlfn.XLOOKUP(AS$134, 'GEN-SOLAR'!$D$32:$BA$32, 'GEN-SOLAR'!$D37:$BA37)*'Assumptions &amp; Inputs'!$H$4, 0)+IFERROR(_xlfn.XLOOKUP(AS$134, 'GEN-BESS'!$D$32:$BA$32, 'GEN-BESS'!$D37:$BA37)*'Assumptions &amp; Inputs'!$F$4, 0)+IFERROR(_xlfn.XLOOKUP(AS$134, 'GEN-CARBON'!$D$32:$BA$32, 'GEN-CARBON'!$D37:$BA37)*'Assumptions &amp; Inputs'!$I$4, 0)+IFERROR(_xlfn.XLOOKUP(AS$134, Load!$D$32:$BA$32, Load!$D37:$BA37)*'Assumptions &amp; Inputs'!$E$4, 0)+IFERROR(_xlfn.XLOOKUP(AS$134, Hydrogen!$D$32:$BA$32, Hydrogen!$D37:$BA37)*'Assumptions &amp; Inputs'!$J$4, 0)+IFERROR(_xlfn.XLOOKUP(AS$134, 'SENS Tires'!$D$32:$BA$32, 'SENS Tires'!$D37:$BA37)*'Assumptions &amp; Inputs'!$K$4, 0)+IFERROR(_xlfn.XLOOKUP(AS$134, 'SENS Coal'!$D$32:$BA$32, 'SENS Coal'!$D37:$BA37)*'Assumptions &amp; Inputs'!$L$4, 0)</f>
        <v>0</v>
      </c>
      <c r="AT139" s="208">
        <f>IFERROR(_xlfn.XLOOKUP(AT$134, 'Real Estate'!$D$25:$BA$25, 'Real Estate'!$D30:$BA30), 0)+IFERROR(_xlfn.XLOOKUP(AT$134, 'GEN-CCGT'!$D$32:$BA$32, 'GEN-CCGT'!$D37:$BA37)*'Assumptions &amp; Inputs'!$G$4, 0)+IFERROR(_xlfn.XLOOKUP(AT$134, 'GEN-SOLAR'!$D$32:$BA$32, 'GEN-SOLAR'!$D37:$BA37)*'Assumptions &amp; Inputs'!$H$4, 0)+IFERROR(_xlfn.XLOOKUP(AT$134, 'GEN-BESS'!$D$32:$BA$32, 'GEN-BESS'!$D37:$BA37)*'Assumptions &amp; Inputs'!$F$4, 0)+IFERROR(_xlfn.XLOOKUP(AT$134, 'GEN-CARBON'!$D$32:$BA$32, 'GEN-CARBON'!$D37:$BA37)*'Assumptions &amp; Inputs'!$I$4, 0)+IFERROR(_xlfn.XLOOKUP(AT$134, Load!$D$32:$BA$32, Load!$D37:$BA37)*'Assumptions &amp; Inputs'!$E$4, 0)+IFERROR(_xlfn.XLOOKUP(AT$134, Hydrogen!$D$32:$BA$32, Hydrogen!$D37:$BA37)*'Assumptions &amp; Inputs'!$J$4, 0)+IFERROR(_xlfn.XLOOKUP(AT$134, 'SENS Tires'!$D$32:$BA$32, 'SENS Tires'!$D37:$BA37)*'Assumptions &amp; Inputs'!$K$4, 0)+IFERROR(_xlfn.XLOOKUP(AT$134, 'SENS Coal'!$D$32:$BA$32, 'SENS Coal'!$D37:$BA37)*'Assumptions &amp; Inputs'!$L$4, 0)</f>
        <v>0</v>
      </c>
      <c r="AU139" s="208">
        <f>IFERROR(_xlfn.XLOOKUP(AU$134, 'Real Estate'!$D$25:$BA$25, 'Real Estate'!$D30:$BA30), 0)+IFERROR(_xlfn.XLOOKUP(AU$134, 'GEN-CCGT'!$D$32:$BA$32, 'GEN-CCGT'!$D37:$BA37)*'Assumptions &amp; Inputs'!$G$4, 0)+IFERROR(_xlfn.XLOOKUP(AU$134, 'GEN-SOLAR'!$D$32:$BA$32, 'GEN-SOLAR'!$D37:$BA37)*'Assumptions &amp; Inputs'!$H$4, 0)+IFERROR(_xlfn.XLOOKUP(AU$134, 'GEN-BESS'!$D$32:$BA$32, 'GEN-BESS'!$D37:$BA37)*'Assumptions &amp; Inputs'!$F$4, 0)+IFERROR(_xlfn.XLOOKUP(AU$134, 'GEN-CARBON'!$D$32:$BA$32, 'GEN-CARBON'!$D37:$BA37)*'Assumptions &amp; Inputs'!$I$4, 0)+IFERROR(_xlfn.XLOOKUP(AU$134, Load!$D$32:$BA$32, Load!$D37:$BA37)*'Assumptions &amp; Inputs'!$E$4, 0)+IFERROR(_xlfn.XLOOKUP(AU$134, Hydrogen!$D$32:$BA$32, Hydrogen!$D37:$BA37)*'Assumptions &amp; Inputs'!$J$4, 0)+IFERROR(_xlfn.XLOOKUP(AU$134, 'SENS Tires'!$D$32:$BA$32, 'SENS Tires'!$D37:$BA37)*'Assumptions &amp; Inputs'!$K$4, 0)+IFERROR(_xlfn.XLOOKUP(AU$134, 'SENS Coal'!$D$32:$BA$32, 'SENS Coal'!$D37:$BA37)*'Assumptions &amp; Inputs'!$L$4, 0)</f>
        <v>0</v>
      </c>
      <c r="AV139" s="208">
        <f>IFERROR(_xlfn.XLOOKUP(AV$134, 'Real Estate'!$D$25:$BA$25, 'Real Estate'!$D30:$BA30), 0)+IFERROR(_xlfn.XLOOKUP(AV$134, 'GEN-CCGT'!$D$32:$BA$32, 'GEN-CCGT'!$D37:$BA37)*'Assumptions &amp; Inputs'!$G$4, 0)+IFERROR(_xlfn.XLOOKUP(AV$134, 'GEN-SOLAR'!$D$32:$BA$32, 'GEN-SOLAR'!$D37:$BA37)*'Assumptions &amp; Inputs'!$H$4, 0)+IFERROR(_xlfn.XLOOKUP(AV$134, 'GEN-BESS'!$D$32:$BA$32, 'GEN-BESS'!$D37:$BA37)*'Assumptions &amp; Inputs'!$F$4, 0)+IFERROR(_xlfn.XLOOKUP(AV$134, 'GEN-CARBON'!$D$32:$BA$32, 'GEN-CARBON'!$D37:$BA37)*'Assumptions &amp; Inputs'!$I$4, 0)+IFERROR(_xlfn.XLOOKUP(AV$134, Load!$D$32:$BA$32, Load!$D37:$BA37)*'Assumptions &amp; Inputs'!$E$4, 0)+IFERROR(_xlfn.XLOOKUP(AV$134, Hydrogen!$D$32:$BA$32, Hydrogen!$D37:$BA37)*'Assumptions &amp; Inputs'!$J$4, 0)+IFERROR(_xlfn.XLOOKUP(AV$134, 'SENS Tires'!$D$32:$BA$32, 'SENS Tires'!$D37:$BA37)*'Assumptions &amp; Inputs'!$K$4, 0)+IFERROR(_xlfn.XLOOKUP(AV$134, 'SENS Coal'!$D$32:$BA$32, 'SENS Coal'!$D37:$BA37)*'Assumptions &amp; Inputs'!$L$4, 0)</f>
        <v>0</v>
      </c>
      <c r="AW139" s="208">
        <f>IFERROR(_xlfn.XLOOKUP(AW$134, 'Real Estate'!$D$25:$BA$25, 'Real Estate'!$D30:$BA30), 0)+IFERROR(_xlfn.XLOOKUP(AW$134, 'GEN-CCGT'!$D$32:$BA$32, 'GEN-CCGT'!$D37:$BA37)*'Assumptions &amp; Inputs'!$G$4, 0)+IFERROR(_xlfn.XLOOKUP(AW$134, 'GEN-SOLAR'!$D$32:$BA$32, 'GEN-SOLAR'!$D37:$BA37)*'Assumptions &amp; Inputs'!$H$4, 0)+IFERROR(_xlfn.XLOOKUP(AW$134, 'GEN-BESS'!$D$32:$BA$32, 'GEN-BESS'!$D37:$BA37)*'Assumptions &amp; Inputs'!$F$4, 0)+IFERROR(_xlfn.XLOOKUP(AW$134, 'GEN-CARBON'!$D$32:$BA$32, 'GEN-CARBON'!$D37:$BA37)*'Assumptions &amp; Inputs'!$I$4, 0)+IFERROR(_xlfn.XLOOKUP(AW$134, Load!$D$32:$BA$32, Load!$D37:$BA37)*'Assumptions &amp; Inputs'!$E$4, 0)+IFERROR(_xlfn.XLOOKUP(AW$134, Hydrogen!$D$32:$BA$32, Hydrogen!$D37:$BA37)*'Assumptions &amp; Inputs'!$J$4, 0)+IFERROR(_xlfn.XLOOKUP(AW$134, 'SENS Tires'!$D$32:$BA$32, 'SENS Tires'!$D37:$BA37)*'Assumptions &amp; Inputs'!$K$4, 0)+IFERROR(_xlfn.XLOOKUP(AW$134, 'SENS Coal'!$D$32:$BA$32, 'SENS Coal'!$D37:$BA37)*'Assumptions &amp; Inputs'!$L$4, 0)</f>
        <v>0</v>
      </c>
      <c r="AX139" s="208">
        <f>IFERROR(_xlfn.XLOOKUP(AX$134, 'Real Estate'!$D$25:$BA$25, 'Real Estate'!$D30:$BA30), 0)+IFERROR(_xlfn.XLOOKUP(AX$134, 'GEN-CCGT'!$D$32:$BA$32, 'GEN-CCGT'!$D37:$BA37)*'Assumptions &amp; Inputs'!$G$4, 0)+IFERROR(_xlfn.XLOOKUP(AX$134, 'GEN-SOLAR'!$D$32:$BA$32, 'GEN-SOLAR'!$D37:$BA37)*'Assumptions &amp; Inputs'!$H$4, 0)+IFERROR(_xlfn.XLOOKUP(AX$134, 'GEN-BESS'!$D$32:$BA$32, 'GEN-BESS'!$D37:$BA37)*'Assumptions &amp; Inputs'!$F$4, 0)+IFERROR(_xlfn.XLOOKUP(AX$134, 'GEN-CARBON'!$D$32:$BA$32, 'GEN-CARBON'!$D37:$BA37)*'Assumptions &amp; Inputs'!$I$4, 0)+IFERROR(_xlfn.XLOOKUP(AX$134, Load!$D$32:$BA$32, Load!$D37:$BA37)*'Assumptions &amp; Inputs'!$E$4, 0)+IFERROR(_xlfn.XLOOKUP(AX$134, Hydrogen!$D$32:$BA$32, Hydrogen!$D37:$BA37)*'Assumptions &amp; Inputs'!$J$4, 0)+IFERROR(_xlfn.XLOOKUP(AX$134, 'SENS Tires'!$D$32:$BA$32, 'SENS Tires'!$D37:$BA37)*'Assumptions &amp; Inputs'!$K$4, 0)+IFERROR(_xlfn.XLOOKUP(AX$134, 'SENS Coal'!$D$32:$BA$32, 'SENS Coal'!$D37:$BA37)*'Assumptions &amp; Inputs'!$L$4, 0)</f>
        <v>0</v>
      </c>
    </row>
    <row r="140" spans="1:50" ht="14.25" customHeight="1">
      <c r="A140" s="1"/>
      <c r="B140" s="84"/>
      <c r="C140" s="481" t="s">
        <v>406</v>
      </c>
      <c r="D140" s="482"/>
      <c r="E140" s="213">
        <f t="shared" ref="E140" si="27">E22</f>
        <v>-632.58611111111111</v>
      </c>
      <c r="F140" s="213">
        <f t="shared" ref="F140:AX140" si="28">F22</f>
        <v>-215.29166666666666</v>
      </c>
      <c r="G140" s="213">
        <f t="shared" si="28"/>
        <v>-126.66666666666666</v>
      </c>
      <c r="H140" s="213">
        <f t="shared" si="28"/>
        <v>-93.055555555555557</v>
      </c>
      <c r="I140" s="213">
        <f t="shared" si="28"/>
        <v>-7.5</v>
      </c>
      <c r="J140" s="213">
        <f t="shared" si="28"/>
        <v>0</v>
      </c>
      <c r="K140" s="213">
        <f t="shared" si="28"/>
        <v>0</v>
      </c>
      <c r="L140" s="213">
        <f t="shared" si="28"/>
        <v>0</v>
      </c>
      <c r="M140" s="213">
        <f t="shared" si="28"/>
        <v>0</v>
      </c>
      <c r="N140" s="213">
        <f t="shared" si="28"/>
        <v>0</v>
      </c>
      <c r="O140" s="213">
        <f t="shared" si="28"/>
        <v>0</v>
      </c>
      <c r="P140" s="213">
        <f t="shared" si="28"/>
        <v>0</v>
      </c>
      <c r="Q140" s="213">
        <f t="shared" si="28"/>
        <v>0</v>
      </c>
      <c r="R140" s="213">
        <f t="shared" si="28"/>
        <v>0</v>
      </c>
      <c r="S140" s="213">
        <f t="shared" si="28"/>
        <v>0</v>
      </c>
      <c r="T140" s="213">
        <f t="shared" si="28"/>
        <v>0</v>
      </c>
      <c r="U140" s="213">
        <f t="shared" si="28"/>
        <v>0</v>
      </c>
      <c r="V140" s="213">
        <f t="shared" si="28"/>
        <v>0</v>
      </c>
      <c r="W140" s="213">
        <f t="shared" si="28"/>
        <v>0</v>
      </c>
      <c r="X140" s="213">
        <f t="shared" si="28"/>
        <v>0</v>
      </c>
      <c r="Y140" s="213">
        <f t="shared" si="28"/>
        <v>0</v>
      </c>
      <c r="Z140" s="213">
        <f t="shared" si="28"/>
        <v>0</v>
      </c>
      <c r="AA140" s="213">
        <f t="shared" si="28"/>
        <v>0</v>
      </c>
      <c r="AB140" s="213">
        <f t="shared" si="28"/>
        <v>0</v>
      </c>
      <c r="AC140" s="213">
        <f t="shared" si="28"/>
        <v>0</v>
      </c>
      <c r="AD140" s="213">
        <f t="shared" si="28"/>
        <v>0</v>
      </c>
      <c r="AE140" s="213">
        <f t="shared" si="28"/>
        <v>0</v>
      </c>
      <c r="AF140" s="213">
        <f t="shared" si="28"/>
        <v>0</v>
      </c>
      <c r="AG140" s="213">
        <f t="shared" si="28"/>
        <v>0</v>
      </c>
      <c r="AH140" s="213">
        <f t="shared" si="28"/>
        <v>0</v>
      </c>
      <c r="AI140" s="213">
        <f t="shared" si="28"/>
        <v>0</v>
      </c>
      <c r="AJ140" s="213">
        <f t="shared" si="28"/>
        <v>0</v>
      </c>
      <c r="AK140" s="213">
        <f t="shared" si="28"/>
        <v>0</v>
      </c>
      <c r="AL140" s="213">
        <f t="shared" si="28"/>
        <v>0</v>
      </c>
      <c r="AM140" s="213">
        <f t="shared" si="28"/>
        <v>0</v>
      </c>
      <c r="AN140" s="213">
        <f t="shared" si="28"/>
        <v>0</v>
      </c>
      <c r="AO140" s="213">
        <f t="shared" si="28"/>
        <v>0</v>
      </c>
      <c r="AP140" s="213">
        <f t="shared" si="28"/>
        <v>0</v>
      </c>
      <c r="AQ140" s="213">
        <f t="shared" si="28"/>
        <v>0</v>
      </c>
      <c r="AR140" s="213">
        <f t="shared" si="28"/>
        <v>0</v>
      </c>
      <c r="AS140" s="213">
        <f t="shared" si="28"/>
        <v>0</v>
      </c>
      <c r="AT140" s="213">
        <f t="shared" si="28"/>
        <v>0</v>
      </c>
      <c r="AU140" s="213">
        <f t="shared" si="28"/>
        <v>0</v>
      </c>
      <c r="AV140" s="213">
        <f t="shared" si="28"/>
        <v>0</v>
      </c>
      <c r="AW140" s="213">
        <f t="shared" si="28"/>
        <v>0</v>
      </c>
      <c r="AX140" s="213">
        <f t="shared" si="28"/>
        <v>0</v>
      </c>
    </row>
    <row r="141" spans="1:50" ht="14.25" customHeight="1">
      <c r="A141" s="1"/>
      <c r="B141" s="84"/>
      <c r="C141" s="481" t="s">
        <v>407</v>
      </c>
      <c r="D141" s="482"/>
      <c r="E141" s="159">
        <f>IFERROR(_xlfn.XLOOKUP(E$134, 'Real Estate'!$D$25:$BA$25, 'Real Estate'!$D32:$BA32), 0)+IFERROR(_xlfn.XLOOKUP(E$134, 'GEN-CCGT'!$D$32:$BA$32, 'GEN-CCGT'!$D39:$BA39), 0)+IFERROR(_xlfn.XLOOKUP(E$134, 'GEN-SOLAR'!$D$32:$BA$32, 'GEN-SOLAR'!$D39:$BA39), 0)+IFERROR(_xlfn.XLOOKUP(E$134, 'GEN-BESS'!$D$32:$BA$32, 'GEN-BESS'!$D39:$BA39), 0)+IFERROR(_xlfn.XLOOKUP(E$134, 'GEN-CARBON'!$D$32:$BA$32, 'GEN-CARBON'!$D39:$BA39), 0)+IFERROR(_xlfn.XLOOKUP(E$134, Load!$D$32:$BA$32, Load!$D39:$BA39), 0)+IFERROR(_xlfn.XLOOKUP(E$134, Hydrogen!$D$32:$BA$32, Hydrogen!$D39:$BA39), 0)+IFERROR(_xlfn.XLOOKUP(E$134, 'SENS Tires'!$D$32:$BA$32, 'SENS Tires'!$D39:$BA39), 0)+IFERROR(_xlfn.XLOOKUP(E$134, 'SENS Coal'!$D$32:$BA$32, 'SENS Coal'!$D39:$BA39), 0)</f>
        <v>0</v>
      </c>
      <c r="F141" s="159">
        <f>IFERROR(_xlfn.XLOOKUP(F$134, 'Real Estate'!$D$25:$BA$25, 'Real Estate'!$D32:$BA32), 0)+IFERROR(_xlfn.XLOOKUP(F$134, 'GEN-CCGT'!$D$32:$BA$32, 'GEN-CCGT'!$D39:$BA39), 0)+IFERROR(_xlfn.XLOOKUP(F$134, 'GEN-SOLAR'!$D$32:$BA$32, 'GEN-SOLAR'!$D39:$BA39), 0)+IFERROR(_xlfn.XLOOKUP(F$134, 'GEN-BESS'!$D$32:$BA$32, 'GEN-BESS'!$D39:$BA39), 0)+IFERROR(_xlfn.XLOOKUP(F$134, 'GEN-CARBON'!$D$32:$BA$32, 'GEN-CARBON'!$D39:$BA39), 0)+IFERROR(_xlfn.XLOOKUP(F$134, Load!$D$32:$BA$32, Load!$D39:$BA39), 0)+IFERROR(_xlfn.XLOOKUP(F$134, Hydrogen!$D$32:$BA$32, Hydrogen!$D39:$BA39), 0)+IFERROR(_xlfn.XLOOKUP(F$134, 'SENS Tires'!$D$32:$BA$32, 'SENS Tires'!$D39:$BA39), 0)+IFERROR(_xlfn.XLOOKUP(F$134, 'SENS Coal'!$D$32:$BA$32, 'SENS Coal'!$D39:$BA39), 0)</f>
        <v>0</v>
      </c>
      <c r="G141" s="159">
        <f>IFERROR(_xlfn.XLOOKUP(G$134, 'Real Estate'!$D$25:$BA$25, 'Real Estate'!$D32:$BA32), 0)+IFERROR(_xlfn.XLOOKUP(G$134, 'GEN-CCGT'!$D$32:$BA$32, 'GEN-CCGT'!$D39:$BA39), 0)+IFERROR(_xlfn.XLOOKUP(G$134, 'GEN-SOLAR'!$D$32:$BA$32, 'GEN-SOLAR'!$D39:$BA39), 0)+IFERROR(_xlfn.XLOOKUP(G$134, 'GEN-BESS'!$D$32:$BA$32, 'GEN-BESS'!$D39:$BA39), 0)+IFERROR(_xlfn.XLOOKUP(G$134, 'GEN-CARBON'!$D$32:$BA$32, 'GEN-CARBON'!$D39:$BA39), 0)+IFERROR(_xlfn.XLOOKUP(G$134, Load!$D$32:$BA$32, Load!$D39:$BA39), 0)+IFERROR(_xlfn.XLOOKUP(G$134, Hydrogen!$D$32:$BA$32, Hydrogen!$D39:$BA39), 0)+IFERROR(_xlfn.XLOOKUP(G$134, 'SENS Tires'!$D$32:$BA$32, 'SENS Tires'!$D39:$BA39), 0)+IFERROR(_xlfn.XLOOKUP(G$134, 'SENS Coal'!$D$32:$BA$32, 'SENS Coal'!$D39:$BA39), 0)</f>
        <v>0</v>
      </c>
      <c r="H141" s="159">
        <f>IFERROR(_xlfn.XLOOKUP(H$134, 'Real Estate'!$D$25:$BA$25, 'Real Estate'!$D32:$BA32), 0)+IFERROR(_xlfn.XLOOKUP(H$134, 'GEN-CCGT'!$D$32:$BA$32, 'GEN-CCGT'!$D39:$BA39), 0)+IFERROR(_xlfn.XLOOKUP(H$134, 'GEN-SOLAR'!$D$32:$BA$32, 'GEN-SOLAR'!$D39:$BA39), 0)+IFERROR(_xlfn.XLOOKUP(H$134, 'GEN-BESS'!$D$32:$BA$32, 'GEN-BESS'!$D39:$BA39), 0)+IFERROR(_xlfn.XLOOKUP(H$134, 'GEN-CARBON'!$D$32:$BA$32, 'GEN-CARBON'!$D39:$BA39), 0)+IFERROR(_xlfn.XLOOKUP(H$134, Load!$D$32:$BA$32, Load!$D39:$BA39), 0)+IFERROR(_xlfn.XLOOKUP(H$134, Hydrogen!$D$32:$BA$32, Hydrogen!$D39:$BA39), 0)+IFERROR(_xlfn.XLOOKUP(H$134, 'SENS Tires'!$D$32:$BA$32, 'SENS Tires'!$D39:$BA39), 0)+IFERROR(_xlfn.XLOOKUP(H$134, 'SENS Coal'!$D$32:$BA$32, 'SENS Coal'!$D39:$BA39), 0)</f>
        <v>0</v>
      </c>
      <c r="I141" s="159">
        <f>IFERROR(_xlfn.XLOOKUP(I$134, 'Real Estate'!$D$25:$BA$25, 'Real Estate'!$D32:$BA32), 0)+IFERROR(_xlfn.XLOOKUP(I$134, 'GEN-CCGT'!$D$32:$BA$32, 'GEN-CCGT'!$D39:$BA39), 0)+IFERROR(_xlfn.XLOOKUP(I$134, 'GEN-SOLAR'!$D$32:$BA$32, 'GEN-SOLAR'!$D39:$BA39), 0)+IFERROR(_xlfn.XLOOKUP(I$134, 'GEN-BESS'!$D$32:$BA$32, 'GEN-BESS'!$D39:$BA39), 0)+IFERROR(_xlfn.XLOOKUP(I$134, 'GEN-CARBON'!$D$32:$BA$32, 'GEN-CARBON'!$D39:$BA39), 0)+IFERROR(_xlfn.XLOOKUP(I$134, Load!$D$32:$BA$32, Load!$D39:$BA39), 0)+IFERROR(_xlfn.XLOOKUP(I$134, Hydrogen!$D$32:$BA$32, Hydrogen!$D39:$BA39), 0)+IFERROR(_xlfn.XLOOKUP(I$134, 'SENS Tires'!$D$32:$BA$32, 'SENS Tires'!$D39:$BA39), 0)+IFERROR(_xlfn.XLOOKUP(I$134, 'SENS Coal'!$D$32:$BA$32, 'SENS Coal'!$D39:$BA39), 0)</f>
        <v>0</v>
      </c>
      <c r="J141" s="159">
        <f>IFERROR(_xlfn.XLOOKUP(J$134, 'Real Estate'!$D$25:$BA$25, 'Real Estate'!$D32:$BA32), 0)+IFERROR(_xlfn.XLOOKUP(J$134, 'GEN-CCGT'!$D$32:$BA$32, 'GEN-CCGT'!$D39:$BA39), 0)+IFERROR(_xlfn.XLOOKUP(J$134, 'GEN-SOLAR'!$D$32:$BA$32, 'GEN-SOLAR'!$D39:$BA39), 0)+IFERROR(_xlfn.XLOOKUP(J$134, 'GEN-BESS'!$D$32:$BA$32, 'GEN-BESS'!$D39:$BA39), 0)+IFERROR(_xlfn.XLOOKUP(J$134, 'GEN-CARBON'!$D$32:$BA$32, 'GEN-CARBON'!$D39:$BA39), 0)+IFERROR(_xlfn.XLOOKUP(J$134, Load!$D$32:$BA$32, Load!$D39:$BA39), 0)+IFERROR(_xlfn.XLOOKUP(J$134, Hydrogen!$D$32:$BA$32, Hydrogen!$D39:$BA39), 0)+IFERROR(_xlfn.XLOOKUP(J$134, 'SENS Tires'!$D$32:$BA$32, 'SENS Tires'!$D39:$BA39), 0)+IFERROR(_xlfn.XLOOKUP(J$134, 'SENS Coal'!$D$32:$BA$32, 'SENS Coal'!$D39:$BA39), 0)</f>
        <v>0</v>
      </c>
      <c r="K141" s="159">
        <f>IFERROR(_xlfn.XLOOKUP(K$134, 'Real Estate'!$D$25:$BA$25, 'Real Estate'!$D32:$BA32), 0)+IFERROR(_xlfn.XLOOKUP(K$134, 'GEN-CCGT'!$D$32:$BA$32, 'GEN-CCGT'!$D39:$BA39), 0)+IFERROR(_xlfn.XLOOKUP(K$134, 'GEN-SOLAR'!$D$32:$BA$32, 'GEN-SOLAR'!$D39:$BA39), 0)+IFERROR(_xlfn.XLOOKUP(K$134, 'GEN-BESS'!$D$32:$BA$32, 'GEN-BESS'!$D39:$BA39), 0)+IFERROR(_xlfn.XLOOKUP(K$134, 'GEN-CARBON'!$D$32:$BA$32, 'GEN-CARBON'!$D39:$BA39), 0)+IFERROR(_xlfn.XLOOKUP(K$134, Load!$D$32:$BA$32, Load!$D39:$BA39), 0)+IFERROR(_xlfn.XLOOKUP(K$134, Hydrogen!$D$32:$BA$32, Hydrogen!$D39:$BA39), 0)+IFERROR(_xlfn.XLOOKUP(K$134, 'SENS Tires'!$D$32:$BA$32, 'SENS Tires'!$D39:$BA39), 0)+IFERROR(_xlfn.XLOOKUP(K$134, 'SENS Coal'!$D$32:$BA$32, 'SENS Coal'!$D39:$BA39), 0)</f>
        <v>0</v>
      </c>
      <c r="L141" s="159">
        <f>IFERROR(_xlfn.XLOOKUP(L$134, 'Real Estate'!$D$25:$BA$25, 'Real Estate'!$D32:$BA32), 0)+IFERROR(_xlfn.XLOOKUP(L$134, 'GEN-CCGT'!$D$32:$BA$32, 'GEN-CCGT'!$D39:$BA39), 0)+IFERROR(_xlfn.XLOOKUP(L$134, 'GEN-SOLAR'!$D$32:$BA$32, 'GEN-SOLAR'!$D39:$BA39), 0)+IFERROR(_xlfn.XLOOKUP(L$134, 'GEN-BESS'!$D$32:$BA$32, 'GEN-BESS'!$D39:$BA39), 0)+IFERROR(_xlfn.XLOOKUP(L$134, 'GEN-CARBON'!$D$32:$BA$32, 'GEN-CARBON'!$D39:$BA39), 0)+IFERROR(_xlfn.XLOOKUP(L$134, Load!$D$32:$BA$32, Load!$D39:$BA39), 0)+IFERROR(_xlfn.XLOOKUP(L$134, Hydrogen!$D$32:$BA$32, Hydrogen!$D39:$BA39), 0)+IFERROR(_xlfn.XLOOKUP(L$134, 'SENS Tires'!$D$32:$BA$32, 'SENS Tires'!$D39:$BA39), 0)+IFERROR(_xlfn.XLOOKUP(L$134, 'SENS Coal'!$D$32:$BA$32, 'SENS Coal'!$D39:$BA39), 0)</f>
        <v>0</v>
      </c>
      <c r="M141" s="159">
        <f>IFERROR(_xlfn.XLOOKUP(M$134, 'Real Estate'!$D$25:$BA$25, 'Real Estate'!$D32:$BA32), 0)+IFERROR(_xlfn.XLOOKUP(M$134, 'GEN-CCGT'!$D$32:$BA$32, 'GEN-CCGT'!$D39:$BA39), 0)+IFERROR(_xlfn.XLOOKUP(M$134, 'GEN-SOLAR'!$D$32:$BA$32, 'GEN-SOLAR'!$D39:$BA39), 0)+IFERROR(_xlfn.XLOOKUP(M$134, 'GEN-BESS'!$D$32:$BA$32, 'GEN-BESS'!$D39:$BA39), 0)+IFERROR(_xlfn.XLOOKUP(M$134, 'GEN-CARBON'!$D$32:$BA$32, 'GEN-CARBON'!$D39:$BA39), 0)+IFERROR(_xlfn.XLOOKUP(M$134, Load!$D$32:$BA$32, Load!$D39:$BA39), 0)+IFERROR(_xlfn.XLOOKUP(M$134, Hydrogen!$D$32:$BA$32, Hydrogen!$D39:$BA39), 0)+IFERROR(_xlfn.XLOOKUP(M$134, 'SENS Tires'!$D$32:$BA$32, 'SENS Tires'!$D39:$BA39), 0)+IFERROR(_xlfn.XLOOKUP(M$134, 'SENS Coal'!$D$32:$BA$32, 'SENS Coal'!$D39:$BA39), 0)</f>
        <v>0</v>
      </c>
      <c r="N141" s="159">
        <f>IFERROR(_xlfn.XLOOKUP(N$134, 'Real Estate'!$D$25:$BA$25, 'Real Estate'!$D32:$BA32), 0)+IFERROR(_xlfn.XLOOKUP(N$134, 'GEN-CCGT'!$D$32:$BA$32, 'GEN-CCGT'!$D39:$BA39), 0)+IFERROR(_xlfn.XLOOKUP(N$134, 'GEN-SOLAR'!$D$32:$BA$32, 'GEN-SOLAR'!$D39:$BA39), 0)+IFERROR(_xlfn.XLOOKUP(N$134, 'GEN-BESS'!$D$32:$BA$32, 'GEN-BESS'!$D39:$BA39), 0)+IFERROR(_xlfn.XLOOKUP(N$134, 'GEN-CARBON'!$D$32:$BA$32, 'GEN-CARBON'!$D39:$BA39), 0)+IFERROR(_xlfn.XLOOKUP(N$134, Load!$D$32:$BA$32, Load!$D39:$BA39), 0)+IFERROR(_xlfn.XLOOKUP(N$134, Hydrogen!$D$32:$BA$32, Hydrogen!$D39:$BA39), 0)+IFERROR(_xlfn.XLOOKUP(N$134, 'SENS Tires'!$D$32:$BA$32, 'SENS Tires'!$D39:$BA39), 0)+IFERROR(_xlfn.XLOOKUP(N$134, 'SENS Coal'!$D$32:$BA$32, 'SENS Coal'!$D39:$BA39), 0)</f>
        <v>0</v>
      </c>
      <c r="O141" s="159">
        <f>IFERROR(_xlfn.XLOOKUP(O$134, 'Real Estate'!$D$25:$BA$25, 'Real Estate'!$D32:$BA32), 0)+IFERROR(_xlfn.XLOOKUP(O$134, 'GEN-CCGT'!$D$32:$BA$32, 'GEN-CCGT'!$D39:$BA39), 0)+IFERROR(_xlfn.XLOOKUP(O$134, 'GEN-SOLAR'!$D$32:$BA$32, 'GEN-SOLAR'!$D39:$BA39), 0)+IFERROR(_xlfn.XLOOKUP(O$134, 'GEN-BESS'!$D$32:$BA$32, 'GEN-BESS'!$D39:$BA39), 0)+IFERROR(_xlfn.XLOOKUP(O$134, 'GEN-CARBON'!$D$32:$BA$32, 'GEN-CARBON'!$D39:$BA39), 0)+IFERROR(_xlfn.XLOOKUP(O$134, Load!$D$32:$BA$32, Load!$D39:$BA39), 0)+IFERROR(_xlfn.XLOOKUP(O$134, Hydrogen!$D$32:$BA$32, Hydrogen!$D39:$BA39), 0)+IFERROR(_xlfn.XLOOKUP(O$134, 'SENS Tires'!$D$32:$BA$32, 'SENS Tires'!$D39:$BA39), 0)+IFERROR(_xlfn.XLOOKUP(O$134, 'SENS Coal'!$D$32:$BA$32, 'SENS Coal'!$D39:$BA39), 0)</f>
        <v>0</v>
      </c>
      <c r="P141" s="159">
        <f>IFERROR(_xlfn.XLOOKUP(P$134, 'Real Estate'!$D$25:$BA$25, 'Real Estate'!$D32:$BA32), 0)+IFERROR(_xlfn.XLOOKUP(P$134, 'GEN-CCGT'!$D$32:$BA$32, 'GEN-CCGT'!$D39:$BA39), 0)+IFERROR(_xlfn.XLOOKUP(P$134, 'GEN-SOLAR'!$D$32:$BA$32, 'GEN-SOLAR'!$D39:$BA39), 0)+IFERROR(_xlfn.XLOOKUP(P$134, 'GEN-BESS'!$D$32:$BA$32, 'GEN-BESS'!$D39:$BA39), 0)+IFERROR(_xlfn.XLOOKUP(P$134, 'GEN-CARBON'!$D$32:$BA$32, 'GEN-CARBON'!$D39:$BA39), 0)+IFERROR(_xlfn.XLOOKUP(P$134, Load!$D$32:$BA$32, Load!$D39:$BA39), 0)+IFERROR(_xlfn.XLOOKUP(P$134, Hydrogen!$D$32:$BA$32, Hydrogen!$D39:$BA39), 0)+IFERROR(_xlfn.XLOOKUP(P$134, 'SENS Tires'!$D$32:$BA$32, 'SENS Tires'!$D39:$BA39), 0)+IFERROR(_xlfn.XLOOKUP(P$134, 'SENS Coal'!$D$32:$BA$32, 'SENS Coal'!$D39:$BA39), 0)</f>
        <v>0</v>
      </c>
      <c r="Q141" s="159">
        <f>IFERROR(_xlfn.XLOOKUP(Q$134, 'Real Estate'!$D$25:$BA$25, 'Real Estate'!$D32:$BA32), 0)+IFERROR(_xlfn.XLOOKUP(Q$134, 'GEN-CCGT'!$D$32:$BA$32, 'GEN-CCGT'!$D39:$BA39), 0)+IFERROR(_xlfn.XLOOKUP(Q$134, 'GEN-SOLAR'!$D$32:$BA$32, 'GEN-SOLAR'!$D39:$BA39), 0)+IFERROR(_xlfn.XLOOKUP(Q$134, 'GEN-BESS'!$D$32:$BA$32, 'GEN-BESS'!$D39:$BA39), 0)+IFERROR(_xlfn.XLOOKUP(Q$134, 'GEN-CARBON'!$D$32:$BA$32, 'GEN-CARBON'!$D39:$BA39), 0)+IFERROR(_xlfn.XLOOKUP(Q$134, Load!$D$32:$BA$32, Load!$D39:$BA39), 0)+IFERROR(_xlfn.XLOOKUP(Q$134, Hydrogen!$D$32:$BA$32, Hydrogen!$D39:$BA39), 0)+IFERROR(_xlfn.XLOOKUP(Q$134, 'SENS Tires'!$D$32:$BA$32, 'SENS Tires'!$D39:$BA39), 0)+IFERROR(_xlfn.XLOOKUP(Q$134, 'SENS Coal'!$D$32:$BA$32, 'SENS Coal'!$D39:$BA39), 0)</f>
        <v>0</v>
      </c>
      <c r="R141" s="159">
        <f>IFERROR(_xlfn.XLOOKUP(R$134, 'Real Estate'!$D$25:$BA$25, 'Real Estate'!$D32:$BA32), 0)+IFERROR(_xlfn.XLOOKUP(R$134, 'GEN-CCGT'!$D$32:$BA$32, 'GEN-CCGT'!$D39:$BA39), 0)+IFERROR(_xlfn.XLOOKUP(R$134, 'GEN-SOLAR'!$D$32:$BA$32, 'GEN-SOLAR'!$D39:$BA39), 0)+IFERROR(_xlfn.XLOOKUP(R$134, 'GEN-BESS'!$D$32:$BA$32, 'GEN-BESS'!$D39:$BA39), 0)+IFERROR(_xlfn.XLOOKUP(R$134, 'GEN-CARBON'!$D$32:$BA$32, 'GEN-CARBON'!$D39:$BA39), 0)+IFERROR(_xlfn.XLOOKUP(R$134, Load!$D$32:$BA$32, Load!$D39:$BA39), 0)+IFERROR(_xlfn.XLOOKUP(R$134, Hydrogen!$D$32:$BA$32, Hydrogen!$D39:$BA39), 0)+IFERROR(_xlfn.XLOOKUP(R$134, 'SENS Tires'!$D$32:$BA$32, 'SENS Tires'!$D39:$BA39), 0)+IFERROR(_xlfn.XLOOKUP(R$134, 'SENS Coal'!$D$32:$BA$32, 'SENS Coal'!$D39:$BA39), 0)</f>
        <v>0</v>
      </c>
      <c r="S141" s="159">
        <f>IFERROR(_xlfn.XLOOKUP(S$134, 'Real Estate'!$D$25:$BA$25, 'Real Estate'!$D32:$BA32), 0)+IFERROR(_xlfn.XLOOKUP(S$134, 'GEN-CCGT'!$D$32:$BA$32, 'GEN-CCGT'!$D39:$BA39), 0)+IFERROR(_xlfn.XLOOKUP(S$134, 'GEN-SOLAR'!$D$32:$BA$32, 'GEN-SOLAR'!$D39:$BA39), 0)+IFERROR(_xlfn.XLOOKUP(S$134, 'GEN-BESS'!$D$32:$BA$32, 'GEN-BESS'!$D39:$BA39), 0)+IFERROR(_xlfn.XLOOKUP(S$134, 'GEN-CARBON'!$D$32:$BA$32, 'GEN-CARBON'!$D39:$BA39), 0)+IFERROR(_xlfn.XLOOKUP(S$134, Load!$D$32:$BA$32, Load!$D39:$BA39), 0)+IFERROR(_xlfn.XLOOKUP(S$134, Hydrogen!$D$32:$BA$32, Hydrogen!$D39:$BA39), 0)+IFERROR(_xlfn.XLOOKUP(S$134, 'SENS Tires'!$D$32:$BA$32, 'SENS Tires'!$D39:$BA39), 0)+IFERROR(_xlfn.XLOOKUP(S$134, 'SENS Coal'!$D$32:$BA$32, 'SENS Coal'!$D39:$BA39), 0)</f>
        <v>0</v>
      </c>
      <c r="T141" s="159">
        <f>IFERROR(_xlfn.XLOOKUP(T$134, 'Real Estate'!$D$25:$BA$25, 'Real Estate'!$D32:$BA32), 0)+IFERROR(_xlfn.XLOOKUP(T$134, 'GEN-CCGT'!$D$32:$BA$32, 'GEN-CCGT'!$D39:$BA39), 0)+IFERROR(_xlfn.XLOOKUP(T$134, 'GEN-SOLAR'!$D$32:$BA$32, 'GEN-SOLAR'!$D39:$BA39), 0)+IFERROR(_xlfn.XLOOKUP(T$134, 'GEN-BESS'!$D$32:$BA$32, 'GEN-BESS'!$D39:$BA39), 0)+IFERROR(_xlfn.XLOOKUP(T$134, 'GEN-CARBON'!$D$32:$BA$32, 'GEN-CARBON'!$D39:$BA39), 0)+IFERROR(_xlfn.XLOOKUP(T$134, Load!$D$32:$BA$32, Load!$D39:$BA39), 0)+IFERROR(_xlfn.XLOOKUP(T$134, Hydrogen!$D$32:$BA$32, Hydrogen!$D39:$BA39), 0)+IFERROR(_xlfn.XLOOKUP(T$134, 'SENS Tires'!$D$32:$BA$32, 'SENS Tires'!$D39:$BA39), 0)+IFERROR(_xlfn.XLOOKUP(T$134, 'SENS Coal'!$D$32:$BA$32, 'SENS Coal'!$D39:$BA39), 0)</f>
        <v>0</v>
      </c>
      <c r="U141" s="159">
        <f>IFERROR(_xlfn.XLOOKUP(U$134, 'Real Estate'!$D$25:$BA$25, 'Real Estate'!$D32:$BA32), 0)+IFERROR(_xlfn.XLOOKUP(U$134, 'GEN-CCGT'!$D$32:$BA$32, 'GEN-CCGT'!$D39:$BA39), 0)+IFERROR(_xlfn.XLOOKUP(U$134, 'GEN-SOLAR'!$D$32:$BA$32, 'GEN-SOLAR'!$D39:$BA39), 0)+IFERROR(_xlfn.XLOOKUP(U$134, 'GEN-BESS'!$D$32:$BA$32, 'GEN-BESS'!$D39:$BA39), 0)+IFERROR(_xlfn.XLOOKUP(U$134, 'GEN-CARBON'!$D$32:$BA$32, 'GEN-CARBON'!$D39:$BA39), 0)+IFERROR(_xlfn.XLOOKUP(U$134, Load!$D$32:$BA$32, Load!$D39:$BA39), 0)+IFERROR(_xlfn.XLOOKUP(U$134, Hydrogen!$D$32:$BA$32, Hydrogen!$D39:$BA39), 0)+IFERROR(_xlfn.XLOOKUP(U$134, 'SENS Tires'!$D$32:$BA$32, 'SENS Tires'!$D39:$BA39), 0)+IFERROR(_xlfn.XLOOKUP(U$134, 'SENS Coal'!$D$32:$BA$32, 'SENS Coal'!$D39:$BA39), 0)</f>
        <v>0</v>
      </c>
      <c r="V141" s="159">
        <f>IFERROR(_xlfn.XLOOKUP(V$134, 'Real Estate'!$D$25:$BA$25, 'Real Estate'!$D32:$BA32), 0)+IFERROR(_xlfn.XLOOKUP(V$134, 'GEN-CCGT'!$D$32:$BA$32, 'GEN-CCGT'!$D39:$BA39), 0)+IFERROR(_xlfn.XLOOKUP(V$134, 'GEN-SOLAR'!$D$32:$BA$32, 'GEN-SOLAR'!$D39:$BA39), 0)+IFERROR(_xlfn.XLOOKUP(V$134, 'GEN-BESS'!$D$32:$BA$32, 'GEN-BESS'!$D39:$BA39), 0)+IFERROR(_xlfn.XLOOKUP(V$134, 'GEN-CARBON'!$D$32:$BA$32, 'GEN-CARBON'!$D39:$BA39), 0)+IFERROR(_xlfn.XLOOKUP(V$134, Load!$D$32:$BA$32, Load!$D39:$BA39), 0)+IFERROR(_xlfn.XLOOKUP(V$134, Hydrogen!$D$32:$BA$32, Hydrogen!$D39:$BA39), 0)+IFERROR(_xlfn.XLOOKUP(V$134, 'SENS Tires'!$D$32:$BA$32, 'SENS Tires'!$D39:$BA39), 0)+IFERROR(_xlfn.XLOOKUP(V$134, 'SENS Coal'!$D$32:$BA$32, 'SENS Coal'!$D39:$BA39), 0)</f>
        <v>0</v>
      </c>
      <c r="W141" s="159">
        <f>IFERROR(_xlfn.XLOOKUP(W$134, 'Real Estate'!$D$25:$BA$25, 'Real Estate'!$D32:$BA32), 0)+IFERROR(_xlfn.XLOOKUP(W$134, 'GEN-CCGT'!$D$32:$BA$32, 'GEN-CCGT'!$D39:$BA39), 0)+IFERROR(_xlfn.XLOOKUP(W$134, 'GEN-SOLAR'!$D$32:$BA$32, 'GEN-SOLAR'!$D39:$BA39), 0)+IFERROR(_xlfn.XLOOKUP(W$134, 'GEN-BESS'!$D$32:$BA$32, 'GEN-BESS'!$D39:$BA39), 0)+IFERROR(_xlfn.XLOOKUP(W$134, 'GEN-CARBON'!$D$32:$BA$32, 'GEN-CARBON'!$D39:$BA39), 0)+IFERROR(_xlfn.XLOOKUP(W$134, Load!$D$32:$BA$32, Load!$D39:$BA39), 0)+IFERROR(_xlfn.XLOOKUP(W$134, Hydrogen!$D$32:$BA$32, Hydrogen!$D39:$BA39), 0)+IFERROR(_xlfn.XLOOKUP(W$134, 'SENS Tires'!$D$32:$BA$32, 'SENS Tires'!$D39:$BA39), 0)+IFERROR(_xlfn.XLOOKUP(W$134, 'SENS Coal'!$D$32:$BA$32, 'SENS Coal'!$D39:$BA39), 0)</f>
        <v>0</v>
      </c>
      <c r="X141" s="159">
        <f>IFERROR(_xlfn.XLOOKUP(X$134, 'Real Estate'!$D$25:$BA$25, 'Real Estate'!$D32:$BA32), 0)+IFERROR(_xlfn.XLOOKUP(X$134, 'GEN-CCGT'!$D$32:$BA$32, 'GEN-CCGT'!$D39:$BA39), 0)+IFERROR(_xlfn.XLOOKUP(X$134, 'GEN-SOLAR'!$D$32:$BA$32, 'GEN-SOLAR'!$D39:$BA39), 0)+IFERROR(_xlfn.XLOOKUP(X$134, 'GEN-BESS'!$D$32:$BA$32, 'GEN-BESS'!$D39:$BA39), 0)+IFERROR(_xlfn.XLOOKUP(X$134, 'GEN-CARBON'!$D$32:$BA$32, 'GEN-CARBON'!$D39:$BA39), 0)+IFERROR(_xlfn.XLOOKUP(X$134, Load!$D$32:$BA$32, Load!$D39:$BA39), 0)+IFERROR(_xlfn.XLOOKUP(X$134, Hydrogen!$D$32:$BA$32, Hydrogen!$D39:$BA39), 0)+IFERROR(_xlfn.XLOOKUP(X$134, 'SENS Tires'!$D$32:$BA$32, 'SENS Tires'!$D39:$BA39), 0)+IFERROR(_xlfn.XLOOKUP(X$134, 'SENS Coal'!$D$32:$BA$32, 'SENS Coal'!$D39:$BA39), 0)</f>
        <v>0</v>
      </c>
      <c r="Y141" s="159">
        <f>IFERROR(_xlfn.XLOOKUP(Y$134, 'Real Estate'!$D$25:$BA$25, 'Real Estate'!$D32:$BA32), 0)+IFERROR(_xlfn.XLOOKUP(Y$134, 'GEN-CCGT'!$D$32:$BA$32, 'GEN-CCGT'!$D39:$BA39), 0)+IFERROR(_xlfn.XLOOKUP(Y$134, 'GEN-SOLAR'!$D$32:$BA$32, 'GEN-SOLAR'!$D39:$BA39), 0)+IFERROR(_xlfn.XLOOKUP(Y$134, 'GEN-BESS'!$D$32:$BA$32, 'GEN-BESS'!$D39:$BA39), 0)+IFERROR(_xlfn.XLOOKUP(Y$134, 'GEN-CARBON'!$D$32:$BA$32, 'GEN-CARBON'!$D39:$BA39), 0)+IFERROR(_xlfn.XLOOKUP(Y$134, Load!$D$32:$BA$32, Load!$D39:$BA39), 0)+IFERROR(_xlfn.XLOOKUP(Y$134, Hydrogen!$D$32:$BA$32, Hydrogen!$D39:$BA39), 0)+IFERROR(_xlfn.XLOOKUP(Y$134, 'SENS Tires'!$D$32:$BA$32, 'SENS Tires'!$D39:$BA39), 0)+IFERROR(_xlfn.XLOOKUP(Y$134, 'SENS Coal'!$D$32:$BA$32, 'SENS Coal'!$D39:$BA39), 0)</f>
        <v>0</v>
      </c>
      <c r="Z141" s="159">
        <f>IFERROR(_xlfn.XLOOKUP(Z$134, 'Real Estate'!$D$25:$BA$25, 'Real Estate'!$D32:$BA32), 0)+IFERROR(_xlfn.XLOOKUP(Z$134, 'GEN-CCGT'!$D$32:$BA$32, 'GEN-CCGT'!$D39:$BA39), 0)+IFERROR(_xlfn.XLOOKUP(Z$134, 'GEN-SOLAR'!$D$32:$BA$32, 'GEN-SOLAR'!$D39:$BA39), 0)+IFERROR(_xlfn.XLOOKUP(Z$134, 'GEN-BESS'!$D$32:$BA$32, 'GEN-BESS'!$D39:$BA39), 0)+IFERROR(_xlfn.XLOOKUP(Z$134, 'GEN-CARBON'!$D$32:$BA$32, 'GEN-CARBON'!$D39:$BA39), 0)+IFERROR(_xlfn.XLOOKUP(Z$134, Load!$D$32:$BA$32, Load!$D39:$BA39), 0)+IFERROR(_xlfn.XLOOKUP(Z$134, Hydrogen!$D$32:$BA$32, Hydrogen!$D39:$BA39), 0)+IFERROR(_xlfn.XLOOKUP(Z$134, 'SENS Tires'!$D$32:$BA$32, 'SENS Tires'!$D39:$BA39), 0)+IFERROR(_xlfn.XLOOKUP(Z$134, 'SENS Coal'!$D$32:$BA$32, 'SENS Coal'!$D39:$BA39), 0)</f>
        <v>0</v>
      </c>
      <c r="AA141" s="159">
        <f>IFERROR(_xlfn.XLOOKUP(AA$134, 'Real Estate'!$D$25:$BA$25, 'Real Estate'!$D32:$BA32), 0)+IFERROR(_xlfn.XLOOKUP(AA$134, 'GEN-CCGT'!$D$32:$BA$32, 'GEN-CCGT'!$D39:$BA39), 0)+IFERROR(_xlfn.XLOOKUP(AA$134, 'GEN-SOLAR'!$D$32:$BA$32, 'GEN-SOLAR'!$D39:$BA39), 0)+IFERROR(_xlfn.XLOOKUP(AA$134, 'GEN-BESS'!$D$32:$BA$32, 'GEN-BESS'!$D39:$BA39), 0)+IFERROR(_xlfn.XLOOKUP(AA$134, 'GEN-CARBON'!$D$32:$BA$32, 'GEN-CARBON'!$D39:$BA39), 0)+IFERROR(_xlfn.XLOOKUP(AA$134, Load!$D$32:$BA$32, Load!$D39:$BA39), 0)+IFERROR(_xlfn.XLOOKUP(AA$134, Hydrogen!$D$32:$BA$32, Hydrogen!$D39:$BA39), 0)+IFERROR(_xlfn.XLOOKUP(AA$134, 'SENS Tires'!$D$32:$BA$32, 'SENS Tires'!$D39:$BA39), 0)+IFERROR(_xlfn.XLOOKUP(AA$134, 'SENS Coal'!$D$32:$BA$32, 'SENS Coal'!$D39:$BA39), 0)</f>
        <v>0</v>
      </c>
      <c r="AB141" s="159">
        <f>IFERROR(_xlfn.XLOOKUP(AB$134, 'Real Estate'!$D$25:$BA$25, 'Real Estate'!$D32:$BA32), 0)+IFERROR(_xlfn.XLOOKUP(AB$134, 'GEN-CCGT'!$D$32:$BA$32, 'GEN-CCGT'!$D39:$BA39), 0)+IFERROR(_xlfn.XLOOKUP(AB$134, 'GEN-SOLAR'!$D$32:$BA$32, 'GEN-SOLAR'!$D39:$BA39), 0)+IFERROR(_xlfn.XLOOKUP(AB$134, 'GEN-BESS'!$D$32:$BA$32, 'GEN-BESS'!$D39:$BA39), 0)+IFERROR(_xlfn.XLOOKUP(AB$134, 'GEN-CARBON'!$D$32:$BA$32, 'GEN-CARBON'!$D39:$BA39), 0)+IFERROR(_xlfn.XLOOKUP(AB$134, Load!$D$32:$BA$32, Load!$D39:$BA39), 0)+IFERROR(_xlfn.XLOOKUP(AB$134, Hydrogen!$D$32:$BA$32, Hydrogen!$D39:$BA39), 0)+IFERROR(_xlfn.XLOOKUP(AB$134, 'SENS Tires'!$D$32:$BA$32, 'SENS Tires'!$D39:$BA39), 0)+IFERROR(_xlfn.XLOOKUP(AB$134, 'SENS Coal'!$D$32:$BA$32, 'SENS Coal'!$D39:$BA39), 0)</f>
        <v>0</v>
      </c>
      <c r="AC141" s="159">
        <f>IFERROR(_xlfn.XLOOKUP(AC$134, 'Real Estate'!$D$25:$BA$25, 'Real Estate'!$D32:$BA32), 0)+IFERROR(_xlfn.XLOOKUP(AC$134, 'GEN-CCGT'!$D$32:$BA$32, 'GEN-CCGT'!$D39:$BA39), 0)+IFERROR(_xlfn.XLOOKUP(AC$134, 'GEN-SOLAR'!$D$32:$BA$32, 'GEN-SOLAR'!$D39:$BA39), 0)+IFERROR(_xlfn.XLOOKUP(AC$134, 'GEN-BESS'!$D$32:$BA$32, 'GEN-BESS'!$D39:$BA39), 0)+IFERROR(_xlfn.XLOOKUP(AC$134, 'GEN-CARBON'!$D$32:$BA$32, 'GEN-CARBON'!$D39:$BA39), 0)+IFERROR(_xlfn.XLOOKUP(AC$134, Load!$D$32:$BA$32, Load!$D39:$BA39), 0)+IFERROR(_xlfn.XLOOKUP(AC$134, Hydrogen!$D$32:$BA$32, Hydrogen!$D39:$BA39), 0)+IFERROR(_xlfn.XLOOKUP(AC$134, 'SENS Tires'!$D$32:$BA$32, 'SENS Tires'!$D39:$BA39), 0)+IFERROR(_xlfn.XLOOKUP(AC$134, 'SENS Coal'!$D$32:$BA$32, 'SENS Coal'!$D39:$BA39), 0)</f>
        <v>0</v>
      </c>
      <c r="AD141" s="159">
        <f>IFERROR(_xlfn.XLOOKUP(AD$134, 'Real Estate'!$D$25:$BA$25, 'Real Estate'!$D32:$BA32), 0)+IFERROR(_xlfn.XLOOKUP(AD$134, 'GEN-CCGT'!$D$32:$BA$32, 'GEN-CCGT'!$D39:$BA39), 0)+IFERROR(_xlfn.XLOOKUP(AD$134, 'GEN-SOLAR'!$D$32:$BA$32, 'GEN-SOLAR'!$D39:$BA39), 0)+IFERROR(_xlfn.XLOOKUP(AD$134, 'GEN-BESS'!$D$32:$BA$32, 'GEN-BESS'!$D39:$BA39), 0)+IFERROR(_xlfn.XLOOKUP(AD$134, 'GEN-CARBON'!$D$32:$BA$32, 'GEN-CARBON'!$D39:$BA39), 0)+IFERROR(_xlfn.XLOOKUP(AD$134, Load!$D$32:$BA$32, Load!$D39:$BA39), 0)+IFERROR(_xlfn.XLOOKUP(AD$134, Hydrogen!$D$32:$BA$32, Hydrogen!$D39:$BA39), 0)+IFERROR(_xlfn.XLOOKUP(AD$134, 'SENS Tires'!$D$32:$BA$32, 'SENS Tires'!$D39:$BA39), 0)+IFERROR(_xlfn.XLOOKUP(AD$134, 'SENS Coal'!$D$32:$BA$32, 'SENS Coal'!$D39:$BA39), 0)</f>
        <v>0</v>
      </c>
      <c r="AE141" s="159">
        <f>IFERROR(_xlfn.XLOOKUP(AE$134, 'Real Estate'!$D$25:$BA$25, 'Real Estate'!$D32:$BA32), 0)+IFERROR(_xlfn.XLOOKUP(AE$134, 'GEN-CCGT'!$D$32:$BA$32, 'GEN-CCGT'!$D39:$BA39), 0)+IFERROR(_xlfn.XLOOKUP(AE$134, 'GEN-SOLAR'!$D$32:$BA$32, 'GEN-SOLAR'!$D39:$BA39), 0)+IFERROR(_xlfn.XLOOKUP(AE$134, 'GEN-BESS'!$D$32:$BA$32, 'GEN-BESS'!$D39:$BA39), 0)+IFERROR(_xlfn.XLOOKUP(AE$134, 'GEN-CARBON'!$D$32:$BA$32, 'GEN-CARBON'!$D39:$BA39), 0)+IFERROR(_xlfn.XLOOKUP(AE$134, Load!$D$32:$BA$32, Load!$D39:$BA39), 0)+IFERROR(_xlfn.XLOOKUP(AE$134, Hydrogen!$D$32:$BA$32, Hydrogen!$D39:$BA39), 0)+IFERROR(_xlfn.XLOOKUP(AE$134, 'SENS Tires'!$D$32:$BA$32, 'SENS Tires'!$D39:$BA39), 0)+IFERROR(_xlfn.XLOOKUP(AE$134, 'SENS Coal'!$D$32:$BA$32, 'SENS Coal'!$D39:$BA39), 0)</f>
        <v>0</v>
      </c>
      <c r="AF141" s="159">
        <f>IFERROR(_xlfn.XLOOKUP(AF$134, 'Real Estate'!$D$25:$BA$25, 'Real Estate'!$D32:$BA32), 0)+IFERROR(_xlfn.XLOOKUP(AF$134, 'GEN-CCGT'!$D$32:$BA$32, 'GEN-CCGT'!$D39:$BA39), 0)+IFERROR(_xlfn.XLOOKUP(AF$134, 'GEN-SOLAR'!$D$32:$BA$32, 'GEN-SOLAR'!$D39:$BA39), 0)+IFERROR(_xlfn.XLOOKUP(AF$134, 'GEN-BESS'!$D$32:$BA$32, 'GEN-BESS'!$D39:$BA39), 0)+IFERROR(_xlfn.XLOOKUP(AF$134, 'GEN-CARBON'!$D$32:$BA$32, 'GEN-CARBON'!$D39:$BA39), 0)+IFERROR(_xlfn.XLOOKUP(AF$134, Load!$D$32:$BA$32, Load!$D39:$BA39), 0)+IFERROR(_xlfn.XLOOKUP(AF$134, Hydrogen!$D$32:$BA$32, Hydrogen!$D39:$BA39), 0)+IFERROR(_xlfn.XLOOKUP(AF$134, 'SENS Tires'!$D$32:$BA$32, 'SENS Tires'!$D39:$BA39), 0)+IFERROR(_xlfn.XLOOKUP(AF$134, 'SENS Coal'!$D$32:$BA$32, 'SENS Coal'!$D39:$BA39), 0)</f>
        <v>0</v>
      </c>
      <c r="AG141" s="159">
        <f>IFERROR(_xlfn.XLOOKUP(AG$134, 'Real Estate'!$D$25:$BA$25, 'Real Estate'!$D32:$BA32), 0)+IFERROR(_xlfn.XLOOKUP(AG$134, 'GEN-CCGT'!$D$32:$BA$32, 'GEN-CCGT'!$D39:$BA39), 0)+IFERROR(_xlfn.XLOOKUP(AG$134, 'GEN-SOLAR'!$D$32:$BA$32, 'GEN-SOLAR'!$D39:$BA39), 0)+IFERROR(_xlfn.XLOOKUP(AG$134, 'GEN-BESS'!$D$32:$BA$32, 'GEN-BESS'!$D39:$BA39), 0)+IFERROR(_xlfn.XLOOKUP(AG$134, 'GEN-CARBON'!$D$32:$BA$32, 'GEN-CARBON'!$D39:$BA39), 0)+IFERROR(_xlfn.XLOOKUP(AG$134, Load!$D$32:$BA$32, Load!$D39:$BA39), 0)+IFERROR(_xlfn.XLOOKUP(AG$134, Hydrogen!$D$32:$BA$32, Hydrogen!$D39:$BA39), 0)+IFERROR(_xlfn.XLOOKUP(AG$134, 'SENS Tires'!$D$32:$BA$32, 'SENS Tires'!$D39:$BA39), 0)+IFERROR(_xlfn.XLOOKUP(AG$134, 'SENS Coal'!$D$32:$BA$32, 'SENS Coal'!$D39:$BA39), 0)</f>
        <v>0</v>
      </c>
      <c r="AH141" s="159">
        <f>IFERROR(_xlfn.XLOOKUP(AH$134, 'Real Estate'!$D$25:$BA$25, 'Real Estate'!$D32:$BA32), 0)+IFERROR(_xlfn.XLOOKUP(AH$134, 'GEN-CCGT'!$D$32:$BA$32, 'GEN-CCGT'!$D39:$BA39), 0)+IFERROR(_xlfn.XLOOKUP(AH$134, 'GEN-SOLAR'!$D$32:$BA$32, 'GEN-SOLAR'!$D39:$BA39), 0)+IFERROR(_xlfn.XLOOKUP(AH$134, 'GEN-BESS'!$D$32:$BA$32, 'GEN-BESS'!$D39:$BA39), 0)+IFERROR(_xlfn.XLOOKUP(AH$134, 'GEN-CARBON'!$D$32:$BA$32, 'GEN-CARBON'!$D39:$BA39), 0)+IFERROR(_xlfn.XLOOKUP(AH$134, Load!$D$32:$BA$32, Load!$D39:$BA39), 0)+IFERROR(_xlfn.XLOOKUP(AH$134, Hydrogen!$D$32:$BA$32, Hydrogen!$D39:$BA39), 0)+IFERROR(_xlfn.XLOOKUP(AH$134, 'SENS Tires'!$D$32:$BA$32, 'SENS Tires'!$D39:$BA39), 0)+IFERROR(_xlfn.XLOOKUP(AH$134, 'SENS Coal'!$D$32:$BA$32, 'SENS Coal'!$D39:$BA39), 0)</f>
        <v>0</v>
      </c>
      <c r="AI141" s="159">
        <f>IFERROR(_xlfn.XLOOKUP(AI$134, 'Real Estate'!$D$25:$BA$25, 'Real Estate'!$D32:$BA32), 0)+IFERROR(_xlfn.XLOOKUP(AI$134, 'GEN-CCGT'!$D$32:$BA$32, 'GEN-CCGT'!$D39:$BA39), 0)+IFERROR(_xlfn.XLOOKUP(AI$134, 'GEN-SOLAR'!$D$32:$BA$32, 'GEN-SOLAR'!$D39:$BA39), 0)+IFERROR(_xlfn.XLOOKUP(AI$134, 'GEN-BESS'!$D$32:$BA$32, 'GEN-BESS'!$D39:$BA39), 0)+IFERROR(_xlfn.XLOOKUP(AI$134, 'GEN-CARBON'!$D$32:$BA$32, 'GEN-CARBON'!$D39:$BA39), 0)+IFERROR(_xlfn.XLOOKUP(AI$134, Load!$D$32:$BA$32, Load!$D39:$BA39), 0)+IFERROR(_xlfn.XLOOKUP(AI$134, Hydrogen!$D$32:$BA$32, Hydrogen!$D39:$BA39), 0)+IFERROR(_xlfn.XLOOKUP(AI$134, 'SENS Tires'!$D$32:$BA$32, 'SENS Tires'!$D39:$BA39), 0)+IFERROR(_xlfn.XLOOKUP(AI$134, 'SENS Coal'!$D$32:$BA$32, 'SENS Coal'!$D39:$BA39), 0)</f>
        <v>0</v>
      </c>
      <c r="AJ141" s="159">
        <f>IFERROR(_xlfn.XLOOKUP(AJ$134, 'Real Estate'!$D$25:$BA$25, 'Real Estate'!$D32:$BA32), 0)+IFERROR(_xlfn.XLOOKUP(AJ$134, 'GEN-CCGT'!$D$32:$BA$32, 'GEN-CCGT'!$D39:$BA39), 0)+IFERROR(_xlfn.XLOOKUP(AJ$134, 'GEN-SOLAR'!$D$32:$BA$32, 'GEN-SOLAR'!$D39:$BA39), 0)+IFERROR(_xlfn.XLOOKUP(AJ$134, 'GEN-BESS'!$D$32:$BA$32, 'GEN-BESS'!$D39:$BA39), 0)+IFERROR(_xlfn.XLOOKUP(AJ$134, 'GEN-CARBON'!$D$32:$BA$32, 'GEN-CARBON'!$D39:$BA39), 0)+IFERROR(_xlfn.XLOOKUP(AJ$134, Load!$D$32:$BA$32, Load!$D39:$BA39), 0)+IFERROR(_xlfn.XLOOKUP(AJ$134, Hydrogen!$D$32:$BA$32, Hydrogen!$D39:$BA39), 0)+IFERROR(_xlfn.XLOOKUP(AJ$134, 'SENS Tires'!$D$32:$BA$32, 'SENS Tires'!$D39:$BA39), 0)+IFERROR(_xlfn.XLOOKUP(AJ$134, 'SENS Coal'!$D$32:$BA$32, 'SENS Coal'!$D39:$BA39), 0)</f>
        <v>0</v>
      </c>
      <c r="AK141" s="159">
        <f>IFERROR(_xlfn.XLOOKUP(AK$134, 'Real Estate'!$D$25:$BA$25, 'Real Estate'!$D32:$BA32), 0)+IFERROR(_xlfn.XLOOKUP(AK$134, 'GEN-CCGT'!$D$32:$BA$32, 'GEN-CCGT'!$D39:$BA39), 0)+IFERROR(_xlfn.XLOOKUP(AK$134, 'GEN-SOLAR'!$D$32:$BA$32, 'GEN-SOLAR'!$D39:$BA39), 0)+IFERROR(_xlfn.XLOOKUP(AK$134, 'GEN-BESS'!$D$32:$BA$32, 'GEN-BESS'!$D39:$BA39), 0)+IFERROR(_xlfn.XLOOKUP(AK$134, 'GEN-CARBON'!$D$32:$BA$32, 'GEN-CARBON'!$D39:$BA39), 0)+IFERROR(_xlfn.XLOOKUP(AK$134, Load!$D$32:$BA$32, Load!$D39:$BA39), 0)+IFERROR(_xlfn.XLOOKUP(AK$134, Hydrogen!$D$32:$BA$32, Hydrogen!$D39:$BA39), 0)+IFERROR(_xlfn.XLOOKUP(AK$134, 'SENS Tires'!$D$32:$BA$32, 'SENS Tires'!$D39:$BA39), 0)+IFERROR(_xlfn.XLOOKUP(AK$134, 'SENS Coal'!$D$32:$BA$32, 'SENS Coal'!$D39:$BA39), 0)</f>
        <v>0</v>
      </c>
      <c r="AL141" s="159">
        <f>IFERROR(_xlfn.XLOOKUP(AL$134, 'Real Estate'!$D$25:$BA$25, 'Real Estate'!$D32:$BA32), 0)+IFERROR(_xlfn.XLOOKUP(AL$134, 'GEN-CCGT'!$D$32:$BA$32, 'GEN-CCGT'!$D39:$BA39), 0)+IFERROR(_xlfn.XLOOKUP(AL$134, 'GEN-SOLAR'!$D$32:$BA$32, 'GEN-SOLAR'!$D39:$BA39), 0)+IFERROR(_xlfn.XLOOKUP(AL$134, 'GEN-BESS'!$D$32:$BA$32, 'GEN-BESS'!$D39:$BA39), 0)+IFERROR(_xlfn.XLOOKUP(AL$134, 'GEN-CARBON'!$D$32:$BA$32, 'GEN-CARBON'!$D39:$BA39), 0)+IFERROR(_xlfn.XLOOKUP(AL$134, Load!$D$32:$BA$32, Load!$D39:$BA39), 0)+IFERROR(_xlfn.XLOOKUP(AL$134, Hydrogen!$D$32:$BA$32, Hydrogen!$D39:$BA39), 0)+IFERROR(_xlfn.XLOOKUP(AL$134, 'SENS Tires'!$D$32:$BA$32, 'SENS Tires'!$D39:$BA39), 0)+IFERROR(_xlfn.XLOOKUP(AL$134, 'SENS Coal'!$D$32:$BA$32, 'SENS Coal'!$D39:$BA39), 0)</f>
        <v>0</v>
      </c>
      <c r="AM141" s="159">
        <f>IFERROR(_xlfn.XLOOKUP(AM$134, 'Real Estate'!$D$25:$BA$25, 'Real Estate'!$D32:$BA32), 0)+IFERROR(_xlfn.XLOOKUP(AM$134, 'GEN-CCGT'!$D$32:$BA$32, 'GEN-CCGT'!$D39:$BA39), 0)+IFERROR(_xlfn.XLOOKUP(AM$134, 'GEN-SOLAR'!$D$32:$BA$32, 'GEN-SOLAR'!$D39:$BA39), 0)+IFERROR(_xlfn.XLOOKUP(AM$134, 'GEN-BESS'!$D$32:$BA$32, 'GEN-BESS'!$D39:$BA39), 0)+IFERROR(_xlfn.XLOOKUP(AM$134, 'GEN-CARBON'!$D$32:$BA$32, 'GEN-CARBON'!$D39:$BA39), 0)+IFERROR(_xlfn.XLOOKUP(AM$134, Load!$D$32:$BA$32, Load!$D39:$BA39), 0)+IFERROR(_xlfn.XLOOKUP(AM$134, Hydrogen!$D$32:$BA$32, Hydrogen!$D39:$BA39), 0)+IFERROR(_xlfn.XLOOKUP(AM$134, 'SENS Tires'!$D$32:$BA$32, 'SENS Tires'!$D39:$BA39), 0)+IFERROR(_xlfn.XLOOKUP(AM$134, 'SENS Coal'!$D$32:$BA$32, 'SENS Coal'!$D39:$BA39), 0)</f>
        <v>0</v>
      </c>
      <c r="AN141" s="159">
        <f>IFERROR(_xlfn.XLOOKUP(AN$134, 'Real Estate'!$D$25:$BA$25, 'Real Estate'!$D32:$BA32), 0)+IFERROR(_xlfn.XLOOKUP(AN$134, 'GEN-CCGT'!$D$32:$BA$32, 'GEN-CCGT'!$D39:$BA39), 0)+IFERROR(_xlfn.XLOOKUP(AN$134, 'GEN-SOLAR'!$D$32:$BA$32, 'GEN-SOLAR'!$D39:$BA39), 0)+IFERROR(_xlfn.XLOOKUP(AN$134, 'GEN-BESS'!$D$32:$BA$32, 'GEN-BESS'!$D39:$BA39), 0)+IFERROR(_xlfn.XLOOKUP(AN$134, 'GEN-CARBON'!$D$32:$BA$32, 'GEN-CARBON'!$D39:$BA39), 0)+IFERROR(_xlfn.XLOOKUP(AN$134, Load!$D$32:$BA$32, Load!$D39:$BA39), 0)+IFERROR(_xlfn.XLOOKUP(AN$134, Hydrogen!$D$32:$BA$32, Hydrogen!$D39:$BA39), 0)+IFERROR(_xlfn.XLOOKUP(AN$134, 'SENS Tires'!$D$32:$BA$32, 'SENS Tires'!$D39:$BA39), 0)+IFERROR(_xlfn.XLOOKUP(AN$134, 'SENS Coal'!$D$32:$BA$32, 'SENS Coal'!$D39:$BA39), 0)</f>
        <v>0</v>
      </c>
      <c r="AO141" s="159">
        <f>IFERROR(_xlfn.XLOOKUP(AO$134, 'Real Estate'!$D$25:$BA$25, 'Real Estate'!$D32:$BA32), 0)+IFERROR(_xlfn.XLOOKUP(AO$134, 'GEN-CCGT'!$D$32:$BA$32, 'GEN-CCGT'!$D39:$BA39), 0)+IFERROR(_xlfn.XLOOKUP(AO$134, 'GEN-SOLAR'!$D$32:$BA$32, 'GEN-SOLAR'!$D39:$BA39), 0)+IFERROR(_xlfn.XLOOKUP(AO$134, 'GEN-BESS'!$D$32:$BA$32, 'GEN-BESS'!$D39:$BA39), 0)+IFERROR(_xlfn.XLOOKUP(AO$134, 'GEN-CARBON'!$D$32:$BA$32, 'GEN-CARBON'!$D39:$BA39), 0)+IFERROR(_xlfn.XLOOKUP(AO$134, Load!$D$32:$BA$32, Load!$D39:$BA39), 0)+IFERROR(_xlfn.XLOOKUP(AO$134, Hydrogen!$D$32:$BA$32, Hydrogen!$D39:$BA39), 0)+IFERROR(_xlfn.XLOOKUP(AO$134, 'SENS Tires'!$D$32:$BA$32, 'SENS Tires'!$D39:$BA39), 0)+IFERROR(_xlfn.XLOOKUP(AO$134, 'SENS Coal'!$D$32:$BA$32, 'SENS Coal'!$D39:$BA39), 0)</f>
        <v>0</v>
      </c>
      <c r="AP141" s="159">
        <f>IFERROR(_xlfn.XLOOKUP(AP$134, 'Real Estate'!$D$25:$BA$25, 'Real Estate'!$D32:$BA32), 0)+IFERROR(_xlfn.XLOOKUP(AP$134, 'GEN-CCGT'!$D$32:$BA$32, 'GEN-CCGT'!$D39:$BA39), 0)+IFERROR(_xlfn.XLOOKUP(AP$134, 'GEN-SOLAR'!$D$32:$BA$32, 'GEN-SOLAR'!$D39:$BA39), 0)+IFERROR(_xlfn.XLOOKUP(AP$134, 'GEN-BESS'!$D$32:$BA$32, 'GEN-BESS'!$D39:$BA39), 0)+IFERROR(_xlfn.XLOOKUP(AP$134, 'GEN-CARBON'!$D$32:$BA$32, 'GEN-CARBON'!$D39:$BA39), 0)+IFERROR(_xlfn.XLOOKUP(AP$134, Load!$D$32:$BA$32, Load!$D39:$BA39), 0)+IFERROR(_xlfn.XLOOKUP(AP$134, Hydrogen!$D$32:$BA$32, Hydrogen!$D39:$BA39), 0)+IFERROR(_xlfn.XLOOKUP(AP$134, 'SENS Tires'!$D$32:$BA$32, 'SENS Tires'!$D39:$BA39), 0)+IFERROR(_xlfn.XLOOKUP(AP$134, 'SENS Coal'!$D$32:$BA$32, 'SENS Coal'!$D39:$BA39), 0)</f>
        <v>0</v>
      </c>
      <c r="AQ141" s="159">
        <f>IFERROR(_xlfn.XLOOKUP(AQ$134, 'Real Estate'!$D$25:$BA$25, 'Real Estate'!$D32:$BA32), 0)+IFERROR(_xlfn.XLOOKUP(AQ$134, 'GEN-CCGT'!$D$32:$BA$32, 'GEN-CCGT'!$D39:$BA39), 0)+IFERROR(_xlfn.XLOOKUP(AQ$134, 'GEN-SOLAR'!$D$32:$BA$32, 'GEN-SOLAR'!$D39:$BA39), 0)+IFERROR(_xlfn.XLOOKUP(AQ$134, 'GEN-BESS'!$D$32:$BA$32, 'GEN-BESS'!$D39:$BA39), 0)+IFERROR(_xlfn.XLOOKUP(AQ$134, 'GEN-CARBON'!$D$32:$BA$32, 'GEN-CARBON'!$D39:$BA39), 0)+IFERROR(_xlfn.XLOOKUP(AQ$134, Load!$D$32:$BA$32, Load!$D39:$BA39), 0)+IFERROR(_xlfn.XLOOKUP(AQ$134, Hydrogen!$D$32:$BA$32, Hydrogen!$D39:$BA39), 0)+IFERROR(_xlfn.XLOOKUP(AQ$134, 'SENS Tires'!$D$32:$BA$32, 'SENS Tires'!$D39:$BA39), 0)+IFERROR(_xlfn.XLOOKUP(AQ$134, 'SENS Coal'!$D$32:$BA$32, 'SENS Coal'!$D39:$BA39), 0)</f>
        <v>0</v>
      </c>
      <c r="AR141" s="159">
        <f>IFERROR(_xlfn.XLOOKUP(AR$134, 'Real Estate'!$D$25:$BA$25, 'Real Estate'!$D32:$BA32), 0)+IFERROR(_xlfn.XLOOKUP(AR$134, 'GEN-CCGT'!$D$32:$BA$32, 'GEN-CCGT'!$D39:$BA39), 0)+IFERROR(_xlfn.XLOOKUP(AR$134, 'GEN-SOLAR'!$D$32:$BA$32, 'GEN-SOLAR'!$D39:$BA39), 0)+IFERROR(_xlfn.XLOOKUP(AR$134, 'GEN-BESS'!$D$32:$BA$32, 'GEN-BESS'!$D39:$BA39), 0)+IFERROR(_xlfn.XLOOKUP(AR$134, 'GEN-CARBON'!$D$32:$BA$32, 'GEN-CARBON'!$D39:$BA39), 0)+IFERROR(_xlfn.XLOOKUP(AR$134, Load!$D$32:$BA$32, Load!$D39:$BA39), 0)+IFERROR(_xlfn.XLOOKUP(AR$134, Hydrogen!$D$32:$BA$32, Hydrogen!$D39:$BA39), 0)+IFERROR(_xlfn.XLOOKUP(AR$134, 'SENS Tires'!$D$32:$BA$32, 'SENS Tires'!$D39:$BA39), 0)+IFERROR(_xlfn.XLOOKUP(AR$134, 'SENS Coal'!$D$32:$BA$32, 'SENS Coal'!$D39:$BA39), 0)</f>
        <v>0</v>
      </c>
      <c r="AS141" s="159">
        <f>IFERROR(_xlfn.XLOOKUP(AS$134, 'Real Estate'!$D$25:$BA$25, 'Real Estate'!$D32:$BA32), 0)+IFERROR(_xlfn.XLOOKUP(AS$134, 'GEN-CCGT'!$D$32:$BA$32, 'GEN-CCGT'!$D39:$BA39), 0)+IFERROR(_xlfn.XLOOKUP(AS$134, 'GEN-SOLAR'!$D$32:$BA$32, 'GEN-SOLAR'!$D39:$BA39), 0)+IFERROR(_xlfn.XLOOKUP(AS$134, 'GEN-BESS'!$D$32:$BA$32, 'GEN-BESS'!$D39:$BA39), 0)+IFERROR(_xlfn.XLOOKUP(AS$134, 'GEN-CARBON'!$D$32:$BA$32, 'GEN-CARBON'!$D39:$BA39), 0)+IFERROR(_xlfn.XLOOKUP(AS$134, Load!$D$32:$BA$32, Load!$D39:$BA39), 0)+IFERROR(_xlfn.XLOOKUP(AS$134, Hydrogen!$D$32:$BA$32, Hydrogen!$D39:$BA39), 0)+IFERROR(_xlfn.XLOOKUP(AS$134, 'SENS Tires'!$D$32:$BA$32, 'SENS Tires'!$D39:$BA39), 0)+IFERROR(_xlfn.XLOOKUP(AS$134, 'SENS Coal'!$D$32:$BA$32, 'SENS Coal'!$D39:$BA39), 0)</f>
        <v>0</v>
      </c>
      <c r="AT141" s="159">
        <f>IFERROR(_xlfn.XLOOKUP(AT$134, 'Real Estate'!$D$25:$BA$25, 'Real Estate'!$D32:$BA32), 0)+IFERROR(_xlfn.XLOOKUP(AT$134, 'GEN-CCGT'!$D$32:$BA$32, 'GEN-CCGT'!$D39:$BA39), 0)+IFERROR(_xlfn.XLOOKUP(AT$134, 'GEN-SOLAR'!$D$32:$BA$32, 'GEN-SOLAR'!$D39:$BA39), 0)+IFERROR(_xlfn.XLOOKUP(AT$134, 'GEN-BESS'!$D$32:$BA$32, 'GEN-BESS'!$D39:$BA39), 0)+IFERROR(_xlfn.XLOOKUP(AT$134, 'GEN-CARBON'!$D$32:$BA$32, 'GEN-CARBON'!$D39:$BA39), 0)+IFERROR(_xlfn.XLOOKUP(AT$134, Load!$D$32:$BA$32, Load!$D39:$BA39), 0)+IFERROR(_xlfn.XLOOKUP(AT$134, Hydrogen!$D$32:$BA$32, Hydrogen!$D39:$BA39), 0)+IFERROR(_xlfn.XLOOKUP(AT$134, 'SENS Tires'!$D$32:$BA$32, 'SENS Tires'!$D39:$BA39), 0)+IFERROR(_xlfn.XLOOKUP(AT$134, 'SENS Coal'!$D$32:$BA$32, 'SENS Coal'!$D39:$BA39), 0)</f>
        <v>0</v>
      </c>
      <c r="AU141" s="159">
        <f>IFERROR(_xlfn.XLOOKUP(AU$134, 'Real Estate'!$D$25:$BA$25, 'Real Estate'!$D32:$BA32), 0)+IFERROR(_xlfn.XLOOKUP(AU$134, 'GEN-CCGT'!$D$32:$BA$32, 'GEN-CCGT'!$D39:$BA39), 0)+IFERROR(_xlfn.XLOOKUP(AU$134, 'GEN-SOLAR'!$D$32:$BA$32, 'GEN-SOLAR'!$D39:$BA39), 0)+IFERROR(_xlfn.XLOOKUP(AU$134, 'GEN-BESS'!$D$32:$BA$32, 'GEN-BESS'!$D39:$BA39), 0)+IFERROR(_xlfn.XLOOKUP(AU$134, 'GEN-CARBON'!$D$32:$BA$32, 'GEN-CARBON'!$D39:$BA39), 0)+IFERROR(_xlfn.XLOOKUP(AU$134, Load!$D$32:$BA$32, Load!$D39:$BA39), 0)+IFERROR(_xlfn.XLOOKUP(AU$134, Hydrogen!$D$32:$BA$32, Hydrogen!$D39:$BA39), 0)+IFERROR(_xlfn.XLOOKUP(AU$134, 'SENS Tires'!$D$32:$BA$32, 'SENS Tires'!$D39:$BA39), 0)+IFERROR(_xlfn.XLOOKUP(AU$134, 'SENS Coal'!$D$32:$BA$32, 'SENS Coal'!$D39:$BA39), 0)</f>
        <v>0</v>
      </c>
      <c r="AV141" s="159">
        <f>IFERROR(_xlfn.XLOOKUP(AV$134, 'Real Estate'!$D$25:$BA$25, 'Real Estate'!$D32:$BA32), 0)+IFERROR(_xlfn.XLOOKUP(AV$134, 'GEN-CCGT'!$D$32:$BA$32, 'GEN-CCGT'!$D39:$BA39), 0)+IFERROR(_xlfn.XLOOKUP(AV$134, 'GEN-SOLAR'!$D$32:$BA$32, 'GEN-SOLAR'!$D39:$BA39), 0)+IFERROR(_xlfn.XLOOKUP(AV$134, 'GEN-BESS'!$D$32:$BA$32, 'GEN-BESS'!$D39:$BA39), 0)+IFERROR(_xlfn.XLOOKUP(AV$134, 'GEN-CARBON'!$D$32:$BA$32, 'GEN-CARBON'!$D39:$BA39), 0)+IFERROR(_xlfn.XLOOKUP(AV$134, Load!$D$32:$BA$32, Load!$D39:$BA39), 0)+IFERROR(_xlfn.XLOOKUP(AV$134, Hydrogen!$D$32:$BA$32, Hydrogen!$D39:$BA39), 0)+IFERROR(_xlfn.XLOOKUP(AV$134, 'SENS Tires'!$D$32:$BA$32, 'SENS Tires'!$D39:$BA39), 0)+IFERROR(_xlfn.XLOOKUP(AV$134, 'SENS Coal'!$D$32:$BA$32, 'SENS Coal'!$D39:$BA39), 0)</f>
        <v>0</v>
      </c>
      <c r="AW141" s="159">
        <f>IFERROR(_xlfn.XLOOKUP(AW$134, 'Real Estate'!$D$25:$BA$25, 'Real Estate'!$D32:$BA32), 0)+IFERROR(_xlfn.XLOOKUP(AW$134, 'GEN-CCGT'!$D$32:$BA$32, 'GEN-CCGT'!$D39:$BA39), 0)+IFERROR(_xlfn.XLOOKUP(AW$134, 'GEN-SOLAR'!$D$32:$BA$32, 'GEN-SOLAR'!$D39:$BA39), 0)+IFERROR(_xlfn.XLOOKUP(AW$134, 'GEN-BESS'!$D$32:$BA$32, 'GEN-BESS'!$D39:$BA39), 0)+IFERROR(_xlfn.XLOOKUP(AW$134, 'GEN-CARBON'!$D$32:$BA$32, 'GEN-CARBON'!$D39:$BA39), 0)+IFERROR(_xlfn.XLOOKUP(AW$134, Load!$D$32:$BA$32, Load!$D39:$BA39), 0)+IFERROR(_xlfn.XLOOKUP(AW$134, Hydrogen!$D$32:$BA$32, Hydrogen!$D39:$BA39), 0)+IFERROR(_xlfn.XLOOKUP(AW$134, 'SENS Tires'!$D$32:$BA$32, 'SENS Tires'!$D39:$BA39), 0)+IFERROR(_xlfn.XLOOKUP(AW$134, 'SENS Coal'!$D$32:$BA$32, 'SENS Coal'!$D39:$BA39), 0)</f>
        <v>0</v>
      </c>
      <c r="AX141" s="159">
        <f>IFERROR(_xlfn.XLOOKUP(AX$134, 'Real Estate'!$D$25:$BA$25, 'Real Estate'!$D32:$BA32), 0)+IFERROR(_xlfn.XLOOKUP(AX$134, 'GEN-CCGT'!$D$32:$BA$32, 'GEN-CCGT'!$D39:$BA39), 0)+IFERROR(_xlfn.XLOOKUP(AX$134, 'GEN-SOLAR'!$D$32:$BA$32, 'GEN-SOLAR'!$D39:$BA39), 0)+IFERROR(_xlfn.XLOOKUP(AX$134, 'GEN-BESS'!$D$32:$BA$32, 'GEN-BESS'!$D39:$BA39), 0)+IFERROR(_xlfn.XLOOKUP(AX$134, 'GEN-CARBON'!$D$32:$BA$32, 'GEN-CARBON'!$D39:$BA39), 0)+IFERROR(_xlfn.XLOOKUP(AX$134, Load!$D$32:$BA$32, Load!$D39:$BA39), 0)+IFERROR(_xlfn.XLOOKUP(AX$134, Hydrogen!$D$32:$BA$32, Hydrogen!$D39:$BA39), 0)+IFERROR(_xlfn.XLOOKUP(AX$134, 'SENS Tires'!$D$32:$BA$32, 'SENS Tires'!$D39:$BA39), 0)+IFERROR(_xlfn.XLOOKUP(AX$134, 'SENS Coal'!$D$32:$BA$32, 'SENS Coal'!$D39:$BA39), 0)</f>
        <v>0</v>
      </c>
    </row>
    <row r="142" spans="1:50" ht="14.25" customHeight="1">
      <c r="A142" s="1"/>
      <c r="B142" s="84" t="s">
        <v>351</v>
      </c>
      <c r="C142" s="302" t="s">
        <v>408</v>
      </c>
      <c r="D142" s="22"/>
      <c r="E142" s="21">
        <f>E138+E139+E140+E141</f>
        <v>-632.58611111111111</v>
      </c>
      <c r="F142" s="21">
        <f t="shared" ref="F142:AX142" si="29">F138+F139+F140+F141</f>
        <v>-9.639956871736473</v>
      </c>
      <c r="G142" s="21">
        <f t="shared" si="29"/>
        <v>181.52150240487211</v>
      </c>
      <c r="H142" s="21">
        <f t="shared" si="29"/>
        <v>234.6666864358175</v>
      </c>
      <c r="I142" s="21">
        <f t="shared" si="29"/>
        <v>375.23966713017211</v>
      </c>
      <c r="J142" s="21">
        <f t="shared" si="29"/>
        <v>411.89394270896736</v>
      </c>
      <c r="K142" s="21">
        <f t="shared" si="29"/>
        <v>419.65461784970142</v>
      </c>
      <c r="L142" s="21">
        <f t="shared" si="29"/>
        <v>427.58009190805689</v>
      </c>
      <c r="M142" s="21">
        <f t="shared" si="29"/>
        <v>435.67401789988565</v>
      </c>
      <c r="N142" s="21">
        <f t="shared" si="29"/>
        <v>443.94013360684738</v>
      </c>
      <c r="O142" s="21">
        <f t="shared" si="29"/>
        <v>452.38226363914987</v>
      </c>
      <c r="P142" s="21">
        <f t="shared" si="29"/>
        <v>461.0043215508295</v>
      </c>
      <c r="Q142" s="21">
        <f t="shared" si="29"/>
        <v>469.81031200896717</v>
      </c>
      <c r="R142" s="21">
        <f t="shared" si="29"/>
        <v>478.80433301827321</v>
      </c>
      <c r="S142" s="21">
        <f t="shared" si="29"/>
        <v>487.99057820250999</v>
      </c>
      <c r="T142" s="21">
        <f t="shared" si="29"/>
        <v>497.37333914426534</v>
      </c>
      <c r="U142" s="21">
        <f t="shared" si="29"/>
        <v>506.95700778463168</v>
      </c>
      <c r="V142" s="21">
        <f t="shared" si="29"/>
        <v>516.74607888438288</v>
      </c>
      <c r="W142" s="21">
        <f t="shared" si="29"/>
        <v>526.74515254829305</v>
      </c>
      <c r="X142" s="21">
        <f t="shared" si="29"/>
        <v>536.95893681428026</v>
      </c>
      <c r="Y142" s="21">
        <f t="shared" si="29"/>
        <v>547.39225030910825</v>
      </c>
      <c r="Z142" s="21">
        <f t="shared" si="29"/>
        <v>558.05002497242242</v>
      </c>
      <c r="AA142" s="21">
        <f t="shared" si="29"/>
        <v>568.93730885095329</v>
      </c>
      <c r="AB142" s="21">
        <f t="shared" si="29"/>
        <v>580.05926896476251</v>
      </c>
      <c r="AC142" s="21">
        <f t="shared" si="29"/>
        <v>591.42119424746522</v>
      </c>
      <c r="AD142" s="21">
        <f t="shared" si="29"/>
        <v>603.02849856241062</v>
      </c>
      <c r="AE142" s="21">
        <f t="shared" si="29"/>
        <v>614.88672379686341</v>
      </c>
      <c r="AF142" s="21">
        <f t="shared" si="29"/>
        <v>113.9502816884149</v>
      </c>
      <c r="AG142" s="21">
        <f t="shared" si="29"/>
        <v>115.54509503900958</v>
      </c>
      <c r="AH142" s="21">
        <f t="shared" si="29"/>
        <v>74.732332271660937</v>
      </c>
      <c r="AI142" s="21">
        <f t="shared" si="29"/>
        <v>-2.3219929889830952E-6</v>
      </c>
      <c r="AJ142" s="21">
        <f t="shared" si="29"/>
        <v>-2.3916527786525884E-6</v>
      </c>
      <c r="AK142" s="21">
        <f t="shared" si="29"/>
        <v>-2.4634023620121658E-6</v>
      </c>
      <c r="AL142" s="21">
        <f t="shared" si="29"/>
        <v>-2.537304432872531E-6</v>
      </c>
      <c r="AM142" s="21">
        <f t="shared" si="29"/>
        <v>-2.6134235658587073E-6</v>
      </c>
      <c r="AN142" s="21">
        <f t="shared" si="29"/>
        <v>-2.6918262728344683E-6</v>
      </c>
      <c r="AO142" s="21">
        <f t="shared" si="29"/>
        <v>-2.7725810610195027E-6</v>
      </c>
      <c r="AP142" s="21">
        <f t="shared" si="29"/>
        <v>-2.8557584928500874E-6</v>
      </c>
      <c r="AQ142" s="21">
        <f t="shared" si="29"/>
        <v>-2.9414312476355905E-6</v>
      </c>
      <c r="AR142" s="21">
        <f t="shared" si="29"/>
        <v>-3.0296741850646581E-6</v>
      </c>
      <c r="AS142" s="21">
        <f t="shared" si="29"/>
        <v>-3.1205644106165973E-6</v>
      </c>
      <c r="AT142" s="21">
        <f t="shared" si="29"/>
        <v>-3.2141813429350959E-6</v>
      </c>
      <c r="AU142" s="21">
        <f t="shared" si="29"/>
        <v>-3.310606783223149E-6</v>
      </c>
      <c r="AV142" s="21">
        <f t="shared" si="29"/>
        <v>-3.4099249867198433E-6</v>
      </c>
      <c r="AW142" s="21">
        <f t="shared" si="29"/>
        <v>-3.5122227363214387E-6</v>
      </c>
      <c r="AX142" s="301">
        <f t="shared" si="29"/>
        <v>-3.6175894184110823E-6</v>
      </c>
    </row>
    <row r="143" spans="1:50" ht="14.25" customHeight="1">
      <c r="A143" s="1"/>
      <c r="B143" s="84"/>
      <c r="C143" s="296" t="s">
        <v>409</v>
      </c>
      <c r="D143" s="84"/>
      <c r="E143" s="208">
        <f>-$F$168</f>
        <v>-39.200000000000003</v>
      </c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208"/>
      <c r="AC143" s="208"/>
      <c r="AD143" s="208"/>
      <c r="AE143" s="208"/>
      <c r="AF143" s="208"/>
      <c r="AG143" s="208"/>
      <c r="AH143" s="208"/>
      <c r="AI143" s="208"/>
      <c r="AJ143" s="208"/>
      <c r="AK143" s="208"/>
      <c r="AL143" s="208"/>
      <c r="AM143" s="208"/>
      <c r="AN143" s="208"/>
      <c r="AO143" s="208"/>
      <c r="AP143" s="208"/>
      <c r="AQ143" s="208"/>
      <c r="AR143" s="208"/>
      <c r="AS143" s="208"/>
      <c r="AT143" s="208"/>
      <c r="AU143" s="208"/>
      <c r="AV143" s="208"/>
      <c r="AW143" s="208"/>
      <c r="AX143" s="297"/>
    </row>
    <row r="144" spans="1:50" ht="14.25" customHeight="1">
      <c r="A144" s="1"/>
      <c r="B144" s="84"/>
      <c r="C144" s="296" t="s">
        <v>461</v>
      </c>
      <c r="D144" s="84"/>
      <c r="E144" s="208">
        <f t="shared" ref="E144:AX144" si="30">-(E140+E143)</f>
        <v>671.78611111111115</v>
      </c>
      <c r="F144" s="208">
        <f t="shared" si="30"/>
        <v>215.29166666666666</v>
      </c>
      <c r="G144" s="208">
        <f t="shared" si="30"/>
        <v>126.66666666666666</v>
      </c>
      <c r="H144" s="208">
        <f t="shared" si="30"/>
        <v>93.055555555555557</v>
      </c>
      <c r="I144" s="208">
        <f t="shared" si="30"/>
        <v>7.5</v>
      </c>
      <c r="J144" s="208">
        <f t="shared" si="30"/>
        <v>0</v>
      </c>
      <c r="K144" s="208">
        <f t="shared" si="30"/>
        <v>0</v>
      </c>
      <c r="L144" s="208">
        <f t="shared" si="30"/>
        <v>0</v>
      </c>
      <c r="M144" s="208">
        <f t="shared" si="30"/>
        <v>0</v>
      </c>
      <c r="N144" s="208">
        <f t="shared" si="30"/>
        <v>0</v>
      </c>
      <c r="O144" s="208">
        <f t="shared" si="30"/>
        <v>0</v>
      </c>
      <c r="P144" s="208">
        <f t="shared" si="30"/>
        <v>0</v>
      </c>
      <c r="Q144" s="208">
        <f t="shared" si="30"/>
        <v>0</v>
      </c>
      <c r="R144" s="208">
        <f t="shared" si="30"/>
        <v>0</v>
      </c>
      <c r="S144" s="208">
        <f t="shared" si="30"/>
        <v>0</v>
      </c>
      <c r="T144" s="208">
        <f t="shared" si="30"/>
        <v>0</v>
      </c>
      <c r="U144" s="208">
        <f t="shared" si="30"/>
        <v>0</v>
      </c>
      <c r="V144" s="208">
        <f t="shared" si="30"/>
        <v>0</v>
      </c>
      <c r="W144" s="208">
        <f t="shared" si="30"/>
        <v>0</v>
      </c>
      <c r="X144" s="208">
        <f t="shared" si="30"/>
        <v>0</v>
      </c>
      <c r="Y144" s="208">
        <f t="shared" si="30"/>
        <v>0</v>
      </c>
      <c r="Z144" s="208">
        <f t="shared" si="30"/>
        <v>0</v>
      </c>
      <c r="AA144" s="208">
        <f t="shared" si="30"/>
        <v>0</v>
      </c>
      <c r="AB144" s="208">
        <f t="shared" si="30"/>
        <v>0</v>
      </c>
      <c r="AC144" s="208">
        <f t="shared" si="30"/>
        <v>0</v>
      </c>
      <c r="AD144" s="208">
        <f t="shared" si="30"/>
        <v>0</v>
      </c>
      <c r="AE144" s="208">
        <f t="shared" si="30"/>
        <v>0</v>
      </c>
      <c r="AF144" s="208">
        <f t="shared" si="30"/>
        <v>0</v>
      </c>
      <c r="AG144" s="208">
        <f t="shared" si="30"/>
        <v>0</v>
      </c>
      <c r="AH144" s="208">
        <f t="shared" si="30"/>
        <v>0</v>
      </c>
      <c r="AI144" s="208">
        <f t="shared" si="30"/>
        <v>0</v>
      </c>
      <c r="AJ144" s="208">
        <f t="shared" si="30"/>
        <v>0</v>
      </c>
      <c r="AK144" s="208">
        <f t="shared" si="30"/>
        <v>0</v>
      </c>
      <c r="AL144" s="208">
        <f t="shared" si="30"/>
        <v>0</v>
      </c>
      <c r="AM144" s="208">
        <f t="shared" si="30"/>
        <v>0</v>
      </c>
      <c r="AN144" s="208">
        <f t="shared" si="30"/>
        <v>0</v>
      </c>
      <c r="AO144" s="208">
        <f t="shared" si="30"/>
        <v>0</v>
      </c>
      <c r="AP144" s="208">
        <f t="shared" si="30"/>
        <v>0</v>
      </c>
      <c r="AQ144" s="208">
        <f t="shared" si="30"/>
        <v>0</v>
      </c>
      <c r="AR144" s="208">
        <f t="shared" si="30"/>
        <v>0</v>
      </c>
      <c r="AS144" s="208">
        <f t="shared" si="30"/>
        <v>0</v>
      </c>
      <c r="AT144" s="208">
        <f t="shared" si="30"/>
        <v>0</v>
      </c>
      <c r="AU144" s="208">
        <f t="shared" si="30"/>
        <v>0</v>
      </c>
      <c r="AV144" s="208">
        <f t="shared" si="30"/>
        <v>0</v>
      </c>
      <c r="AW144" s="208">
        <f t="shared" si="30"/>
        <v>0</v>
      </c>
      <c r="AX144" s="15">
        <f t="shared" si="30"/>
        <v>0</v>
      </c>
    </row>
    <row r="145" spans="1:50" ht="14.25" customHeight="1">
      <c r="A145" s="1"/>
      <c r="B145" s="84"/>
      <c r="C145" s="296" t="s">
        <v>410</v>
      </c>
      <c r="D145" s="84"/>
      <c r="E145" s="215">
        <f>IFERROR(_xlfn.XLOOKUP(E$134, 'Real Estate'!$D$25:$BA$25, 'Real Estate'!$D35:$BA35), 0)+IFERROR(_xlfn.XLOOKUP(E$134, 'GEN-CCGT'!$D$32:$BA$32, 'GEN-CCGT'!$D42:$BA42)*'Assumptions &amp; Inputs'!$G$4, 0)+IFERROR(_xlfn.XLOOKUP(E$134, 'GEN-SOLAR'!$D$32:$BA$32, 'GEN-SOLAR'!$D42:$BA42)*'Assumptions &amp; Inputs'!$H$4, 0)+IFERROR(_xlfn.XLOOKUP(E$134, 'GEN-BESS'!$D$32:$BA$32, 'GEN-BESS'!$D42:$BA42)*'Assumptions &amp; Inputs'!$F$4, 0)+IFERROR(_xlfn.XLOOKUP(E$134, 'GEN-CARBON'!$D$32:$BA$32, 'GEN-CARBON'!$D42:$BA42)*'Assumptions &amp; Inputs'!$I$4, 0)+IFERROR(_xlfn.XLOOKUP(E$134, Load!$D$32:$BA$32, Load!$D42:$BA42)*'Assumptions &amp; Inputs'!$E$4, 0)+IFERROR(_xlfn.XLOOKUP(E$134, Hydrogen!$D$32:$BA$32, Hydrogen!$D42:$BA42)*'Assumptions &amp; Inputs'!$J$4, 0)+IFERROR(_xlfn.XLOOKUP(E$134, 'SENS Tires'!$D$32:$BA$32, 'SENS Tires'!$D42:$BA42)*'Assumptions &amp; Inputs'!$K$4, 0)+IFERROR(_xlfn.XLOOKUP(E$134, 'SENS Coal'!$D$32:$BA$32, 'SENS Coal'!$D42:$BA42)*'Assumptions &amp; Inputs'!$L$4, 0)</f>
        <v>0</v>
      </c>
      <c r="F145" s="215">
        <f>IFERROR(_xlfn.XLOOKUP(F$134, 'Real Estate'!$D$25:$BA$25, 'Real Estate'!$D35:$BA35), 0)+IFERROR(_xlfn.XLOOKUP(F$134, 'GEN-CCGT'!$D$32:$BA$32, 'GEN-CCGT'!$D42:$BA42)*'Assumptions &amp; Inputs'!$G$4, 0)+IFERROR(_xlfn.XLOOKUP(F$134, 'GEN-SOLAR'!$D$32:$BA$32, 'GEN-SOLAR'!$D42:$BA42)*'Assumptions &amp; Inputs'!$H$4, 0)+IFERROR(_xlfn.XLOOKUP(F$134, 'GEN-BESS'!$D$32:$BA$32, 'GEN-BESS'!$D42:$BA42)*'Assumptions &amp; Inputs'!$F$4, 0)+IFERROR(_xlfn.XLOOKUP(F$134, 'GEN-CARBON'!$D$32:$BA$32, 'GEN-CARBON'!$D42:$BA42)*'Assumptions &amp; Inputs'!$I$4, 0)+IFERROR(_xlfn.XLOOKUP(F$134, Load!$D$32:$BA$32, Load!$D42:$BA42)*'Assumptions &amp; Inputs'!$E$4, 0)+IFERROR(_xlfn.XLOOKUP(F$134, Hydrogen!$D$32:$BA$32, Hydrogen!$D42:$BA42)*'Assumptions &amp; Inputs'!$J$4, 0)+IFERROR(_xlfn.XLOOKUP(F$134, 'SENS Tires'!$D$32:$BA$32, 'SENS Tires'!$D42:$BA42)*'Assumptions &amp; Inputs'!$K$4, 0)+IFERROR(_xlfn.XLOOKUP(F$134, 'SENS Coal'!$D$32:$BA$32, 'SENS Coal'!$D42:$BA42)*'Assumptions &amp; Inputs'!$L$4, 0)</f>
        <v>0</v>
      </c>
      <c r="G145" s="215">
        <f>IFERROR(_xlfn.XLOOKUP(G$134, 'Real Estate'!$D$25:$BA$25, 'Real Estate'!$D35:$BA35), 0)+IFERROR(_xlfn.XLOOKUP(G$134, 'GEN-CCGT'!$D$32:$BA$32, 'GEN-CCGT'!$D42:$BA42)*'Assumptions &amp; Inputs'!$G$4, 0)+IFERROR(_xlfn.XLOOKUP(G$134, 'GEN-SOLAR'!$D$32:$BA$32, 'GEN-SOLAR'!$D42:$BA42)*'Assumptions &amp; Inputs'!$H$4, 0)+IFERROR(_xlfn.XLOOKUP(G$134, 'GEN-BESS'!$D$32:$BA$32, 'GEN-BESS'!$D42:$BA42)*'Assumptions &amp; Inputs'!$F$4, 0)+IFERROR(_xlfn.XLOOKUP(G$134, 'GEN-CARBON'!$D$32:$BA$32, 'GEN-CARBON'!$D42:$BA42)*'Assumptions &amp; Inputs'!$I$4, 0)+IFERROR(_xlfn.XLOOKUP(G$134, Load!$D$32:$BA$32, Load!$D42:$BA42)*'Assumptions &amp; Inputs'!$E$4, 0)+IFERROR(_xlfn.XLOOKUP(G$134, Hydrogen!$D$32:$BA$32, Hydrogen!$D42:$BA42)*'Assumptions &amp; Inputs'!$J$4, 0)+IFERROR(_xlfn.XLOOKUP(G$134, 'SENS Tires'!$D$32:$BA$32, 'SENS Tires'!$D42:$BA42)*'Assumptions &amp; Inputs'!$K$4, 0)+IFERROR(_xlfn.XLOOKUP(G$134, 'SENS Coal'!$D$32:$BA$32, 'SENS Coal'!$D42:$BA42)*'Assumptions &amp; Inputs'!$L$4, 0)</f>
        <v>0</v>
      </c>
      <c r="H145" s="215">
        <f>IFERROR(_xlfn.XLOOKUP(H$134, 'Real Estate'!$D$25:$BA$25, 'Real Estate'!$D35:$BA35), 0)+IFERROR(_xlfn.XLOOKUP(H$134, 'GEN-CCGT'!$D$32:$BA$32, 'GEN-CCGT'!$D42:$BA42)*'Assumptions &amp; Inputs'!$G$4, 0)+IFERROR(_xlfn.XLOOKUP(H$134, 'GEN-SOLAR'!$D$32:$BA$32, 'GEN-SOLAR'!$D42:$BA42)*'Assumptions &amp; Inputs'!$H$4, 0)+IFERROR(_xlfn.XLOOKUP(H$134, 'GEN-BESS'!$D$32:$BA$32, 'GEN-BESS'!$D42:$BA42)*'Assumptions &amp; Inputs'!$F$4, 0)+IFERROR(_xlfn.XLOOKUP(H$134, 'GEN-CARBON'!$D$32:$BA$32, 'GEN-CARBON'!$D42:$BA42)*'Assumptions &amp; Inputs'!$I$4, 0)+IFERROR(_xlfn.XLOOKUP(H$134, Load!$D$32:$BA$32, Load!$D42:$BA42)*'Assumptions &amp; Inputs'!$E$4, 0)+IFERROR(_xlfn.XLOOKUP(H$134, Hydrogen!$D$32:$BA$32, Hydrogen!$D42:$BA42)*'Assumptions &amp; Inputs'!$J$4, 0)+IFERROR(_xlfn.XLOOKUP(H$134, 'SENS Tires'!$D$32:$BA$32, 'SENS Tires'!$D42:$BA42)*'Assumptions &amp; Inputs'!$K$4, 0)+IFERROR(_xlfn.XLOOKUP(H$134, 'SENS Coal'!$D$32:$BA$32, 'SENS Coal'!$D42:$BA42)*'Assumptions &amp; Inputs'!$L$4, 0)</f>
        <v>0</v>
      </c>
      <c r="I145" s="215">
        <f>IFERROR(_xlfn.XLOOKUP(I$134, 'Real Estate'!$D$25:$BA$25, 'Real Estate'!$D35:$BA35), 0)+IFERROR(_xlfn.XLOOKUP(I$134, 'GEN-CCGT'!$D$32:$BA$32, 'GEN-CCGT'!$D42:$BA42)*'Assumptions &amp; Inputs'!$G$4, 0)+IFERROR(_xlfn.XLOOKUP(I$134, 'GEN-SOLAR'!$D$32:$BA$32, 'GEN-SOLAR'!$D42:$BA42)*'Assumptions &amp; Inputs'!$H$4, 0)+IFERROR(_xlfn.XLOOKUP(I$134, 'GEN-BESS'!$D$32:$BA$32, 'GEN-BESS'!$D42:$BA42)*'Assumptions &amp; Inputs'!$F$4, 0)+IFERROR(_xlfn.XLOOKUP(I$134, 'GEN-CARBON'!$D$32:$BA$32, 'GEN-CARBON'!$D42:$BA42)*'Assumptions &amp; Inputs'!$I$4, 0)+IFERROR(_xlfn.XLOOKUP(I$134, Load!$D$32:$BA$32, Load!$D42:$BA42)*'Assumptions &amp; Inputs'!$E$4, 0)+IFERROR(_xlfn.XLOOKUP(I$134, Hydrogen!$D$32:$BA$32, Hydrogen!$D42:$BA42)*'Assumptions &amp; Inputs'!$J$4, 0)+IFERROR(_xlfn.XLOOKUP(I$134, 'SENS Tires'!$D$32:$BA$32, 'SENS Tires'!$D42:$BA42)*'Assumptions &amp; Inputs'!$K$4, 0)+IFERROR(_xlfn.XLOOKUP(I$134, 'SENS Coal'!$D$32:$BA$32, 'SENS Coal'!$D42:$BA42)*'Assumptions &amp; Inputs'!$L$4, 0)</f>
        <v>0</v>
      </c>
      <c r="J145" s="215">
        <f>IFERROR(_xlfn.XLOOKUP(J$134, 'Real Estate'!$D$25:$BA$25, 'Real Estate'!$D35:$BA35), 0)+IFERROR(_xlfn.XLOOKUP(J$134, 'GEN-CCGT'!$D$32:$BA$32, 'GEN-CCGT'!$D42:$BA42)*'Assumptions &amp; Inputs'!$G$4, 0)+IFERROR(_xlfn.XLOOKUP(J$134, 'GEN-SOLAR'!$D$32:$BA$32, 'GEN-SOLAR'!$D42:$BA42)*'Assumptions &amp; Inputs'!$H$4, 0)+IFERROR(_xlfn.XLOOKUP(J$134, 'GEN-BESS'!$D$32:$BA$32, 'GEN-BESS'!$D42:$BA42)*'Assumptions &amp; Inputs'!$F$4, 0)+IFERROR(_xlfn.XLOOKUP(J$134, 'GEN-CARBON'!$D$32:$BA$32, 'GEN-CARBON'!$D42:$BA42)*'Assumptions &amp; Inputs'!$I$4, 0)+IFERROR(_xlfn.XLOOKUP(J$134, Load!$D$32:$BA$32, Load!$D42:$BA42)*'Assumptions &amp; Inputs'!$E$4, 0)+IFERROR(_xlfn.XLOOKUP(J$134, Hydrogen!$D$32:$BA$32, Hydrogen!$D42:$BA42)*'Assumptions &amp; Inputs'!$J$4, 0)+IFERROR(_xlfn.XLOOKUP(J$134, 'SENS Tires'!$D$32:$BA$32, 'SENS Tires'!$D42:$BA42)*'Assumptions &amp; Inputs'!$K$4, 0)+IFERROR(_xlfn.XLOOKUP(J$134, 'SENS Coal'!$D$32:$BA$32, 'SENS Coal'!$D42:$BA42)*'Assumptions &amp; Inputs'!$L$4, 0)</f>
        <v>0</v>
      </c>
      <c r="K145" s="215">
        <f>IFERROR(_xlfn.XLOOKUP(K$134, 'Real Estate'!$D$25:$BA$25, 'Real Estate'!$D35:$BA35), 0)+IFERROR(_xlfn.XLOOKUP(K$134, 'GEN-CCGT'!$D$32:$BA$32, 'GEN-CCGT'!$D42:$BA42)*'Assumptions &amp; Inputs'!$G$4, 0)+IFERROR(_xlfn.XLOOKUP(K$134, 'GEN-SOLAR'!$D$32:$BA$32, 'GEN-SOLAR'!$D42:$BA42)*'Assumptions &amp; Inputs'!$H$4, 0)+IFERROR(_xlfn.XLOOKUP(K$134, 'GEN-BESS'!$D$32:$BA$32, 'GEN-BESS'!$D42:$BA42)*'Assumptions &amp; Inputs'!$F$4, 0)+IFERROR(_xlfn.XLOOKUP(K$134, 'GEN-CARBON'!$D$32:$BA$32, 'GEN-CARBON'!$D42:$BA42)*'Assumptions &amp; Inputs'!$I$4, 0)+IFERROR(_xlfn.XLOOKUP(K$134, Load!$D$32:$BA$32, Load!$D42:$BA42)*'Assumptions &amp; Inputs'!$E$4, 0)+IFERROR(_xlfn.XLOOKUP(K$134, Hydrogen!$D$32:$BA$32, Hydrogen!$D42:$BA42)*'Assumptions &amp; Inputs'!$J$4, 0)+IFERROR(_xlfn.XLOOKUP(K$134, 'SENS Tires'!$D$32:$BA$32, 'SENS Tires'!$D42:$BA42)*'Assumptions &amp; Inputs'!$K$4, 0)+IFERROR(_xlfn.XLOOKUP(K$134, 'SENS Coal'!$D$32:$BA$32, 'SENS Coal'!$D42:$BA42)*'Assumptions &amp; Inputs'!$L$4, 0)</f>
        <v>0</v>
      </c>
      <c r="L145" s="215">
        <f>IFERROR(_xlfn.XLOOKUP(L$134, 'Real Estate'!$D$25:$BA$25, 'Real Estate'!$D35:$BA35), 0)+IFERROR(_xlfn.XLOOKUP(L$134, 'GEN-CCGT'!$D$32:$BA$32, 'GEN-CCGT'!$D42:$BA42)*'Assumptions &amp; Inputs'!$G$4, 0)+IFERROR(_xlfn.XLOOKUP(L$134, 'GEN-SOLAR'!$D$32:$BA$32, 'GEN-SOLAR'!$D42:$BA42)*'Assumptions &amp; Inputs'!$H$4, 0)+IFERROR(_xlfn.XLOOKUP(L$134, 'GEN-BESS'!$D$32:$BA$32, 'GEN-BESS'!$D42:$BA42)*'Assumptions &amp; Inputs'!$F$4, 0)+IFERROR(_xlfn.XLOOKUP(L$134, 'GEN-CARBON'!$D$32:$BA$32, 'GEN-CARBON'!$D42:$BA42)*'Assumptions &amp; Inputs'!$I$4, 0)+IFERROR(_xlfn.XLOOKUP(L$134, Load!$D$32:$BA$32, Load!$D42:$BA42)*'Assumptions &amp; Inputs'!$E$4, 0)+IFERROR(_xlfn.XLOOKUP(L$134, Hydrogen!$D$32:$BA$32, Hydrogen!$D42:$BA42)*'Assumptions &amp; Inputs'!$J$4, 0)+IFERROR(_xlfn.XLOOKUP(L$134, 'SENS Tires'!$D$32:$BA$32, 'SENS Tires'!$D42:$BA42)*'Assumptions &amp; Inputs'!$K$4, 0)+IFERROR(_xlfn.XLOOKUP(L$134, 'SENS Coal'!$D$32:$BA$32, 'SENS Coal'!$D42:$BA42)*'Assumptions &amp; Inputs'!$L$4, 0)</f>
        <v>0</v>
      </c>
      <c r="M145" s="215">
        <f>IFERROR(_xlfn.XLOOKUP(M$134, 'Real Estate'!$D$25:$BA$25, 'Real Estate'!$D35:$BA35), 0)+IFERROR(_xlfn.XLOOKUP(M$134, 'GEN-CCGT'!$D$32:$BA$32, 'GEN-CCGT'!$D42:$BA42)*'Assumptions &amp; Inputs'!$G$4, 0)+IFERROR(_xlfn.XLOOKUP(M$134, 'GEN-SOLAR'!$D$32:$BA$32, 'GEN-SOLAR'!$D42:$BA42)*'Assumptions &amp; Inputs'!$H$4, 0)+IFERROR(_xlfn.XLOOKUP(M$134, 'GEN-BESS'!$D$32:$BA$32, 'GEN-BESS'!$D42:$BA42)*'Assumptions &amp; Inputs'!$F$4, 0)+IFERROR(_xlfn.XLOOKUP(M$134, 'GEN-CARBON'!$D$32:$BA$32, 'GEN-CARBON'!$D42:$BA42)*'Assumptions &amp; Inputs'!$I$4, 0)+IFERROR(_xlfn.XLOOKUP(M$134, Load!$D$32:$BA$32, Load!$D42:$BA42)*'Assumptions &amp; Inputs'!$E$4, 0)+IFERROR(_xlfn.XLOOKUP(M$134, Hydrogen!$D$32:$BA$32, Hydrogen!$D42:$BA42)*'Assumptions &amp; Inputs'!$J$4, 0)+IFERROR(_xlfn.XLOOKUP(M$134, 'SENS Tires'!$D$32:$BA$32, 'SENS Tires'!$D42:$BA42)*'Assumptions &amp; Inputs'!$K$4, 0)+IFERROR(_xlfn.XLOOKUP(M$134, 'SENS Coal'!$D$32:$BA$32, 'SENS Coal'!$D42:$BA42)*'Assumptions &amp; Inputs'!$L$4, 0)</f>
        <v>0</v>
      </c>
      <c r="N145" s="215">
        <f>IFERROR(_xlfn.XLOOKUP(N$134, 'Real Estate'!$D$25:$BA$25, 'Real Estate'!$D35:$BA35), 0)+IFERROR(_xlfn.XLOOKUP(N$134, 'GEN-CCGT'!$D$32:$BA$32, 'GEN-CCGT'!$D42:$BA42)*'Assumptions &amp; Inputs'!$G$4, 0)+IFERROR(_xlfn.XLOOKUP(N$134, 'GEN-SOLAR'!$D$32:$BA$32, 'GEN-SOLAR'!$D42:$BA42)*'Assumptions &amp; Inputs'!$H$4, 0)+IFERROR(_xlfn.XLOOKUP(N$134, 'GEN-BESS'!$D$32:$BA$32, 'GEN-BESS'!$D42:$BA42)*'Assumptions &amp; Inputs'!$F$4, 0)+IFERROR(_xlfn.XLOOKUP(N$134, 'GEN-CARBON'!$D$32:$BA$32, 'GEN-CARBON'!$D42:$BA42)*'Assumptions &amp; Inputs'!$I$4, 0)+IFERROR(_xlfn.XLOOKUP(N$134, Load!$D$32:$BA$32, Load!$D42:$BA42)*'Assumptions &amp; Inputs'!$E$4, 0)+IFERROR(_xlfn.XLOOKUP(N$134, Hydrogen!$D$32:$BA$32, Hydrogen!$D42:$BA42)*'Assumptions &amp; Inputs'!$J$4, 0)+IFERROR(_xlfn.XLOOKUP(N$134, 'SENS Tires'!$D$32:$BA$32, 'SENS Tires'!$D42:$BA42)*'Assumptions &amp; Inputs'!$K$4, 0)+IFERROR(_xlfn.XLOOKUP(N$134, 'SENS Coal'!$D$32:$BA$32, 'SENS Coal'!$D42:$BA42)*'Assumptions &amp; Inputs'!$L$4, 0)</f>
        <v>0</v>
      </c>
      <c r="O145" s="215">
        <f>IFERROR(_xlfn.XLOOKUP(O$134, 'Real Estate'!$D$25:$BA$25, 'Real Estate'!$D35:$BA35), 0)+IFERROR(_xlfn.XLOOKUP(O$134, 'GEN-CCGT'!$D$32:$BA$32, 'GEN-CCGT'!$D42:$BA42)*'Assumptions &amp; Inputs'!$G$4, 0)+IFERROR(_xlfn.XLOOKUP(O$134, 'GEN-SOLAR'!$D$32:$BA$32, 'GEN-SOLAR'!$D42:$BA42)*'Assumptions &amp; Inputs'!$H$4, 0)+IFERROR(_xlfn.XLOOKUP(O$134, 'GEN-BESS'!$D$32:$BA$32, 'GEN-BESS'!$D42:$BA42)*'Assumptions &amp; Inputs'!$F$4, 0)+IFERROR(_xlfn.XLOOKUP(O$134, 'GEN-CARBON'!$D$32:$BA$32, 'GEN-CARBON'!$D42:$BA42)*'Assumptions &amp; Inputs'!$I$4, 0)+IFERROR(_xlfn.XLOOKUP(O$134, Load!$D$32:$BA$32, Load!$D42:$BA42)*'Assumptions &amp; Inputs'!$E$4, 0)+IFERROR(_xlfn.XLOOKUP(O$134, Hydrogen!$D$32:$BA$32, Hydrogen!$D42:$BA42)*'Assumptions &amp; Inputs'!$J$4, 0)+IFERROR(_xlfn.XLOOKUP(O$134, 'SENS Tires'!$D$32:$BA$32, 'SENS Tires'!$D42:$BA42)*'Assumptions &amp; Inputs'!$K$4, 0)+IFERROR(_xlfn.XLOOKUP(O$134, 'SENS Coal'!$D$32:$BA$32, 'SENS Coal'!$D42:$BA42)*'Assumptions &amp; Inputs'!$L$4, 0)</f>
        <v>0</v>
      </c>
      <c r="P145" s="215">
        <f>IFERROR(_xlfn.XLOOKUP(P$134, 'Real Estate'!$D$25:$BA$25, 'Real Estate'!$D35:$BA35), 0)+IFERROR(_xlfn.XLOOKUP(P$134, 'GEN-CCGT'!$D$32:$BA$32, 'GEN-CCGT'!$D42:$BA42)*'Assumptions &amp; Inputs'!$G$4, 0)+IFERROR(_xlfn.XLOOKUP(P$134, 'GEN-SOLAR'!$D$32:$BA$32, 'GEN-SOLAR'!$D42:$BA42)*'Assumptions &amp; Inputs'!$H$4, 0)+IFERROR(_xlfn.XLOOKUP(P$134, 'GEN-BESS'!$D$32:$BA$32, 'GEN-BESS'!$D42:$BA42)*'Assumptions &amp; Inputs'!$F$4, 0)+IFERROR(_xlfn.XLOOKUP(P$134, 'GEN-CARBON'!$D$32:$BA$32, 'GEN-CARBON'!$D42:$BA42)*'Assumptions &amp; Inputs'!$I$4, 0)+IFERROR(_xlfn.XLOOKUP(P$134, Load!$D$32:$BA$32, Load!$D42:$BA42)*'Assumptions &amp; Inputs'!$E$4, 0)+IFERROR(_xlfn.XLOOKUP(P$134, Hydrogen!$D$32:$BA$32, Hydrogen!$D42:$BA42)*'Assumptions &amp; Inputs'!$J$4, 0)+IFERROR(_xlfn.XLOOKUP(P$134, 'SENS Tires'!$D$32:$BA$32, 'SENS Tires'!$D42:$BA42)*'Assumptions &amp; Inputs'!$K$4, 0)+IFERROR(_xlfn.XLOOKUP(P$134, 'SENS Coal'!$D$32:$BA$32, 'SENS Coal'!$D42:$BA42)*'Assumptions &amp; Inputs'!$L$4, 0)</f>
        <v>0</v>
      </c>
      <c r="Q145" s="215">
        <f>IFERROR(_xlfn.XLOOKUP(Q$134, 'Real Estate'!$D$25:$BA$25, 'Real Estate'!$D35:$BA35), 0)+IFERROR(_xlfn.XLOOKUP(Q$134, 'GEN-CCGT'!$D$32:$BA$32, 'GEN-CCGT'!$D42:$BA42)*'Assumptions &amp; Inputs'!$G$4, 0)+IFERROR(_xlfn.XLOOKUP(Q$134, 'GEN-SOLAR'!$D$32:$BA$32, 'GEN-SOLAR'!$D42:$BA42)*'Assumptions &amp; Inputs'!$H$4, 0)+IFERROR(_xlfn.XLOOKUP(Q$134, 'GEN-BESS'!$D$32:$BA$32, 'GEN-BESS'!$D42:$BA42)*'Assumptions &amp; Inputs'!$F$4, 0)+IFERROR(_xlfn.XLOOKUP(Q$134, 'GEN-CARBON'!$D$32:$BA$32, 'GEN-CARBON'!$D42:$BA42)*'Assumptions &amp; Inputs'!$I$4, 0)+IFERROR(_xlfn.XLOOKUP(Q$134, Load!$D$32:$BA$32, Load!$D42:$BA42)*'Assumptions &amp; Inputs'!$E$4, 0)+IFERROR(_xlfn.XLOOKUP(Q$134, Hydrogen!$D$32:$BA$32, Hydrogen!$D42:$BA42)*'Assumptions &amp; Inputs'!$J$4, 0)+IFERROR(_xlfn.XLOOKUP(Q$134, 'SENS Tires'!$D$32:$BA$32, 'SENS Tires'!$D42:$BA42)*'Assumptions &amp; Inputs'!$K$4, 0)+IFERROR(_xlfn.XLOOKUP(Q$134, 'SENS Coal'!$D$32:$BA$32, 'SENS Coal'!$D42:$BA42)*'Assumptions &amp; Inputs'!$L$4, 0)</f>
        <v>0</v>
      </c>
      <c r="R145" s="215">
        <f>IFERROR(_xlfn.XLOOKUP(R$134, 'Real Estate'!$D$25:$BA$25, 'Real Estate'!$D35:$BA35), 0)+IFERROR(_xlfn.XLOOKUP(R$134, 'GEN-CCGT'!$D$32:$BA$32, 'GEN-CCGT'!$D42:$BA42)*'Assumptions &amp; Inputs'!$G$4, 0)+IFERROR(_xlfn.XLOOKUP(R$134, 'GEN-SOLAR'!$D$32:$BA$32, 'GEN-SOLAR'!$D42:$BA42)*'Assumptions &amp; Inputs'!$H$4, 0)+IFERROR(_xlfn.XLOOKUP(R$134, 'GEN-BESS'!$D$32:$BA$32, 'GEN-BESS'!$D42:$BA42)*'Assumptions &amp; Inputs'!$F$4, 0)+IFERROR(_xlfn.XLOOKUP(R$134, 'GEN-CARBON'!$D$32:$BA$32, 'GEN-CARBON'!$D42:$BA42)*'Assumptions &amp; Inputs'!$I$4, 0)+IFERROR(_xlfn.XLOOKUP(R$134, Load!$D$32:$BA$32, Load!$D42:$BA42)*'Assumptions &amp; Inputs'!$E$4, 0)+IFERROR(_xlfn.XLOOKUP(R$134, Hydrogen!$D$32:$BA$32, Hydrogen!$D42:$BA42)*'Assumptions &amp; Inputs'!$J$4, 0)+IFERROR(_xlfn.XLOOKUP(R$134, 'SENS Tires'!$D$32:$BA$32, 'SENS Tires'!$D42:$BA42)*'Assumptions &amp; Inputs'!$K$4, 0)+IFERROR(_xlfn.XLOOKUP(R$134, 'SENS Coal'!$D$32:$BA$32, 'SENS Coal'!$D42:$BA42)*'Assumptions &amp; Inputs'!$L$4, 0)</f>
        <v>0</v>
      </c>
      <c r="S145" s="215">
        <f>IFERROR(_xlfn.XLOOKUP(S$134, 'Real Estate'!$D$25:$BA$25, 'Real Estate'!$D35:$BA35), 0)+IFERROR(_xlfn.XLOOKUP(S$134, 'GEN-CCGT'!$D$32:$BA$32, 'GEN-CCGT'!$D42:$BA42)*'Assumptions &amp; Inputs'!$G$4, 0)+IFERROR(_xlfn.XLOOKUP(S$134, 'GEN-SOLAR'!$D$32:$BA$32, 'GEN-SOLAR'!$D42:$BA42)*'Assumptions &amp; Inputs'!$H$4, 0)+IFERROR(_xlfn.XLOOKUP(S$134, 'GEN-BESS'!$D$32:$BA$32, 'GEN-BESS'!$D42:$BA42)*'Assumptions &amp; Inputs'!$F$4, 0)+IFERROR(_xlfn.XLOOKUP(S$134, 'GEN-CARBON'!$D$32:$BA$32, 'GEN-CARBON'!$D42:$BA42)*'Assumptions &amp; Inputs'!$I$4, 0)+IFERROR(_xlfn.XLOOKUP(S$134, Load!$D$32:$BA$32, Load!$D42:$BA42)*'Assumptions &amp; Inputs'!$E$4, 0)+IFERROR(_xlfn.XLOOKUP(S$134, Hydrogen!$D$32:$BA$32, Hydrogen!$D42:$BA42)*'Assumptions &amp; Inputs'!$J$4, 0)+IFERROR(_xlfn.XLOOKUP(S$134, 'SENS Tires'!$D$32:$BA$32, 'SENS Tires'!$D42:$BA42)*'Assumptions &amp; Inputs'!$K$4, 0)+IFERROR(_xlfn.XLOOKUP(S$134, 'SENS Coal'!$D$32:$BA$32, 'SENS Coal'!$D42:$BA42)*'Assumptions &amp; Inputs'!$L$4, 0)</f>
        <v>0</v>
      </c>
      <c r="T145" s="215">
        <f>IFERROR(_xlfn.XLOOKUP(T$134, 'Real Estate'!$D$25:$BA$25, 'Real Estate'!$D35:$BA35), 0)+IFERROR(_xlfn.XLOOKUP(T$134, 'GEN-CCGT'!$D$32:$BA$32, 'GEN-CCGT'!$D42:$BA42)*'Assumptions &amp; Inputs'!$G$4, 0)+IFERROR(_xlfn.XLOOKUP(T$134, 'GEN-SOLAR'!$D$32:$BA$32, 'GEN-SOLAR'!$D42:$BA42)*'Assumptions &amp; Inputs'!$H$4, 0)+IFERROR(_xlfn.XLOOKUP(T$134, 'GEN-BESS'!$D$32:$BA$32, 'GEN-BESS'!$D42:$BA42)*'Assumptions &amp; Inputs'!$F$4, 0)+IFERROR(_xlfn.XLOOKUP(T$134, 'GEN-CARBON'!$D$32:$BA$32, 'GEN-CARBON'!$D42:$BA42)*'Assumptions &amp; Inputs'!$I$4, 0)+IFERROR(_xlfn.XLOOKUP(T$134, Load!$D$32:$BA$32, Load!$D42:$BA42)*'Assumptions &amp; Inputs'!$E$4, 0)+IFERROR(_xlfn.XLOOKUP(T$134, Hydrogen!$D$32:$BA$32, Hydrogen!$D42:$BA42)*'Assumptions &amp; Inputs'!$J$4, 0)+IFERROR(_xlfn.XLOOKUP(T$134, 'SENS Tires'!$D$32:$BA$32, 'SENS Tires'!$D42:$BA42)*'Assumptions &amp; Inputs'!$K$4, 0)+IFERROR(_xlfn.XLOOKUP(T$134, 'SENS Coal'!$D$32:$BA$32, 'SENS Coal'!$D42:$BA42)*'Assumptions &amp; Inputs'!$L$4, 0)</f>
        <v>0</v>
      </c>
      <c r="U145" s="215">
        <f>IFERROR(_xlfn.XLOOKUP(U$134, 'Real Estate'!$D$25:$BA$25, 'Real Estate'!$D35:$BA35), 0)+IFERROR(_xlfn.XLOOKUP(U$134, 'GEN-CCGT'!$D$32:$BA$32, 'GEN-CCGT'!$D42:$BA42)*'Assumptions &amp; Inputs'!$G$4, 0)+IFERROR(_xlfn.XLOOKUP(U$134, 'GEN-SOLAR'!$D$32:$BA$32, 'GEN-SOLAR'!$D42:$BA42)*'Assumptions &amp; Inputs'!$H$4, 0)+IFERROR(_xlfn.XLOOKUP(U$134, 'GEN-BESS'!$D$32:$BA$32, 'GEN-BESS'!$D42:$BA42)*'Assumptions &amp; Inputs'!$F$4, 0)+IFERROR(_xlfn.XLOOKUP(U$134, 'GEN-CARBON'!$D$32:$BA$32, 'GEN-CARBON'!$D42:$BA42)*'Assumptions &amp; Inputs'!$I$4, 0)+IFERROR(_xlfn.XLOOKUP(U$134, Load!$D$32:$BA$32, Load!$D42:$BA42)*'Assumptions &amp; Inputs'!$E$4, 0)+IFERROR(_xlfn.XLOOKUP(U$134, Hydrogen!$D$32:$BA$32, Hydrogen!$D42:$BA42)*'Assumptions &amp; Inputs'!$J$4, 0)+IFERROR(_xlfn.XLOOKUP(U$134, 'SENS Tires'!$D$32:$BA$32, 'SENS Tires'!$D42:$BA42)*'Assumptions &amp; Inputs'!$K$4, 0)+IFERROR(_xlfn.XLOOKUP(U$134, 'SENS Coal'!$D$32:$BA$32, 'SENS Coal'!$D42:$BA42)*'Assumptions &amp; Inputs'!$L$4, 0)</f>
        <v>0</v>
      </c>
      <c r="V145" s="215">
        <f>IFERROR(_xlfn.XLOOKUP(V$134, 'Real Estate'!$D$25:$BA$25, 'Real Estate'!$D35:$BA35), 0)+IFERROR(_xlfn.XLOOKUP(V$134, 'GEN-CCGT'!$D$32:$BA$32, 'GEN-CCGT'!$D42:$BA42)*'Assumptions &amp; Inputs'!$G$4, 0)+IFERROR(_xlfn.XLOOKUP(V$134, 'GEN-SOLAR'!$D$32:$BA$32, 'GEN-SOLAR'!$D42:$BA42)*'Assumptions &amp; Inputs'!$H$4, 0)+IFERROR(_xlfn.XLOOKUP(V$134, 'GEN-BESS'!$D$32:$BA$32, 'GEN-BESS'!$D42:$BA42)*'Assumptions &amp; Inputs'!$F$4, 0)+IFERROR(_xlfn.XLOOKUP(V$134, 'GEN-CARBON'!$D$32:$BA$32, 'GEN-CARBON'!$D42:$BA42)*'Assumptions &amp; Inputs'!$I$4, 0)+IFERROR(_xlfn.XLOOKUP(V$134, Load!$D$32:$BA$32, Load!$D42:$BA42)*'Assumptions &amp; Inputs'!$E$4, 0)+IFERROR(_xlfn.XLOOKUP(V$134, Hydrogen!$D$32:$BA$32, Hydrogen!$D42:$BA42)*'Assumptions &amp; Inputs'!$J$4, 0)+IFERROR(_xlfn.XLOOKUP(V$134, 'SENS Tires'!$D$32:$BA$32, 'SENS Tires'!$D42:$BA42)*'Assumptions &amp; Inputs'!$K$4, 0)+IFERROR(_xlfn.XLOOKUP(V$134, 'SENS Coal'!$D$32:$BA$32, 'SENS Coal'!$D42:$BA42)*'Assumptions &amp; Inputs'!$L$4, 0)</f>
        <v>0</v>
      </c>
      <c r="W145" s="215">
        <f>IFERROR(_xlfn.XLOOKUP(W$134, 'Real Estate'!$D$25:$BA$25, 'Real Estate'!$D35:$BA35), 0)+IFERROR(_xlfn.XLOOKUP(W$134, 'GEN-CCGT'!$D$32:$BA$32, 'GEN-CCGT'!$D42:$BA42)*'Assumptions &amp; Inputs'!$G$4, 0)+IFERROR(_xlfn.XLOOKUP(W$134, 'GEN-SOLAR'!$D$32:$BA$32, 'GEN-SOLAR'!$D42:$BA42)*'Assumptions &amp; Inputs'!$H$4, 0)+IFERROR(_xlfn.XLOOKUP(W$134, 'GEN-BESS'!$D$32:$BA$32, 'GEN-BESS'!$D42:$BA42)*'Assumptions &amp; Inputs'!$F$4, 0)+IFERROR(_xlfn.XLOOKUP(W$134, 'GEN-CARBON'!$D$32:$BA$32, 'GEN-CARBON'!$D42:$BA42)*'Assumptions &amp; Inputs'!$I$4, 0)+IFERROR(_xlfn.XLOOKUP(W$134, Load!$D$32:$BA$32, Load!$D42:$BA42)*'Assumptions &amp; Inputs'!$E$4, 0)+IFERROR(_xlfn.XLOOKUP(W$134, Hydrogen!$D$32:$BA$32, Hydrogen!$D42:$BA42)*'Assumptions &amp; Inputs'!$J$4, 0)+IFERROR(_xlfn.XLOOKUP(W$134, 'SENS Tires'!$D$32:$BA$32, 'SENS Tires'!$D42:$BA42)*'Assumptions &amp; Inputs'!$K$4, 0)+IFERROR(_xlfn.XLOOKUP(W$134, 'SENS Coal'!$D$32:$BA$32, 'SENS Coal'!$D42:$BA42)*'Assumptions &amp; Inputs'!$L$4, 0)</f>
        <v>0</v>
      </c>
      <c r="X145" s="215">
        <f>IFERROR(_xlfn.XLOOKUP(X$134, 'Real Estate'!$D$25:$BA$25, 'Real Estate'!$D35:$BA35), 0)+IFERROR(_xlfn.XLOOKUP(X$134, 'GEN-CCGT'!$D$32:$BA$32, 'GEN-CCGT'!$D42:$BA42)*'Assumptions &amp; Inputs'!$G$4, 0)+IFERROR(_xlfn.XLOOKUP(X$134, 'GEN-SOLAR'!$D$32:$BA$32, 'GEN-SOLAR'!$D42:$BA42)*'Assumptions &amp; Inputs'!$H$4, 0)+IFERROR(_xlfn.XLOOKUP(X$134, 'GEN-BESS'!$D$32:$BA$32, 'GEN-BESS'!$D42:$BA42)*'Assumptions &amp; Inputs'!$F$4, 0)+IFERROR(_xlfn.XLOOKUP(X$134, 'GEN-CARBON'!$D$32:$BA$32, 'GEN-CARBON'!$D42:$BA42)*'Assumptions &amp; Inputs'!$I$4, 0)+IFERROR(_xlfn.XLOOKUP(X$134, Load!$D$32:$BA$32, Load!$D42:$BA42)*'Assumptions &amp; Inputs'!$E$4, 0)+IFERROR(_xlfn.XLOOKUP(X$134, Hydrogen!$D$32:$BA$32, Hydrogen!$D42:$BA42)*'Assumptions &amp; Inputs'!$J$4, 0)+IFERROR(_xlfn.XLOOKUP(X$134, 'SENS Tires'!$D$32:$BA$32, 'SENS Tires'!$D42:$BA42)*'Assumptions &amp; Inputs'!$K$4, 0)+IFERROR(_xlfn.XLOOKUP(X$134, 'SENS Coal'!$D$32:$BA$32, 'SENS Coal'!$D42:$BA42)*'Assumptions &amp; Inputs'!$L$4, 0)</f>
        <v>0</v>
      </c>
      <c r="Y145" s="215">
        <f>IFERROR(_xlfn.XLOOKUP(Y$134, 'Real Estate'!$D$25:$BA$25, 'Real Estate'!$D35:$BA35), 0)+IFERROR(_xlfn.XLOOKUP(Y$134, 'GEN-CCGT'!$D$32:$BA$32, 'GEN-CCGT'!$D42:$BA42)*'Assumptions &amp; Inputs'!$G$4, 0)+IFERROR(_xlfn.XLOOKUP(Y$134, 'GEN-SOLAR'!$D$32:$BA$32, 'GEN-SOLAR'!$D42:$BA42)*'Assumptions &amp; Inputs'!$H$4, 0)+IFERROR(_xlfn.XLOOKUP(Y$134, 'GEN-BESS'!$D$32:$BA$32, 'GEN-BESS'!$D42:$BA42)*'Assumptions &amp; Inputs'!$F$4, 0)+IFERROR(_xlfn.XLOOKUP(Y$134, 'GEN-CARBON'!$D$32:$BA$32, 'GEN-CARBON'!$D42:$BA42)*'Assumptions &amp; Inputs'!$I$4, 0)+IFERROR(_xlfn.XLOOKUP(Y$134, Load!$D$32:$BA$32, Load!$D42:$BA42)*'Assumptions &amp; Inputs'!$E$4, 0)+IFERROR(_xlfn.XLOOKUP(Y$134, Hydrogen!$D$32:$BA$32, Hydrogen!$D42:$BA42)*'Assumptions &amp; Inputs'!$J$4, 0)+IFERROR(_xlfn.XLOOKUP(Y$134, 'SENS Tires'!$D$32:$BA$32, 'SENS Tires'!$D42:$BA42)*'Assumptions &amp; Inputs'!$K$4, 0)+IFERROR(_xlfn.XLOOKUP(Y$134, 'SENS Coal'!$D$32:$BA$32, 'SENS Coal'!$D42:$BA42)*'Assumptions &amp; Inputs'!$L$4, 0)</f>
        <v>0</v>
      </c>
      <c r="Z145" s="215">
        <f>IFERROR(_xlfn.XLOOKUP(Z$134, 'Real Estate'!$D$25:$BA$25, 'Real Estate'!$D35:$BA35), 0)+IFERROR(_xlfn.XLOOKUP(Z$134, 'GEN-CCGT'!$D$32:$BA$32, 'GEN-CCGT'!$D42:$BA42)*'Assumptions &amp; Inputs'!$G$4, 0)+IFERROR(_xlfn.XLOOKUP(Z$134, 'GEN-SOLAR'!$D$32:$BA$32, 'GEN-SOLAR'!$D42:$BA42)*'Assumptions &amp; Inputs'!$H$4, 0)+IFERROR(_xlfn.XLOOKUP(Z$134, 'GEN-BESS'!$D$32:$BA$32, 'GEN-BESS'!$D42:$BA42)*'Assumptions &amp; Inputs'!$F$4, 0)+IFERROR(_xlfn.XLOOKUP(Z$134, 'GEN-CARBON'!$D$32:$BA$32, 'GEN-CARBON'!$D42:$BA42)*'Assumptions &amp; Inputs'!$I$4, 0)+IFERROR(_xlfn.XLOOKUP(Z$134, Load!$D$32:$BA$32, Load!$D42:$BA42)*'Assumptions &amp; Inputs'!$E$4, 0)+IFERROR(_xlfn.XLOOKUP(Z$134, Hydrogen!$D$32:$BA$32, Hydrogen!$D42:$BA42)*'Assumptions &amp; Inputs'!$J$4, 0)+IFERROR(_xlfn.XLOOKUP(Z$134, 'SENS Tires'!$D$32:$BA$32, 'SENS Tires'!$D42:$BA42)*'Assumptions &amp; Inputs'!$K$4, 0)+IFERROR(_xlfn.XLOOKUP(Z$134, 'SENS Coal'!$D$32:$BA$32, 'SENS Coal'!$D42:$BA42)*'Assumptions &amp; Inputs'!$L$4, 0)</f>
        <v>0</v>
      </c>
      <c r="AA145" s="215">
        <f>IFERROR(_xlfn.XLOOKUP(AA$134, 'Real Estate'!$D$25:$BA$25, 'Real Estate'!$D35:$BA35), 0)+IFERROR(_xlfn.XLOOKUP(AA$134, 'GEN-CCGT'!$D$32:$BA$32, 'GEN-CCGT'!$D42:$BA42)*'Assumptions &amp; Inputs'!$G$4, 0)+IFERROR(_xlfn.XLOOKUP(AA$134, 'GEN-SOLAR'!$D$32:$BA$32, 'GEN-SOLAR'!$D42:$BA42)*'Assumptions &amp; Inputs'!$H$4, 0)+IFERROR(_xlfn.XLOOKUP(AA$134, 'GEN-BESS'!$D$32:$BA$32, 'GEN-BESS'!$D42:$BA42)*'Assumptions &amp; Inputs'!$F$4, 0)+IFERROR(_xlfn.XLOOKUP(AA$134, 'GEN-CARBON'!$D$32:$BA$32, 'GEN-CARBON'!$D42:$BA42)*'Assumptions &amp; Inputs'!$I$4, 0)+IFERROR(_xlfn.XLOOKUP(AA$134, Load!$D$32:$BA$32, Load!$D42:$BA42)*'Assumptions &amp; Inputs'!$E$4, 0)+IFERROR(_xlfn.XLOOKUP(AA$134, Hydrogen!$D$32:$BA$32, Hydrogen!$D42:$BA42)*'Assumptions &amp; Inputs'!$J$4, 0)+IFERROR(_xlfn.XLOOKUP(AA$134, 'SENS Tires'!$D$32:$BA$32, 'SENS Tires'!$D42:$BA42)*'Assumptions &amp; Inputs'!$K$4, 0)+IFERROR(_xlfn.XLOOKUP(AA$134, 'SENS Coal'!$D$32:$BA$32, 'SENS Coal'!$D42:$BA42)*'Assumptions &amp; Inputs'!$L$4, 0)</f>
        <v>0</v>
      </c>
      <c r="AB145" s="215">
        <f>IFERROR(_xlfn.XLOOKUP(AB$134, 'Real Estate'!$D$25:$BA$25, 'Real Estate'!$D35:$BA35), 0)+IFERROR(_xlfn.XLOOKUP(AB$134, 'GEN-CCGT'!$D$32:$BA$32, 'GEN-CCGT'!$D42:$BA42)*'Assumptions &amp; Inputs'!$G$4, 0)+IFERROR(_xlfn.XLOOKUP(AB$134, 'GEN-SOLAR'!$D$32:$BA$32, 'GEN-SOLAR'!$D42:$BA42)*'Assumptions &amp; Inputs'!$H$4, 0)+IFERROR(_xlfn.XLOOKUP(AB$134, 'GEN-BESS'!$D$32:$BA$32, 'GEN-BESS'!$D42:$BA42)*'Assumptions &amp; Inputs'!$F$4, 0)+IFERROR(_xlfn.XLOOKUP(AB$134, 'GEN-CARBON'!$D$32:$BA$32, 'GEN-CARBON'!$D42:$BA42)*'Assumptions &amp; Inputs'!$I$4, 0)+IFERROR(_xlfn.XLOOKUP(AB$134, Load!$D$32:$BA$32, Load!$D42:$BA42)*'Assumptions &amp; Inputs'!$E$4, 0)+IFERROR(_xlfn.XLOOKUP(AB$134, Hydrogen!$D$32:$BA$32, Hydrogen!$D42:$BA42)*'Assumptions &amp; Inputs'!$J$4, 0)+IFERROR(_xlfn.XLOOKUP(AB$134, 'SENS Tires'!$D$32:$BA$32, 'SENS Tires'!$D42:$BA42)*'Assumptions &amp; Inputs'!$K$4, 0)+IFERROR(_xlfn.XLOOKUP(AB$134, 'SENS Coal'!$D$32:$BA$32, 'SENS Coal'!$D42:$BA42)*'Assumptions &amp; Inputs'!$L$4, 0)</f>
        <v>0</v>
      </c>
      <c r="AC145" s="215">
        <f>IFERROR(_xlfn.XLOOKUP(AC$134, 'Real Estate'!$D$25:$BA$25, 'Real Estate'!$D35:$BA35), 0)+IFERROR(_xlfn.XLOOKUP(AC$134, 'GEN-CCGT'!$D$32:$BA$32, 'GEN-CCGT'!$D42:$BA42)*'Assumptions &amp; Inputs'!$G$4, 0)+IFERROR(_xlfn.XLOOKUP(AC$134, 'GEN-SOLAR'!$D$32:$BA$32, 'GEN-SOLAR'!$D42:$BA42)*'Assumptions &amp; Inputs'!$H$4, 0)+IFERROR(_xlfn.XLOOKUP(AC$134, 'GEN-BESS'!$D$32:$BA$32, 'GEN-BESS'!$D42:$BA42)*'Assumptions &amp; Inputs'!$F$4, 0)+IFERROR(_xlfn.XLOOKUP(AC$134, 'GEN-CARBON'!$D$32:$BA$32, 'GEN-CARBON'!$D42:$BA42)*'Assumptions &amp; Inputs'!$I$4, 0)+IFERROR(_xlfn.XLOOKUP(AC$134, Load!$D$32:$BA$32, Load!$D42:$BA42)*'Assumptions &amp; Inputs'!$E$4, 0)+IFERROR(_xlfn.XLOOKUP(AC$134, Hydrogen!$D$32:$BA$32, Hydrogen!$D42:$BA42)*'Assumptions &amp; Inputs'!$J$4, 0)+IFERROR(_xlfn.XLOOKUP(AC$134, 'SENS Tires'!$D$32:$BA$32, 'SENS Tires'!$D42:$BA42)*'Assumptions &amp; Inputs'!$K$4, 0)+IFERROR(_xlfn.XLOOKUP(AC$134, 'SENS Coal'!$D$32:$BA$32, 'SENS Coal'!$D42:$BA42)*'Assumptions &amp; Inputs'!$L$4, 0)</f>
        <v>0</v>
      </c>
      <c r="AD145" s="215">
        <f>IFERROR(_xlfn.XLOOKUP(AD$134, 'Real Estate'!$D$25:$BA$25, 'Real Estate'!$D35:$BA35), 0)+IFERROR(_xlfn.XLOOKUP(AD$134, 'GEN-CCGT'!$D$32:$BA$32, 'GEN-CCGT'!$D42:$BA42)*'Assumptions &amp; Inputs'!$G$4, 0)+IFERROR(_xlfn.XLOOKUP(AD$134, 'GEN-SOLAR'!$D$32:$BA$32, 'GEN-SOLAR'!$D42:$BA42)*'Assumptions &amp; Inputs'!$H$4, 0)+IFERROR(_xlfn.XLOOKUP(AD$134, 'GEN-BESS'!$D$32:$BA$32, 'GEN-BESS'!$D42:$BA42)*'Assumptions &amp; Inputs'!$F$4, 0)+IFERROR(_xlfn.XLOOKUP(AD$134, 'GEN-CARBON'!$D$32:$BA$32, 'GEN-CARBON'!$D42:$BA42)*'Assumptions &amp; Inputs'!$I$4, 0)+IFERROR(_xlfn.XLOOKUP(AD$134, Load!$D$32:$BA$32, Load!$D42:$BA42)*'Assumptions &amp; Inputs'!$E$4, 0)+IFERROR(_xlfn.XLOOKUP(AD$134, Hydrogen!$D$32:$BA$32, Hydrogen!$D42:$BA42)*'Assumptions &amp; Inputs'!$J$4, 0)+IFERROR(_xlfn.XLOOKUP(AD$134, 'SENS Tires'!$D$32:$BA$32, 'SENS Tires'!$D42:$BA42)*'Assumptions &amp; Inputs'!$K$4, 0)+IFERROR(_xlfn.XLOOKUP(AD$134, 'SENS Coal'!$D$32:$BA$32, 'SENS Coal'!$D42:$BA42)*'Assumptions &amp; Inputs'!$L$4, 0)</f>
        <v>0</v>
      </c>
      <c r="AE145" s="215">
        <f>IFERROR(_xlfn.XLOOKUP(AE$134, 'Real Estate'!$D$25:$BA$25, 'Real Estate'!$D35:$BA35), 0)+IFERROR(_xlfn.XLOOKUP(AE$134, 'GEN-CCGT'!$D$32:$BA$32, 'GEN-CCGT'!$D42:$BA42)*'Assumptions &amp; Inputs'!$G$4, 0)+IFERROR(_xlfn.XLOOKUP(AE$134, 'GEN-SOLAR'!$D$32:$BA$32, 'GEN-SOLAR'!$D42:$BA42)*'Assumptions &amp; Inputs'!$H$4, 0)+IFERROR(_xlfn.XLOOKUP(AE$134, 'GEN-BESS'!$D$32:$BA$32, 'GEN-BESS'!$D42:$BA42)*'Assumptions &amp; Inputs'!$F$4, 0)+IFERROR(_xlfn.XLOOKUP(AE$134, 'GEN-CARBON'!$D$32:$BA$32, 'GEN-CARBON'!$D42:$BA42)*'Assumptions &amp; Inputs'!$I$4, 0)+IFERROR(_xlfn.XLOOKUP(AE$134, Load!$D$32:$BA$32, Load!$D42:$BA42)*'Assumptions &amp; Inputs'!$E$4, 0)+IFERROR(_xlfn.XLOOKUP(AE$134, Hydrogen!$D$32:$BA$32, Hydrogen!$D42:$BA42)*'Assumptions &amp; Inputs'!$J$4, 0)+IFERROR(_xlfn.XLOOKUP(AE$134, 'SENS Tires'!$D$32:$BA$32, 'SENS Tires'!$D42:$BA42)*'Assumptions &amp; Inputs'!$K$4, 0)+IFERROR(_xlfn.XLOOKUP(AE$134, 'SENS Coal'!$D$32:$BA$32, 'SENS Coal'!$D42:$BA42)*'Assumptions &amp; Inputs'!$L$4, 0)</f>
        <v>27.875</v>
      </c>
      <c r="AF145" s="215">
        <f>IFERROR(_xlfn.XLOOKUP(AF$134, 'Real Estate'!$D$25:$BA$25, 'Real Estate'!$D35:$BA35), 0)+IFERROR(_xlfn.XLOOKUP(AF$134, 'GEN-CCGT'!$D$32:$BA$32, 'GEN-CCGT'!$D42:$BA42)*'Assumptions &amp; Inputs'!$G$4, 0)+IFERROR(_xlfn.XLOOKUP(AF$134, 'GEN-SOLAR'!$D$32:$BA$32, 'GEN-SOLAR'!$D42:$BA42)*'Assumptions &amp; Inputs'!$H$4, 0)+IFERROR(_xlfn.XLOOKUP(AF$134, 'GEN-BESS'!$D$32:$BA$32, 'GEN-BESS'!$D42:$BA42)*'Assumptions &amp; Inputs'!$F$4, 0)+IFERROR(_xlfn.XLOOKUP(AF$134, 'GEN-CARBON'!$D$32:$BA$32, 'GEN-CARBON'!$D42:$BA42)*'Assumptions &amp; Inputs'!$I$4, 0)+IFERROR(_xlfn.XLOOKUP(AF$134, Load!$D$32:$BA$32, Load!$D42:$BA42)*'Assumptions &amp; Inputs'!$E$4, 0)+IFERROR(_xlfn.XLOOKUP(AF$134, Hydrogen!$D$32:$BA$32, Hydrogen!$D42:$BA42)*'Assumptions &amp; Inputs'!$J$4, 0)+IFERROR(_xlfn.XLOOKUP(AF$134, 'SENS Tires'!$D$32:$BA$32, 'SENS Tires'!$D42:$BA42)*'Assumptions &amp; Inputs'!$K$4, 0)+IFERROR(_xlfn.XLOOKUP(AF$134, 'SENS Coal'!$D$32:$BA$32, 'SENS Coal'!$D42:$BA42)*'Assumptions &amp; Inputs'!$L$4, 0)</f>
        <v>0</v>
      </c>
      <c r="AG145" s="215">
        <f>IFERROR(_xlfn.XLOOKUP(AG$134, 'Real Estate'!$D$25:$BA$25, 'Real Estate'!$D35:$BA35), 0)+IFERROR(_xlfn.XLOOKUP(AG$134, 'GEN-CCGT'!$D$32:$BA$32, 'GEN-CCGT'!$D42:$BA42)*'Assumptions &amp; Inputs'!$G$4, 0)+IFERROR(_xlfn.XLOOKUP(AG$134, 'GEN-SOLAR'!$D$32:$BA$32, 'GEN-SOLAR'!$D42:$BA42)*'Assumptions &amp; Inputs'!$H$4, 0)+IFERROR(_xlfn.XLOOKUP(AG$134, 'GEN-BESS'!$D$32:$BA$32, 'GEN-BESS'!$D42:$BA42)*'Assumptions &amp; Inputs'!$F$4, 0)+IFERROR(_xlfn.XLOOKUP(AG$134, 'GEN-CARBON'!$D$32:$BA$32, 'GEN-CARBON'!$D42:$BA42)*'Assumptions &amp; Inputs'!$I$4, 0)+IFERROR(_xlfn.XLOOKUP(AG$134, Load!$D$32:$BA$32, Load!$D42:$BA42)*'Assumptions &amp; Inputs'!$E$4, 0)+IFERROR(_xlfn.XLOOKUP(AG$134, Hydrogen!$D$32:$BA$32, Hydrogen!$D42:$BA42)*'Assumptions &amp; Inputs'!$J$4, 0)+IFERROR(_xlfn.XLOOKUP(AG$134, 'SENS Tires'!$D$32:$BA$32, 'SENS Tires'!$D42:$BA42)*'Assumptions &amp; Inputs'!$K$4, 0)+IFERROR(_xlfn.XLOOKUP(AG$134, 'SENS Coal'!$D$32:$BA$32, 'SENS Coal'!$D42:$BA42)*'Assumptions &amp; Inputs'!$L$4, 0)</f>
        <v>5.5</v>
      </c>
      <c r="AH145" s="215">
        <f>IFERROR(_xlfn.XLOOKUP(AH$134, 'Real Estate'!$D$25:$BA$25, 'Real Estate'!$D35:$BA35), 0)+IFERROR(_xlfn.XLOOKUP(AH$134, 'GEN-CCGT'!$D$32:$BA$32, 'GEN-CCGT'!$D42:$BA42)*'Assumptions &amp; Inputs'!$G$4, 0)+IFERROR(_xlfn.XLOOKUP(AH$134, 'GEN-SOLAR'!$D$32:$BA$32, 'GEN-SOLAR'!$D42:$BA42)*'Assumptions &amp; Inputs'!$H$4, 0)+IFERROR(_xlfn.XLOOKUP(AH$134, 'GEN-BESS'!$D$32:$BA$32, 'GEN-BESS'!$D42:$BA42)*'Assumptions &amp; Inputs'!$F$4, 0)+IFERROR(_xlfn.XLOOKUP(AH$134, 'GEN-CARBON'!$D$32:$BA$32, 'GEN-CARBON'!$D42:$BA42)*'Assumptions &amp; Inputs'!$I$4, 0)+IFERROR(_xlfn.XLOOKUP(AH$134, Load!$D$32:$BA$32, Load!$D42:$BA42)*'Assumptions &amp; Inputs'!$E$4, 0)+IFERROR(_xlfn.XLOOKUP(AH$134, Hydrogen!$D$32:$BA$32, Hydrogen!$D42:$BA42)*'Assumptions &amp; Inputs'!$J$4, 0)+IFERROR(_xlfn.XLOOKUP(AH$134, 'SENS Tires'!$D$32:$BA$32, 'SENS Tires'!$D42:$BA42)*'Assumptions &amp; Inputs'!$K$4, 0)+IFERROR(_xlfn.XLOOKUP(AH$134, 'SENS Coal'!$D$32:$BA$32, 'SENS Coal'!$D42:$BA42)*'Assumptions &amp; Inputs'!$L$4, 0)</f>
        <v>18</v>
      </c>
      <c r="AI145" s="215">
        <f>IFERROR(_xlfn.XLOOKUP(AI$134, 'Real Estate'!$D$25:$BA$25, 'Real Estate'!$D35:$BA35), 0)+IFERROR(_xlfn.XLOOKUP(AI$134, 'GEN-CCGT'!$D$32:$BA$32, 'GEN-CCGT'!$D42:$BA42)*'Assumptions &amp; Inputs'!$G$4, 0)+IFERROR(_xlfn.XLOOKUP(AI$134, 'GEN-SOLAR'!$D$32:$BA$32, 'GEN-SOLAR'!$D42:$BA42)*'Assumptions &amp; Inputs'!$H$4, 0)+IFERROR(_xlfn.XLOOKUP(AI$134, 'GEN-BESS'!$D$32:$BA$32, 'GEN-BESS'!$D42:$BA42)*'Assumptions &amp; Inputs'!$F$4, 0)+IFERROR(_xlfn.XLOOKUP(AI$134, 'GEN-CARBON'!$D$32:$BA$32, 'GEN-CARBON'!$D42:$BA42)*'Assumptions &amp; Inputs'!$I$4, 0)+IFERROR(_xlfn.XLOOKUP(AI$134, Load!$D$32:$BA$32, Load!$D42:$BA42)*'Assumptions &amp; Inputs'!$E$4, 0)+IFERROR(_xlfn.XLOOKUP(AI$134, Hydrogen!$D$32:$BA$32, Hydrogen!$D42:$BA42)*'Assumptions &amp; Inputs'!$J$4, 0)+IFERROR(_xlfn.XLOOKUP(AI$134, 'SENS Tires'!$D$32:$BA$32, 'SENS Tires'!$D42:$BA42)*'Assumptions &amp; Inputs'!$K$4, 0)+IFERROR(_xlfn.XLOOKUP(AI$134, 'SENS Coal'!$D$32:$BA$32, 'SENS Coal'!$D42:$BA42)*'Assumptions &amp; Inputs'!$L$4, 0)</f>
        <v>0</v>
      </c>
      <c r="AJ145" s="215">
        <f>IFERROR(_xlfn.XLOOKUP(AJ$134, 'Real Estate'!$D$25:$BA$25, 'Real Estate'!$D35:$BA35), 0)+IFERROR(_xlfn.XLOOKUP(AJ$134, 'GEN-CCGT'!$D$32:$BA$32, 'GEN-CCGT'!$D42:$BA42)*'Assumptions &amp; Inputs'!$G$4, 0)+IFERROR(_xlfn.XLOOKUP(AJ$134, 'GEN-SOLAR'!$D$32:$BA$32, 'GEN-SOLAR'!$D42:$BA42)*'Assumptions &amp; Inputs'!$H$4, 0)+IFERROR(_xlfn.XLOOKUP(AJ$134, 'GEN-BESS'!$D$32:$BA$32, 'GEN-BESS'!$D42:$BA42)*'Assumptions &amp; Inputs'!$F$4, 0)+IFERROR(_xlfn.XLOOKUP(AJ$134, 'GEN-CARBON'!$D$32:$BA$32, 'GEN-CARBON'!$D42:$BA42)*'Assumptions &amp; Inputs'!$I$4, 0)+IFERROR(_xlfn.XLOOKUP(AJ$134, Load!$D$32:$BA$32, Load!$D42:$BA42)*'Assumptions &amp; Inputs'!$E$4, 0)+IFERROR(_xlfn.XLOOKUP(AJ$134, Hydrogen!$D$32:$BA$32, Hydrogen!$D42:$BA42)*'Assumptions &amp; Inputs'!$J$4, 0)+IFERROR(_xlfn.XLOOKUP(AJ$134, 'SENS Tires'!$D$32:$BA$32, 'SENS Tires'!$D42:$BA42)*'Assumptions &amp; Inputs'!$K$4, 0)+IFERROR(_xlfn.XLOOKUP(AJ$134, 'SENS Coal'!$D$32:$BA$32, 'SENS Coal'!$D42:$BA42)*'Assumptions &amp; Inputs'!$L$4, 0)</f>
        <v>0</v>
      </c>
      <c r="AK145" s="215">
        <f>IFERROR(_xlfn.XLOOKUP(AK$134, 'Real Estate'!$D$25:$BA$25, 'Real Estate'!$D35:$BA35), 0)+IFERROR(_xlfn.XLOOKUP(AK$134, 'GEN-CCGT'!$D$32:$BA$32, 'GEN-CCGT'!$D42:$BA42)*'Assumptions &amp; Inputs'!$G$4, 0)+IFERROR(_xlfn.XLOOKUP(AK$134, 'GEN-SOLAR'!$D$32:$BA$32, 'GEN-SOLAR'!$D42:$BA42)*'Assumptions &amp; Inputs'!$H$4, 0)+IFERROR(_xlfn.XLOOKUP(AK$134, 'GEN-BESS'!$D$32:$BA$32, 'GEN-BESS'!$D42:$BA42)*'Assumptions &amp; Inputs'!$F$4, 0)+IFERROR(_xlfn.XLOOKUP(AK$134, 'GEN-CARBON'!$D$32:$BA$32, 'GEN-CARBON'!$D42:$BA42)*'Assumptions &amp; Inputs'!$I$4, 0)+IFERROR(_xlfn.XLOOKUP(AK$134, Load!$D$32:$BA$32, Load!$D42:$BA42)*'Assumptions &amp; Inputs'!$E$4, 0)+IFERROR(_xlfn.XLOOKUP(AK$134, Hydrogen!$D$32:$BA$32, Hydrogen!$D42:$BA42)*'Assumptions &amp; Inputs'!$J$4, 0)+IFERROR(_xlfn.XLOOKUP(AK$134, 'SENS Tires'!$D$32:$BA$32, 'SENS Tires'!$D42:$BA42)*'Assumptions &amp; Inputs'!$K$4, 0)+IFERROR(_xlfn.XLOOKUP(AK$134, 'SENS Coal'!$D$32:$BA$32, 'SENS Coal'!$D42:$BA42)*'Assumptions &amp; Inputs'!$L$4, 0)</f>
        <v>0</v>
      </c>
      <c r="AL145" s="215">
        <f>IFERROR(_xlfn.XLOOKUP(AL$134, 'Real Estate'!$D$25:$BA$25, 'Real Estate'!$D35:$BA35), 0)+IFERROR(_xlfn.XLOOKUP(AL$134, 'GEN-CCGT'!$D$32:$BA$32, 'GEN-CCGT'!$D42:$BA42)*'Assumptions &amp; Inputs'!$G$4, 0)+IFERROR(_xlfn.XLOOKUP(AL$134, 'GEN-SOLAR'!$D$32:$BA$32, 'GEN-SOLAR'!$D42:$BA42)*'Assumptions &amp; Inputs'!$H$4, 0)+IFERROR(_xlfn.XLOOKUP(AL$134, 'GEN-BESS'!$D$32:$BA$32, 'GEN-BESS'!$D42:$BA42)*'Assumptions &amp; Inputs'!$F$4, 0)+IFERROR(_xlfn.XLOOKUP(AL$134, 'GEN-CARBON'!$D$32:$BA$32, 'GEN-CARBON'!$D42:$BA42)*'Assumptions &amp; Inputs'!$I$4, 0)+IFERROR(_xlfn.XLOOKUP(AL$134, Load!$D$32:$BA$32, Load!$D42:$BA42)*'Assumptions &amp; Inputs'!$E$4, 0)+IFERROR(_xlfn.XLOOKUP(AL$134, Hydrogen!$D$32:$BA$32, Hydrogen!$D42:$BA42)*'Assumptions &amp; Inputs'!$J$4, 0)+IFERROR(_xlfn.XLOOKUP(AL$134, 'SENS Tires'!$D$32:$BA$32, 'SENS Tires'!$D42:$BA42)*'Assumptions &amp; Inputs'!$K$4, 0)+IFERROR(_xlfn.XLOOKUP(AL$134, 'SENS Coal'!$D$32:$BA$32, 'SENS Coal'!$D42:$BA42)*'Assumptions &amp; Inputs'!$L$4, 0)</f>
        <v>0</v>
      </c>
      <c r="AM145" s="215">
        <f>IFERROR(_xlfn.XLOOKUP(AM$134, 'Real Estate'!$D$25:$BA$25, 'Real Estate'!$D35:$BA35), 0)+IFERROR(_xlfn.XLOOKUP(AM$134, 'GEN-CCGT'!$D$32:$BA$32, 'GEN-CCGT'!$D42:$BA42)*'Assumptions &amp; Inputs'!$G$4, 0)+IFERROR(_xlfn.XLOOKUP(AM$134, 'GEN-SOLAR'!$D$32:$BA$32, 'GEN-SOLAR'!$D42:$BA42)*'Assumptions &amp; Inputs'!$H$4, 0)+IFERROR(_xlfn.XLOOKUP(AM$134, 'GEN-BESS'!$D$32:$BA$32, 'GEN-BESS'!$D42:$BA42)*'Assumptions &amp; Inputs'!$F$4, 0)+IFERROR(_xlfn.XLOOKUP(AM$134, 'GEN-CARBON'!$D$32:$BA$32, 'GEN-CARBON'!$D42:$BA42)*'Assumptions &amp; Inputs'!$I$4, 0)+IFERROR(_xlfn.XLOOKUP(AM$134, Load!$D$32:$BA$32, Load!$D42:$BA42)*'Assumptions &amp; Inputs'!$E$4, 0)+IFERROR(_xlfn.XLOOKUP(AM$134, Hydrogen!$D$32:$BA$32, Hydrogen!$D42:$BA42)*'Assumptions &amp; Inputs'!$J$4, 0)+IFERROR(_xlfn.XLOOKUP(AM$134, 'SENS Tires'!$D$32:$BA$32, 'SENS Tires'!$D42:$BA42)*'Assumptions &amp; Inputs'!$K$4, 0)+IFERROR(_xlfn.XLOOKUP(AM$134, 'SENS Coal'!$D$32:$BA$32, 'SENS Coal'!$D42:$BA42)*'Assumptions &amp; Inputs'!$L$4, 0)</f>
        <v>0</v>
      </c>
      <c r="AN145" s="215">
        <f>IFERROR(_xlfn.XLOOKUP(AN$134, 'Real Estate'!$D$25:$BA$25, 'Real Estate'!$D35:$BA35), 0)+IFERROR(_xlfn.XLOOKUP(AN$134, 'GEN-CCGT'!$D$32:$BA$32, 'GEN-CCGT'!$D42:$BA42)*'Assumptions &amp; Inputs'!$G$4, 0)+IFERROR(_xlfn.XLOOKUP(AN$134, 'GEN-SOLAR'!$D$32:$BA$32, 'GEN-SOLAR'!$D42:$BA42)*'Assumptions &amp; Inputs'!$H$4, 0)+IFERROR(_xlfn.XLOOKUP(AN$134, 'GEN-BESS'!$D$32:$BA$32, 'GEN-BESS'!$D42:$BA42)*'Assumptions &amp; Inputs'!$F$4, 0)+IFERROR(_xlfn.XLOOKUP(AN$134, 'GEN-CARBON'!$D$32:$BA$32, 'GEN-CARBON'!$D42:$BA42)*'Assumptions &amp; Inputs'!$I$4, 0)+IFERROR(_xlfn.XLOOKUP(AN$134, Load!$D$32:$BA$32, Load!$D42:$BA42)*'Assumptions &amp; Inputs'!$E$4, 0)+IFERROR(_xlfn.XLOOKUP(AN$134, Hydrogen!$D$32:$BA$32, Hydrogen!$D42:$BA42)*'Assumptions &amp; Inputs'!$J$4, 0)+IFERROR(_xlfn.XLOOKUP(AN$134, 'SENS Tires'!$D$32:$BA$32, 'SENS Tires'!$D42:$BA42)*'Assumptions &amp; Inputs'!$K$4, 0)+IFERROR(_xlfn.XLOOKUP(AN$134, 'SENS Coal'!$D$32:$BA$32, 'SENS Coal'!$D42:$BA42)*'Assumptions &amp; Inputs'!$L$4, 0)</f>
        <v>0</v>
      </c>
      <c r="AO145" s="215">
        <f>IFERROR(_xlfn.XLOOKUP(AO$134, 'Real Estate'!$D$25:$BA$25, 'Real Estate'!$D35:$BA35), 0)+IFERROR(_xlfn.XLOOKUP(AO$134, 'GEN-CCGT'!$D$32:$BA$32, 'GEN-CCGT'!$D42:$BA42)*'Assumptions &amp; Inputs'!$G$4, 0)+IFERROR(_xlfn.XLOOKUP(AO$134, 'GEN-SOLAR'!$D$32:$BA$32, 'GEN-SOLAR'!$D42:$BA42)*'Assumptions &amp; Inputs'!$H$4, 0)+IFERROR(_xlfn.XLOOKUP(AO$134, 'GEN-BESS'!$D$32:$BA$32, 'GEN-BESS'!$D42:$BA42)*'Assumptions &amp; Inputs'!$F$4, 0)+IFERROR(_xlfn.XLOOKUP(AO$134, 'GEN-CARBON'!$D$32:$BA$32, 'GEN-CARBON'!$D42:$BA42)*'Assumptions &amp; Inputs'!$I$4, 0)+IFERROR(_xlfn.XLOOKUP(AO$134, Load!$D$32:$BA$32, Load!$D42:$BA42)*'Assumptions &amp; Inputs'!$E$4, 0)+IFERROR(_xlfn.XLOOKUP(AO$134, Hydrogen!$D$32:$BA$32, Hydrogen!$D42:$BA42)*'Assumptions &amp; Inputs'!$J$4, 0)+IFERROR(_xlfn.XLOOKUP(AO$134, 'SENS Tires'!$D$32:$BA$32, 'SENS Tires'!$D42:$BA42)*'Assumptions &amp; Inputs'!$K$4, 0)+IFERROR(_xlfn.XLOOKUP(AO$134, 'SENS Coal'!$D$32:$BA$32, 'SENS Coal'!$D42:$BA42)*'Assumptions &amp; Inputs'!$L$4, 0)</f>
        <v>0</v>
      </c>
      <c r="AP145" s="215">
        <f>IFERROR(_xlfn.XLOOKUP(AP$134, 'Real Estate'!$D$25:$BA$25, 'Real Estate'!$D35:$BA35), 0)+IFERROR(_xlfn.XLOOKUP(AP$134, 'GEN-CCGT'!$D$32:$BA$32, 'GEN-CCGT'!$D42:$BA42)*'Assumptions &amp; Inputs'!$G$4, 0)+IFERROR(_xlfn.XLOOKUP(AP$134, 'GEN-SOLAR'!$D$32:$BA$32, 'GEN-SOLAR'!$D42:$BA42)*'Assumptions &amp; Inputs'!$H$4, 0)+IFERROR(_xlfn.XLOOKUP(AP$134, 'GEN-BESS'!$D$32:$BA$32, 'GEN-BESS'!$D42:$BA42)*'Assumptions &amp; Inputs'!$F$4, 0)+IFERROR(_xlfn.XLOOKUP(AP$134, 'GEN-CARBON'!$D$32:$BA$32, 'GEN-CARBON'!$D42:$BA42)*'Assumptions &amp; Inputs'!$I$4, 0)+IFERROR(_xlfn.XLOOKUP(AP$134, Load!$D$32:$BA$32, Load!$D42:$BA42)*'Assumptions &amp; Inputs'!$E$4, 0)+IFERROR(_xlfn.XLOOKUP(AP$134, Hydrogen!$D$32:$BA$32, Hydrogen!$D42:$BA42)*'Assumptions &amp; Inputs'!$J$4, 0)+IFERROR(_xlfn.XLOOKUP(AP$134, 'SENS Tires'!$D$32:$BA$32, 'SENS Tires'!$D42:$BA42)*'Assumptions &amp; Inputs'!$K$4, 0)+IFERROR(_xlfn.XLOOKUP(AP$134, 'SENS Coal'!$D$32:$BA$32, 'SENS Coal'!$D42:$BA42)*'Assumptions &amp; Inputs'!$L$4, 0)</f>
        <v>0</v>
      </c>
      <c r="AQ145" s="215">
        <f>IFERROR(_xlfn.XLOOKUP(AQ$134, 'Real Estate'!$D$25:$BA$25, 'Real Estate'!$D35:$BA35), 0)+IFERROR(_xlfn.XLOOKUP(AQ$134, 'GEN-CCGT'!$D$32:$BA$32, 'GEN-CCGT'!$D42:$BA42)*'Assumptions &amp; Inputs'!$G$4, 0)+IFERROR(_xlfn.XLOOKUP(AQ$134, 'GEN-SOLAR'!$D$32:$BA$32, 'GEN-SOLAR'!$D42:$BA42)*'Assumptions &amp; Inputs'!$H$4, 0)+IFERROR(_xlfn.XLOOKUP(AQ$134, 'GEN-BESS'!$D$32:$BA$32, 'GEN-BESS'!$D42:$BA42)*'Assumptions &amp; Inputs'!$F$4, 0)+IFERROR(_xlfn.XLOOKUP(AQ$134, 'GEN-CARBON'!$D$32:$BA$32, 'GEN-CARBON'!$D42:$BA42)*'Assumptions &amp; Inputs'!$I$4, 0)+IFERROR(_xlfn.XLOOKUP(AQ$134, Load!$D$32:$BA$32, Load!$D42:$BA42)*'Assumptions &amp; Inputs'!$E$4, 0)+IFERROR(_xlfn.XLOOKUP(AQ$134, Hydrogen!$D$32:$BA$32, Hydrogen!$D42:$BA42)*'Assumptions &amp; Inputs'!$J$4, 0)+IFERROR(_xlfn.XLOOKUP(AQ$134, 'SENS Tires'!$D$32:$BA$32, 'SENS Tires'!$D42:$BA42)*'Assumptions &amp; Inputs'!$K$4, 0)+IFERROR(_xlfn.XLOOKUP(AQ$134, 'SENS Coal'!$D$32:$BA$32, 'SENS Coal'!$D42:$BA42)*'Assumptions &amp; Inputs'!$L$4, 0)</f>
        <v>0</v>
      </c>
      <c r="AR145" s="215">
        <f>IFERROR(_xlfn.XLOOKUP(AR$134, 'Real Estate'!$D$25:$BA$25, 'Real Estate'!$D35:$BA35), 0)+IFERROR(_xlfn.XLOOKUP(AR$134, 'GEN-CCGT'!$D$32:$BA$32, 'GEN-CCGT'!$D42:$BA42)*'Assumptions &amp; Inputs'!$G$4, 0)+IFERROR(_xlfn.XLOOKUP(AR$134, 'GEN-SOLAR'!$D$32:$BA$32, 'GEN-SOLAR'!$D42:$BA42)*'Assumptions &amp; Inputs'!$H$4, 0)+IFERROR(_xlfn.XLOOKUP(AR$134, 'GEN-BESS'!$D$32:$BA$32, 'GEN-BESS'!$D42:$BA42)*'Assumptions &amp; Inputs'!$F$4, 0)+IFERROR(_xlfn.XLOOKUP(AR$134, 'GEN-CARBON'!$D$32:$BA$32, 'GEN-CARBON'!$D42:$BA42)*'Assumptions &amp; Inputs'!$I$4, 0)+IFERROR(_xlfn.XLOOKUP(AR$134, Load!$D$32:$BA$32, Load!$D42:$BA42)*'Assumptions &amp; Inputs'!$E$4, 0)+IFERROR(_xlfn.XLOOKUP(AR$134, Hydrogen!$D$32:$BA$32, Hydrogen!$D42:$BA42)*'Assumptions &amp; Inputs'!$J$4, 0)+IFERROR(_xlfn.XLOOKUP(AR$134, 'SENS Tires'!$D$32:$BA$32, 'SENS Tires'!$D42:$BA42)*'Assumptions &amp; Inputs'!$K$4, 0)+IFERROR(_xlfn.XLOOKUP(AR$134, 'SENS Coal'!$D$32:$BA$32, 'SENS Coal'!$D42:$BA42)*'Assumptions &amp; Inputs'!$L$4, 0)</f>
        <v>0</v>
      </c>
      <c r="AS145" s="215">
        <f>IFERROR(_xlfn.XLOOKUP(AS$134, 'Real Estate'!$D$25:$BA$25, 'Real Estate'!$D35:$BA35), 0)+IFERROR(_xlfn.XLOOKUP(AS$134, 'GEN-CCGT'!$D$32:$BA$32, 'GEN-CCGT'!$D42:$BA42)*'Assumptions &amp; Inputs'!$G$4, 0)+IFERROR(_xlfn.XLOOKUP(AS$134, 'GEN-SOLAR'!$D$32:$BA$32, 'GEN-SOLAR'!$D42:$BA42)*'Assumptions &amp; Inputs'!$H$4, 0)+IFERROR(_xlfn.XLOOKUP(AS$134, 'GEN-BESS'!$D$32:$BA$32, 'GEN-BESS'!$D42:$BA42)*'Assumptions &amp; Inputs'!$F$4, 0)+IFERROR(_xlfn.XLOOKUP(AS$134, 'GEN-CARBON'!$D$32:$BA$32, 'GEN-CARBON'!$D42:$BA42)*'Assumptions &amp; Inputs'!$I$4, 0)+IFERROR(_xlfn.XLOOKUP(AS$134, Load!$D$32:$BA$32, Load!$D42:$BA42)*'Assumptions &amp; Inputs'!$E$4, 0)+IFERROR(_xlfn.XLOOKUP(AS$134, Hydrogen!$D$32:$BA$32, Hydrogen!$D42:$BA42)*'Assumptions &amp; Inputs'!$J$4, 0)+IFERROR(_xlfn.XLOOKUP(AS$134, 'SENS Tires'!$D$32:$BA$32, 'SENS Tires'!$D42:$BA42)*'Assumptions &amp; Inputs'!$K$4, 0)+IFERROR(_xlfn.XLOOKUP(AS$134, 'SENS Coal'!$D$32:$BA$32, 'SENS Coal'!$D42:$BA42)*'Assumptions &amp; Inputs'!$L$4, 0)</f>
        <v>0</v>
      </c>
      <c r="AT145" s="215">
        <f>IFERROR(_xlfn.XLOOKUP(AT$134, 'Real Estate'!$D$25:$BA$25, 'Real Estate'!$D35:$BA35), 0)+IFERROR(_xlfn.XLOOKUP(AT$134, 'GEN-CCGT'!$D$32:$BA$32, 'GEN-CCGT'!$D42:$BA42)*'Assumptions &amp; Inputs'!$G$4, 0)+IFERROR(_xlfn.XLOOKUP(AT$134, 'GEN-SOLAR'!$D$32:$BA$32, 'GEN-SOLAR'!$D42:$BA42)*'Assumptions &amp; Inputs'!$H$4, 0)+IFERROR(_xlfn.XLOOKUP(AT$134, 'GEN-BESS'!$D$32:$BA$32, 'GEN-BESS'!$D42:$BA42)*'Assumptions &amp; Inputs'!$F$4, 0)+IFERROR(_xlfn.XLOOKUP(AT$134, 'GEN-CARBON'!$D$32:$BA$32, 'GEN-CARBON'!$D42:$BA42)*'Assumptions &amp; Inputs'!$I$4, 0)+IFERROR(_xlfn.XLOOKUP(AT$134, Load!$D$32:$BA$32, Load!$D42:$BA42)*'Assumptions &amp; Inputs'!$E$4, 0)+IFERROR(_xlfn.XLOOKUP(AT$134, Hydrogen!$D$32:$BA$32, Hydrogen!$D42:$BA42)*'Assumptions &amp; Inputs'!$J$4, 0)+IFERROR(_xlfn.XLOOKUP(AT$134, 'SENS Tires'!$D$32:$BA$32, 'SENS Tires'!$D42:$BA42)*'Assumptions &amp; Inputs'!$K$4, 0)+IFERROR(_xlfn.XLOOKUP(AT$134, 'SENS Coal'!$D$32:$BA$32, 'SENS Coal'!$D42:$BA42)*'Assumptions &amp; Inputs'!$L$4, 0)</f>
        <v>0</v>
      </c>
      <c r="AU145" s="215">
        <f>IFERROR(_xlfn.XLOOKUP(AU$134, 'Real Estate'!$D$25:$BA$25, 'Real Estate'!$D35:$BA35), 0)+IFERROR(_xlfn.XLOOKUP(AU$134, 'GEN-CCGT'!$D$32:$BA$32, 'GEN-CCGT'!$D42:$BA42)*'Assumptions &amp; Inputs'!$G$4, 0)+IFERROR(_xlfn.XLOOKUP(AU$134, 'GEN-SOLAR'!$D$32:$BA$32, 'GEN-SOLAR'!$D42:$BA42)*'Assumptions &amp; Inputs'!$H$4, 0)+IFERROR(_xlfn.XLOOKUP(AU$134, 'GEN-BESS'!$D$32:$BA$32, 'GEN-BESS'!$D42:$BA42)*'Assumptions &amp; Inputs'!$F$4, 0)+IFERROR(_xlfn.XLOOKUP(AU$134, 'GEN-CARBON'!$D$32:$BA$32, 'GEN-CARBON'!$D42:$BA42)*'Assumptions &amp; Inputs'!$I$4, 0)+IFERROR(_xlfn.XLOOKUP(AU$134, Load!$D$32:$BA$32, Load!$D42:$BA42)*'Assumptions &amp; Inputs'!$E$4, 0)+IFERROR(_xlfn.XLOOKUP(AU$134, Hydrogen!$D$32:$BA$32, Hydrogen!$D42:$BA42)*'Assumptions &amp; Inputs'!$J$4, 0)+IFERROR(_xlfn.XLOOKUP(AU$134, 'SENS Tires'!$D$32:$BA$32, 'SENS Tires'!$D42:$BA42)*'Assumptions &amp; Inputs'!$K$4, 0)+IFERROR(_xlfn.XLOOKUP(AU$134, 'SENS Coal'!$D$32:$BA$32, 'SENS Coal'!$D42:$BA42)*'Assumptions &amp; Inputs'!$L$4, 0)</f>
        <v>0</v>
      </c>
      <c r="AV145" s="215">
        <f>IFERROR(_xlfn.XLOOKUP(AV$134, 'Real Estate'!$D$25:$BA$25, 'Real Estate'!$D35:$BA35), 0)+IFERROR(_xlfn.XLOOKUP(AV$134, 'GEN-CCGT'!$D$32:$BA$32, 'GEN-CCGT'!$D42:$BA42)*'Assumptions &amp; Inputs'!$G$4, 0)+IFERROR(_xlfn.XLOOKUP(AV$134, 'GEN-SOLAR'!$D$32:$BA$32, 'GEN-SOLAR'!$D42:$BA42)*'Assumptions &amp; Inputs'!$H$4, 0)+IFERROR(_xlfn.XLOOKUP(AV$134, 'GEN-BESS'!$D$32:$BA$32, 'GEN-BESS'!$D42:$BA42)*'Assumptions &amp; Inputs'!$F$4, 0)+IFERROR(_xlfn.XLOOKUP(AV$134, 'GEN-CARBON'!$D$32:$BA$32, 'GEN-CARBON'!$D42:$BA42)*'Assumptions &amp; Inputs'!$I$4, 0)+IFERROR(_xlfn.XLOOKUP(AV$134, Load!$D$32:$BA$32, Load!$D42:$BA42)*'Assumptions &amp; Inputs'!$E$4, 0)+IFERROR(_xlfn.XLOOKUP(AV$134, Hydrogen!$D$32:$BA$32, Hydrogen!$D42:$BA42)*'Assumptions &amp; Inputs'!$J$4, 0)+IFERROR(_xlfn.XLOOKUP(AV$134, 'SENS Tires'!$D$32:$BA$32, 'SENS Tires'!$D42:$BA42)*'Assumptions &amp; Inputs'!$K$4, 0)+IFERROR(_xlfn.XLOOKUP(AV$134, 'SENS Coal'!$D$32:$BA$32, 'SENS Coal'!$D42:$BA42)*'Assumptions &amp; Inputs'!$L$4, 0)</f>
        <v>0</v>
      </c>
      <c r="AW145" s="215">
        <f>IFERROR(_xlfn.XLOOKUP(AW$134, 'Real Estate'!$D$25:$BA$25, 'Real Estate'!$D35:$BA35), 0)+IFERROR(_xlfn.XLOOKUP(AW$134, 'GEN-CCGT'!$D$32:$BA$32, 'GEN-CCGT'!$D42:$BA42)*'Assumptions &amp; Inputs'!$G$4, 0)+IFERROR(_xlfn.XLOOKUP(AW$134, 'GEN-SOLAR'!$D$32:$BA$32, 'GEN-SOLAR'!$D42:$BA42)*'Assumptions &amp; Inputs'!$H$4, 0)+IFERROR(_xlfn.XLOOKUP(AW$134, 'GEN-BESS'!$D$32:$BA$32, 'GEN-BESS'!$D42:$BA42)*'Assumptions &amp; Inputs'!$F$4, 0)+IFERROR(_xlfn.XLOOKUP(AW$134, 'GEN-CARBON'!$D$32:$BA$32, 'GEN-CARBON'!$D42:$BA42)*'Assumptions &amp; Inputs'!$I$4, 0)+IFERROR(_xlfn.XLOOKUP(AW$134, Load!$D$32:$BA$32, Load!$D42:$BA42)*'Assumptions &amp; Inputs'!$E$4, 0)+IFERROR(_xlfn.XLOOKUP(AW$134, Hydrogen!$D$32:$BA$32, Hydrogen!$D42:$BA42)*'Assumptions &amp; Inputs'!$J$4, 0)+IFERROR(_xlfn.XLOOKUP(AW$134, 'SENS Tires'!$D$32:$BA$32, 'SENS Tires'!$D42:$BA42)*'Assumptions &amp; Inputs'!$K$4, 0)+IFERROR(_xlfn.XLOOKUP(AW$134, 'SENS Coal'!$D$32:$BA$32, 'SENS Coal'!$D42:$BA42)*'Assumptions &amp; Inputs'!$L$4, 0)</f>
        <v>0</v>
      </c>
      <c r="AX145" s="215">
        <f>IFERROR(_xlfn.XLOOKUP(AX$134, 'Real Estate'!$D$25:$BA$25, 'Real Estate'!$D35:$BA35), 0)+IFERROR(_xlfn.XLOOKUP(AX$134, 'GEN-CCGT'!$D$32:$BA$32, 'GEN-CCGT'!$D42:$BA42)*'Assumptions &amp; Inputs'!$G$4, 0)+IFERROR(_xlfn.XLOOKUP(AX$134, 'GEN-SOLAR'!$D$32:$BA$32, 'GEN-SOLAR'!$D42:$BA42)*'Assumptions &amp; Inputs'!$H$4, 0)+IFERROR(_xlfn.XLOOKUP(AX$134, 'GEN-BESS'!$D$32:$BA$32, 'GEN-BESS'!$D42:$BA42)*'Assumptions &amp; Inputs'!$F$4, 0)+IFERROR(_xlfn.XLOOKUP(AX$134, 'GEN-CARBON'!$D$32:$BA$32, 'GEN-CARBON'!$D42:$BA42)*'Assumptions &amp; Inputs'!$I$4, 0)+IFERROR(_xlfn.XLOOKUP(AX$134, Load!$D$32:$BA$32, Load!$D42:$BA42)*'Assumptions &amp; Inputs'!$E$4, 0)+IFERROR(_xlfn.XLOOKUP(AX$134, Hydrogen!$D$32:$BA$32, Hydrogen!$D42:$BA42)*'Assumptions &amp; Inputs'!$J$4, 0)+IFERROR(_xlfn.XLOOKUP(AX$134, 'SENS Tires'!$D$32:$BA$32, 'SENS Tires'!$D42:$BA42)*'Assumptions &amp; Inputs'!$K$4, 0)+IFERROR(_xlfn.XLOOKUP(AX$134, 'SENS Coal'!$D$32:$BA$32, 'SENS Coal'!$D42:$BA42)*'Assumptions &amp; Inputs'!$L$4, 0)</f>
        <v>0</v>
      </c>
    </row>
    <row r="146" spans="1:50" ht="14.25" customHeight="1">
      <c r="A146" s="1"/>
      <c r="B146" s="84"/>
      <c r="C146" s="302" t="s">
        <v>411</v>
      </c>
      <c r="D146" s="306"/>
      <c r="E146" s="237">
        <f t="shared" ref="E146:AX146" si="31">E142+E143+E145+E144</f>
        <v>0</v>
      </c>
      <c r="F146" s="237">
        <f t="shared" si="31"/>
        <v>205.65170979493018</v>
      </c>
      <c r="G146" s="237">
        <f t="shared" si="31"/>
        <v>308.18816907153877</v>
      </c>
      <c r="H146" s="237">
        <f t="shared" si="31"/>
        <v>327.72224199137304</v>
      </c>
      <c r="I146" s="237">
        <f t="shared" si="31"/>
        <v>382.73966713017211</v>
      </c>
      <c r="J146" s="237">
        <f t="shared" si="31"/>
        <v>411.89394270896736</v>
      </c>
      <c r="K146" s="237">
        <f t="shared" si="31"/>
        <v>419.65461784970142</v>
      </c>
      <c r="L146" s="237">
        <f t="shared" si="31"/>
        <v>427.58009190805689</v>
      </c>
      <c r="M146" s="237">
        <f t="shared" si="31"/>
        <v>435.67401789988565</v>
      </c>
      <c r="N146" s="237">
        <f t="shared" si="31"/>
        <v>443.94013360684738</v>
      </c>
      <c r="O146" s="237">
        <f t="shared" si="31"/>
        <v>452.38226363914987</v>
      </c>
      <c r="P146" s="237">
        <f t="shared" si="31"/>
        <v>461.0043215508295</v>
      </c>
      <c r="Q146" s="237">
        <f t="shared" si="31"/>
        <v>469.81031200896717</v>
      </c>
      <c r="R146" s="237">
        <f t="shared" si="31"/>
        <v>478.80433301827321</v>
      </c>
      <c r="S146" s="237">
        <f t="shared" si="31"/>
        <v>487.99057820250999</v>
      </c>
      <c r="T146" s="237">
        <f t="shared" si="31"/>
        <v>497.37333914426534</v>
      </c>
      <c r="U146" s="237">
        <f t="shared" si="31"/>
        <v>506.95700778463168</v>
      </c>
      <c r="V146" s="237">
        <f t="shared" si="31"/>
        <v>516.74607888438288</v>
      </c>
      <c r="W146" s="237">
        <f t="shared" si="31"/>
        <v>526.74515254829305</v>
      </c>
      <c r="X146" s="237">
        <f t="shared" si="31"/>
        <v>536.95893681428026</v>
      </c>
      <c r="Y146" s="237">
        <f t="shared" si="31"/>
        <v>547.39225030910825</v>
      </c>
      <c r="Z146" s="237">
        <f t="shared" si="31"/>
        <v>558.05002497242242</v>
      </c>
      <c r="AA146" s="237">
        <f t="shared" si="31"/>
        <v>568.93730885095329</v>
      </c>
      <c r="AB146" s="237">
        <f t="shared" si="31"/>
        <v>580.05926896476251</v>
      </c>
      <c r="AC146" s="237">
        <f t="shared" si="31"/>
        <v>591.42119424746522</v>
      </c>
      <c r="AD146" s="237">
        <f t="shared" si="31"/>
        <v>603.02849856241062</v>
      </c>
      <c r="AE146" s="237">
        <f t="shared" si="31"/>
        <v>642.76172379686341</v>
      </c>
      <c r="AF146" s="237">
        <f t="shared" si="31"/>
        <v>113.9502816884149</v>
      </c>
      <c r="AG146" s="237">
        <f t="shared" si="31"/>
        <v>121.04509503900958</v>
      </c>
      <c r="AH146" s="237">
        <f t="shared" si="31"/>
        <v>92.732332271660937</v>
      </c>
      <c r="AI146" s="237">
        <f t="shared" si="31"/>
        <v>-2.3219929889830952E-6</v>
      </c>
      <c r="AJ146" s="237">
        <f t="shared" si="31"/>
        <v>-2.3916527786525884E-6</v>
      </c>
      <c r="AK146" s="237">
        <f t="shared" si="31"/>
        <v>-2.4634023620121658E-6</v>
      </c>
      <c r="AL146" s="237">
        <f t="shared" si="31"/>
        <v>-2.537304432872531E-6</v>
      </c>
      <c r="AM146" s="237">
        <f t="shared" si="31"/>
        <v>-2.6134235658587073E-6</v>
      </c>
      <c r="AN146" s="237">
        <f t="shared" si="31"/>
        <v>-2.6918262728344683E-6</v>
      </c>
      <c r="AO146" s="237">
        <f t="shared" si="31"/>
        <v>-2.7725810610195027E-6</v>
      </c>
      <c r="AP146" s="237">
        <f t="shared" si="31"/>
        <v>-2.8557584928500874E-6</v>
      </c>
      <c r="AQ146" s="237">
        <f t="shared" si="31"/>
        <v>-2.9414312476355905E-6</v>
      </c>
      <c r="AR146" s="237">
        <f t="shared" si="31"/>
        <v>-3.0296741850646581E-6</v>
      </c>
      <c r="AS146" s="237">
        <f t="shared" si="31"/>
        <v>-3.1205644106165973E-6</v>
      </c>
      <c r="AT146" s="237">
        <f t="shared" si="31"/>
        <v>-3.2141813429350959E-6</v>
      </c>
      <c r="AU146" s="237">
        <f t="shared" si="31"/>
        <v>-3.310606783223149E-6</v>
      </c>
      <c r="AV146" s="237">
        <f t="shared" si="31"/>
        <v>-3.4099249867198433E-6</v>
      </c>
      <c r="AW146" s="237">
        <f t="shared" si="31"/>
        <v>-3.5122227363214387E-6</v>
      </c>
      <c r="AX146" s="237">
        <f t="shared" si="31"/>
        <v>-3.6175894184110823E-6</v>
      </c>
    </row>
    <row r="147" spans="1:50" s="76" customFormat="1" ht="14.25" customHeight="1" thickBot="1">
      <c r="A147" s="2"/>
      <c r="B147" s="83"/>
      <c r="C147" s="303" t="s">
        <v>412</v>
      </c>
      <c r="D147" s="85"/>
      <c r="E147" s="304">
        <f>E146</f>
        <v>0</v>
      </c>
      <c r="F147" s="304">
        <f>F146+E147</f>
        <v>205.65170979493018</v>
      </c>
      <c r="G147" s="304">
        <f t="shared" ref="G147:AX147" si="32">G146+F147</f>
        <v>513.83987886646901</v>
      </c>
      <c r="H147" s="304">
        <f t="shared" si="32"/>
        <v>841.56212085784205</v>
      </c>
      <c r="I147" s="304">
        <f t="shared" si="32"/>
        <v>1224.3017879880142</v>
      </c>
      <c r="J147" s="304">
        <f t="shared" si="32"/>
        <v>1636.1957306969816</v>
      </c>
      <c r="K147" s="304">
        <f t="shared" si="32"/>
        <v>2055.8503485466831</v>
      </c>
      <c r="L147" s="304">
        <f t="shared" si="32"/>
        <v>2483.4304404547402</v>
      </c>
      <c r="M147" s="304">
        <f t="shared" si="32"/>
        <v>2919.1044583546259</v>
      </c>
      <c r="N147" s="304">
        <f t="shared" si="32"/>
        <v>3363.0445919614731</v>
      </c>
      <c r="O147" s="304">
        <f t="shared" si="32"/>
        <v>3815.4268556006227</v>
      </c>
      <c r="P147" s="304">
        <f t="shared" si="32"/>
        <v>4276.4311771514522</v>
      </c>
      <c r="Q147" s="304">
        <f t="shared" si="32"/>
        <v>4746.2414891604194</v>
      </c>
      <c r="R147" s="304">
        <f t="shared" si="32"/>
        <v>5225.045822178693</v>
      </c>
      <c r="S147" s="304">
        <f t="shared" si="32"/>
        <v>5713.0364003812028</v>
      </c>
      <c r="T147" s="304">
        <f t="shared" si="32"/>
        <v>6210.4097395254685</v>
      </c>
      <c r="U147" s="304">
        <f t="shared" si="32"/>
        <v>6717.3667473101004</v>
      </c>
      <c r="V147" s="304">
        <f t="shared" si="32"/>
        <v>7234.1128261944832</v>
      </c>
      <c r="W147" s="304">
        <f t="shared" si="32"/>
        <v>7760.8579787427761</v>
      </c>
      <c r="X147" s="304">
        <f t="shared" si="32"/>
        <v>8297.8169155570558</v>
      </c>
      <c r="Y147" s="304">
        <f t="shared" si="32"/>
        <v>8845.2091658661648</v>
      </c>
      <c r="Z147" s="304">
        <f t="shared" si="32"/>
        <v>9403.2591908385875</v>
      </c>
      <c r="AA147" s="304">
        <f t="shared" si="32"/>
        <v>9972.1964996895404</v>
      </c>
      <c r="AB147" s="304">
        <f t="shared" si="32"/>
        <v>10552.255768654302</v>
      </c>
      <c r="AC147" s="304">
        <f t="shared" si="32"/>
        <v>11143.676962901767</v>
      </c>
      <c r="AD147" s="304">
        <f t="shared" si="32"/>
        <v>11746.705461464178</v>
      </c>
      <c r="AE147" s="304">
        <f t="shared" si="32"/>
        <v>12389.467185261041</v>
      </c>
      <c r="AF147" s="304">
        <f t="shared" si="32"/>
        <v>12503.417466949455</v>
      </c>
      <c r="AG147" s="304">
        <f t="shared" si="32"/>
        <v>12624.462561988465</v>
      </c>
      <c r="AH147" s="304">
        <f t="shared" si="32"/>
        <v>12717.194894260125</v>
      </c>
      <c r="AI147" s="304">
        <f t="shared" si="32"/>
        <v>12717.194891938132</v>
      </c>
      <c r="AJ147" s="304">
        <f t="shared" si="32"/>
        <v>12717.194889546479</v>
      </c>
      <c r="AK147" s="304">
        <f t="shared" si="32"/>
        <v>12717.194887083077</v>
      </c>
      <c r="AL147" s="304">
        <f t="shared" si="32"/>
        <v>12717.194884545772</v>
      </c>
      <c r="AM147" s="304">
        <f t="shared" si="32"/>
        <v>12717.194881932348</v>
      </c>
      <c r="AN147" s="304">
        <f t="shared" si="32"/>
        <v>12717.194879240522</v>
      </c>
      <c r="AO147" s="304">
        <f t="shared" si="32"/>
        <v>12717.19487646794</v>
      </c>
      <c r="AP147" s="304">
        <f t="shared" si="32"/>
        <v>12717.194873612181</v>
      </c>
      <c r="AQ147" s="304">
        <f t="shared" si="32"/>
        <v>12717.19487067075</v>
      </c>
      <c r="AR147" s="304">
        <f t="shared" si="32"/>
        <v>12717.194867641076</v>
      </c>
      <c r="AS147" s="304">
        <f t="shared" si="32"/>
        <v>12717.194864520512</v>
      </c>
      <c r="AT147" s="304">
        <f t="shared" si="32"/>
        <v>12717.19486130633</v>
      </c>
      <c r="AU147" s="304">
        <f t="shared" si="32"/>
        <v>12717.194857995724</v>
      </c>
      <c r="AV147" s="304">
        <f t="shared" si="32"/>
        <v>12717.194854585799</v>
      </c>
      <c r="AW147" s="304">
        <f t="shared" si="32"/>
        <v>12717.194851073577</v>
      </c>
      <c r="AX147" s="305">
        <f t="shared" si="32"/>
        <v>12717.194847455987</v>
      </c>
    </row>
    <row r="148" spans="1:50" ht="14.25" customHeight="1">
      <c r="A148" s="4"/>
      <c r="B148" s="4"/>
      <c r="C148" s="4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747"/>
    </row>
    <row r="149" spans="1:50" ht="14.25" customHeight="1">
      <c r="A149" s="4"/>
      <c r="B149" s="4"/>
      <c r="C149" s="2" t="s">
        <v>413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747"/>
    </row>
    <row r="150" spans="1:50" ht="14.25" customHeight="1">
      <c r="A150" s="4"/>
      <c r="B150" s="4"/>
      <c r="C150" s="1" t="s">
        <v>414</v>
      </c>
      <c r="D150" s="747"/>
      <c r="E150" s="15">
        <f>E138</f>
        <v>0</v>
      </c>
      <c r="F150" s="15">
        <f t="shared" ref="F150:AX150" si="33">F138</f>
        <v>205.65170979493018</v>
      </c>
      <c r="G150" s="15">
        <f>G138</f>
        <v>287.00316907153876</v>
      </c>
      <c r="H150" s="15">
        <f t="shared" si="33"/>
        <v>306.53724199137304</v>
      </c>
      <c r="I150" s="15">
        <f t="shared" si="33"/>
        <v>357.3746671301721</v>
      </c>
      <c r="J150" s="15">
        <f t="shared" si="33"/>
        <v>372.84894270896734</v>
      </c>
      <c r="K150" s="15">
        <f t="shared" si="33"/>
        <v>380.60961784970141</v>
      </c>
      <c r="L150" s="15">
        <f t="shared" si="33"/>
        <v>388.53509190805687</v>
      </c>
      <c r="M150" s="15">
        <f t="shared" si="33"/>
        <v>396.62901789988564</v>
      </c>
      <c r="N150" s="15">
        <f t="shared" si="33"/>
        <v>404.89513360684737</v>
      </c>
      <c r="O150" s="15">
        <f t="shared" si="33"/>
        <v>413.33726363914985</v>
      </c>
      <c r="P150" s="15">
        <f t="shared" si="33"/>
        <v>421.95932155082949</v>
      </c>
      <c r="Q150" s="15">
        <f t="shared" si="33"/>
        <v>430.76531200896716</v>
      </c>
      <c r="R150" s="15">
        <f t="shared" si="33"/>
        <v>439.7593330182732</v>
      </c>
      <c r="S150" s="15">
        <f t="shared" si="33"/>
        <v>448.94557820250998</v>
      </c>
      <c r="T150" s="15">
        <f t="shared" si="33"/>
        <v>458.32833914426533</v>
      </c>
      <c r="U150" s="15">
        <f t="shared" si="33"/>
        <v>467.91200778463167</v>
      </c>
      <c r="V150" s="15">
        <f t="shared" si="33"/>
        <v>477.70107888438292</v>
      </c>
      <c r="W150" s="15">
        <f t="shared" si="33"/>
        <v>487.70015254829303</v>
      </c>
      <c r="X150" s="15">
        <f t="shared" si="33"/>
        <v>497.91393681428031</v>
      </c>
      <c r="Y150" s="15">
        <f t="shared" si="33"/>
        <v>508.34725030910829</v>
      </c>
      <c r="Z150" s="15">
        <f t="shared" si="33"/>
        <v>519.00502497242246</v>
      </c>
      <c r="AA150" s="15">
        <f t="shared" si="33"/>
        <v>529.89230885095333</v>
      </c>
      <c r="AB150" s="15">
        <f t="shared" si="33"/>
        <v>541.01426896476255</v>
      </c>
      <c r="AC150" s="15">
        <f t="shared" si="33"/>
        <v>552.37619424746526</v>
      </c>
      <c r="AD150" s="15">
        <f t="shared" si="33"/>
        <v>563.98349856241066</v>
      </c>
      <c r="AE150" s="15">
        <f t="shared" si="33"/>
        <v>575.84172379686345</v>
      </c>
      <c r="AF150" s="15">
        <f t="shared" si="33"/>
        <v>96.090281688414905</v>
      </c>
      <c r="AG150" s="15">
        <f t="shared" si="33"/>
        <v>97.685095039009582</v>
      </c>
      <c r="AH150" s="15">
        <f t="shared" si="33"/>
        <v>61.052332271660944</v>
      </c>
      <c r="AI150" s="15">
        <f t="shared" si="33"/>
        <v>-2.3219929889830952E-6</v>
      </c>
      <c r="AJ150" s="15">
        <f t="shared" si="33"/>
        <v>-2.3916527786525884E-6</v>
      </c>
      <c r="AK150" s="15">
        <f t="shared" si="33"/>
        <v>-2.4634023620121658E-6</v>
      </c>
      <c r="AL150" s="15">
        <f t="shared" si="33"/>
        <v>-2.537304432872531E-6</v>
      </c>
      <c r="AM150" s="15">
        <f t="shared" si="33"/>
        <v>-2.6134235658587073E-6</v>
      </c>
      <c r="AN150" s="15">
        <f t="shared" si="33"/>
        <v>-2.6918262728344683E-6</v>
      </c>
      <c r="AO150" s="15">
        <f t="shared" si="33"/>
        <v>-2.7725810610195027E-6</v>
      </c>
      <c r="AP150" s="15">
        <f t="shared" si="33"/>
        <v>-2.8557584928500874E-6</v>
      </c>
      <c r="AQ150" s="15">
        <f t="shared" si="33"/>
        <v>-2.9414312476355905E-6</v>
      </c>
      <c r="AR150" s="15">
        <f t="shared" si="33"/>
        <v>-3.0296741850646581E-6</v>
      </c>
      <c r="AS150" s="15">
        <f t="shared" si="33"/>
        <v>-3.1205644106165973E-6</v>
      </c>
      <c r="AT150" s="15">
        <f t="shared" si="33"/>
        <v>-3.2141813429350959E-6</v>
      </c>
      <c r="AU150" s="15">
        <f t="shared" si="33"/>
        <v>-3.310606783223149E-6</v>
      </c>
      <c r="AV150" s="15">
        <f t="shared" si="33"/>
        <v>-3.4099249867198433E-6</v>
      </c>
      <c r="AW150" s="15">
        <f t="shared" si="33"/>
        <v>-3.5122227363214387E-6</v>
      </c>
      <c r="AX150" s="15">
        <f t="shared" si="33"/>
        <v>-3.6175894184110823E-6</v>
      </c>
    </row>
    <row r="151" spans="1:50" ht="14.25" customHeight="1">
      <c r="A151" s="4"/>
      <c r="B151" s="4"/>
      <c r="C151" s="1" t="s">
        <v>415</v>
      </c>
      <c r="D151" s="747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</row>
    <row r="152" spans="1:50" ht="14.25" customHeight="1">
      <c r="A152" s="4"/>
      <c r="B152" s="4"/>
      <c r="C152" s="1" t="s">
        <v>416</v>
      </c>
      <c r="D152" s="747"/>
      <c r="E152" s="15">
        <f t="shared" ref="E152:AX152" si="34">-E22</f>
        <v>632.58611111111111</v>
      </c>
      <c r="F152" s="15">
        <f t="shared" si="34"/>
        <v>215.29166666666666</v>
      </c>
      <c r="G152" s="15">
        <f t="shared" si="34"/>
        <v>126.66666666666666</v>
      </c>
      <c r="H152" s="15">
        <f t="shared" si="34"/>
        <v>93.055555555555557</v>
      </c>
      <c r="I152" s="15">
        <f t="shared" si="34"/>
        <v>7.5</v>
      </c>
      <c r="J152" s="15">
        <f t="shared" si="34"/>
        <v>0</v>
      </c>
      <c r="K152" s="15">
        <f t="shared" si="34"/>
        <v>0</v>
      </c>
      <c r="L152" s="15">
        <f t="shared" si="34"/>
        <v>0</v>
      </c>
      <c r="M152" s="15">
        <f t="shared" si="34"/>
        <v>0</v>
      </c>
      <c r="N152" s="15">
        <f t="shared" si="34"/>
        <v>0</v>
      </c>
      <c r="O152" s="15">
        <f t="shared" si="34"/>
        <v>0</v>
      </c>
      <c r="P152" s="15">
        <f t="shared" si="34"/>
        <v>0</v>
      </c>
      <c r="Q152" s="15">
        <f t="shared" si="34"/>
        <v>0</v>
      </c>
      <c r="R152" s="15">
        <f t="shared" si="34"/>
        <v>0</v>
      </c>
      <c r="S152" s="15">
        <f t="shared" si="34"/>
        <v>0</v>
      </c>
      <c r="T152" s="15">
        <f t="shared" si="34"/>
        <v>0</v>
      </c>
      <c r="U152" s="15">
        <f t="shared" si="34"/>
        <v>0</v>
      </c>
      <c r="V152" s="15">
        <f t="shared" si="34"/>
        <v>0</v>
      </c>
      <c r="W152" s="15">
        <f t="shared" si="34"/>
        <v>0</v>
      </c>
      <c r="X152" s="15">
        <f t="shared" si="34"/>
        <v>0</v>
      </c>
      <c r="Y152" s="15">
        <f t="shared" si="34"/>
        <v>0</v>
      </c>
      <c r="Z152" s="15">
        <f t="shared" si="34"/>
        <v>0</v>
      </c>
      <c r="AA152" s="15">
        <f t="shared" si="34"/>
        <v>0</v>
      </c>
      <c r="AB152" s="15">
        <f t="shared" si="34"/>
        <v>0</v>
      </c>
      <c r="AC152" s="15">
        <f t="shared" si="34"/>
        <v>0</v>
      </c>
      <c r="AD152" s="15">
        <f t="shared" si="34"/>
        <v>0</v>
      </c>
      <c r="AE152" s="15">
        <f t="shared" si="34"/>
        <v>0</v>
      </c>
      <c r="AF152" s="15">
        <f t="shared" si="34"/>
        <v>0</v>
      </c>
      <c r="AG152" s="15">
        <f t="shared" si="34"/>
        <v>0</v>
      </c>
      <c r="AH152" s="15">
        <f t="shared" si="34"/>
        <v>0</v>
      </c>
      <c r="AI152" s="15">
        <f t="shared" si="34"/>
        <v>0</v>
      </c>
      <c r="AJ152" s="15">
        <f t="shared" si="34"/>
        <v>0</v>
      </c>
      <c r="AK152" s="15">
        <f t="shared" si="34"/>
        <v>0</v>
      </c>
      <c r="AL152" s="15">
        <f t="shared" si="34"/>
        <v>0</v>
      </c>
      <c r="AM152" s="15">
        <f t="shared" si="34"/>
        <v>0</v>
      </c>
      <c r="AN152" s="15">
        <f t="shared" si="34"/>
        <v>0</v>
      </c>
      <c r="AO152" s="15">
        <f t="shared" si="34"/>
        <v>0</v>
      </c>
      <c r="AP152" s="15">
        <f t="shared" si="34"/>
        <v>0</v>
      </c>
      <c r="AQ152" s="15">
        <f t="shared" si="34"/>
        <v>0</v>
      </c>
      <c r="AR152" s="15">
        <f t="shared" si="34"/>
        <v>0</v>
      </c>
      <c r="AS152" s="15">
        <f t="shared" si="34"/>
        <v>0</v>
      </c>
      <c r="AT152" s="15">
        <f t="shared" si="34"/>
        <v>0</v>
      </c>
      <c r="AU152" s="15">
        <f t="shared" si="34"/>
        <v>0</v>
      </c>
      <c r="AV152" s="15">
        <f t="shared" si="34"/>
        <v>0</v>
      </c>
      <c r="AW152" s="15">
        <f t="shared" si="34"/>
        <v>0</v>
      </c>
      <c r="AX152" s="15">
        <f t="shared" si="34"/>
        <v>0</v>
      </c>
    </row>
    <row r="153" spans="1:50" ht="14.25" customHeight="1">
      <c r="A153" s="4"/>
      <c r="B153" s="4"/>
      <c r="C153" s="1" t="s">
        <v>417</v>
      </c>
      <c r="D153" s="747"/>
      <c r="E153" s="324">
        <f>-E139</f>
        <v>0</v>
      </c>
      <c r="F153" s="324">
        <f t="shared" ref="F153:AX153" si="35">-F139</f>
        <v>0</v>
      </c>
      <c r="G153" s="324">
        <f t="shared" si="35"/>
        <v>-21.185000000000002</v>
      </c>
      <c r="H153" s="324">
        <f t="shared" si="35"/>
        <v>-21.185000000000002</v>
      </c>
      <c r="I153" s="324">
        <f t="shared" si="35"/>
        <v>-25.364999999999998</v>
      </c>
      <c r="J153" s="324">
        <f t="shared" si="35"/>
        <v>-39.045000000000002</v>
      </c>
      <c r="K153" s="324">
        <f t="shared" si="35"/>
        <v>-39.045000000000002</v>
      </c>
      <c r="L153" s="324">
        <f t="shared" si="35"/>
        <v>-39.045000000000002</v>
      </c>
      <c r="M153" s="324">
        <f t="shared" si="35"/>
        <v>-39.045000000000002</v>
      </c>
      <c r="N153" s="324">
        <f t="shared" si="35"/>
        <v>-39.045000000000002</v>
      </c>
      <c r="O153" s="324">
        <f t="shared" si="35"/>
        <v>-39.045000000000002</v>
      </c>
      <c r="P153" s="324">
        <f t="shared" si="35"/>
        <v>-39.045000000000002</v>
      </c>
      <c r="Q153" s="324">
        <f t="shared" si="35"/>
        <v>-39.045000000000002</v>
      </c>
      <c r="R153" s="324">
        <f t="shared" si="35"/>
        <v>-39.045000000000002</v>
      </c>
      <c r="S153" s="324">
        <f t="shared" si="35"/>
        <v>-39.045000000000002</v>
      </c>
      <c r="T153" s="324">
        <f t="shared" si="35"/>
        <v>-39.045000000000002</v>
      </c>
      <c r="U153" s="324">
        <f t="shared" si="35"/>
        <v>-39.045000000000002</v>
      </c>
      <c r="V153" s="324">
        <f t="shared" si="35"/>
        <v>-39.045000000000002</v>
      </c>
      <c r="W153" s="324">
        <f t="shared" si="35"/>
        <v>-39.045000000000002</v>
      </c>
      <c r="X153" s="324">
        <f t="shared" si="35"/>
        <v>-39.045000000000002</v>
      </c>
      <c r="Y153" s="324">
        <f t="shared" si="35"/>
        <v>-39.045000000000002</v>
      </c>
      <c r="Z153" s="324">
        <f t="shared" si="35"/>
        <v>-39.045000000000002</v>
      </c>
      <c r="AA153" s="324">
        <f t="shared" si="35"/>
        <v>-39.045000000000002</v>
      </c>
      <c r="AB153" s="324">
        <f t="shared" si="35"/>
        <v>-39.045000000000002</v>
      </c>
      <c r="AC153" s="324">
        <f t="shared" si="35"/>
        <v>-39.045000000000002</v>
      </c>
      <c r="AD153" s="324">
        <f t="shared" si="35"/>
        <v>-39.045000000000002</v>
      </c>
      <c r="AE153" s="324">
        <f t="shared" si="35"/>
        <v>-39.045000000000002</v>
      </c>
      <c r="AF153" s="324">
        <f t="shared" si="35"/>
        <v>-17.86</v>
      </c>
      <c r="AG153" s="324">
        <f t="shared" si="35"/>
        <v>-17.86</v>
      </c>
      <c r="AH153" s="324">
        <f t="shared" si="35"/>
        <v>-13.68</v>
      </c>
      <c r="AI153" s="324">
        <f t="shared" si="35"/>
        <v>0</v>
      </c>
      <c r="AJ153" s="324">
        <f t="shared" si="35"/>
        <v>0</v>
      </c>
      <c r="AK153" s="324">
        <f t="shared" si="35"/>
        <v>0</v>
      </c>
      <c r="AL153" s="324">
        <f t="shared" si="35"/>
        <v>0</v>
      </c>
      <c r="AM153" s="324">
        <f t="shared" si="35"/>
        <v>0</v>
      </c>
      <c r="AN153" s="324">
        <f t="shared" si="35"/>
        <v>0</v>
      </c>
      <c r="AO153" s="324">
        <f t="shared" si="35"/>
        <v>0</v>
      </c>
      <c r="AP153" s="324">
        <f t="shared" si="35"/>
        <v>0</v>
      </c>
      <c r="AQ153" s="324">
        <f t="shared" si="35"/>
        <v>0</v>
      </c>
      <c r="AR153" s="324">
        <f t="shared" si="35"/>
        <v>0</v>
      </c>
      <c r="AS153" s="324">
        <f t="shared" si="35"/>
        <v>0</v>
      </c>
      <c r="AT153" s="324">
        <f t="shared" si="35"/>
        <v>0</v>
      </c>
      <c r="AU153" s="324">
        <f t="shared" si="35"/>
        <v>0</v>
      </c>
      <c r="AV153" s="324">
        <f t="shared" si="35"/>
        <v>0</v>
      </c>
      <c r="AW153" s="324">
        <f t="shared" si="35"/>
        <v>0</v>
      </c>
      <c r="AX153" s="324">
        <f t="shared" si="35"/>
        <v>0</v>
      </c>
    </row>
    <row r="154" spans="1:50" ht="14.25" customHeight="1">
      <c r="A154" s="4"/>
      <c r="B154" s="4"/>
      <c r="C154" s="1" t="s">
        <v>418</v>
      </c>
      <c r="D154" s="747"/>
      <c r="E154" s="8">
        <f>SUM(E168,E152:E153)</f>
        <v>632.58611111111111</v>
      </c>
      <c r="F154" s="8">
        <f>SUM(E154,F152:F153)</f>
        <v>847.87777777777774</v>
      </c>
      <c r="G154" s="8">
        <f t="shared" ref="G154:AX154" si="36">SUM(F154,G152:G153)</f>
        <v>953.35944444444431</v>
      </c>
      <c r="H154" s="8">
        <f t="shared" si="36"/>
        <v>1025.23</v>
      </c>
      <c r="I154" s="8">
        <f t="shared" si="36"/>
        <v>1007.365</v>
      </c>
      <c r="J154" s="8">
        <f t="shared" si="36"/>
        <v>968.32</v>
      </c>
      <c r="K154" s="8">
        <f t="shared" si="36"/>
        <v>929.27500000000009</v>
      </c>
      <c r="L154" s="8">
        <f t="shared" si="36"/>
        <v>890.23000000000013</v>
      </c>
      <c r="M154" s="8">
        <f t="shared" si="36"/>
        <v>851.18500000000017</v>
      </c>
      <c r="N154" s="8">
        <f t="shared" si="36"/>
        <v>812.14000000000021</v>
      </c>
      <c r="O154" s="8">
        <f t="shared" si="36"/>
        <v>773.09500000000025</v>
      </c>
      <c r="P154" s="8">
        <f t="shared" si="36"/>
        <v>734.0500000000003</v>
      </c>
      <c r="Q154" s="8">
        <f t="shared" si="36"/>
        <v>695.00500000000034</v>
      </c>
      <c r="R154" s="8">
        <f t="shared" si="36"/>
        <v>655.96000000000038</v>
      </c>
      <c r="S154" s="8">
        <f t="shared" si="36"/>
        <v>616.91500000000042</v>
      </c>
      <c r="T154" s="8">
        <f t="shared" si="36"/>
        <v>577.87000000000046</v>
      </c>
      <c r="U154" s="8">
        <f t="shared" si="36"/>
        <v>538.8250000000005</v>
      </c>
      <c r="V154" s="8">
        <f t="shared" si="36"/>
        <v>499.78000000000048</v>
      </c>
      <c r="W154" s="8">
        <f t="shared" si="36"/>
        <v>460.73500000000047</v>
      </c>
      <c r="X154" s="8">
        <f t="shared" si="36"/>
        <v>421.69000000000045</v>
      </c>
      <c r="Y154" s="8">
        <f t="shared" si="36"/>
        <v>382.64500000000044</v>
      </c>
      <c r="Z154" s="8">
        <f t="shared" si="36"/>
        <v>343.60000000000042</v>
      </c>
      <c r="AA154" s="8">
        <f t="shared" si="36"/>
        <v>304.5550000000004</v>
      </c>
      <c r="AB154" s="8">
        <f t="shared" si="36"/>
        <v>265.51000000000039</v>
      </c>
      <c r="AC154" s="8">
        <f t="shared" si="36"/>
        <v>226.46500000000037</v>
      </c>
      <c r="AD154" s="8">
        <f t="shared" si="36"/>
        <v>187.42000000000036</v>
      </c>
      <c r="AE154" s="8">
        <f t="shared" si="36"/>
        <v>148.37500000000034</v>
      </c>
      <c r="AF154" s="8">
        <f t="shared" si="36"/>
        <v>130.51500000000033</v>
      </c>
      <c r="AG154" s="8">
        <f t="shared" si="36"/>
        <v>112.65500000000033</v>
      </c>
      <c r="AH154" s="8">
        <f t="shared" si="36"/>
        <v>98.975000000000335</v>
      </c>
      <c r="AI154" s="8">
        <f t="shared" si="36"/>
        <v>98.975000000000335</v>
      </c>
      <c r="AJ154" s="8">
        <f t="shared" si="36"/>
        <v>98.975000000000335</v>
      </c>
      <c r="AK154" s="8">
        <f t="shared" si="36"/>
        <v>98.975000000000335</v>
      </c>
      <c r="AL154" s="8">
        <f t="shared" si="36"/>
        <v>98.975000000000335</v>
      </c>
      <c r="AM154" s="8">
        <f t="shared" si="36"/>
        <v>98.975000000000335</v>
      </c>
      <c r="AN154" s="8">
        <f t="shared" si="36"/>
        <v>98.975000000000335</v>
      </c>
      <c r="AO154" s="8">
        <f t="shared" si="36"/>
        <v>98.975000000000335</v>
      </c>
      <c r="AP154" s="8">
        <f t="shared" si="36"/>
        <v>98.975000000000335</v>
      </c>
      <c r="AQ154" s="8">
        <f t="shared" si="36"/>
        <v>98.975000000000335</v>
      </c>
      <c r="AR154" s="8">
        <f t="shared" si="36"/>
        <v>98.975000000000335</v>
      </c>
      <c r="AS154" s="8">
        <f t="shared" si="36"/>
        <v>98.975000000000335</v>
      </c>
      <c r="AT154" s="8">
        <f t="shared" si="36"/>
        <v>98.975000000000335</v>
      </c>
      <c r="AU154" s="8">
        <f t="shared" si="36"/>
        <v>98.975000000000335</v>
      </c>
      <c r="AV154" s="8">
        <f t="shared" si="36"/>
        <v>98.975000000000335</v>
      </c>
      <c r="AW154" s="8">
        <f t="shared" si="36"/>
        <v>98.975000000000335</v>
      </c>
      <c r="AX154" s="8">
        <f t="shared" si="36"/>
        <v>98.975000000000335</v>
      </c>
    </row>
    <row r="155" spans="1:50" ht="14.25" customHeight="1">
      <c r="A155" s="4"/>
      <c r="B155" s="4"/>
      <c r="C155" s="325" t="s">
        <v>419</v>
      </c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  <c r="AA155" s="326"/>
      <c r="AB155" s="326"/>
      <c r="AC155" s="326"/>
      <c r="AD155" s="326"/>
      <c r="AE155" s="326"/>
      <c r="AF155" s="326"/>
      <c r="AG155" s="326"/>
      <c r="AH155" s="326"/>
      <c r="AI155" s="326"/>
      <c r="AJ155" s="326"/>
      <c r="AK155" s="326"/>
      <c r="AL155" s="326"/>
      <c r="AM155" s="326"/>
      <c r="AN155" s="326"/>
      <c r="AO155" s="326"/>
      <c r="AP155" s="326"/>
      <c r="AQ155" s="326"/>
      <c r="AR155" s="326"/>
      <c r="AS155" s="326"/>
      <c r="AT155" s="326"/>
      <c r="AU155" s="326"/>
      <c r="AV155" s="326"/>
      <c r="AW155" s="326"/>
      <c r="AX155" s="326"/>
    </row>
    <row r="156" spans="1:50" ht="14.25" customHeight="1">
      <c r="A156" s="4"/>
      <c r="B156" s="4"/>
      <c r="C156" s="1" t="s">
        <v>420</v>
      </c>
      <c r="D156" s="747"/>
      <c r="E156" s="8">
        <f>SUM(E154:E155)</f>
        <v>632.58611111111111</v>
      </c>
      <c r="F156" s="8">
        <f t="shared" ref="F156:AX156" si="37">SUM(F154:F155)</f>
        <v>847.87777777777774</v>
      </c>
      <c r="G156" s="8">
        <f t="shared" si="37"/>
        <v>953.35944444444431</v>
      </c>
      <c r="H156" s="8">
        <f t="shared" si="37"/>
        <v>1025.23</v>
      </c>
      <c r="I156" s="8">
        <f t="shared" si="37"/>
        <v>1007.365</v>
      </c>
      <c r="J156" s="8">
        <f t="shared" si="37"/>
        <v>968.32</v>
      </c>
      <c r="K156" s="8">
        <f t="shared" si="37"/>
        <v>929.27500000000009</v>
      </c>
      <c r="L156" s="8">
        <f t="shared" si="37"/>
        <v>890.23000000000013</v>
      </c>
      <c r="M156" s="8">
        <f t="shared" si="37"/>
        <v>851.18500000000017</v>
      </c>
      <c r="N156" s="8">
        <f t="shared" si="37"/>
        <v>812.14000000000021</v>
      </c>
      <c r="O156" s="8">
        <f t="shared" si="37"/>
        <v>773.09500000000025</v>
      </c>
      <c r="P156" s="8">
        <f t="shared" si="37"/>
        <v>734.0500000000003</v>
      </c>
      <c r="Q156" s="8">
        <f t="shared" si="37"/>
        <v>695.00500000000034</v>
      </c>
      <c r="R156" s="8">
        <f t="shared" si="37"/>
        <v>655.96000000000038</v>
      </c>
      <c r="S156" s="8">
        <f t="shared" si="37"/>
        <v>616.91500000000042</v>
      </c>
      <c r="T156" s="8">
        <f t="shared" si="37"/>
        <v>577.87000000000046</v>
      </c>
      <c r="U156" s="8">
        <f t="shared" si="37"/>
        <v>538.8250000000005</v>
      </c>
      <c r="V156" s="8">
        <f t="shared" si="37"/>
        <v>499.78000000000048</v>
      </c>
      <c r="W156" s="8">
        <f t="shared" si="37"/>
        <v>460.73500000000047</v>
      </c>
      <c r="X156" s="8">
        <f t="shared" si="37"/>
        <v>421.69000000000045</v>
      </c>
      <c r="Y156" s="8">
        <f t="shared" si="37"/>
        <v>382.64500000000044</v>
      </c>
      <c r="Z156" s="8">
        <f t="shared" si="37"/>
        <v>343.60000000000042</v>
      </c>
      <c r="AA156" s="8">
        <f t="shared" si="37"/>
        <v>304.5550000000004</v>
      </c>
      <c r="AB156" s="8">
        <f t="shared" si="37"/>
        <v>265.51000000000039</v>
      </c>
      <c r="AC156" s="8">
        <f t="shared" si="37"/>
        <v>226.46500000000037</v>
      </c>
      <c r="AD156" s="8">
        <f t="shared" si="37"/>
        <v>187.42000000000036</v>
      </c>
      <c r="AE156" s="8">
        <f t="shared" si="37"/>
        <v>148.37500000000034</v>
      </c>
      <c r="AF156" s="8">
        <f t="shared" si="37"/>
        <v>130.51500000000033</v>
      </c>
      <c r="AG156" s="8">
        <f t="shared" si="37"/>
        <v>112.65500000000033</v>
      </c>
      <c r="AH156" s="8">
        <f t="shared" si="37"/>
        <v>98.975000000000335</v>
      </c>
      <c r="AI156" s="8">
        <f t="shared" si="37"/>
        <v>98.975000000000335</v>
      </c>
      <c r="AJ156" s="8">
        <f t="shared" si="37"/>
        <v>98.975000000000335</v>
      </c>
      <c r="AK156" s="8">
        <f t="shared" si="37"/>
        <v>98.975000000000335</v>
      </c>
      <c r="AL156" s="8">
        <f t="shared" si="37"/>
        <v>98.975000000000335</v>
      </c>
      <c r="AM156" s="8">
        <f t="shared" si="37"/>
        <v>98.975000000000335</v>
      </c>
      <c r="AN156" s="8">
        <f t="shared" si="37"/>
        <v>98.975000000000335</v>
      </c>
      <c r="AO156" s="8">
        <f t="shared" si="37"/>
        <v>98.975000000000335</v>
      </c>
      <c r="AP156" s="8">
        <f t="shared" si="37"/>
        <v>98.975000000000335</v>
      </c>
      <c r="AQ156" s="8">
        <f t="shared" si="37"/>
        <v>98.975000000000335</v>
      </c>
      <c r="AR156" s="8">
        <f t="shared" si="37"/>
        <v>98.975000000000335</v>
      </c>
      <c r="AS156" s="8">
        <f t="shared" si="37"/>
        <v>98.975000000000335</v>
      </c>
      <c r="AT156" s="8">
        <f t="shared" si="37"/>
        <v>98.975000000000335</v>
      </c>
      <c r="AU156" s="8">
        <f t="shared" si="37"/>
        <v>98.975000000000335</v>
      </c>
      <c r="AV156" s="8">
        <f t="shared" si="37"/>
        <v>98.975000000000335</v>
      </c>
      <c r="AW156" s="8">
        <f t="shared" si="37"/>
        <v>98.975000000000335</v>
      </c>
      <c r="AX156" s="8">
        <f t="shared" si="37"/>
        <v>98.975000000000335</v>
      </c>
    </row>
    <row r="157" spans="1:50" s="76" customFormat="1" ht="14.25" customHeight="1">
      <c r="A157" s="327"/>
      <c r="B157" s="2" t="s">
        <v>351</v>
      </c>
      <c r="C157" s="2" t="s">
        <v>421</v>
      </c>
      <c r="E157" s="328">
        <f>IFERROR(E150/E156,"n.a.")</f>
        <v>0</v>
      </c>
      <c r="F157" s="328">
        <f t="shared" ref="F157:AX157" si="38">IFERROR(F150/F156,"n.a.")</f>
        <v>0.24254876726917818</v>
      </c>
      <c r="G157" s="328">
        <f t="shared" si="38"/>
        <v>0.30104402987142537</v>
      </c>
      <c r="H157" s="328">
        <f t="shared" si="38"/>
        <v>0.29899363263986911</v>
      </c>
      <c r="I157" s="328">
        <f t="shared" si="38"/>
        <v>0.35476184613339962</v>
      </c>
      <c r="J157" s="328">
        <f>IFERROR(J150/J156,"n.a.")</f>
        <v>0.38504723924835521</v>
      </c>
      <c r="K157" s="328">
        <f t="shared" si="38"/>
        <v>0.40957694745871931</v>
      </c>
      <c r="L157" s="328">
        <f t="shared" si="38"/>
        <v>0.43644349427457713</v>
      </c>
      <c r="M157" s="328">
        <f t="shared" si="38"/>
        <v>0.46597275316163417</v>
      </c>
      <c r="N157" s="328">
        <f t="shared" si="38"/>
        <v>0.49855336962450719</v>
      </c>
      <c r="O157" s="328">
        <f t="shared" si="38"/>
        <v>0.53465261531784547</v>
      </c>
      <c r="P157" s="328">
        <f t="shared" si="38"/>
        <v>0.57483730202415273</v>
      </c>
      <c r="Q157" s="328">
        <f t="shared" si="38"/>
        <v>0.61980174532408683</v>
      </c>
      <c r="R157" s="328">
        <f t="shared" si="38"/>
        <v>0.6704057153153743</v>
      </c>
      <c r="S157" s="328">
        <f t="shared" si="38"/>
        <v>0.72772679899582549</v>
      </c>
      <c r="T157" s="328">
        <f t="shared" si="38"/>
        <v>0.79313399059349843</v>
      </c>
      <c r="U157" s="328">
        <f t="shared" si="38"/>
        <v>0.86839327756624363</v>
      </c>
      <c r="V157" s="328">
        <f t="shared" si="38"/>
        <v>0.95582271976546174</v>
      </c>
      <c r="W157" s="328">
        <f t="shared" si="38"/>
        <v>1.0585263818643962</v>
      </c>
      <c r="X157" s="328">
        <f t="shared" si="38"/>
        <v>1.1807582271675396</v>
      </c>
      <c r="Y157" s="328">
        <f t="shared" si="38"/>
        <v>1.3285088013932176</v>
      </c>
      <c r="Z157" s="328">
        <f t="shared" si="38"/>
        <v>1.5104919236682823</v>
      </c>
      <c r="AA157" s="328">
        <f t="shared" si="38"/>
        <v>1.7398903608574892</v>
      </c>
      <c r="AB157" s="328">
        <f t="shared" si="38"/>
        <v>2.0376417798379034</v>
      </c>
      <c r="AC157" s="328">
        <f t="shared" si="38"/>
        <v>2.4391239010331147</v>
      </c>
      <c r="AD157" s="328">
        <f t="shared" si="38"/>
        <v>3.009195915923645</v>
      </c>
      <c r="AE157" s="328">
        <f t="shared" si="38"/>
        <v>3.8809888714194583</v>
      </c>
      <c r="AF157" s="328">
        <f t="shared" si="38"/>
        <v>0.73623937239715487</v>
      </c>
      <c r="AG157" s="328">
        <f t="shared" si="38"/>
        <v>0.8671172610093586</v>
      </c>
      <c r="AH157" s="328">
        <f t="shared" si="38"/>
        <v>0.61684599415671371</v>
      </c>
      <c r="AI157" s="328">
        <f t="shared" si="38"/>
        <v>-2.3460398979369409E-8</v>
      </c>
      <c r="AJ157" s="328">
        <f t="shared" si="38"/>
        <v>-2.4164210948750495E-8</v>
      </c>
      <c r="AK157" s="328">
        <f t="shared" si="38"/>
        <v>-2.4889137277213008E-8</v>
      </c>
      <c r="AL157" s="328">
        <f t="shared" si="38"/>
        <v>-2.5635811395529401E-8</v>
      </c>
      <c r="AM157" s="328">
        <f t="shared" si="38"/>
        <v>-2.6404885737395286E-8</v>
      </c>
      <c r="AN157" s="328">
        <f t="shared" si="38"/>
        <v>-2.7197032309517144E-8</v>
      </c>
      <c r="AO157" s="328">
        <f t="shared" si="38"/>
        <v>-2.8012943278802661E-8</v>
      </c>
      <c r="AP157" s="328">
        <f t="shared" si="38"/>
        <v>-2.8853331577166735E-8</v>
      </c>
      <c r="AQ157" s="328">
        <f t="shared" si="38"/>
        <v>-2.9718931524481743E-8</v>
      </c>
      <c r="AR157" s="328">
        <f t="shared" si="38"/>
        <v>-3.0610499470216197E-8</v>
      </c>
      <c r="AS157" s="328">
        <f t="shared" si="38"/>
        <v>-3.1528814454322676E-8</v>
      </c>
      <c r="AT157" s="328">
        <f t="shared" si="38"/>
        <v>-3.2474678887952362E-8</v>
      </c>
      <c r="AU157" s="328">
        <f t="shared" si="38"/>
        <v>-3.3448919254590934E-8</v>
      </c>
      <c r="AV157" s="328">
        <f t="shared" si="38"/>
        <v>-3.4452386832228658E-8</v>
      </c>
      <c r="AW157" s="328">
        <f t="shared" si="38"/>
        <v>-3.5485958437195524E-8</v>
      </c>
      <c r="AX157" s="328">
        <f t="shared" si="38"/>
        <v>-3.6550537190311391E-8</v>
      </c>
    </row>
    <row r="158" spans="1:50" s="76" customFormat="1" ht="14.25" customHeight="1">
      <c r="A158" s="327"/>
      <c r="B158" s="2"/>
      <c r="C158" s="2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  <c r="AA158" s="328"/>
      <c r="AB158" s="328"/>
      <c r="AC158" s="328"/>
      <c r="AD158" s="328"/>
      <c r="AE158" s="328"/>
      <c r="AF158" s="328"/>
      <c r="AG158" s="328"/>
      <c r="AH158" s="328"/>
      <c r="AI158" s="328"/>
      <c r="AJ158" s="328"/>
      <c r="AK158" s="328"/>
      <c r="AL158" s="328"/>
      <c r="AM158" s="328"/>
      <c r="AN158" s="328"/>
      <c r="AO158" s="328"/>
      <c r="AP158" s="328"/>
      <c r="AQ158" s="328"/>
      <c r="AR158" s="328"/>
      <c r="AS158" s="328"/>
      <c r="AT158" s="328"/>
      <c r="AU158" s="328"/>
      <c r="AV158" s="328"/>
      <c r="AW158" s="328"/>
    </row>
    <row r="159" spans="1:50" s="76" customFormat="1" ht="14.25" customHeight="1">
      <c r="A159" s="327"/>
      <c r="B159" s="2"/>
      <c r="C159" s="2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  <c r="AA159" s="328"/>
      <c r="AB159" s="328"/>
      <c r="AC159" s="328"/>
      <c r="AD159" s="328"/>
      <c r="AE159" s="328"/>
      <c r="AF159" s="328"/>
      <c r="AG159" s="328"/>
      <c r="AH159" s="328"/>
      <c r="AI159" s="328"/>
      <c r="AJ159" s="328"/>
      <c r="AK159" s="328"/>
      <c r="AL159" s="328"/>
      <c r="AM159" s="328"/>
      <c r="AN159" s="328"/>
      <c r="AO159" s="328"/>
      <c r="AP159" s="328"/>
      <c r="AQ159" s="328"/>
      <c r="AR159" s="328"/>
      <c r="AS159" s="328"/>
      <c r="AT159" s="328"/>
      <c r="AU159" s="328"/>
      <c r="AV159" s="328"/>
      <c r="AW159" s="328"/>
    </row>
    <row r="160" spans="1:50" s="76" customFormat="1" ht="14.25" customHeight="1">
      <c r="A160" s="327"/>
      <c r="B160" s="2"/>
      <c r="C160" s="2" t="s">
        <v>422</v>
      </c>
      <c r="E160" s="483">
        <f t="shared" ref="E160:AX160" si="39">E132</f>
        <v>0</v>
      </c>
      <c r="F160" s="483">
        <f t="shared" si="39"/>
        <v>1</v>
      </c>
      <c r="G160" s="483">
        <f t="shared" si="39"/>
        <v>2</v>
      </c>
      <c r="H160" s="483">
        <f t="shared" si="39"/>
        <v>3</v>
      </c>
      <c r="I160" s="483">
        <f t="shared" si="39"/>
        <v>4</v>
      </c>
      <c r="J160" s="483">
        <f t="shared" si="39"/>
        <v>5</v>
      </c>
      <c r="K160" s="483">
        <f t="shared" si="39"/>
        <v>6</v>
      </c>
      <c r="L160" s="483">
        <f t="shared" si="39"/>
        <v>7</v>
      </c>
      <c r="M160" s="483">
        <f t="shared" si="39"/>
        <v>8</v>
      </c>
      <c r="N160" s="483">
        <f t="shared" si="39"/>
        <v>9</v>
      </c>
      <c r="O160" s="483">
        <f t="shared" si="39"/>
        <v>10</v>
      </c>
      <c r="P160" s="483">
        <f t="shared" si="39"/>
        <v>11</v>
      </c>
      <c r="Q160" s="483">
        <f t="shared" si="39"/>
        <v>12</v>
      </c>
      <c r="R160" s="483">
        <f t="shared" si="39"/>
        <v>13</v>
      </c>
      <c r="S160" s="483">
        <f t="shared" si="39"/>
        <v>14</v>
      </c>
      <c r="T160" s="483">
        <f t="shared" si="39"/>
        <v>15</v>
      </c>
      <c r="U160" s="483">
        <f t="shared" si="39"/>
        <v>16</v>
      </c>
      <c r="V160" s="483">
        <f t="shared" si="39"/>
        <v>17</v>
      </c>
      <c r="W160" s="483">
        <f t="shared" si="39"/>
        <v>18</v>
      </c>
      <c r="X160" s="483">
        <f t="shared" si="39"/>
        <v>19</v>
      </c>
      <c r="Y160" s="483">
        <f t="shared" si="39"/>
        <v>20</v>
      </c>
      <c r="Z160" s="483">
        <f t="shared" si="39"/>
        <v>21</v>
      </c>
      <c r="AA160" s="483">
        <f t="shared" si="39"/>
        <v>22</v>
      </c>
      <c r="AB160" s="483">
        <f t="shared" si="39"/>
        <v>23</v>
      </c>
      <c r="AC160" s="483">
        <f t="shared" si="39"/>
        <v>24</v>
      </c>
      <c r="AD160" s="483">
        <f t="shared" si="39"/>
        <v>25</v>
      </c>
      <c r="AE160" s="483">
        <f t="shared" si="39"/>
        <v>26</v>
      </c>
      <c r="AF160" s="483">
        <f t="shared" si="39"/>
        <v>27</v>
      </c>
      <c r="AG160" s="483">
        <f t="shared" si="39"/>
        <v>28</v>
      </c>
      <c r="AH160" s="483">
        <f t="shared" si="39"/>
        <v>29</v>
      </c>
      <c r="AI160" s="483">
        <f t="shared" si="39"/>
        <v>30</v>
      </c>
      <c r="AJ160" s="483">
        <f t="shared" si="39"/>
        <v>31</v>
      </c>
      <c r="AK160" s="483">
        <f t="shared" si="39"/>
        <v>32</v>
      </c>
      <c r="AL160" s="483">
        <f t="shared" si="39"/>
        <v>33</v>
      </c>
      <c r="AM160" s="483">
        <f t="shared" si="39"/>
        <v>34</v>
      </c>
      <c r="AN160" s="483">
        <f t="shared" si="39"/>
        <v>35</v>
      </c>
      <c r="AO160" s="483">
        <f t="shared" si="39"/>
        <v>36</v>
      </c>
      <c r="AP160" s="483">
        <f t="shared" si="39"/>
        <v>37</v>
      </c>
      <c r="AQ160" s="483">
        <f t="shared" si="39"/>
        <v>38</v>
      </c>
      <c r="AR160" s="483">
        <f t="shared" si="39"/>
        <v>39</v>
      </c>
      <c r="AS160" s="483">
        <f t="shared" si="39"/>
        <v>40</v>
      </c>
      <c r="AT160" s="483">
        <f t="shared" si="39"/>
        <v>41</v>
      </c>
      <c r="AU160" s="483">
        <f t="shared" si="39"/>
        <v>42</v>
      </c>
      <c r="AV160" s="483">
        <f t="shared" si="39"/>
        <v>43</v>
      </c>
      <c r="AW160" s="483">
        <f t="shared" si="39"/>
        <v>44</v>
      </c>
      <c r="AX160" s="483">
        <f t="shared" si="39"/>
        <v>45</v>
      </c>
    </row>
    <row r="161" spans="1:50" s="76" customFormat="1" ht="14.25" customHeight="1">
      <c r="A161" s="327"/>
      <c r="B161" s="2"/>
      <c r="C161" s="1" t="s">
        <v>423</v>
      </c>
      <c r="E161" s="330">
        <f>E147</f>
        <v>0</v>
      </c>
      <c r="F161" s="330">
        <f t="shared" ref="F161:AX161" si="40">F147</f>
        <v>205.65170979493018</v>
      </c>
      <c r="G161" s="330">
        <f t="shared" si="40"/>
        <v>513.83987886646901</v>
      </c>
      <c r="H161" s="330">
        <f t="shared" si="40"/>
        <v>841.56212085784205</v>
      </c>
      <c r="I161" s="330">
        <f t="shared" si="40"/>
        <v>1224.3017879880142</v>
      </c>
      <c r="J161" s="330">
        <f t="shared" si="40"/>
        <v>1636.1957306969816</v>
      </c>
      <c r="K161" s="330">
        <f t="shared" si="40"/>
        <v>2055.8503485466831</v>
      </c>
      <c r="L161" s="330">
        <f t="shared" si="40"/>
        <v>2483.4304404547402</v>
      </c>
      <c r="M161" s="330">
        <f t="shared" si="40"/>
        <v>2919.1044583546259</v>
      </c>
      <c r="N161" s="330">
        <f t="shared" si="40"/>
        <v>3363.0445919614731</v>
      </c>
      <c r="O161" s="330">
        <f t="shared" si="40"/>
        <v>3815.4268556006227</v>
      </c>
      <c r="P161" s="330">
        <f t="shared" si="40"/>
        <v>4276.4311771514522</v>
      </c>
      <c r="Q161" s="330">
        <f t="shared" si="40"/>
        <v>4746.2414891604194</v>
      </c>
      <c r="R161" s="330">
        <f t="shared" si="40"/>
        <v>5225.045822178693</v>
      </c>
      <c r="S161" s="330">
        <f t="shared" si="40"/>
        <v>5713.0364003812028</v>
      </c>
      <c r="T161" s="330">
        <f t="shared" si="40"/>
        <v>6210.4097395254685</v>
      </c>
      <c r="U161" s="330">
        <f t="shared" si="40"/>
        <v>6717.3667473101004</v>
      </c>
      <c r="V161" s="330">
        <f t="shared" si="40"/>
        <v>7234.1128261944832</v>
      </c>
      <c r="W161" s="330">
        <f t="shared" si="40"/>
        <v>7760.8579787427761</v>
      </c>
      <c r="X161" s="330">
        <f t="shared" si="40"/>
        <v>8297.8169155570558</v>
      </c>
      <c r="Y161" s="330">
        <f t="shared" si="40"/>
        <v>8845.2091658661648</v>
      </c>
      <c r="Z161" s="330">
        <f t="shared" si="40"/>
        <v>9403.2591908385875</v>
      </c>
      <c r="AA161" s="330">
        <f t="shared" si="40"/>
        <v>9972.1964996895404</v>
      </c>
      <c r="AB161" s="330">
        <f t="shared" si="40"/>
        <v>10552.255768654302</v>
      </c>
      <c r="AC161" s="330">
        <f t="shared" si="40"/>
        <v>11143.676962901767</v>
      </c>
      <c r="AD161" s="330">
        <f t="shared" si="40"/>
        <v>11746.705461464178</v>
      </c>
      <c r="AE161" s="330">
        <f t="shared" si="40"/>
        <v>12389.467185261041</v>
      </c>
      <c r="AF161" s="330">
        <f t="shared" si="40"/>
        <v>12503.417466949455</v>
      </c>
      <c r="AG161" s="330">
        <f t="shared" si="40"/>
        <v>12624.462561988465</v>
      </c>
      <c r="AH161" s="330">
        <f t="shared" si="40"/>
        <v>12717.194894260125</v>
      </c>
      <c r="AI161" s="330">
        <f t="shared" si="40"/>
        <v>12717.194891938132</v>
      </c>
      <c r="AJ161" s="330">
        <f t="shared" si="40"/>
        <v>12717.194889546479</v>
      </c>
      <c r="AK161" s="330">
        <f t="shared" si="40"/>
        <v>12717.194887083077</v>
      </c>
      <c r="AL161" s="330">
        <f t="shared" si="40"/>
        <v>12717.194884545772</v>
      </c>
      <c r="AM161" s="330">
        <f t="shared" si="40"/>
        <v>12717.194881932348</v>
      </c>
      <c r="AN161" s="330">
        <f t="shared" si="40"/>
        <v>12717.194879240522</v>
      </c>
      <c r="AO161" s="330">
        <f t="shared" si="40"/>
        <v>12717.19487646794</v>
      </c>
      <c r="AP161" s="330">
        <f t="shared" si="40"/>
        <v>12717.194873612181</v>
      </c>
      <c r="AQ161" s="330">
        <f t="shared" si="40"/>
        <v>12717.19487067075</v>
      </c>
      <c r="AR161" s="330">
        <f t="shared" si="40"/>
        <v>12717.194867641076</v>
      </c>
      <c r="AS161" s="330">
        <f t="shared" si="40"/>
        <v>12717.194864520512</v>
      </c>
      <c r="AT161" s="330">
        <f t="shared" si="40"/>
        <v>12717.19486130633</v>
      </c>
      <c r="AU161" s="330">
        <f t="shared" si="40"/>
        <v>12717.194857995724</v>
      </c>
      <c r="AV161" s="330">
        <f t="shared" si="40"/>
        <v>12717.194854585799</v>
      </c>
      <c r="AW161" s="330">
        <f t="shared" si="40"/>
        <v>12717.194851073577</v>
      </c>
      <c r="AX161" s="330">
        <f t="shared" si="40"/>
        <v>12717.194847455987</v>
      </c>
    </row>
    <row r="162" spans="1:50" s="76" customFormat="1" ht="14.25" customHeight="1">
      <c r="A162" s="327"/>
      <c r="B162" s="2"/>
      <c r="C162" s="1" t="s">
        <v>424</v>
      </c>
      <c r="E162" s="484">
        <f>IF(AND(D161&lt;0,E161&gt;=0),1,0)</f>
        <v>0</v>
      </c>
      <c r="F162" s="484">
        <f t="shared" ref="F162:AX162" si="41">IF(AND(E161&lt;0,F161&gt;=0),1,0)</f>
        <v>0</v>
      </c>
      <c r="G162" s="484">
        <f t="shared" si="41"/>
        <v>0</v>
      </c>
      <c r="H162" s="484">
        <f t="shared" si="41"/>
        <v>0</v>
      </c>
      <c r="I162" s="484">
        <f t="shared" si="41"/>
        <v>0</v>
      </c>
      <c r="J162" s="484">
        <f t="shared" si="41"/>
        <v>0</v>
      </c>
      <c r="K162" s="484">
        <f t="shared" si="41"/>
        <v>0</v>
      </c>
      <c r="L162" s="484">
        <f t="shared" si="41"/>
        <v>0</v>
      </c>
      <c r="M162" s="484">
        <f t="shared" si="41"/>
        <v>0</v>
      </c>
      <c r="N162" s="484">
        <f t="shared" si="41"/>
        <v>0</v>
      </c>
      <c r="O162" s="484">
        <f t="shared" si="41"/>
        <v>0</v>
      </c>
      <c r="P162" s="484">
        <f t="shared" si="41"/>
        <v>0</v>
      </c>
      <c r="Q162" s="484">
        <f t="shared" si="41"/>
        <v>0</v>
      </c>
      <c r="R162" s="484">
        <f t="shared" si="41"/>
        <v>0</v>
      </c>
      <c r="S162" s="484">
        <f t="shared" si="41"/>
        <v>0</v>
      </c>
      <c r="T162" s="484">
        <f t="shared" si="41"/>
        <v>0</v>
      </c>
      <c r="U162" s="484">
        <f t="shared" si="41"/>
        <v>0</v>
      </c>
      <c r="V162" s="484">
        <f t="shared" si="41"/>
        <v>0</v>
      </c>
      <c r="W162" s="484">
        <f t="shared" si="41"/>
        <v>0</v>
      </c>
      <c r="X162" s="484">
        <f t="shared" si="41"/>
        <v>0</v>
      </c>
      <c r="Y162" s="484">
        <f t="shared" si="41"/>
        <v>0</v>
      </c>
      <c r="Z162" s="484">
        <f t="shared" si="41"/>
        <v>0</v>
      </c>
      <c r="AA162" s="484">
        <f t="shared" si="41"/>
        <v>0</v>
      </c>
      <c r="AB162" s="484">
        <f t="shared" si="41"/>
        <v>0</v>
      </c>
      <c r="AC162" s="484">
        <f t="shared" si="41"/>
        <v>0</v>
      </c>
      <c r="AD162" s="484">
        <f t="shared" si="41"/>
        <v>0</v>
      </c>
      <c r="AE162" s="484">
        <f t="shared" si="41"/>
        <v>0</v>
      </c>
      <c r="AF162" s="484">
        <f t="shared" si="41"/>
        <v>0</v>
      </c>
      <c r="AG162" s="484">
        <f t="shared" si="41"/>
        <v>0</v>
      </c>
      <c r="AH162" s="484">
        <f t="shared" si="41"/>
        <v>0</v>
      </c>
      <c r="AI162" s="484">
        <f t="shared" si="41"/>
        <v>0</v>
      </c>
      <c r="AJ162" s="484">
        <f t="shared" si="41"/>
        <v>0</v>
      </c>
      <c r="AK162" s="484">
        <f t="shared" si="41"/>
        <v>0</v>
      </c>
      <c r="AL162" s="484">
        <f t="shared" si="41"/>
        <v>0</v>
      </c>
      <c r="AM162" s="484">
        <f t="shared" si="41"/>
        <v>0</v>
      </c>
      <c r="AN162" s="484">
        <f t="shared" si="41"/>
        <v>0</v>
      </c>
      <c r="AO162" s="484">
        <f t="shared" si="41"/>
        <v>0</v>
      </c>
      <c r="AP162" s="484">
        <f t="shared" si="41"/>
        <v>0</v>
      </c>
      <c r="AQ162" s="484">
        <f t="shared" si="41"/>
        <v>0</v>
      </c>
      <c r="AR162" s="484">
        <f t="shared" si="41"/>
        <v>0</v>
      </c>
      <c r="AS162" s="484">
        <f t="shared" si="41"/>
        <v>0</v>
      </c>
      <c r="AT162" s="484">
        <f t="shared" si="41"/>
        <v>0</v>
      </c>
      <c r="AU162" s="484">
        <f t="shared" si="41"/>
        <v>0</v>
      </c>
      <c r="AV162" s="484">
        <f t="shared" si="41"/>
        <v>0</v>
      </c>
      <c r="AW162" s="484">
        <f t="shared" si="41"/>
        <v>0</v>
      </c>
      <c r="AX162" s="484">
        <f t="shared" si="41"/>
        <v>0</v>
      </c>
    </row>
    <row r="163" spans="1:50" s="76" customFormat="1" ht="14.25" customHeight="1">
      <c r="A163" s="327"/>
      <c r="B163" s="2"/>
      <c r="C163" s="1" t="s">
        <v>425</v>
      </c>
      <c r="E163" s="484">
        <f>IF(E162=1,D161/E146,0)*-1</f>
        <v>0</v>
      </c>
      <c r="F163" s="484">
        <f t="shared" ref="F163:AX163" si="42">IF(F162=1,E161/F146,0)*-1</f>
        <v>0</v>
      </c>
      <c r="G163" s="484">
        <f t="shared" si="42"/>
        <v>0</v>
      </c>
      <c r="H163" s="484">
        <f t="shared" si="42"/>
        <v>0</v>
      </c>
      <c r="I163" s="484">
        <f t="shared" si="42"/>
        <v>0</v>
      </c>
      <c r="J163" s="484">
        <f t="shared" si="42"/>
        <v>0</v>
      </c>
      <c r="K163" s="484">
        <f t="shared" si="42"/>
        <v>0</v>
      </c>
      <c r="L163" s="484">
        <f t="shared" si="42"/>
        <v>0</v>
      </c>
      <c r="M163" s="484">
        <f t="shared" si="42"/>
        <v>0</v>
      </c>
      <c r="N163" s="484">
        <f t="shared" si="42"/>
        <v>0</v>
      </c>
      <c r="O163" s="484">
        <f t="shared" si="42"/>
        <v>0</v>
      </c>
      <c r="P163" s="484">
        <f t="shared" si="42"/>
        <v>0</v>
      </c>
      <c r="Q163" s="484">
        <f t="shared" si="42"/>
        <v>0</v>
      </c>
      <c r="R163" s="484">
        <f t="shared" si="42"/>
        <v>0</v>
      </c>
      <c r="S163" s="484">
        <f t="shared" si="42"/>
        <v>0</v>
      </c>
      <c r="T163" s="484">
        <f t="shared" si="42"/>
        <v>0</v>
      </c>
      <c r="U163" s="484">
        <f t="shared" si="42"/>
        <v>0</v>
      </c>
      <c r="V163" s="484">
        <f t="shared" si="42"/>
        <v>0</v>
      </c>
      <c r="W163" s="484">
        <f t="shared" si="42"/>
        <v>0</v>
      </c>
      <c r="X163" s="484">
        <f t="shared" si="42"/>
        <v>0</v>
      </c>
      <c r="Y163" s="484">
        <f t="shared" si="42"/>
        <v>0</v>
      </c>
      <c r="Z163" s="484">
        <f t="shared" si="42"/>
        <v>0</v>
      </c>
      <c r="AA163" s="484">
        <f t="shared" si="42"/>
        <v>0</v>
      </c>
      <c r="AB163" s="484">
        <f t="shared" si="42"/>
        <v>0</v>
      </c>
      <c r="AC163" s="484">
        <f t="shared" si="42"/>
        <v>0</v>
      </c>
      <c r="AD163" s="484">
        <f t="shared" si="42"/>
        <v>0</v>
      </c>
      <c r="AE163" s="484">
        <f t="shared" si="42"/>
        <v>0</v>
      </c>
      <c r="AF163" s="484">
        <f t="shared" si="42"/>
        <v>0</v>
      </c>
      <c r="AG163" s="484">
        <f t="shared" si="42"/>
        <v>0</v>
      </c>
      <c r="AH163" s="484">
        <f t="shared" si="42"/>
        <v>0</v>
      </c>
      <c r="AI163" s="484">
        <f t="shared" si="42"/>
        <v>0</v>
      </c>
      <c r="AJ163" s="484">
        <f t="shared" si="42"/>
        <v>0</v>
      </c>
      <c r="AK163" s="484">
        <f t="shared" si="42"/>
        <v>0</v>
      </c>
      <c r="AL163" s="484">
        <f t="shared" si="42"/>
        <v>0</v>
      </c>
      <c r="AM163" s="484">
        <f t="shared" si="42"/>
        <v>0</v>
      </c>
      <c r="AN163" s="484">
        <f t="shared" si="42"/>
        <v>0</v>
      </c>
      <c r="AO163" s="484">
        <f t="shared" si="42"/>
        <v>0</v>
      </c>
      <c r="AP163" s="484">
        <f t="shared" si="42"/>
        <v>0</v>
      </c>
      <c r="AQ163" s="484">
        <f t="shared" si="42"/>
        <v>0</v>
      </c>
      <c r="AR163" s="484">
        <f t="shared" si="42"/>
        <v>0</v>
      </c>
      <c r="AS163" s="484">
        <f t="shared" si="42"/>
        <v>0</v>
      </c>
      <c r="AT163" s="484">
        <f t="shared" si="42"/>
        <v>0</v>
      </c>
      <c r="AU163" s="484">
        <f t="shared" si="42"/>
        <v>0</v>
      </c>
      <c r="AV163" s="484">
        <f t="shared" si="42"/>
        <v>0</v>
      </c>
      <c r="AW163" s="484">
        <f t="shared" si="42"/>
        <v>0</v>
      </c>
      <c r="AX163" s="484">
        <f t="shared" si="42"/>
        <v>0</v>
      </c>
    </row>
    <row r="164" spans="1:50" s="76" customFormat="1" ht="14.25" customHeight="1">
      <c r="A164" s="327"/>
      <c r="B164" s="2"/>
      <c r="C164" s="1" t="s">
        <v>426</v>
      </c>
      <c r="E164" s="484">
        <f>IF(E162&lt;&gt;1,0,E160*E162-1+E163)</f>
        <v>0</v>
      </c>
      <c r="F164" s="484">
        <f t="shared" ref="F164:AX164" si="43">IF(F162&lt;&gt;1,0,F160*F162-1+F163)</f>
        <v>0</v>
      </c>
      <c r="G164" s="484">
        <f t="shared" si="43"/>
        <v>0</v>
      </c>
      <c r="H164" s="484">
        <f t="shared" si="43"/>
        <v>0</v>
      </c>
      <c r="I164" s="484">
        <f t="shared" si="43"/>
        <v>0</v>
      </c>
      <c r="J164" s="484">
        <f t="shared" si="43"/>
        <v>0</v>
      </c>
      <c r="K164" s="484">
        <f t="shared" si="43"/>
        <v>0</v>
      </c>
      <c r="L164" s="484">
        <f t="shared" si="43"/>
        <v>0</v>
      </c>
      <c r="M164" s="484">
        <f t="shared" si="43"/>
        <v>0</v>
      </c>
      <c r="N164" s="484">
        <f t="shared" si="43"/>
        <v>0</v>
      </c>
      <c r="O164" s="484">
        <f t="shared" si="43"/>
        <v>0</v>
      </c>
      <c r="P164" s="484">
        <f t="shared" si="43"/>
        <v>0</v>
      </c>
      <c r="Q164" s="484">
        <f t="shared" si="43"/>
        <v>0</v>
      </c>
      <c r="R164" s="484">
        <f t="shared" si="43"/>
        <v>0</v>
      </c>
      <c r="S164" s="484">
        <f t="shared" si="43"/>
        <v>0</v>
      </c>
      <c r="T164" s="484">
        <f t="shared" si="43"/>
        <v>0</v>
      </c>
      <c r="U164" s="484">
        <f t="shared" si="43"/>
        <v>0</v>
      </c>
      <c r="V164" s="484">
        <f t="shared" si="43"/>
        <v>0</v>
      </c>
      <c r="W164" s="484">
        <f t="shared" si="43"/>
        <v>0</v>
      </c>
      <c r="X164" s="484">
        <f t="shared" si="43"/>
        <v>0</v>
      </c>
      <c r="Y164" s="484">
        <f t="shared" si="43"/>
        <v>0</v>
      </c>
      <c r="Z164" s="484">
        <f t="shared" si="43"/>
        <v>0</v>
      </c>
      <c r="AA164" s="484">
        <f t="shared" si="43"/>
        <v>0</v>
      </c>
      <c r="AB164" s="484">
        <f t="shared" si="43"/>
        <v>0</v>
      </c>
      <c r="AC164" s="484">
        <f t="shared" si="43"/>
        <v>0</v>
      </c>
      <c r="AD164" s="484">
        <f t="shared" si="43"/>
        <v>0</v>
      </c>
      <c r="AE164" s="484">
        <f t="shared" si="43"/>
        <v>0</v>
      </c>
      <c r="AF164" s="484">
        <f t="shared" si="43"/>
        <v>0</v>
      </c>
      <c r="AG164" s="484">
        <f t="shared" si="43"/>
        <v>0</v>
      </c>
      <c r="AH164" s="484">
        <f t="shared" si="43"/>
        <v>0</v>
      </c>
      <c r="AI164" s="484">
        <f t="shared" si="43"/>
        <v>0</v>
      </c>
      <c r="AJ164" s="484">
        <f t="shared" si="43"/>
        <v>0</v>
      </c>
      <c r="AK164" s="484">
        <f t="shared" si="43"/>
        <v>0</v>
      </c>
      <c r="AL164" s="484">
        <f t="shared" si="43"/>
        <v>0</v>
      </c>
      <c r="AM164" s="484">
        <f t="shared" si="43"/>
        <v>0</v>
      </c>
      <c r="AN164" s="484">
        <f t="shared" si="43"/>
        <v>0</v>
      </c>
      <c r="AO164" s="484">
        <f t="shared" si="43"/>
        <v>0</v>
      </c>
      <c r="AP164" s="484">
        <f t="shared" si="43"/>
        <v>0</v>
      </c>
      <c r="AQ164" s="484">
        <f t="shared" si="43"/>
        <v>0</v>
      </c>
      <c r="AR164" s="484">
        <f t="shared" si="43"/>
        <v>0</v>
      </c>
      <c r="AS164" s="484">
        <f t="shared" si="43"/>
        <v>0</v>
      </c>
      <c r="AT164" s="484">
        <f t="shared" si="43"/>
        <v>0</v>
      </c>
      <c r="AU164" s="484">
        <f t="shared" si="43"/>
        <v>0</v>
      </c>
      <c r="AV164" s="484">
        <f t="shared" si="43"/>
        <v>0</v>
      </c>
      <c r="AW164" s="484">
        <f t="shared" si="43"/>
        <v>0</v>
      </c>
      <c r="AX164" s="484">
        <f t="shared" si="43"/>
        <v>0</v>
      </c>
    </row>
    <row r="165" spans="1:50" ht="14.25" customHeight="1">
      <c r="A165" s="1"/>
      <c r="B165" s="1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</row>
    <row r="166" spans="1:50" ht="14.25" customHeight="1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ht="14.25" customHeight="1">
      <c r="A167" s="1"/>
      <c r="B167" s="1"/>
      <c r="C167" s="814" t="s">
        <v>427</v>
      </c>
      <c r="D167" s="815"/>
      <c r="E167" s="815"/>
      <c r="F167" s="81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ht="14.25" customHeight="1">
      <c r="A168" s="1"/>
      <c r="B168" s="1"/>
      <c r="C168" s="296" t="s">
        <v>428</v>
      </c>
      <c r="D168" s="84"/>
      <c r="E168" s="84"/>
      <c r="F168" s="495">
        <f>'Assumptions &amp; Inputs'!G4*'GEN-CCGT'!E65+'Assumptions &amp; Inputs'!H4*'GEN-SOLAR'!E65+'Assumptions &amp; Inputs'!F4*'GEN-BESS'!E65+'Assumptions &amp; Inputs'!I4*'GEN-CARBON'!E65+'Assumptions &amp; Inputs'!J4*Hydrogen!E65+'Assumptions &amp; Inputs'!K4*'SENS Tires'!E65+'Assumptions &amp; Inputs'!L4*'SENS Coal'!E65+'Assumptions &amp; Inputs'!E4*Load!E65+'Real Estate'!E58</f>
        <v>39.200000000000003</v>
      </c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ht="14.25" customHeight="1">
      <c r="A169" s="1"/>
      <c r="B169" s="1"/>
      <c r="C169" s="296" t="s">
        <v>430</v>
      </c>
      <c r="D169" s="84"/>
      <c r="E169" s="84"/>
      <c r="F169" s="496">
        <f>F168/SUM(F138:F139)</f>
        <v>0.19061353800116268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ht="14.25" customHeight="1">
      <c r="A170" s="1"/>
      <c r="B170" s="1"/>
      <c r="C170" s="296" t="s">
        <v>431</v>
      </c>
      <c r="D170" s="84"/>
      <c r="E170" s="84"/>
      <c r="F170" s="497">
        <f>F168-(E22+F22)</f>
        <v>887.07777777777778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ht="14.25" customHeight="1">
      <c r="A171" s="1"/>
      <c r="B171" s="1"/>
      <c r="C171" s="296"/>
      <c r="D171" s="84"/>
      <c r="E171" s="84"/>
      <c r="F171" s="30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ht="14.25" customHeight="1">
      <c r="A172" s="1"/>
      <c r="B172" s="1"/>
      <c r="C172" s="322" t="s">
        <v>432</v>
      </c>
      <c r="D172" s="83"/>
      <c r="E172" s="83"/>
      <c r="F172" s="498">
        <f>XNPV('Assumptions &amp; Inputs'!$E$16,E146:AX146,E135:AX135)</f>
        <v>2846.8411899560933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ht="14.25" customHeight="1">
      <c r="A173" s="1"/>
      <c r="B173" s="1"/>
      <c r="C173" s="322" t="s">
        <v>433</v>
      </c>
      <c r="D173" s="83"/>
      <c r="E173" s="83"/>
      <c r="F173" s="526">
        <f>IFERROR(XIRR(E146:BB146,E135:BB135),"n.a.")</f>
        <v>2.9802322387695314E-9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ht="14.25" customHeight="1">
      <c r="A174" s="1"/>
      <c r="B174" s="1"/>
      <c r="C174" s="322" t="s">
        <v>434</v>
      </c>
      <c r="D174" s="84"/>
      <c r="E174" s="745"/>
      <c r="F174" s="340">
        <f>J157</f>
        <v>0.38504723924835521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747"/>
      <c r="AU174" s="747"/>
      <c r="AV174" s="747"/>
      <c r="AW174" s="747"/>
      <c r="AX174" s="747"/>
    </row>
    <row r="175" spans="1:50" ht="14.25" customHeight="1" thickBot="1">
      <c r="A175" s="1"/>
      <c r="B175" s="1"/>
      <c r="C175" s="339" t="s">
        <v>435</v>
      </c>
      <c r="D175" s="86"/>
      <c r="E175" s="749"/>
      <c r="F175" s="341">
        <f>G164</f>
        <v>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747"/>
      <c r="AU175" s="747"/>
      <c r="AV175" s="747"/>
      <c r="AW175" s="747"/>
      <c r="AX175" s="747"/>
    </row>
    <row r="176" spans="1:50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ht="14.25" customHeight="1" thickBot="1">
      <c r="A178" s="1" t="s">
        <v>351</v>
      </c>
      <c r="B178" s="1"/>
      <c r="C178" s="458" t="s">
        <v>436</v>
      </c>
      <c r="D178" s="458"/>
      <c r="E178" s="458"/>
      <c r="F178" s="459"/>
      <c r="G178" s="459"/>
      <c r="H178" s="459"/>
      <c r="I178" s="459"/>
      <c r="J178" s="459"/>
      <c r="K178" s="460"/>
      <c r="L178" s="459"/>
      <c r="M178" s="459"/>
      <c r="N178" s="459"/>
      <c r="O178" s="459"/>
      <c r="P178" s="459"/>
      <c r="Q178" s="459"/>
      <c r="R178" s="459"/>
      <c r="S178" s="459"/>
      <c r="T178" s="459"/>
      <c r="U178" s="459"/>
      <c r="V178" s="459"/>
      <c r="W178" s="459"/>
      <c r="X178" s="459"/>
      <c r="Y178" s="459"/>
      <c r="Z178" s="459"/>
      <c r="AA178" s="459"/>
      <c r="AB178" s="459"/>
      <c r="AC178" s="459"/>
      <c r="AD178" s="459"/>
      <c r="AE178" s="459"/>
      <c r="AF178" s="459"/>
      <c r="AG178" s="459"/>
      <c r="AH178" s="459"/>
      <c r="AI178" s="459"/>
      <c r="AJ178" s="459"/>
      <c r="AK178" s="459"/>
      <c r="AL178" s="459"/>
      <c r="AM178" s="459"/>
      <c r="AN178" s="459"/>
      <c r="AO178" s="459"/>
      <c r="AP178" s="459"/>
      <c r="AQ178" s="459"/>
      <c r="AR178" s="459"/>
      <c r="AS178" s="459"/>
      <c r="AT178" s="459"/>
      <c r="AU178" s="459"/>
      <c r="AV178" s="459"/>
      <c r="AW178" s="459"/>
      <c r="AX178" s="459"/>
    </row>
    <row r="179" spans="1:50" ht="14.25" customHeight="1">
      <c r="A179" s="1"/>
      <c r="B179" s="1"/>
      <c r="C179" s="461" t="s">
        <v>353</v>
      </c>
      <c r="D179" s="461"/>
      <c r="E179" s="487"/>
      <c r="F179" s="488"/>
      <c r="G179" s="488"/>
      <c r="H179" s="488"/>
      <c r="I179" s="488"/>
      <c r="J179" s="488"/>
      <c r="K179" s="488"/>
      <c r="L179" s="488"/>
      <c r="M179" s="488"/>
      <c r="N179" s="488"/>
      <c r="O179" s="488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ht="14.25" customHeight="1" thickBot="1">
      <c r="A180" s="1"/>
      <c r="B180" s="1"/>
      <c r="C180" s="461"/>
      <c r="D180" s="461"/>
      <c r="E180" s="487"/>
      <c r="F180" s="488"/>
      <c r="G180" s="488"/>
      <c r="H180" s="488"/>
      <c r="I180" s="488"/>
      <c r="J180" s="488"/>
      <c r="K180" s="488"/>
      <c r="L180" s="488"/>
      <c r="M180" s="488"/>
      <c r="N180" s="488"/>
      <c r="O180" s="488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ht="14.25" customHeight="1" thickBot="1">
      <c r="A181" s="1"/>
      <c r="B181" s="1"/>
      <c r="C181" s="813" t="s">
        <v>437</v>
      </c>
      <c r="D181" s="813"/>
      <c r="E181" s="813"/>
      <c r="F181" s="813"/>
      <c r="G181" s="488"/>
      <c r="H181" s="488"/>
      <c r="I181" s="488"/>
      <c r="J181" s="488"/>
      <c r="K181" s="488"/>
      <c r="L181" s="488"/>
      <c r="M181" s="488"/>
      <c r="N181" s="488"/>
      <c r="O181" s="488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ht="14.25" customHeight="1">
      <c r="A182" s="1"/>
      <c r="B182" s="1"/>
      <c r="C182" s="98" t="s">
        <v>438</v>
      </c>
      <c r="D182" s="84"/>
      <c r="E182" s="487"/>
      <c r="F182" s="489">
        <f>F183*SUM(F168,F170)</f>
        <v>0</v>
      </c>
      <c r="G182" s="488"/>
      <c r="H182" s="488"/>
      <c r="I182" s="488"/>
      <c r="J182" s="488"/>
      <c r="K182" s="488"/>
      <c r="L182" s="488"/>
      <c r="M182" s="488"/>
      <c r="N182" s="488"/>
      <c r="O182" s="488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ht="14.25" customHeight="1">
      <c r="A183" s="84"/>
      <c r="B183" s="84"/>
      <c r="C183" s="98" t="s">
        <v>439</v>
      </c>
      <c r="D183" s="84"/>
      <c r="E183" s="487"/>
      <c r="F183" s="490">
        <f>SUMPRODUCT('Assumptions &amp; Inputs'!G8:L8, 'Assumptions &amp; Inputs'!G38:L38)/SUM('Assumptions &amp; Inputs'!G38:L38)</f>
        <v>0</v>
      </c>
      <c r="G183" s="488"/>
      <c r="H183" s="488"/>
      <c r="I183" s="488"/>
      <c r="J183" s="488"/>
      <c r="K183" s="488"/>
      <c r="L183" s="488"/>
      <c r="M183" s="488"/>
      <c r="N183" s="488"/>
      <c r="O183" s="488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ht="14.25" customHeight="1">
      <c r="A184" s="84"/>
      <c r="B184" s="84"/>
      <c r="C184" s="98" t="s">
        <v>440</v>
      </c>
      <c r="D184" s="84"/>
      <c r="E184" s="487"/>
      <c r="F184" s="485" t="e">
        <f>SUM(F194:AK194)/SUM(F195:AK195)</f>
        <v>#DIV/0!</v>
      </c>
      <c r="G184" s="488"/>
      <c r="H184" s="488"/>
      <c r="I184" s="488"/>
      <c r="J184" s="488"/>
      <c r="K184" s="488"/>
      <c r="L184" s="488"/>
      <c r="M184" s="488"/>
      <c r="N184" s="488"/>
      <c r="O184" s="488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ht="14.25" customHeight="1">
      <c r="A185" s="84"/>
      <c r="B185" s="84"/>
      <c r="C185" s="98"/>
      <c r="D185" s="84"/>
      <c r="E185" s="487"/>
      <c r="F185" s="485"/>
      <c r="G185" s="488"/>
      <c r="H185" s="488"/>
      <c r="I185" s="488"/>
      <c r="J185" s="488"/>
      <c r="K185" s="488"/>
      <c r="L185" s="488"/>
      <c r="M185" s="488"/>
      <c r="N185" s="488"/>
      <c r="O185" s="488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ht="14.25" customHeight="1">
      <c r="A186" s="1"/>
      <c r="B186" s="1"/>
      <c r="C186" s="101" t="s">
        <v>441</v>
      </c>
      <c r="D186" s="83"/>
      <c r="E186" s="491"/>
      <c r="F186" s="486">
        <f>XNPV('Assumptions &amp; Inputs'!$E$16,E197:AX197,E193:AX193)</f>
        <v>1886.9099268877999</v>
      </c>
      <c r="G186" s="488"/>
      <c r="H186" s="488"/>
      <c r="I186" s="488"/>
      <c r="J186" s="488"/>
      <c r="K186" s="488"/>
      <c r="L186" s="488"/>
      <c r="M186" s="488"/>
      <c r="N186" s="488"/>
      <c r="O186" s="488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ht="14.25" customHeight="1" thickBot="1">
      <c r="A187" s="1"/>
      <c r="B187" s="1"/>
      <c r="C187" s="26" t="s">
        <v>442</v>
      </c>
      <c r="D187" s="24"/>
      <c r="E187" s="492"/>
      <c r="F187" s="493">
        <f>IFERROR(XIRR(E197:BB197,E193:BB193),"n.a.")</f>
        <v>0.30559908747673037</v>
      </c>
      <c r="G187" s="488"/>
      <c r="H187" s="488"/>
      <c r="I187" s="488"/>
      <c r="J187" s="488"/>
      <c r="K187" s="488"/>
      <c r="L187" s="488"/>
      <c r="M187" s="488"/>
      <c r="N187" s="488"/>
      <c r="O187" s="488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ht="14.25" customHeight="1">
      <c r="A188" s="1"/>
      <c r="B188" s="1"/>
      <c r="C188" s="461"/>
      <c r="D188" s="461"/>
      <c r="E188" s="487"/>
      <c r="F188" s="488"/>
      <c r="G188" s="488"/>
      <c r="H188" s="488"/>
      <c r="I188" s="488"/>
      <c r="J188" s="488"/>
      <c r="K188" s="488"/>
      <c r="L188" s="488"/>
      <c r="M188" s="488"/>
      <c r="N188" s="488"/>
      <c r="O188" s="488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ht="14.25" customHeight="1">
      <c r="A189" s="1"/>
      <c r="B189" s="1"/>
      <c r="C189" s="461"/>
      <c r="D189" s="461"/>
      <c r="E189" s="487"/>
      <c r="F189" s="488"/>
      <c r="G189" s="488"/>
      <c r="H189" s="488"/>
      <c r="I189" s="488"/>
      <c r="J189" s="488"/>
      <c r="K189" s="488"/>
      <c r="L189" s="488"/>
      <c r="M189" s="488"/>
      <c r="N189" s="488"/>
      <c r="O189" s="488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ht="14.25" customHeight="1">
      <c r="A190" s="1"/>
      <c r="B190" s="1"/>
      <c r="C190" s="1"/>
      <c r="D190" s="1"/>
      <c r="E190" s="90">
        <v>0</v>
      </c>
      <c r="F190" s="90">
        <f t="shared" ref="F190:AX190" si="44">E190+1</f>
        <v>1</v>
      </c>
      <c r="G190" s="90">
        <f t="shared" si="44"/>
        <v>2</v>
      </c>
      <c r="H190" s="90">
        <f t="shared" si="44"/>
        <v>3</v>
      </c>
      <c r="I190" s="90">
        <f t="shared" si="44"/>
        <v>4</v>
      </c>
      <c r="J190" s="90">
        <f t="shared" si="44"/>
        <v>5</v>
      </c>
      <c r="K190" s="90">
        <f t="shared" si="44"/>
        <v>6</v>
      </c>
      <c r="L190" s="90">
        <f t="shared" si="44"/>
        <v>7</v>
      </c>
      <c r="M190" s="90">
        <f t="shared" si="44"/>
        <v>8</v>
      </c>
      <c r="N190" s="90">
        <f t="shared" si="44"/>
        <v>9</v>
      </c>
      <c r="O190" s="90">
        <f t="shared" si="44"/>
        <v>10</v>
      </c>
      <c r="P190" s="90">
        <f t="shared" si="44"/>
        <v>11</v>
      </c>
      <c r="Q190" s="90">
        <f t="shared" si="44"/>
        <v>12</v>
      </c>
      <c r="R190" s="90">
        <f t="shared" si="44"/>
        <v>13</v>
      </c>
      <c r="S190" s="90">
        <f t="shared" si="44"/>
        <v>14</v>
      </c>
      <c r="T190" s="90">
        <f t="shared" si="44"/>
        <v>15</v>
      </c>
      <c r="U190" s="90">
        <f t="shared" si="44"/>
        <v>16</v>
      </c>
      <c r="V190" s="90">
        <f t="shared" si="44"/>
        <v>17</v>
      </c>
      <c r="W190" s="90">
        <f t="shared" si="44"/>
        <v>18</v>
      </c>
      <c r="X190" s="90">
        <f t="shared" si="44"/>
        <v>19</v>
      </c>
      <c r="Y190" s="90">
        <f t="shared" si="44"/>
        <v>20</v>
      </c>
      <c r="Z190" s="90">
        <f t="shared" si="44"/>
        <v>21</v>
      </c>
      <c r="AA190" s="90">
        <f t="shared" si="44"/>
        <v>22</v>
      </c>
      <c r="AB190" s="90">
        <f t="shared" si="44"/>
        <v>23</v>
      </c>
      <c r="AC190" s="90">
        <f t="shared" si="44"/>
        <v>24</v>
      </c>
      <c r="AD190" s="90">
        <f t="shared" si="44"/>
        <v>25</v>
      </c>
      <c r="AE190" s="90">
        <f t="shared" si="44"/>
        <v>26</v>
      </c>
      <c r="AF190" s="90">
        <f t="shared" si="44"/>
        <v>27</v>
      </c>
      <c r="AG190" s="90">
        <f t="shared" si="44"/>
        <v>28</v>
      </c>
      <c r="AH190" s="90">
        <f t="shared" si="44"/>
        <v>29</v>
      </c>
      <c r="AI190" s="90">
        <f t="shared" si="44"/>
        <v>30</v>
      </c>
      <c r="AJ190" s="90">
        <f t="shared" si="44"/>
        <v>31</v>
      </c>
      <c r="AK190" s="90">
        <f t="shared" si="44"/>
        <v>32</v>
      </c>
      <c r="AL190" s="90">
        <f t="shared" si="44"/>
        <v>33</v>
      </c>
      <c r="AM190" s="90">
        <f t="shared" si="44"/>
        <v>34</v>
      </c>
      <c r="AN190" s="90">
        <f t="shared" si="44"/>
        <v>35</v>
      </c>
      <c r="AO190" s="90">
        <f t="shared" si="44"/>
        <v>36</v>
      </c>
      <c r="AP190" s="90">
        <f t="shared" si="44"/>
        <v>37</v>
      </c>
      <c r="AQ190" s="90">
        <f t="shared" si="44"/>
        <v>38</v>
      </c>
      <c r="AR190" s="90">
        <f t="shared" si="44"/>
        <v>39</v>
      </c>
      <c r="AS190" s="90">
        <f t="shared" si="44"/>
        <v>40</v>
      </c>
      <c r="AT190" s="90">
        <f t="shared" si="44"/>
        <v>41</v>
      </c>
      <c r="AU190" s="90">
        <f t="shared" si="44"/>
        <v>42</v>
      </c>
      <c r="AV190" s="90">
        <f t="shared" si="44"/>
        <v>43</v>
      </c>
      <c r="AW190" s="90">
        <f t="shared" si="44"/>
        <v>44</v>
      </c>
      <c r="AX190" s="90">
        <f t="shared" si="44"/>
        <v>45</v>
      </c>
    </row>
    <row r="191" spans="1:50" ht="14.25" customHeight="1">
      <c r="A191" s="1"/>
      <c r="B191" s="1"/>
      <c r="C191" s="83"/>
      <c r="D191" s="83"/>
      <c r="E191" s="83"/>
      <c r="F191" s="806" t="s">
        <v>354</v>
      </c>
      <c r="G191" s="806"/>
      <c r="H191" s="806"/>
      <c r="I191" s="806"/>
      <c r="J191" s="806"/>
      <c r="K191" s="806"/>
      <c r="L191" s="806"/>
      <c r="M191" s="806"/>
      <c r="N191" s="806"/>
      <c r="O191" s="806"/>
      <c r="P191" s="806"/>
      <c r="Q191" s="806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</row>
    <row r="192" spans="1:50" ht="14.25" customHeight="1">
      <c r="A192" s="1"/>
      <c r="B192" s="84"/>
      <c r="C192" s="2"/>
      <c r="D192" s="2"/>
      <c r="E192" s="3">
        <f t="shared" ref="E192:AX192" si="45">E134</f>
        <v>2026</v>
      </c>
      <c r="F192" s="91">
        <f t="shared" si="45"/>
        <v>2027</v>
      </c>
      <c r="G192" s="91">
        <f t="shared" si="45"/>
        <v>2028</v>
      </c>
      <c r="H192" s="91">
        <f t="shared" si="45"/>
        <v>2029</v>
      </c>
      <c r="I192" s="91">
        <f t="shared" si="45"/>
        <v>2030</v>
      </c>
      <c r="J192" s="91">
        <f t="shared" si="45"/>
        <v>2031</v>
      </c>
      <c r="K192" s="91">
        <f t="shared" si="45"/>
        <v>2032</v>
      </c>
      <c r="L192" s="91">
        <f t="shared" si="45"/>
        <v>2033</v>
      </c>
      <c r="M192" s="91">
        <f t="shared" si="45"/>
        <v>2034</v>
      </c>
      <c r="N192" s="91">
        <f t="shared" si="45"/>
        <v>2035</v>
      </c>
      <c r="O192" s="91">
        <f t="shared" si="45"/>
        <v>2036</v>
      </c>
      <c r="P192" s="91">
        <f t="shared" si="45"/>
        <v>2037</v>
      </c>
      <c r="Q192" s="91">
        <f t="shared" si="45"/>
        <v>2038</v>
      </c>
      <c r="R192" s="91">
        <f t="shared" si="45"/>
        <v>2039</v>
      </c>
      <c r="S192" s="91">
        <f t="shared" si="45"/>
        <v>2040</v>
      </c>
      <c r="T192" s="91">
        <f t="shared" si="45"/>
        <v>2041</v>
      </c>
      <c r="U192" s="91">
        <f t="shared" si="45"/>
        <v>2042</v>
      </c>
      <c r="V192" s="91">
        <f t="shared" si="45"/>
        <v>2043</v>
      </c>
      <c r="W192" s="91">
        <f t="shared" si="45"/>
        <v>2044</v>
      </c>
      <c r="X192" s="91">
        <f t="shared" si="45"/>
        <v>2045</v>
      </c>
      <c r="Y192" s="91">
        <f t="shared" si="45"/>
        <v>2046</v>
      </c>
      <c r="Z192" s="91">
        <f t="shared" si="45"/>
        <v>2047</v>
      </c>
      <c r="AA192" s="91">
        <f t="shared" si="45"/>
        <v>2048</v>
      </c>
      <c r="AB192" s="91">
        <f t="shared" si="45"/>
        <v>2049</v>
      </c>
      <c r="AC192" s="91">
        <f t="shared" si="45"/>
        <v>2050</v>
      </c>
      <c r="AD192" s="91">
        <f t="shared" si="45"/>
        <v>2051</v>
      </c>
      <c r="AE192" s="91">
        <f t="shared" si="45"/>
        <v>2052</v>
      </c>
      <c r="AF192" s="91">
        <f t="shared" si="45"/>
        <v>2053</v>
      </c>
      <c r="AG192" s="91">
        <f t="shared" si="45"/>
        <v>2054</v>
      </c>
      <c r="AH192" s="91">
        <f t="shared" si="45"/>
        <v>2055</v>
      </c>
      <c r="AI192" s="91">
        <f t="shared" si="45"/>
        <v>2056</v>
      </c>
      <c r="AJ192" s="91">
        <f t="shared" si="45"/>
        <v>2057</v>
      </c>
      <c r="AK192" s="91">
        <f t="shared" si="45"/>
        <v>2058</v>
      </c>
      <c r="AL192" s="91">
        <f t="shared" si="45"/>
        <v>2059</v>
      </c>
      <c r="AM192" s="91">
        <f t="shared" si="45"/>
        <v>2060</v>
      </c>
      <c r="AN192" s="91">
        <f t="shared" si="45"/>
        <v>2061</v>
      </c>
      <c r="AO192" s="91">
        <f t="shared" si="45"/>
        <v>2062</v>
      </c>
      <c r="AP192" s="91">
        <f t="shared" si="45"/>
        <v>2063</v>
      </c>
      <c r="AQ192" s="91">
        <f t="shared" si="45"/>
        <v>2064</v>
      </c>
      <c r="AR192" s="91">
        <f t="shared" si="45"/>
        <v>2065</v>
      </c>
      <c r="AS192" s="91">
        <f t="shared" si="45"/>
        <v>2066</v>
      </c>
      <c r="AT192" s="91">
        <f t="shared" si="45"/>
        <v>2067</v>
      </c>
      <c r="AU192" s="91">
        <f t="shared" si="45"/>
        <v>2068</v>
      </c>
      <c r="AV192" s="91">
        <f t="shared" si="45"/>
        <v>2069</v>
      </c>
      <c r="AW192" s="91">
        <f t="shared" si="45"/>
        <v>2070</v>
      </c>
      <c r="AX192" s="91">
        <f t="shared" si="45"/>
        <v>2071</v>
      </c>
    </row>
    <row r="193" spans="1:50" ht="14.25" customHeight="1">
      <c r="A193" s="1"/>
      <c r="B193" s="84"/>
      <c r="C193" s="92"/>
      <c r="D193" s="92"/>
      <c r="E193" s="93">
        <f t="shared" ref="E193:AX193" si="46">E135</f>
        <v>46023</v>
      </c>
      <c r="F193" s="93">
        <f t="shared" si="46"/>
        <v>46752</v>
      </c>
      <c r="G193" s="93">
        <f t="shared" si="46"/>
        <v>47118</v>
      </c>
      <c r="H193" s="93">
        <f t="shared" si="46"/>
        <v>47483</v>
      </c>
      <c r="I193" s="93">
        <f t="shared" si="46"/>
        <v>47848</v>
      </c>
      <c r="J193" s="93">
        <f t="shared" si="46"/>
        <v>48213</v>
      </c>
      <c r="K193" s="93">
        <f t="shared" si="46"/>
        <v>48579</v>
      </c>
      <c r="L193" s="93">
        <f t="shared" si="46"/>
        <v>48944</v>
      </c>
      <c r="M193" s="93">
        <f t="shared" si="46"/>
        <v>49309</v>
      </c>
      <c r="N193" s="93">
        <f t="shared" si="46"/>
        <v>49674</v>
      </c>
      <c r="O193" s="93">
        <f t="shared" si="46"/>
        <v>50040</v>
      </c>
      <c r="P193" s="93">
        <f t="shared" si="46"/>
        <v>50405</v>
      </c>
      <c r="Q193" s="93">
        <f t="shared" si="46"/>
        <v>50770</v>
      </c>
      <c r="R193" s="93">
        <f t="shared" si="46"/>
        <v>51135</v>
      </c>
      <c r="S193" s="93">
        <f t="shared" si="46"/>
        <v>51501</v>
      </c>
      <c r="T193" s="93">
        <f t="shared" si="46"/>
        <v>51866</v>
      </c>
      <c r="U193" s="93">
        <f t="shared" si="46"/>
        <v>52231</v>
      </c>
      <c r="V193" s="93">
        <f t="shared" si="46"/>
        <v>52596</v>
      </c>
      <c r="W193" s="93">
        <f t="shared" si="46"/>
        <v>52962</v>
      </c>
      <c r="X193" s="93">
        <f t="shared" si="46"/>
        <v>53327</v>
      </c>
      <c r="Y193" s="93">
        <f t="shared" si="46"/>
        <v>53692</v>
      </c>
      <c r="Z193" s="93">
        <f t="shared" si="46"/>
        <v>54057</v>
      </c>
      <c r="AA193" s="93">
        <f t="shared" si="46"/>
        <v>54423</v>
      </c>
      <c r="AB193" s="93">
        <f t="shared" si="46"/>
        <v>54788</v>
      </c>
      <c r="AC193" s="93">
        <f t="shared" si="46"/>
        <v>55153</v>
      </c>
      <c r="AD193" s="93">
        <f t="shared" si="46"/>
        <v>55518</v>
      </c>
      <c r="AE193" s="93">
        <f t="shared" si="46"/>
        <v>55884</v>
      </c>
      <c r="AF193" s="93">
        <f t="shared" si="46"/>
        <v>56249</v>
      </c>
      <c r="AG193" s="93">
        <f t="shared" si="46"/>
        <v>56614</v>
      </c>
      <c r="AH193" s="93">
        <f t="shared" si="46"/>
        <v>56979</v>
      </c>
      <c r="AI193" s="93">
        <f t="shared" si="46"/>
        <v>57345</v>
      </c>
      <c r="AJ193" s="93">
        <f t="shared" si="46"/>
        <v>57710</v>
      </c>
      <c r="AK193" s="93">
        <f t="shared" si="46"/>
        <v>58075</v>
      </c>
      <c r="AL193" s="93">
        <f t="shared" si="46"/>
        <v>58440</v>
      </c>
      <c r="AM193" s="93">
        <f t="shared" si="46"/>
        <v>58806</v>
      </c>
      <c r="AN193" s="93">
        <f t="shared" si="46"/>
        <v>59171</v>
      </c>
      <c r="AO193" s="93">
        <f t="shared" si="46"/>
        <v>59536</v>
      </c>
      <c r="AP193" s="93">
        <f t="shared" si="46"/>
        <v>59901</v>
      </c>
      <c r="AQ193" s="93">
        <f t="shared" si="46"/>
        <v>60267</v>
      </c>
      <c r="AR193" s="93">
        <f t="shared" si="46"/>
        <v>60632</v>
      </c>
      <c r="AS193" s="93">
        <f t="shared" si="46"/>
        <v>60997</v>
      </c>
      <c r="AT193" s="93">
        <f t="shared" si="46"/>
        <v>61362</v>
      </c>
      <c r="AU193" s="93">
        <f t="shared" si="46"/>
        <v>61728</v>
      </c>
      <c r="AV193" s="93">
        <f t="shared" si="46"/>
        <v>62093</v>
      </c>
      <c r="AW193" s="93">
        <f t="shared" si="46"/>
        <v>62458</v>
      </c>
      <c r="AX193" s="93">
        <f t="shared" si="46"/>
        <v>62823</v>
      </c>
    </row>
    <row r="194" spans="1:50" ht="14.25" customHeight="1">
      <c r="A194" s="1"/>
      <c r="B194" s="84"/>
      <c r="C194" s="1" t="s">
        <v>443</v>
      </c>
      <c r="D194" s="1"/>
      <c r="E194" s="15">
        <f t="shared" ref="E194:AX194" si="47">E142</f>
        <v>-632.58611111111111</v>
      </c>
      <c r="F194" s="15">
        <f t="shared" si="47"/>
        <v>-9.639956871736473</v>
      </c>
      <c r="G194" s="15">
        <f t="shared" si="47"/>
        <v>181.52150240487211</v>
      </c>
      <c r="H194" s="15">
        <f t="shared" si="47"/>
        <v>234.6666864358175</v>
      </c>
      <c r="I194" s="15">
        <f t="shared" si="47"/>
        <v>375.23966713017211</v>
      </c>
      <c r="J194" s="15">
        <f t="shared" si="47"/>
        <v>411.89394270896736</v>
      </c>
      <c r="K194" s="15">
        <f t="shared" si="47"/>
        <v>419.65461784970142</v>
      </c>
      <c r="L194" s="15">
        <f t="shared" si="47"/>
        <v>427.58009190805689</v>
      </c>
      <c r="M194" s="15">
        <f t="shared" si="47"/>
        <v>435.67401789988565</v>
      </c>
      <c r="N194" s="15">
        <f t="shared" si="47"/>
        <v>443.94013360684738</v>
      </c>
      <c r="O194" s="15">
        <f t="shared" si="47"/>
        <v>452.38226363914987</v>
      </c>
      <c r="P194" s="15">
        <f t="shared" si="47"/>
        <v>461.0043215508295</v>
      </c>
      <c r="Q194" s="15">
        <f t="shared" si="47"/>
        <v>469.81031200896717</v>
      </c>
      <c r="R194" s="15">
        <f t="shared" si="47"/>
        <v>478.80433301827321</v>
      </c>
      <c r="S194" s="15">
        <f t="shared" si="47"/>
        <v>487.99057820250999</v>
      </c>
      <c r="T194" s="15">
        <f t="shared" si="47"/>
        <v>497.37333914426534</v>
      </c>
      <c r="U194" s="15">
        <f t="shared" si="47"/>
        <v>506.95700778463168</v>
      </c>
      <c r="V194" s="15">
        <f t="shared" si="47"/>
        <v>516.74607888438288</v>
      </c>
      <c r="W194" s="15">
        <f t="shared" si="47"/>
        <v>526.74515254829305</v>
      </c>
      <c r="X194" s="15">
        <f t="shared" si="47"/>
        <v>536.95893681428026</v>
      </c>
      <c r="Y194" s="15">
        <f t="shared" si="47"/>
        <v>547.39225030910825</v>
      </c>
      <c r="Z194" s="15">
        <f t="shared" si="47"/>
        <v>558.05002497242242</v>
      </c>
      <c r="AA194" s="15">
        <f t="shared" si="47"/>
        <v>568.93730885095329</v>
      </c>
      <c r="AB194" s="15">
        <f t="shared" si="47"/>
        <v>580.05926896476251</v>
      </c>
      <c r="AC194" s="15">
        <f t="shared" si="47"/>
        <v>591.42119424746522</v>
      </c>
      <c r="AD194" s="15">
        <f t="shared" si="47"/>
        <v>603.02849856241062</v>
      </c>
      <c r="AE194" s="15">
        <f t="shared" si="47"/>
        <v>614.88672379686341</v>
      </c>
      <c r="AF194" s="15">
        <f t="shared" si="47"/>
        <v>113.9502816884149</v>
      </c>
      <c r="AG194" s="15">
        <f t="shared" si="47"/>
        <v>115.54509503900958</v>
      </c>
      <c r="AH194" s="15">
        <f t="shared" si="47"/>
        <v>74.732332271660937</v>
      </c>
      <c r="AI194" s="15">
        <f t="shared" si="47"/>
        <v>-2.3219929889830952E-6</v>
      </c>
      <c r="AJ194" s="15">
        <f t="shared" si="47"/>
        <v>-2.3916527786525884E-6</v>
      </c>
      <c r="AK194" s="15">
        <f t="shared" si="47"/>
        <v>-2.4634023620121658E-6</v>
      </c>
      <c r="AL194" s="15">
        <f t="shared" si="47"/>
        <v>-2.537304432872531E-6</v>
      </c>
      <c r="AM194" s="15">
        <f t="shared" si="47"/>
        <v>-2.6134235658587073E-6</v>
      </c>
      <c r="AN194" s="15">
        <f t="shared" si="47"/>
        <v>-2.6918262728344683E-6</v>
      </c>
      <c r="AO194" s="15">
        <f t="shared" si="47"/>
        <v>-2.7725810610195027E-6</v>
      </c>
      <c r="AP194" s="15">
        <f t="shared" si="47"/>
        <v>-2.8557584928500874E-6</v>
      </c>
      <c r="AQ194" s="15">
        <f t="shared" si="47"/>
        <v>-2.9414312476355905E-6</v>
      </c>
      <c r="AR194" s="15">
        <f t="shared" si="47"/>
        <v>-3.0296741850646581E-6</v>
      </c>
      <c r="AS194" s="15">
        <f t="shared" si="47"/>
        <v>-3.1205644106165973E-6</v>
      </c>
      <c r="AT194" s="15">
        <f t="shared" si="47"/>
        <v>-3.2141813429350959E-6</v>
      </c>
      <c r="AU194" s="15">
        <f t="shared" si="47"/>
        <v>-3.310606783223149E-6</v>
      </c>
      <c r="AV194" s="15">
        <f t="shared" si="47"/>
        <v>-3.4099249867198433E-6</v>
      </c>
      <c r="AW194" s="15">
        <f t="shared" si="47"/>
        <v>-3.5122227363214387E-6</v>
      </c>
      <c r="AX194" s="15">
        <f t="shared" si="47"/>
        <v>-3.6175894184110823E-6</v>
      </c>
    </row>
    <row r="195" spans="1:50" ht="14.25" customHeight="1">
      <c r="A195" s="1"/>
      <c r="B195" s="84"/>
      <c r="C195" s="1" t="s">
        <v>444</v>
      </c>
      <c r="D195" s="1"/>
      <c r="E195" s="8">
        <f>_xlfn.XLOOKUP(E$134, 'GEN-CCGT'!$D$32:$BA$32, 'GEN-CCGT'!$D92:$BA92)+_xlfn.XLOOKUP(E$134, 'GEN-SOLAR'!$D$32:$BA$32, 'GEN-SOLAR'!$D92:$BA92)+_xlfn.XLOOKUP(E$134, 'GEN-BESS'!$D$32:$BA$32, 'GEN-BESS'!$D92:$BA92)+_xlfn.XLOOKUP(E$134, 'GEN-CARBON'!$D$32:$BA$32, 'GEN-CARBON'!$D92:$BA92)+_xlfn.XLOOKUP(E$134, Load!$D$32:$BA$32, Load!$D92:$BA92)+_xlfn.XLOOKUP(E$134, Hydrogen!$D$32:$BA$32, Hydrogen!$D92:$BA92)+_xlfn.XLOOKUP(E$134, 'SENS Tires'!$D$32:$BA$32, 'SENS Tires'!$D92:$BA92)+_xlfn.XLOOKUP(E$134, 'SENS Coal'!$D$32:$BA$32, 'SENS Coal'!$D92:$BA92)</f>
        <v>0</v>
      </c>
      <c r="F195" s="15">
        <f>_xlfn.XLOOKUP(F$134, 'GEN-CCGT'!$D$32:$BA$32, 'GEN-CCGT'!$D92:$BA92)+_xlfn.XLOOKUP(F$134, 'GEN-SOLAR'!$D$32:$BA$32, 'GEN-SOLAR'!$D92:$BA92)+_xlfn.XLOOKUP(F$134, 'GEN-BESS'!$D$32:$BA$32, 'GEN-BESS'!$D92:$BA92)+_xlfn.XLOOKUP(F$134, 'GEN-CARBON'!$D$32:$BA$32, 'GEN-CARBON'!$D92:$BA92)+_xlfn.XLOOKUP(F$134, Load!$D$32:$BA$32, Load!$D92:$BA92)+_xlfn.XLOOKUP(F$134, Hydrogen!$D$32:$BA$32, Hydrogen!$D92:$BA92)+_xlfn.XLOOKUP(F$134, 'SENS Tires'!$D$32:$BA$32, 'SENS Tires'!$D92:$BA92)+_xlfn.XLOOKUP(F$134, 'SENS Coal'!$D$32:$BA$32, 'SENS Coal'!$D92:$BA92)</f>
        <v>0</v>
      </c>
      <c r="G195" s="15">
        <f>_xlfn.XLOOKUP(G$134, 'GEN-CCGT'!$D$32:$BA$32, 'GEN-CCGT'!$D92:$BA92)+_xlfn.XLOOKUP(G$134, 'GEN-SOLAR'!$D$32:$BA$32, 'GEN-SOLAR'!$D92:$BA92)+_xlfn.XLOOKUP(G$134, 'GEN-BESS'!$D$32:$BA$32, 'GEN-BESS'!$D92:$BA92)+_xlfn.XLOOKUP(G$134, 'GEN-CARBON'!$D$32:$BA$32, 'GEN-CARBON'!$D92:$BA92)+_xlfn.XLOOKUP(G$134, Load!$D$32:$BA$32, Load!$D92:$BA92)+_xlfn.XLOOKUP(G$134, Hydrogen!$D$32:$BA$32, Hydrogen!$D92:$BA92)+_xlfn.XLOOKUP(G$134, 'SENS Tires'!$D$32:$BA$32, 'SENS Tires'!$D92:$BA92)+_xlfn.XLOOKUP(G$134, 'SENS Coal'!$D$32:$BA$32, 'SENS Coal'!$D92:$BA92)</f>
        <v>0</v>
      </c>
      <c r="H195" s="15">
        <f>_xlfn.XLOOKUP(H$134, 'GEN-CCGT'!$D$32:$BA$32, 'GEN-CCGT'!$D92:$BA92)+_xlfn.XLOOKUP(H$134, 'GEN-SOLAR'!$D$32:$BA$32, 'GEN-SOLAR'!$D92:$BA92)+_xlfn.XLOOKUP(H$134, 'GEN-BESS'!$D$32:$BA$32, 'GEN-BESS'!$D92:$BA92)+_xlfn.XLOOKUP(H$134, 'GEN-CARBON'!$D$32:$BA$32, 'GEN-CARBON'!$D92:$BA92)+_xlfn.XLOOKUP(H$134, Load!$D$32:$BA$32, Load!$D92:$BA92)+_xlfn.XLOOKUP(H$134, Hydrogen!$D$32:$BA$32, Hydrogen!$D92:$BA92)+_xlfn.XLOOKUP(H$134, 'SENS Tires'!$D$32:$BA$32, 'SENS Tires'!$D92:$BA92)+_xlfn.XLOOKUP(H$134, 'SENS Coal'!$D$32:$BA$32, 'SENS Coal'!$D92:$BA92)</f>
        <v>0</v>
      </c>
      <c r="I195" s="15">
        <f>_xlfn.XLOOKUP(I$134, 'GEN-CCGT'!$D$32:$BA$32, 'GEN-CCGT'!$D92:$BA92)+_xlfn.XLOOKUP(I$134, 'GEN-SOLAR'!$D$32:$BA$32, 'GEN-SOLAR'!$D92:$BA92)+_xlfn.XLOOKUP(I$134, 'GEN-BESS'!$D$32:$BA$32, 'GEN-BESS'!$D92:$BA92)+_xlfn.XLOOKUP(I$134, 'GEN-CARBON'!$D$32:$BA$32, 'GEN-CARBON'!$D92:$BA92)+_xlfn.XLOOKUP(I$134, Load!$D$32:$BA$32, Load!$D92:$BA92)+_xlfn.XLOOKUP(I$134, Hydrogen!$D$32:$BA$32, Hydrogen!$D92:$BA92)+_xlfn.XLOOKUP(I$134, 'SENS Tires'!$D$32:$BA$32, 'SENS Tires'!$D92:$BA92)+_xlfn.XLOOKUP(I$134, 'SENS Coal'!$D$32:$BA$32, 'SENS Coal'!$D92:$BA92)</f>
        <v>0</v>
      </c>
      <c r="J195" s="15">
        <f>_xlfn.XLOOKUP(J$134, 'GEN-CCGT'!$D$32:$BA$32, 'GEN-CCGT'!$D92:$BA92)+_xlfn.XLOOKUP(J$134, 'GEN-SOLAR'!$D$32:$BA$32, 'GEN-SOLAR'!$D92:$BA92)+_xlfn.XLOOKUP(J$134, 'GEN-BESS'!$D$32:$BA$32, 'GEN-BESS'!$D92:$BA92)+_xlfn.XLOOKUP(J$134, 'GEN-CARBON'!$D$32:$BA$32, 'GEN-CARBON'!$D92:$BA92)+_xlfn.XLOOKUP(J$134, Load!$D$32:$BA$32, Load!$D92:$BA92)+_xlfn.XLOOKUP(J$134, Hydrogen!$D$32:$BA$32, Hydrogen!$D92:$BA92)+_xlfn.XLOOKUP(J$134, 'SENS Tires'!$D$32:$BA$32, 'SENS Tires'!$D92:$BA92)+_xlfn.XLOOKUP(J$134, 'SENS Coal'!$D$32:$BA$32, 'SENS Coal'!$D92:$BA92)</f>
        <v>0</v>
      </c>
      <c r="K195" s="15">
        <f>_xlfn.XLOOKUP(K$134, 'GEN-CCGT'!$D$32:$BA$32, 'GEN-CCGT'!$D92:$BA92)+_xlfn.XLOOKUP(K$134, 'GEN-SOLAR'!$D$32:$BA$32, 'GEN-SOLAR'!$D92:$BA92)+_xlfn.XLOOKUP(K$134, 'GEN-BESS'!$D$32:$BA$32, 'GEN-BESS'!$D92:$BA92)+_xlfn.XLOOKUP(K$134, 'GEN-CARBON'!$D$32:$BA$32, 'GEN-CARBON'!$D92:$BA92)+_xlfn.XLOOKUP(K$134, Load!$D$32:$BA$32, Load!$D92:$BA92)+_xlfn.XLOOKUP(K$134, Hydrogen!$D$32:$BA$32, Hydrogen!$D92:$BA92)+_xlfn.XLOOKUP(K$134, 'SENS Tires'!$D$32:$BA$32, 'SENS Tires'!$D92:$BA92)+_xlfn.XLOOKUP(K$134, 'SENS Coal'!$D$32:$BA$32, 'SENS Coal'!$D92:$BA92)</f>
        <v>0</v>
      </c>
      <c r="L195" s="15">
        <f>_xlfn.XLOOKUP(L$134, 'GEN-CCGT'!$D$32:$BA$32, 'GEN-CCGT'!$D92:$BA92)+_xlfn.XLOOKUP(L$134, 'GEN-SOLAR'!$D$32:$BA$32, 'GEN-SOLAR'!$D92:$BA92)+_xlfn.XLOOKUP(L$134, 'GEN-BESS'!$D$32:$BA$32, 'GEN-BESS'!$D92:$BA92)+_xlfn.XLOOKUP(L$134, 'GEN-CARBON'!$D$32:$BA$32, 'GEN-CARBON'!$D92:$BA92)+_xlfn.XLOOKUP(L$134, Load!$D$32:$BA$32, Load!$D92:$BA92)+_xlfn.XLOOKUP(L$134, Hydrogen!$D$32:$BA$32, Hydrogen!$D92:$BA92)+_xlfn.XLOOKUP(L$134, 'SENS Tires'!$D$32:$BA$32, 'SENS Tires'!$D92:$BA92)+_xlfn.XLOOKUP(L$134, 'SENS Coal'!$D$32:$BA$32, 'SENS Coal'!$D92:$BA92)</f>
        <v>0</v>
      </c>
      <c r="M195" s="15">
        <f>_xlfn.XLOOKUP(M$134, 'GEN-CCGT'!$D$32:$BA$32, 'GEN-CCGT'!$D92:$BA92)+_xlfn.XLOOKUP(M$134, 'GEN-SOLAR'!$D$32:$BA$32, 'GEN-SOLAR'!$D92:$BA92)+_xlfn.XLOOKUP(M$134, 'GEN-BESS'!$D$32:$BA$32, 'GEN-BESS'!$D92:$BA92)+_xlfn.XLOOKUP(M$134, 'GEN-CARBON'!$D$32:$BA$32, 'GEN-CARBON'!$D92:$BA92)+_xlfn.XLOOKUP(M$134, Load!$D$32:$BA$32, Load!$D92:$BA92)+_xlfn.XLOOKUP(M$134, Hydrogen!$D$32:$BA$32, Hydrogen!$D92:$BA92)+_xlfn.XLOOKUP(M$134, 'SENS Tires'!$D$32:$BA$32, 'SENS Tires'!$D92:$BA92)+_xlfn.XLOOKUP(M$134, 'SENS Coal'!$D$32:$BA$32, 'SENS Coal'!$D92:$BA92)</f>
        <v>0</v>
      </c>
      <c r="N195" s="15">
        <f>_xlfn.XLOOKUP(N$134, 'GEN-CCGT'!$D$32:$BA$32, 'GEN-CCGT'!$D92:$BA92)+_xlfn.XLOOKUP(N$134, 'GEN-SOLAR'!$D$32:$BA$32, 'GEN-SOLAR'!$D92:$BA92)+_xlfn.XLOOKUP(N$134, 'GEN-BESS'!$D$32:$BA$32, 'GEN-BESS'!$D92:$BA92)+_xlfn.XLOOKUP(N$134, 'GEN-CARBON'!$D$32:$BA$32, 'GEN-CARBON'!$D92:$BA92)+_xlfn.XLOOKUP(N$134, Load!$D$32:$BA$32, Load!$D92:$BA92)+_xlfn.XLOOKUP(N$134, Hydrogen!$D$32:$BA$32, Hydrogen!$D92:$BA92)+_xlfn.XLOOKUP(N$134, 'SENS Tires'!$D$32:$BA$32, 'SENS Tires'!$D92:$BA92)+_xlfn.XLOOKUP(N$134, 'SENS Coal'!$D$32:$BA$32, 'SENS Coal'!$D92:$BA92)</f>
        <v>0</v>
      </c>
      <c r="O195" s="15">
        <f>_xlfn.XLOOKUP(O$134, 'GEN-CCGT'!$D$32:$BA$32, 'GEN-CCGT'!$D92:$BA92)+_xlfn.XLOOKUP(O$134, 'GEN-SOLAR'!$D$32:$BA$32, 'GEN-SOLAR'!$D92:$BA92)+_xlfn.XLOOKUP(O$134, 'GEN-BESS'!$D$32:$BA$32, 'GEN-BESS'!$D92:$BA92)+_xlfn.XLOOKUP(O$134, 'GEN-CARBON'!$D$32:$BA$32, 'GEN-CARBON'!$D92:$BA92)+_xlfn.XLOOKUP(O$134, Load!$D$32:$BA$32, Load!$D92:$BA92)+_xlfn.XLOOKUP(O$134, Hydrogen!$D$32:$BA$32, Hydrogen!$D92:$BA92)+_xlfn.XLOOKUP(O$134, 'SENS Tires'!$D$32:$BA$32, 'SENS Tires'!$D92:$BA92)+_xlfn.XLOOKUP(O$134, 'SENS Coal'!$D$32:$BA$32, 'SENS Coal'!$D92:$BA92)</f>
        <v>0</v>
      </c>
      <c r="P195" s="15">
        <f>_xlfn.XLOOKUP(P$134, 'GEN-CCGT'!$D$32:$BA$32, 'GEN-CCGT'!$D92:$BA92)+_xlfn.XLOOKUP(P$134, 'GEN-SOLAR'!$D$32:$BA$32, 'GEN-SOLAR'!$D92:$BA92)+_xlfn.XLOOKUP(P$134, 'GEN-BESS'!$D$32:$BA$32, 'GEN-BESS'!$D92:$BA92)+_xlfn.XLOOKUP(P$134, 'GEN-CARBON'!$D$32:$BA$32, 'GEN-CARBON'!$D92:$BA92)+_xlfn.XLOOKUP(P$134, Load!$D$32:$BA$32, Load!$D92:$BA92)+_xlfn.XLOOKUP(P$134, Hydrogen!$D$32:$BA$32, Hydrogen!$D92:$BA92)+_xlfn.XLOOKUP(P$134, 'SENS Tires'!$D$32:$BA$32, 'SENS Tires'!$D92:$BA92)+_xlfn.XLOOKUP(P$134, 'SENS Coal'!$D$32:$BA$32, 'SENS Coal'!$D92:$BA92)</f>
        <v>0</v>
      </c>
      <c r="Q195" s="15">
        <f>_xlfn.XLOOKUP(Q$134, 'GEN-CCGT'!$D$32:$BA$32, 'GEN-CCGT'!$D92:$BA92)+_xlfn.XLOOKUP(Q$134, 'GEN-SOLAR'!$D$32:$BA$32, 'GEN-SOLAR'!$D92:$BA92)+_xlfn.XLOOKUP(Q$134, 'GEN-BESS'!$D$32:$BA$32, 'GEN-BESS'!$D92:$BA92)+_xlfn.XLOOKUP(Q$134, 'GEN-CARBON'!$D$32:$BA$32, 'GEN-CARBON'!$D92:$BA92)+_xlfn.XLOOKUP(Q$134, Load!$D$32:$BA$32, Load!$D92:$BA92)+_xlfn.XLOOKUP(Q$134, Hydrogen!$D$32:$BA$32, Hydrogen!$D92:$BA92)+_xlfn.XLOOKUP(Q$134, 'SENS Tires'!$D$32:$BA$32, 'SENS Tires'!$D92:$BA92)+_xlfn.XLOOKUP(Q$134, 'SENS Coal'!$D$32:$BA$32, 'SENS Coal'!$D92:$BA92)</f>
        <v>0</v>
      </c>
      <c r="R195" s="15">
        <f>_xlfn.XLOOKUP(R$134, 'GEN-CCGT'!$D$32:$BA$32, 'GEN-CCGT'!$D92:$BA92)+_xlfn.XLOOKUP(R$134, 'GEN-SOLAR'!$D$32:$BA$32, 'GEN-SOLAR'!$D92:$BA92)+_xlfn.XLOOKUP(R$134, 'GEN-BESS'!$D$32:$BA$32, 'GEN-BESS'!$D92:$BA92)+_xlfn.XLOOKUP(R$134, 'GEN-CARBON'!$D$32:$BA$32, 'GEN-CARBON'!$D92:$BA92)+_xlfn.XLOOKUP(R$134, Load!$D$32:$BA$32, Load!$D92:$BA92)+_xlfn.XLOOKUP(R$134, Hydrogen!$D$32:$BA$32, Hydrogen!$D92:$BA92)+_xlfn.XLOOKUP(R$134, 'SENS Tires'!$D$32:$BA$32, 'SENS Tires'!$D92:$BA92)+_xlfn.XLOOKUP(R$134, 'SENS Coal'!$D$32:$BA$32, 'SENS Coal'!$D92:$BA92)</f>
        <v>0</v>
      </c>
      <c r="S195" s="15">
        <f>_xlfn.XLOOKUP(S$134, 'GEN-CCGT'!$D$32:$BA$32, 'GEN-CCGT'!$D92:$BA92)+_xlfn.XLOOKUP(S$134, 'GEN-SOLAR'!$D$32:$BA$32, 'GEN-SOLAR'!$D92:$BA92)+_xlfn.XLOOKUP(S$134, 'GEN-BESS'!$D$32:$BA$32, 'GEN-BESS'!$D92:$BA92)+_xlfn.XLOOKUP(S$134, 'GEN-CARBON'!$D$32:$BA$32, 'GEN-CARBON'!$D92:$BA92)+_xlfn.XLOOKUP(S$134, Load!$D$32:$BA$32, Load!$D92:$BA92)+_xlfn.XLOOKUP(S$134, Hydrogen!$D$32:$BA$32, Hydrogen!$D92:$BA92)+_xlfn.XLOOKUP(S$134, 'SENS Tires'!$D$32:$BA$32, 'SENS Tires'!$D92:$BA92)+_xlfn.XLOOKUP(S$134, 'SENS Coal'!$D$32:$BA$32, 'SENS Coal'!$D92:$BA92)</f>
        <v>0</v>
      </c>
      <c r="T195" s="15">
        <f>_xlfn.XLOOKUP(T$134, 'GEN-CCGT'!$D$32:$BA$32, 'GEN-CCGT'!$D92:$BA92)+_xlfn.XLOOKUP(T$134, 'GEN-SOLAR'!$D$32:$BA$32, 'GEN-SOLAR'!$D92:$BA92)+_xlfn.XLOOKUP(T$134, 'GEN-BESS'!$D$32:$BA$32, 'GEN-BESS'!$D92:$BA92)+_xlfn.XLOOKUP(T$134, 'GEN-CARBON'!$D$32:$BA$32, 'GEN-CARBON'!$D92:$BA92)+_xlfn.XLOOKUP(T$134, Load!$D$32:$BA$32, Load!$D92:$BA92)+_xlfn.XLOOKUP(T$134, Hydrogen!$D$32:$BA$32, Hydrogen!$D92:$BA92)+_xlfn.XLOOKUP(T$134, 'SENS Tires'!$D$32:$BA$32, 'SENS Tires'!$D92:$BA92)+_xlfn.XLOOKUP(T$134, 'SENS Coal'!$D$32:$BA$32, 'SENS Coal'!$D92:$BA92)</f>
        <v>0</v>
      </c>
      <c r="U195" s="15">
        <f>_xlfn.XLOOKUP(U$134, 'GEN-CCGT'!$D$32:$BA$32, 'GEN-CCGT'!$D92:$BA92)+_xlfn.XLOOKUP(U$134, 'GEN-SOLAR'!$D$32:$BA$32, 'GEN-SOLAR'!$D92:$BA92)+_xlfn.XLOOKUP(U$134, 'GEN-BESS'!$D$32:$BA$32, 'GEN-BESS'!$D92:$BA92)+_xlfn.XLOOKUP(U$134, 'GEN-CARBON'!$D$32:$BA$32, 'GEN-CARBON'!$D92:$BA92)+_xlfn.XLOOKUP(U$134, Load!$D$32:$BA$32, Load!$D92:$BA92)+_xlfn.XLOOKUP(U$134, Hydrogen!$D$32:$BA$32, Hydrogen!$D92:$BA92)+_xlfn.XLOOKUP(U$134, 'SENS Tires'!$D$32:$BA$32, 'SENS Tires'!$D92:$BA92)+_xlfn.XLOOKUP(U$134, 'SENS Coal'!$D$32:$BA$32, 'SENS Coal'!$D92:$BA92)</f>
        <v>0</v>
      </c>
      <c r="V195" s="15">
        <f>_xlfn.XLOOKUP(V$134, 'GEN-CCGT'!$D$32:$BA$32, 'GEN-CCGT'!$D92:$BA92)+_xlfn.XLOOKUP(V$134, 'GEN-SOLAR'!$D$32:$BA$32, 'GEN-SOLAR'!$D92:$BA92)+_xlfn.XLOOKUP(V$134, 'GEN-BESS'!$D$32:$BA$32, 'GEN-BESS'!$D92:$BA92)+_xlfn.XLOOKUP(V$134, 'GEN-CARBON'!$D$32:$BA$32, 'GEN-CARBON'!$D92:$BA92)+_xlfn.XLOOKUP(V$134, Load!$D$32:$BA$32, Load!$D92:$BA92)+_xlfn.XLOOKUP(V$134, Hydrogen!$D$32:$BA$32, Hydrogen!$D92:$BA92)+_xlfn.XLOOKUP(V$134, 'SENS Tires'!$D$32:$BA$32, 'SENS Tires'!$D92:$BA92)+_xlfn.XLOOKUP(V$134, 'SENS Coal'!$D$32:$BA$32, 'SENS Coal'!$D92:$BA92)</f>
        <v>0</v>
      </c>
      <c r="W195" s="15">
        <f>_xlfn.XLOOKUP(W$134, 'GEN-CCGT'!$D$32:$BA$32, 'GEN-CCGT'!$D92:$BA92)+_xlfn.XLOOKUP(W$134, 'GEN-SOLAR'!$D$32:$BA$32, 'GEN-SOLAR'!$D92:$BA92)+_xlfn.XLOOKUP(W$134, 'GEN-BESS'!$D$32:$BA$32, 'GEN-BESS'!$D92:$BA92)+_xlfn.XLOOKUP(W$134, 'GEN-CARBON'!$D$32:$BA$32, 'GEN-CARBON'!$D92:$BA92)+_xlfn.XLOOKUP(W$134, Load!$D$32:$BA$32, Load!$D92:$BA92)+_xlfn.XLOOKUP(W$134, Hydrogen!$D$32:$BA$32, Hydrogen!$D92:$BA92)+_xlfn.XLOOKUP(W$134, 'SENS Tires'!$D$32:$BA$32, 'SENS Tires'!$D92:$BA92)+_xlfn.XLOOKUP(W$134, 'SENS Coal'!$D$32:$BA$32, 'SENS Coal'!$D92:$BA92)</f>
        <v>0</v>
      </c>
      <c r="X195" s="15">
        <f>_xlfn.XLOOKUP(X$134, 'GEN-CCGT'!$D$32:$BA$32, 'GEN-CCGT'!$D92:$BA92)+_xlfn.XLOOKUP(X$134, 'GEN-SOLAR'!$D$32:$BA$32, 'GEN-SOLAR'!$D92:$BA92)+_xlfn.XLOOKUP(X$134, 'GEN-BESS'!$D$32:$BA$32, 'GEN-BESS'!$D92:$BA92)+_xlfn.XLOOKUP(X$134, 'GEN-CARBON'!$D$32:$BA$32, 'GEN-CARBON'!$D92:$BA92)+_xlfn.XLOOKUP(X$134, Load!$D$32:$BA$32, Load!$D92:$BA92)+_xlfn.XLOOKUP(X$134, Hydrogen!$D$32:$BA$32, Hydrogen!$D92:$BA92)+_xlfn.XLOOKUP(X$134, 'SENS Tires'!$D$32:$BA$32, 'SENS Tires'!$D92:$BA92)+_xlfn.XLOOKUP(X$134, 'SENS Coal'!$D$32:$BA$32, 'SENS Coal'!$D92:$BA92)</f>
        <v>0</v>
      </c>
      <c r="Y195" s="15">
        <f>_xlfn.XLOOKUP(Y$134, 'GEN-CCGT'!$D$32:$BA$32, 'GEN-CCGT'!$D92:$BA92)+_xlfn.XLOOKUP(Y$134, 'GEN-SOLAR'!$D$32:$BA$32, 'GEN-SOLAR'!$D92:$BA92)+_xlfn.XLOOKUP(Y$134, 'GEN-BESS'!$D$32:$BA$32, 'GEN-BESS'!$D92:$BA92)+_xlfn.XLOOKUP(Y$134, 'GEN-CARBON'!$D$32:$BA$32, 'GEN-CARBON'!$D92:$BA92)+_xlfn.XLOOKUP(Y$134, Load!$D$32:$BA$32, Load!$D92:$BA92)+_xlfn.XLOOKUP(Y$134, Hydrogen!$D$32:$BA$32, Hydrogen!$D92:$BA92)+_xlfn.XLOOKUP(Y$134, 'SENS Tires'!$D$32:$BA$32, 'SENS Tires'!$D92:$BA92)+_xlfn.XLOOKUP(Y$134, 'SENS Coal'!$D$32:$BA$32, 'SENS Coal'!$D92:$BA92)</f>
        <v>0</v>
      </c>
      <c r="Z195" s="15">
        <f>_xlfn.XLOOKUP(Z$134, 'GEN-CCGT'!$D$32:$BA$32, 'GEN-CCGT'!$D92:$BA92)+_xlfn.XLOOKUP(Z$134, 'GEN-SOLAR'!$D$32:$BA$32, 'GEN-SOLAR'!$D92:$BA92)+_xlfn.XLOOKUP(Z$134, 'GEN-BESS'!$D$32:$BA$32, 'GEN-BESS'!$D92:$BA92)+_xlfn.XLOOKUP(Z$134, 'GEN-CARBON'!$D$32:$BA$32, 'GEN-CARBON'!$D92:$BA92)+_xlfn.XLOOKUP(Z$134, Load!$D$32:$BA$32, Load!$D92:$BA92)+_xlfn.XLOOKUP(Z$134, Hydrogen!$D$32:$BA$32, Hydrogen!$D92:$BA92)+_xlfn.XLOOKUP(Z$134, 'SENS Tires'!$D$32:$BA$32, 'SENS Tires'!$D92:$BA92)+_xlfn.XLOOKUP(Z$134, 'SENS Coal'!$D$32:$BA$32, 'SENS Coal'!$D92:$BA92)</f>
        <v>0</v>
      </c>
      <c r="AA195" s="15">
        <f>_xlfn.XLOOKUP(AA$134, 'GEN-CCGT'!$D$32:$BA$32, 'GEN-CCGT'!$D92:$BA92)+_xlfn.XLOOKUP(AA$134, 'GEN-SOLAR'!$D$32:$BA$32, 'GEN-SOLAR'!$D92:$BA92)+_xlfn.XLOOKUP(AA$134, 'GEN-BESS'!$D$32:$BA$32, 'GEN-BESS'!$D92:$BA92)+_xlfn.XLOOKUP(AA$134, 'GEN-CARBON'!$D$32:$BA$32, 'GEN-CARBON'!$D92:$BA92)+_xlfn.XLOOKUP(AA$134, Load!$D$32:$BA$32, Load!$D92:$BA92)+_xlfn.XLOOKUP(AA$134, Hydrogen!$D$32:$BA$32, Hydrogen!$D92:$BA92)+_xlfn.XLOOKUP(AA$134, 'SENS Tires'!$D$32:$BA$32, 'SENS Tires'!$D92:$BA92)+_xlfn.XLOOKUP(AA$134, 'SENS Coal'!$D$32:$BA$32, 'SENS Coal'!$D92:$BA92)</f>
        <v>0</v>
      </c>
      <c r="AB195" s="15">
        <f>_xlfn.XLOOKUP(AB$134, 'GEN-CCGT'!$D$32:$BA$32, 'GEN-CCGT'!$D92:$BA92)+_xlfn.XLOOKUP(AB$134, 'GEN-SOLAR'!$D$32:$BA$32, 'GEN-SOLAR'!$D92:$BA92)+_xlfn.XLOOKUP(AB$134, 'GEN-BESS'!$D$32:$BA$32, 'GEN-BESS'!$D92:$BA92)+_xlfn.XLOOKUP(AB$134, 'GEN-CARBON'!$D$32:$BA$32, 'GEN-CARBON'!$D92:$BA92)+_xlfn.XLOOKUP(AB$134, Load!$D$32:$BA$32, Load!$D92:$BA92)+_xlfn.XLOOKUP(AB$134, Hydrogen!$D$32:$BA$32, Hydrogen!$D92:$BA92)+_xlfn.XLOOKUP(AB$134, 'SENS Tires'!$D$32:$BA$32, 'SENS Tires'!$D92:$BA92)+_xlfn.XLOOKUP(AB$134, 'SENS Coal'!$D$32:$BA$32, 'SENS Coal'!$D92:$BA92)</f>
        <v>0</v>
      </c>
      <c r="AC195" s="15">
        <f>_xlfn.XLOOKUP(AC$134, 'GEN-CCGT'!$D$32:$BA$32, 'GEN-CCGT'!$D92:$BA92)+_xlfn.XLOOKUP(AC$134, 'GEN-SOLAR'!$D$32:$BA$32, 'GEN-SOLAR'!$D92:$BA92)+_xlfn.XLOOKUP(AC$134, 'GEN-BESS'!$D$32:$BA$32, 'GEN-BESS'!$D92:$BA92)+_xlfn.XLOOKUP(AC$134, 'GEN-CARBON'!$D$32:$BA$32, 'GEN-CARBON'!$D92:$BA92)+_xlfn.XLOOKUP(AC$134, Load!$D$32:$BA$32, Load!$D92:$BA92)+_xlfn.XLOOKUP(AC$134, Hydrogen!$D$32:$BA$32, Hydrogen!$D92:$BA92)+_xlfn.XLOOKUP(AC$134, 'SENS Tires'!$D$32:$BA$32, 'SENS Tires'!$D92:$BA92)+_xlfn.XLOOKUP(AC$134, 'SENS Coal'!$D$32:$BA$32, 'SENS Coal'!$D92:$BA92)</f>
        <v>0</v>
      </c>
      <c r="AD195" s="15">
        <f>_xlfn.XLOOKUP(AD$134, 'GEN-CCGT'!$D$32:$BA$32, 'GEN-CCGT'!$D92:$BA92)+_xlfn.XLOOKUP(AD$134, 'GEN-SOLAR'!$D$32:$BA$32, 'GEN-SOLAR'!$D92:$BA92)+_xlfn.XLOOKUP(AD$134, 'GEN-BESS'!$D$32:$BA$32, 'GEN-BESS'!$D92:$BA92)+_xlfn.XLOOKUP(AD$134, 'GEN-CARBON'!$D$32:$BA$32, 'GEN-CARBON'!$D92:$BA92)+_xlfn.XLOOKUP(AD$134, Load!$D$32:$BA$32, Load!$D92:$BA92)+_xlfn.XLOOKUP(AD$134, Hydrogen!$D$32:$BA$32, Hydrogen!$D92:$BA92)+_xlfn.XLOOKUP(AD$134, 'SENS Tires'!$D$32:$BA$32, 'SENS Tires'!$D92:$BA92)+_xlfn.XLOOKUP(AD$134, 'SENS Coal'!$D$32:$BA$32, 'SENS Coal'!$D92:$BA92)</f>
        <v>0</v>
      </c>
      <c r="AE195" s="15">
        <f>_xlfn.XLOOKUP(AE$134, 'GEN-CCGT'!$D$32:$BA$32, 'GEN-CCGT'!$D92:$BA92)+_xlfn.XLOOKUP(AE$134, 'GEN-SOLAR'!$D$32:$BA$32, 'GEN-SOLAR'!$D92:$BA92)+_xlfn.XLOOKUP(AE$134, 'GEN-BESS'!$D$32:$BA$32, 'GEN-BESS'!$D92:$BA92)+_xlfn.XLOOKUP(AE$134, 'GEN-CARBON'!$D$32:$BA$32, 'GEN-CARBON'!$D92:$BA92)+_xlfn.XLOOKUP(AE$134, Load!$D$32:$BA$32, Load!$D92:$BA92)+_xlfn.XLOOKUP(AE$134, Hydrogen!$D$32:$BA$32, Hydrogen!$D92:$BA92)+_xlfn.XLOOKUP(AE$134, 'SENS Tires'!$D$32:$BA$32, 'SENS Tires'!$D92:$BA92)+_xlfn.XLOOKUP(AE$134, 'SENS Coal'!$D$32:$BA$32, 'SENS Coal'!$D92:$BA92)</f>
        <v>0</v>
      </c>
      <c r="AF195" s="15">
        <f>_xlfn.XLOOKUP(AF$134, 'GEN-CCGT'!$D$32:$BA$32, 'GEN-CCGT'!$D92:$BA92)+_xlfn.XLOOKUP(AF$134, 'GEN-SOLAR'!$D$32:$BA$32, 'GEN-SOLAR'!$D92:$BA92)+_xlfn.XLOOKUP(AF$134, 'GEN-BESS'!$D$32:$BA$32, 'GEN-BESS'!$D92:$BA92)+_xlfn.XLOOKUP(AF$134, 'GEN-CARBON'!$D$32:$BA$32, 'GEN-CARBON'!$D92:$BA92)+_xlfn.XLOOKUP(AF$134, Load!$D$32:$BA$32, Load!$D92:$BA92)+_xlfn.XLOOKUP(AF$134, Hydrogen!$D$32:$BA$32, Hydrogen!$D92:$BA92)+_xlfn.XLOOKUP(AF$134, 'SENS Tires'!$D$32:$BA$32, 'SENS Tires'!$D92:$BA92)+_xlfn.XLOOKUP(AF$134, 'SENS Coal'!$D$32:$BA$32, 'SENS Coal'!$D92:$BA92)</f>
        <v>0</v>
      </c>
      <c r="AG195" s="15">
        <f>_xlfn.XLOOKUP(AG$134, 'GEN-CCGT'!$D$32:$BA$32, 'GEN-CCGT'!$D92:$BA92)+_xlfn.XLOOKUP(AG$134, 'GEN-SOLAR'!$D$32:$BA$32, 'GEN-SOLAR'!$D92:$BA92)+_xlfn.XLOOKUP(AG$134, 'GEN-BESS'!$D$32:$BA$32, 'GEN-BESS'!$D92:$BA92)+_xlfn.XLOOKUP(AG$134, 'GEN-CARBON'!$D$32:$BA$32, 'GEN-CARBON'!$D92:$BA92)+_xlfn.XLOOKUP(AG$134, Load!$D$32:$BA$32, Load!$D92:$BA92)+_xlfn.XLOOKUP(AG$134, Hydrogen!$D$32:$BA$32, Hydrogen!$D92:$BA92)+_xlfn.XLOOKUP(AG$134, 'SENS Tires'!$D$32:$BA$32, 'SENS Tires'!$D92:$BA92)+_xlfn.XLOOKUP(AG$134, 'SENS Coal'!$D$32:$BA$32, 'SENS Coal'!$D92:$BA92)</f>
        <v>0</v>
      </c>
      <c r="AH195" s="15">
        <f>_xlfn.XLOOKUP(AH$134, 'GEN-CCGT'!$D$32:$BA$32, 'GEN-CCGT'!$D92:$BA92)+_xlfn.XLOOKUP(AH$134, 'GEN-SOLAR'!$D$32:$BA$32, 'GEN-SOLAR'!$D92:$BA92)+_xlfn.XLOOKUP(AH$134, 'GEN-BESS'!$D$32:$BA$32, 'GEN-BESS'!$D92:$BA92)+_xlfn.XLOOKUP(AH$134, 'GEN-CARBON'!$D$32:$BA$32, 'GEN-CARBON'!$D92:$BA92)+_xlfn.XLOOKUP(AH$134, Load!$D$32:$BA$32, Load!$D92:$BA92)+_xlfn.XLOOKUP(AH$134, Hydrogen!$D$32:$BA$32, Hydrogen!$D92:$BA92)+_xlfn.XLOOKUP(AH$134, 'SENS Tires'!$D$32:$BA$32, 'SENS Tires'!$D92:$BA92)+_xlfn.XLOOKUP(AH$134, 'SENS Coal'!$D$32:$BA$32, 'SENS Coal'!$D92:$BA92)</f>
        <v>0</v>
      </c>
      <c r="AI195" s="15">
        <f>_xlfn.XLOOKUP(AI$134, 'GEN-CCGT'!$D$32:$BA$32, 'GEN-CCGT'!$D92:$BA92)+_xlfn.XLOOKUP(AI$134, 'GEN-SOLAR'!$D$32:$BA$32, 'GEN-SOLAR'!$D92:$BA92)+_xlfn.XLOOKUP(AI$134, 'GEN-BESS'!$D$32:$BA$32, 'GEN-BESS'!$D92:$BA92)+_xlfn.XLOOKUP(AI$134, 'GEN-CARBON'!$D$32:$BA$32, 'GEN-CARBON'!$D92:$BA92)+_xlfn.XLOOKUP(AI$134, Load!$D$32:$BA$32, Load!$D92:$BA92)+_xlfn.XLOOKUP(AI$134, Hydrogen!$D$32:$BA$32, Hydrogen!$D92:$BA92)+_xlfn.XLOOKUP(AI$134, 'SENS Tires'!$D$32:$BA$32, 'SENS Tires'!$D92:$BA92)+_xlfn.XLOOKUP(AI$134, 'SENS Coal'!$D$32:$BA$32, 'SENS Coal'!$D92:$BA92)</f>
        <v>0</v>
      </c>
      <c r="AJ195" s="15">
        <f>_xlfn.XLOOKUP(AJ$134, 'GEN-CCGT'!$D$32:$BA$32, 'GEN-CCGT'!$D92:$BA92)+_xlfn.XLOOKUP(AJ$134, 'GEN-SOLAR'!$D$32:$BA$32, 'GEN-SOLAR'!$D92:$BA92)+_xlfn.XLOOKUP(AJ$134, 'GEN-BESS'!$D$32:$BA$32, 'GEN-BESS'!$D92:$BA92)+_xlfn.XLOOKUP(AJ$134, 'GEN-CARBON'!$D$32:$BA$32, 'GEN-CARBON'!$D92:$BA92)+_xlfn.XLOOKUP(AJ$134, Load!$D$32:$BA$32, Load!$D92:$BA92)+_xlfn.XLOOKUP(AJ$134, Hydrogen!$D$32:$BA$32, Hydrogen!$D92:$BA92)+_xlfn.XLOOKUP(AJ$134, 'SENS Tires'!$D$32:$BA$32, 'SENS Tires'!$D92:$BA92)+_xlfn.XLOOKUP(AJ$134, 'SENS Coal'!$D$32:$BA$32, 'SENS Coal'!$D92:$BA92)</f>
        <v>0</v>
      </c>
      <c r="AK195" s="15">
        <f>_xlfn.XLOOKUP(AK$134, 'GEN-CCGT'!$D$32:$BA$32, 'GEN-CCGT'!$D92:$BA92)+_xlfn.XLOOKUP(AK$134, 'GEN-SOLAR'!$D$32:$BA$32, 'GEN-SOLAR'!$D92:$BA92)+_xlfn.XLOOKUP(AK$134, 'GEN-BESS'!$D$32:$BA$32, 'GEN-BESS'!$D92:$BA92)+_xlfn.XLOOKUP(AK$134, 'GEN-CARBON'!$D$32:$BA$32, 'GEN-CARBON'!$D92:$BA92)+_xlfn.XLOOKUP(AK$134, Load!$D$32:$BA$32, Load!$D92:$BA92)+_xlfn.XLOOKUP(AK$134, Hydrogen!$D$32:$BA$32, Hydrogen!$D92:$BA92)+_xlfn.XLOOKUP(AK$134, 'SENS Tires'!$D$32:$BA$32, 'SENS Tires'!$D92:$BA92)+_xlfn.XLOOKUP(AK$134, 'SENS Coal'!$D$32:$BA$32, 'SENS Coal'!$D92:$BA92)</f>
        <v>0</v>
      </c>
      <c r="AL195" s="15">
        <f>_xlfn.XLOOKUP(AL$134, 'GEN-CCGT'!$D$32:$BA$32, 'GEN-CCGT'!$D92:$BA92)+_xlfn.XLOOKUP(AL$134, 'GEN-SOLAR'!$D$32:$BA$32, 'GEN-SOLAR'!$D92:$BA92)+_xlfn.XLOOKUP(AL$134, 'GEN-BESS'!$D$32:$BA$32, 'GEN-BESS'!$D92:$BA92)+_xlfn.XLOOKUP(AL$134, 'GEN-CARBON'!$D$32:$BA$32, 'GEN-CARBON'!$D92:$BA92)+_xlfn.XLOOKUP(AL$134, Load!$D$32:$BA$32, Load!$D92:$BA92)+_xlfn.XLOOKUP(AL$134, Hydrogen!$D$32:$BA$32, Hydrogen!$D92:$BA92)+_xlfn.XLOOKUP(AL$134, 'SENS Tires'!$D$32:$BA$32, 'SENS Tires'!$D92:$BA92)+_xlfn.XLOOKUP(AL$134, 'SENS Coal'!$D$32:$BA$32, 'SENS Coal'!$D92:$BA92)</f>
        <v>0</v>
      </c>
      <c r="AM195" s="15">
        <f>_xlfn.XLOOKUP(AM$134, 'GEN-CCGT'!$D$32:$BA$32, 'GEN-CCGT'!$D92:$BA92)+_xlfn.XLOOKUP(AM$134, 'GEN-SOLAR'!$D$32:$BA$32, 'GEN-SOLAR'!$D92:$BA92)+_xlfn.XLOOKUP(AM$134, 'GEN-BESS'!$D$32:$BA$32, 'GEN-BESS'!$D92:$BA92)+_xlfn.XLOOKUP(AM$134, 'GEN-CARBON'!$D$32:$BA$32, 'GEN-CARBON'!$D92:$BA92)+_xlfn.XLOOKUP(AM$134, Load!$D$32:$BA$32, Load!$D92:$BA92)+_xlfn.XLOOKUP(AM$134, Hydrogen!$D$32:$BA$32, Hydrogen!$D92:$BA92)+_xlfn.XLOOKUP(AM$134, 'SENS Tires'!$D$32:$BA$32, 'SENS Tires'!$D92:$BA92)+_xlfn.XLOOKUP(AM$134, 'SENS Coal'!$D$32:$BA$32, 'SENS Coal'!$D92:$BA92)</f>
        <v>0</v>
      </c>
      <c r="AN195" s="15">
        <f>_xlfn.XLOOKUP(AN$134, 'GEN-CCGT'!$D$32:$BA$32, 'GEN-CCGT'!$D92:$BA92)+_xlfn.XLOOKUP(AN$134, 'GEN-SOLAR'!$D$32:$BA$32, 'GEN-SOLAR'!$D92:$BA92)+_xlfn.XLOOKUP(AN$134, 'GEN-BESS'!$D$32:$BA$32, 'GEN-BESS'!$D92:$BA92)+_xlfn.XLOOKUP(AN$134, 'GEN-CARBON'!$D$32:$BA$32, 'GEN-CARBON'!$D92:$BA92)+_xlfn.XLOOKUP(AN$134, Load!$D$32:$BA$32, Load!$D92:$BA92)+_xlfn.XLOOKUP(AN$134, Hydrogen!$D$32:$BA$32, Hydrogen!$D92:$BA92)+_xlfn.XLOOKUP(AN$134, 'SENS Tires'!$D$32:$BA$32, 'SENS Tires'!$D92:$BA92)+_xlfn.XLOOKUP(AN$134, 'SENS Coal'!$D$32:$BA$32, 'SENS Coal'!$D92:$BA92)</f>
        <v>0</v>
      </c>
      <c r="AO195" s="15">
        <f>_xlfn.XLOOKUP(AO$134, 'GEN-CCGT'!$D$32:$BA$32, 'GEN-CCGT'!$D92:$BA92)+_xlfn.XLOOKUP(AO$134, 'GEN-SOLAR'!$D$32:$BA$32, 'GEN-SOLAR'!$D92:$BA92)+_xlfn.XLOOKUP(AO$134, 'GEN-BESS'!$D$32:$BA$32, 'GEN-BESS'!$D92:$BA92)+_xlfn.XLOOKUP(AO$134, 'GEN-CARBON'!$D$32:$BA$32, 'GEN-CARBON'!$D92:$BA92)+_xlfn.XLOOKUP(AO$134, Load!$D$32:$BA$32, Load!$D92:$BA92)+_xlfn.XLOOKUP(AO$134, Hydrogen!$D$32:$BA$32, Hydrogen!$D92:$BA92)+_xlfn.XLOOKUP(AO$134, 'SENS Tires'!$D$32:$BA$32, 'SENS Tires'!$D92:$BA92)+_xlfn.XLOOKUP(AO$134, 'SENS Coal'!$D$32:$BA$32, 'SENS Coal'!$D92:$BA92)</f>
        <v>0</v>
      </c>
      <c r="AP195" s="15">
        <f>_xlfn.XLOOKUP(AP$134, 'GEN-CCGT'!$D$32:$BA$32, 'GEN-CCGT'!$D92:$BA92)+_xlfn.XLOOKUP(AP$134, 'GEN-SOLAR'!$D$32:$BA$32, 'GEN-SOLAR'!$D92:$BA92)+_xlfn.XLOOKUP(AP$134, 'GEN-BESS'!$D$32:$BA$32, 'GEN-BESS'!$D92:$BA92)+_xlfn.XLOOKUP(AP$134, 'GEN-CARBON'!$D$32:$BA$32, 'GEN-CARBON'!$D92:$BA92)+_xlfn.XLOOKUP(AP$134, Load!$D$32:$BA$32, Load!$D92:$BA92)+_xlfn.XLOOKUP(AP$134, Hydrogen!$D$32:$BA$32, Hydrogen!$D92:$BA92)+_xlfn.XLOOKUP(AP$134, 'SENS Tires'!$D$32:$BA$32, 'SENS Tires'!$D92:$BA92)+_xlfn.XLOOKUP(AP$134, 'SENS Coal'!$D$32:$BA$32, 'SENS Coal'!$D92:$BA92)</f>
        <v>0</v>
      </c>
      <c r="AQ195" s="15">
        <f>_xlfn.XLOOKUP(AQ$134, 'GEN-CCGT'!$D$32:$BA$32, 'GEN-CCGT'!$D92:$BA92)+_xlfn.XLOOKUP(AQ$134, 'GEN-SOLAR'!$D$32:$BA$32, 'GEN-SOLAR'!$D92:$BA92)+_xlfn.XLOOKUP(AQ$134, 'GEN-BESS'!$D$32:$BA$32, 'GEN-BESS'!$D92:$BA92)+_xlfn.XLOOKUP(AQ$134, 'GEN-CARBON'!$D$32:$BA$32, 'GEN-CARBON'!$D92:$BA92)+_xlfn.XLOOKUP(AQ$134, Load!$D$32:$BA$32, Load!$D92:$BA92)+_xlfn.XLOOKUP(AQ$134, Hydrogen!$D$32:$BA$32, Hydrogen!$D92:$BA92)+_xlfn.XLOOKUP(AQ$134, 'SENS Tires'!$D$32:$BA$32, 'SENS Tires'!$D92:$BA92)+_xlfn.XLOOKUP(AQ$134, 'SENS Coal'!$D$32:$BA$32, 'SENS Coal'!$D92:$BA92)</f>
        <v>0</v>
      </c>
      <c r="AR195" s="15">
        <f>_xlfn.XLOOKUP(AR$134, 'GEN-CCGT'!$D$32:$BA$32, 'GEN-CCGT'!$D92:$BA92)+_xlfn.XLOOKUP(AR$134, 'GEN-SOLAR'!$D$32:$BA$32, 'GEN-SOLAR'!$D92:$BA92)+_xlfn.XLOOKUP(AR$134, 'GEN-BESS'!$D$32:$BA$32, 'GEN-BESS'!$D92:$BA92)+_xlfn.XLOOKUP(AR$134, 'GEN-CARBON'!$D$32:$BA$32, 'GEN-CARBON'!$D92:$BA92)+_xlfn.XLOOKUP(AR$134, Load!$D$32:$BA$32, Load!$D92:$BA92)+_xlfn.XLOOKUP(AR$134, Hydrogen!$D$32:$BA$32, Hydrogen!$D92:$BA92)+_xlfn.XLOOKUP(AR$134, 'SENS Tires'!$D$32:$BA$32, 'SENS Tires'!$D92:$BA92)+_xlfn.XLOOKUP(AR$134, 'SENS Coal'!$D$32:$BA$32, 'SENS Coal'!$D92:$BA92)</f>
        <v>0</v>
      </c>
      <c r="AS195" s="15">
        <f>_xlfn.XLOOKUP(AS$134, 'GEN-CCGT'!$D$32:$BA$32, 'GEN-CCGT'!$D92:$BA92)+_xlfn.XLOOKUP(AS$134, 'GEN-SOLAR'!$D$32:$BA$32, 'GEN-SOLAR'!$D92:$BA92)+_xlfn.XLOOKUP(AS$134, 'GEN-BESS'!$D$32:$BA$32, 'GEN-BESS'!$D92:$BA92)+_xlfn.XLOOKUP(AS$134, 'GEN-CARBON'!$D$32:$BA$32, 'GEN-CARBON'!$D92:$BA92)+_xlfn.XLOOKUP(AS$134, Load!$D$32:$BA$32, Load!$D92:$BA92)+_xlfn.XLOOKUP(AS$134, Hydrogen!$D$32:$BA$32, Hydrogen!$D92:$BA92)+_xlfn.XLOOKUP(AS$134, 'SENS Tires'!$D$32:$BA$32, 'SENS Tires'!$D92:$BA92)+_xlfn.XLOOKUP(AS$134, 'SENS Coal'!$D$32:$BA$32, 'SENS Coal'!$D92:$BA92)</f>
        <v>0</v>
      </c>
      <c r="AT195" s="15">
        <f>_xlfn.XLOOKUP(AT$134, 'GEN-CCGT'!$D$32:$BA$32, 'GEN-CCGT'!$D92:$BA92)+_xlfn.XLOOKUP(AT$134, 'GEN-SOLAR'!$D$32:$BA$32, 'GEN-SOLAR'!$D92:$BA92)+_xlfn.XLOOKUP(AT$134, 'GEN-BESS'!$D$32:$BA$32, 'GEN-BESS'!$D92:$BA92)+_xlfn.XLOOKUP(AT$134, 'GEN-CARBON'!$D$32:$BA$32, 'GEN-CARBON'!$D92:$BA92)+_xlfn.XLOOKUP(AT$134, Load!$D$32:$BA$32, Load!$D92:$BA92)+_xlfn.XLOOKUP(AT$134, Hydrogen!$D$32:$BA$32, Hydrogen!$D92:$BA92)+_xlfn.XLOOKUP(AT$134, 'SENS Tires'!$D$32:$BA$32, 'SENS Tires'!$D92:$BA92)+_xlfn.XLOOKUP(AT$134, 'SENS Coal'!$D$32:$BA$32, 'SENS Coal'!$D92:$BA92)</f>
        <v>0</v>
      </c>
      <c r="AU195" s="15">
        <f>_xlfn.XLOOKUP(AU$134, 'GEN-CCGT'!$D$32:$BA$32, 'GEN-CCGT'!$D92:$BA92)+_xlfn.XLOOKUP(AU$134, 'GEN-SOLAR'!$D$32:$BA$32, 'GEN-SOLAR'!$D92:$BA92)+_xlfn.XLOOKUP(AU$134, 'GEN-BESS'!$D$32:$BA$32, 'GEN-BESS'!$D92:$BA92)+_xlfn.XLOOKUP(AU$134, 'GEN-CARBON'!$D$32:$BA$32, 'GEN-CARBON'!$D92:$BA92)+_xlfn.XLOOKUP(AU$134, Load!$D$32:$BA$32, Load!$D92:$BA92)+_xlfn.XLOOKUP(AU$134, Hydrogen!$D$32:$BA$32, Hydrogen!$D92:$BA92)+_xlfn.XLOOKUP(AU$134, 'SENS Tires'!$D$32:$BA$32, 'SENS Tires'!$D92:$BA92)+_xlfn.XLOOKUP(AU$134, 'SENS Coal'!$D$32:$BA$32, 'SENS Coal'!$D92:$BA92)</f>
        <v>0</v>
      </c>
      <c r="AV195" s="15">
        <f>_xlfn.XLOOKUP(AV$134, 'GEN-CCGT'!$D$32:$BA$32, 'GEN-CCGT'!$D92:$BA92)+_xlfn.XLOOKUP(AV$134, 'GEN-SOLAR'!$D$32:$BA$32, 'GEN-SOLAR'!$D92:$BA92)+_xlfn.XLOOKUP(AV$134, 'GEN-BESS'!$D$32:$BA$32, 'GEN-BESS'!$D92:$BA92)+_xlfn.XLOOKUP(AV$134, 'GEN-CARBON'!$D$32:$BA$32, 'GEN-CARBON'!$D92:$BA92)+_xlfn.XLOOKUP(AV$134, Load!$D$32:$BA$32, Load!$D92:$BA92)+_xlfn.XLOOKUP(AV$134, Hydrogen!$D$32:$BA$32, Hydrogen!$D92:$BA92)+_xlfn.XLOOKUP(AV$134, 'SENS Tires'!$D$32:$BA$32, 'SENS Tires'!$D92:$BA92)+_xlfn.XLOOKUP(AV$134, 'SENS Coal'!$D$32:$BA$32, 'SENS Coal'!$D92:$BA92)</f>
        <v>0</v>
      </c>
      <c r="AW195" s="15">
        <f>_xlfn.XLOOKUP(AW$134, 'GEN-CCGT'!$D$32:$BA$32, 'GEN-CCGT'!$D92:$BA92)+_xlfn.XLOOKUP(AW$134, 'GEN-SOLAR'!$D$32:$BA$32, 'GEN-SOLAR'!$D92:$BA92)+_xlfn.XLOOKUP(AW$134, 'GEN-BESS'!$D$32:$BA$32, 'GEN-BESS'!$D92:$BA92)+_xlfn.XLOOKUP(AW$134, 'GEN-CARBON'!$D$32:$BA$32, 'GEN-CARBON'!$D92:$BA92)+_xlfn.XLOOKUP(AW$134, Load!$D$32:$BA$32, Load!$D92:$BA92)+_xlfn.XLOOKUP(AW$134, Hydrogen!$D$32:$BA$32, Hydrogen!$D92:$BA92)+_xlfn.XLOOKUP(AW$134, 'SENS Tires'!$D$32:$BA$32, 'SENS Tires'!$D92:$BA92)+_xlfn.XLOOKUP(AW$134, 'SENS Coal'!$D$32:$BA$32, 'SENS Coal'!$D92:$BA92)</f>
        <v>0</v>
      </c>
      <c r="AX195" s="15">
        <f>_xlfn.XLOOKUP(AX$134, 'GEN-CCGT'!$D$32:$BA$32, 'GEN-CCGT'!$D92:$BA92)+_xlfn.XLOOKUP(AX$134, 'GEN-SOLAR'!$D$32:$BA$32, 'GEN-SOLAR'!$D92:$BA92)+_xlfn.XLOOKUP(AX$134, 'GEN-BESS'!$D$32:$BA$32, 'GEN-BESS'!$D92:$BA92)+_xlfn.XLOOKUP(AX$134, 'GEN-CARBON'!$D$32:$BA$32, 'GEN-CARBON'!$D92:$BA92)+_xlfn.XLOOKUP(AX$134, Load!$D$32:$BA$32, Load!$D92:$BA92)+_xlfn.XLOOKUP(AX$134, Hydrogen!$D$32:$BA$32, Hydrogen!$D92:$BA92)+_xlfn.XLOOKUP(AX$134, 'SENS Tires'!$D$32:$BA$32, 'SENS Tires'!$D92:$BA92)+_xlfn.XLOOKUP(AX$134, 'SENS Coal'!$D$32:$BA$32, 'SENS Coal'!$D92:$BA92)</f>
        <v>0</v>
      </c>
    </row>
    <row r="196" spans="1:50" ht="14.25" customHeight="1">
      <c r="A196" s="1"/>
      <c r="B196" s="84"/>
      <c r="C196" s="1" t="s">
        <v>445</v>
      </c>
      <c r="D196" s="1"/>
      <c r="E196" s="494">
        <f t="shared" ref="E196:AX196" si="48">IFERROR(E194/E195,0)</f>
        <v>0</v>
      </c>
      <c r="F196" s="494">
        <f t="shared" si="48"/>
        <v>0</v>
      </c>
      <c r="G196" s="494">
        <f t="shared" si="48"/>
        <v>0</v>
      </c>
      <c r="H196" s="494">
        <f t="shared" si="48"/>
        <v>0</v>
      </c>
      <c r="I196" s="494">
        <f t="shared" si="48"/>
        <v>0</v>
      </c>
      <c r="J196" s="494">
        <f t="shared" si="48"/>
        <v>0</v>
      </c>
      <c r="K196" s="494">
        <f t="shared" si="48"/>
        <v>0</v>
      </c>
      <c r="L196" s="494">
        <f t="shared" si="48"/>
        <v>0</v>
      </c>
      <c r="M196" s="494">
        <f t="shared" si="48"/>
        <v>0</v>
      </c>
      <c r="N196" s="494">
        <f t="shared" si="48"/>
        <v>0</v>
      </c>
      <c r="O196" s="494">
        <f t="shared" si="48"/>
        <v>0</v>
      </c>
      <c r="P196" s="494">
        <f t="shared" si="48"/>
        <v>0</v>
      </c>
      <c r="Q196" s="494">
        <f t="shared" si="48"/>
        <v>0</v>
      </c>
      <c r="R196" s="494">
        <f t="shared" si="48"/>
        <v>0</v>
      </c>
      <c r="S196" s="494">
        <f t="shared" si="48"/>
        <v>0</v>
      </c>
      <c r="T196" s="494">
        <f t="shared" si="48"/>
        <v>0</v>
      </c>
      <c r="U196" s="494">
        <f t="shared" si="48"/>
        <v>0</v>
      </c>
      <c r="V196" s="494">
        <f t="shared" si="48"/>
        <v>0</v>
      </c>
      <c r="W196" s="494">
        <f t="shared" si="48"/>
        <v>0</v>
      </c>
      <c r="X196" s="494">
        <f t="shared" si="48"/>
        <v>0</v>
      </c>
      <c r="Y196" s="494">
        <f t="shared" si="48"/>
        <v>0</v>
      </c>
      <c r="Z196" s="494">
        <f t="shared" si="48"/>
        <v>0</v>
      </c>
      <c r="AA196" s="494">
        <f t="shared" si="48"/>
        <v>0</v>
      </c>
      <c r="AB196" s="494">
        <f t="shared" si="48"/>
        <v>0</v>
      </c>
      <c r="AC196" s="494">
        <f t="shared" si="48"/>
        <v>0</v>
      </c>
      <c r="AD196" s="494">
        <f t="shared" si="48"/>
        <v>0</v>
      </c>
      <c r="AE196" s="494">
        <f t="shared" si="48"/>
        <v>0</v>
      </c>
      <c r="AF196" s="494">
        <f t="shared" si="48"/>
        <v>0</v>
      </c>
      <c r="AG196" s="494">
        <f t="shared" si="48"/>
        <v>0</v>
      </c>
      <c r="AH196" s="494">
        <f t="shared" si="48"/>
        <v>0</v>
      </c>
      <c r="AI196" s="494">
        <f t="shared" si="48"/>
        <v>0</v>
      </c>
      <c r="AJ196" s="494">
        <f t="shared" si="48"/>
        <v>0</v>
      </c>
      <c r="AK196" s="494">
        <f t="shared" si="48"/>
        <v>0</v>
      </c>
      <c r="AL196" s="494">
        <f t="shared" si="48"/>
        <v>0</v>
      </c>
      <c r="AM196" s="494">
        <f t="shared" si="48"/>
        <v>0</v>
      </c>
      <c r="AN196" s="494">
        <f t="shared" si="48"/>
        <v>0</v>
      </c>
      <c r="AO196" s="494">
        <f t="shared" si="48"/>
        <v>0</v>
      </c>
      <c r="AP196" s="494">
        <f t="shared" si="48"/>
        <v>0</v>
      </c>
      <c r="AQ196" s="494">
        <f t="shared" si="48"/>
        <v>0</v>
      </c>
      <c r="AR196" s="494">
        <f t="shared" si="48"/>
        <v>0</v>
      </c>
      <c r="AS196" s="494">
        <f t="shared" si="48"/>
        <v>0</v>
      </c>
      <c r="AT196" s="494">
        <f t="shared" si="48"/>
        <v>0</v>
      </c>
      <c r="AU196" s="494">
        <f t="shared" si="48"/>
        <v>0</v>
      </c>
      <c r="AV196" s="494">
        <f t="shared" si="48"/>
        <v>0</v>
      </c>
      <c r="AW196" s="494">
        <f t="shared" si="48"/>
        <v>0</v>
      </c>
      <c r="AX196" s="494">
        <f t="shared" si="48"/>
        <v>0</v>
      </c>
    </row>
    <row r="197" spans="1:50" ht="14.25" customHeight="1">
      <c r="A197" s="1"/>
      <c r="B197" s="84"/>
      <c r="C197" s="2" t="s">
        <v>446</v>
      </c>
      <c r="D197" s="2"/>
      <c r="E197" s="30">
        <f t="shared" ref="E197:AX197" si="49">E194-E195</f>
        <v>-632.58611111111111</v>
      </c>
      <c r="F197" s="30">
        <f t="shared" si="49"/>
        <v>-9.639956871736473</v>
      </c>
      <c r="G197" s="30">
        <f t="shared" si="49"/>
        <v>181.52150240487211</v>
      </c>
      <c r="H197" s="30">
        <f t="shared" si="49"/>
        <v>234.6666864358175</v>
      </c>
      <c r="I197" s="30">
        <f t="shared" si="49"/>
        <v>375.23966713017211</v>
      </c>
      <c r="J197" s="30">
        <f t="shared" si="49"/>
        <v>411.89394270896736</v>
      </c>
      <c r="K197" s="30">
        <f t="shared" si="49"/>
        <v>419.65461784970142</v>
      </c>
      <c r="L197" s="30">
        <f t="shared" si="49"/>
        <v>427.58009190805689</v>
      </c>
      <c r="M197" s="30">
        <f t="shared" si="49"/>
        <v>435.67401789988565</v>
      </c>
      <c r="N197" s="30">
        <f t="shared" si="49"/>
        <v>443.94013360684738</v>
      </c>
      <c r="O197" s="30">
        <f t="shared" si="49"/>
        <v>452.38226363914987</v>
      </c>
      <c r="P197" s="30">
        <f t="shared" si="49"/>
        <v>461.0043215508295</v>
      </c>
      <c r="Q197" s="30">
        <f t="shared" si="49"/>
        <v>469.81031200896717</v>
      </c>
      <c r="R197" s="30">
        <f t="shared" si="49"/>
        <v>478.80433301827321</v>
      </c>
      <c r="S197" s="30">
        <f t="shared" si="49"/>
        <v>487.99057820250999</v>
      </c>
      <c r="T197" s="30">
        <f t="shared" si="49"/>
        <v>497.37333914426534</v>
      </c>
      <c r="U197" s="30">
        <f t="shared" si="49"/>
        <v>506.95700778463168</v>
      </c>
      <c r="V197" s="30">
        <f t="shared" si="49"/>
        <v>516.74607888438288</v>
      </c>
      <c r="W197" s="30">
        <f t="shared" si="49"/>
        <v>526.74515254829305</v>
      </c>
      <c r="X197" s="30">
        <f t="shared" si="49"/>
        <v>536.95893681428026</v>
      </c>
      <c r="Y197" s="30">
        <f t="shared" si="49"/>
        <v>547.39225030910825</v>
      </c>
      <c r="Z197" s="30">
        <f t="shared" si="49"/>
        <v>558.05002497242242</v>
      </c>
      <c r="AA197" s="30">
        <f t="shared" si="49"/>
        <v>568.93730885095329</v>
      </c>
      <c r="AB197" s="30">
        <f t="shared" si="49"/>
        <v>580.05926896476251</v>
      </c>
      <c r="AC197" s="30">
        <f t="shared" si="49"/>
        <v>591.42119424746522</v>
      </c>
      <c r="AD197" s="30">
        <f t="shared" si="49"/>
        <v>603.02849856241062</v>
      </c>
      <c r="AE197" s="30">
        <f t="shared" si="49"/>
        <v>614.88672379686341</v>
      </c>
      <c r="AF197" s="30">
        <f t="shared" si="49"/>
        <v>113.9502816884149</v>
      </c>
      <c r="AG197" s="30">
        <f t="shared" si="49"/>
        <v>115.54509503900958</v>
      </c>
      <c r="AH197" s="30">
        <f t="shared" si="49"/>
        <v>74.732332271660937</v>
      </c>
      <c r="AI197" s="30">
        <f t="shared" si="49"/>
        <v>-2.3219929889830952E-6</v>
      </c>
      <c r="AJ197" s="30">
        <f t="shared" si="49"/>
        <v>-2.3916527786525884E-6</v>
      </c>
      <c r="AK197" s="30">
        <f t="shared" si="49"/>
        <v>-2.4634023620121658E-6</v>
      </c>
      <c r="AL197" s="30">
        <f t="shared" si="49"/>
        <v>-2.537304432872531E-6</v>
      </c>
      <c r="AM197" s="30">
        <f t="shared" si="49"/>
        <v>-2.6134235658587073E-6</v>
      </c>
      <c r="AN197" s="30">
        <f t="shared" si="49"/>
        <v>-2.6918262728344683E-6</v>
      </c>
      <c r="AO197" s="30">
        <f t="shared" si="49"/>
        <v>-2.7725810610195027E-6</v>
      </c>
      <c r="AP197" s="30">
        <f t="shared" si="49"/>
        <v>-2.8557584928500874E-6</v>
      </c>
      <c r="AQ197" s="30">
        <f t="shared" si="49"/>
        <v>-2.9414312476355905E-6</v>
      </c>
      <c r="AR197" s="30">
        <f t="shared" si="49"/>
        <v>-3.0296741850646581E-6</v>
      </c>
      <c r="AS197" s="30">
        <f t="shared" si="49"/>
        <v>-3.1205644106165973E-6</v>
      </c>
      <c r="AT197" s="30">
        <f t="shared" si="49"/>
        <v>-3.2141813429350959E-6</v>
      </c>
      <c r="AU197" s="30">
        <f t="shared" si="49"/>
        <v>-3.310606783223149E-6</v>
      </c>
      <c r="AV197" s="30">
        <f t="shared" si="49"/>
        <v>-3.4099249867198433E-6</v>
      </c>
      <c r="AW197" s="30">
        <f t="shared" si="49"/>
        <v>-3.5122227363214387E-6</v>
      </c>
      <c r="AX197" s="30">
        <f t="shared" si="49"/>
        <v>-3.6175894184110823E-6</v>
      </c>
    </row>
    <row r="198" spans="1:50" ht="14.25" customHeight="1">
      <c r="A198" s="1"/>
      <c r="B198" s="84"/>
      <c r="C198" s="1"/>
      <c r="D198" s="1"/>
      <c r="E198" s="1">
        <f>_xlfn.XLOOKUP(E$134, 'GEN-CCGT'!$D$32:$BA$32, 'GEN-CCGT'!$D95:$BA95)+_xlfn.XLOOKUP(E$134, 'GEN-SOLAR'!$D$32:$BA$32, 'GEN-SOLAR'!$D95:$BA95)+_xlfn.XLOOKUP(E$134, 'GEN-BESS'!$D$32:$BA$32, 'GEN-BESS'!$D95:$BA95)+_xlfn.XLOOKUP(E$134, 'GEN-CARBON'!$D$32:$BA$32, 'GEN-CARBON'!$D95:$BA95)+_xlfn.XLOOKUP(E$134, Load!$D$32:$BA$32, Load!$D95:$BA95)+_xlfn.XLOOKUP(E$134, Hydrogen!$D$32:$BA$32, Hydrogen!$D95:$BA95)+_xlfn.XLOOKUP(E$134, 'SENS Tires'!$D$32:$BA$32, 'SENS Tires'!$D95:$BA95)+_xlfn.XLOOKUP(E$134, 'SENS Coal'!$D$32:$BA$32, 'SENS Coal'!$D95:$BA95)</f>
        <v>0</v>
      </c>
      <c r="F198" s="1">
        <f>_xlfn.XLOOKUP(F$134, 'GEN-CCGT'!$D$32:$BA$32, 'GEN-CCGT'!$D95:$BA95)+_xlfn.XLOOKUP(F$134, 'GEN-SOLAR'!$D$32:$BA$32, 'GEN-SOLAR'!$D95:$BA95)+_xlfn.XLOOKUP(F$134, 'GEN-BESS'!$D$32:$BA$32, 'GEN-BESS'!$D95:$BA95)+_xlfn.XLOOKUP(F$134, 'GEN-CARBON'!$D$32:$BA$32, 'GEN-CARBON'!$D95:$BA95)+_xlfn.XLOOKUP(F$134, Load!$D$32:$BA$32, Load!$D95:$BA95)+_xlfn.XLOOKUP(F$134, Hydrogen!$D$32:$BA$32, Hydrogen!$D95:$BA95)+_xlfn.XLOOKUP(F$134, 'SENS Tires'!$D$32:$BA$32, 'SENS Tires'!$D95:$BA95)+_xlfn.XLOOKUP(F$134, 'SENS Coal'!$D$32:$BA$32, 'SENS Coal'!$D95:$BA95)</f>
        <v>0</v>
      </c>
      <c r="G198" s="1">
        <f>_xlfn.XLOOKUP(G$134, 'GEN-CCGT'!$D$32:$BA$32, 'GEN-CCGT'!$D95:$BA95)+_xlfn.XLOOKUP(G$134, 'GEN-SOLAR'!$D$32:$BA$32, 'GEN-SOLAR'!$D95:$BA95)+_xlfn.XLOOKUP(G$134, 'GEN-BESS'!$D$32:$BA$32, 'GEN-BESS'!$D95:$BA95)+_xlfn.XLOOKUP(G$134, 'GEN-CARBON'!$D$32:$BA$32, 'GEN-CARBON'!$D95:$BA95)+_xlfn.XLOOKUP(G$134, Load!$D$32:$BA$32, Load!$D95:$BA95)+_xlfn.XLOOKUP(G$134, Hydrogen!$D$32:$BA$32, Hydrogen!$D95:$BA95)+_xlfn.XLOOKUP(G$134, 'SENS Tires'!$D$32:$BA$32, 'SENS Tires'!$D95:$BA95)+_xlfn.XLOOKUP(G$134, 'SENS Coal'!$D$32:$BA$32, 'SENS Coal'!$D95:$BA95)</f>
        <v>0</v>
      </c>
      <c r="H198" s="1">
        <f>_xlfn.XLOOKUP(H$134, 'GEN-CCGT'!$D$32:$BA$32, 'GEN-CCGT'!$D95:$BA95)+_xlfn.XLOOKUP(H$134, 'GEN-SOLAR'!$D$32:$BA$32, 'GEN-SOLAR'!$D95:$BA95)+_xlfn.XLOOKUP(H$134, 'GEN-BESS'!$D$32:$BA$32, 'GEN-BESS'!$D95:$BA95)+_xlfn.XLOOKUP(H$134, 'GEN-CARBON'!$D$32:$BA$32, 'GEN-CARBON'!$D95:$BA95)+_xlfn.XLOOKUP(H$134, Load!$D$32:$BA$32, Load!$D95:$BA95)+_xlfn.XLOOKUP(H$134, Hydrogen!$D$32:$BA$32, Hydrogen!$D95:$BA95)+_xlfn.XLOOKUP(H$134, 'SENS Tires'!$D$32:$BA$32, 'SENS Tires'!$D95:$BA95)+_xlfn.XLOOKUP(H$134, 'SENS Coal'!$D$32:$BA$32, 'SENS Coal'!$D95:$BA95)</f>
        <v>0</v>
      </c>
      <c r="I198" s="1">
        <f>_xlfn.XLOOKUP(I$134, 'GEN-CCGT'!$D$32:$BA$32, 'GEN-CCGT'!$D95:$BA95)+_xlfn.XLOOKUP(I$134, 'GEN-SOLAR'!$D$32:$BA$32, 'GEN-SOLAR'!$D95:$BA95)+_xlfn.XLOOKUP(I$134, 'GEN-BESS'!$D$32:$BA$32, 'GEN-BESS'!$D95:$BA95)+_xlfn.XLOOKUP(I$134, 'GEN-CARBON'!$D$32:$BA$32, 'GEN-CARBON'!$D95:$BA95)+_xlfn.XLOOKUP(I$134, Load!$D$32:$BA$32, Load!$D95:$BA95)+_xlfn.XLOOKUP(I$134, Hydrogen!$D$32:$BA$32, Hydrogen!$D95:$BA95)+_xlfn.XLOOKUP(I$134, 'SENS Tires'!$D$32:$BA$32, 'SENS Tires'!$D95:$BA95)+_xlfn.XLOOKUP(I$134, 'SENS Coal'!$D$32:$BA$32, 'SENS Coal'!$D95:$BA95)</f>
        <v>0</v>
      </c>
      <c r="J198" s="1">
        <f>_xlfn.XLOOKUP(J$134, 'GEN-CCGT'!$D$32:$BA$32, 'GEN-CCGT'!$D95:$BA95)+_xlfn.XLOOKUP(J$134, 'GEN-SOLAR'!$D$32:$BA$32, 'GEN-SOLAR'!$D95:$BA95)+_xlfn.XLOOKUP(J$134, 'GEN-BESS'!$D$32:$BA$32, 'GEN-BESS'!$D95:$BA95)+_xlfn.XLOOKUP(J$134, 'GEN-CARBON'!$D$32:$BA$32, 'GEN-CARBON'!$D95:$BA95)+_xlfn.XLOOKUP(J$134, Load!$D$32:$BA$32, Load!$D95:$BA95)+_xlfn.XLOOKUP(J$134, Hydrogen!$D$32:$BA$32, Hydrogen!$D95:$BA95)+_xlfn.XLOOKUP(J$134, 'SENS Tires'!$D$32:$BA$32, 'SENS Tires'!$D95:$BA95)+_xlfn.XLOOKUP(J$134, 'SENS Coal'!$D$32:$BA$32, 'SENS Coal'!$D95:$BA95)</f>
        <v>0</v>
      </c>
      <c r="K198" s="1">
        <f>_xlfn.XLOOKUP(K$134, 'GEN-CCGT'!$D$32:$BA$32, 'GEN-CCGT'!$D95:$BA95)+_xlfn.XLOOKUP(K$134, 'GEN-SOLAR'!$D$32:$BA$32, 'GEN-SOLAR'!$D95:$BA95)+_xlfn.XLOOKUP(K$134, 'GEN-BESS'!$D$32:$BA$32, 'GEN-BESS'!$D95:$BA95)+_xlfn.XLOOKUP(K$134, 'GEN-CARBON'!$D$32:$BA$32, 'GEN-CARBON'!$D95:$BA95)+_xlfn.XLOOKUP(K$134, Load!$D$32:$BA$32, Load!$D95:$BA95)+_xlfn.XLOOKUP(K$134, Hydrogen!$D$32:$BA$32, Hydrogen!$D95:$BA95)+_xlfn.XLOOKUP(K$134, 'SENS Tires'!$D$32:$BA$32, 'SENS Tires'!$D95:$BA95)+_xlfn.XLOOKUP(K$134, 'SENS Coal'!$D$32:$BA$32, 'SENS Coal'!$D95:$BA95)</f>
        <v>0</v>
      </c>
      <c r="L198" s="1">
        <f>_xlfn.XLOOKUP(L$134, 'GEN-CCGT'!$D$32:$BA$32, 'GEN-CCGT'!$D95:$BA95)+_xlfn.XLOOKUP(L$134, 'GEN-SOLAR'!$D$32:$BA$32, 'GEN-SOLAR'!$D95:$BA95)+_xlfn.XLOOKUP(L$134, 'GEN-BESS'!$D$32:$BA$32, 'GEN-BESS'!$D95:$BA95)+_xlfn.XLOOKUP(L$134, 'GEN-CARBON'!$D$32:$BA$32, 'GEN-CARBON'!$D95:$BA95)+_xlfn.XLOOKUP(L$134, Load!$D$32:$BA$32, Load!$D95:$BA95)+_xlfn.XLOOKUP(L$134, Hydrogen!$D$32:$BA$32, Hydrogen!$D95:$BA95)+_xlfn.XLOOKUP(L$134, 'SENS Tires'!$D$32:$BA$32, 'SENS Tires'!$D95:$BA95)+_xlfn.XLOOKUP(L$134, 'SENS Coal'!$D$32:$BA$32, 'SENS Coal'!$D95:$BA95)</f>
        <v>0</v>
      </c>
      <c r="M198" s="1">
        <f>_xlfn.XLOOKUP(M$134, 'GEN-CCGT'!$D$32:$BA$32, 'GEN-CCGT'!$D95:$BA95)+_xlfn.XLOOKUP(M$134, 'GEN-SOLAR'!$D$32:$BA$32, 'GEN-SOLAR'!$D95:$BA95)+_xlfn.XLOOKUP(M$134, 'GEN-BESS'!$D$32:$BA$32, 'GEN-BESS'!$D95:$BA95)+_xlfn.XLOOKUP(M$134, 'GEN-CARBON'!$D$32:$BA$32, 'GEN-CARBON'!$D95:$BA95)+_xlfn.XLOOKUP(M$134, Load!$D$32:$BA$32, Load!$D95:$BA95)+_xlfn.XLOOKUP(M$134, Hydrogen!$D$32:$BA$32, Hydrogen!$D95:$BA95)+_xlfn.XLOOKUP(M$134, 'SENS Tires'!$D$32:$BA$32, 'SENS Tires'!$D95:$BA95)+_xlfn.XLOOKUP(M$134, 'SENS Coal'!$D$32:$BA$32, 'SENS Coal'!$D95:$BA95)</f>
        <v>0</v>
      </c>
      <c r="N198" s="1">
        <f>_xlfn.XLOOKUP(N$134, 'GEN-CCGT'!$D$32:$BA$32, 'GEN-CCGT'!$D95:$BA95)+_xlfn.XLOOKUP(N$134, 'GEN-SOLAR'!$D$32:$BA$32, 'GEN-SOLAR'!$D95:$BA95)+_xlfn.XLOOKUP(N$134, 'GEN-BESS'!$D$32:$BA$32, 'GEN-BESS'!$D95:$BA95)+_xlfn.XLOOKUP(N$134, 'GEN-CARBON'!$D$32:$BA$32, 'GEN-CARBON'!$D95:$BA95)+_xlfn.XLOOKUP(N$134, Load!$D$32:$BA$32, Load!$D95:$BA95)+_xlfn.XLOOKUP(N$134, Hydrogen!$D$32:$BA$32, Hydrogen!$D95:$BA95)+_xlfn.XLOOKUP(N$134, 'SENS Tires'!$D$32:$BA$32, 'SENS Tires'!$D95:$BA95)+_xlfn.XLOOKUP(N$134, 'SENS Coal'!$D$32:$BA$32, 'SENS Coal'!$D95:$BA95)</f>
        <v>0</v>
      </c>
      <c r="O198" s="1">
        <f>_xlfn.XLOOKUP(O$134, 'GEN-CCGT'!$D$32:$BA$32, 'GEN-CCGT'!$D95:$BA95)+_xlfn.XLOOKUP(O$134, 'GEN-SOLAR'!$D$32:$BA$32, 'GEN-SOLAR'!$D95:$BA95)+_xlfn.XLOOKUP(O$134, 'GEN-BESS'!$D$32:$BA$32, 'GEN-BESS'!$D95:$BA95)+_xlfn.XLOOKUP(O$134, 'GEN-CARBON'!$D$32:$BA$32, 'GEN-CARBON'!$D95:$BA95)+_xlfn.XLOOKUP(O$134, Load!$D$32:$BA$32, Load!$D95:$BA95)+_xlfn.XLOOKUP(O$134, Hydrogen!$D$32:$BA$32, Hydrogen!$D95:$BA95)+_xlfn.XLOOKUP(O$134, 'SENS Tires'!$D$32:$BA$32, 'SENS Tires'!$D95:$BA95)+_xlfn.XLOOKUP(O$134, 'SENS Coal'!$D$32:$BA$32, 'SENS Coal'!$D95:$BA95)</f>
        <v>0</v>
      </c>
      <c r="P198" s="1">
        <f>_xlfn.XLOOKUP(P$134, 'GEN-CCGT'!$D$32:$BA$32, 'GEN-CCGT'!$D95:$BA95)+_xlfn.XLOOKUP(P$134, 'GEN-SOLAR'!$D$32:$BA$32, 'GEN-SOLAR'!$D95:$BA95)+_xlfn.XLOOKUP(P$134, 'GEN-BESS'!$D$32:$BA$32, 'GEN-BESS'!$D95:$BA95)+_xlfn.XLOOKUP(P$134, 'GEN-CARBON'!$D$32:$BA$32, 'GEN-CARBON'!$D95:$BA95)+_xlfn.XLOOKUP(P$134, Load!$D$32:$BA$32, Load!$D95:$BA95)+_xlfn.XLOOKUP(P$134, Hydrogen!$D$32:$BA$32, Hydrogen!$D95:$BA95)+_xlfn.XLOOKUP(P$134, 'SENS Tires'!$D$32:$BA$32, 'SENS Tires'!$D95:$BA95)+_xlfn.XLOOKUP(P$134, 'SENS Coal'!$D$32:$BA$32, 'SENS Coal'!$D95:$BA95)</f>
        <v>0</v>
      </c>
      <c r="Q198" s="1">
        <f>_xlfn.XLOOKUP(Q$134, 'GEN-CCGT'!$D$32:$BA$32, 'GEN-CCGT'!$D95:$BA95)+_xlfn.XLOOKUP(Q$134, 'GEN-SOLAR'!$D$32:$BA$32, 'GEN-SOLAR'!$D95:$BA95)+_xlfn.XLOOKUP(Q$134, 'GEN-BESS'!$D$32:$BA$32, 'GEN-BESS'!$D95:$BA95)+_xlfn.XLOOKUP(Q$134, 'GEN-CARBON'!$D$32:$BA$32, 'GEN-CARBON'!$D95:$BA95)+_xlfn.XLOOKUP(Q$134, Load!$D$32:$BA$32, Load!$D95:$BA95)+_xlfn.XLOOKUP(Q$134, Hydrogen!$D$32:$BA$32, Hydrogen!$D95:$BA95)+_xlfn.XLOOKUP(Q$134, 'SENS Tires'!$D$32:$BA$32, 'SENS Tires'!$D95:$BA95)+_xlfn.XLOOKUP(Q$134, 'SENS Coal'!$D$32:$BA$32, 'SENS Coal'!$D95:$BA95)</f>
        <v>0</v>
      </c>
      <c r="R198" s="1">
        <f>_xlfn.XLOOKUP(R$134, 'GEN-CCGT'!$D$32:$BA$32, 'GEN-CCGT'!$D95:$BA95)+_xlfn.XLOOKUP(R$134, 'GEN-SOLAR'!$D$32:$BA$32, 'GEN-SOLAR'!$D95:$BA95)+_xlfn.XLOOKUP(R$134, 'GEN-BESS'!$D$32:$BA$32, 'GEN-BESS'!$D95:$BA95)+_xlfn.XLOOKUP(R$134, 'GEN-CARBON'!$D$32:$BA$32, 'GEN-CARBON'!$D95:$BA95)+_xlfn.XLOOKUP(R$134, Load!$D$32:$BA$32, Load!$D95:$BA95)+_xlfn.XLOOKUP(R$134, Hydrogen!$D$32:$BA$32, Hydrogen!$D95:$BA95)+_xlfn.XLOOKUP(R$134, 'SENS Tires'!$D$32:$BA$32, 'SENS Tires'!$D95:$BA95)+_xlfn.XLOOKUP(R$134, 'SENS Coal'!$D$32:$BA$32, 'SENS Coal'!$D95:$BA95)</f>
        <v>0</v>
      </c>
      <c r="S198" s="1">
        <f>_xlfn.XLOOKUP(S$134, 'GEN-CCGT'!$D$32:$BA$32, 'GEN-CCGT'!$D95:$BA95)+_xlfn.XLOOKUP(S$134, 'GEN-SOLAR'!$D$32:$BA$32, 'GEN-SOLAR'!$D95:$BA95)+_xlfn.XLOOKUP(S$134, 'GEN-BESS'!$D$32:$BA$32, 'GEN-BESS'!$D95:$BA95)+_xlfn.XLOOKUP(S$134, 'GEN-CARBON'!$D$32:$BA$32, 'GEN-CARBON'!$D95:$BA95)+_xlfn.XLOOKUP(S$134, Load!$D$32:$BA$32, Load!$D95:$BA95)+_xlfn.XLOOKUP(S$134, Hydrogen!$D$32:$BA$32, Hydrogen!$D95:$BA95)+_xlfn.XLOOKUP(S$134, 'SENS Tires'!$D$32:$BA$32, 'SENS Tires'!$D95:$BA95)+_xlfn.XLOOKUP(S$134, 'SENS Coal'!$D$32:$BA$32, 'SENS Coal'!$D95:$BA95)</f>
        <v>0</v>
      </c>
      <c r="T198" s="1">
        <f>_xlfn.XLOOKUP(T$134, 'GEN-CCGT'!$D$32:$BA$32, 'GEN-CCGT'!$D95:$BA95)+_xlfn.XLOOKUP(T$134, 'GEN-SOLAR'!$D$32:$BA$32, 'GEN-SOLAR'!$D95:$BA95)+_xlfn.XLOOKUP(T$134, 'GEN-BESS'!$D$32:$BA$32, 'GEN-BESS'!$D95:$BA95)+_xlfn.XLOOKUP(T$134, 'GEN-CARBON'!$D$32:$BA$32, 'GEN-CARBON'!$D95:$BA95)+_xlfn.XLOOKUP(T$134, Load!$D$32:$BA$32, Load!$D95:$BA95)+_xlfn.XLOOKUP(T$134, Hydrogen!$D$32:$BA$32, Hydrogen!$D95:$BA95)+_xlfn.XLOOKUP(T$134, 'SENS Tires'!$D$32:$BA$32, 'SENS Tires'!$D95:$BA95)+_xlfn.XLOOKUP(T$134, 'SENS Coal'!$D$32:$BA$32, 'SENS Coal'!$D95:$BA95)</f>
        <v>0</v>
      </c>
      <c r="U198" s="1">
        <f>_xlfn.XLOOKUP(U$134, 'GEN-CCGT'!$D$32:$BA$32, 'GEN-CCGT'!$D95:$BA95)+_xlfn.XLOOKUP(U$134, 'GEN-SOLAR'!$D$32:$BA$32, 'GEN-SOLAR'!$D95:$BA95)+_xlfn.XLOOKUP(U$134, 'GEN-BESS'!$D$32:$BA$32, 'GEN-BESS'!$D95:$BA95)+_xlfn.XLOOKUP(U$134, 'GEN-CARBON'!$D$32:$BA$32, 'GEN-CARBON'!$D95:$BA95)+_xlfn.XLOOKUP(U$134, Load!$D$32:$BA$32, Load!$D95:$BA95)+_xlfn.XLOOKUP(U$134, Hydrogen!$D$32:$BA$32, Hydrogen!$D95:$BA95)+_xlfn.XLOOKUP(U$134, 'SENS Tires'!$D$32:$BA$32, 'SENS Tires'!$D95:$BA95)+_xlfn.XLOOKUP(U$134, 'SENS Coal'!$D$32:$BA$32, 'SENS Coal'!$D95:$BA95)</f>
        <v>0</v>
      </c>
      <c r="V198" s="1">
        <f>_xlfn.XLOOKUP(V$134, 'GEN-CCGT'!$D$32:$BA$32, 'GEN-CCGT'!$D95:$BA95)+_xlfn.XLOOKUP(V$134, 'GEN-SOLAR'!$D$32:$BA$32, 'GEN-SOLAR'!$D95:$BA95)+_xlfn.XLOOKUP(V$134, 'GEN-BESS'!$D$32:$BA$32, 'GEN-BESS'!$D95:$BA95)+_xlfn.XLOOKUP(V$134, 'GEN-CARBON'!$D$32:$BA$32, 'GEN-CARBON'!$D95:$BA95)+_xlfn.XLOOKUP(V$134, Load!$D$32:$BA$32, Load!$D95:$BA95)+_xlfn.XLOOKUP(V$134, Hydrogen!$D$32:$BA$32, Hydrogen!$D95:$BA95)+_xlfn.XLOOKUP(V$134, 'SENS Tires'!$D$32:$BA$32, 'SENS Tires'!$D95:$BA95)+_xlfn.XLOOKUP(V$134, 'SENS Coal'!$D$32:$BA$32, 'SENS Coal'!$D95:$BA95)</f>
        <v>0</v>
      </c>
      <c r="W198" s="1">
        <f>_xlfn.XLOOKUP(W$134, 'GEN-CCGT'!$D$32:$BA$32, 'GEN-CCGT'!$D95:$BA95)+_xlfn.XLOOKUP(W$134, 'GEN-SOLAR'!$D$32:$BA$32, 'GEN-SOLAR'!$D95:$BA95)+_xlfn.XLOOKUP(W$134, 'GEN-BESS'!$D$32:$BA$32, 'GEN-BESS'!$D95:$BA95)+_xlfn.XLOOKUP(W$134, 'GEN-CARBON'!$D$32:$BA$32, 'GEN-CARBON'!$D95:$BA95)+_xlfn.XLOOKUP(W$134, Load!$D$32:$BA$32, Load!$D95:$BA95)+_xlfn.XLOOKUP(W$134, Hydrogen!$D$32:$BA$32, Hydrogen!$D95:$BA95)+_xlfn.XLOOKUP(W$134, 'SENS Tires'!$D$32:$BA$32, 'SENS Tires'!$D95:$BA95)+_xlfn.XLOOKUP(W$134, 'SENS Coal'!$D$32:$BA$32, 'SENS Coal'!$D95:$BA95)</f>
        <v>0</v>
      </c>
      <c r="X198" s="1">
        <f>_xlfn.XLOOKUP(X$134, 'GEN-CCGT'!$D$32:$BA$32, 'GEN-CCGT'!$D95:$BA95)+_xlfn.XLOOKUP(X$134, 'GEN-SOLAR'!$D$32:$BA$32, 'GEN-SOLAR'!$D95:$BA95)+_xlfn.XLOOKUP(X$134, 'GEN-BESS'!$D$32:$BA$32, 'GEN-BESS'!$D95:$BA95)+_xlfn.XLOOKUP(X$134, 'GEN-CARBON'!$D$32:$BA$32, 'GEN-CARBON'!$D95:$BA95)+_xlfn.XLOOKUP(X$134, Load!$D$32:$BA$32, Load!$D95:$BA95)+_xlfn.XLOOKUP(X$134, Hydrogen!$D$32:$BA$32, Hydrogen!$D95:$BA95)+_xlfn.XLOOKUP(X$134, 'SENS Tires'!$D$32:$BA$32, 'SENS Tires'!$D95:$BA95)+_xlfn.XLOOKUP(X$134, 'SENS Coal'!$D$32:$BA$32, 'SENS Coal'!$D95:$BA95)</f>
        <v>0</v>
      </c>
      <c r="Y198" s="1">
        <f>_xlfn.XLOOKUP(Y$134, 'GEN-CCGT'!$D$32:$BA$32, 'GEN-CCGT'!$D95:$BA95)+_xlfn.XLOOKUP(Y$134, 'GEN-SOLAR'!$D$32:$BA$32, 'GEN-SOLAR'!$D95:$BA95)+_xlfn.XLOOKUP(Y$134, 'GEN-BESS'!$D$32:$BA$32, 'GEN-BESS'!$D95:$BA95)+_xlfn.XLOOKUP(Y$134, 'GEN-CARBON'!$D$32:$BA$32, 'GEN-CARBON'!$D95:$BA95)+_xlfn.XLOOKUP(Y$134, Load!$D$32:$BA$32, Load!$D95:$BA95)+_xlfn.XLOOKUP(Y$134, Hydrogen!$D$32:$BA$32, Hydrogen!$D95:$BA95)+_xlfn.XLOOKUP(Y$134, 'SENS Tires'!$D$32:$BA$32, 'SENS Tires'!$D95:$BA95)+_xlfn.XLOOKUP(Y$134, 'SENS Coal'!$D$32:$BA$32, 'SENS Coal'!$D95:$BA95)</f>
        <v>0</v>
      </c>
      <c r="Z198" s="1">
        <f>_xlfn.XLOOKUP(Z$134, 'GEN-CCGT'!$D$32:$BA$32, 'GEN-CCGT'!$D95:$BA95)+_xlfn.XLOOKUP(Z$134, 'GEN-SOLAR'!$D$32:$BA$32, 'GEN-SOLAR'!$D95:$BA95)+_xlfn.XLOOKUP(Z$134, 'GEN-BESS'!$D$32:$BA$32, 'GEN-BESS'!$D95:$BA95)+_xlfn.XLOOKUP(Z$134, 'GEN-CARBON'!$D$32:$BA$32, 'GEN-CARBON'!$D95:$BA95)+_xlfn.XLOOKUP(Z$134, Load!$D$32:$BA$32, Load!$D95:$BA95)+_xlfn.XLOOKUP(Z$134, Hydrogen!$D$32:$BA$32, Hydrogen!$D95:$BA95)+_xlfn.XLOOKUP(Z$134, 'SENS Tires'!$D$32:$BA$32, 'SENS Tires'!$D95:$BA95)+_xlfn.XLOOKUP(Z$134, 'SENS Coal'!$D$32:$BA$32, 'SENS Coal'!$D95:$BA95)</f>
        <v>0</v>
      </c>
      <c r="AA198" s="1">
        <f>_xlfn.XLOOKUP(AA$134, 'GEN-CCGT'!$D$32:$BA$32, 'GEN-CCGT'!$D95:$BA95)+_xlfn.XLOOKUP(AA$134, 'GEN-SOLAR'!$D$32:$BA$32, 'GEN-SOLAR'!$D95:$BA95)+_xlfn.XLOOKUP(AA$134, 'GEN-BESS'!$D$32:$BA$32, 'GEN-BESS'!$D95:$BA95)+_xlfn.XLOOKUP(AA$134, 'GEN-CARBON'!$D$32:$BA$32, 'GEN-CARBON'!$D95:$BA95)+_xlfn.XLOOKUP(AA$134, Load!$D$32:$BA$32, Load!$D95:$BA95)+_xlfn.XLOOKUP(AA$134, Hydrogen!$D$32:$BA$32, Hydrogen!$D95:$BA95)+_xlfn.XLOOKUP(AA$134, 'SENS Tires'!$D$32:$BA$32, 'SENS Tires'!$D95:$BA95)+_xlfn.XLOOKUP(AA$134, 'SENS Coal'!$D$32:$BA$32, 'SENS Coal'!$D95:$BA95)</f>
        <v>0</v>
      </c>
      <c r="AB198" s="1">
        <f>_xlfn.XLOOKUP(AB$134, 'GEN-CCGT'!$D$32:$BA$32, 'GEN-CCGT'!$D95:$BA95)+_xlfn.XLOOKUP(AB$134, 'GEN-SOLAR'!$D$32:$BA$32, 'GEN-SOLAR'!$D95:$BA95)+_xlfn.XLOOKUP(AB$134, 'GEN-BESS'!$D$32:$BA$32, 'GEN-BESS'!$D95:$BA95)+_xlfn.XLOOKUP(AB$134, 'GEN-CARBON'!$D$32:$BA$32, 'GEN-CARBON'!$D95:$BA95)+_xlfn.XLOOKUP(AB$134, Load!$D$32:$BA$32, Load!$D95:$BA95)+_xlfn.XLOOKUP(AB$134, Hydrogen!$D$32:$BA$32, Hydrogen!$D95:$BA95)+_xlfn.XLOOKUP(AB$134, 'SENS Tires'!$D$32:$BA$32, 'SENS Tires'!$D95:$BA95)+_xlfn.XLOOKUP(AB$134, 'SENS Coal'!$D$32:$BA$32, 'SENS Coal'!$D95:$BA95)</f>
        <v>0</v>
      </c>
      <c r="AC198" s="1">
        <f>_xlfn.XLOOKUP(AC$134, 'GEN-CCGT'!$D$32:$BA$32, 'GEN-CCGT'!$D95:$BA95)+_xlfn.XLOOKUP(AC$134, 'GEN-SOLAR'!$D$32:$BA$32, 'GEN-SOLAR'!$D95:$BA95)+_xlfn.XLOOKUP(AC$134, 'GEN-BESS'!$D$32:$BA$32, 'GEN-BESS'!$D95:$BA95)+_xlfn.XLOOKUP(AC$134, 'GEN-CARBON'!$D$32:$BA$32, 'GEN-CARBON'!$D95:$BA95)+_xlfn.XLOOKUP(AC$134, Load!$D$32:$BA$32, Load!$D95:$BA95)+_xlfn.XLOOKUP(AC$134, Hydrogen!$D$32:$BA$32, Hydrogen!$D95:$BA95)+_xlfn.XLOOKUP(AC$134, 'SENS Tires'!$D$32:$BA$32, 'SENS Tires'!$D95:$BA95)+_xlfn.XLOOKUP(AC$134, 'SENS Coal'!$D$32:$BA$32, 'SENS Coal'!$D95:$BA95)</f>
        <v>0</v>
      </c>
      <c r="AD198" s="1">
        <f>_xlfn.XLOOKUP(AD$134, 'GEN-CCGT'!$D$32:$BA$32, 'GEN-CCGT'!$D95:$BA95)+_xlfn.XLOOKUP(AD$134, 'GEN-SOLAR'!$D$32:$BA$32, 'GEN-SOLAR'!$D95:$BA95)+_xlfn.XLOOKUP(AD$134, 'GEN-BESS'!$D$32:$BA$32, 'GEN-BESS'!$D95:$BA95)+_xlfn.XLOOKUP(AD$134, 'GEN-CARBON'!$D$32:$BA$32, 'GEN-CARBON'!$D95:$BA95)+_xlfn.XLOOKUP(AD$134, Load!$D$32:$BA$32, Load!$D95:$BA95)+_xlfn.XLOOKUP(AD$134, Hydrogen!$D$32:$BA$32, Hydrogen!$D95:$BA95)+_xlfn.XLOOKUP(AD$134, 'SENS Tires'!$D$32:$BA$32, 'SENS Tires'!$D95:$BA95)+_xlfn.XLOOKUP(AD$134, 'SENS Coal'!$D$32:$BA$32, 'SENS Coal'!$D95:$BA95)</f>
        <v>0</v>
      </c>
      <c r="AE198" s="1">
        <f>_xlfn.XLOOKUP(AE$134, 'GEN-CCGT'!$D$32:$BA$32, 'GEN-CCGT'!$D95:$BA95)+_xlfn.XLOOKUP(AE$134, 'GEN-SOLAR'!$D$32:$BA$32, 'GEN-SOLAR'!$D95:$BA95)+_xlfn.XLOOKUP(AE$134, 'GEN-BESS'!$D$32:$BA$32, 'GEN-BESS'!$D95:$BA95)+_xlfn.XLOOKUP(AE$134, 'GEN-CARBON'!$D$32:$BA$32, 'GEN-CARBON'!$D95:$BA95)+_xlfn.XLOOKUP(AE$134, Load!$D$32:$BA$32, Load!$D95:$BA95)+_xlfn.XLOOKUP(AE$134, Hydrogen!$D$32:$BA$32, Hydrogen!$D95:$BA95)+_xlfn.XLOOKUP(AE$134, 'SENS Tires'!$D$32:$BA$32, 'SENS Tires'!$D95:$BA95)+_xlfn.XLOOKUP(AE$134, 'SENS Coal'!$D$32:$BA$32, 'SENS Coal'!$D95:$BA95)</f>
        <v>0</v>
      </c>
      <c r="AF198" s="1">
        <f>_xlfn.XLOOKUP(AF$134, 'GEN-CCGT'!$D$32:$BA$32, 'GEN-CCGT'!$D95:$BA95)+_xlfn.XLOOKUP(AF$134, 'GEN-SOLAR'!$D$32:$BA$32, 'GEN-SOLAR'!$D95:$BA95)+_xlfn.XLOOKUP(AF$134, 'GEN-BESS'!$D$32:$BA$32, 'GEN-BESS'!$D95:$BA95)+_xlfn.XLOOKUP(AF$134, 'GEN-CARBON'!$D$32:$BA$32, 'GEN-CARBON'!$D95:$BA95)+_xlfn.XLOOKUP(AF$134, Load!$D$32:$BA$32, Load!$D95:$BA95)+_xlfn.XLOOKUP(AF$134, Hydrogen!$D$32:$BA$32, Hydrogen!$D95:$BA95)+_xlfn.XLOOKUP(AF$134, 'SENS Tires'!$D$32:$BA$32, 'SENS Tires'!$D95:$BA95)+_xlfn.XLOOKUP(AF$134, 'SENS Coal'!$D$32:$BA$32, 'SENS Coal'!$D95:$BA95)</f>
        <v>0</v>
      </c>
      <c r="AG198" s="1">
        <f>_xlfn.XLOOKUP(AG$134, 'GEN-CCGT'!$D$32:$BA$32, 'GEN-CCGT'!$D95:$BA95)+_xlfn.XLOOKUP(AG$134, 'GEN-SOLAR'!$D$32:$BA$32, 'GEN-SOLAR'!$D95:$BA95)+_xlfn.XLOOKUP(AG$134, 'GEN-BESS'!$D$32:$BA$32, 'GEN-BESS'!$D95:$BA95)+_xlfn.XLOOKUP(AG$134, 'GEN-CARBON'!$D$32:$BA$32, 'GEN-CARBON'!$D95:$BA95)+_xlfn.XLOOKUP(AG$134, Load!$D$32:$BA$32, Load!$D95:$BA95)+_xlfn.XLOOKUP(AG$134, Hydrogen!$D$32:$BA$32, Hydrogen!$D95:$BA95)+_xlfn.XLOOKUP(AG$134, 'SENS Tires'!$D$32:$BA$32, 'SENS Tires'!$D95:$BA95)+_xlfn.XLOOKUP(AG$134, 'SENS Coal'!$D$32:$BA$32, 'SENS Coal'!$D95:$BA95)</f>
        <v>0</v>
      </c>
      <c r="AH198" s="1">
        <f>_xlfn.XLOOKUP(AH$134, 'GEN-CCGT'!$D$32:$BA$32, 'GEN-CCGT'!$D95:$BA95)+_xlfn.XLOOKUP(AH$134, 'GEN-SOLAR'!$D$32:$BA$32, 'GEN-SOLAR'!$D95:$BA95)+_xlfn.XLOOKUP(AH$134, 'GEN-BESS'!$D$32:$BA$32, 'GEN-BESS'!$D95:$BA95)+_xlfn.XLOOKUP(AH$134, 'GEN-CARBON'!$D$32:$BA$32, 'GEN-CARBON'!$D95:$BA95)+_xlfn.XLOOKUP(AH$134, Load!$D$32:$BA$32, Load!$D95:$BA95)+_xlfn.XLOOKUP(AH$134, Hydrogen!$D$32:$BA$32, Hydrogen!$D95:$BA95)+_xlfn.XLOOKUP(AH$134, 'SENS Tires'!$D$32:$BA$32, 'SENS Tires'!$D95:$BA95)+_xlfn.XLOOKUP(AH$134, 'SENS Coal'!$D$32:$BA$32, 'SENS Coal'!$D95:$BA95)</f>
        <v>0</v>
      </c>
      <c r="AI198" s="1">
        <f>_xlfn.XLOOKUP(AI$134, 'GEN-CCGT'!$D$32:$BA$32, 'GEN-CCGT'!$D95:$BA95)+_xlfn.XLOOKUP(AI$134, 'GEN-SOLAR'!$D$32:$BA$32, 'GEN-SOLAR'!$D95:$BA95)+_xlfn.XLOOKUP(AI$134, 'GEN-BESS'!$D$32:$BA$32, 'GEN-BESS'!$D95:$BA95)+_xlfn.XLOOKUP(AI$134, 'GEN-CARBON'!$D$32:$BA$32, 'GEN-CARBON'!$D95:$BA95)+_xlfn.XLOOKUP(AI$134, Load!$D$32:$BA$32, Load!$D95:$BA95)+_xlfn.XLOOKUP(AI$134, Hydrogen!$D$32:$BA$32, Hydrogen!$D95:$BA95)+_xlfn.XLOOKUP(AI$134, 'SENS Tires'!$D$32:$BA$32, 'SENS Tires'!$D95:$BA95)+_xlfn.XLOOKUP(AI$134, 'SENS Coal'!$D$32:$BA$32, 'SENS Coal'!$D95:$BA95)</f>
        <v>0</v>
      </c>
      <c r="AJ198" s="1">
        <f>_xlfn.XLOOKUP(AJ$134, 'GEN-CCGT'!$D$32:$BA$32, 'GEN-CCGT'!$D95:$BA95)+_xlfn.XLOOKUP(AJ$134, 'GEN-SOLAR'!$D$32:$BA$32, 'GEN-SOLAR'!$D95:$BA95)+_xlfn.XLOOKUP(AJ$134, 'GEN-BESS'!$D$32:$BA$32, 'GEN-BESS'!$D95:$BA95)+_xlfn.XLOOKUP(AJ$134, 'GEN-CARBON'!$D$32:$BA$32, 'GEN-CARBON'!$D95:$BA95)+_xlfn.XLOOKUP(AJ$134, Load!$D$32:$BA$32, Load!$D95:$BA95)+_xlfn.XLOOKUP(AJ$134, Hydrogen!$D$32:$BA$32, Hydrogen!$D95:$BA95)+_xlfn.XLOOKUP(AJ$134, 'SENS Tires'!$D$32:$BA$32, 'SENS Tires'!$D95:$BA95)+_xlfn.XLOOKUP(AJ$134, 'SENS Coal'!$D$32:$BA$32, 'SENS Coal'!$D95:$BA95)</f>
        <v>0</v>
      </c>
      <c r="AK198" s="1">
        <f>_xlfn.XLOOKUP(AK$134, 'GEN-CCGT'!$D$32:$BA$32, 'GEN-CCGT'!$D95:$BA95)+_xlfn.XLOOKUP(AK$134, 'GEN-SOLAR'!$D$32:$BA$32, 'GEN-SOLAR'!$D95:$BA95)+_xlfn.XLOOKUP(AK$134, 'GEN-BESS'!$D$32:$BA$32, 'GEN-BESS'!$D95:$BA95)+_xlfn.XLOOKUP(AK$134, 'GEN-CARBON'!$D$32:$BA$32, 'GEN-CARBON'!$D95:$BA95)+_xlfn.XLOOKUP(AK$134, Load!$D$32:$BA$32, Load!$D95:$BA95)+_xlfn.XLOOKUP(AK$134, Hydrogen!$D$32:$BA$32, Hydrogen!$D95:$BA95)+_xlfn.XLOOKUP(AK$134, 'SENS Tires'!$D$32:$BA$32, 'SENS Tires'!$D95:$BA95)+_xlfn.XLOOKUP(AK$134, 'SENS Coal'!$D$32:$BA$32, 'SENS Coal'!$D95:$BA95)</f>
        <v>0</v>
      </c>
      <c r="AL198" s="1">
        <f>_xlfn.XLOOKUP(AL$134, 'GEN-CCGT'!$D$32:$BA$32, 'GEN-CCGT'!$D95:$BA95)+_xlfn.XLOOKUP(AL$134, 'GEN-SOLAR'!$D$32:$BA$32, 'GEN-SOLAR'!$D95:$BA95)+_xlfn.XLOOKUP(AL$134, 'GEN-BESS'!$D$32:$BA$32, 'GEN-BESS'!$D95:$BA95)+_xlfn.XLOOKUP(AL$134, 'GEN-CARBON'!$D$32:$BA$32, 'GEN-CARBON'!$D95:$BA95)+_xlfn.XLOOKUP(AL$134, Load!$D$32:$BA$32, Load!$D95:$BA95)+_xlfn.XLOOKUP(AL$134, Hydrogen!$D$32:$BA$32, Hydrogen!$D95:$BA95)+_xlfn.XLOOKUP(AL$134, 'SENS Tires'!$D$32:$BA$32, 'SENS Tires'!$D95:$BA95)+_xlfn.XLOOKUP(AL$134, 'SENS Coal'!$D$32:$BA$32, 'SENS Coal'!$D95:$BA95)</f>
        <v>0</v>
      </c>
      <c r="AM198" s="1">
        <f>_xlfn.XLOOKUP(AM$134, 'GEN-CCGT'!$D$32:$BA$32, 'GEN-CCGT'!$D95:$BA95)+_xlfn.XLOOKUP(AM$134, 'GEN-SOLAR'!$D$32:$BA$32, 'GEN-SOLAR'!$D95:$BA95)+_xlfn.XLOOKUP(AM$134, 'GEN-BESS'!$D$32:$BA$32, 'GEN-BESS'!$D95:$BA95)+_xlfn.XLOOKUP(AM$134, 'GEN-CARBON'!$D$32:$BA$32, 'GEN-CARBON'!$D95:$BA95)+_xlfn.XLOOKUP(AM$134, Load!$D$32:$BA$32, Load!$D95:$BA95)+_xlfn.XLOOKUP(AM$134, Hydrogen!$D$32:$BA$32, Hydrogen!$D95:$BA95)+_xlfn.XLOOKUP(AM$134, 'SENS Tires'!$D$32:$BA$32, 'SENS Tires'!$D95:$BA95)+_xlfn.XLOOKUP(AM$134, 'SENS Coal'!$D$32:$BA$32, 'SENS Coal'!$D95:$BA95)</f>
        <v>0</v>
      </c>
      <c r="AN198" s="1">
        <f>_xlfn.XLOOKUP(AN$134, 'GEN-CCGT'!$D$32:$BA$32, 'GEN-CCGT'!$D95:$BA95)+_xlfn.XLOOKUP(AN$134, 'GEN-SOLAR'!$D$32:$BA$32, 'GEN-SOLAR'!$D95:$BA95)+_xlfn.XLOOKUP(AN$134, 'GEN-BESS'!$D$32:$BA$32, 'GEN-BESS'!$D95:$BA95)+_xlfn.XLOOKUP(AN$134, 'GEN-CARBON'!$D$32:$BA$32, 'GEN-CARBON'!$D95:$BA95)+_xlfn.XLOOKUP(AN$134, Load!$D$32:$BA$32, Load!$D95:$BA95)+_xlfn.XLOOKUP(AN$134, Hydrogen!$D$32:$BA$32, Hydrogen!$D95:$BA95)+_xlfn.XLOOKUP(AN$134, 'SENS Tires'!$D$32:$BA$32, 'SENS Tires'!$D95:$BA95)+_xlfn.XLOOKUP(AN$134, 'SENS Coal'!$D$32:$BA$32, 'SENS Coal'!$D95:$BA95)</f>
        <v>0</v>
      </c>
      <c r="AO198" s="1">
        <f>_xlfn.XLOOKUP(AO$134, 'GEN-CCGT'!$D$32:$BA$32, 'GEN-CCGT'!$D95:$BA95)+_xlfn.XLOOKUP(AO$134, 'GEN-SOLAR'!$D$32:$BA$32, 'GEN-SOLAR'!$D95:$BA95)+_xlfn.XLOOKUP(AO$134, 'GEN-BESS'!$D$32:$BA$32, 'GEN-BESS'!$D95:$BA95)+_xlfn.XLOOKUP(AO$134, 'GEN-CARBON'!$D$32:$BA$32, 'GEN-CARBON'!$D95:$BA95)+_xlfn.XLOOKUP(AO$134, Load!$D$32:$BA$32, Load!$D95:$BA95)+_xlfn.XLOOKUP(AO$134, Hydrogen!$D$32:$BA$32, Hydrogen!$D95:$BA95)+_xlfn.XLOOKUP(AO$134, 'SENS Tires'!$D$32:$BA$32, 'SENS Tires'!$D95:$BA95)+_xlfn.XLOOKUP(AO$134, 'SENS Coal'!$D$32:$BA$32, 'SENS Coal'!$D95:$BA95)</f>
        <v>0</v>
      </c>
      <c r="AP198" s="1">
        <f>_xlfn.XLOOKUP(AP$134, 'GEN-CCGT'!$D$32:$BA$32, 'GEN-CCGT'!$D95:$BA95)+_xlfn.XLOOKUP(AP$134, 'GEN-SOLAR'!$D$32:$BA$32, 'GEN-SOLAR'!$D95:$BA95)+_xlfn.XLOOKUP(AP$134, 'GEN-BESS'!$D$32:$BA$32, 'GEN-BESS'!$D95:$BA95)+_xlfn.XLOOKUP(AP$134, 'GEN-CARBON'!$D$32:$BA$32, 'GEN-CARBON'!$D95:$BA95)+_xlfn.XLOOKUP(AP$134, Load!$D$32:$BA$32, Load!$D95:$BA95)+_xlfn.XLOOKUP(AP$134, Hydrogen!$D$32:$BA$32, Hydrogen!$D95:$BA95)+_xlfn.XLOOKUP(AP$134, 'SENS Tires'!$D$32:$BA$32, 'SENS Tires'!$D95:$BA95)+_xlfn.XLOOKUP(AP$134, 'SENS Coal'!$D$32:$BA$32, 'SENS Coal'!$D95:$BA95)</f>
        <v>0</v>
      </c>
      <c r="AQ198" s="1">
        <f>_xlfn.XLOOKUP(AQ$134, 'GEN-CCGT'!$D$32:$BA$32, 'GEN-CCGT'!$D95:$BA95)+_xlfn.XLOOKUP(AQ$134, 'GEN-SOLAR'!$D$32:$BA$32, 'GEN-SOLAR'!$D95:$BA95)+_xlfn.XLOOKUP(AQ$134, 'GEN-BESS'!$D$32:$BA$32, 'GEN-BESS'!$D95:$BA95)+_xlfn.XLOOKUP(AQ$134, 'GEN-CARBON'!$D$32:$BA$32, 'GEN-CARBON'!$D95:$BA95)+_xlfn.XLOOKUP(AQ$134, Load!$D$32:$BA$32, Load!$D95:$BA95)+_xlfn.XLOOKUP(AQ$134, Hydrogen!$D$32:$BA$32, Hydrogen!$D95:$BA95)+_xlfn.XLOOKUP(AQ$134, 'SENS Tires'!$D$32:$BA$32, 'SENS Tires'!$D95:$BA95)+_xlfn.XLOOKUP(AQ$134, 'SENS Coal'!$D$32:$BA$32, 'SENS Coal'!$D95:$BA95)</f>
        <v>0</v>
      </c>
      <c r="AR198" s="1">
        <f>_xlfn.XLOOKUP(AR$134, 'GEN-CCGT'!$D$32:$BA$32, 'GEN-CCGT'!$D95:$BA95)+_xlfn.XLOOKUP(AR$134, 'GEN-SOLAR'!$D$32:$BA$32, 'GEN-SOLAR'!$D95:$BA95)+_xlfn.XLOOKUP(AR$134, 'GEN-BESS'!$D$32:$BA$32, 'GEN-BESS'!$D95:$BA95)+_xlfn.XLOOKUP(AR$134, 'GEN-CARBON'!$D$32:$BA$32, 'GEN-CARBON'!$D95:$BA95)+_xlfn.XLOOKUP(AR$134, Load!$D$32:$BA$32, Load!$D95:$BA95)+_xlfn.XLOOKUP(AR$134, Hydrogen!$D$32:$BA$32, Hydrogen!$D95:$BA95)+_xlfn.XLOOKUP(AR$134, 'SENS Tires'!$D$32:$BA$32, 'SENS Tires'!$D95:$BA95)+_xlfn.XLOOKUP(AR$134, 'SENS Coal'!$D$32:$BA$32, 'SENS Coal'!$D95:$BA95)</f>
        <v>0</v>
      </c>
      <c r="AS198" s="1">
        <f>_xlfn.XLOOKUP(AS$134, 'GEN-CCGT'!$D$32:$BA$32, 'GEN-CCGT'!$D95:$BA95)+_xlfn.XLOOKUP(AS$134, 'GEN-SOLAR'!$D$32:$BA$32, 'GEN-SOLAR'!$D95:$BA95)+_xlfn.XLOOKUP(AS$134, 'GEN-BESS'!$D$32:$BA$32, 'GEN-BESS'!$D95:$BA95)+_xlfn.XLOOKUP(AS$134, 'GEN-CARBON'!$D$32:$BA$32, 'GEN-CARBON'!$D95:$BA95)+_xlfn.XLOOKUP(AS$134, Load!$D$32:$BA$32, Load!$D95:$BA95)+_xlfn.XLOOKUP(AS$134, Hydrogen!$D$32:$BA$32, Hydrogen!$D95:$BA95)+_xlfn.XLOOKUP(AS$134, 'SENS Tires'!$D$32:$BA$32, 'SENS Tires'!$D95:$BA95)+_xlfn.XLOOKUP(AS$134, 'SENS Coal'!$D$32:$BA$32, 'SENS Coal'!$D95:$BA95)</f>
        <v>0</v>
      </c>
      <c r="AT198" s="1">
        <f>_xlfn.XLOOKUP(AT$134, 'GEN-CCGT'!$D$32:$BA$32, 'GEN-CCGT'!$D95:$BA95)+_xlfn.XLOOKUP(AT$134, 'GEN-SOLAR'!$D$32:$BA$32, 'GEN-SOLAR'!$D95:$BA95)+_xlfn.XLOOKUP(AT$134, 'GEN-BESS'!$D$32:$BA$32, 'GEN-BESS'!$D95:$BA95)+_xlfn.XLOOKUP(AT$134, 'GEN-CARBON'!$D$32:$BA$32, 'GEN-CARBON'!$D95:$BA95)+_xlfn.XLOOKUP(AT$134, Load!$D$32:$BA$32, Load!$D95:$BA95)+_xlfn.XLOOKUP(AT$134, Hydrogen!$D$32:$BA$32, Hydrogen!$D95:$BA95)+_xlfn.XLOOKUP(AT$134, 'SENS Tires'!$D$32:$BA$32, 'SENS Tires'!$D95:$BA95)+_xlfn.XLOOKUP(AT$134, 'SENS Coal'!$D$32:$BA$32, 'SENS Coal'!$D95:$BA95)</f>
        <v>0</v>
      </c>
      <c r="AU198" s="1">
        <f>_xlfn.XLOOKUP(AU$134, 'GEN-CCGT'!$D$32:$BA$32, 'GEN-CCGT'!$D95:$BA95)+_xlfn.XLOOKUP(AU$134, 'GEN-SOLAR'!$D$32:$BA$32, 'GEN-SOLAR'!$D95:$BA95)+_xlfn.XLOOKUP(AU$134, 'GEN-BESS'!$D$32:$BA$32, 'GEN-BESS'!$D95:$BA95)+_xlfn.XLOOKUP(AU$134, 'GEN-CARBON'!$D$32:$BA$32, 'GEN-CARBON'!$D95:$BA95)+_xlfn.XLOOKUP(AU$134, Load!$D$32:$BA$32, Load!$D95:$BA95)+_xlfn.XLOOKUP(AU$134, Hydrogen!$D$32:$BA$32, Hydrogen!$D95:$BA95)+_xlfn.XLOOKUP(AU$134, 'SENS Tires'!$D$32:$BA$32, 'SENS Tires'!$D95:$BA95)+_xlfn.XLOOKUP(AU$134, 'SENS Coal'!$D$32:$BA$32, 'SENS Coal'!$D95:$BA95)</f>
        <v>0</v>
      </c>
      <c r="AV198" s="1">
        <f>_xlfn.XLOOKUP(AV$134, 'GEN-CCGT'!$D$32:$BA$32, 'GEN-CCGT'!$D95:$BA95)+_xlfn.XLOOKUP(AV$134, 'GEN-SOLAR'!$D$32:$BA$32, 'GEN-SOLAR'!$D95:$BA95)+_xlfn.XLOOKUP(AV$134, 'GEN-BESS'!$D$32:$BA$32, 'GEN-BESS'!$D95:$BA95)+_xlfn.XLOOKUP(AV$134, 'GEN-CARBON'!$D$32:$BA$32, 'GEN-CARBON'!$D95:$BA95)+_xlfn.XLOOKUP(AV$134, Load!$D$32:$BA$32, Load!$D95:$BA95)+_xlfn.XLOOKUP(AV$134, Hydrogen!$D$32:$BA$32, Hydrogen!$D95:$BA95)+_xlfn.XLOOKUP(AV$134, 'SENS Tires'!$D$32:$BA$32, 'SENS Tires'!$D95:$BA95)+_xlfn.XLOOKUP(AV$134, 'SENS Coal'!$D$32:$BA$32, 'SENS Coal'!$D95:$BA95)</f>
        <v>0</v>
      </c>
      <c r="AW198" s="1">
        <f>_xlfn.XLOOKUP(AW$134, 'GEN-CCGT'!$D$32:$BA$32, 'GEN-CCGT'!$D95:$BA95)+_xlfn.XLOOKUP(AW$134, 'GEN-SOLAR'!$D$32:$BA$32, 'GEN-SOLAR'!$D95:$BA95)+_xlfn.XLOOKUP(AW$134, 'GEN-BESS'!$D$32:$BA$32, 'GEN-BESS'!$D95:$BA95)+_xlfn.XLOOKUP(AW$134, 'GEN-CARBON'!$D$32:$BA$32, 'GEN-CARBON'!$D95:$BA95)+_xlfn.XLOOKUP(AW$134, Load!$D$32:$BA$32, Load!$D95:$BA95)+_xlfn.XLOOKUP(AW$134, Hydrogen!$D$32:$BA$32, Hydrogen!$D95:$BA95)+_xlfn.XLOOKUP(AW$134, 'SENS Tires'!$D$32:$BA$32, 'SENS Tires'!$D95:$BA95)+_xlfn.XLOOKUP(AW$134, 'SENS Coal'!$D$32:$BA$32, 'SENS Coal'!$D95:$BA95)</f>
        <v>0</v>
      </c>
      <c r="AX198" s="1">
        <f>_xlfn.XLOOKUP(AX$134, 'GEN-CCGT'!$D$32:$BA$32, 'GEN-CCGT'!$D95:$BA95)+_xlfn.XLOOKUP(AX$134, 'GEN-SOLAR'!$D$32:$BA$32, 'GEN-SOLAR'!$D95:$BA95)+_xlfn.XLOOKUP(AX$134, 'GEN-BESS'!$D$32:$BA$32, 'GEN-BESS'!$D95:$BA95)+_xlfn.XLOOKUP(AX$134, 'GEN-CARBON'!$D$32:$BA$32, 'GEN-CARBON'!$D95:$BA95)+_xlfn.XLOOKUP(AX$134, Load!$D$32:$BA$32, Load!$D95:$BA95)+_xlfn.XLOOKUP(AX$134, Hydrogen!$D$32:$BA$32, Hydrogen!$D95:$BA95)+_xlfn.XLOOKUP(AX$134, 'SENS Tires'!$D$32:$BA$32, 'SENS Tires'!$D95:$BA95)+_xlfn.XLOOKUP(AX$134, 'SENS Coal'!$D$32:$BA$32, 'SENS Coal'!$D95:$BA95)</f>
        <v>0</v>
      </c>
    </row>
    <row r="199" spans="1:50" ht="14.25" customHeight="1">
      <c r="A199" s="1"/>
      <c r="B199" s="84"/>
      <c r="C199" s="1" t="s">
        <v>447</v>
      </c>
      <c r="D199" s="1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</row>
    <row r="200" spans="1:50" ht="14.25" customHeight="1">
      <c r="A200" s="1"/>
      <c r="B200" s="84"/>
      <c r="C200" s="1" t="s">
        <v>448</v>
      </c>
      <c r="D200" s="83"/>
      <c r="E200" s="32"/>
      <c r="F200" s="32">
        <f>_xlfn.XLOOKUP(F$134, 'GEN-CCGT'!$D$32:$BA$32, 'GEN-CCGT'!$D97:$BA97)+_xlfn.XLOOKUP(F$134, 'GEN-SOLAR'!$D$32:$BA$32, 'GEN-SOLAR'!$D97:$BA97)+_xlfn.XLOOKUP(F$134, 'GEN-BESS'!$D$32:$BA$32, 'GEN-BESS'!$D97:$BA97)+_xlfn.XLOOKUP(F$134, 'GEN-CARBON'!$D$32:$BA$32, 'GEN-CARBON'!$D97:$BA97)+_xlfn.XLOOKUP(F$134, Load!$D$32:$BA$32, Load!$D97:$BA97)+_xlfn.XLOOKUP(F$134, Hydrogen!$D$32:$BA$32, Hydrogen!$D97:$BA97)+_xlfn.XLOOKUP(F$134, 'SENS Tires'!$D$32:$BA$32, 'SENS Tires'!$D97:$BA97)+_xlfn.XLOOKUP(F$134, 'SENS Coal'!$D$32:$BA$32, 'SENS Coal'!$D97:$BA97)+_xlfn.XLOOKUP(F$134, 'Real Estate'!$D$82:$BA$82, 'Real Estate'!$D90:$BA90)</f>
        <v>0</v>
      </c>
      <c r="G200" s="32">
        <f>F202</f>
        <v>0</v>
      </c>
      <c r="H200" s="32">
        <f t="shared" ref="H200:AX200" si="50">G202</f>
        <v>0</v>
      </c>
      <c r="I200" s="32">
        <f t="shared" si="50"/>
        <v>0</v>
      </c>
      <c r="J200" s="32">
        <f t="shared" si="50"/>
        <v>0</v>
      </c>
      <c r="K200" s="32">
        <f t="shared" si="50"/>
        <v>0</v>
      </c>
      <c r="L200" s="32">
        <f t="shared" si="50"/>
        <v>0</v>
      </c>
      <c r="M200" s="32">
        <f t="shared" si="50"/>
        <v>0</v>
      </c>
      <c r="N200" s="32">
        <f t="shared" si="50"/>
        <v>0</v>
      </c>
      <c r="O200" s="32">
        <f t="shared" si="50"/>
        <v>0</v>
      </c>
      <c r="P200" s="32">
        <f t="shared" si="50"/>
        <v>0</v>
      </c>
      <c r="Q200" s="32">
        <f t="shared" si="50"/>
        <v>0</v>
      </c>
      <c r="R200" s="32">
        <f t="shared" si="50"/>
        <v>0</v>
      </c>
      <c r="S200" s="32">
        <f t="shared" si="50"/>
        <v>0</v>
      </c>
      <c r="T200" s="32">
        <f t="shared" si="50"/>
        <v>0</v>
      </c>
      <c r="U200" s="32">
        <f t="shared" si="50"/>
        <v>0</v>
      </c>
      <c r="V200" s="32">
        <f t="shared" si="50"/>
        <v>0</v>
      </c>
      <c r="W200" s="32">
        <f t="shared" si="50"/>
        <v>0</v>
      </c>
      <c r="X200" s="32">
        <f t="shared" si="50"/>
        <v>0</v>
      </c>
      <c r="Y200" s="32">
        <f t="shared" si="50"/>
        <v>0</v>
      </c>
      <c r="Z200" s="32">
        <f t="shared" si="50"/>
        <v>0</v>
      </c>
      <c r="AA200" s="32">
        <f t="shared" si="50"/>
        <v>0</v>
      </c>
      <c r="AB200" s="32">
        <f t="shared" si="50"/>
        <v>0</v>
      </c>
      <c r="AC200" s="32">
        <f t="shared" si="50"/>
        <v>0</v>
      </c>
      <c r="AD200" s="32">
        <f t="shared" si="50"/>
        <v>0</v>
      </c>
      <c r="AE200" s="32">
        <f t="shared" si="50"/>
        <v>0</v>
      </c>
      <c r="AF200" s="32">
        <f t="shared" si="50"/>
        <v>0</v>
      </c>
      <c r="AG200" s="32">
        <f t="shared" si="50"/>
        <v>0</v>
      </c>
      <c r="AH200" s="32">
        <f t="shared" si="50"/>
        <v>0</v>
      </c>
      <c r="AI200" s="32">
        <f t="shared" si="50"/>
        <v>0</v>
      </c>
      <c r="AJ200" s="32">
        <f t="shared" si="50"/>
        <v>0</v>
      </c>
      <c r="AK200" s="32">
        <f t="shared" si="50"/>
        <v>0</v>
      </c>
      <c r="AL200" s="32">
        <f t="shared" si="50"/>
        <v>0</v>
      </c>
      <c r="AM200" s="32">
        <f t="shared" si="50"/>
        <v>0</v>
      </c>
      <c r="AN200" s="32">
        <f t="shared" si="50"/>
        <v>0</v>
      </c>
      <c r="AO200" s="32">
        <f t="shared" si="50"/>
        <v>0</v>
      </c>
      <c r="AP200" s="32">
        <f t="shared" si="50"/>
        <v>0</v>
      </c>
      <c r="AQ200" s="32">
        <f t="shared" si="50"/>
        <v>0</v>
      </c>
      <c r="AR200" s="32">
        <f t="shared" si="50"/>
        <v>0</v>
      </c>
      <c r="AS200" s="32">
        <f t="shared" si="50"/>
        <v>0</v>
      </c>
      <c r="AT200" s="32">
        <f t="shared" si="50"/>
        <v>0</v>
      </c>
      <c r="AU200" s="32">
        <f t="shared" si="50"/>
        <v>0</v>
      </c>
      <c r="AV200" s="32">
        <f t="shared" si="50"/>
        <v>0</v>
      </c>
      <c r="AW200" s="32">
        <f t="shared" si="50"/>
        <v>0</v>
      </c>
      <c r="AX200" s="32">
        <f t="shared" si="50"/>
        <v>0</v>
      </c>
    </row>
    <row r="201" spans="1:50" ht="14.25" customHeight="1">
      <c r="A201" s="1"/>
      <c r="B201" s="84"/>
      <c r="C201" s="1" t="s">
        <v>449</v>
      </c>
      <c r="D201" s="1"/>
      <c r="E201" s="33"/>
      <c r="F201" s="34">
        <f>IFERROR(PPMT('Assumptions &amp; Inputs'!$G$10,F190,'Assumptions &amp; Inputs'!$G$9,$F$182), 0)</f>
        <v>0</v>
      </c>
      <c r="G201" s="34">
        <f>IFERROR(PPMT('Assumptions &amp; Inputs'!$G$10,G190,'Assumptions &amp; Inputs'!$G$9,$F$182), 0)</f>
        <v>0</v>
      </c>
      <c r="H201" s="34">
        <f>IFERROR(PPMT('Assumptions &amp; Inputs'!$G$10,H190,'Assumptions &amp; Inputs'!$G$9,$F$182), 0)</f>
        <v>0</v>
      </c>
      <c r="I201" s="34">
        <f>IFERROR(PPMT('Assumptions &amp; Inputs'!$G$10,I190,'Assumptions &amp; Inputs'!$G$9,$F$182), 0)</f>
        <v>0</v>
      </c>
      <c r="J201" s="34">
        <f>IFERROR(PPMT('Assumptions &amp; Inputs'!$G$10,J190,'Assumptions &amp; Inputs'!$G$9,$F$182), 0)</f>
        <v>0</v>
      </c>
      <c r="K201" s="34">
        <f>IFERROR(PPMT('Assumptions &amp; Inputs'!$G$10,K190,'Assumptions &amp; Inputs'!$G$9,$F$182), 0)</f>
        <v>0</v>
      </c>
      <c r="L201" s="34">
        <f>IFERROR(PPMT('Assumptions &amp; Inputs'!$G$10,L190,'Assumptions &amp; Inputs'!$G$9,$F$182), 0)</f>
        <v>0</v>
      </c>
      <c r="M201" s="34">
        <f>IFERROR(PPMT('Assumptions &amp; Inputs'!$G$10,M190,'Assumptions &amp; Inputs'!$G$9,$F$182), 0)</f>
        <v>0</v>
      </c>
      <c r="N201" s="34">
        <f>IFERROR(PPMT('Assumptions &amp; Inputs'!$G$10,N190,'Assumptions &amp; Inputs'!$G$9,$F$182), 0)</f>
        <v>0</v>
      </c>
      <c r="O201" s="34">
        <f>IFERROR(PPMT('Assumptions &amp; Inputs'!$G$10,O190,'Assumptions &amp; Inputs'!$G$9,$F$182), 0)</f>
        <v>0</v>
      </c>
      <c r="P201" s="34">
        <f>IFERROR(PPMT('Assumptions &amp; Inputs'!$G$10,P190,'Assumptions &amp; Inputs'!$G$9,$F$182), 0)</f>
        <v>0</v>
      </c>
      <c r="Q201" s="34">
        <f>IFERROR(PPMT('Assumptions &amp; Inputs'!$G$10,Q190,'Assumptions &amp; Inputs'!$G$9,$F$182), 0)</f>
        <v>0</v>
      </c>
      <c r="R201" s="34">
        <f>IFERROR(PPMT('Assumptions &amp; Inputs'!$G$10,R190,'Assumptions &amp; Inputs'!$G$9,$F$182), 0)</f>
        <v>0</v>
      </c>
      <c r="S201" s="34">
        <f>IFERROR(PPMT('Assumptions &amp; Inputs'!$G$10,S190,'Assumptions &amp; Inputs'!$G$9,$F$182), 0)</f>
        <v>0</v>
      </c>
      <c r="T201" s="34">
        <f>IFERROR(PPMT('Assumptions &amp; Inputs'!$G$10,T190,'Assumptions &amp; Inputs'!$G$9,$F$182), 0)</f>
        <v>0</v>
      </c>
      <c r="U201" s="34">
        <f>IFERROR(PPMT('Assumptions &amp; Inputs'!$G$10,U190,'Assumptions &amp; Inputs'!$G$9,$F$182), 0)</f>
        <v>0</v>
      </c>
      <c r="V201" s="34">
        <f>IFERROR(PPMT('Assumptions &amp; Inputs'!$G$10,V190,'Assumptions &amp; Inputs'!$G$9,$F$182), 0)</f>
        <v>0</v>
      </c>
      <c r="W201" s="34">
        <f>IFERROR(PPMT('Assumptions &amp; Inputs'!$G$10,W190,'Assumptions &amp; Inputs'!$G$9,$F$182), 0)</f>
        <v>0</v>
      </c>
      <c r="X201" s="34">
        <f>IFERROR(PPMT('Assumptions &amp; Inputs'!$G$10,X190,'Assumptions &amp; Inputs'!$G$9,$F$182), 0)</f>
        <v>0</v>
      </c>
      <c r="Y201" s="34">
        <f>IFERROR(PPMT('Assumptions &amp; Inputs'!$G$10,Y190,'Assumptions &amp; Inputs'!$G$9,$F$182), 0)</f>
        <v>0</v>
      </c>
      <c r="Z201" s="34">
        <f>IFERROR(PPMT('Assumptions &amp; Inputs'!$G$10,Z190,'Assumptions &amp; Inputs'!$G$9,$F$182), 0)</f>
        <v>0</v>
      </c>
      <c r="AA201" s="34">
        <f>IFERROR(PPMT('Assumptions &amp; Inputs'!$G$10,AA190,'Assumptions &amp; Inputs'!$G$9,$F$182), 0)</f>
        <v>0</v>
      </c>
      <c r="AB201" s="34">
        <f>IFERROR(PPMT('Assumptions &amp; Inputs'!$G$10,AB190,'Assumptions &amp; Inputs'!$G$9,$F$182), 0)</f>
        <v>0</v>
      </c>
      <c r="AC201" s="34">
        <f>IFERROR(PPMT('Assumptions &amp; Inputs'!$G$10,AC190,'Assumptions &amp; Inputs'!$G$9,$F$182), 0)</f>
        <v>0</v>
      </c>
      <c r="AD201" s="34">
        <f>IFERROR(PPMT('Assumptions &amp; Inputs'!$G$10,AD190,'Assumptions &amp; Inputs'!$G$9,$F$182), 0)</f>
        <v>0</v>
      </c>
      <c r="AE201" s="34">
        <f>IFERROR(PPMT('Assumptions &amp; Inputs'!$G$10,AE190,'Assumptions &amp; Inputs'!$G$9,$F$182), 0)</f>
        <v>0</v>
      </c>
      <c r="AF201" s="34">
        <f>IFERROR(PPMT('Assumptions &amp; Inputs'!$G$10,AF190,'Assumptions &amp; Inputs'!$G$9,$F$182), 0)</f>
        <v>0</v>
      </c>
      <c r="AG201" s="34">
        <f>IFERROR(PPMT('Assumptions &amp; Inputs'!$G$10,AG190,'Assumptions &amp; Inputs'!$G$9,$F$182), 0)</f>
        <v>0</v>
      </c>
      <c r="AH201" s="34">
        <f>IFERROR(PPMT('Assumptions &amp; Inputs'!$G$10,AH190,'Assumptions &amp; Inputs'!$G$9,$F$182), 0)</f>
        <v>0</v>
      </c>
      <c r="AI201" s="34">
        <f>IFERROR(PPMT('Assumptions &amp; Inputs'!$G$10,AI190,'Assumptions &amp; Inputs'!$G$9,$F$182), 0)</f>
        <v>0</v>
      </c>
      <c r="AJ201" s="34">
        <f>IFERROR(PPMT('Assumptions &amp; Inputs'!$G$10,AJ190,'Assumptions &amp; Inputs'!$G$9,$F$182), 0)</f>
        <v>0</v>
      </c>
      <c r="AK201" s="34">
        <f>IFERROR(PPMT('Assumptions &amp; Inputs'!$G$10,AK190,'Assumptions &amp; Inputs'!$G$9,$F$182), 0)</f>
        <v>0</v>
      </c>
      <c r="AL201" s="34">
        <f>IFERROR(PPMT('Assumptions &amp; Inputs'!$G$10,AL190,'Assumptions &amp; Inputs'!$G$9,$F$182), 0)</f>
        <v>0</v>
      </c>
      <c r="AM201" s="34">
        <f>IFERROR(PPMT('Assumptions &amp; Inputs'!$G$10,AM190,'Assumptions &amp; Inputs'!$G$9,$F$182), 0)</f>
        <v>0</v>
      </c>
      <c r="AN201" s="34">
        <f>IFERROR(PPMT('Assumptions &amp; Inputs'!$G$10,AN190,'Assumptions &amp; Inputs'!$G$9,$F$182), 0)</f>
        <v>0</v>
      </c>
      <c r="AO201" s="34">
        <f>IFERROR(PPMT('Assumptions &amp; Inputs'!$G$10,AO190,'Assumptions &amp; Inputs'!$G$9,$F$182), 0)</f>
        <v>0</v>
      </c>
      <c r="AP201" s="34">
        <f>IFERROR(PPMT('Assumptions &amp; Inputs'!$G$10,AP190,'Assumptions &amp; Inputs'!$G$9,$F$182), 0)</f>
        <v>0</v>
      </c>
      <c r="AQ201" s="34">
        <f>IFERROR(PPMT('Assumptions &amp; Inputs'!$G$10,AQ190,'Assumptions &amp; Inputs'!$G$9,$F$182), 0)</f>
        <v>0</v>
      </c>
      <c r="AR201" s="34">
        <f>IFERROR(PPMT('Assumptions &amp; Inputs'!$G$10,AR190,'Assumptions &amp; Inputs'!$G$9,$F$182), 0)</f>
        <v>0</v>
      </c>
      <c r="AS201" s="34">
        <f>IFERROR(PPMT('Assumptions &amp; Inputs'!$G$10,AS190,'Assumptions &amp; Inputs'!$G$9,$F$182), 0)</f>
        <v>0</v>
      </c>
      <c r="AT201" s="34">
        <f>IFERROR(PPMT('Assumptions &amp; Inputs'!$G$10,AT190,'Assumptions &amp; Inputs'!$G$9,$F$182), 0)</f>
        <v>0</v>
      </c>
      <c r="AU201" s="34">
        <f>IFERROR(PPMT('Assumptions &amp; Inputs'!$G$10,AU190,'Assumptions &amp; Inputs'!$G$9,$F$182), 0)</f>
        <v>0</v>
      </c>
      <c r="AV201" s="34">
        <f>IFERROR(PPMT('Assumptions &amp; Inputs'!$G$10,AV190,'Assumptions &amp; Inputs'!$G$9,$F$182), 0)</f>
        <v>0</v>
      </c>
      <c r="AW201" s="34">
        <f>IFERROR(PPMT('Assumptions &amp; Inputs'!$G$10,AW190,'Assumptions &amp; Inputs'!$G$9,$F$182), 0)</f>
        <v>0</v>
      </c>
      <c r="AX201" s="34">
        <f>IFERROR(PPMT('Assumptions &amp; Inputs'!$G$10,AX190,'Assumptions &amp; Inputs'!$G$9,$F$182), 0)</f>
        <v>0</v>
      </c>
    </row>
    <row r="202" spans="1:50" ht="14.25" customHeight="1">
      <c r="A202" s="1"/>
      <c r="B202" s="84"/>
      <c r="C202" s="1" t="s">
        <v>450</v>
      </c>
      <c r="D202" s="1"/>
      <c r="E202" s="1"/>
      <c r="F202" s="32">
        <f>F200+F201</f>
        <v>0</v>
      </c>
      <c r="G202" s="32">
        <f>G200+G201</f>
        <v>0</v>
      </c>
      <c r="H202" s="32">
        <f t="shared" ref="H202:AX202" si="51">H200+H201</f>
        <v>0</v>
      </c>
      <c r="I202" s="32">
        <f t="shared" si="51"/>
        <v>0</v>
      </c>
      <c r="J202" s="32">
        <f t="shared" si="51"/>
        <v>0</v>
      </c>
      <c r="K202" s="32">
        <f t="shared" si="51"/>
        <v>0</v>
      </c>
      <c r="L202" s="32">
        <f t="shared" si="51"/>
        <v>0</v>
      </c>
      <c r="M202" s="32">
        <f t="shared" si="51"/>
        <v>0</v>
      </c>
      <c r="N202" s="32">
        <f t="shared" si="51"/>
        <v>0</v>
      </c>
      <c r="O202" s="32">
        <f t="shared" si="51"/>
        <v>0</v>
      </c>
      <c r="P202" s="32">
        <f t="shared" si="51"/>
        <v>0</v>
      </c>
      <c r="Q202" s="32">
        <f t="shared" si="51"/>
        <v>0</v>
      </c>
      <c r="R202" s="32">
        <f t="shared" si="51"/>
        <v>0</v>
      </c>
      <c r="S202" s="32">
        <f t="shared" si="51"/>
        <v>0</v>
      </c>
      <c r="T202" s="32">
        <f t="shared" si="51"/>
        <v>0</v>
      </c>
      <c r="U202" s="32">
        <f t="shared" si="51"/>
        <v>0</v>
      </c>
      <c r="V202" s="32">
        <f t="shared" si="51"/>
        <v>0</v>
      </c>
      <c r="W202" s="32">
        <f t="shared" si="51"/>
        <v>0</v>
      </c>
      <c r="X202" s="32">
        <f t="shared" si="51"/>
        <v>0</v>
      </c>
      <c r="Y202" s="32">
        <f t="shared" si="51"/>
        <v>0</v>
      </c>
      <c r="Z202" s="32">
        <f t="shared" si="51"/>
        <v>0</v>
      </c>
      <c r="AA202" s="32">
        <f t="shared" si="51"/>
        <v>0</v>
      </c>
      <c r="AB202" s="32">
        <f t="shared" si="51"/>
        <v>0</v>
      </c>
      <c r="AC202" s="32">
        <f t="shared" si="51"/>
        <v>0</v>
      </c>
      <c r="AD202" s="32">
        <f t="shared" si="51"/>
        <v>0</v>
      </c>
      <c r="AE202" s="32">
        <f t="shared" si="51"/>
        <v>0</v>
      </c>
      <c r="AF202" s="32">
        <f t="shared" si="51"/>
        <v>0</v>
      </c>
      <c r="AG202" s="32">
        <f t="shared" si="51"/>
        <v>0</v>
      </c>
      <c r="AH202" s="32">
        <f t="shared" si="51"/>
        <v>0</v>
      </c>
      <c r="AI202" s="32">
        <f t="shared" si="51"/>
        <v>0</v>
      </c>
      <c r="AJ202" s="32">
        <f t="shared" si="51"/>
        <v>0</v>
      </c>
      <c r="AK202" s="32">
        <f t="shared" si="51"/>
        <v>0</v>
      </c>
      <c r="AL202" s="32">
        <f t="shared" si="51"/>
        <v>0</v>
      </c>
      <c r="AM202" s="32">
        <f t="shared" si="51"/>
        <v>0</v>
      </c>
      <c r="AN202" s="32">
        <f t="shared" si="51"/>
        <v>0</v>
      </c>
      <c r="AO202" s="32">
        <f t="shared" si="51"/>
        <v>0</v>
      </c>
      <c r="AP202" s="32">
        <f t="shared" si="51"/>
        <v>0</v>
      </c>
      <c r="AQ202" s="32">
        <f t="shared" si="51"/>
        <v>0</v>
      </c>
      <c r="AR202" s="32">
        <f t="shared" si="51"/>
        <v>0</v>
      </c>
      <c r="AS202" s="32">
        <f t="shared" si="51"/>
        <v>0</v>
      </c>
      <c r="AT202" s="32">
        <f t="shared" si="51"/>
        <v>0</v>
      </c>
      <c r="AU202" s="32">
        <f t="shared" si="51"/>
        <v>0</v>
      </c>
      <c r="AV202" s="32">
        <f t="shared" si="51"/>
        <v>0</v>
      </c>
      <c r="AW202" s="32">
        <f t="shared" si="51"/>
        <v>0</v>
      </c>
      <c r="AX202" s="32">
        <f t="shared" si="51"/>
        <v>0</v>
      </c>
    </row>
    <row r="203" spans="1:50" ht="14.25" customHeight="1">
      <c r="A203" s="1"/>
      <c r="B203" s="8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ht="14.25" customHeight="1">
      <c r="A204" s="1"/>
      <c r="B204" s="84"/>
      <c r="C204" s="1" t="s">
        <v>451</v>
      </c>
      <c r="D204" s="1"/>
      <c r="E204" s="1"/>
      <c r="F204" s="8">
        <f>IFERROR(-IPMT('Assumptions &amp; Inputs'!$G$10,F190,'Assumptions &amp; Inputs'!$G$9,$F$182), 0)</f>
        <v>0</v>
      </c>
      <c r="G204" s="8">
        <f>IFERROR(-IPMT('Assumptions &amp; Inputs'!$G$10,G190,'Assumptions &amp; Inputs'!$G$9,$F$182), 0)</f>
        <v>0</v>
      </c>
      <c r="H204" s="8">
        <f>IFERROR(-IPMT('Assumptions &amp; Inputs'!$G$10,H190,'Assumptions &amp; Inputs'!$G$9,$F$182), 0)</f>
        <v>0</v>
      </c>
      <c r="I204" s="8">
        <f>IFERROR(-IPMT('Assumptions &amp; Inputs'!$G$10,I190,'Assumptions &amp; Inputs'!$G$9,$F$182), 0)</f>
        <v>0</v>
      </c>
      <c r="J204" s="8">
        <f>IFERROR(-IPMT('Assumptions &amp; Inputs'!$G$10,J190,'Assumptions &amp; Inputs'!$G$9,$F$182), 0)</f>
        <v>0</v>
      </c>
      <c r="K204" s="8">
        <f>IFERROR(-IPMT('Assumptions &amp; Inputs'!$G$10,K190,'Assumptions &amp; Inputs'!$G$9,$F$182), 0)</f>
        <v>0</v>
      </c>
      <c r="L204" s="8">
        <f>IFERROR(-IPMT('Assumptions &amp; Inputs'!$G$10,L190,'Assumptions &amp; Inputs'!$G$9,$F$182), 0)</f>
        <v>0</v>
      </c>
      <c r="M204" s="8">
        <f>IFERROR(-IPMT('Assumptions &amp; Inputs'!$G$10,M190,'Assumptions &amp; Inputs'!$G$9,$F$182), 0)</f>
        <v>0</v>
      </c>
      <c r="N204" s="8">
        <f>IFERROR(-IPMT('Assumptions &amp; Inputs'!$G$10,N190,'Assumptions &amp; Inputs'!$G$9,$F$182), 0)</f>
        <v>0</v>
      </c>
      <c r="O204" s="8">
        <f>IFERROR(-IPMT('Assumptions &amp; Inputs'!$G$10,O190,'Assumptions &amp; Inputs'!$G$9,$F$182), 0)</f>
        <v>0</v>
      </c>
      <c r="P204" s="8">
        <f>IFERROR(-IPMT('Assumptions &amp; Inputs'!$G$10,P190,'Assumptions &amp; Inputs'!$G$9,$F$182), 0)</f>
        <v>0</v>
      </c>
      <c r="Q204" s="8">
        <f>IFERROR(-IPMT('Assumptions &amp; Inputs'!$G$10,Q190,'Assumptions &amp; Inputs'!$G$9,$F$182), 0)</f>
        <v>0</v>
      </c>
      <c r="R204" s="8">
        <f>IFERROR(-IPMT('Assumptions &amp; Inputs'!$G$10,R190,'Assumptions &amp; Inputs'!$G$9,$F$182), 0)</f>
        <v>0</v>
      </c>
      <c r="S204" s="8">
        <f>IFERROR(-IPMT('Assumptions &amp; Inputs'!$G$10,S190,'Assumptions &amp; Inputs'!$G$9,$F$182), 0)</f>
        <v>0</v>
      </c>
      <c r="T204" s="8">
        <f>IFERROR(-IPMT('Assumptions &amp; Inputs'!$G$10,T190,'Assumptions &amp; Inputs'!$G$9,$F$182), 0)</f>
        <v>0</v>
      </c>
      <c r="U204" s="8">
        <f>IFERROR(-IPMT('Assumptions &amp; Inputs'!$G$10,U190,'Assumptions &amp; Inputs'!$G$9,$F$182), 0)</f>
        <v>0</v>
      </c>
      <c r="V204" s="8">
        <f>IFERROR(-IPMT('Assumptions &amp; Inputs'!$G$10,V190,'Assumptions &amp; Inputs'!$G$9,$F$182), 0)</f>
        <v>0</v>
      </c>
      <c r="W204" s="8">
        <f>IFERROR(-IPMT('Assumptions &amp; Inputs'!$G$10,W190,'Assumptions &amp; Inputs'!$G$9,$F$182), 0)</f>
        <v>0</v>
      </c>
      <c r="X204" s="8">
        <f>IFERROR(-IPMT('Assumptions &amp; Inputs'!$G$10,X190,'Assumptions &amp; Inputs'!$G$9,$F$182), 0)</f>
        <v>0</v>
      </c>
      <c r="Y204" s="8">
        <f>IFERROR(-IPMT('Assumptions &amp; Inputs'!$G$10,Y190,'Assumptions &amp; Inputs'!$G$9,$F$182), 0)</f>
        <v>0</v>
      </c>
      <c r="Z204" s="8">
        <f>IFERROR(-IPMT('Assumptions &amp; Inputs'!$G$10,Z190,'Assumptions &amp; Inputs'!$G$9,$F$182), 0)</f>
        <v>0</v>
      </c>
      <c r="AA204" s="8">
        <f>IFERROR(-IPMT('Assumptions &amp; Inputs'!$G$10,AA190,'Assumptions &amp; Inputs'!$G$9,$F$182), 0)</f>
        <v>0</v>
      </c>
      <c r="AB204" s="8">
        <f>IFERROR(-IPMT('Assumptions &amp; Inputs'!$G$10,AB190,'Assumptions &amp; Inputs'!$G$9,$F$182), 0)</f>
        <v>0</v>
      </c>
      <c r="AC204" s="8">
        <f>IFERROR(-IPMT('Assumptions &amp; Inputs'!$G$10,AC190,'Assumptions &amp; Inputs'!$G$9,$F$182), 0)</f>
        <v>0</v>
      </c>
      <c r="AD204" s="8">
        <f>IFERROR(-IPMT('Assumptions &amp; Inputs'!$G$10,AD190,'Assumptions &amp; Inputs'!$G$9,$F$182), 0)</f>
        <v>0</v>
      </c>
      <c r="AE204" s="8">
        <f>IFERROR(-IPMT('Assumptions &amp; Inputs'!$G$10,AE190,'Assumptions &amp; Inputs'!$G$9,$F$182), 0)</f>
        <v>0</v>
      </c>
      <c r="AF204" s="8">
        <f>IFERROR(-IPMT('Assumptions &amp; Inputs'!$G$10,AF190,'Assumptions &amp; Inputs'!$G$9,$F$182), 0)</f>
        <v>0</v>
      </c>
      <c r="AG204" s="8">
        <f>IFERROR(-IPMT('Assumptions &amp; Inputs'!$G$10,AG190,'Assumptions &amp; Inputs'!$G$9,$F$182), 0)</f>
        <v>0</v>
      </c>
      <c r="AH204" s="8">
        <f>IFERROR(-IPMT('Assumptions &amp; Inputs'!$G$10,AH190,'Assumptions &amp; Inputs'!$G$9,$F$182), 0)</f>
        <v>0</v>
      </c>
      <c r="AI204" s="8">
        <f>IFERROR(-IPMT('Assumptions &amp; Inputs'!$G$10,AI190,'Assumptions &amp; Inputs'!$G$9,$F$182), 0)</f>
        <v>0</v>
      </c>
      <c r="AJ204" s="8">
        <f>IFERROR(-IPMT('Assumptions &amp; Inputs'!$G$10,AJ190,'Assumptions &amp; Inputs'!$G$9,$F$182), 0)</f>
        <v>0</v>
      </c>
      <c r="AK204" s="8">
        <f>IFERROR(-IPMT('Assumptions &amp; Inputs'!$G$10,AK190,'Assumptions &amp; Inputs'!$G$9,$F$182), 0)</f>
        <v>0</v>
      </c>
      <c r="AL204" s="8">
        <f>IFERROR(-IPMT('Assumptions &amp; Inputs'!$G$10,AL190,'Assumptions &amp; Inputs'!$G$9,$F$182), 0)</f>
        <v>0</v>
      </c>
      <c r="AM204" s="8">
        <f>IFERROR(-IPMT('Assumptions &amp; Inputs'!$G$10,AM190,'Assumptions &amp; Inputs'!$G$9,$F$182), 0)</f>
        <v>0</v>
      </c>
      <c r="AN204" s="8">
        <f>IFERROR(-IPMT('Assumptions &amp; Inputs'!$G$10,AN190,'Assumptions &amp; Inputs'!$G$9,$F$182), 0)</f>
        <v>0</v>
      </c>
      <c r="AO204" s="8">
        <f>IFERROR(-IPMT('Assumptions &amp; Inputs'!$G$10,AO190,'Assumptions &amp; Inputs'!$G$9,$F$182), 0)</f>
        <v>0</v>
      </c>
      <c r="AP204" s="8">
        <f>IFERROR(-IPMT('Assumptions &amp; Inputs'!$G$10,AP190,'Assumptions &amp; Inputs'!$G$9,$F$182), 0)</f>
        <v>0</v>
      </c>
      <c r="AQ204" s="8">
        <f>IFERROR(-IPMT('Assumptions &amp; Inputs'!$G$10,AQ190,'Assumptions &amp; Inputs'!$G$9,$F$182), 0)</f>
        <v>0</v>
      </c>
      <c r="AR204" s="8">
        <f>IFERROR(-IPMT('Assumptions &amp; Inputs'!$G$10,AR190,'Assumptions &amp; Inputs'!$G$9,$F$182), 0)</f>
        <v>0</v>
      </c>
      <c r="AS204" s="8">
        <f>IFERROR(-IPMT('Assumptions &amp; Inputs'!$G$10,AS190,'Assumptions &amp; Inputs'!$G$9,$F$182), 0)</f>
        <v>0</v>
      </c>
      <c r="AT204" s="8">
        <f>IFERROR(-IPMT('Assumptions &amp; Inputs'!$G$10,AT190,'Assumptions &amp; Inputs'!$G$9,$F$182), 0)</f>
        <v>0</v>
      </c>
      <c r="AU204" s="8">
        <f>IFERROR(-IPMT('Assumptions &amp; Inputs'!$G$10,AU190,'Assumptions &amp; Inputs'!$G$9,$F$182), 0)</f>
        <v>0</v>
      </c>
      <c r="AV204" s="8">
        <f>IFERROR(-IPMT('Assumptions &amp; Inputs'!$G$10,AV190,'Assumptions &amp; Inputs'!$G$9,$F$182), 0)</f>
        <v>0</v>
      </c>
      <c r="AW204" s="8">
        <f>IFERROR(-IPMT('Assumptions &amp; Inputs'!$G$10,AW190,'Assumptions &amp; Inputs'!$G$9,$F$182), 0)</f>
        <v>0</v>
      </c>
      <c r="AX204" s="8">
        <f>IFERROR(-IPMT('Assumptions &amp; Inputs'!$G$10,AX190,'Assumptions &amp; Inputs'!$G$9,$F$182), 0)</f>
        <v>0</v>
      </c>
    </row>
    <row r="205" spans="1:50" ht="14.25" customHeight="1">
      <c r="A205" s="1"/>
      <c r="B205" s="84"/>
      <c r="C205" s="1" t="s">
        <v>452</v>
      </c>
      <c r="D205" s="1"/>
      <c r="E205" s="1"/>
      <c r="F205" s="8">
        <f>-F201</f>
        <v>0</v>
      </c>
      <c r="G205" s="8">
        <f t="shared" ref="G205:AX205" si="52">-G201</f>
        <v>0</v>
      </c>
      <c r="H205" s="8">
        <f t="shared" si="52"/>
        <v>0</v>
      </c>
      <c r="I205" s="8">
        <f t="shared" si="52"/>
        <v>0</v>
      </c>
      <c r="J205" s="8">
        <f t="shared" si="52"/>
        <v>0</v>
      </c>
      <c r="K205" s="8">
        <f t="shared" si="52"/>
        <v>0</v>
      </c>
      <c r="L205" s="8">
        <f t="shared" si="52"/>
        <v>0</v>
      </c>
      <c r="M205" s="8">
        <f t="shared" si="52"/>
        <v>0</v>
      </c>
      <c r="N205" s="8">
        <f t="shared" si="52"/>
        <v>0</v>
      </c>
      <c r="O205" s="8">
        <f t="shared" si="52"/>
        <v>0</v>
      </c>
      <c r="P205" s="8">
        <f t="shared" si="52"/>
        <v>0</v>
      </c>
      <c r="Q205" s="8">
        <f t="shared" si="52"/>
        <v>0</v>
      </c>
      <c r="R205" s="8">
        <f t="shared" si="52"/>
        <v>0</v>
      </c>
      <c r="S205" s="8">
        <f t="shared" si="52"/>
        <v>0</v>
      </c>
      <c r="T205" s="8">
        <f t="shared" si="52"/>
        <v>0</v>
      </c>
      <c r="U205" s="8">
        <f t="shared" si="52"/>
        <v>0</v>
      </c>
      <c r="V205" s="8">
        <f t="shared" si="52"/>
        <v>0</v>
      </c>
      <c r="W205" s="8">
        <f t="shared" si="52"/>
        <v>0</v>
      </c>
      <c r="X205" s="8">
        <f t="shared" si="52"/>
        <v>0</v>
      </c>
      <c r="Y205" s="8">
        <f t="shared" si="52"/>
        <v>0</v>
      </c>
      <c r="Z205" s="8">
        <f t="shared" si="52"/>
        <v>0</v>
      </c>
      <c r="AA205" s="8">
        <f t="shared" si="52"/>
        <v>0</v>
      </c>
      <c r="AB205" s="8">
        <f t="shared" si="52"/>
        <v>0</v>
      </c>
      <c r="AC205" s="8">
        <f t="shared" si="52"/>
        <v>0</v>
      </c>
      <c r="AD205" s="8">
        <f t="shared" si="52"/>
        <v>0</v>
      </c>
      <c r="AE205" s="8">
        <f t="shared" si="52"/>
        <v>0</v>
      </c>
      <c r="AF205" s="8">
        <f t="shared" si="52"/>
        <v>0</v>
      </c>
      <c r="AG205" s="8">
        <f t="shared" si="52"/>
        <v>0</v>
      </c>
      <c r="AH205" s="8">
        <f t="shared" si="52"/>
        <v>0</v>
      </c>
      <c r="AI205" s="8">
        <f t="shared" si="52"/>
        <v>0</v>
      </c>
      <c r="AJ205" s="8">
        <f t="shared" si="52"/>
        <v>0</v>
      </c>
      <c r="AK205" s="8">
        <f t="shared" si="52"/>
        <v>0</v>
      </c>
      <c r="AL205" s="8">
        <f t="shared" si="52"/>
        <v>0</v>
      </c>
      <c r="AM205" s="8">
        <f t="shared" si="52"/>
        <v>0</v>
      </c>
      <c r="AN205" s="8">
        <f t="shared" si="52"/>
        <v>0</v>
      </c>
      <c r="AO205" s="8">
        <f t="shared" si="52"/>
        <v>0</v>
      </c>
      <c r="AP205" s="8">
        <f t="shared" si="52"/>
        <v>0</v>
      </c>
      <c r="AQ205" s="8">
        <f t="shared" si="52"/>
        <v>0</v>
      </c>
      <c r="AR205" s="8">
        <f t="shared" si="52"/>
        <v>0</v>
      </c>
      <c r="AS205" s="8">
        <f t="shared" si="52"/>
        <v>0</v>
      </c>
      <c r="AT205" s="8">
        <f t="shared" si="52"/>
        <v>0</v>
      </c>
      <c r="AU205" s="8">
        <f t="shared" si="52"/>
        <v>0</v>
      </c>
      <c r="AV205" s="8">
        <f t="shared" si="52"/>
        <v>0</v>
      </c>
      <c r="AW205" s="8">
        <f t="shared" si="52"/>
        <v>0</v>
      </c>
      <c r="AX205" s="8">
        <f t="shared" si="52"/>
        <v>0</v>
      </c>
    </row>
    <row r="206" spans="1:50" ht="14.25" customHeight="1">
      <c r="A206" s="1"/>
      <c r="B206" s="84"/>
      <c r="C206" s="2" t="s">
        <v>444</v>
      </c>
      <c r="D206" s="2"/>
      <c r="E206" s="2"/>
      <c r="F206" s="31">
        <f>_xlfn.XLOOKUP(F$134, 'GEN-CCGT'!$D$32:$BA$32, 'GEN-CCGT'!$D103:$BA103)+_xlfn.XLOOKUP(F$134, 'GEN-SOLAR'!$D$32:$BA$32, 'GEN-SOLAR'!$D103:$BA103)+_xlfn.XLOOKUP(F$134, 'GEN-BESS'!$D$32:$BA$32, 'GEN-BESS'!$D103:$BA103)+_xlfn.XLOOKUP(F$134, 'GEN-CARBON'!$D$32:$BA$32, 'GEN-CARBON'!$D103:$BA103)+_xlfn.XLOOKUP(F$134, Load!$D$32:$BA$32, Load!$D103:$BA103)+_xlfn.XLOOKUP(F$134, Hydrogen!$D$32:$BA$32, Hydrogen!$D103:$BA103)+_xlfn.XLOOKUP(F$134, 'SENS Tires'!$D$32:$BA$32, 'SENS Tires'!$D103:$BA103)+_xlfn.XLOOKUP(F$134, 'SENS Coal'!$D$32:$BA$32, 'SENS Coal'!$D103:$BA103)</f>
        <v>0</v>
      </c>
      <c r="G206" s="31">
        <f>_xlfn.XLOOKUP(G$134, 'GEN-CCGT'!$D$32:$BA$32, 'GEN-CCGT'!$D103:$BA103)+_xlfn.XLOOKUP(G$134, 'GEN-SOLAR'!$D$32:$BA$32, 'GEN-SOLAR'!$D103:$BA103)+_xlfn.XLOOKUP(G$134, 'GEN-BESS'!$D$32:$BA$32, 'GEN-BESS'!$D103:$BA103)+_xlfn.XLOOKUP(G$134, 'GEN-CARBON'!$D$32:$BA$32, 'GEN-CARBON'!$D103:$BA103)+_xlfn.XLOOKUP(G$134, Load!$D$32:$BA$32, Load!$D103:$BA103)+_xlfn.XLOOKUP(G$134, Hydrogen!$D$32:$BA$32, Hydrogen!$D103:$BA103)+_xlfn.XLOOKUP(G$134, 'SENS Tires'!$D$32:$BA$32, 'SENS Tires'!$D103:$BA103)+_xlfn.XLOOKUP(G$134, 'SENS Coal'!$D$32:$BA$32, 'SENS Coal'!$D103:$BA103)</f>
        <v>0</v>
      </c>
      <c r="H206" s="31">
        <f>_xlfn.XLOOKUP(H$134, 'GEN-CCGT'!$D$32:$BA$32, 'GEN-CCGT'!$D103:$BA103)+_xlfn.XLOOKUP(H$134, 'GEN-SOLAR'!$D$32:$BA$32, 'GEN-SOLAR'!$D103:$BA103)+_xlfn.XLOOKUP(H$134, 'GEN-BESS'!$D$32:$BA$32, 'GEN-BESS'!$D103:$BA103)+_xlfn.XLOOKUP(H$134, 'GEN-CARBON'!$D$32:$BA$32, 'GEN-CARBON'!$D103:$BA103)+_xlfn.XLOOKUP(H$134, Load!$D$32:$BA$32, Load!$D103:$BA103)+_xlfn.XLOOKUP(H$134, Hydrogen!$D$32:$BA$32, Hydrogen!$D103:$BA103)+_xlfn.XLOOKUP(H$134, 'SENS Tires'!$D$32:$BA$32, 'SENS Tires'!$D103:$BA103)+_xlfn.XLOOKUP(H$134, 'SENS Coal'!$D$32:$BA$32, 'SENS Coal'!$D103:$BA103)</f>
        <v>0</v>
      </c>
      <c r="I206" s="31">
        <f>_xlfn.XLOOKUP(I$134, 'GEN-CCGT'!$D$32:$BA$32, 'GEN-CCGT'!$D103:$BA103)+_xlfn.XLOOKUP(I$134, 'GEN-SOLAR'!$D$32:$BA$32, 'GEN-SOLAR'!$D103:$BA103)+_xlfn.XLOOKUP(I$134, 'GEN-BESS'!$D$32:$BA$32, 'GEN-BESS'!$D103:$BA103)+_xlfn.XLOOKUP(I$134, 'GEN-CARBON'!$D$32:$BA$32, 'GEN-CARBON'!$D103:$BA103)+_xlfn.XLOOKUP(I$134, Load!$D$32:$BA$32, Load!$D103:$BA103)+_xlfn.XLOOKUP(I$134, Hydrogen!$D$32:$BA$32, Hydrogen!$D103:$BA103)+_xlfn.XLOOKUP(I$134, 'SENS Tires'!$D$32:$BA$32, 'SENS Tires'!$D103:$BA103)+_xlfn.XLOOKUP(I$134, 'SENS Coal'!$D$32:$BA$32, 'SENS Coal'!$D103:$BA103)</f>
        <v>0</v>
      </c>
      <c r="J206" s="31">
        <f>_xlfn.XLOOKUP(J$134, 'GEN-CCGT'!$D$32:$BA$32, 'GEN-CCGT'!$D103:$BA103)+_xlfn.XLOOKUP(J$134, 'GEN-SOLAR'!$D$32:$BA$32, 'GEN-SOLAR'!$D103:$BA103)+_xlfn.XLOOKUP(J$134, 'GEN-BESS'!$D$32:$BA$32, 'GEN-BESS'!$D103:$BA103)+_xlfn.XLOOKUP(J$134, 'GEN-CARBON'!$D$32:$BA$32, 'GEN-CARBON'!$D103:$BA103)+_xlfn.XLOOKUP(J$134, Load!$D$32:$BA$32, Load!$D103:$BA103)+_xlfn.XLOOKUP(J$134, Hydrogen!$D$32:$BA$32, Hydrogen!$D103:$BA103)+_xlfn.XLOOKUP(J$134, 'SENS Tires'!$D$32:$BA$32, 'SENS Tires'!$D103:$BA103)+_xlfn.XLOOKUP(J$134, 'SENS Coal'!$D$32:$BA$32, 'SENS Coal'!$D103:$BA103)</f>
        <v>0</v>
      </c>
      <c r="K206" s="31">
        <f>_xlfn.XLOOKUP(K$134, 'GEN-CCGT'!$D$32:$BA$32, 'GEN-CCGT'!$D103:$BA103)+_xlfn.XLOOKUP(K$134, 'GEN-SOLAR'!$D$32:$BA$32, 'GEN-SOLAR'!$D103:$BA103)+_xlfn.XLOOKUP(K$134, 'GEN-BESS'!$D$32:$BA$32, 'GEN-BESS'!$D103:$BA103)+_xlfn.XLOOKUP(K$134, 'GEN-CARBON'!$D$32:$BA$32, 'GEN-CARBON'!$D103:$BA103)+_xlfn.XLOOKUP(K$134, Load!$D$32:$BA$32, Load!$D103:$BA103)+_xlfn.XLOOKUP(K$134, Hydrogen!$D$32:$BA$32, Hydrogen!$D103:$BA103)+_xlfn.XLOOKUP(K$134, 'SENS Tires'!$D$32:$BA$32, 'SENS Tires'!$D103:$BA103)+_xlfn.XLOOKUP(K$134, 'SENS Coal'!$D$32:$BA$32, 'SENS Coal'!$D103:$BA103)</f>
        <v>0</v>
      </c>
      <c r="L206" s="31">
        <f>_xlfn.XLOOKUP(L$134, 'GEN-CCGT'!$D$32:$BA$32, 'GEN-CCGT'!$D103:$BA103)+_xlfn.XLOOKUP(L$134, 'GEN-SOLAR'!$D$32:$BA$32, 'GEN-SOLAR'!$D103:$BA103)+_xlfn.XLOOKUP(L$134, 'GEN-BESS'!$D$32:$BA$32, 'GEN-BESS'!$D103:$BA103)+_xlfn.XLOOKUP(L$134, 'GEN-CARBON'!$D$32:$BA$32, 'GEN-CARBON'!$D103:$BA103)+_xlfn.XLOOKUP(L$134, Load!$D$32:$BA$32, Load!$D103:$BA103)+_xlfn.XLOOKUP(L$134, Hydrogen!$D$32:$BA$32, Hydrogen!$D103:$BA103)+_xlfn.XLOOKUP(L$134, 'SENS Tires'!$D$32:$BA$32, 'SENS Tires'!$D103:$BA103)+_xlfn.XLOOKUP(L$134, 'SENS Coal'!$D$32:$BA$32, 'SENS Coal'!$D103:$BA103)</f>
        <v>0</v>
      </c>
      <c r="M206" s="31">
        <f>_xlfn.XLOOKUP(M$134, 'GEN-CCGT'!$D$32:$BA$32, 'GEN-CCGT'!$D103:$BA103)+_xlfn.XLOOKUP(M$134, 'GEN-SOLAR'!$D$32:$BA$32, 'GEN-SOLAR'!$D103:$BA103)+_xlfn.XLOOKUP(M$134, 'GEN-BESS'!$D$32:$BA$32, 'GEN-BESS'!$D103:$BA103)+_xlfn.XLOOKUP(M$134, 'GEN-CARBON'!$D$32:$BA$32, 'GEN-CARBON'!$D103:$BA103)+_xlfn.XLOOKUP(M$134, Load!$D$32:$BA$32, Load!$D103:$BA103)+_xlfn.XLOOKUP(M$134, Hydrogen!$D$32:$BA$32, Hydrogen!$D103:$BA103)+_xlfn.XLOOKUP(M$134, 'SENS Tires'!$D$32:$BA$32, 'SENS Tires'!$D103:$BA103)+_xlfn.XLOOKUP(M$134, 'SENS Coal'!$D$32:$BA$32, 'SENS Coal'!$D103:$BA103)</f>
        <v>0</v>
      </c>
      <c r="N206" s="31">
        <f>_xlfn.XLOOKUP(N$134, 'GEN-CCGT'!$D$32:$BA$32, 'GEN-CCGT'!$D103:$BA103)+_xlfn.XLOOKUP(N$134, 'GEN-SOLAR'!$D$32:$BA$32, 'GEN-SOLAR'!$D103:$BA103)+_xlfn.XLOOKUP(N$134, 'GEN-BESS'!$D$32:$BA$32, 'GEN-BESS'!$D103:$BA103)+_xlfn.XLOOKUP(N$134, 'GEN-CARBON'!$D$32:$BA$32, 'GEN-CARBON'!$D103:$BA103)+_xlfn.XLOOKUP(N$134, Load!$D$32:$BA$32, Load!$D103:$BA103)+_xlfn.XLOOKUP(N$134, Hydrogen!$D$32:$BA$32, Hydrogen!$D103:$BA103)+_xlfn.XLOOKUP(N$134, 'SENS Tires'!$D$32:$BA$32, 'SENS Tires'!$D103:$BA103)+_xlfn.XLOOKUP(N$134, 'SENS Coal'!$D$32:$BA$32, 'SENS Coal'!$D103:$BA103)</f>
        <v>0</v>
      </c>
      <c r="O206" s="31">
        <f>_xlfn.XLOOKUP(O$134, 'GEN-CCGT'!$D$32:$BA$32, 'GEN-CCGT'!$D103:$BA103)+_xlfn.XLOOKUP(O$134, 'GEN-SOLAR'!$D$32:$BA$32, 'GEN-SOLAR'!$D103:$BA103)+_xlfn.XLOOKUP(O$134, 'GEN-BESS'!$D$32:$BA$32, 'GEN-BESS'!$D103:$BA103)+_xlfn.XLOOKUP(O$134, 'GEN-CARBON'!$D$32:$BA$32, 'GEN-CARBON'!$D103:$BA103)+_xlfn.XLOOKUP(O$134, Load!$D$32:$BA$32, Load!$D103:$BA103)+_xlfn.XLOOKUP(O$134, Hydrogen!$D$32:$BA$32, Hydrogen!$D103:$BA103)+_xlfn.XLOOKUP(O$134, 'SENS Tires'!$D$32:$BA$32, 'SENS Tires'!$D103:$BA103)+_xlfn.XLOOKUP(O$134, 'SENS Coal'!$D$32:$BA$32, 'SENS Coal'!$D103:$BA103)</f>
        <v>0</v>
      </c>
      <c r="P206" s="31">
        <f>_xlfn.XLOOKUP(P$134, 'GEN-CCGT'!$D$32:$BA$32, 'GEN-CCGT'!$D103:$BA103)+_xlfn.XLOOKUP(P$134, 'GEN-SOLAR'!$D$32:$BA$32, 'GEN-SOLAR'!$D103:$BA103)+_xlfn.XLOOKUP(P$134, 'GEN-BESS'!$D$32:$BA$32, 'GEN-BESS'!$D103:$BA103)+_xlfn.XLOOKUP(P$134, 'GEN-CARBON'!$D$32:$BA$32, 'GEN-CARBON'!$D103:$BA103)+_xlfn.XLOOKUP(P$134, Load!$D$32:$BA$32, Load!$D103:$BA103)+_xlfn.XLOOKUP(P$134, Hydrogen!$D$32:$BA$32, Hydrogen!$D103:$BA103)+_xlfn.XLOOKUP(P$134, 'SENS Tires'!$D$32:$BA$32, 'SENS Tires'!$D103:$BA103)+_xlfn.XLOOKUP(P$134, 'SENS Coal'!$D$32:$BA$32, 'SENS Coal'!$D103:$BA103)</f>
        <v>0</v>
      </c>
      <c r="Q206" s="31">
        <f>_xlfn.XLOOKUP(Q$134, 'GEN-CCGT'!$D$32:$BA$32, 'GEN-CCGT'!$D103:$BA103)+_xlfn.XLOOKUP(Q$134, 'GEN-SOLAR'!$D$32:$BA$32, 'GEN-SOLAR'!$D103:$BA103)+_xlfn.XLOOKUP(Q$134, 'GEN-BESS'!$D$32:$BA$32, 'GEN-BESS'!$D103:$BA103)+_xlfn.XLOOKUP(Q$134, 'GEN-CARBON'!$D$32:$BA$32, 'GEN-CARBON'!$D103:$BA103)+_xlfn.XLOOKUP(Q$134, Load!$D$32:$BA$32, Load!$D103:$BA103)+_xlfn.XLOOKUP(Q$134, Hydrogen!$D$32:$BA$32, Hydrogen!$D103:$BA103)+_xlfn.XLOOKUP(Q$134, 'SENS Tires'!$D$32:$BA$32, 'SENS Tires'!$D103:$BA103)+_xlfn.XLOOKUP(Q$134, 'SENS Coal'!$D$32:$BA$32, 'SENS Coal'!$D103:$BA103)</f>
        <v>0</v>
      </c>
      <c r="R206" s="31">
        <f>_xlfn.XLOOKUP(R$134, 'GEN-CCGT'!$D$32:$BA$32, 'GEN-CCGT'!$D103:$BA103)+_xlfn.XLOOKUP(R$134, 'GEN-SOLAR'!$D$32:$BA$32, 'GEN-SOLAR'!$D103:$BA103)+_xlfn.XLOOKUP(R$134, 'GEN-BESS'!$D$32:$BA$32, 'GEN-BESS'!$D103:$BA103)+_xlfn.XLOOKUP(R$134, 'GEN-CARBON'!$D$32:$BA$32, 'GEN-CARBON'!$D103:$BA103)+_xlfn.XLOOKUP(R$134, Load!$D$32:$BA$32, Load!$D103:$BA103)+_xlfn.XLOOKUP(R$134, Hydrogen!$D$32:$BA$32, Hydrogen!$D103:$BA103)+_xlfn.XLOOKUP(R$134, 'SENS Tires'!$D$32:$BA$32, 'SENS Tires'!$D103:$BA103)+_xlfn.XLOOKUP(R$134, 'SENS Coal'!$D$32:$BA$32, 'SENS Coal'!$D103:$BA103)</f>
        <v>0</v>
      </c>
      <c r="S206" s="31">
        <f>_xlfn.XLOOKUP(S$134, 'GEN-CCGT'!$D$32:$BA$32, 'GEN-CCGT'!$D103:$BA103)+_xlfn.XLOOKUP(S$134, 'GEN-SOLAR'!$D$32:$BA$32, 'GEN-SOLAR'!$D103:$BA103)+_xlfn.XLOOKUP(S$134, 'GEN-BESS'!$D$32:$BA$32, 'GEN-BESS'!$D103:$BA103)+_xlfn.XLOOKUP(S$134, 'GEN-CARBON'!$D$32:$BA$32, 'GEN-CARBON'!$D103:$BA103)+_xlfn.XLOOKUP(S$134, Load!$D$32:$BA$32, Load!$D103:$BA103)+_xlfn.XLOOKUP(S$134, Hydrogen!$D$32:$BA$32, Hydrogen!$D103:$BA103)+_xlfn.XLOOKUP(S$134, 'SENS Tires'!$D$32:$BA$32, 'SENS Tires'!$D103:$BA103)+_xlfn.XLOOKUP(S$134, 'SENS Coal'!$D$32:$BA$32, 'SENS Coal'!$D103:$BA103)</f>
        <v>0</v>
      </c>
      <c r="T206" s="31">
        <f>_xlfn.XLOOKUP(T$134, 'GEN-CCGT'!$D$32:$BA$32, 'GEN-CCGT'!$D103:$BA103)+_xlfn.XLOOKUP(T$134, 'GEN-SOLAR'!$D$32:$BA$32, 'GEN-SOLAR'!$D103:$BA103)+_xlfn.XLOOKUP(T$134, 'GEN-BESS'!$D$32:$BA$32, 'GEN-BESS'!$D103:$BA103)+_xlfn.XLOOKUP(T$134, 'GEN-CARBON'!$D$32:$BA$32, 'GEN-CARBON'!$D103:$BA103)+_xlfn.XLOOKUP(T$134, Load!$D$32:$BA$32, Load!$D103:$BA103)+_xlfn.XLOOKUP(T$134, Hydrogen!$D$32:$BA$32, Hydrogen!$D103:$BA103)+_xlfn.XLOOKUP(T$134, 'SENS Tires'!$D$32:$BA$32, 'SENS Tires'!$D103:$BA103)+_xlfn.XLOOKUP(T$134, 'SENS Coal'!$D$32:$BA$32, 'SENS Coal'!$D103:$BA103)</f>
        <v>0</v>
      </c>
      <c r="U206" s="31">
        <f>_xlfn.XLOOKUP(U$134, 'GEN-CCGT'!$D$32:$BA$32, 'GEN-CCGT'!$D103:$BA103)+_xlfn.XLOOKUP(U$134, 'GEN-SOLAR'!$D$32:$BA$32, 'GEN-SOLAR'!$D103:$BA103)+_xlfn.XLOOKUP(U$134, 'GEN-BESS'!$D$32:$BA$32, 'GEN-BESS'!$D103:$BA103)+_xlfn.XLOOKUP(U$134, 'GEN-CARBON'!$D$32:$BA$32, 'GEN-CARBON'!$D103:$BA103)+_xlfn.XLOOKUP(U$134, Load!$D$32:$BA$32, Load!$D103:$BA103)+_xlfn.XLOOKUP(U$134, Hydrogen!$D$32:$BA$32, Hydrogen!$D103:$BA103)+_xlfn.XLOOKUP(U$134, 'SENS Tires'!$D$32:$BA$32, 'SENS Tires'!$D103:$BA103)+_xlfn.XLOOKUP(U$134, 'SENS Coal'!$D$32:$BA$32, 'SENS Coal'!$D103:$BA103)</f>
        <v>0</v>
      </c>
      <c r="V206" s="31">
        <f>_xlfn.XLOOKUP(V$134, 'GEN-CCGT'!$D$32:$BA$32, 'GEN-CCGT'!$D103:$BA103)+_xlfn.XLOOKUP(V$134, 'GEN-SOLAR'!$D$32:$BA$32, 'GEN-SOLAR'!$D103:$BA103)+_xlfn.XLOOKUP(V$134, 'GEN-BESS'!$D$32:$BA$32, 'GEN-BESS'!$D103:$BA103)+_xlfn.XLOOKUP(V$134, 'GEN-CARBON'!$D$32:$BA$32, 'GEN-CARBON'!$D103:$BA103)+_xlfn.XLOOKUP(V$134, Load!$D$32:$BA$32, Load!$D103:$BA103)+_xlfn.XLOOKUP(V$134, Hydrogen!$D$32:$BA$32, Hydrogen!$D103:$BA103)+_xlfn.XLOOKUP(V$134, 'SENS Tires'!$D$32:$BA$32, 'SENS Tires'!$D103:$BA103)+_xlfn.XLOOKUP(V$134, 'SENS Coal'!$D$32:$BA$32, 'SENS Coal'!$D103:$BA103)</f>
        <v>0</v>
      </c>
      <c r="W206" s="31">
        <f>_xlfn.XLOOKUP(W$134, 'GEN-CCGT'!$D$32:$BA$32, 'GEN-CCGT'!$D103:$BA103)+_xlfn.XLOOKUP(W$134, 'GEN-SOLAR'!$D$32:$BA$32, 'GEN-SOLAR'!$D103:$BA103)+_xlfn.XLOOKUP(W$134, 'GEN-BESS'!$D$32:$BA$32, 'GEN-BESS'!$D103:$BA103)+_xlfn.XLOOKUP(W$134, 'GEN-CARBON'!$D$32:$BA$32, 'GEN-CARBON'!$D103:$BA103)+_xlfn.XLOOKUP(W$134, Load!$D$32:$BA$32, Load!$D103:$BA103)+_xlfn.XLOOKUP(W$134, Hydrogen!$D$32:$BA$32, Hydrogen!$D103:$BA103)+_xlfn.XLOOKUP(W$134, 'SENS Tires'!$D$32:$BA$32, 'SENS Tires'!$D103:$BA103)+_xlfn.XLOOKUP(W$134, 'SENS Coal'!$D$32:$BA$32, 'SENS Coal'!$D103:$BA103)</f>
        <v>0</v>
      </c>
      <c r="X206" s="31">
        <f>_xlfn.XLOOKUP(X$134, 'GEN-CCGT'!$D$32:$BA$32, 'GEN-CCGT'!$D103:$BA103)+_xlfn.XLOOKUP(X$134, 'GEN-SOLAR'!$D$32:$BA$32, 'GEN-SOLAR'!$D103:$BA103)+_xlfn.XLOOKUP(X$134, 'GEN-BESS'!$D$32:$BA$32, 'GEN-BESS'!$D103:$BA103)+_xlfn.XLOOKUP(X$134, 'GEN-CARBON'!$D$32:$BA$32, 'GEN-CARBON'!$D103:$BA103)+_xlfn.XLOOKUP(X$134, Load!$D$32:$BA$32, Load!$D103:$BA103)+_xlfn.XLOOKUP(X$134, Hydrogen!$D$32:$BA$32, Hydrogen!$D103:$BA103)+_xlfn.XLOOKUP(X$134, 'SENS Tires'!$D$32:$BA$32, 'SENS Tires'!$D103:$BA103)+_xlfn.XLOOKUP(X$134, 'SENS Coal'!$D$32:$BA$32, 'SENS Coal'!$D103:$BA103)</f>
        <v>0</v>
      </c>
      <c r="Y206" s="31">
        <f>_xlfn.XLOOKUP(Y$134, 'GEN-CCGT'!$D$32:$BA$32, 'GEN-CCGT'!$D103:$BA103)+_xlfn.XLOOKUP(Y$134, 'GEN-SOLAR'!$D$32:$BA$32, 'GEN-SOLAR'!$D103:$BA103)+_xlfn.XLOOKUP(Y$134, 'GEN-BESS'!$D$32:$BA$32, 'GEN-BESS'!$D103:$BA103)+_xlfn.XLOOKUP(Y$134, 'GEN-CARBON'!$D$32:$BA$32, 'GEN-CARBON'!$D103:$BA103)+_xlfn.XLOOKUP(Y$134, Load!$D$32:$BA$32, Load!$D103:$BA103)+_xlfn.XLOOKUP(Y$134, Hydrogen!$D$32:$BA$32, Hydrogen!$D103:$BA103)+_xlfn.XLOOKUP(Y$134, 'SENS Tires'!$D$32:$BA$32, 'SENS Tires'!$D103:$BA103)+_xlfn.XLOOKUP(Y$134, 'SENS Coal'!$D$32:$BA$32, 'SENS Coal'!$D103:$BA103)</f>
        <v>0</v>
      </c>
      <c r="Z206" s="31">
        <f>_xlfn.XLOOKUP(Z$134, 'GEN-CCGT'!$D$32:$BA$32, 'GEN-CCGT'!$D103:$BA103)+_xlfn.XLOOKUP(Z$134, 'GEN-SOLAR'!$D$32:$BA$32, 'GEN-SOLAR'!$D103:$BA103)+_xlfn.XLOOKUP(Z$134, 'GEN-BESS'!$D$32:$BA$32, 'GEN-BESS'!$D103:$BA103)+_xlfn.XLOOKUP(Z$134, 'GEN-CARBON'!$D$32:$BA$32, 'GEN-CARBON'!$D103:$BA103)+_xlfn.XLOOKUP(Z$134, Load!$D$32:$BA$32, Load!$D103:$BA103)+_xlfn.XLOOKUP(Z$134, Hydrogen!$D$32:$BA$32, Hydrogen!$D103:$BA103)+_xlfn.XLOOKUP(Z$134, 'SENS Tires'!$D$32:$BA$32, 'SENS Tires'!$D103:$BA103)+_xlfn.XLOOKUP(Z$134, 'SENS Coal'!$D$32:$BA$32, 'SENS Coal'!$D103:$BA103)</f>
        <v>0</v>
      </c>
      <c r="AA206" s="31">
        <f>_xlfn.XLOOKUP(AA$134, 'GEN-CCGT'!$D$32:$BA$32, 'GEN-CCGT'!$D103:$BA103)+_xlfn.XLOOKUP(AA$134, 'GEN-SOLAR'!$D$32:$BA$32, 'GEN-SOLAR'!$D103:$BA103)+_xlfn.XLOOKUP(AA$134, 'GEN-BESS'!$D$32:$BA$32, 'GEN-BESS'!$D103:$BA103)+_xlfn.XLOOKUP(AA$134, 'GEN-CARBON'!$D$32:$BA$32, 'GEN-CARBON'!$D103:$BA103)+_xlfn.XLOOKUP(AA$134, Load!$D$32:$BA$32, Load!$D103:$BA103)+_xlfn.XLOOKUP(AA$134, Hydrogen!$D$32:$BA$32, Hydrogen!$D103:$BA103)+_xlfn.XLOOKUP(AA$134, 'SENS Tires'!$D$32:$BA$32, 'SENS Tires'!$D103:$BA103)+_xlfn.XLOOKUP(AA$134, 'SENS Coal'!$D$32:$BA$32, 'SENS Coal'!$D103:$BA103)</f>
        <v>0</v>
      </c>
      <c r="AB206" s="31">
        <f>_xlfn.XLOOKUP(AB$134, 'GEN-CCGT'!$D$32:$BA$32, 'GEN-CCGT'!$D103:$BA103)+_xlfn.XLOOKUP(AB$134, 'GEN-SOLAR'!$D$32:$BA$32, 'GEN-SOLAR'!$D103:$BA103)+_xlfn.XLOOKUP(AB$134, 'GEN-BESS'!$D$32:$BA$32, 'GEN-BESS'!$D103:$BA103)+_xlfn.XLOOKUP(AB$134, 'GEN-CARBON'!$D$32:$BA$32, 'GEN-CARBON'!$D103:$BA103)+_xlfn.XLOOKUP(AB$134, Load!$D$32:$BA$32, Load!$D103:$BA103)+_xlfn.XLOOKUP(AB$134, Hydrogen!$D$32:$BA$32, Hydrogen!$D103:$BA103)+_xlfn.XLOOKUP(AB$134, 'SENS Tires'!$D$32:$BA$32, 'SENS Tires'!$D103:$BA103)+_xlfn.XLOOKUP(AB$134, 'SENS Coal'!$D$32:$BA$32, 'SENS Coal'!$D103:$BA103)</f>
        <v>0</v>
      </c>
      <c r="AC206" s="31">
        <f>_xlfn.XLOOKUP(AC$134, 'GEN-CCGT'!$D$32:$BA$32, 'GEN-CCGT'!$D103:$BA103)+_xlfn.XLOOKUP(AC$134, 'GEN-SOLAR'!$D$32:$BA$32, 'GEN-SOLAR'!$D103:$BA103)+_xlfn.XLOOKUP(AC$134, 'GEN-BESS'!$D$32:$BA$32, 'GEN-BESS'!$D103:$BA103)+_xlfn.XLOOKUP(AC$134, 'GEN-CARBON'!$D$32:$BA$32, 'GEN-CARBON'!$D103:$BA103)+_xlfn.XLOOKUP(AC$134, Load!$D$32:$BA$32, Load!$D103:$BA103)+_xlfn.XLOOKUP(AC$134, Hydrogen!$D$32:$BA$32, Hydrogen!$D103:$BA103)+_xlfn.XLOOKUP(AC$134, 'SENS Tires'!$D$32:$BA$32, 'SENS Tires'!$D103:$BA103)+_xlfn.XLOOKUP(AC$134, 'SENS Coal'!$D$32:$BA$32, 'SENS Coal'!$D103:$BA103)</f>
        <v>0</v>
      </c>
      <c r="AD206" s="31">
        <f>_xlfn.XLOOKUP(AD$134, 'GEN-CCGT'!$D$32:$BA$32, 'GEN-CCGT'!$D103:$BA103)+_xlfn.XLOOKUP(AD$134, 'GEN-SOLAR'!$D$32:$BA$32, 'GEN-SOLAR'!$D103:$BA103)+_xlfn.XLOOKUP(AD$134, 'GEN-BESS'!$D$32:$BA$32, 'GEN-BESS'!$D103:$BA103)+_xlfn.XLOOKUP(AD$134, 'GEN-CARBON'!$D$32:$BA$32, 'GEN-CARBON'!$D103:$BA103)+_xlfn.XLOOKUP(AD$134, Load!$D$32:$BA$32, Load!$D103:$BA103)+_xlfn.XLOOKUP(AD$134, Hydrogen!$D$32:$BA$32, Hydrogen!$D103:$BA103)+_xlfn.XLOOKUP(AD$134, 'SENS Tires'!$D$32:$BA$32, 'SENS Tires'!$D103:$BA103)+_xlfn.XLOOKUP(AD$134, 'SENS Coal'!$D$32:$BA$32, 'SENS Coal'!$D103:$BA103)</f>
        <v>0</v>
      </c>
      <c r="AE206" s="31">
        <f>_xlfn.XLOOKUP(AE$134, 'GEN-CCGT'!$D$32:$BA$32, 'GEN-CCGT'!$D103:$BA103)+_xlfn.XLOOKUP(AE$134, 'GEN-SOLAR'!$D$32:$BA$32, 'GEN-SOLAR'!$D103:$BA103)+_xlfn.XLOOKUP(AE$134, 'GEN-BESS'!$D$32:$BA$32, 'GEN-BESS'!$D103:$BA103)+_xlfn.XLOOKUP(AE$134, 'GEN-CARBON'!$D$32:$BA$32, 'GEN-CARBON'!$D103:$BA103)+_xlfn.XLOOKUP(AE$134, Load!$D$32:$BA$32, Load!$D103:$BA103)+_xlfn.XLOOKUP(AE$134, Hydrogen!$D$32:$BA$32, Hydrogen!$D103:$BA103)+_xlfn.XLOOKUP(AE$134, 'SENS Tires'!$D$32:$BA$32, 'SENS Tires'!$D103:$BA103)+_xlfn.XLOOKUP(AE$134, 'SENS Coal'!$D$32:$BA$32, 'SENS Coal'!$D103:$BA103)</f>
        <v>0</v>
      </c>
      <c r="AF206" s="31">
        <f>_xlfn.XLOOKUP(AF$134, 'GEN-CCGT'!$D$32:$BA$32, 'GEN-CCGT'!$D103:$BA103)+_xlfn.XLOOKUP(AF$134, 'GEN-SOLAR'!$D$32:$BA$32, 'GEN-SOLAR'!$D103:$BA103)+_xlfn.XLOOKUP(AF$134, 'GEN-BESS'!$D$32:$BA$32, 'GEN-BESS'!$D103:$BA103)+_xlfn.XLOOKUP(AF$134, 'GEN-CARBON'!$D$32:$BA$32, 'GEN-CARBON'!$D103:$BA103)+_xlfn.XLOOKUP(AF$134, Load!$D$32:$BA$32, Load!$D103:$BA103)+_xlfn.XLOOKUP(AF$134, Hydrogen!$D$32:$BA$32, Hydrogen!$D103:$BA103)+_xlfn.XLOOKUP(AF$134, 'SENS Tires'!$D$32:$BA$32, 'SENS Tires'!$D103:$BA103)+_xlfn.XLOOKUP(AF$134, 'SENS Coal'!$D$32:$BA$32, 'SENS Coal'!$D103:$BA103)</f>
        <v>0</v>
      </c>
      <c r="AG206" s="31">
        <f>_xlfn.XLOOKUP(AG$134, 'GEN-CCGT'!$D$32:$BA$32, 'GEN-CCGT'!$D103:$BA103)+_xlfn.XLOOKUP(AG$134, 'GEN-SOLAR'!$D$32:$BA$32, 'GEN-SOLAR'!$D103:$BA103)+_xlfn.XLOOKUP(AG$134, 'GEN-BESS'!$D$32:$BA$32, 'GEN-BESS'!$D103:$BA103)+_xlfn.XLOOKUP(AG$134, 'GEN-CARBON'!$D$32:$BA$32, 'GEN-CARBON'!$D103:$BA103)+_xlfn.XLOOKUP(AG$134, Load!$D$32:$BA$32, Load!$D103:$BA103)+_xlfn.XLOOKUP(AG$134, Hydrogen!$D$32:$BA$32, Hydrogen!$D103:$BA103)+_xlfn.XLOOKUP(AG$134, 'SENS Tires'!$D$32:$BA$32, 'SENS Tires'!$D103:$BA103)+_xlfn.XLOOKUP(AG$134, 'SENS Coal'!$D$32:$BA$32, 'SENS Coal'!$D103:$BA103)</f>
        <v>0</v>
      </c>
      <c r="AH206" s="31">
        <f>_xlfn.XLOOKUP(AH$134, 'GEN-CCGT'!$D$32:$BA$32, 'GEN-CCGT'!$D103:$BA103)+_xlfn.XLOOKUP(AH$134, 'GEN-SOLAR'!$D$32:$BA$32, 'GEN-SOLAR'!$D103:$BA103)+_xlfn.XLOOKUP(AH$134, 'GEN-BESS'!$D$32:$BA$32, 'GEN-BESS'!$D103:$BA103)+_xlfn.XLOOKUP(AH$134, 'GEN-CARBON'!$D$32:$BA$32, 'GEN-CARBON'!$D103:$BA103)+_xlfn.XLOOKUP(AH$134, Load!$D$32:$BA$32, Load!$D103:$BA103)+_xlfn.XLOOKUP(AH$134, Hydrogen!$D$32:$BA$32, Hydrogen!$D103:$BA103)+_xlfn.XLOOKUP(AH$134, 'SENS Tires'!$D$32:$BA$32, 'SENS Tires'!$D103:$BA103)+_xlfn.XLOOKUP(AH$134, 'SENS Coal'!$D$32:$BA$32, 'SENS Coal'!$D103:$BA103)</f>
        <v>0</v>
      </c>
      <c r="AI206" s="31">
        <f>_xlfn.XLOOKUP(AI$134, 'GEN-CCGT'!$D$32:$BA$32, 'GEN-CCGT'!$D103:$BA103)+_xlfn.XLOOKUP(AI$134, 'GEN-SOLAR'!$D$32:$BA$32, 'GEN-SOLAR'!$D103:$BA103)+_xlfn.XLOOKUP(AI$134, 'GEN-BESS'!$D$32:$BA$32, 'GEN-BESS'!$D103:$BA103)+_xlfn.XLOOKUP(AI$134, 'GEN-CARBON'!$D$32:$BA$32, 'GEN-CARBON'!$D103:$BA103)+_xlfn.XLOOKUP(AI$134, Load!$D$32:$BA$32, Load!$D103:$BA103)+_xlfn.XLOOKUP(AI$134, Hydrogen!$D$32:$BA$32, Hydrogen!$D103:$BA103)+_xlfn.XLOOKUP(AI$134, 'SENS Tires'!$D$32:$BA$32, 'SENS Tires'!$D103:$BA103)+_xlfn.XLOOKUP(AI$134, 'SENS Coal'!$D$32:$BA$32, 'SENS Coal'!$D103:$BA103)</f>
        <v>0</v>
      </c>
      <c r="AJ206" s="31">
        <f>_xlfn.XLOOKUP(AJ$134, 'GEN-CCGT'!$D$32:$BA$32, 'GEN-CCGT'!$D103:$BA103)+_xlfn.XLOOKUP(AJ$134, 'GEN-SOLAR'!$D$32:$BA$32, 'GEN-SOLAR'!$D103:$BA103)+_xlfn.XLOOKUP(AJ$134, 'GEN-BESS'!$D$32:$BA$32, 'GEN-BESS'!$D103:$BA103)+_xlfn.XLOOKUP(AJ$134, 'GEN-CARBON'!$D$32:$BA$32, 'GEN-CARBON'!$D103:$BA103)+_xlfn.XLOOKUP(AJ$134, Load!$D$32:$BA$32, Load!$D103:$BA103)+_xlfn.XLOOKUP(AJ$134, Hydrogen!$D$32:$BA$32, Hydrogen!$D103:$BA103)+_xlfn.XLOOKUP(AJ$134, 'SENS Tires'!$D$32:$BA$32, 'SENS Tires'!$D103:$BA103)+_xlfn.XLOOKUP(AJ$134, 'SENS Coal'!$D$32:$BA$32, 'SENS Coal'!$D103:$BA103)</f>
        <v>0</v>
      </c>
      <c r="AK206" s="31">
        <f>_xlfn.XLOOKUP(AK$134, 'GEN-CCGT'!$D$32:$BA$32, 'GEN-CCGT'!$D103:$BA103)+_xlfn.XLOOKUP(AK$134, 'GEN-SOLAR'!$D$32:$BA$32, 'GEN-SOLAR'!$D103:$BA103)+_xlfn.XLOOKUP(AK$134, 'GEN-BESS'!$D$32:$BA$32, 'GEN-BESS'!$D103:$BA103)+_xlfn.XLOOKUP(AK$134, 'GEN-CARBON'!$D$32:$BA$32, 'GEN-CARBON'!$D103:$BA103)+_xlfn.XLOOKUP(AK$134, Load!$D$32:$BA$32, Load!$D103:$BA103)+_xlfn.XLOOKUP(AK$134, Hydrogen!$D$32:$BA$32, Hydrogen!$D103:$BA103)+_xlfn.XLOOKUP(AK$134, 'SENS Tires'!$D$32:$BA$32, 'SENS Tires'!$D103:$BA103)+_xlfn.XLOOKUP(AK$134, 'SENS Coal'!$D$32:$BA$32, 'SENS Coal'!$D103:$BA103)</f>
        <v>0</v>
      </c>
      <c r="AL206" s="31">
        <f>_xlfn.XLOOKUP(AL$134, 'GEN-CCGT'!$D$32:$BA$32, 'GEN-CCGT'!$D103:$BA103)+_xlfn.XLOOKUP(AL$134, 'GEN-SOLAR'!$D$32:$BA$32, 'GEN-SOLAR'!$D103:$BA103)+_xlfn.XLOOKUP(AL$134, 'GEN-BESS'!$D$32:$BA$32, 'GEN-BESS'!$D103:$BA103)+_xlfn.XLOOKUP(AL$134, 'GEN-CARBON'!$D$32:$BA$32, 'GEN-CARBON'!$D103:$BA103)+_xlfn.XLOOKUP(AL$134, Load!$D$32:$BA$32, Load!$D103:$BA103)+_xlfn.XLOOKUP(AL$134, Hydrogen!$D$32:$BA$32, Hydrogen!$D103:$BA103)+_xlfn.XLOOKUP(AL$134, 'SENS Tires'!$D$32:$BA$32, 'SENS Tires'!$D103:$BA103)+_xlfn.XLOOKUP(AL$134, 'SENS Coal'!$D$32:$BA$32, 'SENS Coal'!$D103:$BA103)</f>
        <v>0</v>
      </c>
      <c r="AM206" s="31">
        <f>_xlfn.XLOOKUP(AM$134, 'GEN-CCGT'!$D$32:$BA$32, 'GEN-CCGT'!$D103:$BA103)+_xlfn.XLOOKUP(AM$134, 'GEN-SOLAR'!$D$32:$BA$32, 'GEN-SOLAR'!$D103:$BA103)+_xlfn.XLOOKUP(AM$134, 'GEN-BESS'!$D$32:$BA$32, 'GEN-BESS'!$D103:$BA103)+_xlfn.XLOOKUP(AM$134, 'GEN-CARBON'!$D$32:$BA$32, 'GEN-CARBON'!$D103:$BA103)+_xlfn.XLOOKUP(AM$134, Load!$D$32:$BA$32, Load!$D103:$BA103)+_xlfn.XLOOKUP(AM$134, Hydrogen!$D$32:$BA$32, Hydrogen!$D103:$BA103)+_xlfn.XLOOKUP(AM$134, 'SENS Tires'!$D$32:$BA$32, 'SENS Tires'!$D103:$BA103)+_xlfn.XLOOKUP(AM$134, 'SENS Coal'!$D$32:$BA$32, 'SENS Coal'!$D103:$BA103)</f>
        <v>0</v>
      </c>
      <c r="AN206" s="31">
        <f>_xlfn.XLOOKUP(AN$134, 'GEN-CCGT'!$D$32:$BA$32, 'GEN-CCGT'!$D103:$BA103)+_xlfn.XLOOKUP(AN$134, 'GEN-SOLAR'!$D$32:$BA$32, 'GEN-SOLAR'!$D103:$BA103)+_xlfn.XLOOKUP(AN$134, 'GEN-BESS'!$D$32:$BA$32, 'GEN-BESS'!$D103:$BA103)+_xlfn.XLOOKUP(AN$134, 'GEN-CARBON'!$D$32:$BA$32, 'GEN-CARBON'!$D103:$BA103)+_xlfn.XLOOKUP(AN$134, Load!$D$32:$BA$32, Load!$D103:$BA103)+_xlfn.XLOOKUP(AN$134, Hydrogen!$D$32:$BA$32, Hydrogen!$D103:$BA103)+_xlfn.XLOOKUP(AN$134, 'SENS Tires'!$D$32:$BA$32, 'SENS Tires'!$D103:$BA103)+_xlfn.XLOOKUP(AN$134, 'SENS Coal'!$D$32:$BA$32, 'SENS Coal'!$D103:$BA103)</f>
        <v>0</v>
      </c>
      <c r="AO206" s="31">
        <f>_xlfn.XLOOKUP(AO$134, 'GEN-CCGT'!$D$32:$BA$32, 'GEN-CCGT'!$D103:$BA103)+_xlfn.XLOOKUP(AO$134, 'GEN-SOLAR'!$D$32:$BA$32, 'GEN-SOLAR'!$D103:$BA103)+_xlfn.XLOOKUP(AO$134, 'GEN-BESS'!$D$32:$BA$32, 'GEN-BESS'!$D103:$BA103)+_xlfn.XLOOKUP(AO$134, 'GEN-CARBON'!$D$32:$BA$32, 'GEN-CARBON'!$D103:$BA103)+_xlfn.XLOOKUP(AO$134, Load!$D$32:$BA$32, Load!$D103:$BA103)+_xlfn.XLOOKUP(AO$134, Hydrogen!$D$32:$BA$32, Hydrogen!$D103:$BA103)+_xlfn.XLOOKUP(AO$134, 'SENS Tires'!$D$32:$BA$32, 'SENS Tires'!$D103:$BA103)+_xlfn.XLOOKUP(AO$134, 'SENS Coal'!$D$32:$BA$32, 'SENS Coal'!$D103:$BA103)</f>
        <v>0</v>
      </c>
      <c r="AP206" s="31">
        <f>_xlfn.XLOOKUP(AP$134, 'GEN-CCGT'!$D$32:$BA$32, 'GEN-CCGT'!$D103:$BA103)+_xlfn.XLOOKUP(AP$134, 'GEN-SOLAR'!$D$32:$BA$32, 'GEN-SOLAR'!$D103:$BA103)+_xlfn.XLOOKUP(AP$134, 'GEN-BESS'!$D$32:$BA$32, 'GEN-BESS'!$D103:$BA103)+_xlfn.XLOOKUP(AP$134, 'GEN-CARBON'!$D$32:$BA$32, 'GEN-CARBON'!$D103:$BA103)+_xlfn.XLOOKUP(AP$134, Load!$D$32:$BA$32, Load!$D103:$BA103)+_xlfn.XLOOKUP(AP$134, Hydrogen!$D$32:$BA$32, Hydrogen!$D103:$BA103)+_xlfn.XLOOKUP(AP$134, 'SENS Tires'!$D$32:$BA$32, 'SENS Tires'!$D103:$BA103)+_xlfn.XLOOKUP(AP$134, 'SENS Coal'!$D$32:$BA$32, 'SENS Coal'!$D103:$BA103)</f>
        <v>0</v>
      </c>
      <c r="AQ206" s="31">
        <f>_xlfn.XLOOKUP(AQ$134, 'GEN-CCGT'!$D$32:$BA$32, 'GEN-CCGT'!$D103:$BA103)+_xlfn.XLOOKUP(AQ$134, 'GEN-SOLAR'!$D$32:$BA$32, 'GEN-SOLAR'!$D103:$BA103)+_xlfn.XLOOKUP(AQ$134, 'GEN-BESS'!$D$32:$BA$32, 'GEN-BESS'!$D103:$BA103)+_xlfn.XLOOKUP(AQ$134, 'GEN-CARBON'!$D$32:$BA$32, 'GEN-CARBON'!$D103:$BA103)+_xlfn.XLOOKUP(AQ$134, Load!$D$32:$BA$32, Load!$D103:$BA103)+_xlfn.XLOOKUP(AQ$134, Hydrogen!$D$32:$BA$32, Hydrogen!$D103:$BA103)+_xlfn.XLOOKUP(AQ$134, 'SENS Tires'!$D$32:$BA$32, 'SENS Tires'!$D103:$BA103)+_xlfn.XLOOKUP(AQ$134, 'SENS Coal'!$D$32:$BA$32, 'SENS Coal'!$D103:$BA103)</f>
        <v>0</v>
      </c>
      <c r="AR206" s="31">
        <f>_xlfn.XLOOKUP(AR$134, 'GEN-CCGT'!$D$32:$BA$32, 'GEN-CCGT'!$D103:$BA103)+_xlfn.XLOOKUP(AR$134, 'GEN-SOLAR'!$D$32:$BA$32, 'GEN-SOLAR'!$D103:$BA103)+_xlfn.XLOOKUP(AR$134, 'GEN-BESS'!$D$32:$BA$32, 'GEN-BESS'!$D103:$BA103)+_xlfn.XLOOKUP(AR$134, 'GEN-CARBON'!$D$32:$BA$32, 'GEN-CARBON'!$D103:$BA103)+_xlfn.XLOOKUP(AR$134, Load!$D$32:$BA$32, Load!$D103:$BA103)+_xlfn.XLOOKUP(AR$134, Hydrogen!$D$32:$BA$32, Hydrogen!$D103:$BA103)+_xlfn.XLOOKUP(AR$134, 'SENS Tires'!$D$32:$BA$32, 'SENS Tires'!$D103:$BA103)+_xlfn.XLOOKUP(AR$134, 'SENS Coal'!$D$32:$BA$32, 'SENS Coal'!$D103:$BA103)</f>
        <v>0</v>
      </c>
      <c r="AS206" s="31">
        <f>_xlfn.XLOOKUP(AS$134, 'GEN-CCGT'!$D$32:$BA$32, 'GEN-CCGT'!$D103:$BA103)+_xlfn.XLOOKUP(AS$134, 'GEN-SOLAR'!$D$32:$BA$32, 'GEN-SOLAR'!$D103:$BA103)+_xlfn.XLOOKUP(AS$134, 'GEN-BESS'!$D$32:$BA$32, 'GEN-BESS'!$D103:$BA103)+_xlfn.XLOOKUP(AS$134, 'GEN-CARBON'!$D$32:$BA$32, 'GEN-CARBON'!$D103:$BA103)+_xlfn.XLOOKUP(AS$134, Load!$D$32:$BA$32, Load!$D103:$BA103)+_xlfn.XLOOKUP(AS$134, Hydrogen!$D$32:$BA$32, Hydrogen!$D103:$BA103)+_xlfn.XLOOKUP(AS$134, 'SENS Tires'!$D$32:$BA$32, 'SENS Tires'!$D103:$BA103)+_xlfn.XLOOKUP(AS$134, 'SENS Coal'!$D$32:$BA$32, 'SENS Coal'!$D103:$BA103)</f>
        <v>0</v>
      </c>
      <c r="AT206" s="31">
        <f>_xlfn.XLOOKUP(AT$134, 'GEN-CCGT'!$D$32:$BA$32, 'GEN-CCGT'!$D103:$BA103)+_xlfn.XLOOKUP(AT$134, 'GEN-SOLAR'!$D$32:$BA$32, 'GEN-SOLAR'!$D103:$BA103)+_xlfn.XLOOKUP(AT$134, 'GEN-BESS'!$D$32:$BA$32, 'GEN-BESS'!$D103:$BA103)+_xlfn.XLOOKUP(AT$134, 'GEN-CARBON'!$D$32:$BA$32, 'GEN-CARBON'!$D103:$BA103)+_xlfn.XLOOKUP(AT$134, Load!$D$32:$BA$32, Load!$D103:$BA103)+_xlfn.XLOOKUP(AT$134, Hydrogen!$D$32:$BA$32, Hydrogen!$D103:$BA103)+_xlfn.XLOOKUP(AT$134, 'SENS Tires'!$D$32:$BA$32, 'SENS Tires'!$D103:$BA103)+_xlfn.XLOOKUP(AT$134, 'SENS Coal'!$D$32:$BA$32, 'SENS Coal'!$D103:$BA103)</f>
        <v>0</v>
      </c>
      <c r="AU206" s="31">
        <f>_xlfn.XLOOKUP(AU$134, 'GEN-CCGT'!$D$32:$BA$32, 'GEN-CCGT'!$D103:$BA103)+_xlfn.XLOOKUP(AU$134, 'GEN-SOLAR'!$D$32:$BA$32, 'GEN-SOLAR'!$D103:$BA103)+_xlfn.XLOOKUP(AU$134, 'GEN-BESS'!$D$32:$BA$32, 'GEN-BESS'!$D103:$BA103)+_xlfn.XLOOKUP(AU$134, 'GEN-CARBON'!$D$32:$BA$32, 'GEN-CARBON'!$D103:$BA103)+_xlfn.XLOOKUP(AU$134, Load!$D$32:$BA$32, Load!$D103:$BA103)+_xlfn.XLOOKUP(AU$134, Hydrogen!$D$32:$BA$32, Hydrogen!$D103:$BA103)+_xlfn.XLOOKUP(AU$134, 'SENS Tires'!$D$32:$BA$32, 'SENS Tires'!$D103:$BA103)+_xlfn.XLOOKUP(AU$134, 'SENS Coal'!$D$32:$BA$32, 'SENS Coal'!$D103:$BA103)</f>
        <v>0</v>
      </c>
      <c r="AV206" s="31">
        <f>_xlfn.XLOOKUP(AV$134, 'GEN-CCGT'!$D$32:$BA$32, 'GEN-CCGT'!$D103:$BA103)+_xlfn.XLOOKUP(AV$134, 'GEN-SOLAR'!$D$32:$BA$32, 'GEN-SOLAR'!$D103:$BA103)+_xlfn.XLOOKUP(AV$134, 'GEN-BESS'!$D$32:$BA$32, 'GEN-BESS'!$D103:$BA103)+_xlfn.XLOOKUP(AV$134, 'GEN-CARBON'!$D$32:$BA$32, 'GEN-CARBON'!$D103:$BA103)+_xlfn.XLOOKUP(AV$134, Load!$D$32:$BA$32, Load!$D103:$BA103)+_xlfn.XLOOKUP(AV$134, Hydrogen!$D$32:$BA$32, Hydrogen!$D103:$BA103)+_xlfn.XLOOKUP(AV$134, 'SENS Tires'!$D$32:$BA$32, 'SENS Tires'!$D103:$BA103)+_xlfn.XLOOKUP(AV$134, 'SENS Coal'!$D$32:$BA$32, 'SENS Coal'!$D103:$BA103)</f>
        <v>0</v>
      </c>
      <c r="AW206" s="31">
        <f>_xlfn.XLOOKUP(AW$134, 'GEN-CCGT'!$D$32:$BA$32, 'GEN-CCGT'!$D103:$BA103)+_xlfn.XLOOKUP(AW$134, 'GEN-SOLAR'!$D$32:$BA$32, 'GEN-SOLAR'!$D103:$BA103)+_xlfn.XLOOKUP(AW$134, 'GEN-BESS'!$D$32:$BA$32, 'GEN-BESS'!$D103:$BA103)+_xlfn.XLOOKUP(AW$134, 'GEN-CARBON'!$D$32:$BA$32, 'GEN-CARBON'!$D103:$BA103)+_xlfn.XLOOKUP(AW$134, Load!$D$32:$BA$32, Load!$D103:$BA103)+_xlfn.XLOOKUP(AW$134, Hydrogen!$D$32:$BA$32, Hydrogen!$D103:$BA103)+_xlfn.XLOOKUP(AW$134, 'SENS Tires'!$D$32:$BA$32, 'SENS Tires'!$D103:$BA103)+_xlfn.XLOOKUP(AW$134, 'SENS Coal'!$D$32:$BA$32, 'SENS Coal'!$D103:$BA103)</f>
        <v>0</v>
      </c>
      <c r="AX206" s="31">
        <f>_xlfn.XLOOKUP(AX$134, 'GEN-CCGT'!$D$32:$BA$32, 'GEN-CCGT'!$D103:$BA103)+_xlfn.XLOOKUP(AX$134, 'GEN-SOLAR'!$D$32:$BA$32, 'GEN-SOLAR'!$D103:$BA103)+_xlfn.XLOOKUP(AX$134, 'GEN-BESS'!$D$32:$BA$32, 'GEN-BESS'!$D103:$BA103)+_xlfn.XLOOKUP(AX$134, 'GEN-CARBON'!$D$32:$BA$32, 'GEN-CARBON'!$D103:$BA103)+_xlfn.XLOOKUP(AX$134, Load!$D$32:$BA$32, Load!$D103:$BA103)+_xlfn.XLOOKUP(AX$134, Hydrogen!$D$32:$BA$32, Hydrogen!$D103:$BA103)+_xlfn.XLOOKUP(AX$134, 'SENS Tires'!$D$32:$BA$32, 'SENS Tires'!$D103:$BA103)+_xlfn.XLOOKUP(AX$134, 'SENS Coal'!$D$32:$BA$32, 'SENS Coal'!$D103:$BA103)</f>
        <v>0</v>
      </c>
    </row>
    <row r="207" spans="1:50" ht="14.25" customHeight="1">
      <c r="A207" s="1"/>
      <c r="B207" s="1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</row>
    <row r="208" spans="1:50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747"/>
      <c r="AO209" s="747"/>
      <c r="AP209" s="747"/>
      <c r="AQ209" s="747"/>
      <c r="AR209" s="747"/>
      <c r="AS209" s="747"/>
      <c r="AT209" s="747"/>
      <c r="AU209" s="747"/>
      <c r="AV209" s="747"/>
      <c r="AW209" s="747"/>
      <c r="AX209" s="747"/>
    </row>
    <row r="210" spans="1:50" ht="14.25" customHeight="1">
      <c r="A210" s="1"/>
      <c r="B210" s="1"/>
      <c r="C210" s="1"/>
      <c r="D210" s="506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747"/>
      <c r="AO210" s="747"/>
      <c r="AP210" s="747"/>
      <c r="AQ210" s="747"/>
      <c r="AR210" s="747"/>
      <c r="AS210" s="747"/>
      <c r="AT210" s="747"/>
      <c r="AU210" s="747"/>
      <c r="AV210" s="747"/>
      <c r="AW210" s="747"/>
      <c r="AX210" s="747"/>
    </row>
    <row r="211" spans="1:50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747"/>
      <c r="AO211" s="747"/>
      <c r="AP211" s="747"/>
      <c r="AQ211" s="747"/>
      <c r="AR211" s="747"/>
      <c r="AS211" s="747"/>
      <c r="AT211" s="747"/>
      <c r="AU211" s="747"/>
      <c r="AV211" s="747"/>
      <c r="AW211" s="747"/>
      <c r="AX211" s="747"/>
    </row>
    <row r="212" spans="1:50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747"/>
      <c r="AO212" s="747"/>
      <c r="AP212" s="747"/>
      <c r="AQ212" s="747"/>
      <c r="AR212" s="747"/>
      <c r="AS212" s="747"/>
      <c r="AT212" s="747"/>
      <c r="AU212" s="747"/>
      <c r="AV212" s="747"/>
      <c r="AW212" s="747"/>
      <c r="AX212" s="747"/>
    </row>
    <row r="213" spans="1:50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747"/>
      <c r="AO213" s="747"/>
      <c r="AP213" s="747"/>
      <c r="AQ213" s="747"/>
      <c r="AR213" s="747"/>
      <c r="AS213" s="747"/>
      <c r="AT213" s="747"/>
      <c r="AU213" s="747"/>
      <c r="AV213" s="747"/>
      <c r="AW213" s="747"/>
      <c r="AX213" s="747"/>
    </row>
    <row r="214" spans="1:50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747"/>
      <c r="AO214" s="747"/>
      <c r="AP214" s="747"/>
      <c r="AQ214" s="747"/>
      <c r="AR214" s="747"/>
      <c r="AS214" s="747"/>
      <c r="AT214" s="747"/>
      <c r="AU214" s="747"/>
      <c r="AV214" s="747"/>
      <c r="AW214" s="747"/>
      <c r="AX214" s="747"/>
    </row>
    <row r="215" spans="1:50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747"/>
      <c r="AO215" s="747"/>
      <c r="AP215" s="747"/>
      <c r="AQ215" s="747"/>
      <c r="AR215" s="747"/>
      <c r="AS215" s="747"/>
      <c r="AT215" s="747"/>
      <c r="AU215" s="747"/>
      <c r="AV215" s="747"/>
      <c r="AW215" s="747"/>
      <c r="AX215" s="747"/>
    </row>
    <row r="216" spans="1:50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747"/>
      <c r="AO216" s="747"/>
      <c r="AP216" s="747"/>
      <c r="AQ216" s="747"/>
      <c r="AR216" s="747"/>
      <c r="AS216" s="747"/>
      <c r="AT216" s="747"/>
      <c r="AU216" s="747"/>
      <c r="AV216" s="747"/>
      <c r="AW216" s="747"/>
      <c r="AX216" s="747"/>
    </row>
    <row r="217" spans="1:50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747"/>
      <c r="AO217" s="747"/>
      <c r="AP217" s="747"/>
      <c r="AQ217" s="747"/>
      <c r="AR217" s="747"/>
      <c r="AS217" s="747"/>
      <c r="AT217" s="747"/>
      <c r="AU217" s="747"/>
      <c r="AV217" s="747"/>
      <c r="AW217" s="747"/>
      <c r="AX217" s="747"/>
    </row>
    <row r="218" spans="1:50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747"/>
      <c r="AO218" s="747"/>
      <c r="AP218" s="747"/>
      <c r="AQ218" s="747"/>
      <c r="AR218" s="747"/>
      <c r="AS218" s="747"/>
      <c r="AT218" s="747"/>
      <c r="AU218" s="747"/>
      <c r="AV218" s="747"/>
      <c r="AW218" s="747"/>
      <c r="AX218" s="747"/>
    </row>
    <row r="219" spans="1:50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747"/>
      <c r="AO219" s="747"/>
      <c r="AP219" s="747"/>
      <c r="AQ219" s="747"/>
      <c r="AR219" s="747"/>
      <c r="AS219" s="747"/>
      <c r="AT219" s="747"/>
      <c r="AU219" s="747"/>
      <c r="AV219" s="747"/>
      <c r="AW219" s="747"/>
      <c r="AX219" s="747"/>
    </row>
    <row r="220" spans="1:5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747"/>
      <c r="AO220" s="747"/>
      <c r="AP220" s="747"/>
      <c r="AQ220" s="747"/>
      <c r="AR220" s="747"/>
      <c r="AS220" s="747"/>
      <c r="AT220" s="747"/>
      <c r="AU220" s="747"/>
      <c r="AV220" s="747"/>
      <c r="AW220" s="747"/>
      <c r="AX220" s="747"/>
    </row>
    <row r="221" spans="1:50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747"/>
      <c r="AO221" s="747"/>
      <c r="AP221" s="747"/>
      <c r="AQ221" s="747"/>
      <c r="AR221" s="747"/>
      <c r="AS221" s="747"/>
      <c r="AT221" s="747"/>
      <c r="AU221" s="747"/>
      <c r="AV221" s="747"/>
      <c r="AW221" s="747"/>
      <c r="AX221" s="747"/>
    </row>
    <row r="222" spans="1:50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747"/>
      <c r="AO222" s="747"/>
      <c r="AP222" s="747"/>
      <c r="AQ222" s="747"/>
      <c r="AR222" s="747"/>
      <c r="AS222" s="747"/>
      <c r="AT222" s="747"/>
      <c r="AU222" s="747"/>
      <c r="AV222" s="747"/>
      <c r="AW222" s="747"/>
      <c r="AX222" s="747"/>
    </row>
    <row r="223" spans="1:50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747"/>
      <c r="AO223" s="747"/>
      <c r="AP223" s="747"/>
      <c r="AQ223" s="747"/>
      <c r="AR223" s="747"/>
      <c r="AS223" s="747"/>
      <c r="AT223" s="747"/>
      <c r="AU223" s="747"/>
      <c r="AV223" s="747"/>
      <c r="AW223" s="747"/>
      <c r="AX223" s="747"/>
    </row>
    <row r="224" spans="1:50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747"/>
      <c r="AO224" s="747"/>
      <c r="AP224" s="747"/>
      <c r="AQ224" s="747"/>
      <c r="AR224" s="747"/>
      <c r="AS224" s="747"/>
      <c r="AT224" s="747"/>
      <c r="AU224" s="747"/>
      <c r="AV224" s="747"/>
      <c r="AW224" s="747"/>
      <c r="AX224" s="747"/>
    </row>
    <row r="225" spans="1:50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747"/>
      <c r="AO225" s="747"/>
      <c r="AP225" s="747"/>
      <c r="AQ225" s="747"/>
      <c r="AR225" s="747"/>
      <c r="AS225" s="747"/>
      <c r="AT225" s="747"/>
      <c r="AU225" s="747"/>
      <c r="AV225" s="747"/>
      <c r="AW225" s="747"/>
      <c r="AX225" s="747"/>
    </row>
    <row r="226" spans="1:50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747"/>
      <c r="AO226" s="747"/>
      <c r="AP226" s="747"/>
      <c r="AQ226" s="747"/>
      <c r="AR226" s="747"/>
      <c r="AS226" s="747"/>
      <c r="AT226" s="747"/>
      <c r="AU226" s="747"/>
      <c r="AV226" s="747"/>
      <c r="AW226" s="747"/>
      <c r="AX226" s="747"/>
    </row>
    <row r="227" spans="1:50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747"/>
      <c r="AO227" s="747"/>
      <c r="AP227" s="747"/>
      <c r="AQ227" s="747"/>
      <c r="AR227" s="747"/>
      <c r="AS227" s="747"/>
      <c r="AT227" s="747"/>
      <c r="AU227" s="747"/>
      <c r="AV227" s="747"/>
      <c r="AW227" s="747"/>
      <c r="AX227" s="747"/>
    </row>
    <row r="228" spans="1:50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747"/>
      <c r="AO228" s="747"/>
      <c r="AP228" s="747"/>
      <c r="AQ228" s="747"/>
      <c r="AR228" s="747"/>
      <c r="AS228" s="747"/>
      <c r="AT228" s="747"/>
      <c r="AU228" s="747"/>
      <c r="AV228" s="747"/>
      <c r="AW228" s="747"/>
      <c r="AX228" s="747"/>
    </row>
    <row r="229" spans="1:50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747"/>
      <c r="AO229" s="747"/>
      <c r="AP229" s="747"/>
      <c r="AQ229" s="747"/>
      <c r="AR229" s="747"/>
      <c r="AS229" s="747"/>
      <c r="AT229" s="747"/>
      <c r="AU229" s="747"/>
      <c r="AV229" s="747"/>
      <c r="AW229" s="747"/>
      <c r="AX229" s="747"/>
    </row>
    <row r="230" spans="1:5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747"/>
      <c r="AO230" s="747"/>
      <c r="AP230" s="747"/>
      <c r="AQ230" s="747"/>
      <c r="AR230" s="747"/>
      <c r="AS230" s="747"/>
      <c r="AT230" s="747"/>
      <c r="AU230" s="747"/>
      <c r="AV230" s="747"/>
      <c r="AW230" s="747"/>
      <c r="AX230" s="747"/>
    </row>
    <row r="231" spans="1:50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747"/>
      <c r="AO231" s="747"/>
      <c r="AP231" s="747"/>
      <c r="AQ231" s="747"/>
      <c r="AR231" s="747"/>
      <c r="AS231" s="747"/>
      <c r="AT231" s="747"/>
      <c r="AU231" s="747"/>
      <c r="AV231" s="747"/>
      <c r="AW231" s="747"/>
      <c r="AX231" s="747"/>
    </row>
    <row r="232" spans="1:50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747"/>
      <c r="AO232" s="747"/>
      <c r="AP232" s="747"/>
      <c r="AQ232" s="747"/>
      <c r="AR232" s="747"/>
      <c r="AS232" s="747"/>
      <c r="AT232" s="747"/>
      <c r="AU232" s="747"/>
      <c r="AV232" s="747"/>
      <c r="AW232" s="747"/>
      <c r="AX232" s="747"/>
    </row>
    <row r="233" spans="1:50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747"/>
      <c r="AO233" s="747"/>
      <c r="AP233" s="747"/>
      <c r="AQ233" s="747"/>
      <c r="AR233" s="747"/>
      <c r="AS233" s="747"/>
      <c r="AT233" s="747"/>
      <c r="AU233" s="747"/>
      <c r="AV233" s="747"/>
      <c r="AW233" s="747"/>
      <c r="AX233" s="747"/>
    </row>
    <row r="234" spans="1:50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747"/>
      <c r="AO234" s="747"/>
      <c r="AP234" s="747"/>
      <c r="AQ234" s="747"/>
      <c r="AR234" s="747"/>
      <c r="AS234" s="747"/>
      <c r="AT234" s="747"/>
      <c r="AU234" s="747"/>
      <c r="AV234" s="747"/>
      <c r="AW234" s="747"/>
      <c r="AX234" s="747"/>
    </row>
    <row r="235" spans="1:50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747"/>
      <c r="AO235" s="747"/>
      <c r="AP235" s="747"/>
      <c r="AQ235" s="747"/>
      <c r="AR235" s="747"/>
      <c r="AS235" s="747"/>
      <c r="AT235" s="747"/>
      <c r="AU235" s="747"/>
      <c r="AV235" s="747"/>
      <c r="AW235" s="747"/>
      <c r="AX235" s="747"/>
    </row>
    <row r="236" spans="1:50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747"/>
      <c r="AO236" s="747"/>
      <c r="AP236" s="747"/>
      <c r="AQ236" s="747"/>
      <c r="AR236" s="747"/>
      <c r="AS236" s="747"/>
      <c r="AT236" s="747"/>
      <c r="AU236" s="747"/>
      <c r="AV236" s="747"/>
      <c r="AW236" s="747"/>
      <c r="AX236" s="747"/>
    </row>
    <row r="237" spans="1:50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747"/>
      <c r="AO237" s="747"/>
      <c r="AP237" s="747"/>
      <c r="AQ237" s="747"/>
      <c r="AR237" s="747"/>
      <c r="AS237" s="747"/>
      <c r="AT237" s="747"/>
      <c r="AU237" s="747"/>
      <c r="AV237" s="747"/>
      <c r="AW237" s="747"/>
      <c r="AX237" s="747"/>
    </row>
    <row r="238" spans="1:50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747"/>
      <c r="AO238" s="747"/>
      <c r="AP238" s="747"/>
      <c r="AQ238" s="747"/>
      <c r="AR238" s="747"/>
      <c r="AS238" s="747"/>
      <c r="AT238" s="747"/>
      <c r="AU238" s="747"/>
      <c r="AV238" s="747"/>
      <c r="AW238" s="747"/>
      <c r="AX238" s="747"/>
    </row>
    <row r="239" spans="1:50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747"/>
      <c r="AO239" s="747"/>
      <c r="AP239" s="747"/>
      <c r="AQ239" s="747"/>
      <c r="AR239" s="747"/>
      <c r="AS239" s="747"/>
      <c r="AT239" s="747"/>
      <c r="AU239" s="747"/>
      <c r="AV239" s="747"/>
      <c r="AW239" s="747"/>
      <c r="AX239" s="747"/>
    </row>
    <row r="240" spans="1:5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747"/>
      <c r="AO240" s="747"/>
      <c r="AP240" s="747"/>
      <c r="AQ240" s="747"/>
      <c r="AR240" s="747"/>
      <c r="AS240" s="747"/>
      <c r="AT240" s="747"/>
      <c r="AU240" s="747"/>
      <c r="AV240" s="747"/>
      <c r="AW240" s="747"/>
      <c r="AX240" s="747"/>
    </row>
    <row r="241" spans="1:50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747"/>
      <c r="AO241" s="747"/>
      <c r="AP241" s="747"/>
      <c r="AQ241" s="747"/>
      <c r="AR241" s="747"/>
      <c r="AS241" s="747"/>
      <c r="AT241" s="747"/>
      <c r="AU241" s="747"/>
      <c r="AV241" s="747"/>
      <c r="AW241" s="747"/>
      <c r="AX241" s="747"/>
    </row>
    <row r="242" spans="1:50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747"/>
      <c r="AO242" s="747"/>
      <c r="AP242" s="747"/>
      <c r="AQ242" s="747"/>
      <c r="AR242" s="747"/>
      <c r="AS242" s="747"/>
      <c r="AT242" s="747"/>
      <c r="AU242" s="747"/>
      <c r="AV242" s="747"/>
      <c r="AW242" s="747"/>
      <c r="AX242" s="747"/>
    </row>
    <row r="243" spans="1:50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747"/>
      <c r="AO243" s="747"/>
      <c r="AP243" s="747"/>
      <c r="AQ243" s="747"/>
      <c r="AR243" s="747"/>
      <c r="AS243" s="747"/>
      <c r="AT243" s="747"/>
      <c r="AU243" s="747"/>
      <c r="AV243" s="747"/>
      <c r="AW243" s="747"/>
      <c r="AX243" s="747"/>
    </row>
    <row r="244" spans="1:50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747"/>
      <c r="AO244" s="747"/>
      <c r="AP244" s="747"/>
      <c r="AQ244" s="747"/>
      <c r="AR244" s="747"/>
      <c r="AS244" s="747"/>
      <c r="AT244" s="747"/>
      <c r="AU244" s="747"/>
      <c r="AV244" s="747"/>
      <c r="AW244" s="747"/>
      <c r="AX244" s="747"/>
    </row>
    <row r="245" spans="1:50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747"/>
      <c r="AO245" s="747"/>
      <c r="AP245" s="747"/>
      <c r="AQ245" s="747"/>
      <c r="AR245" s="747"/>
      <c r="AS245" s="747"/>
      <c r="AT245" s="747"/>
      <c r="AU245" s="747"/>
      <c r="AV245" s="747"/>
      <c r="AW245" s="747"/>
      <c r="AX245" s="747"/>
    </row>
    <row r="246" spans="1:50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747"/>
      <c r="AO246" s="747"/>
      <c r="AP246" s="747"/>
      <c r="AQ246" s="747"/>
      <c r="AR246" s="747"/>
      <c r="AS246" s="747"/>
      <c r="AT246" s="747"/>
      <c r="AU246" s="747"/>
      <c r="AV246" s="747"/>
      <c r="AW246" s="747"/>
      <c r="AX246" s="747"/>
    </row>
    <row r="247" spans="1:50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747"/>
      <c r="AO247" s="747"/>
      <c r="AP247" s="747"/>
      <c r="AQ247" s="747"/>
      <c r="AR247" s="747"/>
      <c r="AS247" s="747"/>
      <c r="AT247" s="747"/>
      <c r="AU247" s="747"/>
      <c r="AV247" s="747"/>
      <c r="AW247" s="747"/>
      <c r="AX247" s="747"/>
    </row>
    <row r="248" spans="1:50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747"/>
      <c r="AO248" s="747"/>
      <c r="AP248" s="747"/>
      <c r="AQ248" s="747"/>
      <c r="AR248" s="747"/>
      <c r="AS248" s="747"/>
      <c r="AT248" s="747"/>
      <c r="AU248" s="747"/>
      <c r="AV248" s="747"/>
      <c r="AW248" s="747"/>
      <c r="AX248" s="747"/>
    </row>
    <row r="249" spans="1:50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747"/>
      <c r="AO249" s="747"/>
      <c r="AP249" s="747"/>
      <c r="AQ249" s="747"/>
      <c r="AR249" s="747"/>
      <c r="AS249" s="747"/>
      <c r="AT249" s="747"/>
      <c r="AU249" s="747"/>
      <c r="AV249" s="747"/>
      <c r="AW249" s="747"/>
      <c r="AX249" s="747"/>
    </row>
    <row r="250" spans="1: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747"/>
      <c r="AO250" s="747"/>
      <c r="AP250" s="747"/>
      <c r="AQ250" s="747"/>
      <c r="AR250" s="747"/>
      <c r="AS250" s="747"/>
      <c r="AT250" s="747"/>
      <c r="AU250" s="747"/>
      <c r="AV250" s="747"/>
      <c r="AW250" s="747"/>
      <c r="AX250" s="747"/>
    </row>
    <row r="251" spans="1:50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747"/>
      <c r="AO251" s="747"/>
      <c r="AP251" s="747"/>
      <c r="AQ251" s="747"/>
      <c r="AR251" s="747"/>
      <c r="AS251" s="747"/>
      <c r="AT251" s="747"/>
      <c r="AU251" s="747"/>
      <c r="AV251" s="747"/>
      <c r="AW251" s="747"/>
      <c r="AX251" s="747"/>
    </row>
    <row r="252" spans="1:50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747"/>
      <c r="AO252" s="747"/>
      <c r="AP252" s="747"/>
      <c r="AQ252" s="747"/>
      <c r="AR252" s="747"/>
      <c r="AS252" s="747"/>
      <c r="AT252" s="747"/>
      <c r="AU252" s="747"/>
      <c r="AV252" s="747"/>
      <c r="AW252" s="747"/>
      <c r="AX252" s="747"/>
    </row>
    <row r="253" spans="1:50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747"/>
      <c r="AO253" s="747"/>
      <c r="AP253" s="747"/>
      <c r="AQ253" s="747"/>
      <c r="AR253" s="747"/>
      <c r="AS253" s="747"/>
      <c r="AT253" s="747"/>
      <c r="AU253" s="747"/>
      <c r="AV253" s="747"/>
      <c r="AW253" s="747"/>
      <c r="AX253" s="747"/>
    </row>
    <row r="254" spans="1:50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747"/>
      <c r="AO254" s="747"/>
      <c r="AP254" s="747"/>
      <c r="AQ254" s="747"/>
      <c r="AR254" s="747"/>
      <c r="AS254" s="747"/>
      <c r="AT254" s="747"/>
      <c r="AU254" s="747"/>
      <c r="AV254" s="747"/>
      <c r="AW254" s="747"/>
      <c r="AX254" s="747"/>
    </row>
    <row r="255" spans="1:50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747"/>
      <c r="AO255" s="747"/>
      <c r="AP255" s="747"/>
      <c r="AQ255" s="747"/>
      <c r="AR255" s="747"/>
      <c r="AS255" s="747"/>
      <c r="AT255" s="747"/>
      <c r="AU255" s="747"/>
      <c r="AV255" s="747"/>
      <c r="AW255" s="747"/>
      <c r="AX255" s="747"/>
    </row>
    <row r="256" spans="1:50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747"/>
      <c r="AO256" s="747"/>
      <c r="AP256" s="747"/>
      <c r="AQ256" s="747"/>
      <c r="AR256" s="747"/>
      <c r="AS256" s="747"/>
      <c r="AT256" s="747"/>
      <c r="AU256" s="747"/>
      <c r="AV256" s="747"/>
      <c r="AW256" s="747"/>
      <c r="AX256" s="747"/>
    </row>
    <row r="257" spans="1:50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747"/>
      <c r="AO257" s="747"/>
      <c r="AP257" s="747"/>
      <c r="AQ257" s="747"/>
      <c r="AR257" s="747"/>
      <c r="AS257" s="747"/>
      <c r="AT257" s="747"/>
      <c r="AU257" s="747"/>
      <c r="AV257" s="747"/>
      <c r="AW257" s="747"/>
      <c r="AX257" s="747"/>
    </row>
    <row r="258" spans="1:50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747"/>
      <c r="AO258" s="747"/>
      <c r="AP258" s="747"/>
      <c r="AQ258" s="747"/>
      <c r="AR258" s="747"/>
      <c r="AS258" s="747"/>
      <c r="AT258" s="747"/>
      <c r="AU258" s="747"/>
      <c r="AV258" s="747"/>
      <c r="AW258" s="747"/>
      <c r="AX258" s="747"/>
    </row>
    <row r="259" spans="1:50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747"/>
      <c r="AO259" s="747"/>
      <c r="AP259" s="747"/>
      <c r="AQ259" s="747"/>
      <c r="AR259" s="747"/>
      <c r="AS259" s="747"/>
      <c r="AT259" s="747"/>
      <c r="AU259" s="747"/>
      <c r="AV259" s="747"/>
      <c r="AW259" s="747"/>
      <c r="AX259" s="747"/>
    </row>
    <row r="260" spans="1:5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747"/>
      <c r="AO260" s="747"/>
      <c r="AP260" s="747"/>
      <c r="AQ260" s="747"/>
      <c r="AR260" s="747"/>
      <c r="AS260" s="747"/>
      <c r="AT260" s="747"/>
      <c r="AU260" s="747"/>
      <c r="AV260" s="747"/>
      <c r="AW260" s="747"/>
      <c r="AX260" s="747"/>
    </row>
    <row r="261" spans="1:50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747"/>
      <c r="AO261" s="747"/>
      <c r="AP261" s="747"/>
      <c r="AQ261" s="747"/>
      <c r="AR261" s="747"/>
      <c r="AS261" s="747"/>
      <c r="AT261" s="747"/>
      <c r="AU261" s="747"/>
      <c r="AV261" s="747"/>
      <c r="AW261" s="747"/>
      <c r="AX261" s="747"/>
    </row>
    <row r="262" spans="1:50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747"/>
      <c r="AO262" s="747"/>
      <c r="AP262" s="747"/>
      <c r="AQ262" s="747"/>
      <c r="AR262" s="747"/>
      <c r="AS262" s="747"/>
      <c r="AT262" s="747"/>
      <c r="AU262" s="747"/>
      <c r="AV262" s="747"/>
      <c r="AW262" s="747"/>
      <c r="AX262" s="747"/>
    </row>
    <row r="263" spans="1:50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747"/>
      <c r="AO263" s="747"/>
      <c r="AP263" s="747"/>
      <c r="AQ263" s="747"/>
      <c r="AR263" s="747"/>
      <c r="AS263" s="747"/>
      <c r="AT263" s="747"/>
      <c r="AU263" s="747"/>
      <c r="AV263" s="747"/>
      <c r="AW263" s="747"/>
      <c r="AX263" s="747"/>
    </row>
    <row r="264" spans="1:50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747"/>
      <c r="AO264" s="747"/>
      <c r="AP264" s="747"/>
      <c r="AQ264" s="747"/>
      <c r="AR264" s="747"/>
      <c r="AS264" s="747"/>
      <c r="AT264" s="747"/>
      <c r="AU264" s="747"/>
      <c r="AV264" s="747"/>
      <c r="AW264" s="747"/>
      <c r="AX264" s="747"/>
    </row>
    <row r="265" spans="1:50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747"/>
      <c r="AO265" s="747"/>
      <c r="AP265" s="747"/>
      <c r="AQ265" s="747"/>
      <c r="AR265" s="747"/>
      <c r="AS265" s="747"/>
      <c r="AT265" s="747"/>
      <c r="AU265" s="747"/>
      <c r="AV265" s="747"/>
      <c r="AW265" s="747"/>
      <c r="AX265" s="747"/>
    </row>
    <row r="266" spans="1:50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747"/>
      <c r="AO266" s="747"/>
      <c r="AP266" s="747"/>
      <c r="AQ266" s="747"/>
      <c r="AR266" s="747"/>
      <c r="AS266" s="747"/>
      <c r="AT266" s="747"/>
      <c r="AU266" s="747"/>
      <c r="AV266" s="747"/>
      <c r="AW266" s="747"/>
      <c r="AX266" s="747"/>
    </row>
    <row r="267" spans="1:50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747"/>
      <c r="AO267" s="747"/>
      <c r="AP267" s="747"/>
      <c r="AQ267" s="747"/>
      <c r="AR267" s="747"/>
      <c r="AS267" s="747"/>
      <c r="AT267" s="747"/>
      <c r="AU267" s="747"/>
      <c r="AV267" s="747"/>
      <c r="AW267" s="747"/>
      <c r="AX267" s="747"/>
    </row>
    <row r="268" spans="1:50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747"/>
      <c r="AO268" s="747"/>
      <c r="AP268" s="747"/>
      <c r="AQ268" s="747"/>
      <c r="AR268" s="747"/>
      <c r="AS268" s="747"/>
      <c r="AT268" s="747"/>
      <c r="AU268" s="747"/>
      <c r="AV268" s="747"/>
      <c r="AW268" s="747"/>
      <c r="AX268" s="747"/>
    </row>
    <row r="269" spans="1:50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747"/>
      <c r="AO269" s="747"/>
      <c r="AP269" s="747"/>
      <c r="AQ269" s="747"/>
      <c r="AR269" s="747"/>
      <c r="AS269" s="747"/>
      <c r="AT269" s="747"/>
      <c r="AU269" s="747"/>
      <c r="AV269" s="747"/>
      <c r="AW269" s="747"/>
      <c r="AX269" s="747"/>
    </row>
    <row r="270" spans="1:5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747"/>
      <c r="AO270" s="747"/>
      <c r="AP270" s="747"/>
      <c r="AQ270" s="747"/>
      <c r="AR270" s="747"/>
      <c r="AS270" s="747"/>
      <c r="AT270" s="747"/>
      <c r="AU270" s="747"/>
      <c r="AV270" s="747"/>
      <c r="AW270" s="747"/>
      <c r="AX270" s="747"/>
    </row>
    <row r="271" spans="1:50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747"/>
      <c r="AO271" s="747"/>
      <c r="AP271" s="747"/>
      <c r="AQ271" s="747"/>
      <c r="AR271" s="747"/>
      <c r="AS271" s="747"/>
      <c r="AT271" s="747"/>
      <c r="AU271" s="747"/>
      <c r="AV271" s="747"/>
      <c r="AW271" s="747"/>
      <c r="AX271" s="747"/>
    </row>
    <row r="272" spans="1:50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747"/>
      <c r="AO272" s="747"/>
      <c r="AP272" s="747"/>
      <c r="AQ272" s="747"/>
      <c r="AR272" s="747"/>
      <c r="AS272" s="747"/>
      <c r="AT272" s="747"/>
      <c r="AU272" s="747"/>
      <c r="AV272" s="747"/>
      <c r="AW272" s="747"/>
      <c r="AX272" s="747"/>
    </row>
    <row r="273" spans="1:50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747"/>
      <c r="AO273" s="747"/>
      <c r="AP273" s="747"/>
      <c r="AQ273" s="747"/>
      <c r="AR273" s="747"/>
      <c r="AS273" s="747"/>
      <c r="AT273" s="747"/>
      <c r="AU273" s="747"/>
      <c r="AV273" s="747"/>
      <c r="AW273" s="747"/>
      <c r="AX273" s="747"/>
    </row>
    <row r="274" spans="1:50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747"/>
      <c r="AO274" s="747"/>
      <c r="AP274" s="747"/>
      <c r="AQ274" s="747"/>
      <c r="AR274" s="747"/>
      <c r="AS274" s="747"/>
      <c r="AT274" s="747"/>
      <c r="AU274" s="747"/>
      <c r="AV274" s="747"/>
      <c r="AW274" s="747"/>
      <c r="AX274" s="747"/>
    </row>
    <row r="275" spans="1:50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747"/>
      <c r="AO275" s="747"/>
      <c r="AP275" s="747"/>
      <c r="AQ275" s="747"/>
      <c r="AR275" s="747"/>
      <c r="AS275" s="747"/>
      <c r="AT275" s="747"/>
      <c r="AU275" s="747"/>
      <c r="AV275" s="747"/>
      <c r="AW275" s="747"/>
      <c r="AX275" s="747"/>
    </row>
    <row r="276" spans="1:50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747"/>
      <c r="AO276" s="747"/>
      <c r="AP276" s="747"/>
      <c r="AQ276" s="747"/>
      <c r="AR276" s="747"/>
      <c r="AS276" s="747"/>
      <c r="AT276" s="747"/>
      <c r="AU276" s="747"/>
      <c r="AV276" s="747"/>
      <c r="AW276" s="747"/>
      <c r="AX276" s="747"/>
    </row>
    <row r="277" spans="1:50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747"/>
      <c r="AO277" s="747"/>
      <c r="AP277" s="747"/>
      <c r="AQ277" s="747"/>
      <c r="AR277" s="747"/>
      <c r="AS277" s="747"/>
      <c r="AT277" s="747"/>
      <c r="AU277" s="747"/>
      <c r="AV277" s="747"/>
      <c r="AW277" s="747"/>
      <c r="AX277" s="747"/>
    </row>
    <row r="278" spans="1:50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747"/>
      <c r="AO278" s="747"/>
      <c r="AP278" s="747"/>
      <c r="AQ278" s="747"/>
      <c r="AR278" s="747"/>
      <c r="AS278" s="747"/>
      <c r="AT278" s="747"/>
      <c r="AU278" s="747"/>
      <c r="AV278" s="747"/>
      <c r="AW278" s="747"/>
      <c r="AX278" s="747"/>
    </row>
    <row r="279" spans="1:50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747"/>
      <c r="AO279" s="747"/>
      <c r="AP279" s="747"/>
      <c r="AQ279" s="747"/>
      <c r="AR279" s="747"/>
      <c r="AS279" s="747"/>
      <c r="AT279" s="747"/>
      <c r="AU279" s="747"/>
      <c r="AV279" s="747"/>
      <c r="AW279" s="747"/>
      <c r="AX279" s="747"/>
    </row>
    <row r="280" spans="1:5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747"/>
      <c r="AO280" s="747"/>
      <c r="AP280" s="747"/>
      <c r="AQ280" s="747"/>
      <c r="AR280" s="747"/>
      <c r="AS280" s="747"/>
      <c r="AT280" s="747"/>
      <c r="AU280" s="747"/>
      <c r="AV280" s="747"/>
      <c r="AW280" s="747"/>
      <c r="AX280" s="747"/>
    </row>
    <row r="281" spans="1:50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747"/>
      <c r="AO281" s="747"/>
      <c r="AP281" s="747"/>
      <c r="AQ281" s="747"/>
      <c r="AR281" s="747"/>
      <c r="AS281" s="747"/>
      <c r="AT281" s="747"/>
      <c r="AU281" s="747"/>
      <c r="AV281" s="747"/>
      <c r="AW281" s="747"/>
      <c r="AX281" s="747"/>
    </row>
    <row r="282" spans="1:50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747"/>
      <c r="AO282" s="747"/>
      <c r="AP282" s="747"/>
      <c r="AQ282" s="747"/>
      <c r="AR282" s="747"/>
      <c r="AS282" s="747"/>
      <c r="AT282" s="747"/>
      <c r="AU282" s="747"/>
      <c r="AV282" s="747"/>
      <c r="AW282" s="747"/>
      <c r="AX282" s="747"/>
    </row>
    <row r="283" spans="1:50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747"/>
      <c r="AO283" s="747"/>
      <c r="AP283" s="747"/>
      <c r="AQ283" s="747"/>
      <c r="AR283" s="747"/>
      <c r="AS283" s="747"/>
      <c r="AT283" s="747"/>
      <c r="AU283" s="747"/>
      <c r="AV283" s="747"/>
      <c r="AW283" s="747"/>
      <c r="AX283" s="747"/>
    </row>
    <row r="284" spans="1:50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747"/>
      <c r="AO284" s="747"/>
      <c r="AP284" s="747"/>
      <c r="AQ284" s="747"/>
      <c r="AR284" s="747"/>
      <c r="AS284" s="747"/>
      <c r="AT284" s="747"/>
      <c r="AU284" s="747"/>
      <c r="AV284" s="747"/>
      <c r="AW284" s="747"/>
      <c r="AX284" s="747"/>
    </row>
    <row r="285" spans="1:50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747"/>
      <c r="AO285" s="747"/>
      <c r="AP285" s="747"/>
      <c r="AQ285" s="747"/>
      <c r="AR285" s="747"/>
      <c r="AS285" s="747"/>
      <c r="AT285" s="747"/>
      <c r="AU285" s="747"/>
      <c r="AV285" s="747"/>
      <c r="AW285" s="747"/>
      <c r="AX285" s="747"/>
    </row>
    <row r="286" spans="1:50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747"/>
      <c r="AO286" s="747"/>
      <c r="AP286" s="747"/>
      <c r="AQ286" s="747"/>
      <c r="AR286" s="747"/>
      <c r="AS286" s="747"/>
      <c r="AT286" s="747"/>
      <c r="AU286" s="747"/>
      <c r="AV286" s="747"/>
      <c r="AW286" s="747"/>
      <c r="AX286" s="747"/>
    </row>
    <row r="287" spans="1:50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747"/>
      <c r="AO287" s="747"/>
      <c r="AP287" s="747"/>
      <c r="AQ287" s="747"/>
      <c r="AR287" s="747"/>
      <c r="AS287" s="747"/>
      <c r="AT287" s="747"/>
      <c r="AU287" s="747"/>
      <c r="AV287" s="747"/>
      <c r="AW287" s="747"/>
      <c r="AX287" s="747"/>
    </row>
    <row r="288" spans="1:50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747"/>
      <c r="AO288" s="747"/>
      <c r="AP288" s="747"/>
      <c r="AQ288" s="747"/>
      <c r="AR288" s="747"/>
      <c r="AS288" s="747"/>
      <c r="AT288" s="747"/>
      <c r="AU288" s="747"/>
      <c r="AV288" s="747"/>
      <c r="AW288" s="747"/>
      <c r="AX288" s="747"/>
    </row>
    <row r="289" spans="1:50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747"/>
      <c r="AO289" s="747"/>
      <c r="AP289" s="747"/>
      <c r="AQ289" s="747"/>
      <c r="AR289" s="747"/>
      <c r="AS289" s="747"/>
      <c r="AT289" s="747"/>
      <c r="AU289" s="747"/>
      <c r="AV289" s="747"/>
      <c r="AW289" s="747"/>
      <c r="AX289" s="747"/>
    </row>
    <row r="290" spans="1:5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747"/>
      <c r="AO290" s="747"/>
      <c r="AP290" s="747"/>
      <c r="AQ290" s="747"/>
      <c r="AR290" s="747"/>
      <c r="AS290" s="747"/>
      <c r="AT290" s="747"/>
      <c r="AU290" s="747"/>
      <c r="AV290" s="747"/>
      <c r="AW290" s="747"/>
      <c r="AX290" s="747"/>
    </row>
    <row r="291" spans="1:50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747"/>
      <c r="AO291" s="747"/>
      <c r="AP291" s="747"/>
      <c r="AQ291" s="747"/>
      <c r="AR291" s="747"/>
      <c r="AS291" s="747"/>
      <c r="AT291" s="747"/>
      <c r="AU291" s="747"/>
      <c r="AV291" s="747"/>
      <c r="AW291" s="747"/>
      <c r="AX291" s="747"/>
    </row>
    <row r="292" spans="1:50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747"/>
      <c r="AO292" s="747"/>
      <c r="AP292" s="747"/>
      <c r="AQ292" s="747"/>
      <c r="AR292" s="747"/>
      <c r="AS292" s="747"/>
      <c r="AT292" s="747"/>
      <c r="AU292" s="747"/>
      <c r="AV292" s="747"/>
      <c r="AW292" s="747"/>
      <c r="AX292" s="747"/>
    </row>
    <row r="293" spans="1:50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747"/>
      <c r="AO293" s="747"/>
      <c r="AP293" s="747"/>
      <c r="AQ293" s="747"/>
      <c r="AR293" s="747"/>
      <c r="AS293" s="747"/>
      <c r="AT293" s="747"/>
      <c r="AU293" s="747"/>
      <c r="AV293" s="747"/>
      <c r="AW293" s="747"/>
      <c r="AX293" s="747"/>
    </row>
    <row r="294" spans="1:50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747"/>
      <c r="AO294" s="747"/>
      <c r="AP294" s="747"/>
      <c r="AQ294" s="747"/>
      <c r="AR294" s="747"/>
      <c r="AS294" s="747"/>
      <c r="AT294" s="747"/>
      <c r="AU294" s="747"/>
      <c r="AV294" s="747"/>
      <c r="AW294" s="747"/>
      <c r="AX294" s="747"/>
    </row>
    <row r="295" spans="1:50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747"/>
      <c r="AO295" s="747"/>
      <c r="AP295" s="747"/>
      <c r="AQ295" s="747"/>
      <c r="AR295" s="747"/>
      <c r="AS295" s="747"/>
      <c r="AT295" s="747"/>
      <c r="AU295" s="747"/>
      <c r="AV295" s="747"/>
      <c r="AW295" s="747"/>
      <c r="AX295" s="747"/>
    </row>
    <row r="296" spans="1:50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747"/>
      <c r="AO296" s="747"/>
      <c r="AP296" s="747"/>
      <c r="AQ296" s="747"/>
      <c r="AR296" s="747"/>
      <c r="AS296" s="747"/>
      <c r="AT296" s="747"/>
      <c r="AU296" s="747"/>
      <c r="AV296" s="747"/>
      <c r="AW296" s="747"/>
      <c r="AX296" s="747"/>
    </row>
    <row r="297" spans="1:50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747"/>
      <c r="AO297" s="747"/>
      <c r="AP297" s="747"/>
      <c r="AQ297" s="747"/>
      <c r="AR297" s="747"/>
      <c r="AS297" s="747"/>
      <c r="AT297" s="747"/>
      <c r="AU297" s="747"/>
      <c r="AV297" s="747"/>
      <c r="AW297" s="747"/>
      <c r="AX297" s="747"/>
    </row>
    <row r="298" spans="1:50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747"/>
      <c r="AO298" s="747"/>
      <c r="AP298" s="747"/>
      <c r="AQ298" s="747"/>
      <c r="AR298" s="747"/>
      <c r="AS298" s="747"/>
      <c r="AT298" s="747"/>
      <c r="AU298" s="747"/>
      <c r="AV298" s="747"/>
      <c r="AW298" s="747"/>
      <c r="AX298" s="747"/>
    </row>
    <row r="299" spans="1:50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747"/>
      <c r="AO299" s="747"/>
      <c r="AP299" s="747"/>
      <c r="AQ299" s="747"/>
      <c r="AR299" s="747"/>
      <c r="AS299" s="747"/>
      <c r="AT299" s="747"/>
      <c r="AU299" s="747"/>
      <c r="AV299" s="747"/>
      <c r="AW299" s="747"/>
      <c r="AX299" s="747"/>
    </row>
    <row r="300" spans="1:5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747"/>
      <c r="AO300" s="747"/>
      <c r="AP300" s="747"/>
      <c r="AQ300" s="747"/>
      <c r="AR300" s="747"/>
      <c r="AS300" s="747"/>
      <c r="AT300" s="747"/>
      <c r="AU300" s="747"/>
      <c r="AV300" s="747"/>
      <c r="AW300" s="747"/>
      <c r="AX300" s="747"/>
    </row>
    <row r="301" spans="1:50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747"/>
      <c r="AO301" s="747"/>
      <c r="AP301" s="747"/>
      <c r="AQ301" s="747"/>
      <c r="AR301" s="747"/>
      <c r="AS301" s="747"/>
      <c r="AT301" s="747"/>
      <c r="AU301" s="747"/>
      <c r="AV301" s="747"/>
      <c r="AW301" s="747"/>
      <c r="AX301" s="747"/>
    </row>
    <row r="302" spans="1:50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747"/>
      <c r="AO302" s="747"/>
      <c r="AP302" s="747"/>
      <c r="AQ302" s="747"/>
      <c r="AR302" s="747"/>
      <c r="AS302" s="747"/>
      <c r="AT302" s="747"/>
      <c r="AU302" s="747"/>
      <c r="AV302" s="747"/>
      <c r="AW302" s="747"/>
      <c r="AX302" s="747"/>
    </row>
    <row r="303" spans="1:50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747"/>
      <c r="AO303" s="747"/>
      <c r="AP303" s="747"/>
      <c r="AQ303" s="747"/>
      <c r="AR303" s="747"/>
      <c r="AS303" s="747"/>
      <c r="AT303" s="747"/>
      <c r="AU303" s="747"/>
      <c r="AV303" s="747"/>
      <c r="AW303" s="747"/>
      <c r="AX303" s="747"/>
    </row>
    <row r="304" spans="1:50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747"/>
      <c r="AO304" s="747"/>
      <c r="AP304" s="747"/>
      <c r="AQ304" s="747"/>
      <c r="AR304" s="747"/>
      <c r="AS304" s="747"/>
      <c r="AT304" s="747"/>
      <c r="AU304" s="747"/>
      <c r="AV304" s="747"/>
      <c r="AW304" s="747"/>
      <c r="AX304" s="747"/>
    </row>
    <row r="305" spans="1:50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747"/>
      <c r="AO305" s="747"/>
      <c r="AP305" s="747"/>
      <c r="AQ305" s="747"/>
      <c r="AR305" s="747"/>
      <c r="AS305" s="747"/>
      <c r="AT305" s="747"/>
      <c r="AU305" s="747"/>
      <c r="AV305" s="747"/>
      <c r="AW305" s="747"/>
      <c r="AX305" s="747"/>
    </row>
    <row r="306" spans="1:50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747"/>
      <c r="AO306" s="747"/>
      <c r="AP306" s="747"/>
      <c r="AQ306" s="747"/>
      <c r="AR306" s="747"/>
      <c r="AS306" s="747"/>
      <c r="AT306" s="747"/>
      <c r="AU306" s="747"/>
      <c r="AV306" s="747"/>
      <c r="AW306" s="747"/>
      <c r="AX306" s="747"/>
    </row>
    <row r="307" spans="1:50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747"/>
      <c r="AO307" s="747"/>
      <c r="AP307" s="747"/>
      <c r="AQ307" s="747"/>
      <c r="AR307" s="747"/>
      <c r="AS307" s="747"/>
      <c r="AT307" s="747"/>
      <c r="AU307" s="747"/>
      <c r="AV307" s="747"/>
      <c r="AW307" s="747"/>
      <c r="AX307" s="747"/>
    </row>
    <row r="308" spans="1:50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747"/>
      <c r="AO308" s="747"/>
      <c r="AP308" s="747"/>
      <c r="AQ308" s="747"/>
      <c r="AR308" s="747"/>
      <c r="AS308" s="747"/>
      <c r="AT308" s="747"/>
      <c r="AU308" s="747"/>
      <c r="AV308" s="747"/>
      <c r="AW308" s="747"/>
      <c r="AX308" s="747"/>
    </row>
    <row r="309" spans="1:50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747"/>
      <c r="AO309" s="747"/>
      <c r="AP309" s="747"/>
      <c r="AQ309" s="747"/>
      <c r="AR309" s="747"/>
      <c r="AS309" s="747"/>
      <c r="AT309" s="747"/>
      <c r="AU309" s="747"/>
      <c r="AV309" s="747"/>
      <c r="AW309" s="747"/>
      <c r="AX309" s="747"/>
    </row>
    <row r="310" spans="1:5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747"/>
      <c r="AO310" s="747"/>
      <c r="AP310" s="747"/>
      <c r="AQ310" s="747"/>
      <c r="AR310" s="747"/>
      <c r="AS310" s="747"/>
      <c r="AT310" s="747"/>
      <c r="AU310" s="747"/>
      <c r="AV310" s="747"/>
      <c r="AW310" s="747"/>
      <c r="AX310" s="747"/>
    </row>
    <row r="311" spans="1:50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747"/>
      <c r="AO311" s="747"/>
      <c r="AP311" s="747"/>
      <c r="AQ311" s="747"/>
      <c r="AR311" s="747"/>
      <c r="AS311" s="747"/>
      <c r="AT311" s="747"/>
      <c r="AU311" s="747"/>
      <c r="AV311" s="747"/>
      <c r="AW311" s="747"/>
      <c r="AX311" s="747"/>
    </row>
    <row r="312" spans="1:50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747"/>
      <c r="AO312" s="747"/>
      <c r="AP312" s="747"/>
      <c r="AQ312" s="747"/>
      <c r="AR312" s="747"/>
      <c r="AS312" s="747"/>
      <c r="AT312" s="747"/>
      <c r="AU312" s="747"/>
      <c r="AV312" s="747"/>
      <c r="AW312" s="747"/>
      <c r="AX312" s="747"/>
    </row>
    <row r="313" spans="1:50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747"/>
      <c r="AO313" s="747"/>
      <c r="AP313" s="747"/>
      <c r="AQ313" s="747"/>
      <c r="AR313" s="747"/>
      <c r="AS313" s="747"/>
      <c r="AT313" s="747"/>
      <c r="AU313" s="747"/>
      <c r="AV313" s="747"/>
      <c r="AW313" s="747"/>
      <c r="AX313" s="747"/>
    </row>
    <row r="314" spans="1:50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747"/>
      <c r="AO314" s="747"/>
      <c r="AP314" s="747"/>
      <c r="AQ314" s="747"/>
      <c r="AR314" s="747"/>
      <c r="AS314" s="747"/>
      <c r="AT314" s="747"/>
      <c r="AU314" s="747"/>
      <c r="AV314" s="747"/>
      <c r="AW314" s="747"/>
      <c r="AX314" s="747"/>
    </row>
    <row r="315" spans="1:50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747"/>
      <c r="AO315" s="747"/>
      <c r="AP315" s="747"/>
      <c r="AQ315" s="747"/>
      <c r="AR315" s="747"/>
      <c r="AS315" s="747"/>
      <c r="AT315" s="747"/>
      <c r="AU315" s="747"/>
      <c r="AV315" s="747"/>
      <c r="AW315" s="747"/>
      <c r="AX315" s="747"/>
    </row>
    <row r="316" spans="1:50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747"/>
      <c r="AO316" s="747"/>
      <c r="AP316" s="747"/>
      <c r="AQ316" s="747"/>
      <c r="AR316" s="747"/>
      <c r="AS316" s="747"/>
      <c r="AT316" s="747"/>
      <c r="AU316" s="747"/>
      <c r="AV316" s="747"/>
      <c r="AW316" s="747"/>
      <c r="AX316" s="747"/>
    </row>
    <row r="317" spans="1:50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747"/>
      <c r="AO317" s="747"/>
      <c r="AP317" s="747"/>
      <c r="AQ317" s="747"/>
      <c r="AR317" s="747"/>
      <c r="AS317" s="747"/>
      <c r="AT317" s="747"/>
      <c r="AU317" s="747"/>
      <c r="AV317" s="747"/>
      <c r="AW317" s="747"/>
      <c r="AX317" s="747"/>
    </row>
    <row r="318" spans="1:50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747"/>
      <c r="AO318" s="747"/>
      <c r="AP318" s="747"/>
      <c r="AQ318" s="747"/>
      <c r="AR318" s="747"/>
      <c r="AS318" s="747"/>
      <c r="AT318" s="747"/>
      <c r="AU318" s="747"/>
      <c r="AV318" s="747"/>
      <c r="AW318" s="747"/>
      <c r="AX318" s="747"/>
    </row>
    <row r="319" spans="1:50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747"/>
      <c r="AO319" s="747"/>
      <c r="AP319" s="747"/>
      <c r="AQ319" s="747"/>
      <c r="AR319" s="747"/>
      <c r="AS319" s="747"/>
      <c r="AT319" s="747"/>
      <c r="AU319" s="747"/>
      <c r="AV319" s="747"/>
      <c r="AW319" s="747"/>
      <c r="AX319" s="747"/>
    </row>
    <row r="320" spans="1:5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747"/>
      <c r="AO320" s="747"/>
      <c r="AP320" s="747"/>
      <c r="AQ320" s="747"/>
      <c r="AR320" s="747"/>
      <c r="AS320" s="747"/>
      <c r="AT320" s="747"/>
      <c r="AU320" s="747"/>
      <c r="AV320" s="747"/>
      <c r="AW320" s="747"/>
      <c r="AX320" s="747"/>
    </row>
    <row r="321" spans="1:50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747"/>
      <c r="AO321" s="747"/>
      <c r="AP321" s="747"/>
      <c r="AQ321" s="747"/>
      <c r="AR321" s="747"/>
      <c r="AS321" s="747"/>
      <c r="AT321" s="747"/>
      <c r="AU321" s="747"/>
      <c r="AV321" s="747"/>
      <c r="AW321" s="747"/>
      <c r="AX321" s="747"/>
    </row>
    <row r="322" spans="1:50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747"/>
      <c r="AO322" s="747"/>
      <c r="AP322" s="747"/>
      <c r="AQ322" s="747"/>
      <c r="AR322" s="747"/>
      <c r="AS322" s="747"/>
      <c r="AT322" s="747"/>
      <c r="AU322" s="747"/>
      <c r="AV322" s="747"/>
      <c r="AW322" s="747"/>
      <c r="AX322" s="747"/>
    </row>
    <row r="323" spans="1:50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747"/>
      <c r="AO323" s="747"/>
      <c r="AP323" s="747"/>
      <c r="AQ323" s="747"/>
      <c r="AR323" s="747"/>
      <c r="AS323" s="747"/>
      <c r="AT323" s="747"/>
      <c r="AU323" s="747"/>
      <c r="AV323" s="747"/>
      <c r="AW323" s="747"/>
      <c r="AX323" s="747"/>
    </row>
    <row r="324" spans="1:50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747"/>
      <c r="AO324" s="747"/>
      <c r="AP324" s="747"/>
      <c r="AQ324" s="747"/>
      <c r="AR324" s="747"/>
      <c r="AS324" s="747"/>
      <c r="AT324" s="747"/>
      <c r="AU324" s="747"/>
      <c r="AV324" s="747"/>
      <c r="AW324" s="747"/>
      <c r="AX324" s="747"/>
    </row>
    <row r="325" spans="1:50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747"/>
      <c r="AO325" s="747"/>
      <c r="AP325" s="747"/>
      <c r="AQ325" s="747"/>
      <c r="AR325" s="747"/>
      <c r="AS325" s="747"/>
      <c r="AT325" s="747"/>
      <c r="AU325" s="747"/>
      <c r="AV325" s="747"/>
      <c r="AW325" s="747"/>
      <c r="AX325" s="747"/>
    </row>
    <row r="326" spans="1:50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747"/>
      <c r="AO326" s="747"/>
      <c r="AP326" s="747"/>
      <c r="AQ326" s="747"/>
      <c r="AR326" s="747"/>
      <c r="AS326" s="747"/>
      <c r="AT326" s="747"/>
      <c r="AU326" s="747"/>
      <c r="AV326" s="747"/>
      <c r="AW326" s="747"/>
      <c r="AX326" s="747"/>
    </row>
    <row r="327" spans="1:50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747"/>
      <c r="AO327" s="747"/>
      <c r="AP327" s="747"/>
      <c r="AQ327" s="747"/>
      <c r="AR327" s="747"/>
      <c r="AS327" s="747"/>
      <c r="AT327" s="747"/>
      <c r="AU327" s="747"/>
      <c r="AV327" s="747"/>
      <c r="AW327" s="747"/>
      <c r="AX327" s="747"/>
    </row>
    <row r="328" spans="1:50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747"/>
      <c r="AO328" s="747"/>
      <c r="AP328" s="747"/>
      <c r="AQ328" s="747"/>
      <c r="AR328" s="747"/>
      <c r="AS328" s="747"/>
      <c r="AT328" s="747"/>
      <c r="AU328" s="747"/>
      <c r="AV328" s="747"/>
      <c r="AW328" s="747"/>
      <c r="AX328" s="747"/>
    </row>
    <row r="329" spans="1:50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747"/>
      <c r="AO329" s="747"/>
      <c r="AP329" s="747"/>
      <c r="AQ329" s="747"/>
      <c r="AR329" s="747"/>
      <c r="AS329" s="747"/>
      <c r="AT329" s="747"/>
      <c r="AU329" s="747"/>
      <c r="AV329" s="747"/>
      <c r="AW329" s="747"/>
      <c r="AX329" s="747"/>
    </row>
    <row r="330" spans="1:5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747"/>
      <c r="AO330" s="747"/>
      <c r="AP330" s="747"/>
      <c r="AQ330" s="747"/>
      <c r="AR330" s="747"/>
      <c r="AS330" s="747"/>
      <c r="AT330" s="747"/>
      <c r="AU330" s="747"/>
      <c r="AV330" s="747"/>
      <c r="AW330" s="747"/>
      <c r="AX330" s="747"/>
    </row>
    <row r="331" spans="1:50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747"/>
      <c r="AO331" s="747"/>
      <c r="AP331" s="747"/>
      <c r="AQ331" s="747"/>
      <c r="AR331" s="747"/>
      <c r="AS331" s="747"/>
      <c r="AT331" s="747"/>
      <c r="AU331" s="747"/>
      <c r="AV331" s="747"/>
      <c r="AW331" s="747"/>
      <c r="AX331" s="747"/>
    </row>
    <row r="332" spans="1:50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747"/>
      <c r="AO332" s="747"/>
      <c r="AP332" s="747"/>
      <c r="AQ332" s="747"/>
      <c r="AR332" s="747"/>
      <c r="AS332" s="747"/>
      <c r="AT332" s="747"/>
      <c r="AU332" s="747"/>
      <c r="AV332" s="747"/>
      <c r="AW332" s="747"/>
      <c r="AX332" s="747"/>
    </row>
    <row r="333" spans="1:50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747"/>
      <c r="AO333" s="747"/>
      <c r="AP333" s="747"/>
      <c r="AQ333" s="747"/>
      <c r="AR333" s="747"/>
      <c r="AS333" s="747"/>
      <c r="AT333" s="747"/>
      <c r="AU333" s="747"/>
      <c r="AV333" s="747"/>
      <c r="AW333" s="747"/>
      <c r="AX333" s="747"/>
    </row>
    <row r="334" spans="1:50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747"/>
      <c r="AO334" s="747"/>
      <c r="AP334" s="747"/>
      <c r="AQ334" s="747"/>
      <c r="AR334" s="747"/>
      <c r="AS334" s="747"/>
      <c r="AT334" s="747"/>
      <c r="AU334" s="747"/>
      <c r="AV334" s="747"/>
      <c r="AW334" s="747"/>
      <c r="AX334" s="747"/>
    </row>
    <row r="335" spans="1:50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747"/>
      <c r="AO335" s="747"/>
      <c r="AP335" s="747"/>
      <c r="AQ335" s="747"/>
      <c r="AR335" s="747"/>
      <c r="AS335" s="747"/>
      <c r="AT335" s="747"/>
      <c r="AU335" s="747"/>
      <c r="AV335" s="747"/>
      <c r="AW335" s="747"/>
      <c r="AX335" s="747"/>
    </row>
    <row r="336" spans="1:50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747"/>
      <c r="AO336" s="747"/>
      <c r="AP336" s="747"/>
      <c r="AQ336" s="747"/>
      <c r="AR336" s="747"/>
      <c r="AS336" s="747"/>
      <c r="AT336" s="747"/>
      <c r="AU336" s="747"/>
      <c r="AV336" s="747"/>
      <c r="AW336" s="747"/>
      <c r="AX336" s="747"/>
    </row>
    <row r="337" spans="1:50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747"/>
      <c r="AO337" s="747"/>
      <c r="AP337" s="747"/>
      <c r="AQ337" s="747"/>
      <c r="AR337" s="747"/>
      <c r="AS337" s="747"/>
      <c r="AT337" s="747"/>
      <c r="AU337" s="747"/>
      <c r="AV337" s="747"/>
      <c r="AW337" s="747"/>
      <c r="AX337" s="747"/>
    </row>
    <row r="338" spans="1:50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747"/>
      <c r="AO338" s="747"/>
      <c r="AP338" s="747"/>
      <c r="AQ338" s="747"/>
      <c r="AR338" s="747"/>
      <c r="AS338" s="747"/>
      <c r="AT338" s="747"/>
      <c r="AU338" s="747"/>
      <c r="AV338" s="747"/>
      <c r="AW338" s="747"/>
      <c r="AX338" s="747"/>
    </row>
    <row r="339" spans="1:50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747"/>
      <c r="AO339" s="747"/>
      <c r="AP339" s="747"/>
      <c r="AQ339" s="747"/>
      <c r="AR339" s="747"/>
      <c r="AS339" s="747"/>
      <c r="AT339" s="747"/>
      <c r="AU339" s="747"/>
      <c r="AV339" s="747"/>
      <c r="AW339" s="747"/>
      <c r="AX339" s="747"/>
    </row>
    <row r="340" spans="1:5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747"/>
      <c r="AO340" s="747"/>
      <c r="AP340" s="747"/>
      <c r="AQ340" s="747"/>
      <c r="AR340" s="747"/>
      <c r="AS340" s="747"/>
      <c r="AT340" s="747"/>
      <c r="AU340" s="747"/>
      <c r="AV340" s="747"/>
      <c r="AW340" s="747"/>
      <c r="AX340" s="747"/>
    </row>
    <row r="341" spans="1:50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747"/>
      <c r="AO341" s="747"/>
      <c r="AP341" s="747"/>
      <c r="AQ341" s="747"/>
      <c r="AR341" s="747"/>
      <c r="AS341" s="747"/>
      <c r="AT341" s="747"/>
      <c r="AU341" s="747"/>
      <c r="AV341" s="747"/>
      <c r="AW341" s="747"/>
      <c r="AX341" s="747"/>
    </row>
    <row r="342" spans="1:50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747"/>
      <c r="AO342" s="747"/>
      <c r="AP342" s="747"/>
      <c r="AQ342" s="747"/>
      <c r="AR342" s="747"/>
      <c r="AS342" s="747"/>
      <c r="AT342" s="747"/>
      <c r="AU342" s="747"/>
      <c r="AV342" s="747"/>
      <c r="AW342" s="747"/>
      <c r="AX342" s="747"/>
    </row>
    <row r="343" spans="1:50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747"/>
      <c r="AO343" s="747"/>
      <c r="AP343" s="747"/>
      <c r="AQ343" s="747"/>
      <c r="AR343" s="747"/>
      <c r="AS343" s="747"/>
      <c r="AT343" s="747"/>
      <c r="AU343" s="747"/>
      <c r="AV343" s="747"/>
      <c r="AW343" s="747"/>
      <c r="AX343" s="747"/>
    </row>
    <row r="344" spans="1:50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747"/>
      <c r="AO344" s="747"/>
      <c r="AP344" s="747"/>
      <c r="AQ344" s="747"/>
      <c r="AR344" s="747"/>
      <c r="AS344" s="747"/>
      <c r="AT344" s="747"/>
      <c r="AU344" s="747"/>
      <c r="AV344" s="747"/>
      <c r="AW344" s="747"/>
      <c r="AX344" s="747"/>
    </row>
    <row r="345" spans="1:50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747"/>
      <c r="AO345" s="747"/>
      <c r="AP345" s="747"/>
      <c r="AQ345" s="747"/>
      <c r="AR345" s="747"/>
      <c r="AS345" s="747"/>
      <c r="AT345" s="747"/>
      <c r="AU345" s="747"/>
      <c r="AV345" s="747"/>
      <c r="AW345" s="747"/>
      <c r="AX345" s="747"/>
    </row>
    <row r="346" spans="1:50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747"/>
      <c r="AO346" s="747"/>
      <c r="AP346" s="747"/>
      <c r="AQ346" s="747"/>
      <c r="AR346" s="747"/>
      <c r="AS346" s="747"/>
      <c r="AT346" s="747"/>
      <c r="AU346" s="747"/>
      <c r="AV346" s="747"/>
      <c r="AW346" s="747"/>
      <c r="AX346" s="747"/>
    </row>
    <row r="347" spans="1:50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747"/>
      <c r="AO347" s="747"/>
      <c r="AP347" s="747"/>
      <c r="AQ347" s="747"/>
      <c r="AR347" s="747"/>
      <c r="AS347" s="747"/>
      <c r="AT347" s="747"/>
      <c r="AU347" s="747"/>
      <c r="AV347" s="747"/>
      <c r="AW347" s="747"/>
      <c r="AX347" s="747"/>
    </row>
    <row r="348" spans="1:50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747"/>
      <c r="AO348" s="747"/>
      <c r="AP348" s="747"/>
      <c r="AQ348" s="747"/>
      <c r="AR348" s="747"/>
      <c r="AS348" s="747"/>
      <c r="AT348" s="747"/>
      <c r="AU348" s="747"/>
      <c r="AV348" s="747"/>
      <c r="AW348" s="747"/>
      <c r="AX348" s="747"/>
    </row>
    <row r="349" spans="1:50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747"/>
      <c r="AO349" s="747"/>
      <c r="AP349" s="747"/>
      <c r="AQ349" s="747"/>
      <c r="AR349" s="747"/>
      <c r="AS349" s="747"/>
      <c r="AT349" s="747"/>
      <c r="AU349" s="747"/>
      <c r="AV349" s="747"/>
      <c r="AW349" s="747"/>
      <c r="AX349" s="747"/>
    </row>
    <row r="350" spans="1: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747"/>
      <c r="AO350" s="747"/>
      <c r="AP350" s="747"/>
      <c r="AQ350" s="747"/>
      <c r="AR350" s="747"/>
      <c r="AS350" s="747"/>
      <c r="AT350" s="747"/>
      <c r="AU350" s="747"/>
      <c r="AV350" s="747"/>
      <c r="AW350" s="747"/>
      <c r="AX350" s="747"/>
    </row>
    <row r="351" spans="1:50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747"/>
      <c r="AO351" s="747"/>
      <c r="AP351" s="747"/>
      <c r="AQ351" s="747"/>
      <c r="AR351" s="747"/>
      <c r="AS351" s="747"/>
      <c r="AT351" s="747"/>
      <c r="AU351" s="747"/>
      <c r="AV351" s="747"/>
      <c r="AW351" s="747"/>
      <c r="AX351" s="747"/>
    </row>
    <row r="352" spans="1:50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747"/>
      <c r="AO352" s="747"/>
      <c r="AP352" s="747"/>
      <c r="AQ352" s="747"/>
      <c r="AR352" s="747"/>
      <c r="AS352" s="747"/>
      <c r="AT352" s="747"/>
      <c r="AU352" s="747"/>
      <c r="AV352" s="747"/>
      <c r="AW352" s="747"/>
      <c r="AX352" s="747"/>
    </row>
    <row r="353" spans="1:50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747"/>
      <c r="AO353" s="747"/>
      <c r="AP353" s="747"/>
      <c r="AQ353" s="747"/>
      <c r="AR353" s="747"/>
      <c r="AS353" s="747"/>
      <c r="AT353" s="747"/>
      <c r="AU353" s="747"/>
      <c r="AV353" s="747"/>
      <c r="AW353" s="747"/>
      <c r="AX353" s="747"/>
    </row>
    <row r="354" spans="1:50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747"/>
      <c r="AO354" s="747"/>
      <c r="AP354" s="747"/>
      <c r="AQ354" s="747"/>
      <c r="AR354" s="747"/>
      <c r="AS354" s="747"/>
      <c r="AT354" s="747"/>
      <c r="AU354" s="747"/>
      <c r="AV354" s="747"/>
      <c r="AW354" s="747"/>
      <c r="AX354" s="747"/>
    </row>
    <row r="355" spans="1:50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747"/>
      <c r="AO355" s="747"/>
      <c r="AP355" s="747"/>
      <c r="AQ355" s="747"/>
      <c r="AR355" s="747"/>
      <c r="AS355" s="747"/>
      <c r="AT355" s="747"/>
      <c r="AU355" s="747"/>
      <c r="AV355" s="747"/>
      <c r="AW355" s="747"/>
      <c r="AX355" s="747"/>
    </row>
    <row r="356" spans="1:50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747"/>
      <c r="AO356" s="747"/>
      <c r="AP356" s="747"/>
      <c r="AQ356" s="747"/>
      <c r="AR356" s="747"/>
      <c r="AS356" s="747"/>
      <c r="AT356" s="747"/>
      <c r="AU356" s="747"/>
      <c r="AV356" s="747"/>
      <c r="AW356" s="747"/>
      <c r="AX356" s="747"/>
    </row>
    <row r="357" spans="1:50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747"/>
      <c r="AO357" s="747"/>
      <c r="AP357" s="747"/>
      <c r="AQ357" s="747"/>
      <c r="AR357" s="747"/>
      <c r="AS357" s="747"/>
      <c r="AT357" s="747"/>
      <c r="AU357" s="747"/>
      <c r="AV357" s="747"/>
      <c r="AW357" s="747"/>
      <c r="AX357" s="747"/>
    </row>
    <row r="358" spans="1:50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747"/>
      <c r="AO358" s="747"/>
      <c r="AP358" s="747"/>
      <c r="AQ358" s="747"/>
      <c r="AR358" s="747"/>
      <c r="AS358" s="747"/>
      <c r="AT358" s="747"/>
      <c r="AU358" s="747"/>
      <c r="AV358" s="747"/>
      <c r="AW358" s="747"/>
      <c r="AX358" s="747"/>
    </row>
    <row r="359" spans="1:50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747"/>
      <c r="AO359" s="747"/>
      <c r="AP359" s="747"/>
      <c r="AQ359" s="747"/>
      <c r="AR359" s="747"/>
      <c r="AS359" s="747"/>
      <c r="AT359" s="747"/>
      <c r="AU359" s="747"/>
      <c r="AV359" s="747"/>
      <c r="AW359" s="747"/>
      <c r="AX359" s="747"/>
    </row>
    <row r="360" spans="1:5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747"/>
      <c r="AO360" s="747"/>
      <c r="AP360" s="747"/>
      <c r="AQ360" s="747"/>
      <c r="AR360" s="747"/>
      <c r="AS360" s="747"/>
      <c r="AT360" s="747"/>
      <c r="AU360" s="747"/>
      <c r="AV360" s="747"/>
      <c r="AW360" s="747"/>
      <c r="AX360" s="747"/>
    </row>
    <row r="361" spans="1:50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747"/>
      <c r="AO361" s="747"/>
      <c r="AP361" s="747"/>
      <c r="AQ361" s="747"/>
      <c r="AR361" s="747"/>
      <c r="AS361" s="747"/>
      <c r="AT361" s="747"/>
      <c r="AU361" s="747"/>
      <c r="AV361" s="747"/>
      <c r="AW361" s="747"/>
      <c r="AX361" s="747"/>
    </row>
    <row r="362" spans="1:50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747"/>
      <c r="AO362" s="747"/>
      <c r="AP362" s="747"/>
      <c r="AQ362" s="747"/>
      <c r="AR362" s="747"/>
      <c r="AS362" s="747"/>
      <c r="AT362" s="747"/>
      <c r="AU362" s="747"/>
      <c r="AV362" s="747"/>
      <c r="AW362" s="747"/>
      <c r="AX362" s="747"/>
    </row>
    <row r="363" spans="1:50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747"/>
      <c r="AO363" s="747"/>
      <c r="AP363" s="747"/>
      <c r="AQ363" s="747"/>
      <c r="AR363" s="747"/>
      <c r="AS363" s="747"/>
      <c r="AT363" s="747"/>
      <c r="AU363" s="747"/>
      <c r="AV363" s="747"/>
      <c r="AW363" s="747"/>
      <c r="AX363" s="747"/>
    </row>
    <row r="364" spans="1:50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747"/>
      <c r="AO364" s="747"/>
      <c r="AP364" s="747"/>
      <c r="AQ364" s="747"/>
      <c r="AR364" s="747"/>
      <c r="AS364" s="747"/>
      <c r="AT364" s="747"/>
      <c r="AU364" s="747"/>
      <c r="AV364" s="747"/>
      <c r="AW364" s="747"/>
      <c r="AX364" s="747"/>
    </row>
    <row r="365" spans="1:50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747"/>
      <c r="AO365" s="747"/>
      <c r="AP365" s="747"/>
      <c r="AQ365" s="747"/>
      <c r="AR365" s="747"/>
      <c r="AS365" s="747"/>
      <c r="AT365" s="747"/>
      <c r="AU365" s="747"/>
      <c r="AV365" s="747"/>
      <c r="AW365" s="747"/>
      <c r="AX365" s="747"/>
    </row>
    <row r="366" spans="1:50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747"/>
      <c r="AO366" s="747"/>
      <c r="AP366" s="747"/>
      <c r="AQ366" s="747"/>
      <c r="AR366" s="747"/>
      <c r="AS366" s="747"/>
      <c r="AT366" s="747"/>
      <c r="AU366" s="747"/>
      <c r="AV366" s="747"/>
      <c r="AW366" s="747"/>
      <c r="AX366" s="747"/>
    </row>
    <row r="367" spans="1:50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747"/>
      <c r="AO367" s="747"/>
      <c r="AP367" s="747"/>
      <c r="AQ367" s="747"/>
      <c r="AR367" s="747"/>
      <c r="AS367" s="747"/>
      <c r="AT367" s="747"/>
      <c r="AU367" s="747"/>
      <c r="AV367" s="747"/>
      <c r="AW367" s="747"/>
      <c r="AX367" s="747"/>
    </row>
    <row r="368" spans="1:50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747"/>
      <c r="AO368" s="747"/>
      <c r="AP368" s="747"/>
      <c r="AQ368" s="747"/>
      <c r="AR368" s="747"/>
      <c r="AS368" s="747"/>
      <c r="AT368" s="747"/>
      <c r="AU368" s="747"/>
      <c r="AV368" s="747"/>
      <c r="AW368" s="747"/>
      <c r="AX368" s="747"/>
    </row>
    <row r="369" spans="1:50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747"/>
      <c r="AO369" s="747"/>
      <c r="AP369" s="747"/>
      <c r="AQ369" s="747"/>
      <c r="AR369" s="747"/>
      <c r="AS369" s="747"/>
      <c r="AT369" s="747"/>
      <c r="AU369" s="747"/>
      <c r="AV369" s="747"/>
      <c r="AW369" s="747"/>
      <c r="AX369" s="747"/>
    </row>
    <row r="370" spans="1:5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747"/>
      <c r="AO370" s="747"/>
      <c r="AP370" s="747"/>
      <c r="AQ370" s="747"/>
      <c r="AR370" s="747"/>
      <c r="AS370" s="747"/>
      <c r="AT370" s="747"/>
      <c r="AU370" s="747"/>
      <c r="AV370" s="747"/>
      <c r="AW370" s="747"/>
      <c r="AX370" s="747"/>
    </row>
    <row r="371" spans="1:50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747"/>
      <c r="AO371" s="747"/>
      <c r="AP371" s="747"/>
      <c r="AQ371" s="747"/>
      <c r="AR371" s="747"/>
      <c r="AS371" s="747"/>
      <c r="AT371" s="747"/>
      <c r="AU371" s="747"/>
      <c r="AV371" s="747"/>
      <c r="AW371" s="747"/>
      <c r="AX371" s="747"/>
    </row>
    <row r="372" spans="1:50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747"/>
      <c r="AO372" s="747"/>
      <c r="AP372" s="747"/>
      <c r="AQ372" s="747"/>
      <c r="AR372" s="747"/>
      <c r="AS372" s="747"/>
      <c r="AT372" s="747"/>
      <c r="AU372" s="747"/>
      <c r="AV372" s="747"/>
      <c r="AW372" s="747"/>
      <c r="AX372" s="747"/>
    </row>
    <row r="373" spans="1:50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747"/>
      <c r="AO373" s="747"/>
      <c r="AP373" s="747"/>
      <c r="AQ373" s="747"/>
      <c r="AR373" s="747"/>
      <c r="AS373" s="747"/>
      <c r="AT373" s="747"/>
      <c r="AU373" s="747"/>
      <c r="AV373" s="747"/>
      <c r="AW373" s="747"/>
      <c r="AX373" s="747"/>
    </row>
    <row r="374" spans="1:50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747"/>
      <c r="AO374" s="747"/>
      <c r="AP374" s="747"/>
      <c r="AQ374" s="747"/>
      <c r="AR374" s="747"/>
      <c r="AS374" s="747"/>
      <c r="AT374" s="747"/>
      <c r="AU374" s="747"/>
      <c r="AV374" s="747"/>
      <c r="AW374" s="747"/>
      <c r="AX374" s="747"/>
    </row>
    <row r="375" spans="1:50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747"/>
      <c r="AO375" s="747"/>
      <c r="AP375" s="747"/>
      <c r="AQ375" s="747"/>
      <c r="AR375" s="747"/>
      <c r="AS375" s="747"/>
      <c r="AT375" s="747"/>
      <c r="AU375" s="747"/>
      <c r="AV375" s="747"/>
      <c r="AW375" s="747"/>
      <c r="AX375" s="747"/>
    </row>
    <row r="376" spans="1:50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747"/>
      <c r="AO376" s="747"/>
      <c r="AP376" s="747"/>
      <c r="AQ376" s="747"/>
      <c r="AR376" s="747"/>
      <c r="AS376" s="747"/>
      <c r="AT376" s="747"/>
      <c r="AU376" s="747"/>
      <c r="AV376" s="747"/>
      <c r="AW376" s="747"/>
      <c r="AX376" s="747"/>
    </row>
    <row r="377" spans="1:50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747"/>
      <c r="AO377" s="747"/>
      <c r="AP377" s="747"/>
      <c r="AQ377" s="747"/>
      <c r="AR377" s="747"/>
      <c r="AS377" s="747"/>
      <c r="AT377" s="747"/>
      <c r="AU377" s="747"/>
      <c r="AV377" s="747"/>
      <c r="AW377" s="747"/>
      <c r="AX377" s="747"/>
    </row>
    <row r="378" spans="1:50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747"/>
      <c r="AO378" s="747"/>
      <c r="AP378" s="747"/>
      <c r="AQ378" s="747"/>
      <c r="AR378" s="747"/>
      <c r="AS378" s="747"/>
      <c r="AT378" s="747"/>
      <c r="AU378" s="747"/>
      <c r="AV378" s="747"/>
      <c r="AW378" s="747"/>
      <c r="AX378" s="747"/>
    </row>
    <row r="379" spans="1:50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747"/>
      <c r="AO379" s="747"/>
      <c r="AP379" s="747"/>
      <c r="AQ379" s="747"/>
      <c r="AR379" s="747"/>
      <c r="AS379" s="747"/>
      <c r="AT379" s="747"/>
      <c r="AU379" s="747"/>
      <c r="AV379" s="747"/>
      <c r="AW379" s="747"/>
      <c r="AX379" s="747"/>
    </row>
    <row r="380" spans="1:5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747"/>
      <c r="AO380" s="747"/>
      <c r="AP380" s="747"/>
      <c r="AQ380" s="747"/>
      <c r="AR380" s="747"/>
      <c r="AS380" s="747"/>
      <c r="AT380" s="747"/>
      <c r="AU380" s="747"/>
      <c r="AV380" s="747"/>
      <c r="AW380" s="747"/>
      <c r="AX380" s="747"/>
    </row>
    <row r="381" spans="1:50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747"/>
      <c r="AO381" s="747"/>
      <c r="AP381" s="747"/>
      <c r="AQ381" s="747"/>
      <c r="AR381" s="747"/>
      <c r="AS381" s="747"/>
      <c r="AT381" s="747"/>
      <c r="AU381" s="747"/>
      <c r="AV381" s="747"/>
      <c r="AW381" s="747"/>
      <c r="AX381" s="747"/>
    </row>
    <row r="382" spans="1:50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747"/>
      <c r="AO382" s="747"/>
      <c r="AP382" s="747"/>
      <c r="AQ382" s="747"/>
      <c r="AR382" s="747"/>
      <c r="AS382" s="747"/>
      <c r="AT382" s="747"/>
      <c r="AU382" s="747"/>
      <c r="AV382" s="747"/>
      <c r="AW382" s="747"/>
      <c r="AX382" s="747"/>
    </row>
    <row r="383" spans="1:50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747"/>
      <c r="AO383" s="747"/>
      <c r="AP383" s="747"/>
      <c r="AQ383" s="747"/>
      <c r="AR383" s="747"/>
      <c r="AS383" s="747"/>
      <c r="AT383" s="747"/>
      <c r="AU383" s="747"/>
      <c r="AV383" s="747"/>
      <c r="AW383" s="747"/>
      <c r="AX383" s="747"/>
    </row>
    <row r="384" spans="1:50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747"/>
      <c r="AO384" s="747"/>
      <c r="AP384" s="747"/>
      <c r="AQ384" s="747"/>
      <c r="AR384" s="747"/>
      <c r="AS384" s="747"/>
      <c r="AT384" s="747"/>
      <c r="AU384" s="747"/>
      <c r="AV384" s="747"/>
      <c r="AW384" s="747"/>
      <c r="AX384" s="747"/>
    </row>
    <row r="385" spans="1:50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747"/>
      <c r="AO385" s="747"/>
      <c r="AP385" s="747"/>
      <c r="AQ385" s="747"/>
      <c r="AR385" s="747"/>
      <c r="AS385" s="747"/>
      <c r="AT385" s="747"/>
      <c r="AU385" s="747"/>
      <c r="AV385" s="747"/>
      <c r="AW385" s="747"/>
      <c r="AX385" s="747"/>
    </row>
    <row r="386" spans="1:50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747"/>
      <c r="AO386" s="747"/>
      <c r="AP386" s="747"/>
      <c r="AQ386" s="747"/>
      <c r="AR386" s="747"/>
      <c r="AS386" s="747"/>
      <c r="AT386" s="747"/>
      <c r="AU386" s="747"/>
      <c r="AV386" s="747"/>
      <c r="AW386" s="747"/>
      <c r="AX386" s="747"/>
    </row>
    <row r="387" spans="1:50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747"/>
      <c r="AO387" s="747"/>
      <c r="AP387" s="747"/>
      <c r="AQ387" s="747"/>
      <c r="AR387" s="747"/>
      <c r="AS387" s="747"/>
      <c r="AT387" s="747"/>
      <c r="AU387" s="747"/>
      <c r="AV387" s="747"/>
      <c r="AW387" s="747"/>
      <c r="AX387" s="747"/>
    </row>
    <row r="388" spans="1:50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747"/>
      <c r="AO388" s="747"/>
      <c r="AP388" s="747"/>
      <c r="AQ388" s="747"/>
      <c r="AR388" s="747"/>
      <c r="AS388" s="747"/>
      <c r="AT388" s="747"/>
      <c r="AU388" s="747"/>
      <c r="AV388" s="747"/>
      <c r="AW388" s="747"/>
      <c r="AX388" s="747"/>
    </row>
    <row r="389" spans="1:50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747"/>
      <c r="AO389" s="747"/>
      <c r="AP389" s="747"/>
      <c r="AQ389" s="747"/>
      <c r="AR389" s="747"/>
      <c r="AS389" s="747"/>
      <c r="AT389" s="747"/>
      <c r="AU389" s="747"/>
      <c r="AV389" s="747"/>
      <c r="AW389" s="747"/>
      <c r="AX389" s="747"/>
    </row>
    <row r="390" spans="1:5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747"/>
      <c r="AO390" s="747"/>
      <c r="AP390" s="747"/>
      <c r="AQ390" s="747"/>
      <c r="AR390" s="747"/>
      <c r="AS390" s="747"/>
      <c r="AT390" s="747"/>
      <c r="AU390" s="747"/>
      <c r="AV390" s="747"/>
      <c r="AW390" s="747"/>
      <c r="AX390" s="747"/>
    </row>
    <row r="391" spans="1:50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747"/>
      <c r="AO391" s="747"/>
      <c r="AP391" s="747"/>
      <c r="AQ391" s="747"/>
      <c r="AR391" s="747"/>
      <c r="AS391" s="747"/>
      <c r="AT391" s="747"/>
      <c r="AU391" s="747"/>
      <c r="AV391" s="747"/>
      <c r="AW391" s="747"/>
      <c r="AX391" s="747"/>
    </row>
    <row r="392" spans="1:50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747"/>
      <c r="AO392" s="747"/>
      <c r="AP392" s="747"/>
      <c r="AQ392" s="747"/>
      <c r="AR392" s="747"/>
      <c r="AS392" s="747"/>
      <c r="AT392" s="747"/>
      <c r="AU392" s="747"/>
      <c r="AV392" s="747"/>
      <c r="AW392" s="747"/>
      <c r="AX392" s="747"/>
    </row>
    <row r="393" spans="1:50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747"/>
      <c r="AO393" s="747"/>
      <c r="AP393" s="747"/>
      <c r="AQ393" s="747"/>
      <c r="AR393" s="747"/>
      <c r="AS393" s="747"/>
      <c r="AT393" s="747"/>
      <c r="AU393" s="747"/>
      <c r="AV393" s="747"/>
      <c r="AW393" s="747"/>
      <c r="AX393" s="747"/>
    </row>
    <row r="394" spans="1:50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747"/>
      <c r="AO394" s="747"/>
      <c r="AP394" s="747"/>
      <c r="AQ394" s="747"/>
      <c r="AR394" s="747"/>
      <c r="AS394" s="747"/>
      <c r="AT394" s="747"/>
      <c r="AU394" s="747"/>
      <c r="AV394" s="747"/>
      <c r="AW394" s="747"/>
      <c r="AX394" s="747"/>
    </row>
    <row r="395" spans="1:50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747"/>
      <c r="AO395" s="747"/>
      <c r="AP395" s="747"/>
      <c r="AQ395" s="747"/>
      <c r="AR395" s="747"/>
      <c r="AS395" s="747"/>
      <c r="AT395" s="747"/>
      <c r="AU395" s="747"/>
      <c r="AV395" s="747"/>
      <c r="AW395" s="747"/>
      <c r="AX395" s="747"/>
    </row>
    <row r="396" spans="1:50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747"/>
      <c r="AO396" s="747"/>
      <c r="AP396" s="747"/>
      <c r="AQ396" s="747"/>
      <c r="AR396" s="747"/>
      <c r="AS396" s="747"/>
      <c r="AT396" s="747"/>
      <c r="AU396" s="747"/>
      <c r="AV396" s="747"/>
      <c r="AW396" s="747"/>
      <c r="AX396" s="747"/>
    </row>
    <row r="397" spans="1:50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747"/>
      <c r="AO397" s="747"/>
      <c r="AP397" s="747"/>
      <c r="AQ397" s="747"/>
      <c r="AR397" s="747"/>
      <c r="AS397" s="747"/>
      <c r="AT397" s="747"/>
      <c r="AU397" s="747"/>
      <c r="AV397" s="747"/>
      <c r="AW397" s="747"/>
      <c r="AX397" s="747"/>
    </row>
    <row r="398" spans="1:50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747"/>
      <c r="AO398" s="747"/>
      <c r="AP398" s="747"/>
      <c r="AQ398" s="747"/>
      <c r="AR398" s="747"/>
      <c r="AS398" s="747"/>
      <c r="AT398" s="747"/>
      <c r="AU398" s="747"/>
      <c r="AV398" s="747"/>
      <c r="AW398" s="747"/>
      <c r="AX398" s="747"/>
    </row>
    <row r="399" spans="1:50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747"/>
      <c r="AO399" s="747"/>
      <c r="AP399" s="747"/>
      <c r="AQ399" s="747"/>
      <c r="AR399" s="747"/>
      <c r="AS399" s="747"/>
      <c r="AT399" s="747"/>
      <c r="AU399" s="747"/>
      <c r="AV399" s="747"/>
      <c r="AW399" s="747"/>
      <c r="AX399" s="747"/>
    </row>
    <row r="400" spans="1:5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747"/>
      <c r="AO400" s="747"/>
      <c r="AP400" s="747"/>
      <c r="AQ400" s="747"/>
      <c r="AR400" s="747"/>
      <c r="AS400" s="747"/>
      <c r="AT400" s="747"/>
      <c r="AU400" s="747"/>
      <c r="AV400" s="747"/>
      <c r="AW400" s="747"/>
      <c r="AX400" s="747"/>
    </row>
    <row r="401" spans="1:50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747"/>
      <c r="AO401" s="747"/>
      <c r="AP401" s="747"/>
      <c r="AQ401" s="747"/>
      <c r="AR401" s="747"/>
      <c r="AS401" s="747"/>
      <c r="AT401" s="747"/>
      <c r="AU401" s="747"/>
      <c r="AV401" s="747"/>
      <c r="AW401" s="747"/>
      <c r="AX401" s="747"/>
    </row>
    <row r="402" spans="1:50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747"/>
      <c r="AO402" s="747"/>
      <c r="AP402" s="747"/>
      <c r="AQ402" s="747"/>
      <c r="AR402" s="747"/>
      <c r="AS402" s="747"/>
      <c r="AT402" s="747"/>
      <c r="AU402" s="747"/>
      <c r="AV402" s="747"/>
      <c r="AW402" s="747"/>
      <c r="AX402" s="747"/>
    </row>
    <row r="403" spans="1:50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747"/>
      <c r="AO403" s="747"/>
      <c r="AP403" s="747"/>
      <c r="AQ403" s="747"/>
      <c r="AR403" s="747"/>
      <c r="AS403" s="747"/>
      <c r="AT403" s="747"/>
      <c r="AU403" s="747"/>
      <c r="AV403" s="747"/>
      <c r="AW403" s="747"/>
      <c r="AX403" s="747"/>
    </row>
    <row r="404" spans="1:50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747"/>
      <c r="AO404" s="747"/>
      <c r="AP404" s="747"/>
      <c r="AQ404" s="747"/>
      <c r="AR404" s="747"/>
      <c r="AS404" s="747"/>
      <c r="AT404" s="747"/>
      <c r="AU404" s="747"/>
      <c r="AV404" s="747"/>
      <c r="AW404" s="747"/>
      <c r="AX404" s="747"/>
    </row>
    <row r="405" spans="1:50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747"/>
      <c r="AO405" s="747"/>
      <c r="AP405" s="747"/>
      <c r="AQ405" s="747"/>
      <c r="AR405" s="747"/>
      <c r="AS405" s="747"/>
      <c r="AT405" s="747"/>
      <c r="AU405" s="747"/>
      <c r="AV405" s="747"/>
      <c r="AW405" s="747"/>
      <c r="AX405" s="747"/>
    </row>
    <row r="406" spans="1:50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747"/>
      <c r="AO406" s="747"/>
      <c r="AP406" s="747"/>
      <c r="AQ406" s="747"/>
      <c r="AR406" s="747"/>
      <c r="AS406" s="747"/>
      <c r="AT406" s="747"/>
      <c r="AU406" s="747"/>
      <c r="AV406" s="747"/>
      <c r="AW406" s="747"/>
      <c r="AX406" s="747"/>
    </row>
    <row r="407" spans="1:50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747"/>
      <c r="AO407" s="747"/>
      <c r="AP407" s="747"/>
      <c r="AQ407" s="747"/>
      <c r="AR407" s="747"/>
      <c r="AS407" s="747"/>
      <c r="AT407" s="747"/>
      <c r="AU407" s="747"/>
      <c r="AV407" s="747"/>
      <c r="AW407" s="747"/>
      <c r="AX407" s="747"/>
    </row>
    <row r="408" spans="1:50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747"/>
      <c r="AO408" s="747"/>
      <c r="AP408" s="747"/>
      <c r="AQ408" s="747"/>
      <c r="AR408" s="747"/>
      <c r="AS408" s="747"/>
      <c r="AT408" s="747"/>
      <c r="AU408" s="747"/>
      <c r="AV408" s="747"/>
      <c r="AW408" s="747"/>
      <c r="AX408" s="747"/>
    </row>
    <row r="409" spans="1:50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747"/>
      <c r="AO409" s="747"/>
      <c r="AP409" s="747"/>
      <c r="AQ409" s="747"/>
      <c r="AR409" s="747"/>
      <c r="AS409" s="747"/>
      <c r="AT409" s="747"/>
      <c r="AU409" s="747"/>
      <c r="AV409" s="747"/>
      <c r="AW409" s="747"/>
      <c r="AX409" s="747"/>
    </row>
    <row r="410" spans="1:5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747"/>
      <c r="AO410" s="747"/>
      <c r="AP410" s="747"/>
      <c r="AQ410" s="747"/>
      <c r="AR410" s="747"/>
      <c r="AS410" s="747"/>
      <c r="AT410" s="747"/>
      <c r="AU410" s="747"/>
      <c r="AV410" s="747"/>
      <c r="AW410" s="747"/>
      <c r="AX410" s="747"/>
    </row>
    <row r="411" spans="1:50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747"/>
      <c r="AO411" s="747"/>
      <c r="AP411" s="747"/>
      <c r="AQ411" s="747"/>
      <c r="AR411" s="747"/>
      <c r="AS411" s="747"/>
      <c r="AT411" s="747"/>
      <c r="AU411" s="747"/>
      <c r="AV411" s="747"/>
      <c r="AW411" s="747"/>
      <c r="AX411" s="747"/>
    </row>
    <row r="412" spans="1:50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747"/>
      <c r="AO412" s="747"/>
      <c r="AP412" s="747"/>
      <c r="AQ412" s="747"/>
      <c r="AR412" s="747"/>
      <c r="AS412" s="747"/>
      <c r="AT412" s="747"/>
      <c r="AU412" s="747"/>
      <c r="AV412" s="747"/>
      <c r="AW412" s="747"/>
      <c r="AX412" s="747"/>
    </row>
    <row r="413" spans="1:50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747"/>
      <c r="AO413" s="747"/>
      <c r="AP413" s="747"/>
      <c r="AQ413" s="747"/>
      <c r="AR413" s="747"/>
      <c r="AS413" s="747"/>
      <c r="AT413" s="747"/>
      <c r="AU413" s="747"/>
      <c r="AV413" s="747"/>
      <c r="AW413" s="747"/>
      <c r="AX413" s="747"/>
    </row>
    <row r="414" spans="1:50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747"/>
      <c r="AO414" s="747"/>
      <c r="AP414" s="747"/>
      <c r="AQ414" s="747"/>
      <c r="AR414" s="747"/>
      <c r="AS414" s="747"/>
      <c r="AT414" s="747"/>
      <c r="AU414" s="747"/>
      <c r="AV414" s="747"/>
      <c r="AW414" s="747"/>
      <c r="AX414" s="747"/>
    </row>
    <row r="415" spans="1:50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747"/>
      <c r="AO415" s="747"/>
      <c r="AP415" s="747"/>
      <c r="AQ415" s="747"/>
      <c r="AR415" s="747"/>
      <c r="AS415" s="747"/>
      <c r="AT415" s="747"/>
      <c r="AU415" s="747"/>
      <c r="AV415" s="747"/>
      <c r="AW415" s="747"/>
      <c r="AX415" s="747"/>
    </row>
    <row r="416" spans="1:50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747"/>
      <c r="AO416" s="747"/>
      <c r="AP416" s="747"/>
      <c r="AQ416" s="747"/>
      <c r="AR416" s="747"/>
      <c r="AS416" s="747"/>
      <c r="AT416" s="747"/>
      <c r="AU416" s="747"/>
      <c r="AV416" s="747"/>
      <c r="AW416" s="747"/>
      <c r="AX416" s="747"/>
    </row>
    <row r="417" spans="1:50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747"/>
      <c r="AO417" s="747"/>
      <c r="AP417" s="747"/>
      <c r="AQ417" s="747"/>
      <c r="AR417" s="747"/>
      <c r="AS417" s="747"/>
      <c r="AT417" s="747"/>
      <c r="AU417" s="747"/>
      <c r="AV417" s="747"/>
      <c r="AW417" s="747"/>
      <c r="AX417" s="747"/>
    </row>
    <row r="418" spans="1:50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747"/>
      <c r="AO418" s="747"/>
      <c r="AP418" s="747"/>
      <c r="AQ418" s="747"/>
      <c r="AR418" s="747"/>
      <c r="AS418" s="747"/>
      <c r="AT418" s="747"/>
      <c r="AU418" s="747"/>
      <c r="AV418" s="747"/>
      <c r="AW418" s="747"/>
      <c r="AX418" s="747"/>
    </row>
    <row r="419" spans="1:50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747"/>
      <c r="AO419" s="747"/>
      <c r="AP419" s="747"/>
      <c r="AQ419" s="747"/>
      <c r="AR419" s="747"/>
      <c r="AS419" s="747"/>
      <c r="AT419" s="747"/>
      <c r="AU419" s="747"/>
      <c r="AV419" s="747"/>
      <c r="AW419" s="747"/>
      <c r="AX419" s="747"/>
    </row>
    <row r="420" spans="1:5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747"/>
      <c r="AO420" s="747"/>
      <c r="AP420" s="747"/>
      <c r="AQ420" s="747"/>
      <c r="AR420" s="747"/>
      <c r="AS420" s="747"/>
      <c r="AT420" s="747"/>
      <c r="AU420" s="747"/>
      <c r="AV420" s="747"/>
      <c r="AW420" s="747"/>
      <c r="AX420" s="747"/>
    </row>
    <row r="421" spans="1:50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747"/>
      <c r="AO421" s="747"/>
      <c r="AP421" s="747"/>
      <c r="AQ421" s="747"/>
      <c r="AR421" s="747"/>
      <c r="AS421" s="747"/>
      <c r="AT421" s="747"/>
      <c r="AU421" s="747"/>
      <c r="AV421" s="747"/>
      <c r="AW421" s="747"/>
      <c r="AX421" s="747"/>
    </row>
    <row r="422" spans="1:50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747"/>
      <c r="AO422" s="747"/>
      <c r="AP422" s="747"/>
      <c r="AQ422" s="747"/>
      <c r="AR422" s="747"/>
      <c r="AS422" s="747"/>
      <c r="AT422" s="747"/>
      <c r="AU422" s="747"/>
      <c r="AV422" s="747"/>
      <c r="AW422" s="747"/>
      <c r="AX422" s="747"/>
    </row>
    <row r="423" spans="1:50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747"/>
      <c r="AO423" s="747"/>
      <c r="AP423" s="747"/>
      <c r="AQ423" s="747"/>
      <c r="AR423" s="747"/>
      <c r="AS423" s="747"/>
      <c r="AT423" s="747"/>
      <c r="AU423" s="747"/>
      <c r="AV423" s="747"/>
      <c r="AW423" s="747"/>
      <c r="AX423" s="747"/>
    </row>
    <row r="424" spans="1:50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747"/>
      <c r="AO424" s="747"/>
      <c r="AP424" s="747"/>
      <c r="AQ424" s="747"/>
      <c r="AR424" s="747"/>
      <c r="AS424" s="747"/>
      <c r="AT424" s="747"/>
      <c r="AU424" s="747"/>
      <c r="AV424" s="747"/>
      <c r="AW424" s="747"/>
      <c r="AX424" s="747"/>
    </row>
    <row r="425" spans="1:50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747"/>
      <c r="AO425" s="747"/>
      <c r="AP425" s="747"/>
      <c r="AQ425" s="747"/>
      <c r="AR425" s="747"/>
      <c r="AS425" s="747"/>
      <c r="AT425" s="747"/>
      <c r="AU425" s="747"/>
      <c r="AV425" s="747"/>
      <c r="AW425" s="747"/>
      <c r="AX425" s="747"/>
    </row>
    <row r="426" spans="1:50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747"/>
      <c r="AO426" s="747"/>
      <c r="AP426" s="747"/>
      <c r="AQ426" s="747"/>
      <c r="AR426" s="747"/>
      <c r="AS426" s="747"/>
      <c r="AT426" s="747"/>
      <c r="AU426" s="747"/>
      <c r="AV426" s="747"/>
      <c r="AW426" s="747"/>
      <c r="AX426" s="747"/>
    </row>
    <row r="427" spans="1:50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747"/>
      <c r="AO427" s="747"/>
      <c r="AP427" s="747"/>
      <c r="AQ427" s="747"/>
      <c r="AR427" s="747"/>
      <c r="AS427" s="747"/>
      <c r="AT427" s="747"/>
      <c r="AU427" s="747"/>
      <c r="AV427" s="747"/>
      <c r="AW427" s="747"/>
      <c r="AX427" s="747"/>
    </row>
    <row r="428" spans="1:50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747"/>
      <c r="AO428" s="747"/>
      <c r="AP428" s="747"/>
      <c r="AQ428" s="747"/>
      <c r="AR428" s="747"/>
      <c r="AS428" s="747"/>
      <c r="AT428" s="747"/>
      <c r="AU428" s="747"/>
      <c r="AV428" s="747"/>
      <c r="AW428" s="747"/>
      <c r="AX428" s="747"/>
    </row>
    <row r="429" spans="1:50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747"/>
      <c r="AO429" s="747"/>
      <c r="AP429" s="747"/>
      <c r="AQ429" s="747"/>
      <c r="AR429" s="747"/>
      <c r="AS429" s="747"/>
      <c r="AT429" s="747"/>
      <c r="AU429" s="747"/>
      <c r="AV429" s="747"/>
      <c r="AW429" s="747"/>
      <c r="AX429" s="747"/>
    </row>
    <row r="430" spans="1:5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747"/>
      <c r="AO430" s="747"/>
      <c r="AP430" s="747"/>
      <c r="AQ430" s="747"/>
      <c r="AR430" s="747"/>
      <c r="AS430" s="747"/>
      <c r="AT430" s="747"/>
      <c r="AU430" s="747"/>
      <c r="AV430" s="747"/>
      <c r="AW430" s="747"/>
      <c r="AX430" s="747"/>
    </row>
    <row r="431" spans="1:50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747"/>
      <c r="AO431" s="747"/>
      <c r="AP431" s="747"/>
      <c r="AQ431" s="747"/>
      <c r="AR431" s="747"/>
      <c r="AS431" s="747"/>
      <c r="AT431" s="747"/>
      <c r="AU431" s="747"/>
      <c r="AV431" s="747"/>
      <c r="AW431" s="747"/>
      <c r="AX431" s="747"/>
    </row>
    <row r="432" spans="1:50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747"/>
      <c r="AO432" s="747"/>
      <c r="AP432" s="747"/>
      <c r="AQ432" s="747"/>
      <c r="AR432" s="747"/>
      <c r="AS432" s="747"/>
      <c r="AT432" s="747"/>
      <c r="AU432" s="747"/>
      <c r="AV432" s="747"/>
      <c r="AW432" s="747"/>
      <c r="AX432" s="747"/>
    </row>
    <row r="433" spans="1:50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747"/>
      <c r="AO433" s="747"/>
      <c r="AP433" s="747"/>
      <c r="AQ433" s="747"/>
      <c r="AR433" s="747"/>
      <c r="AS433" s="747"/>
      <c r="AT433" s="747"/>
      <c r="AU433" s="747"/>
      <c r="AV433" s="747"/>
      <c r="AW433" s="747"/>
      <c r="AX433" s="747"/>
    </row>
    <row r="434" spans="1:50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747"/>
      <c r="AO434" s="747"/>
      <c r="AP434" s="747"/>
      <c r="AQ434" s="747"/>
      <c r="AR434" s="747"/>
      <c r="AS434" s="747"/>
      <c r="AT434" s="747"/>
      <c r="AU434" s="747"/>
      <c r="AV434" s="747"/>
      <c r="AW434" s="747"/>
      <c r="AX434" s="747"/>
    </row>
    <row r="435" spans="1:50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747"/>
      <c r="AO435" s="747"/>
      <c r="AP435" s="747"/>
      <c r="AQ435" s="747"/>
      <c r="AR435" s="747"/>
      <c r="AS435" s="747"/>
      <c r="AT435" s="747"/>
      <c r="AU435" s="747"/>
      <c r="AV435" s="747"/>
      <c r="AW435" s="747"/>
      <c r="AX435" s="747"/>
    </row>
    <row r="436" spans="1:50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747"/>
      <c r="AO436" s="747"/>
      <c r="AP436" s="747"/>
      <c r="AQ436" s="747"/>
      <c r="AR436" s="747"/>
      <c r="AS436" s="747"/>
      <c r="AT436" s="747"/>
      <c r="AU436" s="747"/>
      <c r="AV436" s="747"/>
      <c r="AW436" s="747"/>
      <c r="AX436" s="747"/>
    </row>
    <row r="437" spans="1:50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747"/>
      <c r="AO437" s="747"/>
      <c r="AP437" s="747"/>
      <c r="AQ437" s="747"/>
      <c r="AR437" s="747"/>
      <c r="AS437" s="747"/>
      <c r="AT437" s="747"/>
      <c r="AU437" s="747"/>
      <c r="AV437" s="747"/>
      <c r="AW437" s="747"/>
      <c r="AX437" s="747"/>
    </row>
    <row r="438" spans="1:50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747"/>
      <c r="AO438" s="747"/>
      <c r="AP438" s="747"/>
      <c r="AQ438" s="747"/>
      <c r="AR438" s="747"/>
      <c r="AS438" s="747"/>
      <c r="AT438" s="747"/>
      <c r="AU438" s="747"/>
      <c r="AV438" s="747"/>
      <c r="AW438" s="747"/>
      <c r="AX438" s="747"/>
    </row>
    <row r="439" spans="1:50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747"/>
      <c r="AO439" s="747"/>
      <c r="AP439" s="747"/>
      <c r="AQ439" s="747"/>
      <c r="AR439" s="747"/>
      <c r="AS439" s="747"/>
      <c r="AT439" s="747"/>
      <c r="AU439" s="747"/>
      <c r="AV439" s="747"/>
      <c r="AW439" s="747"/>
      <c r="AX439" s="747"/>
    </row>
    <row r="440" spans="1:5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747"/>
      <c r="AO440" s="747"/>
      <c r="AP440" s="747"/>
      <c r="AQ440" s="747"/>
      <c r="AR440" s="747"/>
      <c r="AS440" s="747"/>
      <c r="AT440" s="747"/>
      <c r="AU440" s="747"/>
      <c r="AV440" s="747"/>
      <c r="AW440" s="747"/>
      <c r="AX440" s="747"/>
    </row>
    <row r="441" spans="1:50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747"/>
      <c r="AO441" s="747"/>
      <c r="AP441" s="747"/>
      <c r="AQ441" s="747"/>
      <c r="AR441" s="747"/>
      <c r="AS441" s="747"/>
      <c r="AT441" s="747"/>
      <c r="AU441" s="747"/>
      <c r="AV441" s="747"/>
      <c r="AW441" s="747"/>
      <c r="AX441" s="747"/>
    </row>
    <row r="442" spans="1:50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747"/>
      <c r="AO442" s="747"/>
      <c r="AP442" s="747"/>
      <c r="AQ442" s="747"/>
      <c r="AR442" s="747"/>
      <c r="AS442" s="747"/>
      <c r="AT442" s="747"/>
      <c r="AU442" s="747"/>
      <c r="AV442" s="747"/>
      <c r="AW442" s="747"/>
      <c r="AX442" s="747"/>
    </row>
    <row r="443" spans="1:50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747"/>
      <c r="AO443" s="747"/>
      <c r="AP443" s="747"/>
      <c r="AQ443" s="747"/>
      <c r="AR443" s="747"/>
      <c r="AS443" s="747"/>
      <c r="AT443" s="747"/>
      <c r="AU443" s="747"/>
      <c r="AV443" s="747"/>
      <c r="AW443" s="747"/>
      <c r="AX443" s="747"/>
    </row>
    <row r="444" spans="1:50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747"/>
      <c r="AO444" s="747"/>
      <c r="AP444" s="747"/>
      <c r="AQ444" s="747"/>
      <c r="AR444" s="747"/>
      <c r="AS444" s="747"/>
      <c r="AT444" s="747"/>
      <c r="AU444" s="747"/>
      <c r="AV444" s="747"/>
      <c r="AW444" s="747"/>
      <c r="AX444" s="747"/>
    </row>
    <row r="445" spans="1:50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747"/>
      <c r="AO445" s="747"/>
      <c r="AP445" s="747"/>
      <c r="AQ445" s="747"/>
      <c r="AR445" s="747"/>
      <c r="AS445" s="747"/>
      <c r="AT445" s="747"/>
      <c r="AU445" s="747"/>
      <c r="AV445" s="747"/>
      <c r="AW445" s="747"/>
      <c r="AX445" s="747"/>
    </row>
    <row r="446" spans="1:50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747"/>
      <c r="AO446" s="747"/>
      <c r="AP446" s="747"/>
      <c r="AQ446" s="747"/>
      <c r="AR446" s="747"/>
      <c r="AS446" s="747"/>
      <c r="AT446" s="747"/>
      <c r="AU446" s="747"/>
      <c r="AV446" s="747"/>
      <c r="AW446" s="747"/>
      <c r="AX446" s="747"/>
    </row>
    <row r="447" spans="1:50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747"/>
      <c r="AO447" s="747"/>
      <c r="AP447" s="747"/>
      <c r="AQ447" s="747"/>
      <c r="AR447" s="747"/>
      <c r="AS447" s="747"/>
      <c r="AT447" s="747"/>
      <c r="AU447" s="747"/>
      <c r="AV447" s="747"/>
      <c r="AW447" s="747"/>
      <c r="AX447" s="747"/>
    </row>
    <row r="448" spans="1:50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747"/>
      <c r="AO448" s="747"/>
      <c r="AP448" s="747"/>
      <c r="AQ448" s="747"/>
      <c r="AR448" s="747"/>
      <c r="AS448" s="747"/>
      <c r="AT448" s="747"/>
      <c r="AU448" s="747"/>
      <c r="AV448" s="747"/>
      <c r="AW448" s="747"/>
      <c r="AX448" s="747"/>
    </row>
    <row r="449" spans="1:50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747"/>
      <c r="AO449" s="747"/>
      <c r="AP449" s="747"/>
      <c r="AQ449" s="747"/>
      <c r="AR449" s="747"/>
      <c r="AS449" s="747"/>
      <c r="AT449" s="747"/>
      <c r="AU449" s="747"/>
      <c r="AV449" s="747"/>
      <c r="AW449" s="747"/>
      <c r="AX449" s="747"/>
    </row>
    <row r="450" spans="1: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747"/>
      <c r="AO450" s="747"/>
      <c r="AP450" s="747"/>
      <c r="AQ450" s="747"/>
      <c r="AR450" s="747"/>
      <c r="AS450" s="747"/>
      <c r="AT450" s="747"/>
      <c r="AU450" s="747"/>
      <c r="AV450" s="747"/>
      <c r="AW450" s="747"/>
      <c r="AX450" s="747"/>
    </row>
    <row r="451" spans="1:50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747"/>
      <c r="AO451" s="747"/>
      <c r="AP451" s="747"/>
      <c r="AQ451" s="747"/>
      <c r="AR451" s="747"/>
      <c r="AS451" s="747"/>
      <c r="AT451" s="747"/>
      <c r="AU451" s="747"/>
      <c r="AV451" s="747"/>
      <c r="AW451" s="747"/>
      <c r="AX451" s="747"/>
    </row>
    <row r="452" spans="1:50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747"/>
      <c r="AO452" s="747"/>
      <c r="AP452" s="747"/>
      <c r="AQ452" s="747"/>
      <c r="AR452" s="747"/>
      <c r="AS452" s="747"/>
      <c r="AT452" s="747"/>
      <c r="AU452" s="747"/>
      <c r="AV452" s="747"/>
      <c r="AW452" s="747"/>
      <c r="AX452" s="747"/>
    </row>
    <row r="453" spans="1:50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747"/>
      <c r="AO453" s="747"/>
      <c r="AP453" s="747"/>
      <c r="AQ453" s="747"/>
      <c r="AR453" s="747"/>
      <c r="AS453" s="747"/>
      <c r="AT453" s="747"/>
      <c r="AU453" s="747"/>
      <c r="AV453" s="747"/>
      <c r="AW453" s="747"/>
      <c r="AX453" s="747"/>
    </row>
    <row r="454" spans="1:50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747"/>
      <c r="AO454" s="747"/>
      <c r="AP454" s="747"/>
      <c r="AQ454" s="747"/>
      <c r="AR454" s="747"/>
      <c r="AS454" s="747"/>
      <c r="AT454" s="747"/>
      <c r="AU454" s="747"/>
      <c r="AV454" s="747"/>
      <c r="AW454" s="747"/>
      <c r="AX454" s="747"/>
    </row>
    <row r="455" spans="1:50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747"/>
      <c r="AO455" s="747"/>
      <c r="AP455" s="747"/>
      <c r="AQ455" s="747"/>
      <c r="AR455" s="747"/>
      <c r="AS455" s="747"/>
      <c r="AT455" s="747"/>
      <c r="AU455" s="747"/>
      <c r="AV455" s="747"/>
      <c r="AW455" s="747"/>
      <c r="AX455" s="747"/>
    </row>
    <row r="456" spans="1:50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747"/>
      <c r="AO456" s="747"/>
      <c r="AP456" s="747"/>
      <c r="AQ456" s="747"/>
      <c r="AR456" s="747"/>
      <c r="AS456" s="747"/>
      <c r="AT456" s="747"/>
      <c r="AU456" s="747"/>
      <c r="AV456" s="747"/>
      <c r="AW456" s="747"/>
      <c r="AX456" s="747"/>
    </row>
    <row r="457" spans="1:50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747"/>
      <c r="AO457" s="747"/>
      <c r="AP457" s="747"/>
      <c r="AQ457" s="747"/>
      <c r="AR457" s="747"/>
      <c r="AS457" s="747"/>
      <c r="AT457" s="747"/>
      <c r="AU457" s="747"/>
      <c r="AV457" s="747"/>
      <c r="AW457" s="747"/>
      <c r="AX457" s="747"/>
    </row>
    <row r="458" spans="1:50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747"/>
      <c r="AO458" s="747"/>
      <c r="AP458" s="747"/>
      <c r="AQ458" s="747"/>
      <c r="AR458" s="747"/>
      <c r="AS458" s="747"/>
      <c r="AT458" s="747"/>
      <c r="AU458" s="747"/>
      <c r="AV458" s="747"/>
      <c r="AW458" s="747"/>
      <c r="AX458" s="747"/>
    </row>
    <row r="459" spans="1:50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747"/>
      <c r="AO459" s="747"/>
      <c r="AP459" s="747"/>
      <c r="AQ459" s="747"/>
      <c r="AR459" s="747"/>
      <c r="AS459" s="747"/>
      <c r="AT459" s="747"/>
      <c r="AU459" s="747"/>
      <c r="AV459" s="747"/>
      <c r="AW459" s="747"/>
      <c r="AX459" s="747"/>
    </row>
    <row r="460" spans="1:5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747"/>
      <c r="AO460" s="747"/>
      <c r="AP460" s="747"/>
      <c r="AQ460" s="747"/>
      <c r="AR460" s="747"/>
      <c r="AS460" s="747"/>
      <c r="AT460" s="747"/>
      <c r="AU460" s="747"/>
      <c r="AV460" s="747"/>
      <c r="AW460" s="747"/>
      <c r="AX460" s="747"/>
    </row>
    <row r="461" spans="1:50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747"/>
      <c r="AO461" s="747"/>
      <c r="AP461" s="747"/>
      <c r="AQ461" s="747"/>
      <c r="AR461" s="747"/>
      <c r="AS461" s="747"/>
      <c r="AT461" s="747"/>
      <c r="AU461" s="747"/>
      <c r="AV461" s="747"/>
      <c r="AW461" s="747"/>
      <c r="AX461" s="747"/>
    </row>
    <row r="462" spans="1:50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747"/>
      <c r="AO462" s="747"/>
      <c r="AP462" s="747"/>
      <c r="AQ462" s="747"/>
      <c r="AR462" s="747"/>
      <c r="AS462" s="747"/>
      <c r="AT462" s="747"/>
      <c r="AU462" s="747"/>
      <c r="AV462" s="747"/>
      <c r="AW462" s="747"/>
      <c r="AX462" s="747"/>
    </row>
    <row r="463" spans="1:50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747"/>
      <c r="AO463" s="747"/>
      <c r="AP463" s="747"/>
      <c r="AQ463" s="747"/>
      <c r="AR463" s="747"/>
      <c r="AS463" s="747"/>
      <c r="AT463" s="747"/>
      <c r="AU463" s="747"/>
      <c r="AV463" s="747"/>
      <c r="AW463" s="747"/>
      <c r="AX463" s="747"/>
    </row>
    <row r="464" spans="1:50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747"/>
      <c r="AO464" s="747"/>
      <c r="AP464" s="747"/>
      <c r="AQ464" s="747"/>
      <c r="AR464" s="747"/>
      <c r="AS464" s="747"/>
      <c r="AT464" s="747"/>
      <c r="AU464" s="747"/>
      <c r="AV464" s="747"/>
      <c r="AW464" s="747"/>
      <c r="AX464" s="747"/>
    </row>
    <row r="465" spans="1:50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747"/>
      <c r="AO465" s="747"/>
      <c r="AP465" s="747"/>
      <c r="AQ465" s="747"/>
      <c r="AR465" s="747"/>
      <c r="AS465" s="747"/>
      <c r="AT465" s="747"/>
      <c r="AU465" s="747"/>
      <c r="AV465" s="747"/>
      <c r="AW465" s="747"/>
      <c r="AX465" s="747"/>
    </row>
    <row r="466" spans="1:50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747"/>
      <c r="AO466" s="747"/>
      <c r="AP466" s="747"/>
      <c r="AQ466" s="747"/>
      <c r="AR466" s="747"/>
      <c r="AS466" s="747"/>
      <c r="AT466" s="747"/>
      <c r="AU466" s="747"/>
      <c r="AV466" s="747"/>
      <c r="AW466" s="747"/>
      <c r="AX466" s="747"/>
    </row>
    <row r="467" spans="1:50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747"/>
      <c r="AO467" s="747"/>
      <c r="AP467" s="747"/>
      <c r="AQ467" s="747"/>
      <c r="AR467" s="747"/>
      <c r="AS467" s="747"/>
      <c r="AT467" s="747"/>
      <c r="AU467" s="747"/>
      <c r="AV467" s="747"/>
      <c r="AW467" s="747"/>
      <c r="AX467" s="747"/>
    </row>
    <row r="468" spans="1:50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747"/>
      <c r="AO468" s="747"/>
      <c r="AP468" s="747"/>
      <c r="AQ468" s="747"/>
      <c r="AR468" s="747"/>
      <c r="AS468" s="747"/>
      <c r="AT468" s="747"/>
      <c r="AU468" s="747"/>
      <c r="AV468" s="747"/>
      <c r="AW468" s="747"/>
      <c r="AX468" s="747"/>
    </row>
    <row r="469" spans="1:50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747"/>
      <c r="AO469" s="747"/>
      <c r="AP469" s="747"/>
      <c r="AQ469" s="747"/>
      <c r="AR469" s="747"/>
      <c r="AS469" s="747"/>
      <c r="AT469" s="747"/>
      <c r="AU469" s="747"/>
      <c r="AV469" s="747"/>
      <c r="AW469" s="747"/>
      <c r="AX469" s="747"/>
    </row>
    <row r="470" spans="1:5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747"/>
      <c r="AO470" s="747"/>
      <c r="AP470" s="747"/>
      <c r="AQ470" s="747"/>
      <c r="AR470" s="747"/>
      <c r="AS470" s="747"/>
      <c r="AT470" s="747"/>
      <c r="AU470" s="747"/>
      <c r="AV470" s="747"/>
      <c r="AW470" s="747"/>
      <c r="AX470" s="747"/>
    </row>
    <row r="471" spans="1:50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747"/>
      <c r="AO471" s="747"/>
      <c r="AP471" s="747"/>
      <c r="AQ471" s="747"/>
      <c r="AR471" s="747"/>
      <c r="AS471" s="747"/>
      <c r="AT471" s="747"/>
      <c r="AU471" s="747"/>
      <c r="AV471" s="747"/>
      <c r="AW471" s="747"/>
      <c r="AX471" s="747"/>
    </row>
    <row r="472" spans="1:50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747"/>
      <c r="AO472" s="747"/>
      <c r="AP472" s="747"/>
      <c r="AQ472" s="747"/>
      <c r="AR472" s="747"/>
      <c r="AS472" s="747"/>
      <c r="AT472" s="747"/>
      <c r="AU472" s="747"/>
      <c r="AV472" s="747"/>
      <c r="AW472" s="747"/>
      <c r="AX472" s="747"/>
    </row>
    <row r="473" spans="1:50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747"/>
      <c r="AO473" s="747"/>
      <c r="AP473" s="747"/>
      <c r="AQ473" s="747"/>
      <c r="AR473" s="747"/>
      <c r="AS473" s="747"/>
      <c r="AT473" s="747"/>
      <c r="AU473" s="747"/>
      <c r="AV473" s="747"/>
      <c r="AW473" s="747"/>
      <c r="AX473" s="747"/>
    </row>
    <row r="474" spans="1:50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747"/>
      <c r="AO474" s="747"/>
      <c r="AP474" s="747"/>
      <c r="AQ474" s="747"/>
      <c r="AR474" s="747"/>
      <c r="AS474" s="747"/>
      <c r="AT474" s="747"/>
      <c r="AU474" s="747"/>
      <c r="AV474" s="747"/>
      <c r="AW474" s="747"/>
      <c r="AX474" s="747"/>
    </row>
    <row r="475" spans="1:50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747"/>
      <c r="AO475" s="747"/>
      <c r="AP475" s="747"/>
      <c r="AQ475" s="747"/>
      <c r="AR475" s="747"/>
      <c r="AS475" s="747"/>
      <c r="AT475" s="747"/>
      <c r="AU475" s="747"/>
      <c r="AV475" s="747"/>
      <c r="AW475" s="747"/>
      <c r="AX475" s="747"/>
    </row>
    <row r="476" spans="1:50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747"/>
      <c r="AO476" s="747"/>
      <c r="AP476" s="747"/>
      <c r="AQ476" s="747"/>
      <c r="AR476" s="747"/>
      <c r="AS476" s="747"/>
      <c r="AT476" s="747"/>
      <c r="AU476" s="747"/>
      <c r="AV476" s="747"/>
      <c r="AW476" s="747"/>
      <c r="AX476" s="747"/>
    </row>
    <row r="477" spans="1:50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747"/>
      <c r="AO477" s="747"/>
      <c r="AP477" s="747"/>
      <c r="AQ477" s="747"/>
      <c r="AR477" s="747"/>
      <c r="AS477" s="747"/>
      <c r="AT477" s="747"/>
      <c r="AU477" s="747"/>
      <c r="AV477" s="747"/>
      <c r="AW477" s="747"/>
      <c r="AX477" s="747"/>
    </row>
    <row r="478" spans="1:50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747"/>
      <c r="AO478" s="747"/>
      <c r="AP478" s="747"/>
      <c r="AQ478" s="747"/>
      <c r="AR478" s="747"/>
      <c r="AS478" s="747"/>
      <c r="AT478" s="747"/>
      <c r="AU478" s="747"/>
      <c r="AV478" s="747"/>
      <c r="AW478" s="747"/>
      <c r="AX478" s="747"/>
    </row>
    <row r="479" spans="1:50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747"/>
      <c r="AO479" s="747"/>
      <c r="AP479" s="747"/>
      <c r="AQ479" s="747"/>
      <c r="AR479" s="747"/>
      <c r="AS479" s="747"/>
      <c r="AT479" s="747"/>
      <c r="AU479" s="747"/>
      <c r="AV479" s="747"/>
      <c r="AW479" s="747"/>
      <c r="AX479" s="747"/>
    </row>
    <row r="480" spans="1:5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747"/>
      <c r="AO480" s="747"/>
      <c r="AP480" s="747"/>
      <c r="AQ480" s="747"/>
      <c r="AR480" s="747"/>
      <c r="AS480" s="747"/>
      <c r="AT480" s="747"/>
      <c r="AU480" s="747"/>
      <c r="AV480" s="747"/>
      <c r="AW480" s="747"/>
      <c r="AX480" s="747"/>
    </row>
    <row r="481" spans="1:50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747"/>
      <c r="AO481" s="747"/>
      <c r="AP481" s="747"/>
      <c r="AQ481" s="747"/>
      <c r="AR481" s="747"/>
      <c r="AS481" s="747"/>
      <c r="AT481" s="747"/>
      <c r="AU481" s="747"/>
      <c r="AV481" s="747"/>
      <c r="AW481" s="747"/>
      <c r="AX481" s="747"/>
    </row>
    <row r="482" spans="1:50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747"/>
      <c r="AO482" s="747"/>
      <c r="AP482" s="747"/>
      <c r="AQ482" s="747"/>
      <c r="AR482" s="747"/>
      <c r="AS482" s="747"/>
      <c r="AT482" s="747"/>
      <c r="AU482" s="747"/>
      <c r="AV482" s="747"/>
      <c r="AW482" s="747"/>
      <c r="AX482" s="747"/>
    </row>
    <row r="483" spans="1:50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747"/>
      <c r="AO483" s="747"/>
      <c r="AP483" s="747"/>
      <c r="AQ483" s="747"/>
      <c r="AR483" s="747"/>
      <c r="AS483" s="747"/>
      <c r="AT483" s="747"/>
      <c r="AU483" s="747"/>
      <c r="AV483" s="747"/>
      <c r="AW483" s="747"/>
      <c r="AX483" s="747"/>
    </row>
    <row r="484" spans="1:50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747"/>
      <c r="AO484" s="747"/>
      <c r="AP484" s="747"/>
      <c r="AQ484" s="747"/>
      <c r="AR484" s="747"/>
      <c r="AS484" s="747"/>
      <c r="AT484" s="747"/>
      <c r="AU484" s="747"/>
      <c r="AV484" s="747"/>
      <c r="AW484" s="747"/>
      <c r="AX484" s="747"/>
    </row>
    <row r="485" spans="1:50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747"/>
      <c r="AO485" s="747"/>
      <c r="AP485" s="747"/>
      <c r="AQ485" s="747"/>
      <c r="AR485" s="747"/>
      <c r="AS485" s="747"/>
      <c r="AT485" s="747"/>
      <c r="AU485" s="747"/>
      <c r="AV485" s="747"/>
      <c r="AW485" s="747"/>
      <c r="AX485" s="747"/>
    </row>
    <row r="486" spans="1:50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747"/>
      <c r="AO486" s="747"/>
      <c r="AP486" s="747"/>
      <c r="AQ486" s="747"/>
      <c r="AR486" s="747"/>
      <c r="AS486" s="747"/>
      <c r="AT486" s="747"/>
      <c r="AU486" s="747"/>
      <c r="AV486" s="747"/>
      <c r="AW486" s="747"/>
      <c r="AX486" s="747"/>
    </row>
    <row r="487" spans="1:50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747"/>
      <c r="AO487" s="747"/>
      <c r="AP487" s="747"/>
      <c r="AQ487" s="747"/>
      <c r="AR487" s="747"/>
      <c r="AS487" s="747"/>
      <c r="AT487" s="747"/>
      <c r="AU487" s="747"/>
      <c r="AV487" s="747"/>
      <c r="AW487" s="747"/>
      <c r="AX487" s="747"/>
    </row>
    <row r="488" spans="1:50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747"/>
      <c r="AO488" s="747"/>
      <c r="AP488" s="747"/>
      <c r="AQ488" s="747"/>
      <c r="AR488" s="747"/>
      <c r="AS488" s="747"/>
      <c r="AT488" s="747"/>
      <c r="AU488" s="747"/>
      <c r="AV488" s="747"/>
      <c r="AW488" s="747"/>
      <c r="AX488" s="747"/>
    </row>
    <row r="489" spans="1:50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747"/>
      <c r="AO489" s="747"/>
      <c r="AP489" s="747"/>
      <c r="AQ489" s="747"/>
      <c r="AR489" s="747"/>
      <c r="AS489" s="747"/>
      <c r="AT489" s="747"/>
      <c r="AU489" s="747"/>
      <c r="AV489" s="747"/>
      <c r="AW489" s="747"/>
      <c r="AX489" s="747"/>
    </row>
    <row r="490" spans="1:5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747"/>
      <c r="AO490" s="747"/>
      <c r="AP490" s="747"/>
      <c r="AQ490" s="747"/>
      <c r="AR490" s="747"/>
      <c r="AS490" s="747"/>
      <c r="AT490" s="747"/>
      <c r="AU490" s="747"/>
      <c r="AV490" s="747"/>
      <c r="AW490" s="747"/>
      <c r="AX490" s="747"/>
    </row>
    <row r="491" spans="1:50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747"/>
      <c r="AO491" s="747"/>
      <c r="AP491" s="747"/>
      <c r="AQ491" s="747"/>
      <c r="AR491" s="747"/>
      <c r="AS491" s="747"/>
      <c r="AT491" s="747"/>
      <c r="AU491" s="747"/>
      <c r="AV491" s="747"/>
      <c r="AW491" s="747"/>
      <c r="AX491" s="747"/>
    </row>
    <row r="492" spans="1:50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747"/>
      <c r="AO492" s="747"/>
      <c r="AP492" s="747"/>
      <c r="AQ492" s="747"/>
      <c r="AR492" s="747"/>
      <c r="AS492" s="747"/>
      <c r="AT492" s="747"/>
      <c r="AU492" s="747"/>
      <c r="AV492" s="747"/>
      <c r="AW492" s="747"/>
      <c r="AX492" s="747"/>
    </row>
    <row r="493" spans="1:50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747"/>
      <c r="AO493" s="747"/>
      <c r="AP493" s="747"/>
      <c r="AQ493" s="747"/>
      <c r="AR493" s="747"/>
      <c r="AS493" s="747"/>
      <c r="AT493" s="747"/>
      <c r="AU493" s="747"/>
      <c r="AV493" s="747"/>
      <c r="AW493" s="747"/>
      <c r="AX493" s="747"/>
    </row>
    <row r="494" spans="1:50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747"/>
      <c r="AO494" s="747"/>
      <c r="AP494" s="747"/>
      <c r="AQ494" s="747"/>
      <c r="AR494" s="747"/>
      <c r="AS494" s="747"/>
      <c r="AT494" s="747"/>
      <c r="AU494" s="747"/>
      <c r="AV494" s="747"/>
      <c r="AW494" s="747"/>
      <c r="AX494" s="747"/>
    </row>
    <row r="495" spans="1:50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747"/>
      <c r="AO495" s="747"/>
      <c r="AP495" s="747"/>
      <c r="AQ495" s="747"/>
      <c r="AR495" s="747"/>
      <c r="AS495" s="747"/>
      <c r="AT495" s="747"/>
      <c r="AU495" s="747"/>
      <c r="AV495" s="747"/>
      <c r="AW495" s="747"/>
      <c r="AX495" s="747"/>
    </row>
    <row r="496" spans="1:50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747"/>
      <c r="AO496" s="747"/>
      <c r="AP496" s="747"/>
      <c r="AQ496" s="747"/>
      <c r="AR496" s="747"/>
      <c r="AS496" s="747"/>
      <c r="AT496" s="747"/>
      <c r="AU496" s="747"/>
      <c r="AV496" s="747"/>
      <c r="AW496" s="747"/>
      <c r="AX496" s="747"/>
    </row>
    <row r="497" spans="1:50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747"/>
      <c r="AO497" s="747"/>
      <c r="AP497" s="747"/>
      <c r="AQ497" s="747"/>
      <c r="AR497" s="747"/>
      <c r="AS497" s="747"/>
      <c r="AT497" s="747"/>
      <c r="AU497" s="747"/>
      <c r="AV497" s="747"/>
      <c r="AW497" s="747"/>
      <c r="AX497" s="747"/>
    </row>
    <row r="498" spans="1:50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747"/>
      <c r="AO498" s="747"/>
      <c r="AP498" s="747"/>
      <c r="AQ498" s="747"/>
      <c r="AR498" s="747"/>
      <c r="AS498" s="747"/>
      <c r="AT498" s="747"/>
      <c r="AU498" s="747"/>
      <c r="AV498" s="747"/>
      <c r="AW498" s="747"/>
      <c r="AX498" s="747"/>
    </row>
    <row r="499" spans="1:50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747"/>
      <c r="AO499" s="747"/>
      <c r="AP499" s="747"/>
      <c r="AQ499" s="747"/>
      <c r="AR499" s="747"/>
      <c r="AS499" s="747"/>
      <c r="AT499" s="747"/>
      <c r="AU499" s="747"/>
      <c r="AV499" s="747"/>
      <c r="AW499" s="747"/>
      <c r="AX499" s="747"/>
    </row>
    <row r="500" spans="1:5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747"/>
      <c r="AO500" s="747"/>
      <c r="AP500" s="747"/>
      <c r="AQ500" s="747"/>
      <c r="AR500" s="747"/>
      <c r="AS500" s="747"/>
      <c r="AT500" s="747"/>
      <c r="AU500" s="747"/>
      <c r="AV500" s="747"/>
      <c r="AW500" s="747"/>
      <c r="AX500" s="747"/>
    </row>
    <row r="501" spans="1:50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747"/>
      <c r="AO501" s="747"/>
      <c r="AP501" s="747"/>
      <c r="AQ501" s="747"/>
      <c r="AR501" s="747"/>
      <c r="AS501" s="747"/>
      <c r="AT501" s="747"/>
      <c r="AU501" s="747"/>
      <c r="AV501" s="747"/>
      <c r="AW501" s="747"/>
      <c r="AX501" s="747"/>
    </row>
    <row r="502" spans="1:50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747"/>
      <c r="AO502" s="747"/>
      <c r="AP502" s="747"/>
      <c r="AQ502" s="747"/>
      <c r="AR502" s="747"/>
      <c r="AS502" s="747"/>
      <c r="AT502" s="747"/>
      <c r="AU502" s="747"/>
      <c r="AV502" s="747"/>
      <c r="AW502" s="747"/>
      <c r="AX502" s="747"/>
    </row>
    <row r="503" spans="1:50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747"/>
      <c r="AO503" s="747"/>
      <c r="AP503" s="747"/>
      <c r="AQ503" s="747"/>
      <c r="AR503" s="747"/>
      <c r="AS503" s="747"/>
      <c r="AT503" s="747"/>
      <c r="AU503" s="747"/>
      <c r="AV503" s="747"/>
      <c r="AW503" s="747"/>
      <c r="AX503" s="747"/>
    </row>
    <row r="504" spans="1:50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747"/>
      <c r="AO504" s="747"/>
      <c r="AP504" s="747"/>
      <c r="AQ504" s="747"/>
      <c r="AR504" s="747"/>
      <c r="AS504" s="747"/>
      <c r="AT504" s="747"/>
      <c r="AU504" s="747"/>
      <c r="AV504" s="747"/>
      <c r="AW504" s="747"/>
      <c r="AX504" s="747"/>
    </row>
    <row r="505" spans="1:50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747"/>
      <c r="AO505" s="747"/>
      <c r="AP505" s="747"/>
      <c r="AQ505" s="747"/>
      <c r="AR505" s="747"/>
      <c r="AS505" s="747"/>
      <c r="AT505" s="747"/>
      <c r="AU505" s="747"/>
      <c r="AV505" s="747"/>
      <c r="AW505" s="747"/>
      <c r="AX505" s="747"/>
    </row>
    <row r="506" spans="1:50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747"/>
      <c r="AO506" s="747"/>
      <c r="AP506" s="747"/>
      <c r="AQ506" s="747"/>
      <c r="AR506" s="747"/>
      <c r="AS506" s="747"/>
      <c r="AT506" s="747"/>
      <c r="AU506" s="747"/>
      <c r="AV506" s="747"/>
      <c r="AW506" s="747"/>
      <c r="AX506" s="747"/>
    </row>
    <row r="507" spans="1:50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747"/>
      <c r="AO507" s="747"/>
      <c r="AP507" s="747"/>
      <c r="AQ507" s="747"/>
      <c r="AR507" s="747"/>
      <c r="AS507" s="747"/>
      <c r="AT507" s="747"/>
      <c r="AU507" s="747"/>
      <c r="AV507" s="747"/>
      <c r="AW507" s="747"/>
      <c r="AX507" s="747"/>
    </row>
    <row r="508" spans="1:50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747"/>
      <c r="AO508" s="747"/>
      <c r="AP508" s="747"/>
      <c r="AQ508" s="747"/>
      <c r="AR508" s="747"/>
      <c r="AS508" s="747"/>
      <c r="AT508" s="747"/>
      <c r="AU508" s="747"/>
      <c r="AV508" s="747"/>
      <c r="AW508" s="747"/>
      <c r="AX508" s="747"/>
    </row>
    <row r="509" spans="1:50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747"/>
      <c r="AO509" s="747"/>
      <c r="AP509" s="747"/>
      <c r="AQ509" s="747"/>
      <c r="AR509" s="747"/>
      <c r="AS509" s="747"/>
      <c r="AT509" s="747"/>
      <c r="AU509" s="747"/>
      <c r="AV509" s="747"/>
      <c r="AW509" s="747"/>
      <c r="AX509" s="747"/>
    </row>
    <row r="510" spans="1:5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747"/>
      <c r="AO510" s="747"/>
      <c r="AP510" s="747"/>
      <c r="AQ510" s="747"/>
      <c r="AR510" s="747"/>
      <c r="AS510" s="747"/>
      <c r="AT510" s="747"/>
      <c r="AU510" s="747"/>
      <c r="AV510" s="747"/>
      <c r="AW510" s="747"/>
      <c r="AX510" s="747"/>
    </row>
    <row r="511" spans="1:50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747"/>
      <c r="AO511" s="747"/>
      <c r="AP511" s="747"/>
      <c r="AQ511" s="747"/>
      <c r="AR511" s="747"/>
      <c r="AS511" s="747"/>
      <c r="AT511" s="747"/>
      <c r="AU511" s="747"/>
      <c r="AV511" s="747"/>
      <c r="AW511" s="747"/>
      <c r="AX511" s="747"/>
    </row>
    <row r="512" spans="1:50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747"/>
      <c r="AO512" s="747"/>
      <c r="AP512" s="747"/>
      <c r="AQ512" s="747"/>
      <c r="AR512" s="747"/>
      <c r="AS512" s="747"/>
      <c r="AT512" s="747"/>
      <c r="AU512" s="747"/>
      <c r="AV512" s="747"/>
      <c r="AW512" s="747"/>
      <c r="AX512" s="747"/>
    </row>
    <row r="513" spans="1:50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747"/>
      <c r="AO513" s="747"/>
      <c r="AP513" s="747"/>
      <c r="AQ513" s="747"/>
      <c r="AR513" s="747"/>
      <c r="AS513" s="747"/>
      <c r="AT513" s="747"/>
      <c r="AU513" s="747"/>
      <c r="AV513" s="747"/>
      <c r="AW513" s="747"/>
      <c r="AX513" s="747"/>
    </row>
    <row r="514" spans="1:50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747"/>
      <c r="AO514" s="747"/>
      <c r="AP514" s="747"/>
      <c r="AQ514" s="747"/>
      <c r="AR514" s="747"/>
      <c r="AS514" s="747"/>
      <c r="AT514" s="747"/>
      <c r="AU514" s="747"/>
      <c r="AV514" s="747"/>
      <c r="AW514" s="747"/>
      <c r="AX514" s="747"/>
    </row>
    <row r="515" spans="1:50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747"/>
      <c r="AO515" s="747"/>
      <c r="AP515" s="747"/>
      <c r="AQ515" s="747"/>
      <c r="AR515" s="747"/>
      <c r="AS515" s="747"/>
      <c r="AT515" s="747"/>
      <c r="AU515" s="747"/>
      <c r="AV515" s="747"/>
      <c r="AW515" s="747"/>
      <c r="AX515" s="747"/>
    </row>
    <row r="516" spans="1:50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747"/>
      <c r="AO516" s="747"/>
      <c r="AP516" s="747"/>
      <c r="AQ516" s="747"/>
      <c r="AR516" s="747"/>
      <c r="AS516" s="747"/>
      <c r="AT516" s="747"/>
      <c r="AU516" s="747"/>
      <c r="AV516" s="747"/>
      <c r="AW516" s="747"/>
      <c r="AX516" s="747"/>
    </row>
    <row r="517" spans="1:50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747"/>
      <c r="AO517" s="747"/>
      <c r="AP517" s="747"/>
      <c r="AQ517" s="747"/>
      <c r="AR517" s="747"/>
      <c r="AS517" s="747"/>
      <c r="AT517" s="747"/>
      <c r="AU517" s="747"/>
      <c r="AV517" s="747"/>
      <c r="AW517" s="747"/>
      <c r="AX517" s="747"/>
    </row>
    <row r="518" spans="1:50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747"/>
      <c r="AO518" s="747"/>
      <c r="AP518" s="747"/>
      <c r="AQ518" s="747"/>
      <c r="AR518" s="747"/>
      <c r="AS518" s="747"/>
      <c r="AT518" s="747"/>
      <c r="AU518" s="747"/>
      <c r="AV518" s="747"/>
      <c r="AW518" s="747"/>
      <c r="AX518" s="747"/>
    </row>
    <row r="519" spans="1:50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747"/>
      <c r="AO519" s="747"/>
      <c r="AP519" s="747"/>
      <c r="AQ519" s="747"/>
      <c r="AR519" s="747"/>
      <c r="AS519" s="747"/>
      <c r="AT519" s="747"/>
      <c r="AU519" s="747"/>
      <c r="AV519" s="747"/>
      <c r="AW519" s="747"/>
      <c r="AX519" s="747"/>
    </row>
    <row r="520" spans="1:5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747"/>
      <c r="AO520" s="747"/>
      <c r="AP520" s="747"/>
      <c r="AQ520" s="747"/>
      <c r="AR520" s="747"/>
      <c r="AS520" s="747"/>
      <c r="AT520" s="747"/>
      <c r="AU520" s="747"/>
      <c r="AV520" s="747"/>
      <c r="AW520" s="747"/>
      <c r="AX520" s="747"/>
    </row>
    <row r="521" spans="1:50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747"/>
      <c r="AO521" s="747"/>
      <c r="AP521" s="747"/>
      <c r="AQ521" s="747"/>
      <c r="AR521" s="747"/>
      <c r="AS521" s="747"/>
      <c r="AT521" s="747"/>
      <c r="AU521" s="747"/>
      <c r="AV521" s="747"/>
      <c r="AW521" s="747"/>
      <c r="AX521" s="747"/>
    </row>
    <row r="522" spans="1:50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747"/>
      <c r="AO522" s="747"/>
      <c r="AP522" s="747"/>
      <c r="AQ522" s="747"/>
      <c r="AR522" s="747"/>
      <c r="AS522" s="747"/>
      <c r="AT522" s="747"/>
      <c r="AU522" s="747"/>
      <c r="AV522" s="747"/>
      <c r="AW522" s="747"/>
      <c r="AX522" s="747"/>
    </row>
    <row r="523" spans="1:50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747"/>
      <c r="AO523" s="747"/>
      <c r="AP523" s="747"/>
      <c r="AQ523" s="747"/>
      <c r="AR523" s="747"/>
      <c r="AS523" s="747"/>
      <c r="AT523" s="747"/>
      <c r="AU523" s="747"/>
      <c r="AV523" s="747"/>
      <c r="AW523" s="747"/>
      <c r="AX523" s="747"/>
    </row>
    <row r="524" spans="1:50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747"/>
      <c r="AO524" s="747"/>
      <c r="AP524" s="747"/>
      <c r="AQ524" s="747"/>
      <c r="AR524" s="747"/>
      <c r="AS524" s="747"/>
      <c r="AT524" s="747"/>
      <c r="AU524" s="747"/>
      <c r="AV524" s="747"/>
      <c r="AW524" s="747"/>
      <c r="AX524" s="747"/>
    </row>
    <row r="525" spans="1:50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747"/>
      <c r="AO525" s="747"/>
      <c r="AP525" s="747"/>
      <c r="AQ525" s="747"/>
      <c r="AR525" s="747"/>
      <c r="AS525" s="747"/>
      <c r="AT525" s="747"/>
      <c r="AU525" s="747"/>
      <c r="AV525" s="747"/>
      <c r="AW525" s="747"/>
      <c r="AX525" s="747"/>
    </row>
    <row r="526" spans="1:50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747"/>
      <c r="AO526" s="747"/>
      <c r="AP526" s="747"/>
      <c r="AQ526" s="747"/>
      <c r="AR526" s="747"/>
      <c r="AS526" s="747"/>
      <c r="AT526" s="747"/>
      <c r="AU526" s="747"/>
      <c r="AV526" s="747"/>
      <c r="AW526" s="747"/>
      <c r="AX526" s="747"/>
    </row>
    <row r="527" spans="1:50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747"/>
      <c r="AO527" s="747"/>
      <c r="AP527" s="747"/>
      <c r="AQ527" s="747"/>
      <c r="AR527" s="747"/>
      <c r="AS527" s="747"/>
      <c r="AT527" s="747"/>
      <c r="AU527" s="747"/>
      <c r="AV527" s="747"/>
      <c r="AW527" s="747"/>
      <c r="AX527" s="747"/>
    </row>
    <row r="528" spans="1:50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747"/>
      <c r="AO528" s="747"/>
      <c r="AP528" s="747"/>
      <c r="AQ528" s="747"/>
      <c r="AR528" s="747"/>
      <c r="AS528" s="747"/>
      <c r="AT528" s="747"/>
      <c r="AU528" s="747"/>
      <c r="AV528" s="747"/>
      <c r="AW528" s="747"/>
      <c r="AX528" s="747"/>
    </row>
    <row r="529" spans="1:50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747"/>
      <c r="AO529" s="747"/>
      <c r="AP529" s="747"/>
      <c r="AQ529" s="747"/>
      <c r="AR529" s="747"/>
      <c r="AS529" s="747"/>
      <c r="AT529" s="747"/>
      <c r="AU529" s="747"/>
      <c r="AV529" s="747"/>
      <c r="AW529" s="747"/>
      <c r="AX529" s="747"/>
    </row>
    <row r="530" spans="1:5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747"/>
      <c r="AO530" s="747"/>
      <c r="AP530" s="747"/>
      <c r="AQ530" s="747"/>
      <c r="AR530" s="747"/>
      <c r="AS530" s="747"/>
      <c r="AT530" s="747"/>
      <c r="AU530" s="747"/>
      <c r="AV530" s="747"/>
      <c r="AW530" s="747"/>
      <c r="AX530" s="747"/>
    </row>
    <row r="531" spans="1:50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747"/>
      <c r="AO531" s="747"/>
      <c r="AP531" s="747"/>
      <c r="AQ531" s="747"/>
      <c r="AR531" s="747"/>
      <c r="AS531" s="747"/>
      <c r="AT531" s="747"/>
      <c r="AU531" s="747"/>
      <c r="AV531" s="747"/>
      <c r="AW531" s="747"/>
      <c r="AX531" s="747"/>
    </row>
    <row r="532" spans="1:50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747"/>
      <c r="AO532" s="747"/>
      <c r="AP532" s="747"/>
      <c r="AQ532" s="747"/>
      <c r="AR532" s="747"/>
      <c r="AS532" s="747"/>
      <c r="AT532" s="747"/>
      <c r="AU532" s="747"/>
      <c r="AV532" s="747"/>
      <c r="AW532" s="747"/>
      <c r="AX532" s="747"/>
    </row>
    <row r="533" spans="1:50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747"/>
      <c r="AO533" s="747"/>
      <c r="AP533" s="747"/>
      <c r="AQ533" s="747"/>
      <c r="AR533" s="747"/>
      <c r="AS533" s="747"/>
      <c r="AT533" s="747"/>
      <c r="AU533" s="747"/>
      <c r="AV533" s="747"/>
      <c r="AW533" s="747"/>
      <c r="AX533" s="747"/>
    </row>
    <row r="534" spans="1:50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747"/>
      <c r="AO534" s="747"/>
      <c r="AP534" s="747"/>
      <c r="AQ534" s="747"/>
      <c r="AR534" s="747"/>
      <c r="AS534" s="747"/>
      <c r="AT534" s="747"/>
      <c r="AU534" s="747"/>
      <c r="AV534" s="747"/>
      <c r="AW534" s="747"/>
      <c r="AX534" s="747"/>
    </row>
    <row r="535" spans="1:50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747"/>
      <c r="AO535" s="747"/>
      <c r="AP535" s="747"/>
      <c r="AQ535" s="747"/>
      <c r="AR535" s="747"/>
      <c r="AS535" s="747"/>
      <c r="AT535" s="747"/>
      <c r="AU535" s="747"/>
      <c r="AV535" s="747"/>
      <c r="AW535" s="747"/>
      <c r="AX535" s="747"/>
    </row>
    <row r="536" spans="1:50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747"/>
      <c r="AO536" s="747"/>
      <c r="AP536" s="747"/>
      <c r="AQ536" s="747"/>
      <c r="AR536" s="747"/>
      <c r="AS536" s="747"/>
      <c r="AT536" s="747"/>
      <c r="AU536" s="747"/>
      <c r="AV536" s="747"/>
      <c r="AW536" s="747"/>
      <c r="AX536" s="747"/>
    </row>
    <row r="537" spans="1:50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747"/>
      <c r="AO537" s="747"/>
      <c r="AP537" s="747"/>
      <c r="AQ537" s="747"/>
      <c r="AR537" s="747"/>
      <c r="AS537" s="747"/>
      <c r="AT537" s="747"/>
      <c r="AU537" s="747"/>
      <c r="AV537" s="747"/>
      <c r="AW537" s="747"/>
      <c r="AX537" s="747"/>
    </row>
    <row r="538" spans="1:50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747"/>
      <c r="AO538" s="747"/>
      <c r="AP538" s="747"/>
      <c r="AQ538" s="747"/>
      <c r="AR538" s="747"/>
      <c r="AS538" s="747"/>
      <c r="AT538" s="747"/>
      <c r="AU538" s="747"/>
      <c r="AV538" s="747"/>
      <c r="AW538" s="747"/>
      <c r="AX538" s="747"/>
    </row>
    <row r="539" spans="1:50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747"/>
      <c r="AO539" s="747"/>
      <c r="AP539" s="747"/>
      <c r="AQ539" s="747"/>
      <c r="AR539" s="747"/>
      <c r="AS539" s="747"/>
      <c r="AT539" s="747"/>
      <c r="AU539" s="747"/>
      <c r="AV539" s="747"/>
      <c r="AW539" s="747"/>
      <c r="AX539" s="747"/>
    </row>
    <row r="540" spans="1:5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747"/>
      <c r="AO540" s="747"/>
      <c r="AP540" s="747"/>
      <c r="AQ540" s="747"/>
      <c r="AR540" s="747"/>
      <c r="AS540" s="747"/>
      <c r="AT540" s="747"/>
      <c r="AU540" s="747"/>
      <c r="AV540" s="747"/>
      <c r="AW540" s="747"/>
      <c r="AX540" s="747"/>
    </row>
    <row r="541" spans="1:50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747"/>
      <c r="AO541" s="747"/>
      <c r="AP541" s="747"/>
      <c r="AQ541" s="747"/>
      <c r="AR541" s="747"/>
      <c r="AS541" s="747"/>
      <c r="AT541" s="747"/>
      <c r="AU541" s="747"/>
      <c r="AV541" s="747"/>
      <c r="AW541" s="747"/>
      <c r="AX541" s="747"/>
    </row>
    <row r="542" spans="1:50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747"/>
      <c r="AO542" s="747"/>
      <c r="AP542" s="747"/>
      <c r="AQ542" s="747"/>
      <c r="AR542" s="747"/>
      <c r="AS542" s="747"/>
      <c r="AT542" s="747"/>
      <c r="AU542" s="747"/>
      <c r="AV542" s="747"/>
      <c r="AW542" s="747"/>
      <c r="AX542" s="747"/>
    </row>
    <row r="543" spans="1:50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747"/>
      <c r="AO543" s="747"/>
      <c r="AP543" s="747"/>
      <c r="AQ543" s="747"/>
      <c r="AR543" s="747"/>
      <c r="AS543" s="747"/>
      <c r="AT543" s="747"/>
      <c r="AU543" s="747"/>
      <c r="AV543" s="747"/>
      <c r="AW543" s="747"/>
      <c r="AX543" s="747"/>
    </row>
    <row r="544" spans="1:50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747"/>
      <c r="AO544" s="747"/>
      <c r="AP544" s="747"/>
      <c r="AQ544" s="747"/>
      <c r="AR544" s="747"/>
      <c r="AS544" s="747"/>
      <c r="AT544" s="747"/>
      <c r="AU544" s="747"/>
      <c r="AV544" s="747"/>
      <c r="AW544" s="747"/>
      <c r="AX544" s="747"/>
    </row>
    <row r="545" spans="1:50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747"/>
      <c r="AO545" s="747"/>
      <c r="AP545" s="747"/>
      <c r="AQ545" s="747"/>
      <c r="AR545" s="747"/>
      <c r="AS545" s="747"/>
      <c r="AT545" s="747"/>
      <c r="AU545" s="747"/>
      <c r="AV545" s="747"/>
      <c r="AW545" s="747"/>
      <c r="AX545" s="747"/>
    </row>
    <row r="546" spans="1:50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747"/>
      <c r="AO546" s="747"/>
      <c r="AP546" s="747"/>
      <c r="AQ546" s="747"/>
      <c r="AR546" s="747"/>
      <c r="AS546" s="747"/>
      <c r="AT546" s="747"/>
      <c r="AU546" s="747"/>
      <c r="AV546" s="747"/>
      <c r="AW546" s="747"/>
      <c r="AX546" s="747"/>
    </row>
    <row r="547" spans="1:50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747"/>
      <c r="AO547" s="747"/>
      <c r="AP547" s="747"/>
      <c r="AQ547" s="747"/>
      <c r="AR547" s="747"/>
      <c r="AS547" s="747"/>
      <c r="AT547" s="747"/>
      <c r="AU547" s="747"/>
      <c r="AV547" s="747"/>
      <c r="AW547" s="747"/>
      <c r="AX547" s="747"/>
    </row>
    <row r="548" spans="1:50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747"/>
      <c r="AO548" s="747"/>
      <c r="AP548" s="747"/>
      <c r="AQ548" s="747"/>
      <c r="AR548" s="747"/>
      <c r="AS548" s="747"/>
      <c r="AT548" s="747"/>
      <c r="AU548" s="747"/>
      <c r="AV548" s="747"/>
      <c r="AW548" s="747"/>
      <c r="AX548" s="747"/>
    </row>
    <row r="549" spans="1:50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747"/>
      <c r="AO549" s="747"/>
      <c r="AP549" s="747"/>
      <c r="AQ549" s="747"/>
      <c r="AR549" s="747"/>
      <c r="AS549" s="747"/>
      <c r="AT549" s="747"/>
      <c r="AU549" s="747"/>
      <c r="AV549" s="747"/>
      <c r="AW549" s="747"/>
      <c r="AX549" s="747"/>
    </row>
    <row r="550" spans="1: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747"/>
      <c r="AO550" s="747"/>
      <c r="AP550" s="747"/>
      <c r="AQ550" s="747"/>
      <c r="AR550" s="747"/>
      <c r="AS550" s="747"/>
      <c r="AT550" s="747"/>
      <c r="AU550" s="747"/>
      <c r="AV550" s="747"/>
      <c r="AW550" s="747"/>
      <c r="AX550" s="747"/>
    </row>
    <row r="551" spans="1:50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747"/>
      <c r="AO551" s="747"/>
      <c r="AP551" s="747"/>
      <c r="AQ551" s="747"/>
      <c r="AR551" s="747"/>
      <c r="AS551" s="747"/>
      <c r="AT551" s="747"/>
      <c r="AU551" s="747"/>
      <c r="AV551" s="747"/>
      <c r="AW551" s="747"/>
      <c r="AX551" s="747"/>
    </row>
    <row r="552" spans="1:50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747"/>
      <c r="AO552" s="747"/>
      <c r="AP552" s="747"/>
      <c r="AQ552" s="747"/>
      <c r="AR552" s="747"/>
      <c r="AS552" s="747"/>
      <c r="AT552" s="747"/>
      <c r="AU552" s="747"/>
      <c r="AV552" s="747"/>
      <c r="AW552" s="747"/>
      <c r="AX552" s="747"/>
    </row>
    <row r="553" spans="1:50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747"/>
      <c r="AO553" s="747"/>
      <c r="AP553" s="747"/>
      <c r="AQ553" s="747"/>
      <c r="AR553" s="747"/>
      <c r="AS553" s="747"/>
      <c r="AT553" s="747"/>
      <c r="AU553" s="747"/>
      <c r="AV553" s="747"/>
      <c r="AW553" s="747"/>
      <c r="AX553" s="747"/>
    </row>
    <row r="554" spans="1:50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747"/>
      <c r="AO554" s="747"/>
      <c r="AP554" s="747"/>
      <c r="AQ554" s="747"/>
      <c r="AR554" s="747"/>
      <c r="AS554" s="747"/>
      <c r="AT554" s="747"/>
      <c r="AU554" s="747"/>
      <c r="AV554" s="747"/>
      <c r="AW554" s="747"/>
      <c r="AX554" s="747"/>
    </row>
    <row r="555" spans="1:50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747"/>
      <c r="AO555" s="747"/>
      <c r="AP555" s="747"/>
      <c r="AQ555" s="747"/>
      <c r="AR555" s="747"/>
      <c r="AS555" s="747"/>
      <c r="AT555" s="747"/>
      <c r="AU555" s="747"/>
      <c r="AV555" s="747"/>
      <c r="AW555" s="747"/>
      <c r="AX555" s="747"/>
    </row>
    <row r="556" spans="1:50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747"/>
      <c r="AO556" s="747"/>
      <c r="AP556" s="747"/>
      <c r="AQ556" s="747"/>
      <c r="AR556" s="747"/>
      <c r="AS556" s="747"/>
      <c r="AT556" s="747"/>
      <c r="AU556" s="747"/>
      <c r="AV556" s="747"/>
      <c r="AW556" s="747"/>
      <c r="AX556" s="747"/>
    </row>
    <row r="557" spans="1:50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747"/>
      <c r="AO557" s="747"/>
      <c r="AP557" s="747"/>
      <c r="AQ557" s="747"/>
      <c r="AR557" s="747"/>
      <c r="AS557" s="747"/>
      <c r="AT557" s="747"/>
      <c r="AU557" s="747"/>
      <c r="AV557" s="747"/>
      <c r="AW557" s="747"/>
      <c r="AX557" s="747"/>
    </row>
    <row r="558" spans="1:50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747"/>
      <c r="AO558" s="747"/>
      <c r="AP558" s="747"/>
      <c r="AQ558" s="747"/>
      <c r="AR558" s="747"/>
      <c r="AS558" s="747"/>
      <c r="AT558" s="747"/>
      <c r="AU558" s="747"/>
      <c r="AV558" s="747"/>
      <c r="AW558" s="747"/>
      <c r="AX558" s="747"/>
    </row>
    <row r="559" spans="1:50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747"/>
      <c r="AO559" s="747"/>
      <c r="AP559" s="747"/>
      <c r="AQ559" s="747"/>
      <c r="AR559" s="747"/>
      <c r="AS559" s="747"/>
      <c r="AT559" s="747"/>
      <c r="AU559" s="747"/>
      <c r="AV559" s="747"/>
      <c r="AW559" s="747"/>
      <c r="AX559" s="747"/>
    </row>
    <row r="560" spans="1:5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747"/>
      <c r="AO560" s="747"/>
      <c r="AP560" s="747"/>
      <c r="AQ560" s="747"/>
      <c r="AR560" s="747"/>
      <c r="AS560" s="747"/>
      <c r="AT560" s="747"/>
      <c r="AU560" s="747"/>
      <c r="AV560" s="747"/>
      <c r="AW560" s="747"/>
      <c r="AX560" s="747"/>
    </row>
    <row r="561" spans="1:50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747"/>
      <c r="AO561" s="747"/>
      <c r="AP561" s="747"/>
      <c r="AQ561" s="747"/>
      <c r="AR561" s="747"/>
      <c r="AS561" s="747"/>
      <c r="AT561" s="747"/>
      <c r="AU561" s="747"/>
      <c r="AV561" s="747"/>
      <c r="AW561" s="747"/>
      <c r="AX561" s="747"/>
    </row>
    <row r="562" spans="1:50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747"/>
      <c r="AO562" s="747"/>
      <c r="AP562" s="747"/>
      <c r="AQ562" s="747"/>
      <c r="AR562" s="747"/>
      <c r="AS562" s="747"/>
      <c r="AT562" s="747"/>
      <c r="AU562" s="747"/>
      <c r="AV562" s="747"/>
      <c r="AW562" s="747"/>
      <c r="AX562" s="747"/>
    </row>
    <row r="563" spans="1:50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747"/>
      <c r="AO563" s="747"/>
      <c r="AP563" s="747"/>
      <c r="AQ563" s="747"/>
      <c r="AR563" s="747"/>
      <c r="AS563" s="747"/>
      <c r="AT563" s="747"/>
      <c r="AU563" s="747"/>
      <c r="AV563" s="747"/>
      <c r="AW563" s="747"/>
      <c r="AX563" s="747"/>
    </row>
    <row r="564" spans="1:50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747"/>
      <c r="AO564" s="747"/>
      <c r="AP564" s="747"/>
      <c r="AQ564" s="747"/>
      <c r="AR564" s="747"/>
      <c r="AS564" s="747"/>
      <c r="AT564" s="747"/>
      <c r="AU564" s="747"/>
      <c r="AV564" s="747"/>
      <c r="AW564" s="747"/>
      <c r="AX564" s="747"/>
    </row>
    <row r="565" spans="1:50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747"/>
      <c r="AO565" s="747"/>
      <c r="AP565" s="747"/>
      <c r="AQ565" s="747"/>
      <c r="AR565" s="747"/>
      <c r="AS565" s="747"/>
      <c r="AT565" s="747"/>
      <c r="AU565" s="747"/>
      <c r="AV565" s="747"/>
      <c r="AW565" s="747"/>
      <c r="AX565" s="747"/>
    </row>
    <row r="566" spans="1:50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747"/>
      <c r="AO566" s="747"/>
      <c r="AP566" s="747"/>
      <c r="AQ566" s="747"/>
      <c r="AR566" s="747"/>
      <c r="AS566" s="747"/>
      <c r="AT566" s="747"/>
      <c r="AU566" s="747"/>
      <c r="AV566" s="747"/>
      <c r="AW566" s="747"/>
      <c r="AX566" s="747"/>
    </row>
    <row r="567" spans="1:50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747"/>
      <c r="AO567" s="747"/>
      <c r="AP567" s="747"/>
      <c r="AQ567" s="747"/>
      <c r="AR567" s="747"/>
      <c r="AS567" s="747"/>
      <c r="AT567" s="747"/>
      <c r="AU567" s="747"/>
      <c r="AV567" s="747"/>
      <c r="AW567" s="747"/>
      <c r="AX567" s="747"/>
    </row>
    <row r="568" spans="1:50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747"/>
      <c r="AO568" s="747"/>
      <c r="AP568" s="747"/>
      <c r="AQ568" s="747"/>
      <c r="AR568" s="747"/>
      <c r="AS568" s="747"/>
      <c r="AT568" s="747"/>
      <c r="AU568" s="747"/>
      <c r="AV568" s="747"/>
      <c r="AW568" s="747"/>
      <c r="AX568" s="747"/>
    </row>
    <row r="569" spans="1:50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747"/>
      <c r="AO569" s="747"/>
      <c r="AP569" s="747"/>
      <c r="AQ569" s="747"/>
      <c r="AR569" s="747"/>
      <c r="AS569" s="747"/>
      <c r="AT569" s="747"/>
      <c r="AU569" s="747"/>
      <c r="AV569" s="747"/>
      <c r="AW569" s="747"/>
      <c r="AX569" s="747"/>
    </row>
    <row r="570" spans="1:5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747"/>
      <c r="AO570" s="747"/>
      <c r="AP570" s="747"/>
      <c r="AQ570" s="747"/>
      <c r="AR570" s="747"/>
      <c r="AS570" s="747"/>
      <c r="AT570" s="747"/>
      <c r="AU570" s="747"/>
      <c r="AV570" s="747"/>
      <c r="AW570" s="747"/>
      <c r="AX570" s="747"/>
    </row>
    <row r="571" spans="1:50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747"/>
      <c r="AO571" s="747"/>
      <c r="AP571" s="747"/>
      <c r="AQ571" s="747"/>
      <c r="AR571" s="747"/>
      <c r="AS571" s="747"/>
      <c r="AT571" s="747"/>
      <c r="AU571" s="747"/>
      <c r="AV571" s="747"/>
      <c r="AW571" s="747"/>
      <c r="AX571" s="747"/>
    </row>
    <row r="572" spans="1:50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747"/>
      <c r="AO572" s="747"/>
      <c r="AP572" s="747"/>
      <c r="AQ572" s="747"/>
      <c r="AR572" s="747"/>
      <c r="AS572" s="747"/>
      <c r="AT572" s="747"/>
      <c r="AU572" s="747"/>
      <c r="AV572" s="747"/>
      <c r="AW572" s="747"/>
      <c r="AX572" s="747"/>
    </row>
    <row r="573" spans="1:50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747"/>
      <c r="AO573" s="747"/>
      <c r="AP573" s="747"/>
      <c r="AQ573" s="747"/>
      <c r="AR573" s="747"/>
      <c r="AS573" s="747"/>
      <c r="AT573" s="747"/>
      <c r="AU573" s="747"/>
      <c r="AV573" s="747"/>
      <c r="AW573" s="747"/>
      <c r="AX573" s="747"/>
    </row>
    <row r="574" spans="1:50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747"/>
      <c r="AO574" s="747"/>
      <c r="AP574" s="747"/>
      <c r="AQ574" s="747"/>
      <c r="AR574" s="747"/>
      <c r="AS574" s="747"/>
      <c r="AT574" s="747"/>
      <c r="AU574" s="747"/>
      <c r="AV574" s="747"/>
      <c r="AW574" s="747"/>
      <c r="AX574" s="747"/>
    </row>
    <row r="575" spans="1:50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747"/>
      <c r="AO575" s="747"/>
      <c r="AP575" s="747"/>
      <c r="AQ575" s="747"/>
      <c r="AR575" s="747"/>
      <c r="AS575" s="747"/>
      <c r="AT575" s="747"/>
      <c r="AU575" s="747"/>
      <c r="AV575" s="747"/>
      <c r="AW575" s="747"/>
      <c r="AX575" s="747"/>
    </row>
    <row r="576" spans="1:50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747"/>
      <c r="AO576" s="747"/>
      <c r="AP576" s="747"/>
      <c r="AQ576" s="747"/>
      <c r="AR576" s="747"/>
      <c r="AS576" s="747"/>
      <c r="AT576" s="747"/>
      <c r="AU576" s="747"/>
      <c r="AV576" s="747"/>
      <c r="AW576" s="747"/>
      <c r="AX576" s="747"/>
    </row>
    <row r="577" spans="1:50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747"/>
      <c r="AO577" s="747"/>
      <c r="AP577" s="747"/>
      <c r="AQ577" s="747"/>
      <c r="AR577" s="747"/>
      <c r="AS577" s="747"/>
      <c r="AT577" s="747"/>
      <c r="AU577" s="747"/>
      <c r="AV577" s="747"/>
      <c r="AW577" s="747"/>
      <c r="AX577" s="747"/>
    </row>
    <row r="578" spans="1:50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747"/>
      <c r="AO578" s="747"/>
      <c r="AP578" s="747"/>
      <c r="AQ578" s="747"/>
      <c r="AR578" s="747"/>
      <c r="AS578" s="747"/>
      <c r="AT578" s="747"/>
      <c r="AU578" s="747"/>
      <c r="AV578" s="747"/>
      <c r="AW578" s="747"/>
      <c r="AX578" s="747"/>
    </row>
    <row r="579" spans="1:50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747"/>
      <c r="AO579" s="747"/>
      <c r="AP579" s="747"/>
      <c r="AQ579" s="747"/>
      <c r="AR579" s="747"/>
      <c r="AS579" s="747"/>
      <c r="AT579" s="747"/>
      <c r="AU579" s="747"/>
      <c r="AV579" s="747"/>
      <c r="AW579" s="747"/>
      <c r="AX579" s="747"/>
    </row>
    <row r="580" spans="1:5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747"/>
      <c r="AO580" s="747"/>
      <c r="AP580" s="747"/>
      <c r="AQ580" s="747"/>
      <c r="AR580" s="747"/>
      <c r="AS580" s="747"/>
      <c r="AT580" s="747"/>
      <c r="AU580" s="747"/>
      <c r="AV580" s="747"/>
      <c r="AW580" s="747"/>
      <c r="AX580" s="747"/>
    </row>
    <row r="581" spans="1:50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747"/>
      <c r="AO581" s="747"/>
      <c r="AP581" s="747"/>
      <c r="AQ581" s="747"/>
      <c r="AR581" s="747"/>
      <c r="AS581" s="747"/>
      <c r="AT581" s="747"/>
      <c r="AU581" s="747"/>
      <c r="AV581" s="747"/>
      <c r="AW581" s="747"/>
      <c r="AX581" s="747"/>
    </row>
    <row r="582" spans="1:50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747"/>
      <c r="AO582" s="747"/>
      <c r="AP582" s="747"/>
      <c r="AQ582" s="747"/>
      <c r="AR582" s="747"/>
      <c r="AS582" s="747"/>
      <c r="AT582" s="747"/>
      <c r="AU582" s="747"/>
      <c r="AV582" s="747"/>
      <c r="AW582" s="747"/>
      <c r="AX582" s="747"/>
    </row>
    <row r="583" spans="1:50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747"/>
      <c r="AO583" s="747"/>
      <c r="AP583" s="747"/>
      <c r="AQ583" s="747"/>
      <c r="AR583" s="747"/>
      <c r="AS583" s="747"/>
      <c r="AT583" s="747"/>
      <c r="AU583" s="747"/>
      <c r="AV583" s="747"/>
      <c r="AW583" s="747"/>
      <c r="AX583" s="747"/>
    </row>
    <row r="584" spans="1:50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747"/>
      <c r="AO584" s="747"/>
      <c r="AP584" s="747"/>
      <c r="AQ584" s="747"/>
      <c r="AR584" s="747"/>
      <c r="AS584" s="747"/>
      <c r="AT584" s="747"/>
      <c r="AU584" s="747"/>
      <c r="AV584" s="747"/>
      <c r="AW584" s="747"/>
      <c r="AX584" s="747"/>
    </row>
    <row r="585" spans="1:50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747"/>
      <c r="AO585" s="747"/>
      <c r="AP585" s="747"/>
      <c r="AQ585" s="747"/>
      <c r="AR585" s="747"/>
      <c r="AS585" s="747"/>
      <c r="AT585" s="747"/>
      <c r="AU585" s="747"/>
      <c r="AV585" s="747"/>
      <c r="AW585" s="747"/>
      <c r="AX585" s="747"/>
    </row>
    <row r="586" spans="1:50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747"/>
      <c r="AO586" s="747"/>
      <c r="AP586" s="747"/>
      <c r="AQ586" s="747"/>
      <c r="AR586" s="747"/>
      <c r="AS586" s="747"/>
      <c r="AT586" s="747"/>
      <c r="AU586" s="747"/>
      <c r="AV586" s="747"/>
      <c r="AW586" s="747"/>
      <c r="AX586" s="747"/>
    </row>
    <row r="587" spans="1:50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747"/>
      <c r="AO587" s="747"/>
      <c r="AP587" s="747"/>
      <c r="AQ587" s="747"/>
      <c r="AR587" s="747"/>
      <c r="AS587" s="747"/>
      <c r="AT587" s="747"/>
      <c r="AU587" s="747"/>
      <c r="AV587" s="747"/>
      <c r="AW587" s="747"/>
      <c r="AX587" s="747"/>
    </row>
    <row r="588" spans="1:50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747"/>
      <c r="AO588" s="747"/>
      <c r="AP588" s="747"/>
      <c r="AQ588" s="747"/>
      <c r="AR588" s="747"/>
      <c r="AS588" s="747"/>
      <c r="AT588" s="747"/>
      <c r="AU588" s="747"/>
      <c r="AV588" s="747"/>
      <c r="AW588" s="747"/>
      <c r="AX588" s="747"/>
    </row>
    <row r="589" spans="1:50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747"/>
      <c r="AO589" s="747"/>
      <c r="AP589" s="747"/>
      <c r="AQ589" s="747"/>
      <c r="AR589" s="747"/>
      <c r="AS589" s="747"/>
      <c r="AT589" s="747"/>
      <c r="AU589" s="747"/>
      <c r="AV589" s="747"/>
      <c r="AW589" s="747"/>
      <c r="AX589" s="747"/>
    </row>
    <row r="590" spans="1:5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747"/>
      <c r="AO590" s="747"/>
      <c r="AP590" s="747"/>
      <c r="AQ590" s="747"/>
      <c r="AR590" s="747"/>
      <c r="AS590" s="747"/>
      <c r="AT590" s="747"/>
      <c r="AU590" s="747"/>
      <c r="AV590" s="747"/>
      <c r="AW590" s="747"/>
      <c r="AX590" s="747"/>
    </row>
    <row r="591" spans="1:50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747"/>
      <c r="AO591" s="747"/>
      <c r="AP591" s="747"/>
      <c r="AQ591" s="747"/>
      <c r="AR591" s="747"/>
      <c r="AS591" s="747"/>
      <c r="AT591" s="747"/>
      <c r="AU591" s="747"/>
      <c r="AV591" s="747"/>
      <c r="AW591" s="747"/>
      <c r="AX591" s="747"/>
    </row>
    <row r="592" spans="1:50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747"/>
      <c r="AO592" s="747"/>
      <c r="AP592" s="747"/>
      <c r="AQ592" s="747"/>
      <c r="AR592" s="747"/>
      <c r="AS592" s="747"/>
      <c r="AT592" s="747"/>
      <c r="AU592" s="747"/>
      <c r="AV592" s="747"/>
      <c r="AW592" s="747"/>
      <c r="AX592" s="747"/>
    </row>
    <row r="593" spans="1:50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747"/>
      <c r="AO593" s="747"/>
      <c r="AP593" s="747"/>
      <c r="AQ593" s="747"/>
      <c r="AR593" s="747"/>
      <c r="AS593" s="747"/>
      <c r="AT593" s="747"/>
      <c r="AU593" s="747"/>
      <c r="AV593" s="747"/>
      <c r="AW593" s="747"/>
      <c r="AX593" s="747"/>
    </row>
    <row r="594" spans="1:50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747"/>
      <c r="AO594" s="747"/>
      <c r="AP594" s="747"/>
      <c r="AQ594" s="747"/>
      <c r="AR594" s="747"/>
      <c r="AS594" s="747"/>
      <c r="AT594" s="747"/>
      <c r="AU594" s="747"/>
      <c r="AV594" s="747"/>
      <c r="AW594" s="747"/>
      <c r="AX594" s="747"/>
    </row>
    <row r="595" spans="1:50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747"/>
      <c r="AO595" s="747"/>
      <c r="AP595" s="747"/>
      <c r="AQ595" s="747"/>
      <c r="AR595" s="747"/>
      <c r="AS595" s="747"/>
      <c r="AT595" s="747"/>
      <c r="AU595" s="747"/>
      <c r="AV595" s="747"/>
      <c r="AW595" s="747"/>
      <c r="AX595" s="747"/>
    </row>
    <row r="596" spans="1:50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747"/>
      <c r="AO596" s="747"/>
      <c r="AP596" s="747"/>
      <c r="AQ596" s="747"/>
      <c r="AR596" s="747"/>
      <c r="AS596" s="747"/>
      <c r="AT596" s="747"/>
      <c r="AU596" s="747"/>
      <c r="AV596" s="747"/>
      <c r="AW596" s="747"/>
      <c r="AX596" s="747"/>
    </row>
    <row r="597" spans="1:50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747"/>
      <c r="AO597" s="747"/>
      <c r="AP597" s="747"/>
      <c r="AQ597" s="747"/>
      <c r="AR597" s="747"/>
      <c r="AS597" s="747"/>
      <c r="AT597" s="747"/>
      <c r="AU597" s="747"/>
      <c r="AV597" s="747"/>
      <c r="AW597" s="747"/>
      <c r="AX597" s="747"/>
    </row>
    <row r="598" spans="1:50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747"/>
      <c r="AO598" s="747"/>
      <c r="AP598" s="747"/>
      <c r="AQ598" s="747"/>
      <c r="AR598" s="747"/>
      <c r="AS598" s="747"/>
      <c r="AT598" s="747"/>
      <c r="AU598" s="747"/>
      <c r="AV598" s="747"/>
      <c r="AW598" s="747"/>
      <c r="AX598" s="747"/>
    </row>
    <row r="599" spans="1:50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747"/>
      <c r="AO599" s="747"/>
      <c r="AP599" s="747"/>
      <c r="AQ599" s="747"/>
      <c r="AR599" s="747"/>
      <c r="AS599" s="747"/>
      <c r="AT599" s="747"/>
      <c r="AU599" s="747"/>
      <c r="AV599" s="747"/>
      <c r="AW599" s="747"/>
      <c r="AX599" s="747"/>
    </row>
    <row r="600" spans="1:5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747"/>
      <c r="AO600" s="747"/>
      <c r="AP600" s="747"/>
      <c r="AQ600" s="747"/>
      <c r="AR600" s="747"/>
      <c r="AS600" s="747"/>
      <c r="AT600" s="747"/>
      <c r="AU600" s="747"/>
      <c r="AV600" s="747"/>
      <c r="AW600" s="747"/>
      <c r="AX600" s="747"/>
    </row>
    <row r="601" spans="1:50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747"/>
      <c r="AO601" s="747"/>
      <c r="AP601" s="747"/>
      <c r="AQ601" s="747"/>
      <c r="AR601" s="747"/>
      <c r="AS601" s="747"/>
      <c r="AT601" s="747"/>
      <c r="AU601" s="747"/>
      <c r="AV601" s="747"/>
      <c r="AW601" s="747"/>
      <c r="AX601" s="747"/>
    </row>
    <row r="602" spans="1:50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747"/>
      <c r="AO602" s="747"/>
      <c r="AP602" s="747"/>
      <c r="AQ602" s="747"/>
      <c r="AR602" s="747"/>
      <c r="AS602" s="747"/>
      <c r="AT602" s="747"/>
      <c r="AU602" s="747"/>
      <c r="AV602" s="747"/>
      <c r="AW602" s="747"/>
      <c r="AX602" s="747"/>
    </row>
    <row r="603" spans="1:50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747"/>
      <c r="AO603" s="747"/>
      <c r="AP603" s="747"/>
      <c r="AQ603" s="747"/>
      <c r="AR603" s="747"/>
      <c r="AS603" s="747"/>
      <c r="AT603" s="747"/>
      <c r="AU603" s="747"/>
      <c r="AV603" s="747"/>
      <c r="AW603" s="747"/>
      <c r="AX603" s="747"/>
    </row>
    <row r="604" spans="1:50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747"/>
      <c r="AO604" s="747"/>
      <c r="AP604" s="747"/>
      <c r="AQ604" s="747"/>
      <c r="AR604" s="747"/>
      <c r="AS604" s="747"/>
      <c r="AT604" s="747"/>
      <c r="AU604" s="747"/>
      <c r="AV604" s="747"/>
      <c r="AW604" s="747"/>
      <c r="AX604" s="747"/>
    </row>
    <row r="605" spans="1:50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747"/>
      <c r="AO605" s="747"/>
      <c r="AP605" s="747"/>
      <c r="AQ605" s="747"/>
      <c r="AR605" s="747"/>
      <c r="AS605" s="747"/>
      <c r="AT605" s="747"/>
      <c r="AU605" s="747"/>
      <c r="AV605" s="747"/>
      <c r="AW605" s="747"/>
      <c r="AX605" s="747"/>
    </row>
    <row r="606" spans="1:50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747"/>
      <c r="AO606" s="747"/>
      <c r="AP606" s="747"/>
      <c r="AQ606" s="747"/>
      <c r="AR606" s="747"/>
      <c r="AS606" s="747"/>
      <c r="AT606" s="747"/>
      <c r="AU606" s="747"/>
      <c r="AV606" s="747"/>
      <c r="AW606" s="747"/>
      <c r="AX606" s="747"/>
    </row>
    <row r="607" spans="1:50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747"/>
      <c r="AO607" s="747"/>
      <c r="AP607" s="747"/>
      <c r="AQ607" s="747"/>
      <c r="AR607" s="747"/>
      <c r="AS607" s="747"/>
      <c r="AT607" s="747"/>
      <c r="AU607" s="747"/>
      <c r="AV607" s="747"/>
      <c r="AW607" s="747"/>
      <c r="AX607" s="747"/>
    </row>
    <row r="608" spans="1:50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747"/>
      <c r="AO608" s="747"/>
      <c r="AP608" s="747"/>
      <c r="AQ608" s="747"/>
      <c r="AR608" s="747"/>
      <c r="AS608" s="747"/>
      <c r="AT608" s="747"/>
      <c r="AU608" s="747"/>
      <c r="AV608" s="747"/>
      <c r="AW608" s="747"/>
      <c r="AX608" s="747"/>
    </row>
    <row r="609" spans="1:50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747"/>
      <c r="AO609" s="747"/>
      <c r="AP609" s="747"/>
      <c r="AQ609" s="747"/>
      <c r="AR609" s="747"/>
      <c r="AS609" s="747"/>
      <c r="AT609" s="747"/>
      <c r="AU609" s="747"/>
      <c r="AV609" s="747"/>
      <c r="AW609" s="747"/>
      <c r="AX609" s="747"/>
    </row>
    <row r="610" spans="1:5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747"/>
      <c r="AO610" s="747"/>
      <c r="AP610" s="747"/>
      <c r="AQ610" s="747"/>
      <c r="AR610" s="747"/>
      <c r="AS610" s="747"/>
      <c r="AT610" s="747"/>
      <c r="AU610" s="747"/>
      <c r="AV610" s="747"/>
      <c r="AW610" s="747"/>
      <c r="AX610" s="747"/>
    </row>
    <row r="611" spans="1:50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747"/>
      <c r="AO611" s="747"/>
      <c r="AP611" s="747"/>
      <c r="AQ611" s="747"/>
      <c r="AR611" s="747"/>
      <c r="AS611" s="747"/>
      <c r="AT611" s="747"/>
      <c r="AU611" s="747"/>
      <c r="AV611" s="747"/>
      <c r="AW611" s="747"/>
      <c r="AX611" s="747"/>
    </row>
    <row r="612" spans="1:50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747"/>
      <c r="AO612" s="747"/>
      <c r="AP612" s="747"/>
      <c r="AQ612" s="747"/>
      <c r="AR612" s="747"/>
      <c r="AS612" s="747"/>
      <c r="AT612" s="747"/>
      <c r="AU612" s="747"/>
      <c r="AV612" s="747"/>
      <c r="AW612" s="747"/>
      <c r="AX612" s="747"/>
    </row>
    <row r="613" spans="1:50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747"/>
      <c r="AO613" s="747"/>
      <c r="AP613" s="747"/>
      <c r="AQ613" s="747"/>
      <c r="AR613" s="747"/>
      <c r="AS613" s="747"/>
      <c r="AT613" s="747"/>
      <c r="AU613" s="747"/>
      <c r="AV613" s="747"/>
      <c r="AW613" s="747"/>
      <c r="AX613" s="747"/>
    </row>
    <row r="614" spans="1:50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747"/>
      <c r="AO614" s="747"/>
      <c r="AP614" s="747"/>
      <c r="AQ614" s="747"/>
      <c r="AR614" s="747"/>
      <c r="AS614" s="747"/>
      <c r="AT614" s="747"/>
      <c r="AU614" s="747"/>
      <c r="AV614" s="747"/>
      <c r="AW614" s="747"/>
      <c r="AX614" s="747"/>
    </row>
    <row r="615" spans="1:50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747"/>
      <c r="AO615" s="747"/>
      <c r="AP615" s="747"/>
      <c r="AQ615" s="747"/>
      <c r="AR615" s="747"/>
      <c r="AS615" s="747"/>
      <c r="AT615" s="747"/>
      <c r="AU615" s="747"/>
      <c r="AV615" s="747"/>
      <c r="AW615" s="747"/>
      <c r="AX615" s="747"/>
    </row>
    <row r="616" spans="1:50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747"/>
      <c r="AO616" s="747"/>
      <c r="AP616" s="747"/>
      <c r="AQ616" s="747"/>
      <c r="AR616" s="747"/>
      <c r="AS616" s="747"/>
      <c r="AT616" s="747"/>
      <c r="AU616" s="747"/>
      <c r="AV616" s="747"/>
      <c r="AW616" s="747"/>
      <c r="AX616" s="747"/>
    </row>
    <row r="617" spans="1:50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747"/>
      <c r="AO617" s="747"/>
      <c r="AP617" s="747"/>
      <c r="AQ617" s="747"/>
      <c r="AR617" s="747"/>
      <c r="AS617" s="747"/>
      <c r="AT617" s="747"/>
      <c r="AU617" s="747"/>
      <c r="AV617" s="747"/>
      <c r="AW617" s="747"/>
      <c r="AX617" s="747"/>
    </row>
    <row r="618" spans="1:50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747"/>
      <c r="AO618" s="747"/>
      <c r="AP618" s="747"/>
      <c r="AQ618" s="747"/>
      <c r="AR618" s="747"/>
      <c r="AS618" s="747"/>
      <c r="AT618" s="747"/>
      <c r="AU618" s="747"/>
      <c r="AV618" s="747"/>
      <c r="AW618" s="747"/>
      <c r="AX618" s="747"/>
    </row>
    <row r="619" spans="1:50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747"/>
      <c r="AO619" s="747"/>
      <c r="AP619" s="747"/>
      <c r="AQ619" s="747"/>
      <c r="AR619" s="747"/>
      <c r="AS619" s="747"/>
      <c r="AT619" s="747"/>
      <c r="AU619" s="747"/>
      <c r="AV619" s="747"/>
      <c r="AW619" s="747"/>
      <c r="AX619" s="747"/>
    </row>
    <row r="620" spans="1:5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747"/>
      <c r="AO620" s="747"/>
      <c r="AP620" s="747"/>
      <c r="AQ620" s="747"/>
      <c r="AR620" s="747"/>
      <c r="AS620" s="747"/>
      <c r="AT620" s="747"/>
      <c r="AU620" s="747"/>
      <c r="AV620" s="747"/>
      <c r="AW620" s="747"/>
      <c r="AX620" s="747"/>
    </row>
    <row r="621" spans="1:50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747"/>
      <c r="AO621" s="747"/>
      <c r="AP621" s="747"/>
      <c r="AQ621" s="747"/>
      <c r="AR621" s="747"/>
      <c r="AS621" s="747"/>
      <c r="AT621" s="747"/>
      <c r="AU621" s="747"/>
      <c r="AV621" s="747"/>
      <c r="AW621" s="747"/>
      <c r="AX621" s="747"/>
    </row>
    <row r="622" spans="1:50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747"/>
      <c r="AO622" s="747"/>
      <c r="AP622" s="747"/>
      <c r="AQ622" s="747"/>
      <c r="AR622" s="747"/>
      <c r="AS622" s="747"/>
      <c r="AT622" s="747"/>
      <c r="AU622" s="747"/>
      <c r="AV622" s="747"/>
      <c r="AW622" s="747"/>
      <c r="AX622" s="747"/>
    </row>
    <row r="623" spans="1:50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747"/>
      <c r="AO623" s="747"/>
      <c r="AP623" s="747"/>
      <c r="AQ623" s="747"/>
      <c r="AR623" s="747"/>
      <c r="AS623" s="747"/>
      <c r="AT623" s="747"/>
      <c r="AU623" s="747"/>
      <c r="AV623" s="747"/>
      <c r="AW623" s="747"/>
      <c r="AX623" s="747"/>
    </row>
    <row r="624" spans="1:50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747"/>
      <c r="AO624" s="747"/>
      <c r="AP624" s="747"/>
      <c r="AQ624" s="747"/>
      <c r="AR624" s="747"/>
      <c r="AS624" s="747"/>
      <c r="AT624" s="747"/>
      <c r="AU624" s="747"/>
      <c r="AV624" s="747"/>
      <c r="AW624" s="747"/>
      <c r="AX624" s="747"/>
    </row>
    <row r="625" spans="1:50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747"/>
      <c r="AO625" s="747"/>
      <c r="AP625" s="747"/>
      <c r="AQ625" s="747"/>
      <c r="AR625" s="747"/>
      <c r="AS625" s="747"/>
      <c r="AT625" s="747"/>
      <c r="AU625" s="747"/>
      <c r="AV625" s="747"/>
      <c r="AW625" s="747"/>
      <c r="AX625" s="747"/>
    </row>
    <row r="626" spans="1:50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747"/>
      <c r="AO626" s="747"/>
      <c r="AP626" s="747"/>
      <c r="AQ626" s="747"/>
      <c r="AR626" s="747"/>
      <c r="AS626" s="747"/>
      <c r="AT626" s="747"/>
      <c r="AU626" s="747"/>
      <c r="AV626" s="747"/>
      <c r="AW626" s="747"/>
      <c r="AX626" s="747"/>
    </row>
    <row r="627" spans="1:50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747"/>
      <c r="AO627" s="747"/>
      <c r="AP627" s="747"/>
      <c r="AQ627" s="747"/>
      <c r="AR627" s="747"/>
      <c r="AS627" s="747"/>
      <c r="AT627" s="747"/>
      <c r="AU627" s="747"/>
      <c r="AV627" s="747"/>
      <c r="AW627" s="747"/>
      <c r="AX627" s="747"/>
    </row>
    <row r="628" spans="1:50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747"/>
      <c r="AO628" s="747"/>
      <c r="AP628" s="747"/>
      <c r="AQ628" s="747"/>
      <c r="AR628" s="747"/>
      <c r="AS628" s="747"/>
      <c r="AT628" s="747"/>
      <c r="AU628" s="747"/>
      <c r="AV628" s="747"/>
      <c r="AW628" s="747"/>
      <c r="AX628" s="747"/>
    </row>
    <row r="629" spans="1:50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747"/>
      <c r="AO629" s="747"/>
      <c r="AP629" s="747"/>
      <c r="AQ629" s="747"/>
      <c r="AR629" s="747"/>
      <c r="AS629" s="747"/>
      <c r="AT629" s="747"/>
      <c r="AU629" s="747"/>
      <c r="AV629" s="747"/>
      <c r="AW629" s="747"/>
      <c r="AX629" s="747"/>
    </row>
    <row r="630" spans="1:5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747"/>
      <c r="AO630" s="747"/>
      <c r="AP630" s="747"/>
      <c r="AQ630" s="747"/>
      <c r="AR630" s="747"/>
      <c r="AS630" s="747"/>
      <c r="AT630" s="747"/>
      <c r="AU630" s="747"/>
      <c r="AV630" s="747"/>
      <c r="AW630" s="747"/>
      <c r="AX630" s="747"/>
    </row>
    <row r="631" spans="1:50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747"/>
      <c r="AO631" s="747"/>
      <c r="AP631" s="747"/>
      <c r="AQ631" s="747"/>
      <c r="AR631" s="747"/>
      <c r="AS631" s="747"/>
      <c r="AT631" s="747"/>
      <c r="AU631" s="747"/>
      <c r="AV631" s="747"/>
      <c r="AW631" s="747"/>
      <c r="AX631" s="747"/>
    </row>
    <row r="632" spans="1:50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747"/>
      <c r="AO632" s="747"/>
      <c r="AP632" s="747"/>
      <c r="AQ632" s="747"/>
      <c r="AR632" s="747"/>
      <c r="AS632" s="747"/>
      <c r="AT632" s="747"/>
      <c r="AU632" s="747"/>
      <c r="AV632" s="747"/>
      <c r="AW632" s="747"/>
      <c r="AX632" s="747"/>
    </row>
    <row r="633" spans="1:50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747"/>
      <c r="AO633" s="747"/>
      <c r="AP633" s="747"/>
      <c r="AQ633" s="747"/>
      <c r="AR633" s="747"/>
      <c r="AS633" s="747"/>
      <c r="AT633" s="747"/>
      <c r="AU633" s="747"/>
      <c r="AV633" s="747"/>
      <c r="AW633" s="747"/>
      <c r="AX633" s="747"/>
    </row>
    <row r="634" spans="1:50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747"/>
      <c r="AO634" s="747"/>
      <c r="AP634" s="747"/>
      <c r="AQ634" s="747"/>
      <c r="AR634" s="747"/>
      <c r="AS634" s="747"/>
      <c r="AT634" s="747"/>
      <c r="AU634" s="747"/>
      <c r="AV634" s="747"/>
      <c r="AW634" s="747"/>
      <c r="AX634" s="747"/>
    </row>
    <row r="635" spans="1:50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747"/>
      <c r="AO635" s="747"/>
      <c r="AP635" s="747"/>
      <c r="AQ635" s="747"/>
      <c r="AR635" s="747"/>
      <c r="AS635" s="747"/>
      <c r="AT635" s="747"/>
      <c r="AU635" s="747"/>
      <c r="AV635" s="747"/>
      <c r="AW635" s="747"/>
      <c r="AX635" s="747"/>
    </row>
    <row r="636" spans="1:50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747"/>
      <c r="AO636" s="747"/>
      <c r="AP636" s="747"/>
      <c r="AQ636" s="747"/>
      <c r="AR636" s="747"/>
      <c r="AS636" s="747"/>
      <c r="AT636" s="747"/>
      <c r="AU636" s="747"/>
      <c r="AV636" s="747"/>
      <c r="AW636" s="747"/>
      <c r="AX636" s="747"/>
    </row>
    <row r="637" spans="1:50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747"/>
      <c r="AO637" s="747"/>
      <c r="AP637" s="747"/>
      <c r="AQ637" s="747"/>
      <c r="AR637" s="747"/>
      <c r="AS637" s="747"/>
      <c r="AT637" s="747"/>
      <c r="AU637" s="747"/>
      <c r="AV637" s="747"/>
      <c r="AW637" s="747"/>
      <c r="AX637" s="747"/>
    </row>
    <row r="638" spans="1:50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747"/>
      <c r="AO638" s="747"/>
      <c r="AP638" s="747"/>
      <c r="AQ638" s="747"/>
      <c r="AR638" s="747"/>
      <c r="AS638" s="747"/>
      <c r="AT638" s="747"/>
      <c r="AU638" s="747"/>
      <c r="AV638" s="747"/>
      <c r="AW638" s="747"/>
      <c r="AX638" s="747"/>
    </row>
    <row r="639" spans="1:50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747"/>
      <c r="AO639" s="747"/>
      <c r="AP639" s="747"/>
      <c r="AQ639" s="747"/>
      <c r="AR639" s="747"/>
      <c r="AS639" s="747"/>
      <c r="AT639" s="747"/>
      <c r="AU639" s="747"/>
      <c r="AV639" s="747"/>
      <c r="AW639" s="747"/>
      <c r="AX639" s="747"/>
    </row>
    <row r="640" spans="1:5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747"/>
      <c r="AO640" s="747"/>
      <c r="AP640" s="747"/>
      <c r="AQ640" s="747"/>
      <c r="AR640" s="747"/>
      <c r="AS640" s="747"/>
      <c r="AT640" s="747"/>
      <c r="AU640" s="747"/>
      <c r="AV640" s="747"/>
      <c r="AW640" s="747"/>
      <c r="AX640" s="747"/>
    </row>
    <row r="641" spans="1:50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747"/>
      <c r="AO641" s="747"/>
      <c r="AP641" s="747"/>
      <c r="AQ641" s="747"/>
      <c r="AR641" s="747"/>
      <c r="AS641" s="747"/>
      <c r="AT641" s="747"/>
      <c r="AU641" s="747"/>
      <c r="AV641" s="747"/>
      <c r="AW641" s="747"/>
      <c r="AX641" s="747"/>
    </row>
    <row r="642" spans="1:50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747"/>
      <c r="AO642" s="747"/>
      <c r="AP642" s="747"/>
      <c r="AQ642" s="747"/>
      <c r="AR642" s="747"/>
      <c r="AS642" s="747"/>
      <c r="AT642" s="747"/>
      <c r="AU642" s="747"/>
      <c r="AV642" s="747"/>
      <c r="AW642" s="747"/>
      <c r="AX642" s="747"/>
    </row>
    <row r="643" spans="1:50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747"/>
      <c r="AO643" s="747"/>
      <c r="AP643" s="747"/>
      <c r="AQ643" s="747"/>
      <c r="AR643" s="747"/>
      <c r="AS643" s="747"/>
      <c r="AT643" s="747"/>
      <c r="AU643" s="747"/>
      <c r="AV643" s="747"/>
      <c r="AW643" s="747"/>
      <c r="AX643" s="747"/>
    </row>
    <row r="644" spans="1:50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747"/>
      <c r="AO644" s="747"/>
      <c r="AP644" s="747"/>
      <c r="AQ644" s="747"/>
      <c r="AR644" s="747"/>
      <c r="AS644" s="747"/>
      <c r="AT644" s="747"/>
      <c r="AU644" s="747"/>
      <c r="AV644" s="747"/>
      <c r="AW644" s="747"/>
      <c r="AX644" s="747"/>
    </row>
    <row r="645" spans="1:50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747"/>
      <c r="AO645" s="747"/>
      <c r="AP645" s="747"/>
      <c r="AQ645" s="747"/>
      <c r="AR645" s="747"/>
      <c r="AS645" s="747"/>
      <c r="AT645" s="747"/>
      <c r="AU645" s="747"/>
      <c r="AV645" s="747"/>
      <c r="AW645" s="747"/>
      <c r="AX645" s="747"/>
    </row>
    <row r="646" spans="1:50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747"/>
      <c r="AO646" s="747"/>
      <c r="AP646" s="747"/>
      <c r="AQ646" s="747"/>
      <c r="AR646" s="747"/>
      <c r="AS646" s="747"/>
      <c r="AT646" s="747"/>
      <c r="AU646" s="747"/>
      <c r="AV646" s="747"/>
      <c r="AW646" s="747"/>
      <c r="AX646" s="747"/>
    </row>
    <row r="647" spans="1:50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747"/>
      <c r="AO647" s="747"/>
      <c r="AP647" s="747"/>
      <c r="AQ647" s="747"/>
      <c r="AR647" s="747"/>
      <c r="AS647" s="747"/>
      <c r="AT647" s="747"/>
      <c r="AU647" s="747"/>
      <c r="AV647" s="747"/>
      <c r="AW647" s="747"/>
      <c r="AX647" s="747"/>
    </row>
    <row r="648" spans="1:50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747"/>
      <c r="AO648" s="747"/>
      <c r="AP648" s="747"/>
      <c r="AQ648" s="747"/>
      <c r="AR648" s="747"/>
      <c r="AS648" s="747"/>
      <c r="AT648" s="747"/>
      <c r="AU648" s="747"/>
      <c r="AV648" s="747"/>
      <c r="AW648" s="747"/>
      <c r="AX648" s="747"/>
    </row>
    <row r="649" spans="1:50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747"/>
      <c r="AO649" s="747"/>
      <c r="AP649" s="747"/>
      <c r="AQ649" s="747"/>
      <c r="AR649" s="747"/>
      <c r="AS649" s="747"/>
      <c r="AT649" s="747"/>
      <c r="AU649" s="747"/>
      <c r="AV649" s="747"/>
      <c r="AW649" s="747"/>
      <c r="AX649" s="747"/>
    </row>
    <row r="650" spans="1: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747"/>
      <c r="AO650" s="747"/>
      <c r="AP650" s="747"/>
      <c r="AQ650" s="747"/>
      <c r="AR650" s="747"/>
      <c r="AS650" s="747"/>
      <c r="AT650" s="747"/>
      <c r="AU650" s="747"/>
      <c r="AV650" s="747"/>
      <c r="AW650" s="747"/>
      <c r="AX650" s="747"/>
    </row>
    <row r="651" spans="1:50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747"/>
      <c r="AO651" s="747"/>
      <c r="AP651" s="747"/>
      <c r="AQ651" s="747"/>
      <c r="AR651" s="747"/>
      <c r="AS651" s="747"/>
      <c r="AT651" s="747"/>
      <c r="AU651" s="747"/>
      <c r="AV651" s="747"/>
      <c r="AW651" s="747"/>
      <c r="AX651" s="747"/>
    </row>
    <row r="652" spans="1:50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747"/>
      <c r="AO652" s="747"/>
      <c r="AP652" s="747"/>
      <c r="AQ652" s="747"/>
      <c r="AR652" s="747"/>
      <c r="AS652" s="747"/>
      <c r="AT652" s="747"/>
      <c r="AU652" s="747"/>
      <c r="AV652" s="747"/>
      <c r="AW652" s="747"/>
      <c r="AX652" s="747"/>
    </row>
    <row r="653" spans="1:50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747"/>
      <c r="AO653" s="747"/>
      <c r="AP653" s="747"/>
      <c r="AQ653" s="747"/>
      <c r="AR653" s="747"/>
      <c r="AS653" s="747"/>
      <c r="AT653" s="747"/>
      <c r="AU653" s="747"/>
      <c r="AV653" s="747"/>
      <c r="AW653" s="747"/>
      <c r="AX653" s="747"/>
    </row>
    <row r="654" spans="1:50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747"/>
      <c r="AO654" s="747"/>
      <c r="AP654" s="747"/>
      <c r="AQ654" s="747"/>
      <c r="AR654" s="747"/>
      <c r="AS654" s="747"/>
      <c r="AT654" s="747"/>
      <c r="AU654" s="747"/>
      <c r="AV654" s="747"/>
      <c r="AW654" s="747"/>
      <c r="AX654" s="747"/>
    </row>
    <row r="655" spans="1:50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747"/>
      <c r="AO655" s="747"/>
      <c r="AP655" s="747"/>
      <c r="AQ655" s="747"/>
      <c r="AR655" s="747"/>
      <c r="AS655" s="747"/>
      <c r="AT655" s="747"/>
      <c r="AU655" s="747"/>
      <c r="AV655" s="747"/>
      <c r="AW655" s="747"/>
      <c r="AX655" s="747"/>
    </row>
    <row r="656" spans="1:50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747"/>
      <c r="AO656" s="747"/>
      <c r="AP656" s="747"/>
      <c r="AQ656" s="747"/>
      <c r="AR656" s="747"/>
      <c r="AS656" s="747"/>
      <c r="AT656" s="747"/>
      <c r="AU656" s="747"/>
      <c r="AV656" s="747"/>
      <c r="AW656" s="747"/>
      <c r="AX656" s="747"/>
    </row>
    <row r="657" spans="1:50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747"/>
      <c r="AO657" s="747"/>
      <c r="AP657" s="747"/>
      <c r="AQ657" s="747"/>
      <c r="AR657" s="747"/>
      <c r="AS657" s="747"/>
      <c r="AT657" s="747"/>
      <c r="AU657" s="747"/>
      <c r="AV657" s="747"/>
      <c r="AW657" s="747"/>
      <c r="AX657" s="747"/>
    </row>
    <row r="658" spans="1:50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747"/>
      <c r="AO658" s="747"/>
      <c r="AP658" s="747"/>
      <c r="AQ658" s="747"/>
      <c r="AR658" s="747"/>
      <c r="AS658" s="747"/>
      <c r="AT658" s="747"/>
      <c r="AU658" s="747"/>
      <c r="AV658" s="747"/>
      <c r="AW658" s="747"/>
      <c r="AX658" s="747"/>
    </row>
    <row r="659" spans="1:50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747"/>
      <c r="AO659" s="747"/>
      <c r="AP659" s="747"/>
      <c r="AQ659" s="747"/>
      <c r="AR659" s="747"/>
      <c r="AS659" s="747"/>
      <c r="AT659" s="747"/>
      <c r="AU659" s="747"/>
      <c r="AV659" s="747"/>
      <c r="AW659" s="747"/>
      <c r="AX659" s="747"/>
    </row>
    <row r="660" spans="1:5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747"/>
      <c r="AO660" s="747"/>
      <c r="AP660" s="747"/>
      <c r="AQ660" s="747"/>
      <c r="AR660" s="747"/>
      <c r="AS660" s="747"/>
      <c r="AT660" s="747"/>
      <c r="AU660" s="747"/>
      <c r="AV660" s="747"/>
      <c r="AW660" s="747"/>
      <c r="AX660" s="747"/>
    </row>
    <row r="661" spans="1:50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747"/>
      <c r="AO661" s="747"/>
      <c r="AP661" s="747"/>
      <c r="AQ661" s="747"/>
      <c r="AR661" s="747"/>
      <c r="AS661" s="747"/>
      <c r="AT661" s="747"/>
      <c r="AU661" s="747"/>
      <c r="AV661" s="747"/>
      <c r="AW661" s="747"/>
      <c r="AX661" s="747"/>
    </row>
    <row r="662" spans="1:50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747"/>
      <c r="AO662" s="747"/>
      <c r="AP662" s="747"/>
      <c r="AQ662" s="747"/>
      <c r="AR662" s="747"/>
      <c r="AS662" s="747"/>
      <c r="AT662" s="747"/>
      <c r="AU662" s="747"/>
      <c r="AV662" s="747"/>
      <c r="AW662" s="747"/>
      <c r="AX662" s="747"/>
    </row>
    <row r="663" spans="1:50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747"/>
      <c r="AO663" s="747"/>
      <c r="AP663" s="747"/>
      <c r="AQ663" s="747"/>
      <c r="AR663" s="747"/>
      <c r="AS663" s="747"/>
      <c r="AT663" s="747"/>
      <c r="AU663" s="747"/>
      <c r="AV663" s="747"/>
      <c r="AW663" s="747"/>
      <c r="AX663" s="747"/>
    </row>
    <row r="664" spans="1:50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747"/>
      <c r="AO664" s="747"/>
      <c r="AP664" s="747"/>
      <c r="AQ664" s="747"/>
      <c r="AR664" s="747"/>
      <c r="AS664" s="747"/>
      <c r="AT664" s="747"/>
      <c r="AU664" s="747"/>
      <c r="AV664" s="747"/>
      <c r="AW664" s="747"/>
      <c r="AX664" s="747"/>
    </row>
    <row r="665" spans="1:50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747"/>
      <c r="AO665" s="747"/>
      <c r="AP665" s="747"/>
      <c r="AQ665" s="747"/>
      <c r="AR665" s="747"/>
      <c r="AS665" s="747"/>
      <c r="AT665" s="747"/>
      <c r="AU665" s="747"/>
      <c r="AV665" s="747"/>
      <c r="AW665" s="747"/>
      <c r="AX665" s="747"/>
    </row>
    <row r="666" spans="1:50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747"/>
      <c r="AO666" s="747"/>
      <c r="AP666" s="747"/>
      <c r="AQ666" s="747"/>
      <c r="AR666" s="747"/>
      <c r="AS666" s="747"/>
      <c r="AT666" s="747"/>
      <c r="AU666" s="747"/>
      <c r="AV666" s="747"/>
      <c r="AW666" s="747"/>
      <c r="AX666" s="747"/>
    </row>
    <row r="667" spans="1:50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747"/>
      <c r="AO667" s="747"/>
      <c r="AP667" s="747"/>
      <c r="AQ667" s="747"/>
      <c r="AR667" s="747"/>
      <c r="AS667" s="747"/>
      <c r="AT667" s="747"/>
      <c r="AU667" s="747"/>
      <c r="AV667" s="747"/>
      <c r="AW667" s="747"/>
      <c r="AX667" s="747"/>
    </row>
    <row r="668" spans="1:50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747"/>
      <c r="AO668" s="747"/>
      <c r="AP668" s="747"/>
      <c r="AQ668" s="747"/>
      <c r="AR668" s="747"/>
      <c r="AS668" s="747"/>
      <c r="AT668" s="747"/>
      <c r="AU668" s="747"/>
      <c r="AV668" s="747"/>
      <c r="AW668" s="747"/>
      <c r="AX668" s="747"/>
    </row>
    <row r="669" spans="1:50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747"/>
      <c r="AO669" s="747"/>
      <c r="AP669" s="747"/>
      <c r="AQ669" s="747"/>
      <c r="AR669" s="747"/>
      <c r="AS669" s="747"/>
      <c r="AT669" s="747"/>
      <c r="AU669" s="747"/>
      <c r="AV669" s="747"/>
      <c r="AW669" s="747"/>
      <c r="AX669" s="747"/>
    </row>
    <row r="670" spans="1:5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747"/>
      <c r="AO670" s="747"/>
      <c r="AP670" s="747"/>
      <c r="AQ670" s="747"/>
      <c r="AR670" s="747"/>
      <c r="AS670" s="747"/>
      <c r="AT670" s="747"/>
      <c r="AU670" s="747"/>
      <c r="AV670" s="747"/>
      <c r="AW670" s="747"/>
      <c r="AX670" s="747"/>
    </row>
    <row r="671" spans="1:50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747"/>
      <c r="AO671" s="747"/>
      <c r="AP671" s="747"/>
      <c r="AQ671" s="747"/>
      <c r="AR671" s="747"/>
      <c r="AS671" s="747"/>
      <c r="AT671" s="747"/>
      <c r="AU671" s="747"/>
      <c r="AV671" s="747"/>
      <c r="AW671" s="747"/>
      <c r="AX671" s="747"/>
    </row>
    <row r="672" spans="1:50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747"/>
      <c r="AO672" s="747"/>
      <c r="AP672" s="747"/>
      <c r="AQ672" s="747"/>
      <c r="AR672" s="747"/>
      <c r="AS672" s="747"/>
      <c r="AT672" s="747"/>
      <c r="AU672" s="747"/>
      <c r="AV672" s="747"/>
      <c r="AW672" s="747"/>
      <c r="AX672" s="747"/>
    </row>
    <row r="673" spans="1:50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747"/>
      <c r="AO673" s="747"/>
      <c r="AP673" s="747"/>
      <c r="AQ673" s="747"/>
      <c r="AR673" s="747"/>
      <c r="AS673" s="747"/>
      <c r="AT673" s="747"/>
      <c r="AU673" s="747"/>
      <c r="AV673" s="747"/>
      <c r="AW673" s="747"/>
      <c r="AX673" s="747"/>
    </row>
    <row r="674" spans="1:50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747"/>
      <c r="AO674" s="747"/>
      <c r="AP674" s="747"/>
      <c r="AQ674" s="747"/>
      <c r="AR674" s="747"/>
      <c r="AS674" s="747"/>
      <c r="AT674" s="747"/>
      <c r="AU674" s="747"/>
      <c r="AV674" s="747"/>
      <c r="AW674" s="747"/>
      <c r="AX674" s="747"/>
    </row>
    <row r="675" spans="1:50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747"/>
      <c r="AO675" s="747"/>
      <c r="AP675" s="747"/>
      <c r="AQ675" s="747"/>
      <c r="AR675" s="747"/>
      <c r="AS675" s="747"/>
      <c r="AT675" s="747"/>
      <c r="AU675" s="747"/>
      <c r="AV675" s="747"/>
      <c r="AW675" s="747"/>
      <c r="AX675" s="747"/>
    </row>
    <row r="676" spans="1:50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747"/>
      <c r="AO676" s="747"/>
      <c r="AP676" s="747"/>
      <c r="AQ676" s="747"/>
      <c r="AR676" s="747"/>
      <c r="AS676" s="747"/>
      <c r="AT676" s="747"/>
      <c r="AU676" s="747"/>
      <c r="AV676" s="747"/>
      <c r="AW676" s="747"/>
      <c r="AX676" s="747"/>
    </row>
    <row r="677" spans="1:50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747"/>
      <c r="AO677" s="747"/>
      <c r="AP677" s="747"/>
      <c r="AQ677" s="747"/>
      <c r="AR677" s="747"/>
      <c r="AS677" s="747"/>
      <c r="AT677" s="747"/>
      <c r="AU677" s="747"/>
      <c r="AV677" s="747"/>
      <c r="AW677" s="747"/>
      <c r="AX677" s="747"/>
    </row>
    <row r="678" spans="1:50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747"/>
      <c r="AO678" s="747"/>
      <c r="AP678" s="747"/>
      <c r="AQ678" s="747"/>
      <c r="AR678" s="747"/>
      <c r="AS678" s="747"/>
      <c r="AT678" s="747"/>
      <c r="AU678" s="747"/>
      <c r="AV678" s="747"/>
      <c r="AW678" s="747"/>
      <c r="AX678" s="747"/>
    </row>
    <row r="679" spans="1:50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747"/>
      <c r="AO679" s="747"/>
      <c r="AP679" s="747"/>
      <c r="AQ679" s="747"/>
      <c r="AR679" s="747"/>
      <c r="AS679" s="747"/>
      <c r="AT679" s="747"/>
      <c r="AU679" s="747"/>
      <c r="AV679" s="747"/>
      <c r="AW679" s="747"/>
      <c r="AX679" s="747"/>
    </row>
    <row r="680" spans="1:5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747"/>
      <c r="AO680" s="747"/>
      <c r="AP680" s="747"/>
      <c r="AQ680" s="747"/>
      <c r="AR680" s="747"/>
      <c r="AS680" s="747"/>
      <c r="AT680" s="747"/>
      <c r="AU680" s="747"/>
      <c r="AV680" s="747"/>
      <c r="AW680" s="747"/>
      <c r="AX680" s="747"/>
    </row>
    <row r="681" spans="1:50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747"/>
      <c r="AO681" s="747"/>
      <c r="AP681" s="747"/>
      <c r="AQ681" s="747"/>
      <c r="AR681" s="747"/>
      <c r="AS681" s="747"/>
      <c r="AT681" s="747"/>
      <c r="AU681" s="747"/>
      <c r="AV681" s="747"/>
      <c r="AW681" s="747"/>
      <c r="AX681" s="747"/>
    </row>
    <row r="682" spans="1:50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747"/>
      <c r="AO682" s="747"/>
      <c r="AP682" s="747"/>
      <c r="AQ682" s="747"/>
      <c r="AR682" s="747"/>
      <c r="AS682" s="747"/>
      <c r="AT682" s="747"/>
      <c r="AU682" s="747"/>
      <c r="AV682" s="747"/>
      <c r="AW682" s="747"/>
      <c r="AX682" s="747"/>
    </row>
    <row r="683" spans="1:50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747"/>
      <c r="AO683" s="747"/>
      <c r="AP683" s="747"/>
      <c r="AQ683" s="747"/>
      <c r="AR683" s="747"/>
      <c r="AS683" s="747"/>
      <c r="AT683" s="747"/>
      <c r="AU683" s="747"/>
      <c r="AV683" s="747"/>
      <c r="AW683" s="747"/>
      <c r="AX683" s="747"/>
    </row>
    <row r="684" spans="1:50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747"/>
      <c r="AO684" s="747"/>
      <c r="AP684" s="747"/>
      <c r="AQ684" s="747"/>
      <c r="AR684" s="747"/>
      <c r="AS684" s="747"/>
      <c r="AT684" s="747"/>
      <c r="AU684" s="747"/>
      <c r="AV684" s="747"/>
      <c r="AW684" s="747"/>
      <c r="AX684" s="747"/>
    </row>
    <row r="685" spans="1:50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747"/>
      <c r="AO685" s="747"/>
      <c r="AP685" s="747"/>
      <c r="AQ685" s="747"/>
      <c r="AR685" s="747"/>
      <c r="AS685" s="747"/>
      <c r="AT685" s="747"/>
      <c r="AU685" s="747"/>
      <c r="AV685" s="747"/>
      <c r="AW685" s="747"/>
      <c r="AX685" s="747"/>
    </row>
    <row r="686" spans="1:50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747"/>
      <c r="AO686" s="747"/>
      <c r="AP686" s="747"/>
      <c r="AQ686" s="747"/>
      <c r="AR686" s="747"/>
      <c r="AS686" s="747"/>
      <c r="AT686" s="747"/>
      <c r="AU686" s="747"/>
      <c r="AV686" s="747"/>
      <c r="AW686" s="747"/>
      <c r="AX686" s="747"/>
    </row>
    <row r="687" spans="1:50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747"/>
      <c r="AO687" s="747"/>
      <c r="AP687" s="747"/>
      <c r="AQ687" s="747"/>
      <c r="AR687" s="747"/>
      <c r="AS687" s="747"/>
      <c r="AT687" s="747"/>
      <c r="AU687" s="747"/>
      <c r="AV687" s="747"/>
      <c r="AW687" s="747"/>
      <c r="AX687" s="747"/>
    </row>
    <row r="688" spans="1:50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747"/>
      <c r="AO688" s="747"/>
      <c r="AP688" s="747"/>
      <c r="AQ688" s="747"/>
      <c r="AR688" s="747"/>
      <c r="AS688" s="747"/>
      <c r="AT688" s="747"/>
      <c r="AU688" s="747"/>
      <c r="AV688" s="747"/>
      <c r="AW688" s="747"/>
      <c r="AX688" s="747"/>
    </row>
    <row r="689" spans="1:50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747"/>
      <c r="AO689" s="747"/>
      <c r="AP689" s="747"/>
      <c r="AQ689" s="747"/>
      <c r="AR689" s="747"/>
      <c r="AS689" s="747"/>
      <c r="AT689" s="747"/>
      <c r="AU689" s="747"/>
      <c r="AV689" s="747"/>
      <c r="AW689" s="747"/>
      <c r="AX689" s="747"/>
    </row>
    <row r="690" spans="1:5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747"/>
      <c r="AO690" s="747"/>
      <c r="AP690" s="747"/>
      <c r="AQ690" s="747"/>
      <c r="AR690" s="747"/>
      <c r="AS690" s="747"/>
      <c r="AT690" s="747"/>
      <c r="AU690" s="747"/>
      <c r="AV690" s="747"/>
      <c r="AW690" s="747"/>
      <c r="AX690" s="747"/>
    </row>
    <row r="691" spans="1:50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747"/>
      <c r="AO691" s="747"/>
      <c r="AP691" s="747"/>
      <c r="AQ691" s="747"/>
      <c r="AR691" s="747"/>
      <c r="AS691" s="747"/>
      <c r="AT691" s="747"/>
      <c r="AU691" s="747"/>
      <c r="AV691" s="747"/>
      <c r="AW691" s="747"/>
      <c r="AX691" s="747"/>
    </row>
    <row r="692" spans="1:50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747"/>
      <c r="AO692" s="747"/>
      <c r="AP692" s="747"/>
      <c r="AQ692" s="747"/>
      <c r="AR692" s="747"/>
      <c r="AS692" s="747"/>
      <c r="AT692" s="747"/>
      <c r="AU692" s="747"/>
      <c r="AV692" s="747"/>
      <c r="AW692" s="747"/>
      <c r="AX692" s="747"/>
    </row>
    <row r="693" spans="1:50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747"/>
      <c r="AO693" s="747"/>
      <c r="AP693" s="747"/>
      <c r="AQ693" s="747"/>
      <c r="AR693" s="747"/>
      <c r="AS693" s="747"/>
      <c r="AT693" s="747"/>
      <c r="AU693" s="747"/>
      <c r="AV693" s="747"/>
      <c r="AW693" s="747"/>
      <c r="AX693" s="747"/>
    </row>
    <row r="694" spans="1:50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747"/>
      <c r="AO694" s="747"/>
      <c r="AP694" s="747"/>
      <c r="AQ694" s="747"/>
      <c r="AR694" s="747"/>
      <c r="AS694" s="747"/>
      <c r="AT694" s="747"/>
      <c r="AU694" s="747"/>
      <c r="AV694" s="747"/>
      <c r="AW694" s="747"/>
      <c r="AX694" s="747"/>
    </row>
    <row r="695" spans="1:50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747"/>
      <c r="AO695" s="747"/>
      <c r="AP695" s="747"/>
      <c r="AQ695" s="747"/>
      <c r="AR695" s="747"/>
      <c r="AS695" s="747"/>
      <c r="AT695" s="747"/>
      <c r="AU695" s="747"/>
      <c r="AV695" s="747"/>
      <c r="AW695" s="747"/>
      <c r="AX695" s="747"/>
    </row>
    <row r="696" spans="1:50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747"/>
      <c r="AO696" s="747"/>
      <c r="AP696" s="747"/>
      <c r="AQ696" s="747"/>
      <c r="AR696" s="747"/>
      <c r="AS696" s="747"/>
      <c r="AT696" s="747"/>
      <c r="AU696" s="747"/>
      <c r="AV696" s="747"/>
      <c r="AW696" s="747"/>
      <c r="AX696" s="747"/>
    </row>
    <row r="697" spans="1:50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747"/>
      <c r="AO697" s="747"/>
      <c r="AP697" s="747"/>
      <c r="AQ697" s="747"/>
      <c r="AR697" s="747"/>
      <c r="AS697" s="747"/>
      <c r="AT697" s="747"/>
      <c r="AU697" s="747"/>
      <c r="AV697" s="747"/>
      <c r="AW697" s="747"/>
      <c r="AX697" s="747"/>
    </row>
    <row r="698" spans="1:50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747"/>
      <c r="AO698" s="747"/>
      <c r="AP698" s="747"/>
      <c r="AQ698" s="747"/>
      <c r="AR698" s="747"/>
      <c r="AS698" s="747"/>
      <c r="AT698" s="747"/>
      <c r="AU698" s="747"/>
      <c r="AV698" s="747"/>
      <c r="AW698" s="747"/>
      <c r="AX698" s="747"/>
    </row>
    <row r="699" spans="1:50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747"/>
      <c r="AO699" s="747"/>
      <c r="AP699" s="747"/>
      <c r="AQ699" s="747"/>
      <c r="AR699" s="747"/>
      <c r="AS699" s="747"/>
      <c r="AT699" s="747"/>
      <c r="AU699" s="747"/>
      <c r="AV699" s="747"/>
      <c r="AW699" s="747"/>
      <c r="AX699" s="747"/>
    </row>
    <row r="700" spans="1:5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747"/>
      <c r="AO700" s="747"/>
      <c r="AP700" s="747"/>
      <c r="AQ700" s="747"/>
      <c r="AR700" s="747"/>
      <c r="AS700" s="747"/>
      <c r="AT700" s="747"/>
      <c r="AU700" s="747"/>
      <c r="AV700" s="747"/>
      <c r="AW700" s="747"/>
      <c r="AX700" s="747"/>
    </row>
    <row r="701" spans="1:50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747"/>
      <c r="AO701" s="747"/>
      <c r="AP701" s="747"/>
      <c r="AQ701" s="747"/>
      <c r="AR701" s="747"/>
      <c r="AS701" s="747"/>
      <c r="AT701" s="747"/>
      <c r="AU701" s="747"/>
      <c r="AV701" s="747"/>
      <c r="AW701" s="747"/>
      <c r="AX701" s="747"/>
    </row>
    <row r="702" spans="1:50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747"/>
      <c r="AO702" s="747"/>
      <c r="AP702" s="747"/>
      <c r="AQ702" s="747"/>
      <c r="AR702" s="747"/>
      <c r="AS702" s="747"/>
      <c r="AT702" s="747"/>
      <c r="AU702" s="747"/>
      <c r="AV702" s="747"/>
      <c r="AW702" s="747"/>
      <c r="AX702" s="747"/>
    </row>
    <row r="703" spans="1:50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747"/>
      <c r="AO703" s="747"/>
      <c r="AP703" s="747"/>
      <c r="AQ703" s="747"/>
      <c r="AR703" s="747"/>
      <c r="AS703" s="747"/>
      <c r="AT703" s="747"/>
      <c r="AU703" s="747"/>
      <c r="AV703" s="747"/>
      <c r="AW703" s="747"/>
      <c r="AX703" s="747"/>
    </row>
    <row r="704" spans="1:50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747"/>
      <c r="AO704" s="747"/>
      <c r="AP704" s="747"/>
      <c r="AQ704" s="747"/>
      <c r="AR704" s="747"/>
      <c r="AS704" s="747"/>
      <c r="AT704" s="747"/>
      <c r="AU704" s="747"/>
      <c r="AV704" s="747"/>
      <c r="AW704" s="747"/>
      <c r="AX704" s="747"/>
    </row>
    <row r="705" spans="1:50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747"/>
      <c r="AO705" s="747"/>
      <c r="AP705" s="747"/>
      <c r="AQ705" s="747"/>
      <c r="AR705" s="747"/>
      <c r="AS705" s="747"/>
      <c r="AT705" s="747"/>
      <c r="AU705" s="747"/>
      <c r="AV705" s="747"/>
      <c r="AW705" s="747"/>
      <c r="AX705" s="747"/>
    </row>
    <row r="706" spans="1:50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747"/>
      <c r="AO706" s="747"/>
      <c r="AP706" s="747"/>
      <c r="AQ706" s="747"/>
      <c r="AR706" s="747"/>
      <c r="AS706" s="747"/>
      <c r="AT706" s="747"/>
      <c r="AU706" s="747"/>
      <c r="AV706" s="747"/>
      <c r="AW706" s="747"/>
      <c r="AX706" s="747"/>
    </row>
    <row r="707" spans="1:50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747"/>
      <c r="AO707" s="747"/>
      <c r="AP707" s="747"/>
      <c r="AQ707" s="747"/>
      <c r="AR707" s="747"/>
      <c r="AS707" s="747"/>
      <c r="AT707" s="747"/>
      <c r="AU707" s="747"/>
      <c r="AV707" s="747"/>
      <c r="AW707" s="747"/>
      <c r="AX707" s="747"/>
    </row>
    <row r="708" spans="1:50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747"/>
      <c r="AO708" s="747"/>
      <c r="AP708" s="747"/>
      <c r="AQ708" s="747"/>
      <c r="AR708" s="747"/>
      <c r="AS708" s="747"/>
      <c r="AT708" s="747"/>
      <c r="AU708" s="747"/>
      <c r="AV708" s="747"/>
      <c r="AW708" s="747"/>
      <c r="AX708" s="747"/>
    </row>
    <row r="709" spans="1:50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747"/>
      <c r="AO709" s="747"/>
      <c r="AP709" s="747"/>
      <c r="AQ709" s="747"/>
      <c r="AR709" s="747"/>
      <c r="AS709" s="747"/>
      <c r="AT709" s="747"/>
      <c r="AU709" s="747"/>
      <c r="AV709" s="747"/>
      <c r="AW709" s="747"/>
      <c r="AX709" s="747"/>
    </row>
    <row r="710" spans="1:5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747"/>
      <c r="AO710" s="747"/>
      <c r="AP710" s="747"/>
      <c r="AQ710" s="747"/>
      <c r="AR710" s="747"/>
      <c r="AS710" s="747"/>
      <c r="AT710" s="747"/>
      <c r="AU710" s="747"/>
      <c r="AV710" s="747"/>
      <c r="AW710" s="747"/>
      <c r="AX710" s="747"/>
    </row>
    <row r="711" spans="1:50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747"/>
      <c r="AO711" s="747"/>
      <c r="AP711" s="747"/>
      <c r="AQ711" s="747"/>
      <c r="AR711" s="747"/>
      <c r="AS711" s="747"/>
      <c r="AT711" s="747"/>
      <c r="AU711" s="747"/>
      <c r="AV711" s="747"/>
      <c r="AW711" s="747"/>
      <c r="AX711" s="747"/>
    </row>
    <row r="712" spans="1:50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747"/>
      <c r="AO712" s="747"/>
      <c r="AP712" s="747"/>
      <c r="AQ712" s="747"/>
      <c r="AR712" s="747"/>
      <c r="AS712" s="747"/>
      <c r="AT712" s="747"/>
      <c r="AU712" s="747"/>
      <c r="AV712" s="747"/>
      <c r="AW712" s="747"/>
      <c r="AX712" s="747"/>
    </row>
    <row r="713" spans="1:50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747"/>
      <c r="AO713" s="747"/>
      <c r="AP713" s="747"/>
      <c r="AQ713" s="747"/>
      <c r="AR713" s="747"/>
      <c r="AS713" s="747"/>
      <c r="AT713" s="747"/>
      <c r="AU713" s="747"/>
      <c r="AV713" s="747"/>
      <c r="AW713" s="747"/>
      <c r="AX713" s="747"/>
    </row>
    <row r="714" spans="1:50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747"/>
      <c r="AO714" s="747"/>
      <c r="AP714" s="747"/>
      <c r="AQ714" s="747"/>
      <c r="AR714" s="747"/>
      <c r="AS714" s="747"/>
      <c r="AT714" s="747"/>
      <c r="AU714" s="747"/>
      <c r="AV714" s="747"/>
      <c r="AW714" s="747"/>
      <c r="AX714" s="747"/>
    </row>
    <row r="715" spans="1:50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747"/>
      <c r="AO715" s="747"/>
      <c r="AP715" s="747"/>
      <c r="AQ715" s="747"/>
      <c r="AR715" s="747"/>
      <c r="AS715" s="747"/>
      <c r="AT715" s="747"/>
      <c r="AU715" s="747"/>
      <c r="AV715" s="747"/>
      <c r="AW715" s="747"/>
      <c r="AX715" s="747"/>
    </row>
    <row r="716" spans="1:50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747"/>
      <c r="AO716" s="747"/>
      <c r="AP716" s="747"/>
      <c r="AQ716" s="747"/>
      <c r="AR716" s="747"/>
      <c r="AS716" s="747"/>
      <c r="AT716" s="747"/>
      <c r="AU716" s="747"/>
      <c r="AV716" s="747"/>
      <c r="AW716" s="747"/>
      <c r="AX716" s="747"/>
    </row>
    <row r="717" spans="1:50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747"/>
      <c r="AO717" s="747"/>
      <c r="AP717" s="747"/>
      <c r="AQ717" s="747"/>
      <c r="AR717" s="747"/>
      <c r="AS717" s="747"/>
      <c r="AT717" s="747"/>
      <c r="AU717" s="747"/>
      <c r="AV717" s="747"/>
      <c r="AW717" s="747"/>
      <c r="AX717" s="747"/>
    </row>
    <row r="718" spans="1:50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747"/>
      <c r="AO718" s="747"/>
      <c r="AP718" s="747"/>
      <c r="AQ718" s="747"/>
      <c r="AR718" s="747"/>
      <c r="AS718" s="747"/>
      <c r="AT718" s="747"/>
      <c r="AU718" s="747"/>
      <c r="AV718" s="747"/>
      <c r="AW718" s="747"/>
      <c r="AX718" s="747"/>
    </row>
    <row r="719" spans="1:50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747"/>
      <c r="AO719" s="747"/>
      <c r="AP719" s="747"/>
      <c r="AQ719" s="747"/>
      <c r="AR719" s="747"/>
      <c r="AS719" s="747"/>
      <c r="AT719" s="747"/>
      <c r="AU719" s="747"/>
      <c r="AV719" s="747"/>
      <c r="AW719" s="747"/>
      <c r="AX719" s="747"/>
    </row>
    <row r="720" spans="1:5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747"/>
      <c r="AO720" s="747"/>
      <c r="AP720" s="747"/>
      <c r="AQ720" s="747"/>
      <c r="AR720" s="747"/>
      <c r="AS720" s="747"/>
      <c r="AT720" s="747"/>
      <c r="AU720" s="747"/>
      <c r="AV720" s="747"/>
      <c r="AW720" s="747"/>
      <c r="AX720" s="747"/>
    </row>
    <row r="721" spans="1:50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747"/>
      <c r="AO721" s="747"/>
      <c r="AP721" s="747"/>
      <c r="AQ721" s="747"/>
      <c r="AR721" s="747"/>
      <c r="AS721" s="747"/>
      <c r="AT721" s="747"/>
      <c r="AU721" s="747"/>
      <c r="AV721" s="747"/>
      <c r="AW721" s="747"/>
      <c r="AX721" s="747"/>
    </row>
    <row r="722" spans="1:50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747"/>
      <c r="AO722" s="747"/>
      <c r="AP722" s="747"/>
      <c r="AQ722" s="747"/>
      <c r="AR722" s="747"/>
      <c r="AS722" s="747"/>
      <c r="AT722" s="747"/>
      <c r="AU722" s="747"/>
      <c r="AV722" s="747"/>
      <c r="AW722" s="747"/>
      <c r="AX722" s="747"/>
    </row>
    <row r="723" spans="1:50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747"/>
      <c r="AO723" s="747"/>
      <c r="AP723" s="747"/>
      <c r="AQ723" s="747"/>
      <c r="AR723" s="747"/>
      <c r="AS723" s="747"/>
      <c r="AT723" s="747"/>
      <c r="AU723" s="747"/>
      <c r="AV723" s="747"/>
      <c r="AW723" s="747"/>
      <c r="AX723" s="747"/>
    </row>
    <row r="724" spans="1:50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747"/>
      <c r="AO724" s="747"/>
      <c r="AP724" s="747"/>
      <c r="AQ724" s="747"/>
      <c r="AR724" s="747"/>
      <c r="AS724" s="747"/>
      <c r="AT724" s="747"/>
      <c r="AU724" s="747"/>
      <c r="AV724" s="747"/>
      <c r="AW724" s="747"/>
      <c r="AX724" s="747"/>
    </row>
    <row r="725" spans="1:50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747"/>
      <c r="AO725" s="747"/>
      <c r="AP725" s="747"/>
      <c r="AQ725" s="747"/>
      <c r="AR725" s="747"/>
      <c r="AS725" s="747"/>
      <c r="AT725" s="747"/>
      <c r="AU725" s="747"/>
      <c r="AV725" s="747"/>
      <c r="AW725" s="747"/>
      <c r="AX725" s="747"/>
    </row>
    <row r="726" spans="1:50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747"/>
      <c r="AO726" s="747"/>
      <c r="AP726" s="747"/>
      <c r="AQ726" s="747"/>
      <c r="AR726" s="747"/>
      <c r="AS726" s="747"/>
      <c r="AT726" s="747"/>
      <c r="AU726" s="747"/>
      <c r="AV726" s="747"/>
      <c r="AW726" s="747"/>
      <c r="AX726" s="747"/>
    </row>
    <row r="727" spans="1:50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747"/>
      <c r="AO727" s="747"/>
      <c r="AP727" s="747"/>
      <c r="AQ727" s="747"/>
      <c r="AR727" s="747"/>
      <c r="AS727" s="747"/>
      <c r="AT727" s="747"/>
      <c r="AU727" s="747"/>
      <c r="AV727" s="747"/>
      <c r="AW727" s="747"/>
      <c r="AX727" s="747"/>
    </row>
    <row r="728" spans="1:50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747"/>
      <c r="AO728" s="747"/>
      <c r="AP728" s="747"/>
      <c r="AQ728" s="747"/>
      <c r="AR728" s="747"/>
      <c r="AS728" s="747"/>
      <c r="AT728" s="747"/>
      <c r="AU728" s="747"/>
      <c r="AV728" s="747"/>
      <c r="AW728" s="747"/>
      <c r="AX728" s="747"/>
    </row>
    <row r="729" spans="1:50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747"/>
      <c r="AO729" s="747"/>
      <c r="AP729" s="747"/>
      <c r="AQ729" s="747"/>
      <c r="AR729" s="747"/>
      <c r="AS729" s="747"/>
      <c r="AT729" s="747"/>
      <c r="AU729" s="747"/>
      <c r="AV729" s="747"/>
      <c r="AW729" s="747"/>
      <c r="AX729" s="747"/>
    </row>
    <row r="730" spans="1:5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747"/>
      <c r="AO730" s="747"/>
      <c r="AP730" s="747"/>
      <c r="AQ730" s="747"/>
      <c r="AR730" s="747"/>
      <c r="AS730" s="747"/>
      <c r="AT730" s="747"/>
      <c r="AU730" s="747"/>
      <c r="AV730" s="747"/>
      <c r="AW730" s="747"/>
      <c r="AX730" s="747"/>
    </row>
    <row r="731" spans="1:50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747"/>
      <c r="AO731" s="747"/>
      <c r="AP731" s="747"/>
      <c r="AQ731" s="747"/>
      <c r="AR731" s="747"/>
      <c r="AS731" s="747"/>
      <c r="AT731" s="747"/>
      <c r="AU731" s="747"/>
      <c r="AV731" s="747"/>
      <c r="AW731" s="747"/>
      <c r="AX731" s="747"/>
    </row>
    <row r="732" spans="1:50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747"/>
      <c r="AO732" s="747"/>
      <c r="AP732" s="747"/>
      <c r="AQ732" s="747"/>
      <c r="AR732" s="747"/>
      <c r="AS732" s="747"/>
      <c r="AT732" s="747"/>
      <c r="AU732" s="747"/>
      <c r="AV732" s="747"/>
      <c r="AW732" s="747"/>
      <c r="AX732" s="747"/>
    </row>
    <row r="733" spans="1:50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747"/>
      <c r="AO733" s="747"/>
      <c r="AP733" s="747"/>
      <c r="AQ733" s="747"/>
      <c r="AR733" s="747"/>
      <c r="AS733" s="747"/>
      <c r="AT733" s="747"/>
      <c r="AU733" s="747"/>
      <c r="AV733" s="747"/>
      <c r="AW733" s="747"/>
      <c r="AX733" s="747"/>
    </row>
    <row r="734" spans="1:50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747"/>
      <c r="AO734" s="747"/>
      <c r="AP734" s="747"/>
      <c r="AQ734" s="747"/>
      <c r="AR734" s="747"/>
      <c r="AS734" s="747"/>
      <c r="AT734" s="747"/>
      <c r="AU734" s="747"/>
      <c r="AV734" s="747"/>
      <c r="AW734" s="747"/>
      <c r="AX734" s="747"/>
    </row>
    <row r="735" spans="1:50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747"/>
      <c r="AO735" s="747"/>
      <c r="AP735" s="747"/>
      <c r="AQ735" s="747"/>
      <c r="AR735" s="747"/>
      <c r="AS735" s="747"/>
      <c r="AT735" s="747"/>
      <c r="AU735" s="747"/>
      <c r="AV735" s="747"/>
      <c r="AW735" s="747"/>
      <c r="AX735" s="747"/>
    </row>
    <row r="736" spans="1:50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747"/>
      <c r="AO736" s="747"/>
      <c r="AP736" s="747"/>
      <c r="AQ736" s="747"/>
      <c r="AR736" s="747"/>
      <c r="AS736" s="747"/>
      <c r="AT736" s="747"/>
      <c r="AU736" s="747"/>
      <c r="AV736" s="747"/>
      <c r="AW736" s="747"/>
      <c r="AX736" s="747"/>
    </row>
    <row r="737" spans="1:50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747"/>
      <c r="AO737" s="747"/>
      <c r="AP737" s="747"/>
      <c r="AQ737" s="747"/>
      <c r="AR737" s="747"/>
      <c r="AS737" s="747"/>
      <c r="AT737" s="747"/>
      <c r="AU737" s="747"/>
      <c r="AV737" s="747"/>
      <c r="AW737" s="747"/>
      <c r="AX737" s="747"/>
    </row>
    <row r="738" spans="1:50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747"/>
      <c r="AO738" s="747"/>
      <c r="AP738" s="747"/>
      <c r="AQ738" s="747"/>
      <c r="AR738" s="747"/>
      <c r="AS738" s="747"/>
      <c r="AT738" s="747"/>
      <c r="AU738" s="747"/>
      <c r="AV738" s="747"/>
      <c r="AW738" s="747"/>
      <c r="AX738" s="747"/>
    </row>
    <row r="739" spans="1:50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747"/>
      <c r="AO739" s="747"/>
      <c r="AP739" s="747"/>
      <c r="AQ739" s="747"/>
      <c r="AR739" s="747"/>
      <c r="AS739" s="747"/>
      <c r="AT739" s="747"/>
      <c r="AU739" s="747"/>
      <c r="AV739" s="747"/>
      <c r="AW739" s="747"/>
      <c r="AX739" s="747"/>
    </row>
    <row r="740" spans="1:5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747"/>
      <c r="AO740" s="747"/>
      <c r="AP740" s="747"/>
      <c r="AQ740" s="747"/>
      <c r="AR740" s="747"/>
      <c r="AS740" s="747"/>
      <c r="AT740" s="747"/>
      <c r="AU740" s="747"/>
      <c r="AV740" s="747"/>
      <c r="AW740" s="747"/>
      <c r="AX740" s="747"/>
    </row>
    <row r="741" spans="1:50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747"/>
      <c r="AO741" s="747"/>
      <c r="AP741" s="747"/>
      <c r="AQ741" s="747"/>
      <c r="AR741" s="747"/>
      <c r="AS741" s="747"/>
      <c r="AT741" s="747"/>
      <c r="AU741" s="747"/>
      <c r="AV741" s="747"/>
      <c r="AW741" s="747"/>
      <c r="AX741" s="747"/>
    </row>
    <row r="742" spans="1:50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747"/>
      <c r="AO742" s="747"/>
      <c r="AP742" s="747"/>
      <c r="AQ742" s="747"/>
      <c r="AR742" s="747"/>
      <c r="AS742" s="747"/>
      <c r="AT742" s="747"/>
      <c r="AU742" s="747"/>
      <c r="AV742" s="747"/>
      <c r="AW742" s="747"/>
      <c r="AX742" s="747"/>
    </row>
    <row r="743" spans="1:50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747"/>
      <c r="AO743" s="747"/>
      <c r="AP743" s="747"/>
      <c r="AQ743" s="747"/>
      <c r="AR743" s="747"/>
      <c r="AS743" s="747"/>
      <c r="AT743" s="747"/>
      <c r="AU743" s="747"/>
      <c r="AV743" s="747"/>
      <c r="AW743" s="747"/>
      <c r="AX743" s="747"/>
    </row>
    <row r="744" spans="1:50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747"/>
      <c r="AO744" s="747"/>
      <c r="AP744" s="747"/>
      <c r="AQ744" s="747"/>
      <c r="AR744" s="747"/>
      <c r="AS744" s="747"/>
      <c r="AT744" s="747"/>
      <c r="AU744" s="747"/>
      <c r="AV744" s="747"/>
      <c r="AW744" s="747"/>
      <c r="AX744" s="747"/>
    </row>
    <row r="745" spans="1:50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747"/>
      <c r="AO745" s="747"/>
      <c r="AP745" s="747"/>
      <c r="AQ745" s="747"/>
      <c r="AR745" s="747"/>
      <c r="AS745" s="747"/>
      <c r="AT745" s="747"/>
      <c r="AU745" s="747"/>
      <c r="AV745" s="747"/>
      <c r="AW745" s="747"/>
      <c r="AX745" s="747"/>
    </row>
    <row r="746" spans="1:50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747"/>
      <c r="AO746" s="747"/>
      <c r="AP746" s="747"/>
      <c r="AQ746" s="747"/>
      <c r="AR746" s="747"/>
      <c r="AS746" s="747"/>
      <c r="AT746" s="747"/>
      <c r="AU746" s="747"/>
      <c r="AV746" s="747"/>
      <c r="AW746" s="747"/>
      <c r="AX746" s="747"/>
    </row>
    <row r="747" spans="1:50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747"/>
      <c r="AO747" s="747"/>
      <c r="AP747" s="747"/>
      <c r="AQ747" s="747"/>
      <c r="AR747" s="747"/>
      <c r="AS747" s="747"/>
      <c r="AT747" s="747"/>
      <c r="AU747" s="747"/>
      <c r="AV747" s="747"/>
      <c r="AW747" s="747"/>
      <c r="AX747" s="747"/>
    </row>
    <row r="748" spans="1:50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747"/>
      <c r="AO748" s="747"/>
      <c r="AP748" s="747"/>
      <c r="AQ748" s="747"/>
      <c r="AR748" s="747"/>
      <c r="AS748" s="747"/>
      <c r="AT748" s="747"/>
      <c r="AU748" s="747"/>
      <c r="AV748" s="747"/>
      <c r="AW748" s="747"/>
      <c r="AX748" s="747"/>
    </row>
    <row r="749" spans="1:50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747"/>
      <c r="AO749" s="747"/>
      <c r="AP749" s="747"/>
      <c r="AQ749" s="747"/>
      <c r="AR749" s="747"/>
      <c r="AS749" s="747"/>
      <c r="AT749" s="747"/>
      <c r="AU749" s="747"/>
      <c r="AV749" s="747"/>
      <c r="AW749" s="747"/>
      <c r="AX749" s="747"/>
    </row>
    <row r="750" spans="1: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747"/>
      <c r="AO750" s="747"/>
      <c r="AP750" s="747"/>
      <c r="AQ750" s="747"/>
      <c r="AR750" s="747"/>
      <c r="AS750" s="747"/>
      <c r="AT750" s="747"/>
      <c r="AU750" s="747"/>
      <c r="AV750" s="747"/>
      <c r="AW750" s="747"/>
      <c r="AX750" s="747"/>
    </row>
    <row r="751" spans="1:50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747"/>
      <c r="AO751" s="747"/>
      <c r="AP751" s="747"/>
      <c r="AQ751" s="747"/>
      <c r="AR751" s="747"/>
      <c r="AS751" s="747"/>
      <c r="AT751" s="747"/>
      <c r="AU751" s="747"/>
      <c r="AV751" s="747"/>
      <c r="AW751" s="747"/>
      <c r="AX751" s="747"/>
    </row>
    <row r="752" spans="1:50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747"/>
      <c r="AO752" s="747"/>
      <c r="AP752" s="747"/>
      <c r="AQ752" s="747"/>
      <c r="AR752" s="747"/>
      <c r="AS752" s="747"/>
      <c r="AT752" s="747"/>
      <c r="AU752" s="747"/>
      <c r="AV752" s="747"/>
      <c r="AW752" s="747"/>
      <c r="AX752" s="747"/>
    </row>
    <row r="753" spans="1:50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747"/>
      <c r="AO753" s="747"/>
      <c r="AP753" s="747"/>
      <c r="AQ753" s="747"/>
      <c r="AR753" s="747"/>
      <c r="AS753" s="747"/>
      <c r="AT753" s="747"/>
      <c r="AU753" s="747"/>
      <c r="AV753" s="747"/>
      <c r="AW753" s="747"/>
      <c r="AX753" s="747"/>
    </row>
    <row r="754" spans="1:50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747"/>
      <c r="AO754" s="747"/>
      <c r="AP754" s="747"/>
      <c r="AQ754" s="747"/>
      <c r="AR754" s="747"/>
      <c r="AS754" s="747"/>
      <c r="AT754" s="747"/>
      <c r="AU754" s="747"/>
      <c r="AV754" s="747"/>
      <c r="AW754" s="747"/>
      <c r="AX754" s="747"/>
    </row>
    <row r="755" spans="1:50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747"/>
      <c r="AO755" s="747"/>
      <c r="AP755" s="747"/>
      <c r="AQ755" s="747"/>
      <c r="AR755" s="747"/>
      <c r="AS755" s="747"/>
      <c r="AT755" s="747"/>
      <c r="AU755" s="747"/>
      <c r="AV755" s="747"/>
      <c r="AW755" s="747"/>
      <c r="AX755" s="747"/>
    </row>
    <row r="756" spans="1:50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747"/>
      <c r="AO756" s="747"/>
      <c r="AP756" s="747"/>
      <c r="AQ756" s="747"/>
      <c r="AR756" s="747"/>
      <c r="AS756" s="747"/>
      <c r="AT756" s="747"/>
      <c r="AU756" s="747"/>
      <c r="AV756" s="747"/>
      <c r="AW756" s="747"/>
      <c r="AX756" s="747"/>
    </row>
    <row r="757" spans="1:50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747"/>
      <c r="AO757" s="747"/>
      <c r="AP757" s="747"/>
      <c r="AQ757" s="747"/>
      <c r="AR757" s="747"/>
      <c r="AS757" s="747"/>
      <c r="AT757" s="747"/>
      <c r="AU757" s="747"/>
      <c r="AV757" s="747"/>
      <c r="AW757" s="747"/>
      <c r="AX757" s="747"/>
    </row>
    <row r="758" spans="1:50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747"/>
      <c r="AO758" s="747"/>
      <c r="AP758" s="747"/>
      <c r="AQ758" s="747"/>
      <c r="AR758" s="747"/>
      <c r="AS758" s="747"/>
      <c r="AT758" s="747"/>
      <c r="AU758" s="747"/>
      <c r="AV758" s="747"/>
      <c r="AW758" s="747"/>
      <c r="AX758" s="747"/>
    </row>
    <row r="759" spans="1:50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747"/>
      <c r="AO759" s="747"/>
      <c r="AP759" s="747"/>
      <c r="AQ759" s="747"/>
      <c r="AR759" s="747"/>
      <c r="AS759" s="747"/>
      <c r="AT759" s="747"/>
      <c r="AU759" s="747"/>
      <c r="AV759" s="747"/>
      <c r="AW759" s="747"/>
      <c r="AX759" s="747"/>
    </row>
    <row r="760" spans="1:5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747"/>
      <c r="AO760" s="747"/>
      <c r="AP760" s="747"/>
      <c r="AQ760" s="747"/>
      <c r="AR760" s="747"/>
      <c r="AS760" s="747"/>
      <c r="AT760" s="747"/>
      <c r="AU760" s="747"/>
      <c r="AV760" s="747"/>
      <c r="AW760" s="747"/>
      <c r="AX760" s="747"/>
    </row>
    <row r="761" spans="1:50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747"/>
      <c r="AO761" s="747"/>
      <c r="AP761" s="747"/>
      <c r="AQ761" s="747"/>
      <c r="AR761" s="747"/>
      <c r="AS761" s="747"/>
      <c r="AT761" s="747"/>
      <c r="AU761" s="747"/>
      <c r="AV761" s="747"/>
      <c r="AW761" s="747"/>
      <c r="AX761" s="747"/>
    </row>
    <row r="762" spans="1:50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747"/>
      <c r="AO762" s="747"/>
      <c r="AP762" s="747"/>
      <c r="AQ762" s="747"/>
      <c r="AR762" s="747"/>
      <c r="AS762" s="747"/>
      <c r="AT762" s="747"/>
      <c r="AU762" s="747"/>
      <c r="AV762" s="747"/>
      <c r="AW762" s="747"/>
      <c r="AX762" s="747"/>
    </row>
    <row r="763" spans="1:50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747"/>
      <c r="AO763" s="747"/>
      <c r="AP763" s="747"/>
      <c r="AQ763" s="747"/>
      <c r="AR763" s="747"/>
      <c r="AS763" s="747"/>
      <c r="AT763" s="747"/>
      <c r="AU763" s="747"/>
      <c r="AV763" s="747"/>
      <c r="AW763" s="747"/>
      <c r="AX763" s="747"/>
    </row>
    <row r="764" spans="1:50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747"/>
      <c r="AO764" s="747"/>
      <c r="AP764" s="747"/>
      <c r="AQ764" s="747"/>
      <c r="AR764" s="747"/>
      <c r="AS764" s="747"/>
      <c r="AT764" s="747"/>
      <c r="AU764" s="747"/>
      <c r="AV764" s="747"/>
      <c r="AW764" s="747"/>
      <c r="AX764" s="747"/>
    </row>
    <row r="765" spans="1:50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747"/>
      <c r="AO765" s="747"/>
      <c r="AP765" s="747"/>
      <c r="AQ765" s="747"/>
      <c r="AR765" s="747"/>
      <c r="AS765" s="747"/>
      <c r="AT765" s="747"/>
      <c r="AU765" s="747"/>
      <c r="AV765" s="747"/>
      <c r="AW765" s="747"/>
      <c r="AX765" s="747"/>
    </row>
    <row r="766" spans="1:50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747"/>
      <c r="AO766" s="747"/>
      <c r="AP766" s="747"/>
      <c r="AQ766" s="747"/>
      <c r="AR766" s="747"/>
      <c r="AS766" s="747"/>
      <c r="AT766" s="747"/>
      <c r="AU766" s="747"/>
      <c r="AV766" s="747"/>
      <c r="AW766" s="747"/>
      <c r="AX766" s="747"/>
    </row>
    <row r="767" spans="1:50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747"/>
      <c r="AO767" s="747"/>
      <c r="AP767" s="747"/>
      <c r="AQ767" s="747"/>
      <c r="AR767" s="747"/>
      <c r="AS767" s="747"/>
      <c r="AT767" s="747"/>
      <c r="AU767" s="747"/>
      <c r="AV767" s="747"/>
      <c r="AW767" s="747"/>
      <c r="AX767" s="747"/>
    </row>
    <row r="768" spans="1:50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747"/>
      <c r="AO768" s="747"/>
      <c r="AP768" s="747"/>
      <c r="AQ768" s="747"/>
      <c r="AR768" s="747"/>
      <c r="AS768" s="747"/>
      <c r="AT768" s="747"/>
      <c r="AU768" s="747"/>
      <c r="AV768" s="747"/>
      <c r="AW768" s="747"/>
      <c r="AX768" s="747"/>
    </row>
    <row r="769" spans="1:50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747"/>
      <c r="AO769" s="747"/>
      <c r="AP769" s="747"/>
      <c r="AQ769" s="747"/>
      <c r="AR769" s="747"/>
      <c r="AS769" s="747"/>
      <c r="AT769" s="747"/>
      <c r="AU769" s="747"/>
      <c r="AV769" s="747"/>
      <c r="AW769" s="747"/>
      <c r="AX769" s="747"/>
    </row>
    <row r="770" spans="1:5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747"/>
      <c r="AO770" s="747"/>
      <c r="AP770" s="747"/>
      <c r="AQ770" s="747"/>
      <c r="AR770" s="747"/>
      <c r="AS770" s="747"/>
      <c r="AT770" s="747"/>
      <c r="AU770" s="747"/>
      <c r="AV770" s="747"/>
      <c r="AW770" s="747"/>
      <c r="AX770" s="747"/>
    </row>
    <row r="771" spans="1:50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747"/>
      <c r="AO771" s="747"/>
      <c r="AP771" s="747"/>
      <c r="AQ771" s="747"/>
      <c r="AR771" s="747"/>
      <c r="AS771" s="747"/>
      <c r="AT771" s="747"/>
      <c r="AU771" s="747"/>
      <c r="AV771" s="747"/>
      <c r="AW771" s="747"/>
      <c r="AX771" s="747"/>
    </row>
    <row r="772" spans="1:50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747"/>
      <c r="AO772" s="747"/>
      <c r="AP772" s="747"/>
      <c r="AQ772" s="747"/>
      <c r="AR772" s="747"/>
      <c r="AS772" s="747"/>
      <c r="AT772" s="747"/>
      <c r="AU772" s="747"/>
      <c r="AV772" s="747"/>
      <c r="AW772" s="747"/>
      <c r="AX772" s="747"/>
    </row>
    <row r="773" spans="1:50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747"/>
      <c r="AO773" s="747"/>
      <c r="AP773" s="747"/>
      <c r="AQ773" s="747"/>
      <c r="AR773" s="747"/>
      <c r="AS773" s="747"/>
      <c r="AT773" s="747"/>
      <c r="AU773" s="747"/>
      <c r="AV773" s="747"/>
      <c r="AW773" s="747"/>
      <c r="AX773" s="747"/>
    </row>
    <row r="774" spans="1:50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747"/>
      <c r="AO774" s="747"/>
      <c r="AP774" s="747"/>
      <c r="AQ774" s="747"/>
      <c r="AR774" s="747"/>
      <c r="AS774" s="747"/>
      <c r="AT774" s="747"/>
      <c r="AU774" s="747"/>
      <c r="AV774" s="747"/>
      <c r="AW774" s="747"/>
      <c r="AX774" s="747"/>
    </row>
    <row r="775" spans="1:50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747"/>
      <c r="AO775" s="747"/>
      <c r="AP775" s="747"/>
      <c r="AQ775" s="747"/>
      <c r="AR775" s="747"/>
      <c r="AS775" s="747"/>
      <c r="AT775" s="747"/>
      <c r="AU775" s="747"/>
      <c r="AV775" s="747"/>
      <c r="AW775" s="747"/>
      <c r="AX775" s="747"/>
    </row>
    <row r="776" spans="1:50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747"/>
      <c r="AO776" s="747"/>
      <c r="AP776" s="747"/>
      <c r="AQ776" s="747"/>
      <c r="AR776" s="747"/>
      <c r="AS776" s="747"/>
      <c r="AT776" s="747"/>
      <c r="AU776" s="747"/>
      <c r="AV776" s="747"/>
      <c r="AW776" s="747"/>
      <c r="AX776" s="747"/>
    </row>
    <row r="777" spans="1:50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747"/>
      <c r="AO777" s="747"/>
      <c r="AP777" s="747"/>
      <c r="AQ777" s="747"/>
      <c r="AR777" s="747"/>
      <c r="AS777" s="747"/>
      <c r="AT777" s="747"/>
      <c r="AU777" s="747"/>
      <c r="AV777" s="747"/>
      <c r="AW777" s="747"/>
      <c r="AX777" s="747"/>
    </row>
    <row r="778" spans="1:50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747"/>
      <c r="AO778" s="747"/>
      <c r="AP778" s="747"/>
      <c r="AQ778" s="747"/>
      <c r="AR778" s="747"/>
      <c r="AS778" s="747"/>
      <c r="AT778" s="747"/>
      <c r="AU778" s="747"/>
      <c r="AV778" s="747"/>
      <c r="AW778" s="747"/>
      <c r="AX778" s="747"/>
    </row>
    <row r="779" spans="1:50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747"/>
      <c r="AO779" s="747"/>
      <c r="AP779" s="747"/>
      <c r="AQ779" s="747"/>
      <c r="AR779" s="747"/>
      <c r="AS779" s="747"/>
      <c r="AT779" s="747"/>
      <c r="AU779" s="747"/>
      <c r="AV779" s="747"/>
      <c r="AW779" s="747"/>
      <c r="AX779" s="747"/>
    </row>
    <row r="780" spans="1:5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747"/>
      <c r="AO780" s="747"/>
      <c r="AP780" s="747"/>
      <c r="AQ780" s="747"/>
      <c r="AR780" s="747"/>
      <c r="AS780" s="747"/>
      <c r="AT780" s="747"/>
      <c r="AU780" s="747"/>
      <c r="AV780" s="747"/>
      <c r="AW780" s="747"/>
      <c r="AX780" s="747"/>
    </row>
    <row r="781" spans="1:50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747"/>
      <c r="AO781" s="747"/>
      <c r="AP781" s="747"/>
      <c r="AQ781" s="747"/>
      <c r="AR781" s="747"/>
      <c r="AS781" s="747"/>
      <c r="AT781" s="747"/>
      <c r="AU781" s="747"/>
      <c r="AV781" s="747"/>
      <c r="AW781" s="747"/>
      <c r="AX781" s="747"/>
    </row>
    <row r="782" spans="1:50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747"/>
      <c r="AO782" s="747"/>
      <c r="AP782" s="747"/>
      <c r="AQ782" s="747"/>
      <c r="AR782" s="747"/>
      <c r="AS782" s="747"/>
      <c r="AT782" s="747"/>
      <c r="AU782" s="747"/>
      <c r="AV782" s="747"/>
      <c r="AW782" s="747"/>
      <c r="AX782" s="747"/>
    </row>
    <row r="783" spans="1:50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747"/>
      <c r="AO783" s="747"/>
      <c r="AP783" s="747"/>
      <c r="AQ783" s="747"/>
      <c r="AR783" s="747"/>
      <c r="AS783" s="747"/>
      <c r="AT783" s="747"/>
      <c r="AU783" s="747"/>
      <c r="AV783" s="747"/>
      <c r="AW783" s="747"/>
      <c r="AX783" s="747"/>
    </row>
    <row r="784" spans="1:50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747"/>
      <c r="AO784" s="747"/>
      <c r="AP784" s="747"/>
      <c r="AQ784" s="747"/>
      <c r="AR784" s="747"/>
      <c r="AS784" s="747"/>
      <c r="AT784" s="747"/>
      <c r="AU784" s="747"/>
      <c r="AV784" s="747"/>
      <c r="AW784" s="747"/>
      <c r="AX784" s="747"/>
    </row>
    <row r="785" spans="1:50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747"/>
      <c r="AO785" s="747"/>
      <c r="AP785" s="747"/>
      <c r="AQ785" s="747"/>
      <c r="AR785" s="747"/>
      <c r="AS785" s="747"/>
      <c r="AT785" s="747"/>
      <c r="AU785" s="747"/>
      <c r="AV785" s="747"/>
      <c r="AW785" s="747"/>
      <c r="AX785" s="747"/>
    </row>
    <row r="786" spans="1:50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747"/>
      <c r="AO786" s="747"/>
      <c r="AP786" s="747"/>
      <c r="AQ786" s="747"/>
      <c r="AR786" s="747"/>
      <c r="AS786" s="747"/>
      <c r="AT786" s="747"/>
      <c r="AU786" s="747"/>
      <c r="AV786" s="747"/>
      <c r="AW786" s="747"/>
      <c r="AX786" s="747"/>
    </row>
    <row r="787" spans="1:50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747"/>
      <c r="AO787" s="747"/>
      <c r="AP787" s="747"/>
      <c r="AQ787" s="747"/>
      <c r="AR787" s="747"/>
      <c r="AS787" s="747"/>
      <c r="AT787" s="747"/>
      <c r="AU787" s="747"/>
      <c r="AV787" s="747"/>
      <c r="AW787" s="747"/>
      <c r="AX787" s="747"/>
    </row>
    <row r="788" spans="1:50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747"/>
      <c r="AO788" s="747"/>
      <c r="AP788" s="747"/>
      <c r="AQ788" s="747"/>
      <c r="AR788" s="747"/>
      <c r="AS788" s="747"/>
      <c r="AT788" s="747"/>
      <c r="AU788" s="747"/>
      <c r="AV788" s="747"/>
      <c r="AW788" s="747"/>
      <c r="AX788" s="747"/>
    </row>
    <row r="789" spans="1:50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747"/>
      <c r="AO789" s="747"/>
      <c r="AP789" s="747"/>
      <c r="AQ789" s="747"/>
      <c r="AR789" s="747"/>
      <c r="AS789" s="747"/>
      <c r="AT789" s="747"/>
      <c r="AU789" s="747"/>
      <c r="AV789" s="747"/>
      <c r="AW789" s="747"/>
      <c r="AX789" s="747"/>
    </row>
    <row r="790" spans="1:5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747"/>
      <c r="AO790" s="747"/>
      <c r="AP790" s="747"/>
      <c r="AQ790" s="747"/>
      <c r="AR790" s="747"/>
      <c r="AS790" s="747"/>
      <c r="AT790" s="747"/>
      <c r="AU790" s="747"/>
      <c r="AV790" s="747"/>
      <c r="AW790" s="747"/>
      <c r="AX790" s="747"/>
    </row>
    <row r="791" spans="1:50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747"/>
      <c r="AO791" s="747"/>
      <c r="AP791" s="747"/>
      <c r="AQ791" s="747"/>
      <c r="AR791" s="747"/>
      <c r="AS791" s="747"/>
      <c r="AT791" s="747"/>
      <c r="AU791" s="747"/>
      <c r="AV791" s="747"/>
      <c r="AW791" s="747"/>
      <c r="AX791" s="747"/>
    </row>
    <row r="792" spans="1:50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747"/>
      <c r="AO792" s="747"/>
      <c r="AP792" s="747"/>
      <c r="AQ792" s="747"/>
      <c r="AR792" s="747"/>
      <c r="AS792" s="747"/>
      <c r="AT792" s="747"/>
      <c r="AU792" s="747"/>
      <c r="AV792" s="747"/>
      <c r="AW792" s="747"/>
      <c r="AX792" s="747"/>
    </row>
    <row r="793" spans="1:50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747"/>
      <c r="AO793" s="747"/>
      <c r="AP793" s="747"/>
      <c r="AQ793" s="747"/>
      <c r="AR793" s="747"/>
      <c r="AS793" s="747"/>
      <c r="AT793" s="747"/>
      <c r="AU793" s="747"/>
      <c r="AV793" s="747"/>
      <c r="AW793" s="747"/>
      <c r="AX793" s="747"/>
    </row>
    <row r="794" spans="1:50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747"/>
      <c r="AO794" s="747"/>
      <c r="AP794" s="747"/>
      <c r="AQ794" s="747"/>
      <c r="AR794" s="747"/>
      <c r="AS794" s="747"/>
      <c r="AT794" s="747"/>
      <c r="AU794" s="747"/>
      <c r="AV794" s="747"/>
      <c r="AW794" s="747"/>
      <c r="AX794" s="747"/>
    </row>
    <row r="795" spans="1:50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747"/>
      <c r="AO795" s="747"/>
      <c r="AP795" s="747"/>
      <c r="AQ795" s="747"/>
      <c r="AR795" s="747"/>
      <c r="AS795" s="747"/>
      <c r="AT795" s="747"/>
      <c r="AU795" s="747"/>
      <c r="AV795" s="747"/>
      <c r="AW795" s="747"/>
      <c r="AX795" s="747"/>
    </row>
    <row r="796" spans="1:50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747"/>
      <c r="AO796" s="747"/>
      <c r="AP796" s="747"/>
      <c r="AQ796" s="747"/>
      <c r="AR796" s="747"/>
      <c r="AS796" s="747"/>
      <c r="AT796" s="747"/>
      <c r="AU796" s="747"/>
      <c r="AV796" s="747"/>
      <c r="AW796" s="747"/>
      <c r="AX796" s="747"/>
    </row>
    <row r="797" spans="1:50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747"/>
      <c r="AO797" s="747"/>
      <c r="AP797" s="747"/>
      <c r="AQ797" s="747"/>
      <c r="AR797" s="747"/>
      <c r="AS797" s="747"/>
      <c r="AT797" s="747"/>
      <c r="AU797" s="747"/>
      <c r="AV797" s="747"/>
      <c r="AW797" s="747"/>
      <c r="AX797" s="747"/>
    </row>
    <row r="798" spans="1:50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747"/>
      <c r="AO798" s="747"/>
      <c r="AP798" s="747"/>
      <c r="AQ798" s="747"/>
      <c r="AR798" s="747"/>
      <c r="AS798" s="747"/>
      <c r="AT798" s="747"/>
      <c r="AU798" s="747"/>
      <c r="AV798" s="747"/>
      <c r="AW798" s="747"/>
      <c r="AX798" s="747"/>
    </row>
    <row r="799" spans="1:50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747"/>
      <c r="AO799" s="747"/>
      <c r="AP799" s="747"/>
      <c r="AQ799" s="747"/>
      <c r="AR799" s="747"/>
      <c r="AS799" s="747"/>
      <c r="AT799" s="747"/>
      <c r="AU799" s="747"/>
      <c r="AV799" s="747"/>
      <c r="AW799" s="747"/>
      <c r="AX799" s="747"/>
    </row>
    <row r="800" spans="1:5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747"/>
      <c r="AO800" s="747"/>
      <c r="AP800" s="747"/>
      <c r="AQ800" s="747"/>
      <c r="AR800" s="747"/>
      <c r="AS800" s="747"/>
      <c r="AT800" s="747"/>
      <c r="AU800" s="747"/>
      <c r="AV800" s="747"/>
      <c r="AW800" s="747"/>
      <c r="AX800" s="747"/>
    </row>
    <row r="801" spans="1:50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747"/>
      <c r="AO801" s="747"/>
      <c r="AP801" s="747"/>
      <c r="AQ801" s="747"/>
      <c r="AR801" s="747"/>
      <c r="AS801" s="747"/>
      <c r="AT801" s="747"/>
      <c r="AU801" s="747"/>
      <c r="AV801" s="747"/>
      <c r="AW801" s="747"/>
      <c r="AX801" s="747"/>
    </row>
    <row r="802" spans="1:50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747"/>
      <c r="AO802" s="747"/>
      <c r="AP802" s="747"/>
      <c r="AQ802" s="747"/>
      <c r="AR802" s="747"/>
      <c r="AS802" s="747"/>
      <c r="AT802" s="747"/>
      <c r="AU802" s="747"/>
      <c r="AV802" s="747"/>
      <c r="AW802" s="747"/>
      <c r="AX802" s="747"/>
    </row>
    <row r="803" spans="1:50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747"/>
      <c r="AO803" s="747"/>
      <c r="AP803" s="747"/>
      <c r="AQ803" s="747"/>
      <c r="AR803" s="747"/>
      <c r="AS803" s="747"/>
      <c r="AT803" s="747"/>
      <c r="AU803" s="747"/>
      <c r="AV803" s="747"/>
      <c r="AW803" s="747"/>
      <c r="AX803" s="747"/>
    </row>
    <row r="804" spans="1:50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747"/>
      <c r="AO804" s="747"/>
      <c r="AP804" s="747"/>
      <c r="AQ804" s="747"/>
      <c r="AR804" s="747"/>
      <c r="AS804" s="747"/>
      <c r="AT804" s="747"/>
      <c r="AU804" s="747"/>
      <c r="AV804" s="747"/>
      <c r="AW804" s="747"/>
      <c r="AX804" s="747"/>
    </row>
    <row r="805" spans="1:50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747"/>
      <c r="AO805" s="747"/>
      <c r="AP805" s="747"/>
      <c r="AQ805" s="747"/>
      <c r="AR805" s="747"/>
      <c r="AS805" s="747"/>
      <c r="AT805" s="747"/>
      <c r="AU805" s="747"/>
      <c r="AV805" s="747"/>
      <c r="AW805" s="747"/>
      <c r="AX805" s="747"/>
    </row>
    <row r="806" spans="1:50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747"/>
      <c r="AO806" s="747"/>
      <c r="AP806" s="747"/>
      <c r="AQ806" s="747"/>
      <c r="AR806" s="747"/>
      <c r="AS806" s="747"/>
      <c r="AT806" s="747"/>
      <c r="AU806" s="747"/>
      <c r="AV806" s="747"/>
      <c r="AW806" s="747"/>
      <c r="AX806" s="747"/>
    </row>
    <row r="807" spans="1:50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747"/>
      <c r="AO807" s="747"/>
      <c r="AP807" s="747"/>
      <c r="AQ807" s="747"/>
      <c r="AR807" s="747"/>
      <c r="AS807" s="747"/>
      <c r="AT807" s="747"/>
      <c r="AU807" s="747"/>
      <c r="AV807" s="747"/>
      <c r="AW807" s="747"/>
      <c r="AX807" s="747"/>
    </row>
    <row r="808" spans="1:50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747"/>
      <c r="AO808" s="747"/>
      <c r="AP808" s="747"/>
      <c r="AQ808" s="747"/>
      <c r="AR808" s="747"/>
      <c r="AS808" s="747"/>
      <c r="AT808" s="747"/>
      <c r="AU808" s="747"/>
      <c r="AV808" s="747"/>
      <c r="AW808" s="747"/>
      <c r="AX808" s="747"/>
    </row>
    <row r="809" spans="1:50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747"/>
      <c r="AO809" s="747"/>
      <c r="AP809" s="747"/>
      <c r="AQ809" s="747"/>
      <c r="AR809" s="747"/>
      <c r="AS809" s="747"/>
      <c r="AT809" s="747"/>
      <c r="AU809" s="747"/>
      <c r="AV809" s="747"/>
      <c r="AW809" s="747"/>
      <c r="AX809" s="747"/>
    </row>
    <row r="810" spans="1:5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747"/>
      <c r="AO810" s="747"/>
      <c r="AP810" s="747"/>
      <c r="AQ810" s="747"/>
      <c r="AR810" s="747"/>
      <c r="AS810" s="747"/>
      <c r="AT810" s="747"/>
      <c r="AU810" s="747"/>
      <c r="AV810" s="747"/>
      <c r="AW810" s="747"/>
      <c r="AX810" s="747"/>
    </row>
    <row r="811" spans="1:50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747"/>
      <c r="AO811" s="747"/>
      <c r="AP811" s="747"/>
      <c r="AQ811" s="747"/>
      <c r="AR811" s="747"/>
      <c r="AS811" s="747"/>
      <c r="AT811" s="747"/>
      <c r="AU811" s="747"/>
      <c r="AV811" s="747"/>
      <c r="AW811" s="747"/>
      <c r="AX811" s="747"/>
    </row>
    <row r="812" spans="1:50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747"/>
      <c r="AO812" s="747"/>
      <c r="AP812" s="747"/>
      <c r="AQ812" s="747"/>
      <c r="AR812" s="747"/>
      <c r="AS812" s="747"/>
      <c r="AT812" s="747"/>
      <c r="AU812" s="747"/>
      <c r="AV812" s="747"/>
      <c r="AW812" s="747"/>
      <c r="AX812" s="747"/>
    </row>
    <row r="813" spans="1:50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747"/>
      <c r="AO813" s="747"/>
      <c r="AP813" s="747"/>
      <c r="AQ813" s="747"/>
      <c r="AR813" s="747"/>
      <c r="AS813" s="747"/>
      <c r="AT813" s="747"/>
      <c r="AU813" s="747"/>
      <c r="AV813" s="747"/>
      <c r="AW813" s="747"/>
      <c r="AX813" s="747"/>
    </row>
    <row r="814" spans="1:50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747"/>
      <c r="AO814" s="747"/>
      <c r="AP814" s="747"/>
      <c r="AQ814" s="747"/>
      <c r="AR814" s="747"/>
      <c r="AS814" s="747"/>
      <c r="AT814" s="747"/>
      <c r="AU814" s="747"/>
      <c r="AV814" s="747"/>
      <c r="AW814" s="747"/>
      <c r="AX814" s="747"/>
    </row>
    <row r="815" spans="1:50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747"/>
      <c r="AO815" s="747"/>
      <c r="AP815" s="747"/>
      <c r="AQ815" s="747"/>
      <c r="AR815" s="747"/>
      <c r="AS815" s="747"/>
      <c r="AT815" s="747"/>
      <c r="AU815" s="747"/>
      <c r="AV815" s="747"/>
      <c r="AW815" s="747"/>
      <c r="AX815" s="747"/>
    </row>
    <row r="816" spans="1:50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747"/>
      <c r="AO816" s="747"/>
      <c r="AP816" s="747"/>
      <c r="AQ816" s="747"/>
      <c r="AR816" s="747"/>
      <c r="AS816" s="747"/>
      <c r="AT816" s="747"/>
      <c r="AU816" s="747"/>
      <c r="AV816" s="747"/>
      <c r="AW816" s="747"/>
      <c r="AX816" s="747"/>
    </row>
    <row r="817" spans="1:50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747"/>
      <c r="AO817" s="747"/>
      <c r="AP817" s="747"/>
      <c r="AQ817" s="747"/>
      <c r="AR817" s="747"/>
      <c r="AS817" s="747"/>
      <c r="AT817" s="747"/>
      <c r="AU817" s="747"/>
      <c r="AV817" s="747"/>
      <c r="AW817" s="747"/>
      <c r="AX817" s="747"/>
    </row>
    <row r="818" spans="1:50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747"/>
      <c r="AO818" s="747"/>
      <c r="AP818" s="747"/>
      <c r="AQ818" s="747"/>
      <c r="AR818" s="747"/>
      <c r="AS818" s="747"/>
      <c r="AT818" s="747"/>
      <c r="AU818" s="747"/>
      <c r="AV818" s="747"/>
      <c r="AW818" s="747"/>
      <c r="AX818" s="747"/>
    </row>
    <row r="819" spans="1:50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747"/>
      <c r="AO819" s="747"/>
      <c r="AP819" s="747"/>
      <c r="AQ819" s="747"/>
      <c r="AR819" s="747"/>
      <c r="AS819" s="747"/>
      <c r="AT819" s="747"/>
      <c r="AU819" s="747"/>
      <c r="AV819" s="747"/>
      <c r="AW819" s="747"/>
      <c r="AX819" s="747"/>
    </row>
    <row r="820" spans="1:5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747"/>
      <c r="AO820" s="747"/>
      <c r="AP820" s="747"/>
      <c r="AQ820" s="747"/>
      <c r="AR820" s="747"/>
      <c r="AS820" s="747"/>
      <c r="AT820" s="747"/>
      <c r="AU820" s="747"/>
      <c r="AV820" s="747"/>
      <c r="AW820" s="747"/>
      <c r="AX820" s="747"/>
    </row>
    <row r="821" spans="1:50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747"/>
      <c r="AO821" s="747"/>
      <c r="AP821" s="747"/>
      <c r="AQ821" s="747"/>
      <c r="AR821" s="747"/>
      <c r="AS821" s="747"/>
      <c r="AT821" s="747"/>
      <c r="AU821" s="747"/>
      <c r="AV821" s="747"/>
      <c r="AW821" s="747"/>
      <c r="AX821" s="747"/>
    </row>
    <row r="822" spans="1:50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747"/>
      <c r="AO822" s="747"/>
      <c r="AP822" s="747"/>
      <c r="AQ822" s="747"/>
      <c r="AR822" s="747"/>
      <c r="AS822" s="747"/>
      <c r="AT822" s="747"/>
      <c r="AU822" s="747"/>
      <c r="AV822" s="747"/>
      <c r="AW822" s="747"/>
      <c r="AX822" s="747"/>
    </row>
    <row r="823" spans="1:50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747"/>
      <c r="AO823" s="747"/>
      <c r="AP823" s="747"/>
      <c r="AQ823" s="747"/>
      <c r="AR823" s="747"/>
      <c r="AS823" s="747"/>
      <c r="AT823" s="747"/>
      <c r="AU823" s="747"/>
      <c r="AV823" s="747"/>
      <c r="AW823" s="747"/>
      <c r="AX823" s="747"/>
    </row>
    <row r="824" spans="1:50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747"/>
      <c r="AO824" s="747"/>
      <c r="AP824" s="747"/>
      <c r="AQ824" s="747"/>
      <c r="AR824" s="747"/>
      <c r="AS824" s="747"/>
      <c r="AT824" s="747"/>
      <c r="AU824" s="747"/>
      <c r="AV824" s="747"/>
      <c r="AW824" s="747"/>
      <c r="AX824" s="747"/>
    </row>
    <row r="825" spans="1:50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747"/>
      <c r="AO825" s="747"/>
      <c r="AP825" s="747"/>
      <c r="AQ825" s="747"/>
      <c r="AR825" s="747"/>
      <c r="AS825" s="747"/>
      <c r="AT825" s="747"/>
      <c r="AU825" s="747"/>
      <c r="AV825" s="747"/>
      <c r="AW825" s="747"/>
      <c r="AX825" s="747"/>
    </row>
    <row r="826" spans="1:50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747"/>
      <c r="AO826" s="747"/>
      <c r="AP826" s="747"/>
      <c r="AQ826" s="747"/>
      <c r="AR826" s="747"/>
      <c r="AS826" s="747"/>
      <c r="AT826" s="747"/>
      <c r="AU826" s="747"/>
      <c r="AV826" s="747"/>
      <c r="AW826" s="747"/>
      <c r="AX826" s="747"/>
    </row>
    <row r="827" spans="1:50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747"/>
      <c r="AO827" s="747"/>
      <c r="AP827" s="747"/>
      <c r="AQ827" s="747"/>
      <c r="AR827" s="747"/>
      <c r="AS827" s="747"/>
      <c r="AT827" s="747"/>
      <c r="AU827" s="747"/>
      <c r="AV827" s="747"/>
      <c r="AW827" s="747"/>
      <c r="AX827" s="747"/>
    </row>
    <row r="828" spans="1:50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747"/>
      <c r="AO828" s="747"/>
      <c r="AP828" s="747"/>
      <c r="AQ828" s="747"/>
      <c r="AR828" s="747"/>
      <c r="AS828" s="747"/>
      <c r="AT828" s="747"/>
      <c r="AU828" s="747"/>
      <c r="AV828" s="747"/>
      <c r="AW828" s="747"/>
      <c r="AX828" s="747"/>
    </row>
    <row r="829" spans="1:50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747"/>
      <c r="AO829" s="747"/>
      <c r="AP829" s="747"/>
      <c r="AQ829" s="747"/>
      <c r="AR829" s="747"/>
      <c r="AS829" s="747"/>
      <c r="AT829" s="747"/>
      <c r="AU829" s="747"/>
      <c r="AV829" s="747"/>
      <c r="AW829" s="747"/>
      <c r="AX829" s="747"/>
    </row>
    <row r="830" spans="1:5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747"/>
      <c r="AO830" s="747"/>
      <c r="AP830" s="747"/>
      <c r="AQ830" s="747"/>
      <c r="AR830" s="747"/>
      <c r="AS830" s="747"/>
      <c r="AT830" s="747"/>
      <c r="AU830" s="747"/>
      <c r="AV830" s="747"/>
      <c r="AW830" s="747"/>
      <c r="AX830" s="747"/>
    </row>
    <row r="831" spans="1:50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747"/>
      <c r="AO831" s="747"/>
      <c r="AP831" s="747"/>
      <c r="AQ831" s="747"/>
      <c r="AR831" s="747"/>
      <c r="AS831" s="747"/>
      <c r="AT831" s="747"/>
      <c r="AU831" s="747"/>
      <c r="AV831" s="747"/>
      <c r="AW831" s="747"/>
      <c r="AX831" s="747"/>
    </row>
    <row r="832" spans="1:50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747"/>
      <c r="AO832" s="747"/>
      <c r="AP832" s="747"/>
      <c r="AQ832" s="747"/>
      <c r="AR832" s="747"/>
      <c r="AS832" s="747"/>
      <c r="AT832" s="747"/>
      <c r="AU832" s="747"/>
      <c r="AV832" s="747"/>
      <c r="AW832" s="747"/>
      <c r="AX832" s="747"/>
    </row>
    <row r="833" spans="1:50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747"/>
      <c r="AO833" s="747"/>
      <c r="AP833" s="747"/>
      <c r="AQ833" s="747"/>
      <c r="AR833" s="747"/>
      <c r="AS833" s="747"/>
      <c r="AT833" s="747"/>
      <c r="AU833" s="747"/>
      <c r="AV833" s="747"/>
      <c r="AW833" s="747"/>
      <c r="AX833" s="747"/>
    </row>
    <row r="834" spans="1:50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747"/>
      <c r="AO834" s="747"/>
      <c r="AP834" s="747"/>
      <c r="AQ834" s="747"/>
      <c r="AR834" s="747"/>
      <c r="AS834" s="747"/>
      <c r="AT834" s="747"/>
      <c r="AU834" s="747"/>
      <c r="AV834" s="747"/>
      <c r="AW834" s="747"/>
      <c r="AX834" s="747"/>
    </row>
    <row r="835" spans="1:50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747"/>
      <c r="AO835" s="747"/>
      <c r="AP835" s="747"/>
      <c r="AQ835" s="747"/>
      <c r="AR835" s="747"/>
      <c r="AS835" s="747"/>
      <c r="AT835" s="747"/>
      <c r="AU835" s="747"/>
      <c r="AV835" s="747"/>
      <c r="AW835" s="747"/>
      <c r="AX835" s="747"/>
    </row>
    <row r="836" spans="1:50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747"/>
      <c r="AO836" s="747"/>
      <c r="AP836" s="747"/>
      <c r="AQ836" s="747"/>
      <c r="AR836" s="747"/>
      <c r="AS836" s="747"/>
      <c r="AT836" s="747"/>
      <c r="AU836" s="747"/>
      <c r="AV836" s="747"/>
      <c r="AW836" s="747"/>
      <c r="AX836" s="747"/>
    </row>
    <row r="837" spans="1:50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747"/>
      <c r="AO837" s="747"/>
      <c r="AP837" s="747"/>
      <c r="AQ837" s="747"/>
      <c r="AR837" s="747"/>
      <c r="AS837" s="747"/>
      <c r="AT837" s="747"/>
      <c r="AU837" s="747"/>
      <c r="AV837" s="747"/>
      <c r="AW837" s="747"/>
      <c r="AX837" s="747"/>
    </row>
    <row r="838" spans="1:50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747"/>
      <c r="AO838" s="747"/>
      <c r="AP838" s="747"/>
      <c r="AQ838" s="747"/>
      <c r="AR838" s="747"/>
      <c r="AS838" s="747"/>
      <c r="AT838" s="747"/>
      <c r="AU838" s="747"/>
      <c r="AV838" s="747"/>
      <c r="AW838" s="747"/>
      <c r="AX838" s="747"/>
    </row>
    <row r="839" spans="1:50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747"/>
      <c r="AO839" s="747"/>
      <c r="AP839" s="747"/>
      <c r="AQ839" s="747"/>
      <c r="AR839" s="747"/>
      <c r="AS839" s="747"/>
      <c r="AT839" s="747"/>
      <c r="AU839" s="747"/>
      <c r="AV839" s="747"/>
      <c r="AW839" s="747"/>
      <c r="AX839" s="747"/>
    </row>
    <row r="840" spans="1:5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747"/>
      <c r="AO840" s="747"/>
      <c r="AP840" s="747"/>
      <c r="AQ840" s="747"/>
      <c r="AR840" s="747"/>
      <c r="AS840" s="747"/>
      <c r="AT840" s="747"/>
      <c r="AU840" s="747"/>
      <c r="AV840" s="747"/>
      <c r="AW840" s="747"/>
      <c r="AX840" s="747"/>
    </row>
    <row r="841" spans="1:50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747"/>
      <c r="AO841" s="747"/>
      <c r="AP841" s="747"/>
      <c r="AQ841" s="747"/>
      <c r="AR841" s="747"/>
      <c r="AS841" s="747"/>
      <c r="AT841" s="747"/>
      <c r="AU841" s="747"/>
      <c r="AV841" s="747"/>
      <c r="AW841" s="747"/>
      <c r="AX841" s="747"/>
    </row>
    <row r="842" spans="1:50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747"/>
      <c r="AO842" s="747"/>
      <c r="AP842" s="747"/>
      <c r="AQ842" s="747"/>
      <c r="AR842" s="747"/>
      <c r="AS842" s="747"/>
      <c r="AT842" s="747"/>
      <c r="AU842" s="747"/>
      <c r="AV842" s="747"/>
      <c r="AW842" s="747"/>
      <c r="AX842" s="747"/>
    </row>
    <row r="843" spans="1:50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747"/>
      <c r="AO843" s="747"/>
      <c r="AP843" s="747"/>
      <c r="AQ843" s="747"/>
      <c r="AR843" s="747"/>
      <c r="AS843" s="747"/>
      <c r="AT843" s="747"/>
      <c r="AU843" s="747"/>
      <c r="AV843" s="747"/>
      <c r="AW843" s="747"/>
      <c r="AX843" s="747"/>
    </row>
    <row r="844" spans="1:50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747"/>
      <c r="AO844" s="747"/>
      <c r="AP844" s="747"/>
      <c r="AQ844" s="747"/>
      <c r="AR844" s="747"/>
      <c r="AS844" s="747"/>
      <c r="AT844" s="747"/>
      <c r="AU844" s="747"/>
      <c r="AV844" s="747"/>
      <c r="AW844" s="747"/>
      <c r="AX844" s="747"/>
    </row>
    <row r="845" spans="1:50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747"/>
      <c r="AO845" s="747"/>
      <c r="AP845" s="747"/>
      <c r="AQ845" s="747"/>
      <c r="AR845" s="747"/>
      <c r="AS845" s="747"/>
      <c r="AT845" s="747"/>
      <c r="AU845" s="747"/>
      <c r="AV845" s="747"/>
      <c r="AW845" s="747"/>
      <c r="AX845" s="747"/>
    </row>
    <row r="846" spans="1:50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747"/>
      <c r="AO846" s="747"/>
      <c r="AP846" s="747"/>
      <c r="AQ846" s="747"/>
      <c r="AR846" s="747"/>
      <c r="AS846" s="747"/>
      <c r="AT846" s="747"/>
      <c r="AU846" s="747"/>
      <c r="AV846" s="747"/>
      <c r="AW846" s="747"/>
      <c r="AX846" s="747"/>
    </row>
    <row r="847" spans="1:50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747"/>
      <c r="AO847" s="747"/>
      <c r="AP847" s="747"/>
      <c r="AQ847" s="747"/>
      <c r="AR847" s="747"/>
      <c r="AS847" s="747"/>
      <c r="AT847" s="747"/>
      <c r="AU847" s="747"/>
      <c r="AV847" s="747"/>
      <c r="AW847" s="747"/>
      <c r="AX847" s="747"/>
    </row>
    <row r="848" spans="1:50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747"/>
      <c r="AO848" s="747"/>
      <c r="AP848" s="747"/>
      <c r="AQ848" s="747"/>
      <c r="AR848" s="747"/>
      <c r="AS848" s="747"/>
      <c r="AT848" s="747"/>
      <c r="AU848" s="747"/>
      <c r="AV848" s="747"/>
      <c r="AW848" s="747"/>
      <c r="AX848" s="747"/>
    </row>
    <row r="849" spans="1:50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747"/>
      <c r="AO849" s="747"/>
      <c r="AP849" s="747"/>
      <c r="AQ849" s="747"/>
      <c r="AR849" s="747"/>
      <c r="AS849" s="747"/>
      <c r="AT849" s="747"/>
      <c r="AU849" s="747"/>
      <c r="AV849" s="747"/>
      <c r="AW849" s="747"/>
      <c r="AX849" s="747"/>
    </row>
    <row r="850" spans="1: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747"/>
      <c r="AO850" s="747"/>
      <c r="AP850" s="747"/>
      <c r="AQ850" s="747"/>
      <c r="AR850" s="747"/>
      <c r="AS850" s="747"/>
      <c r="AT850" s="747"/>
      <c r="AU850" s="747"/>
      <c r="AV850" s="747"/>
      <c r="AW850" s="747"/>
      <c r="AX850" s="747"/>
    </row>
    <row r="851" spans="1:50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747"/>
      <c r="AO851" s="747"/>
      <c r="AP851" s="747"/>
      <c r="AQ851" s="747"/>
      <c r="AR851" s="747"/>
      <c r="AS851" s="747"/>
      <c r="AT851" s="747"/>
      <c r="AU851" s="747"/>
      <c r="AV851" s="747"/>
      <c r="AW851" s="747"/>
      <c r="AX851" s="747"/>
    </row>
    <row r="852" spans="1:50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747"/>
      <c r="AO852" s="747"/>
      <c r="AP852" s="747"/>
      <c r="AQ852" s="747"/>
      <c r="AR852" s="747"/>
      <c r="AS852" s="747"/>
      <c r="AT852" s="747"/>
      <c r="AU852" s="747"/>
      <c r="AV852" s="747"/>
      <c r="AW852" s="747"/>
      <c r="AX852" s="747"/>
    </row>
    <row r="853" spans="1:50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747"/>
      <c r="AO853" s="747"/>
      <c r="AP853" s="747"/>
      <c r="AQ853" s="747"/>
      <c r="AR853" s="747"/>
      <c r="AS853" s="747"/>
      <c r="AT853" s="747"/>
      <c r="AU853" s="747"/>
      <c r="AV853" s="747"/>
      <c r="AW853" s="747"/>
      <c r="AX853" s="747"/>
    </row>
    <row r="854" spans="1:50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747"/>
      <c r="AO854" s="747"/>
      <c r="AP854" s="747"/>
      <c r="AQ854" s="747"/>
      <c r="AR854" s="747"/>
      <c r="AS854" s="747"/>
      <c r="AT854" s="747"/>
      <c r="AU854" s="747"/>
      <c r="AV854" s="747"/>
      <c r="AW854" s="747"/>
      <c r="AX854" s="747"/>
    </row>
    <row r="855" spans="1:50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747"/>
      <c r="AO855" s="747"/>
      <c r="AP855" s="747"/>
      <c r="AQ855" s="747"/>
      <c r="AR855" s="747"/>
      <c r="AS855" s="747"/>
      <c r="AT855" s="747"/>
      <c r="AU855" s="747"/>
      <c r="AV855" s="747"/>
      <c r="AW855" s="747"/>
      <c r="AX855" s="747"/>
    </row>
    <row r="856" spans="1:50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747"/>
      <c r="AO856" s="747"/>
      <c r="AP856" s="747"/>
      <c r="AQ856" s="747"/>
      <c r="AR856" s="747"/>
      <c r="AS856" s="747"/>
      <c r="AT856" s="747"/>
      <c r="AU856" s="747"/>
      <c r="AV856" s="747"/>
      <c r="AW856" s="747"/>
      <c r="AX856" s="747"/>
    </row>
    <row r="857" spans="1:50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747"/>
      <c r="AO857" s="747"/>
      <c r="AP857" s="747"/>
      <c r="AQ857" s="747"/>
      <c r="AR857" s="747"/>
      <c r="AS857" s="747"/>
      <c r="AT857" s="747"/>
      <c r="AU857" s="747"/>
      <c r="AV857" s="747"/>
      <c r="AW857" s="747"/>
      <c r="AX857" s="747"/>
    </row>
    <row r="858" spans="1:50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747"/>
      <c r="AO858" s="747"/>
      <c r="AP858" s="747"/>
      <c r="AQ858" s="747"/>
      <c r="AR858" s="747"/>
      <c r="AS858" s="747"/>
      <c r="AT858" s="747"/>
      <c r="AU858" s="747"/>
      <c r="AV858" s="747"/>
      <c r="AW858" s="747"/>
      <c r="AX858" s="747"/>
    </row>
    <row r="859" spans="1:50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747"/>
      <c r="AO859" s="747"/>
      <c r="AP859" s="747"/>
      <c r="AQ859" s="747"/>
      <c r="AR859" s="747"/>
      <c r="AS859" s="747"/>
      <c r="AT859" s="747"/>
      <c r="AU859" s="747"/>
      <c r="AV859" s="747"/>
      <c r="AW859" s="747"/>
      <c r="AX859" s="747"/>
    </row>
    <row r="860" spans="1:5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747"/>
      <c r="AO860" s="747"/>
      <c r="AP860" s="747"/>
      <c r="AQ860" s="747"/>
      <c r="AR860" s="747"/>
      <c r="AS860" s="747"/>
      <c r="AT860" s="747"/>
      <c r="AU860" s="747"/>
      <c r="AV860" s="747"/>
      <c r="AW860" s="747"/>
      <c r="AX860" s="747"/>
    </row>
    <row r="861" spans="1:50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747"/>
      <c r="AO861" s="747"/>
      <c r="AP861" s="747"/>
      <c r="AQ861" s="747"/>
      <c r="AR861" s="747"/>
      <c r="AS861" s="747"/>
      <c r="AT861" s="747"/>
      <c r="AU861" s="747"/>
      <c r="AV861" s="747"/>
      <c r="AW861" s="747"/>
      <c r="AX861" s="747"/>
    </row>
    <row r="862" spans="1:50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747"/>
      <c r="AO862" s="747"/>
      <c r="AP862" s="747"/>
      <c r="AQ862" s="747"/>
      <c r="AR862" s="747"/>
      <c r="AS862" s="747"/>
      <c r="AT862" s="747"/>
      <c r="AU862" s="747"/>
      <c r="AV862" s="747"/>
      <c r="AW862" s="747"/>
      <c r="AX862" s="747"/>
    </row>
    <row r="863" spans="1:50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747"/>
      <c r="AO863" s="747"/>
      <c r="AP863" s="747"/>
      <c r="AQ863" s="747"/>
      <c r="AR863" s="747"/>
      <c r="AS863" s="747"/>
      <c r="AT863" s="747"/>
      <c r="AU863" s="747"/>
      <c r="AV863" s="747"/>
      <c r="AW863" s="747"/>
      <c r="AX863" s="747"/>
    </row>
    <row r="864" spans="1:50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747"/>
      <c r="AO864" s="747"/>
      <c r="AP864" s="747"/>
      <c r="AQ864" s="747"/>
      <c r="AR864" s="747"/>
      <c r="AS864" s="747"/>
      <c r="AT864" s="747"/>
      <c r="AU864" s="747"/>
      <c r="AV864" s="747"/>
      <c r="AW864" s="747"/>
      <c r="AX864" s="747"/>
    </row>
    <row r="865" spans="1:50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747"/>
      <c r="AO865" s="747"/>
      <c r="AP865" s="747"/>
      <c r="AQ865" s="747"/>
      <c r="AR865" s="747"/>
      <c r="AS865" s="747"/>
      <c r="AT865" s="747"/>
      <c r="AU865" s="747"/>
      <c r="AV865" s="747"/>
      <c r="AW865" s="747"/>
      <c r="AX865" s="747"/>
    </row>
    <row r="866" spans="1:50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747"/>
      <c r="AO866" s="747"/>
      <c r="AP866" s="747"/>
      <c r="AQ866" s="747"/>
      <c r="AR866" s="747"/>
      <c r="AS866" s="747"/>
      <c r="AT866" s="747"/>
      <c r="AU866" s="747"/>
      <c r="AV866" s="747"/>
      <c r="AW866" s="747"/>
      <c r="AX866" s="747"/>
    </row>
    <row r="867" spans="1:50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747"/>
      <c r="AO867" s="747"/>
      <c r="AP867" s="747"/>
      <c r="AQ867" s="747"/>
      <c r="AR867" s="747"/>
      <c r="AS867" s="747"/>
      <c r="AT867" s="747"/>
      <c r="AU867" s="747"/>
      <c r="AV867" s="747"/>
      <c r="AW867" s="747"/>
      <c r="AX867" s="747"/>
    </row>
    <row r="868" spans="1:50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747"/>
      <c r="AO868" s="747"/>
      <c r="AP868" s="747"/>
      <c r="AQ868" s="747"/>
      <c r="AR868" s="747"/>
      <c r="AS868" s="747"/>
      <c r="AT868" s="747"/>
      <c r="AU868" s="747"/>
      <c r="AV868" s="747"/>
      <c r="AW868" s="747"/>
      <c r="AX868" s="747"/>
    </row>
    <row r="869" spans="1:50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747"/>
      <c r="AO869" s="747"/>
      <c r="AP869" s="747"/>
      <c r="AQ869" s="747"/>
      <c r="AR869" s="747"/>
      <c r="AS869" s="747"/>
      <c r="AT869" s="747"/>
      <c r="AU869" s="747"/>
      <c r="AV869" s="747"/>
      <c r="AW869" s="747"/>
      <c r="AX869" s="747"/>
    </row>
    <row r="870" spans="1:5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747"/>
      <c r="AO870" s="747"/>
      <c r="AP870" s="747"/>
      <c r="AQ870" s="747"/>
      <c r="AR870" s="747"/>
      <c r="AS870" s="747"/>
      <c r="AT870" s="747"/>
      <c r="AU870" s="747"/>
      <c r="AV870" s="747"/>
      <c r="AW870" s="747"/>
      <c r="AX870" s="747"/>
    </row>
    <row r="871" spans="1:50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747"/>
      <c r="AO871" s="747"/>
      <c r="AP871" s="747"/>
      <c r="AQ871" s="747"/>
      <c r="AR871" s="747"/>
      <c r="AS871" s="747"/>
      <c r="AT871" s="747"/>
      <c r="AU871" s="747"/>
      <c r="AV871" s="747"/>
      <c r="AW871" s="747"/>
      <c r="AX871" s="747"/>
    </row>
    <row r="872" spans="1:50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747"/>
      <c r="AO872" s="747"/>
      <c r="AP872" s="747"/>
      <c r="AQ872" s="747"/>
      <c r="AR872" s="747"/>
      <c r="AS872" s="747"/>
      <c r="AT872" s="747"/>
      <c r="AU872" s="747"/>
      <c r="AV872" s="747"/>
      <c r="AW872" s="747"/>
      <c r="AX872" s="747"/>
    </row>
    <row r="873" spans="1:50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747"/>
      <c r="AO873" s="747"/>
      <c r="AP873" s="747"/>
      <c r="AQ873" s="747"/>
      <c r="AR873" s="747"/>
      <c r="AS873" s="747"/>
      <c r="AT873" s="747"/>
      <c r="AU873" s="747"/>
      <c r="AV873" s="747"/>
      <c r="AW873" s="747"/>
      <c r="AX873" s="747"/>
    </row>
    <row r="874" spans="1:50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747"/>
      <c r="AO874" s="747"/>
      <c r="AP874" s="747"/>
      <c r="AQ874" s="747"/>
      <c r="AR874" s="747"/>
      <c r="AS874" s="747"/>
      <c r="AT874" s="747"/>
      <c r="AU874" s="747"/>
      <c r="AV874" s="747"/>
      <c r="AW874" s="747"/>
      <c r="AX874" s="747"/>
    </row>
    <row r="875" spans="1:50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747"/>
      <c r="AO875" s="747"/>
      <c r="AP875" s="747"/>
      <c r="AQ875" s="747"/>
      <c r="AR875" s="747"/>
      <c r="AS875" s="747"/>
      <c r="AT875" s="747"/>
      <c r="AU875" s="747"/>
      <c r="AV875" s="747"/>
      <c r="AW875" s="747"/>
      <c r="AX875" s="747"/>
    </row>
    <row r="876" spans="1:50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747"/>
      <c r="AO876" s="747"/>
      <c r="AP876" s="747"/>
      <c r="AQ876" s="747"/>
      <c r="AR876" s="747"/>
      <c r="AS876" s="747"/>
      <c r="AT876" s="747"/>
      <c r="AU876" s="747"/>
      <c r="AV876" s="747"/>
      <c r="AW876" s="747"/>
      <c r="AX876" s="747"/>
    </row>
    <row r="877" spans="1:50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747"/>
      <c r="AO877" s="747"/>
      <c r="AP877" s="747"/>
      <c r="AQ877" s="747"/>
      <c r="AR877" s="747"/>
      <c r="AS877" s="747"/>
      <c r="AT877" s="747"/>
      <c r="AU877" s="747"/>
      <c r="AV877" s="747"/>
      <c r="AW877" s="747"/>
      <c r="AX877" s="747"/>
    </row>
    <row r="878" spans="1:50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747"/>
      <c r="AO878" s="747"/>
      <c r="AP878" s="747"/>
      <c r="AQ878" s="747"/>
      <c r="AR878" s="747"/>
      <c r="AS878" s="747"/>
      <c r="AT878" s="747"/>
      <c r="AU878" s="747"/>
      <c r="AV878" s="747"/>
      <c r="AW878" s="747"/>
      <c r="AX878" s="747"/>
    </row>
    <row r="879" spans="1:50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747"/>
      <c r="AO879" s="747"/>
      <c r="AP879" s="747"/>
      <c r="AQ879" s="747"/>
      <c r="AR879" s="747"/>
      <c r="AS879" s="747"/>
      <c r="AT879" s="747"/>
      <c r="AU879" s="747"/>
      <c r="AV879" s="747"/>
      <c r="AW879" s="747"/>
      <c r="AX879" s="747"/>
    </row>
    <row r="880" spans="1:5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747"/>
      <c r="AO880" s="747"/>
      <c r="AP880" s="747"/>
      <c r="AQ880" s="747"/>
      <c r="AR880" s="747"/>
      <c r="AS880" s="747"/>
      <c r="AT880" s="747"/>
      <c r="AU880" s="747"/>
      <c r="AV880" s="747"/>
      <c r="AW880" s="747"/>
      <c r="AX880" s="747"/>
    </row>
    <row r="881" spans="1:50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747"/>
      <c r="AO881" s="747"/>
      <c r="AP881" s="747"/>
      <c r="AQ881" s="747"/>
      <c r="AR881" s="747"/>
      <c r="AS881" s="747"/>
      <c r="AT881" s="747"/>
      <c r="AU881" s="747"/>
      <c r="AV881" s="747"/>
      <c r="AW881" s="747"/>
      <c r="AX881" s="747"/>
    </row>
    <row r="882" spans="1:50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747"/>
      <c r="AO882" s="747"/>
      <c r="AP882" s="747"/>
      <c r="AQ882" s="747"/>
      <c r="AR882" s="747"/>
      <c r="AS882" s="747"/>
      <c r="AT882" s="747"/>
      <c r="AU882" s="747"/>
      <c r="AV882" s="747"/>
      <c r="AW882" s="747"/>
      <c r="AX882" s="747"/>
    </row>
    <row r="883" spans="1:50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747"/>
      <c r="AO883" s="747"/>
      <c r="AP883" s="747"/>
      <c r="AQ883" s="747"/>
      <c r="AR883" s="747"/>
      <c r="AS883" s="747"/>
      <c r="AT883" s="747"/>
      <c r="AU883" s="747"/>
      <c r="AV883" s="747"/>
      <c r="AW883" s="747"/>
      <c r="AX883" s="747"/>
    </row>
    <row r="884" spans="1:50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747"/>
      <c r="AO884" s="747"/>
      <c r="AP884" s="747"/>
      <c r="AQ884" s="747"/>
      <c r="AR884" s="747"/>
      <c r="AS884" s="747"/>
      <c r="AT884" s="747"/>
      <c r="AU884" s="747"/>
      <c r="AV884" s="747"/>
      <c r="AW884" s="747"/>
      <c r="AX884" s="747"/>
    </row>
    <row r="885" spans="1:50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747"/>
      <c r="AO885" s="747"/>
      <c r="AP885" s="747"/>
      <c r="AQ885" s="747"/>
      <c r="AR885" s="747"/>
      <c r="AS885" s="747"/>
      <c r="AT885" s="747"/>
      <c r="AU885" s="747"/>
      <c r="AV885" s="747"/>
      <c r="AW885" s="747"/>
      <c r="AX885" s="747"/>
    </row>
    <row r="886" spans="1:50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747"/>
      <c r="AO886" s="747"/>
      <c r="AP886" s="747"/>
      <c r="AQ886" s="747"/>
      <c r="AR886" s="747"/>
      <c r="AS886" s="747"/>
      <c r="AT886" s="747"/>
      <c r="AU886" s="747"/>
      <c r="AV886" s="747"/>
      <c r="AW886" s="747"/>
      <c r="AX886" s="747"/>
    </row>
    <row r="887" spans="1:50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747"/>
      <c r="AO887" s="747"/>
      <c r="AP887" s="747"/>
      <c r="AQ887" s="747"/>
      <c r="AR887" s="747"/>
      <c r="AS887" s="747"/>
      <c r="AT887" s="747"/>
      <c r="AU887" s="747"/>
      <c r="AV887" s="747"/>
      <c r="AW887" s="747"/>
      <c r="AX887" s="747"/>
    </row>
    <row r="888" spans="1:50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747"/>
      <c r="AO888" s="747"/>
      <c r="AP888" s="747"/>
      <c r="AQ888" s="747"/>
      <c r="AR888" s="747"/>
      <c r="AS888" s="747"/>
      <c r="AT888" s="747"/>
      <c r="AU888" s="747"/>
      <c r="AV888" s="747"/>
      <c r="AW888" s="747"/>
      <c r="AX888" s="747"/>
    </row>
    <row r="889" spans="1:50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747"/>
      <c r="AO889" s="747"/>
      <c r="AP889" s="747"/>
      <c r="AQ889" s="747"/>
      <c r="AR889" s="747"/>
      <c r="AS889" s="747"/>
      <c r="AT889" s="747"/>
      <c r="AU889" s="747"/>
      <c r="AV889" s="747"/>
      <c r="AW889" s="747"/>
      <c r="AX889" s="747"/>
    </row>
    <row r="890" spans="1:5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747"/>
      <c r="AO890" s="747"/>
      <c r="AP890" s="747"/>
      <c r="AQ890" s="747"/>
      <c r="AR890" s="747"/>
      <c r="AS890" s="747"/>
      <c r="AT890" s="747"/>
      <c r="AU890" s="747"/>
      <c r="AV890" s="747"/>
      <c r="AW890" s="747"/>
      <c r="AX890" s="747"/>
    </row>
    <row r="891" spans="1:50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747"/>
      <c r="AO891" s="747"/>
      <c r="AP891" s="747"/>
      <c r="AQ891" s="747"/>
      <c r="AR891" s="747"/>
      <c r="AS891" s="747"/>
      <c r="AT891" s="747"/>
      <c r="AU891" s="747"/>
      <c r="AV891" s="747"/>
      <c r="AW891" s="747"/>
      <c r="AX891" s="747"/>
    </row>
    <row r="892" spans="1:50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747"/>
      <c r="AO892" s="747"/>
      <c r="AP892" s="747"/>
      <c r="AQ892" s="747"/>
      <c r="AR892" s="747"/>
      <c r="AS892" s="747"/>
      <c r="AT892" s="747"/>
      <c r="AU892" s="747"/>
      <c r="AV892" s="747"/>
      <c r="AW892" s="747"/>
      <c r="AX892" s="747"/>
    </row>
    <row r="893" spans="1:50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747"/>
      <c r="AO893" s="747"/>
      <c r="AP893" s="747"/>
      <c r="AQ893" s="747"/>
      <c r="AR893" s="747"/>
      <c r="AS893" s="747"/>
      <c r="AT893" s="747"/>
      <c r="AU893" s="747"/>
      <c r="AV893" s="747"/>
      <c r="AW893" s="747"/>
      <c r="AX893" s="747"/>
    </row>
    <row r="894" spans="1:50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747"/>
      <c r="AO894" s="747"/>
      <c r="AP894" s="747"/>
      <c r="AQ894" s="747"/>
      <c r="AR894" s="747"/>
      <c r="AS894" s="747"/>
      <c r="AT894" s="747"/>
      <c r="AU894" s="747"/>
      <c r="AV894" s="747"/>
      <c r="AW894" s="747"/>
      <c r="AX894" s="747"/>
    </row>
    <row r="895" spans="1:50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747"/>
      <c r="AO895" s="747"/>
      <c r="AP895" s="747"/>
      <c r="AQ895" s="747"/>
      <c r="AR895" s="747"/>
      <c r="AS895" s="747"/>
      <c r="AT895" s="747"/>
      <c r="AU895" s="747"/>
      <c r="AV895" s="747"/>
      <c r="AW895" s="747"/>
      <c r="AX895" s="747"/>
    </row>
    <row r="896" spans="1:50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747"/>
      <c r="AO896" s="747"/>
      <c r="AP896" s="747"/>
      <c r="AQ896" s="747"/>
      <c r="AR896" s="747"/>
      <c r="AS896" s="747"/>
      <c r="AT896" s="747"/>
      <c r="AU896" s="747"/>
      <c r="AV896" s="747"/>
      <c r="AW896" s="747"/>
      <c r="AX896" s="747"/>
    </row>
    <row r="897" spans="1:50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747"/>
      <c r="AO897" s="747"/>
      <c r="AP897" s="747"/>
      <c r="AQ897" s="747"/>
      <c r="AR897" s="747"/>
      <c r="AS897" s="747"/>
      <c r="AT897" s="747"/>
      <c r="AU897" s="747"/>
      <c r="AV897" s="747"/>
      <c r="AW897" s="747"/>
      <c r="AX897" s="747"/>
    </row>
    <row r="898" spans="1:50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747"/>
      <c r="AO898" s="747"/>
      <c r="AP898" s="747"/>
      <c r="AQ898" s="747"/>
      <c r="AR898" s="747"/>
      <c r="AS898" s="747"/>
      <c r="AT898" s="747"/>
      <c r="AU898" s="747"/>
      <c r="AV898" s="747"/>
      <c r="AW898" s="747"/>
      <c r="AX898" s="747"/>
    </row>
    <row r="899" spans="1:50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747"/>
      <c r="AO899" s="747"/>
      <c r="AP899" s="747"/>
      <c r="AQ899" s="747"/>
      <c r="AR899" s="747"/>
      <c r="AS899" s="747"/>
      <c r="AT899" s="747"/>
      <c r="AU899" s="747"/>
      <c r="AV899" s="747"/>
      <c r="AW899" s="747"/>
      <c r="AX899" s="747"/>
    </row>
    <row r="900" spans="1:5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747"/>
      <c r="AO900" s="747"/>
      <c r="AP900" s="747"/>
      <c r="AQ900" s="747"/>
      <c r="AR900" s="747"/>
      <c r="AS900" s="747"/>
      <c r="AT900" s="747"/>
      <c r="AU900" s="747"/>
      <c r="AV900" s="747"/>
      <c r="AW900" s="747"/>
      <c r="AX900" s="747"/>
    </row>
    <row r="901" spans="1:50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747"/>
      <c r="AO901" s="747"/>
      <c r="AP901" s="747"/>
      <c r="AQ901" s="747"/>
      <c r="AR901" s="747"/>
      <c r="AS901" s="747"/>
      <c r="AT901" s="747"/>
      <c r="AU901" s="747"/>
      <c r="AV901" s="747"/>
      <c r="AW901" s="747"/>
      <c r="AX901" s="747"/>
    </row>
    <row r="902" spans="1:50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747"/>
      <c r="AO902" s="747"/>
      <c r="AP902" s="747"/>
      <c r="AQ902" s="747"/>
      <c r="AR902" s="747"/>
      <c r="AS902" s="747"/>
      <c r="AT902" s="747"/>
      <c r="AU902" s="747"/>
      <c r="AV902" s="747"/>
      <c r="AW902" s="747"/>
      <c r="AX902" s="747"/>
    </row>
    <row r="903" spans="1:50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747"/>
      <c r="AO903" s="747"/>
      <c r="AP903" s="747"/>
      <c r="AQ903" s="747"/>
      <c r="AR903" s="747"/>
      <c r="AS903" s="747"/>
      <c r="AT903" s="747"/>
      <c r="AU903" s="747"/>
      <c r="AV903" s="747"/>
      <c r="AW903" s="747"/>
      <c r="AX903" s="747"/>
    </row>
    <row r="904" spans="1:50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747"/>
      <c r="AO904" s="747"/>
      <c r="AP904" s="747"/>
      <c r="AQ904" s="747"/>
      <c r="AR904" s="747"/>
      <c r="AS904" s="747"/>
      <c r="AT904" s="747"/>
      <c r="AU904" s="747"/>
      <c r="AV904" s="747"/>
      <c r="AW904" s="747"/>
      <c r="AX904" s="747"/>
    </row>
    <row r="905" spans="1:50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747"/>
      <c r="AO905" s="747"/>
      <c r="AP905" s="747"/>
      <c r="AQ905" s="747"/>
      <c r="AR905" s="747"/>
      <c r="AS905" s="747"/>
      <c r="AT905" s="747"/>
      <c r="AU905" s="747"/>
      <c r="AV905" s="747"/>
      <c r="AW905" s="747"/>
      <c r="AX905" s="747"/>
    </row>
    <row r="906" spans="1:50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747"/>
      <c r="AO906" s="747"/>
      <c r="AP906" s="747"/>
      <c r="AQ906" s="747"/>
      <c r="AR906" s="747"/>
      <c r="AS906" s="747"/>
      <c r="AT906" s="747"/>
      <c r="AU906" s="747"/>
      <c r="AV906" s="747"/>
      <c r="AW906" s="747"/>
      <c r="AX906" s="747"/>
    </row>
    <row r="907" spans="1:50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747"/>
      <c r="AO907" s="747"/>
      <c r="AP907" s="747"/>
      <c r="AQ907" s="747"/>
      <c r="AR907" s="747"/>
      <c r="AS907" s="747"/>
      <c r="AT907" s="747"/>
      <c r="AU907" s="747"/>
      <c r="AV907" s="747"/>
      <c r="AW907" s="747"/>
      <c r="AX907" s="747"/>
    </row>
    <row r="908" spans="1:50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747"/>
      <c r="AO908" s="747"/>
      <c r="AP908" s="747"/>
      <c r="AQ908" s="747"/>
      <c r="AR908" s="747"/>
      <c r="AS908" s="747"/>
      <c r="AT908" s="747"/>
      <c r="AU908" s="747"/>
      <c r="AV908" s="747"/>
      <c r="AW908" s="747"/>
      <c r="AX908" s="747"/>
    </row>
    <row r="909" spans="1:50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747"/>
      <c r="AO909" s="747"/>
      <c r="AP909" s="747"/>
      <c r="AQ909" s="747"/>
      <c r="AR909" s="747"/>
      <c r="AS909" s="747"/>
      <c r="AT909" s="747"/>
      <c r="AU909" s="747"/>
      <c r="AV909" s="747"/>
      <c r="AW909" s="747"/>
      <c r="AX909" s="747"/>
    </row>
    <row r="910" spans="1:5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747"/>
      <c r="AO910" s="747"/>
      <c r="AP910" s="747"/>
      <c r="AQ910" s="747"/>
      <c r="AR910" s="747"/>
      <c r="AS910" s="747"/>
      <c r="AT910" s="747"/>
      <c r="AU910" s="747"/>
      <c r="AV910" s="747"/>
      <c r="AW910" s="747"/>
      <c r="AX910" s="747"/>
    </row>
    <row r="911" spans="1:50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747"/>
      <c r="AO911" s="747"/>
      <c r="AP911" s="747"/>
      <c r="AQ911" s="747"/>
      <c r="AR911" s="747"/>
      <c r="AS911" s="747"/>
      <c r="AT911" s="747"/>
      <c r="AU911" s="747"/>
      <c r="AV911" s="747"/>
      <c r="AW911" s="747"/>
      <c r="AX911" s="747"/>
    </row>
    <row r="912" spans="1:50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747"/>
      <c r="AO912" s="747"/>
      <c r="AP912" s="747"/>
      <c r="AQ912" s="747"/>
      <c r="AR912" s="747"/>
      <c r="AS912" s="747"/>
      <c r="AT912" s="747"/>
      <c r="AU912" s="747"/>
      <c r="AV912" s="747"/>
      <c r="AW912" s="747"/>
      <c r="AX912" s="747"/>
    </row>
    <row r="913" spans="1:50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747"/>
      <c r="AO913" s="747"/>
      <c r="AP913" s="747"/>
      <c r="AQ913" s="747"/>
      <c r="AR913" s="747"/>
      <c r="AS913" s="747"/>
      <c r="AT913" s="747"/>
      <c r="AU913" s="747"/>
      <c r="AV913" s="747"/>
      <c r="AW913" s="747"/>
      <c r="AX913" s="747"/>
    </row>
    <row r="914" spans="1:50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747"/>
      <c r="AO914" s="747"/>
      <c r="AP914" s="747"/>
      <c r="AQ914" s="747"/>
      <c r="AR914" s="747"/>
      <c r="AS914" s="747"/>
      <c r="AT914" s="747"/>
      <c r="AU914" s="747"/>
      <c r="AV914" s="747"/>
      <c r="AW914" s="747"/>
      <c r="AX914" s="747"/>
    </row>
    <row r="915" spans="1:50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747"/>
      <c r="AO915" s="747"/>
      <c r="AP915" s="747"/>
      <c r="AQ915" s="747"/>
      <c r="AR915" s="747"/>
      <c r="AS915" s="747"/>
      <c r="AT915" s="747"/>
      <c r="AU915" s="747"/>
      <c r="AV915" s="747"/>
      <c r="AW915" s="747"/>
      <c r="AX915" s="747"/>
    </row>
    <row r="916" spans="1:50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747"/>
      <c r="AO916" s="747"/>
      <c r="AP916" s="747"/>
      <c r="AQ916" s="747"/>
      <c r="AR916" s="747"/>
      <c r="AS916" s="747"/>
      <c r="AT916" s="747"/>
      <c r="AU916" s="747"/>
      <c r="AV916" s="747"/>
      <c r="AW916" s="747"/>
      <c r="AX916" s="747"/>
    </row>
    <row r="917" spans="1:50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747"/>
      <c r="AO917" s="747"/>
      <c r="AP917" s="747"/>
      <c r="AQ917" s="747"/>
      <c r="AR917" s="747"/>
      <c r="AS917" s="747"/>
      <c r="AT917" s="747"/>
      <c r="AU917" s="747"/>
      <c r="AV917" s="747"/>
      <c r="AW917" s="747"/>
      <c r="AX917" s="747"/>
    </row>
    <row r="918" spans="1:50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747"/>
      <c r="AO918" s="747"/>
      <c r="AP918" s="747"/>
      <c r="AQ918" s="747"/>
      <c r="AR918" s="747"/>
      <c r="AS918" s="747"/>
      <c r="AT918" s="747"/>
      <c r="AU918" s="747"/>
      <c r="AV918" s="747"/>
      <c r="AW918" s="747"/>
      <c r="AX918" s="747"/>
    </row>
    <row r="919" spans="1:50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747"/>
      <c r="AO919" s="747"/>
      <c r="AP919" s="747"/>
      <c r="AQ919" s="747"/>
      <c r="AR919" s="747"/>
      <c r="AS919" s="747"/>
      <c r="AT919" s="747"/>
      <c r="AU919" s="747"/>
      <c r="AV919" s="747"/>
      <c r="AW919" s="747"/>
      <c r="AX919" s="747"/>
    </row>
    <row r="920" spans="1:5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747"/>
      <c r="AO920" s="747"/>
      <c r="AP920" s="747"/>
      <c r="AQ920" s="747"/>
      <c r="AR920" s="747"/>
      <c r="AS920" s="747"/>
      <c r="AT920" s="747"/>
      <c r="AU920" s="747"/>
      <c r="AV920" s="747"/>
      <c r="AW920" s="747"/>
      <c r="AX920" s="747"/>
    </row>
    <row r="921" spans="1:50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747"/>
      <c r="AO921" s="747"/>
      <c r="AP921" s="747"/>
      <c r="AQ921" s="747"/>
      <c r="AR921" s="747"/>
      <c r="AS921" s="747"/>
      <c r="AT921" s="747"/>
      <c r="AU921" s="747"/>
      <c r="AV921" s="747"/>
      <c r="AW921" s="747"/>
      <c r="AX921" s="747"/>
    </row>
    <row r="922" spans="1:50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747"/>
      <c r="AO922" s="747"/>
      <c r="AP922" s="747"/>
      <c r="AQ922" s="747"/>
      <c r="AR922" s="747"/>
      <c r="AS922" s="747"/>
      <c r="AT922" s="747"/>
      <c r="AU922" s="747"/>
      <c r="AV922" s="747"/>
      <c r="AW922" s="747"/>
      <c r="AX922" s="747"/>
    </row>
    <row r="923" spans="1:50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747"/>
      <c r="AO923" s="747"/>
      <c r="AP923" s="747"/>
      <c r="AQ923" s="747"/>
      <c r="AR923" s="747"/>
      <c r="AS923" s="747"/>
      <c r="AT923" s="747"/>
      <c r="AU923" s="747"/>
      <c r="AV923" s="747"/>
      <c r="AW923" s="747"/>
      <c r="AX923" s="747"/>
    </row>
    <row r="924" spans="1:50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747"/>
      <c r="AO924" s="747"/>
      <c r="AP924" s="747"/>
      <c r="AQ924" s="747"/>
      <c r="AR924" s="747"/>
      <c r="AS924" s="747"/>
      <c r="AT924" s="747"/>
      <c r="AU924" s="747"/>
      <c r="AV924" s="747"/>
      <c r="AW924" s="747"/>
      <c r="AX924" s="747"/>
    </row>
    <row r="925" spans="1:50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747"/>
      <c r="AO925" s="747"/>
      <c r="AP925" s="747"/>
      <c r="AQ925" s="747"/>
      <c r="AR925" s="747"/>
      <c r="AS925" s="747"/>
      <c r="AT925" s="747"/>
      <c r="AU925" s="747"/>
      <c r="AV925" s="747"/>
      <c r="AW925" s="747"/>
      <c r="AX925" s="747"/>
    </row>
    <row r="926" spans="1:50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747"/>
      <c r="AO926" s="747"/>
      <c r="AP926" s="747"/>
      <c r="AQ926" s="747"/>
      <c r="AR926" s="747"/>
      <c r="AS926" s="747"/>
      <c r="AT926" s="747"/>
      <c r="AU926" s="747"/>
      <c r="AV926" s="747"/>
      <c r="AW926" s="747"/>
      <c r="AX926" s="747"/>
    </row>
    <row r="927" spans="1:50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747"/>
      <c r="AO927" s="747"/>
      <c r="AP927" s="747"/>
      <c r="AQ927" s="747"/>
      <c r="AR927" s="747"/>
      <c r="AS927" s="747"/>
      <c r="AT927" s="747"/>
      <c r="AU927" s="747"/>
      <c r="AV927" s="747"/>
      <c r="AW927" s="747"/>
      <c r="AX927" s="747"/>
    </row>
    <row r="928" spans="1:50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747"/>
      <c r="AO928" s="747"/>
      <c r="AP928" s="747"/>
      <c r="AQ928" s="747"/>
      <c r="AR928" s="747"/>
      <c r="AS928" s="747"/>
      <c r="AT928" s="747"/>
      <c r="AU928" s="747"/>
      <c r="AV928" s="747"/>
      <c r="AW928" s="747"/>
      <c r="AX928" s="747"/>
    </row>
    <row r="929" spans="1:50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747"/>
      <c r="AO929" s="747"/>
      <c r="AP929" s="747"/>
      <c r="AQ929" s="747"/>
      <c r="AR929" s="747"/>
      <c r="AS929" s="747"/>
      <c r="AT929" s="747"/>
      <c r="AU929" s="747"/>
      <c r="AV929" s="747"/>
      <c r="AW929" s="747"/>
      <c r="AX929" s="747"/>
    </row>
    <row r="930" spans="1:5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747"/>
      <c r="AO930" s="747"/>
      <c r="AP930" s="747"/>
      <c r="AQ930" s="747"/>
      <c r="AR930" s="747"/>
      <c r="AS930" s="747"/>
      <c r="AT930" s="747"/>
      <c r="AU930" s="747"/>
      <c r="AV930" s="747"/>
      <c r="AW930" s="747"/>
      <c r="AX930" s="747"/>
    </row>
    <row r="931" spans="1:50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747"/>
      <c r="AO931" s="747"/>
      <c r="AP931" s="747"/>
      <c r="AQ931" s="747"/>
      <c r="AR931" s="747"/>
      <c r="AS931" s="747"/>
      <c r="AT931" s="747"/>
      <c r="AU931" s="747"/>
      <c r="AV931" s="747"/>
      <c r="AW931" s="747"/>
      <c r="AX931" s="747"/>
    </row>
    <row r="932" spans="1:50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747"/>
      <c r="AO932" s="747"/>
      <c r="AP932" s="747"/>
      <c r="AQ932" s="747"/>
      <c r="AR932" s="747"/>
      <c r="AS932" s="747"/>
      <c r="AT932" s="747"/>
      <c r="AU932" s="747"/>
      <c r="AV932" s="747"/>
      <c r="AW932" s="747"/>
      <c r="AX932" s="747"/>
    </row>
    <row r="933" spans="1:50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747"/>
      <c r="AO933" s="747"/>
      <c r="AP933" s="747"/>
      <c r="AQ933" s="747"/>
      <c r="AR933" s="747"/>
      <c r="AS933" s="747"/>
      <c r="AT933" s="747"/>
      <c r="AU933" s="747"/>
      <c r="AV933" s="747"/>
      <c r="AW933" s="747"/>
      <c r="AX933" s="747"/>
    </row>
    <row r="934" spans="1:50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747"/>
      <c r="AO934" s="747"/>
      <c r="AP934" s="747"/>
      <c r="AQ934" s="747"/>
      <c r="AR934" s="747"/>
      <c r="AS934" s="747"/>
      <c r="AT934" s="747"/>
      <c r="AU934" s="747"/>
      <c r="AV934" s="747"/>
      <c r="AW934" s="747"/>
      <c r="AX934" s="747"/>
    </row>
    <row r="935" spans="1:50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747"/>
      <c r="AO935" s="747"/>
      <c r="AP935" s="747"/>
      <c r="AQ935" s="747"/>
      <c r="AR935" s="747"/>
      <c r="AS935" s="747"/>
      <c r="AT935" s="747"/>
      <c r="AU935" s="747"/>
      <c r="AV935" s="747"/>
      <c r="AW935" s="747"/>
      <c r="AX935" s="747"/>
    </row>
    <row r="936" spans="1:50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747"/>
      <c r="AO936" s="747"/>
      <c r="AP936" s="747"/>
      <c r="AQ936" s="747"/>
      <c r="AR936" s="747"/>
      <c r="AS936" s="747"/>
      <c r="AT936" s="747"/>
      <c r="AU936" s="747"/>
      <c r="AV936" s="747"/>
      <c r="AW936" s="747"/>
      <c r="AX936" s="747"/>
    </row>
    <row r="937" spans="1:50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747"/>
      <c r="AO937" s="747"/>
      <c r="AP937" s="747"/>
      <c r="AQ937" s="747"/>
      <c r="AR937" s="747"/>
      <c r="AS937" s="747"/>
      <c r="AT937" s="747"/>
      <c r="AU937" s="747"/>
      <c r="AV937" s="747"/>
      <c r="AW937" s="747"/>
      <c r="AX937" s="747"/>
    </row>
    <row r="938" spans="1:50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747"/>
      <c r="AO938" s="747"/>
      <c r="AP938" s="747"/>
      <c r="AQ938" s="747"/>
      <c r="AR938" s="747"/>
      <c r="AS938" s="747"/>
      <c r="AT938" s="747"/>
      <c r="AU938" s="747"/>
      <c r="AV938" s="747"/>
      <c r="AW938" s="747"/>
      <c r="AX938" s="747"/>
    </row>
    <row r="939" spans="1:50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747"/>
      <c r="AO939" s="747"/>
      <c r="AP939" s="747"/>
      <c r="AQ939" s="747"/>
      <c r="AR939" s="747"/>
      <c r="AS939" s="747"/>
      <c r="AT939" s="747"/>
      <c r="AU939" s="747"/>
      <c r="AV939" s="747"/>
      <c r="AW939" s="747"/>
      <c r="AX939" s="747"/>
    </row>
    <row r="940" spans="1:5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747"/>
      <c r="AO940" s="747"/>
      <c r="AP940" s="747"/>
      <c r="AQ940" s="747"/>
      <c r="AR940" s="747"/>
      <c r="AS940" s="747"/>
      <c r="AT940" s="747"/>
      <c r="AU940" s="747"/>
      <c r="AV940" s="747"/>
      <c r="AW940" s="747"/>
      <c r="AX940" s="747"/>
    </row>
    <row r="941" spans="1:50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747"/>
      <c r="AO941" s="747"/>
      <c r="AP941" s="747"/>
      <c r="AQ941" s="747"/>
      <c r="AR941" s="747"/>
      <c r="AS941" s="747"/>
      <c r="AT941" s="747"/>
      <c r="AU941" s="747"/>
      <c r="AV941" s="747"/>
      <c r="AW941" s="747"/>
      <c r="AX941" s="747"/>
    </row>
    <row r="942" spans="1:50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747"/>
      <c r="AO942" s="747"/>
      <c r="AP942" s="747"/>
      <c r="AQ942" s="747"/>
      <c r="AR942" s="747"/>
      <c r="AS942" s="747"/>
      <c r="AT942" s="747"/>
      <c r="AU942" s="747"/>
      <c r="AV942" s="747"/>
      <c r="AW942" s="747"/>
      <c r="AX942" s="747"/>
    </row>
    <row r="943" spans="1:50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747"/>
      <c r="AO943" s="747"/>
      <c r="AP943" s="747"/>
      <c r="AQ943" s="747"/>
      <c r="AR943" s="747"/>
      <c r="AS943" s="747"/>
      <c r="AT943" s="747"/>
      <c r="AU943" s="747"/>
      <c r="AV943" s="747"/>
      <c r="AW943" s="747"/>
      <c r="AX943" s="747"/>
    </row>
    <row r="944" spans="1:50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747"/>
      <c r="AO944" s="747"/>
      <c r="AP944" s="747"/>
      <c r="AQ944" s="747"/>
      <c r="AR944" s="747"/>
      <c r="AS944" s="747"/>
      <c r="AT944" s="747"/>
      <c r="AU944" s="747"/>
      <c r="AV944" s="747"/>
      <c r="AW944" s="747"/>
      <c r="AX944" s="747"/>
    </row>
    <row r="945" spans="1:50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747"/>
      <c r="AO945" s="747"/>
      <c r="AP945" s="747"/>
      <c r="AQ945" s="747"/>
      <c r="AR945" s="747"/>
      <c r="AS945" s="747"/>
      <c r="AT945" s="747"/>
      <c r="AU945" s="747"/>
      <c r="AV945" s="747"/>
      <c r="AW945" s="747"/>
      <c r="AX945" s="747"/>
    </row>
    <row r="946" spans="1:50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747"/>
      <c r="AO946" s="747"/>
      <c r="AP946" s="747"/>
      <c r="AQ946" s="747"/>
      <c r="AR946" s="747"/>
      <c r="AS946" s="747"/>
      <c r="AT946" s="747"/>
      <c r="AU946" s="747"/>
      <c r="AV946" s="747"/>
      <c r="AW946" s="747"/>
      <c r="AX946" s="747"/>
    </row>
    <row r="947" spans="1:50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747"/>
      <c r="AO947" s="747"/>
      <c r="AP947" s="747"/>
      <c r="AQ947" s="747"/>
      <c r="AR947" s="747"/>
      <c r="AS947" s="747"/>
      <c r="AT947" s="747"/>
      <c r="AU947" s="747"/>
      <c r="AV947" s="747"/>
      <c r="AW947" s="747"/>
      <c r="AX947" s="747"/>
    </row>
    <row r="948" spans="1:50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747"/>
      <c r="AO948" s="747"/>
      <c r="AP948" s="747"/>
      <c r="AQ948" s="747"/>
      <c r="AR948" s="747"/>
      <c r="AS948" s="747"/>
      <c r="AT948" s="747"/>
      <c r="AU948" s="747"/>
      <c r="AV948" s="747"/>
      <c r="AW948" s="747"/>
      <c r="AX948" s="747"/>
    </row>
    <row r="949" spans="1:50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747"/>
      <c r="AO949" s="747"/>
      <c r="AP949" s="747"/>
      <c r="AQ949" s="747"/>
      <c r="AR949" s="747"/>
      <c r="AS949" s="747"/>
      <c r="AT949" s="747"/>
      <c r="AU949" s="747"/>
      <c r="AV949" s="747"/>
      <c r="AW949" s="747"/>
      <c r="AX949" s="747"/>
    </row>
    <row r="950" spans="1: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747"/>
      <c r="AO950" s="747"/>
      <c r="AP950" s="747"/>
      <c r="AQ950" s="747"/>
      <c r="AR950" s="747"/>
      <c r="AS950" s="747"/>
      <c r="AT950" s="747"/>
      <c r="AU950" s="747"/>
      <c r="AV950" s="747"/>
      <c r="AW950" s="747"/>
      <c r="AX950" s="747"/>
    </row>
    <row r="951" spans="1:50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747"/>
      <c r="AO951" s="747"/>
      <c r="AP951" s="747"/>
      <c r="AQ951" s="747"/>
      <c r="AR951" s="747"/>
      <c r="AS951" s="747"/>
      <c r="AT951" s="747"/>
      <c r="AU951" s="747"/>
      <c r="AV951" s="747"/>
      <c r="AW951" s="747"/>
      <c r="AX951" s="747"/>
    </row>
    <row r="952" spans="1:50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747"/>
      <c r="AO952" s="747"/>
      <c r="AP952" s="747"/>
      <c r="AQ952" s="747"/>
      <c r="AR952" s="747"/>
      <c r="AS952" s="747"/>
      <c r="AT952" s="747"/>
      <c r="AU952" s="747"/>
      <c r="AV952" s="747"/>
      <c r="AW952" s="747"/>
      <c r="AX952" s="747"/>
    </row>
    <row r="953" spans="1:50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747"/>
      <c r="AO953" s="747"/>
      <c r="AP953" s="747"/>
      <c r="AQ953" s="747"/>
      <c r="AR953" s="747"/>
      <c r="AS953" s="747"/>
      <c r="AT953" s="747"/>
      <c r="AU953" s="747"/>
      <c r="AV953" s="747"/>
      <c r="AW953" s="747"/>
      <c r="AX953" s="747"/>
    </row>
    <row r="954" spans="1:50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747"/>
      <c r="AO954" s="747"/>
      <c r="AP954" s="747"/>
      <c r="AQ954" s="747"/>
      <c r="AR954" s="747"/>
      <c r="AS954" s="747"/>
      <c r="AT954" s="747"/>
      <c r="AU954" s="747"/>
      <c r="AV954" s="747"/>
      <c r="AW954" s="747"/>
      <c r="AX954" s="747"/>
    </row>
    <row r="955" spans="1:50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747"/>
      <c r="AO955" s="747"/>
      <c r="AP955" s="747"/>
      <c r="AQ955" s="747"/>
      <c r="AR955" s="747"/>
      <c r="AS955" s="747"/>
      <c r="AT955" s="747"/>
      <c r="AU955" s="747"/>
      <c r="AV955" s="747"/>
      <c r="AW955" s="747"/>
      <c r="AX955" s="747"/>
    </row>
    <row r="956" spans="1:50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747"/>
      <c r="AO956" s="747"/>
      <c r="AP956" s="747"/>
      <c r="AQ956" s="747"/>
      <c r="AR956" s="747"/>
      <c r="AS956" s="747"/>
      <c r="AT956" s="747"/>
      <c r="AU956" s="747"/>
      <c r="AV956" s="747"/>
      <c r="AW956" s="747"/>
      <c r="AX956" s="747"/>
    </row>
    <row r="957" spans="1:50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747"/>
      <c r="AO957" s="747"/>
      <c r="AP957" s="747"/>
      <c r="AQ957" s="747"/>
      <c r="AR957" s="747"/>
      <c r="AS957" s="747"/>
      <c r="AT957" s="747"/>
      <c r="AU957" s="747"/>
      <c r="AV957" s="747"/>
      <c r="AW957" s="747"/>
      <c r="AX957" s="747"/>
    </row>
    <row r="958" spans="1:50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747"/>
      <c r="AO958" s="747"/>
      <c r="AP958" s="747"/>
      <c r="AQ958" s="747"/>
      <c r="AR958" s="747"/>
      <c r="AS958" s="747"/>
      <c r="AT958" s="747"/>
      <c r="AU958" s="747"/>
      <c r="AV958" s="747"/>
      <c r="AW958" s="747"/>
      <c r="AX958" s="747"/>
    </row>
    <row r="959" spans="1:50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747"/>
      <c r="AO959" s="747"/>
      <c r="AP959" s="747"/>
      <c r="AQ959" s="747"/>
      <c r="AR959" s="747"/>
      <c r="AS959" s="747"/>
      <c r="AT959" s="747"/>
      <c r="AU959" s="747"/>
      <c r="AV959" s="747"/>
      <c r="AW959" s="747"/>
      <c r="AX959" s="747"/>
    </row>
    <row r="960" spans="1:5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747"/>
      <c r="AO960" s="747"/>
      <c r="AP960" s="747"/>
      <c r="AQ960" s="747"/>
      <c r="AR960" s="747"/>
      <c r="AS960" s="747"/>
      <c r="AT960" s="747"/>
      <c r="AU960" s="747"/>
      <c r="AV960" s="747"/>
      <c r="AW960" s="747"/>
      <c r="AX960" s="747"/>
    </row>
    <row r="961" spans="1:50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747"/>
      <c r="AO961" s="747"/>
      <c r="AP961" s="747"/>
      <c r="AQ961" s="747"/>
      <c r="AR961" s="747"/>
      <c r="AS961" s="747"/>
      <c r="AT961" s="747"/>
      <c r="AU961" s="747"/>
      <c r="AV961" s="747"/>
      <c r="AW961" s="747"/>
      <c r="AX961" s="747"/>
    </row>
    <row r="962" spans="1:50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747"/>
      <c r="AO962" s="747"/>
      <c r="AP962" s="747"/>
      <c r="AQ962" s="747"/>
      <c r="AR962" s="747"/>
      <c r="AS962" s="747"/>
      <c r="AT962" s="747"/>
      <c r="AU962" s="747"/>
      <c r="AV962" s="747"/>
      <c r="AW962" s="747"/>
      <c r="AX962" s="747"/>
    </row>
    <row r="963" spans="1:50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747"/>
      <c r="AO963" s="747"/>
      <c r="AP963" s="747"/>
      <c r="AQ963" s="747"/>
      <c r="AR963" s="747"/>
      <c r="AS963" s="747"/>
      <c r="AT963" s="747"/>
      <c r="AU963" s="747"/>
      <c r="AV963" s="747"/>
      <c r="AW963" s="747"/>
      <c r="AX963" s="747"/>
    </row>
    <row r="964" spans="1:50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747"/>
      <c r="AO964" s="747"/>
      <c r="AP964" s="747"/>
      <c r="AQ964" s="747"/>
      <c r="AR964" s="747"/>
      <c r="AS964" s="747"/>
      <c r="AT964" s="747"/>
      <c r="AU964" s="747"/>
      <c r="AV964" s="747"/>
      <c r="AW964" s="747"/>
      <c r="AX964" s="747"/>
    </row>
    <row r="965" spans="1:50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747"/>
      <c r="AO965" s="747"/>
      <c r="AP965" s="747"/>
      <c r="AQ965" s="747"/>
      <c r="AR965" s="747"/>
      <c r="AS965" s="747"/>
      <c r="AT965" s="747"/>
      <c r="AU965" s="747"/>
      <c r="AV965" s="747"/>
      <c r="AW965" s="747"/>
      <c r="AX965" s="747"/>
    </row>
    <row r="966" spans="1:50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747"/>
      <c r="AO966" s="747"/>
      <c r="AP966" s="747"/>
      <c r="AQ966" s="747"/>
      <c r="AR966" s="747"/>
      <c r="AS966" s="747"/>
      <c r="AT966" s="747"/>
      <c r="AU966" s="747"/>
      <c r="AV966" s="747"/>
      <c r="AW966" s="747"/>
      <c r="AX966" s="747"/>
    </row>
    <row r="967" spans="1:50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747"/>
      <c r="AO967" s="747"/>
      <c r="AP967" s="747"/>
      <c r="AQ967" s="747"/>
      <c r="AR967" s="747"/>
      <c r="AS967" s="747"/>
      <c r="AT967" s="747"/>
      <c r="AU967" s="747"/>
      <c r="AV967" s="747"/>
      <c r="AW967" s="747"/>
      <c r="AX967" s="747"/>
    </row>
    <row r="968" spans="1:50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747"/>
      <c r="AO968" s="747"/>
      <c r="AP968" s="747"/>
      <c r="AQ968" s="747"/>
      <c r="AR968" s="747"/>
      <c r="AS968" s="747"/>
      <c r="AT968" s="747"/>
      <c r="AU968" s="747"/>
      <c r="AV968" s="747"/>
      <c r="AW968" s="747"/>
      <c r="AX968" s="747"/>
    </row>
    <row r="969" spans="1:50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747"/>
      <c r="AO969" s="747"/>
      <c r="AP969" s="747"/>
      <c r="AQ969" s="747"/>
      <c r="AR969" s="747"/>
      <c r="AS969" s="747"/>
      <c r="AT969" s="747"/>
      <c r="AU969" s="747"/>
      <c r="AV969" s="747"/>
      <c r="AW969" s="747"/>
      <c r="AX969" s="747"/>
    </row>
    <row r="970" spans="1:5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747"/>
      <c r="AO970" s="747"/>
      <c r="AP970" s="747"/>
      <c r="AQ970" s="747"/>
      <c r="AR970" s="747"/>
      <c r="AS970" s="747"/>
      <c r="AT970" s="747"/>
      <c r="AU970" s="747"/>
      <c r="AV970" s="747"/>
      <c r="AW970" s="747"/>
      <c r="AX970" s="747"/>
    </row>
    <row r="971" spans="1:50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747"/>
      <c r="AO971" s="747"/>
      <c r="AP971" s="747"/>
      <c r="AQ971" s="747"/>
      <c r="AR971" s="747"/>
      <c r="AS971" s="747"/>
      <c r="AT971" s="747"/>
      <c r="AU971" s="747"/>
      <c r="AV971" s="747"/>
      <c r="AW971" s="747"/>
      <c r="AX971" s="747"/>
    </row>
    <row r="972" spans="1:50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747"/>
      <c r="AO972" s="747"/>
      <c r="AP972" s="747"/>
      <c r="AQ972" s="747"/>
      <c r="AR972" s="747"/>
      <c r="AS972" s="747"/>
      <c r="AT972" s="747"/>
      <c r="AU972" s="747"/>
      <c r="AV972" s="747"/>
      <c r="AW972" s="747"/>
      <c r="AX972" s="747"/>
    </row>
    <row r="973" spans="1:50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747"/>
      <c r="AO973" s="747"/>
      <c r="AP973" s="747"/>
      <c r="AQ973" s="747"/>
      <c r="AR973" s="747"/>
      <c r="AS973" s="747"/>
      <c r="AT973" s="747"/>
      <c r="AU973" s="747"/>
      <c r="AV973" s="747"/>
      <c r="AW973" s="747"/>
      <c r="AX973" s="747"/>
    </row>
    <row r="974" spans="1:50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747"/>
      <c r="AO974" s="747"/>
      <c r="AP974" s="747"/>
      <c r="AQ974" s="747"/>
      <c r="AR974" s="747"/>
      <c r="AS974" s="747"/>
      <c r="AT974" s="747"/>
      <c r="AU974" s="747"/>
      <c r="AV974" s="747"/>
      <c r="AW974" s="747"/>
      <c r="AX974" s="747"/>
    </row>
    <row r="975" spans="1:50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747"/>
      <c r="AO975" s="747"/>
      <c r="AP975" s="747"/>
      <c r="AQ975" s="747"/>
      <c r="AR975" s="747"/>
      <c r="AS975" s="747"/>
      <c r="AT975" s="747"/>
      <c r="AU975" s="747"/>
      <c r="AV975" s="747"/>
      <c r="AW975" s="747"/>
      <c r="AX975" s="747"/>
    </row>
    <row r="976" spans="1:50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747"/>
      <c r="AO976" s="747"/>
      <c r="AP976" s="747"/>
      <c r="AQ976" s="747"/>
      <c r="AR976" s="747"/>
      <c r="AS976" s="747"/>
      <c r="AT976" s="747"/>
      <c r="AU976" s="747"/>
      <c r="AV976" s="747"/>
      <c r="AW976" s="747"/>
      <c r="AX976" s="747"/>
    </row>
    <row r="977" spans="1:50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747"/>
      <c r="AO977" s="747"/>
      <c r="AP977" s="747"/>
      <c r="AQ977" s="747"/>
      <c r="AR977" s="747"/>
      <c r="AS977" s="747"/>
      <c r="AT977" s="747"/>
      <c r="AU977" s="747"/>
      <c r="AV977" s="747"/>
      <c r="AW977" s="747"/>
      <c r="AX977" s="747"/>
    </row>
    <row r="978" spans="1:50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747"/>
      <c r="AO978" s="747"/>
      <c r="AP978" s="747"/>
      <c r="AQ978" s="747"/>
      <c r="AR978" s="747"/>
      <c r="AS978" s="747"/>
      <c r="AT978" s="747"/>
      <c r="AU978" s="747"/>
      <c r="AV978" s="747"/>
      <c r="AW978" s="747"/>
      <c r="AX978" s="747"/>
    </row>
    <row r="979" spans="1:50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747"/>
      <c r="AO979" s="747"/>
      <c r="AP979" s="747"/>
      <c r="AQ979" s="747"/>
      <c r="AR979" s="747"/>
      <c r="AS979" s="747"/>
      <c r="AT979" s="747"/>
      <c r="AU979" s="747"/>
      <c r="AV979" s="747"/>
      <c r="AW979" s="747"/>
      <c r="AX979" s="747"/>
    </row>
    <row r="980" spans="1:5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747"/>
      <c r="AO980" s="747"/>
      <c r="AP980" s="747"/>
      <c r="AQ980" s="747"/>
      <c r="AR980" s="747"/>
      <c r="AS980" s="747"/>
      <c r="AT980" s="747"/>
      <c r="AU980" s="747"/>
      <c r="AV980" s="747"/>
      <c r="AW980" s="747"/>
      <c r="AX980" s="747"/>
    </row>
    <row r="981" spans="1:50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747"/>
      <c r="AO981" s="747"/>
      <c r="AP981" s="747"/>
      <c r="AQ981" s="747"/>
      <c r="AR981" s="747"/>
      <c r="AS981" s="747"/>
      <c r="AT981" s="747"/>
      <c r="AU981" s="747"/>
      <c r="AV981" s="747"/>
      <c r="AW981" s="747"/>
      <c r="AX981" s="747"/>
    </row>
    <row r="982" spans="1:50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747"/>
      <c r="AO982" s="747"/>
      <c r="AP982" s="747"/>
      <c r="AQ982" s="747"/>
      <c r="AR982" s="747"/>
      <c r="AS982" s="747"/>
      <c r="AT982" s="747"/>
      <c r="AU982" s="747"/>
      <c r="AV982" s="747"/>
      <c r="AW982" s="747"/>
      <c r="AX982" s="747"/>
    </row>
    <row r="983" spans="1:50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747"/>
      <c r="AO983" s="747"/>
      <c r="AP983" s="747"/>
      <c r="AQ983" s="747"/>
      <c r="AR983" s="747"/>
      <c r="AS983" s="747"/>
      <c r="AT983" s="747"/>
      <c r="AU983" s="747"/>
      <c r="AV983" s="747"/>
      <c r="AW983" s="747"/>
      <c r="AX983" s="747"/>
    </row>
    <row r="984" spans="1:50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747"/>
      <c r="AO984" s="747"/>
      <c r="AP984" s="747"/>
      <c r="AQ984" s="747"/>
      <c r="AR984" s="747"/>
      <c r="AS984" s="747"/>
      <c r="AT984" s="747"/>
      <c r="AU984" s="747"/>
      <c r="AV984" s="747"/>
      <c r="AW984" s="747"/>
      <c r="AX984" s="747"/>
    </row>
    <row r="985" spans="1:50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747"/>
      <c r="AO985" s="747"/>
      <c r="AP985" s="747"/>
      <c r="AQ985" s="747"/>
      <c r="AR985" s="747"/>
      <c r="AS985" s="747"/>
      <c r="AT985" s="747"/>
      <c r="AU985" s="747"/>
      <c r="AV985" s="747"/>
      <c r="AW985" s="747"/>
      <c r="AX985" s="747"/>
    </row>
    <row r="986" spans="1:50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747"/>
      <c r="AO986" s="747"/>
      <c r="AP986" s="747"/>
      <c r="AQ986" s="747"/>
      <c r="AR986" s="747"/>
      <c r="AS986" s="747"/>
      <c r="AT986" s="747"/>
      <c r="AU986" s="747"/>
      <c r="AV986" s="747"/>
      <c r="AW986" s="747"/>
      <c r="AX986" s="747"/>
    </row>
    <row r="987" spans="1:50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747"/>
      <c r="AO987" s="747"/>
      <c r="AP987" s="747"/>
      <c r="AQ987" s="747"/>
      <c r="AR987" s="747"/>
      <c r="AS987" s="747"/>
      <c r="AT987" s="747"/>
      <c r="AU987" s="747"/>
      <c r="AV987" s="747"/>
      <c r="AW987" s="747"/>
      <c r="AX987" s="747"/>
    </row>
    <row r="988" spans="1:50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747"/>
      <c r="AO988" s="747"/>
      <c r="AP988" s="747"/>
      <c r="AQ988" s="747"/>
      <c r="AR988" s="747"/>
      <c r="AS988" s="747"/>
      <c r="AT988" s="747"/>
      <c r="AU988" s="747"/>
      <c r="AV988" s="747"/>
      <c r="AW988" s="747"/>
      <c r="AX988" s="747"/>
    </row>
    <row r="989" spans="1:50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747"/>
      <c r="AO989" s="747"/>
      <c r="AP989" s="747"/>
      <c r="AQ989" s="747"/>
      <c r="AR989" s="747"/>
      <c r="AS989" s="747"/>
      <c r="AT989" s="747"/>
      <c r="AU989" s="747"/>
      <c r="AV989" s="747"/>
      <c r="AW989" s="747"/>
      <c r="AX989" s="747"/>
    </row>
    <row r="990" spans="1:5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747"/>
      <c r="AO990" s="747"/>
      <c r="AP990" s="747"/>
      <c r="AQ990" s="747"/>
      <c r="AR990" s="747"/>
      <c r="AS990" s="747"/>
      <c r="AT990" s="747"/>
      <c r="AU990" s="747"/>
      <c r="AV990" s="747"/>
      <c r="AW990" s="747"/>
      <c r="AX990" s="747"/>
    </row>
    <row r="991" spans="1:50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747"/>
      <c r="AO991" s="747"/>
      <c r="AP991" s="747"/>
      <c r="AQ991" s="747"/>
      <c r="AR991" s="747"/>
      <c r="AS991" s="747"/>
      <c r="AT991" s="747"/>
      <c r="AU991" s="747"/>
      <c r="AV991" s="747"/>
      <c r="AW991" s="747"/>
      <c r="AX991" s="747"/>
    </row>
    <row r="992" spans="1:50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747"/>
      <c r="AO992" s="747"/>
      <c r="AP992" s="747"/>
      <c r="AQ992" s="747"/>
      <c r="AR992" s="747"/>
      <c r="AS992" s="747"/>
      <c r="AT992" s="747"/>
      <c r="AU992" s="747"/>
      <c r="AV992" s="747"/>
      <c r="AW992" s="747"/>
      <c r="AX992" s="747"/>
    </row>
    <row r="993" spans="1:50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747"/>
      <c r="AO993" s="747"/>
      <c r="AP993" s="747"/>
      <c r="AQ993" s="747"/>
      <c r="AR993" s="747"/>
      <c r="AS993" s="747"/>
      <c r="AT993" s="747"/>
      <c r="AU993" s="747"/>
      <c r="AV993" s="747"/>
      <c r="AW993" s="747"/>
      <c r="AX993" s="747"/>
    </row>
    <row r="994" spans="1:50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747"/>
      <c r="AO994" s="747"/>
      <c r="AP994" s="747"/>
      <c r="AQ994" s="747"/>
      <c r="AR994" s="747"/>
      <c r="AS994" s="747"/>
      <c r="AT994" s="747"/>
      <c r="AU994" s="747"/>
      <c r="AV994" s="747"/>
      <c r="AW994" s="747"/>
      <c r="AX994" s="747"/>
    </row>
    <row r="995" spans="1:50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747"/>
      <c r="AO995" s="747"/>
      <c r="AP995" s="747"/>
      <c r="AQ995" s="747"/>
      <c r="AR995" s="747"/>
      <c r="AS995" s="747"/>
      <c r="AT995" s="747"/>
      <c r="AU995" s="747"/>
      <c r="AV995" s="747"/>
      <c r="AW995" s="747"/>
      <c r="AX995" s="747"/>
    </row>
    <row r="996" spans="1:50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747"/>
      <c r="AO996" s="747"/>
      <c r="AP996" s="747"/>
      <c r="AQ996" s="747"/>
      <c r="AR996" s="747"/>
      <c r="AS996" s="747"/>
      <c r="AT996" s="747"/>
      <c r="AU996" s="747"/>
      <c r="AV996" s="747"/>
      <c r="AW996" s="747"/>
      <c r="AX996" s="747"/>
    </row>
    <row r="997" spans="1:50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747"/>
      <c r="AO997" s="747"/>
      <c r="AP997" s="747"/>
      <c r="AQ997" s="747"/>
      <c r="AR997" s="747"/>
      <c r="AS997" s="747"/>
      <c r="AT997" s="747"/>
      <c r="AU997" s="747"/>
      <c r="AV997" s="747"/>
      <c r="AW997" s="747"/>
      <c r="AX997" s="747"/>
    </row>
    <row r="998" spans="1:50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747"/>
      <c r="AO998" s="747"/>
      <c r="AP998" s="747"/>
      <c r="AQ998" s="747"/>
      <c r="AR998" s="747"/>
      <c r="AS998" s="747"/>
      <c r="AT998" s="747"/>
      <c r="AU998" s="747"/>
      <c r="AV998" s="747"/>
      <c r="AW998" s="747"/>
      <c r="AX998" s="747"/>
    </row>
    <row r="999" spans="1:50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747"/>
      <c r="AO999" s="747"/>
      <c r="AP999" s="747"/>
      <c r="AQ999" s="747"/>
      <c r="AR999" s="747"/>
      <c r="AS999" s="747"/>
      <c r="AT999" s="747"/>
      <c r="AU999" s="747"/>
      <c r="AV999" s="747"/>
      <c r="AW999" s="747"/>
      <c r="AX999" s="747"/>
    </row>
    <row r="1000" spans="1:5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747"/>
      <c r="AO1000" s="747"/>
      <c r="AP1000" s="747"/>
      <c r="AQ1000" s="747"/>
      <c r="AR1000" s="747"/>
      <c r="AS1000" s="747"/>
      <c r="AT1000" s="747"/>
      <c r="AU1000" s="747"/>
      <c r="AV1000" s="747"/>
      <c r="AW1000" s="747"/>
      <c r="AX1000" s="747"/>
    </row>
    <row r="1001" spans="1:50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747"/>
      <c r="AO1001" s="747"/>
      <c r="AP1001" s="747"/>
      <c r="AQ1001" s="747"/>
      <c r="AR1001" s="747"/>
      <c r="AS1001" s="747"/>
      <c r="AT1001" s="747"/>
      <c r="AU1001" s="747"/>
      <c r="AV1001" s="747"/>
      <c r="AW1001" s="747"/>
      <c r="AX1001" s="747"/>
    </row>
    <row r="1002" spans="1:50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747"/>
      <c r="AO1002" s="747"/>
      <c r="AP1002" s="747"/>
      <c r="AQ1002" s="747"/>
      <c r="AR1002" s="747"/>
      <c r="AS1002" s="747"/>
      <c r="AT1002" s="747"/>
      <c r="AU1002" s="747"/>
      <c r="AV1002" s="747"/>
      <c r="AW1002" s="747"/>
      <c r="AX1002" s="747"/>
    </row>
    <row r="1003" spans="1:50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747"/>
      <c r="AO1003" s="747"/>
      <c r="AP1003" s="747"/>
      <c r="AQ1003" s="747"/>
      <c r="AR1003" s="747"/>
      <c r="AS1003" s="747"/>
      <c r="AT1003" s="747"/>
      <c r="AU1003" s="747"/>
      <c r="AV1003" s="747"/>
      <c r="AW1003" s="747"/>
      <c r="AX1003" s="747"/>
    </row>
    <row r="1004" spans="1:50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747"/>
      <c r="AO1004" s="747"/>
      <c r="AP1004" s="747"/>
      <c r="AQ1004" s="747"/>
      <c r="AR1004" s="747"/>
      <c r="AS1004" s="747"/>
      <c r="AT1004" s="747"/>
      <c r="AU1004" s="747"/>
      <c r="AV1004" s="747"/>
      <c r="AW1004" s="747"/>
      <c r="AX1004" s="747"/>
    </row>
    <row r="1005" spans="1:50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747"/>
      <c r="AO1005" s="747"/>
      <c r="AP1005" s="747"/>
      <c r="AQ1005" s="747"/>
      <c r="AR1005" s="747"/>
      <c r="AS1005" s="747"/>
      <c r="AT1005" s="747"/>
      <c r="AU1005" s="747"/>
      <c r="AV1005" s="747"/>
      <c r="AW1005" s="747"/>
      <c r="AX1005" s="747"/>
    </row>
    <row r="1006" spans="1:50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747"/>
      <c r="AO1006" s="747"/>
      <c r="AP1006" s="747"/>
      <c r="AQ1006" s="747"/>
      <c r="AR1006" s="747"/>
      <c r="AS1006" s="747"/>
      <c r="AT1006" s="747"/>
      <c r="AU1006" s="747"/>
      <c r="AV1006" s="747"/>
      <c r="AW1006" s="747"/>
      <c r="AX1006" s="747"/>
    </row>
    <row r="1007" spans="1:50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747"/>
      <c r="AO1007" s="747"/>
      <c r="AP1007" s="747"/>
      <c r="AQ1007" s="747"/>
      <c r="AR1007" s="747"/>
      <c r="AS1007" s="747"/>
      <c r="AT1007" s="747"/>
      <c r="AU1007" s="747"/>
      <c r="AV1007" s="747"/>
      <c r="AW1007" s="747"/>
      <c r="AX1007" s="747"/>
    </row>
    <row r="1008" spans="1:50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747"/>
      <c r="AO1008" s="747"/>
      <c r="AP1008" s="747"/>
      <c r="AQ1008" s="747"/>
      <c r="AR1008" s="747"/>
      <c r="AS1008" s="747"/>
      <c r="AT1008" s="747"/>
      <c r="AU1008" s="747"/>
      <c r="AV1008" s="747"/>
      <c r="AW1008" s="747"/>
      <c r="AX1008" s="747"/>
    </row>
    <row r="1009" spans="1:50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747"/>
      <c r="AO1009" s="747"/>
      <c r="AP1009" s="747"/>
      <c r="AQ1009" s="747"/>
      <c r="AR1009" s="747"/>
      <c r="AS1009" s="747"/>
      <c r="AT1009" s="747"/>
      <c r="AU1009" s="747"/>
      <c r="AV1009" s="747"/>
      <c r="AW1009" s="747"/>
      <c r="AX1009" s="747"/>
    </row>
    <row r="1010" spans="1:50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747"/>
      <c r="AO1010" s="747"/>
      <c r="AP1010" s="747"/>
      <c r="AQ1010" s="747"/>
      <c r="AR1010" s="747"/>
      <c r="AS1010" s="747"/>
      <c r="AT1010" s="747"/>
      <c r="AU1010" s="747"/>
      <c r="AV1010" s="747"/>
      <c r="AW1010" s="747"/>
      <c r="AX1010" s="747"/>
    </row>
    <row r="1011" spans="1:50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747"/>
      <c r="AO1011" s="747"/>
      <c r="AP1011" s="747"/>
      <c r="AQ1011" s="747"/>
      <c r="AR1011" s="747"/>
      <c r="AS1011" s="747"/>
      <c r="AT1011" s="747"/>
      <c r="AU1011" s="747"/>
      <c r="AV1011" s="747"/>
      <c r="AW1011" s="747"/>
      <c r="AX1011" s="747"/>
    </row>
    <row r="1012" spans="1:50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747"/>
      <c r="AO1012" s="747"/>
      <c r="AP1012" s="747"/>
      <c r="AQ1012" s="747"/>
      <c r="AR1012" s="747"/>
      <c r="AS1012" s="747"/>
      <c r="AT1012" s="747"/>
      <c r="AU1012" s="747"/>
      <c r="AV1012" s="747"/>
      <c r="AW1012" s="747"/>
      <c r="AX1012" s="747"/>
    </row>
    <row r="1013" spans="1:50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747"/>
      <c r="AO1013" s="747"/>
      <c r="AP1013" s="747"/>
      <c r="AQ1013" s="747"/>
      <c r="AR1013" s="747"/>
      <c r="AS1013" s="747"/>
      <c r="AT1013" s="747"/>
      <c r="AU1013" s="747"/>
      <c r="AV1013" s="747"/>
      <c r="AW1013" s="747"/>
      <c r="AX1013" s="747"/>
    </row>
    <row r="1014" spans="1:50" ht="15" customHeight="1">
      <c r="A1014" s="747"/>
      <c r="B1014" s="747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747"/>
      <c r="AM1014" s="747"/>
      <c r="AN1014" s="747"/>
      <c r="AO1014" s="747"/>
      <c r="AP1014" s="747"/>
      <c r="AQ1014" s="747"/>
      <c r="AR1014" s="747"/>
      <c r="AS1014" s="747"/>
      <c r="AT1014" s="747"/>
      <c r="AU1014" s="747"/>
      <c r="AV1014" s="747"/>
      <c r="AW1014" s="747"/>
      <c r="AX1014" s="747"/>
    </row>
    <row r="1015" spans="1:50" ht="15" customHeight="1">
      <c r="A1015" s="747"/>
      <c r="B1015" s="747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747"/>
      <c r="AM1015" s="747"/>
      <c r="AN1015" s="747"/>
      <c r="AO1015" s="747"/>
      <c r="AP1015" s="747"/>
      <c r="AQ1015" s="747"/>
      <c r="AR1015" s="747"/>
      <c r="AS1015" s="747"/>
      <c r="AT1015" s="747"/>
      <c r="AU1015" s="747"/>
      <c r="AV1015" s="747"/>
      <c r="AW1015" s="747"/>
      <c r="AX1015" s="747"/>
    </row>
    <row r="1016" spans="1:50" ht="15" customHeight="1">
      <c r="A1016" s="747"/>
      <c r="B1016" s="747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747"/>
      <c r="AM1016" s="747"/>
      <c r="AN1016" s="747"/>
      <c r="AO1016" s="747"/>
      <c r="AP1016" s="747"/>
      <c r="AQ1016" s="747"/>
      <c r="AR1016" s="747"/>
      <c r="AS1016" s="747"/>
      <c r="AT1016" s="747"/>
      <c r="AU1016" s="747"/>
      <c r="AV1016" s="747"/>
      <c r="AW1016" s="747"/>
      <c r="AX1016" s="747"/>
    </row>
    <row r="1017" spans="1:50" ht="15" customHeight="1">
      <c r="A1017" s="747"/>
      <c r="B1017" s="747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747"/>
      <c r="AM1017" s="747"/>
      <c r="AN1017" s="747"/>
      <c r="AO1017" s="747"/>
      <c r="AP1017" s="747"/>
      <c r="AQ1017" s="747"/>
      <c r="AR1017" s="747"/>
      <c r="AS1017" s="747"/>
      <c r="AT1017" s="747"/>
      <c r="AU1017" s="747"/>
      <c r="AV1017" s="747"/>
      <c r="AW1017" s="747"/>
      <c r="AX1017" s="747"/>
    </row>
    <row r="1018" spans="1:50" ht="15" customHeight="1">
      <c r="A1018" s="747"/>
      <c r="B1018" s="747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747"/>
      <c r="AM1018" s="747"/>
      <c r="AN1018" s="747"/>
      <c r="AO1018" s="747"/>
      <c r="AP1018" s="747"/>
      <c r="AQ1018" s="747"/>
      <c r="AR1018" s="747"/>
      <c r="AS1018" s="747"/>
      <c r="AT1018" s="747"/>
      <c r="AU1018" s="747"/>
      <c r="AV1018" s="747"/>
      <c r="AW1018" s="747"/>
      <c r="AX1018" s="747"/>
    </row>
    <row r="1019" spans="1:50" ht="15" customHeight="1">
      <c r="A1019" s="747"/>
      <c r="B1019" s="747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747"/>
      <c r="AM1019" s="747"/>
      <c r="AN1019" s="747"/>
      <c r="AO1019" s="747"/>
      <c r="AP1019" s="747"/>
      <c r="AQ1019" s="747"/>
      <c r="AR1019" s="747"/>
      <c r="AS1019" s="747"/>
      <c r="AT1019" s="747"/>
      <c r="AU1019" s="747"/>
      <c r="AV1019" s="747"/>
      <c r="AW1019" s="747"/>
      <c r="AX1019" s="747"/>
    </row>
    <row r="1020" spans="1:50" ht="15" customHeight="1">
      <c r="A1020" s="747"/>
      <c r="B1020" s="747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747"/>
      <c r="AM1020" s="747"/>
      <c r="AN1020" s="747"/>
      <c r="AO1020" s="747"/>
      <c r="AP1020" s="747"/>
      <c r="AQ1020" s="747"/>
      <c r="AR1020" s="747"/>
      <c r="AS1020" s="747"/>
      <c r="AT1020" s="747"/>
      <c r="AU1020" s="747"/>
      <c r="AV1020" s="747"/>
      <c r="AW1020" s="747"/>
      <c r="AX1020" s="747"/>
    </row>
    <row r="1021" spans="1:50" ht="15" customHeight="1">
      <c r="A1021" s="747"/>
      <c r="B1021" s="747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747"/>
      <c r="AM1021" s="747"/>
      <c r="AN1021" s="747"/>
      <c r="AO1021" s="747"/>
      <c r="AP1021" s="747"/>
      <c r="AQ1021" s="747"/>
      <c r="AR1021" s="747"/>
      <c r="AS1021" s="747"/>
      <c r="AT1021" s="747"/>
      <c r="AU1021" s="747"/>
      <c r="AV1021" s="747"/>
      <c r="AW1021" s="747"/>
      <c r="AX1021" s="747"/>
    </row>
    <row r="1022" spans="1:50" ht="15" customHeight="1">
      <c r="A1022" s="747"/>
      <c r="B1022" s="747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747"/>
      <c r="AM1022" s="747"/>
      <c r="AN1022" s="747"/>
      <c r="AO1022" s="747"/>
      <c r="AP1022" s="747"/>
      <c r="AQ1022" s="747"/>
      <c r="AR1022" s="747"/>
      <c r="AS1022" s="747"/>
      <c r="AT1022" s="747"/>
      <c r="AU1022" s="747"/>
      <c r="AV1022" s="747"/>
      <c r="AW1022" s="747"/>
      <c r="AX1022" s="747"/>
    </row>
    <row r="1023" spans="1:50" ht="15" customHeight="1">
      <c r="A1023" s="747"/>
      <c r="B1023" s="747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747"/>
      <c r="AM1023" s="747"/>
      <c r="AN1023" s="747"/>
      <c r="AO1023" s="747"/>
      <c r="AP1023" s="747"/>
      <c r="AQ1023" s="747"/>
      <c r="AR1023" s="747"/>
      <c r="AS1023" s="747"/>
      <c r="AT1023" s="747"/>
      <c r="AU1023" s="747"/>
      <c r="AV1023" s="747"/>
      <c r="AW1023" s="747"/>
      <c r="AX1023" s="747"/>
    </row>
    <row r="1024" spans="1:50" ht="15" customHeight="1">
      <c r="A1024" s="747"/>
      <c r="B1024" s="747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747"/>
      <c r="AM1024" s="747"/>
      <c r="AN1024" s="747"/>
      <c r="AO1024" s="747"/>
      <c r="AP1024" s="747"/>
      <c r="AQ1024" s="747"/>
      <c r="AR1024" s="747"/>
      <c r="AS1024" s="747"/>
      <c r="AT1024" s="747"/>
      <c r="AU1024" s="747"/>
      <c r="AV1024" s="747"/>
      <c r="AW1024" s="747"/>
      <c r="AX1024" s="747"/>
    </row>
  </sheetData>
  <mergeCells count="8">
    <mergeCell ref="C181:F181"/>
    <mergeCell ref="F191:Q191"/>
    <mergeCell ref="F5:Q5"/>
    <mergeCell ref="F28:Q28"/>
    <mergeCell ref="F87:Q87"/>
    <mergeCell ref="F110:Q110"/>
    <mergeCell ref="F133:Q133"/>
    <mergeCell ref="C167:F167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46A2D3A3-E235-4A89-B5C1-D596DA88F0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'JV Summary'!E75:AX75</xm:f>
              <xm:sqref>D75</xm:sqref>
            </x14:sparkline>
            <x14:sparkline>
              <xm:f>'JV Summary'!E71:AX71</xm:f>
              <xm:sqref>D71</xm:sqref>
            </x14:sparkline>
            <x14:sparkline>
              <xm:f>'JV Summary'!E70:AX70</xm:f>
              <xm:sqref>D70</xm:sqref>
            </x14:sparkline>
            <x14:sparkline>
              <xm:f>'JV Summary'!E65:AX65</xm:f>
              <xm:sqref>D65</xm:sqref>
            </x14:sparkline>
            <x14:sparkline>
              <xm:f>'JV Summary'!E64:AX64</xm:f>
              <xm:sqref>D64</xm:sqref>
            </x14:sparkline>
            <x14:sparkline>
              <xm:f>'JV Summary'!E59:AX59</xm:f>
              <xm:sqref>D59</xm:sqref>
            </x14:sparkline>
          </x14:sparklines>
        </x14:sparklineGroup>
        <x14:sparklineGroup type="column" displayEmptyCellsAs="gap" negative="1" xr2:uid="{7F03CB0F-1208-4629-B789-296722D38056}">
          <x14:colorSeries theme="3" tint="4.9989318521683403E-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'JV Summary'!E47:AX47</xm:f>
              <xm:sqref>D47</xm:sqref>
            </x14:sparkline>
            <x14:sparkline>
              <xm:f>'JV Summary'!E46:AX46</xm:f>
              <xm:sqref>D46</xm:sqref>
            </x14:sparkline>
            <x14:sparkline>
              <xm:f>'JV Summary'!E45:AX45</xm:f>
              <xm:sqref>D45</xm:sqref>
            </x14:sparkline>
            <x14:sparkline>
              <xm:f>'JV Summary'!E44:AX44</xm:f>
              <xm:sqref>D44</xm:sqref>
            </x14:sparkline>
            <x14:sparkline>
              <xm:f>'JV Summary'!E43:AX43</xm:f>
              <xm:sqref>D43</xm:sqref>
            </x14:sparkline>
            <x14:sparkline>
              <xm:f>'JV Summary'!E42:AX42</xm:f>
              <xm:sqref>D42</xm:sqref>
            </x14:sparkline>
            <x14:sparkline>
              <xm:f>'JV Summary'!E41:AX41</xm:f>
              <xm:sqref>D41</xm:sqref>
            </x14:sparkline>
            <x14:sparkline>
              <xm:f>'JV Summary'!E40:AX40</xm:f>
              <xm:sqref>D40</xm:sqref>
            </x14:sparkline>
            <x14:sparkline>
              <xm:f>'JV Summary'!E39:AX39</xm:f>
              <xm:sqref>D39</xm:sqref>
            </x14:sparkline>
            <x14:sparkline>
              <xm:f>'JV Summary'!E38:AX38</xm:f>
              <xm:sqref>D38</xm:sqref>
            </x14:sparkline>
            <x14:sparkline>
              <xm:f>'JV Summary'!E37:AX37</xm:f>
              <xm:sqref>D37</xm:sqref>
            </x14:sparkline>
            <x14:sparkline>
              <xm:f>'JV Summary'!E36:AX36</xm:f>
              <xm:sqref>D36</xm:sqref>
            </x14:sparkline>
            <x14:sparkline>
              <xm:f>'JV Summary'!E35:AX35</xm:f>
              <xm:sqref>D35</xm:sqref>
            </x14:sparkline>
            <x14:sparkline>
              <xm:f>'JV Summary'!E34:AX34</xm:f>
              <xm:sqref>D34</xm:sqref>
            </x14:sparkline>
            <x14:sparkline>
              <xm:f>'JV Summary'!E33:AX33</xm:f>
              <xm:sqref>D33</xm:sqref>
            </x14:sparkline>
            <x14:sparkline>
              <xm:f>'JV Summary'!E32:AX32</xm:f>
              <xm:sqref>D32</xm:sqref>
            </x14:sparkline>
            <x14:sparkline>
              <xm:f>'JV Summary'!E55:AX55</xm:f>
              <xm:sqref>D55</xm:sqref>
            </x14:sparkline>
            <x14:sparkline>
              <xm:f>'JV Summary'!E53:AX53</xm:f>
              <xm:sqref>D53</xm:sqref>
            </x14:sparkline>
            <x14:sparkline>
              <xm:f>'JV Summary'!E51:AX51</xm:f>
              <xm:sqref>D51</xm:sqref>
            </x14:sparkline>
            <x14:sparkline>
              <xm:f>'JV Summary'!E74:AX74</xm:f>
              <xm:sqref>D74</xm:sqref>
            </x14:sparkline>
            <x14:sparkline>
              <xm:f>'JV Summary'!E73:AX73</xm:f>
              <xm:sqref>D73</xm:sqref>
            </x14:sparkline>
            <x14:sparkline>
              <xm:f>'JV Summary'!E72:AX72</xm:f>
              <xm:sqref>D72</xm:sqref>
            </x14:sparkline>
            <x14:sparkline>
              <xm:f>'JV Summary'!E69:AX69</xm:f>
              <xm:sqref>D69</xm:sqref>
            </x14:sparkline>
            <x14:sparkline>
              <xm:f>'JV Summary'!E68:AX68</xm:f>
              <xm:sqref>D68</xm:sqref>
            </x14:sparkline>
            <x14:sparkline>
              <xm:f>'JV Summary'!E67:AX67</xm:f>
              <xm:sqref>D67</xm:sqref>
            </x14:sparkline>
            <x14:sparkline>
              <xm:f>'JV Summary'!E66:AX66</xm:f>
              <xm:sqref>D66</xm:sqref>
            </x14:sparkline>
            <x14:sparkline>
              <xm:f>'JV Summary'!E63:AX63</xm:f>
              <xm:sqref>D63</xm:sqref>
            </x14:sparkline>
            <x14:sparkline>
              <xm:f>'JV Summary'!E62:AX62</xm:f>
              <xm:sqref>D62</xm:sqref>
            </x14:sparkline>
            <x14:sparkline>
              <xm:f>'JV Summary'!E61:AX61</xm:f>
              <xm:sqref>D61</xm:sqref>
            </x14:sparkline>
            <x14:sparkline>
              <xm:f>'JV Summary'!E60:AX60</xm:f>
              <xm:sqref>D60</xm:sqref>
            </x14:sparkline>
            <x14:sparkline>
              <xm:f>'JV Summary'!E81:AX81</xm:f>
              <xm:sqref>D81</xm:sqref>
            </x14:sparkline>
            <x14:sparkline>
              <xm:f>'JV Summary'!E80:AX80</xm:f>
              <xm:sqref>D80</xm:sqref>
            </x14:sparkline>
            <x14:sparkline>
              <xm:f>'JV Summary'!E79:AX79</xm:f>
              <xm:sqref>D79</xm:sqref>
            </x14:sparkline>
            <x14:sparkline>
              <xm:f>'JV Summary'!E136:AX136</xm:f>
              <xm:sqref>D136</xm:sqref>
            </x14:sparkline>
            <x14:sparkline>
              <xm:f>'JV Summary'!E142:AX142</xm:f>
              <xm:sqref>D142</xm:sqref>
            </x14:sparkline>
            <x14:sparkline>
              <xm:f>'JV Summary'!E146:AX146</xm:f>
              <xm:sqref>D146</xm:sqref>
            </x14:sparkline>
          </x14:sparklines>
        </x14:sparklineGroup>
        <x14:sparklineGroup type="column" displayEmptyCellsAs="gap" xr2:uid="{9AC7C86B-7AA6-4394-B083-774758EB1BFB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'JV Summary'!E21:AX21</xm:f>
              <xm:sqref>D21</xm:sqref>
            </x14:sparkline>
          </x14:sparklines>
        </x14:sparklineGroup>
        <x14:sparklineGroup type="column" displayEmptyCellsAs="gap" negative="1" minAxisType="group" maxAxisType="group" xr2:uid="{C7A43EAE-BF18-46B2-AF21-37B8026192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'JV Summary'!E147:AX147</xm:f>
              <xm:sqref>D147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2331-35C8-4E52-ABD6-D758B8260FA5}">
  <sheetPr codeName="Sheet6">
    <tabColor rgb="FF7030A0"/>
  </sheetPr>
  <dimension ref="B1:AV48"/>
  <sheetViews>
    <sheetView workbookViewId="0">
      <selection activeCell="C1" sqref="C1:AV1"/>
    </sheetView>
  </sheetViews>
  <sheetFormatPr baseColWidth="10" defaultColWidth="8.83203125" defaultRowHeight="15"/>
  <cols>
    <col min="1" max="1" width="4" customWidth="1"/>
    <col min="2" max="2" width="45.83203125" customWidth="1"/>
    <col min="3" max="48" width="14.1640625" customWidth="1"/>
  </cols>
  <sheetData>
    <row r="1" spans="2:48">
      <c r="C1" s="43">
        <v>0</v>
      </c>
      <c r="D1" s="90">
        <f t="shared" ref="D1:AV1" si="0">C1+1</f>
        <v>1</v>
      </c>
      <c r="E1" s="90">
        <f t="shared" si="0"/>
        <v>2</v>
      </c>
      <c r="F1" s="90">
        <f t="shared" si="0"/>
        <v>3</v>
      </c>
      <c r="G1" s="90">
        <f t="shared" si="0"/>
        <v>4</v>
      </c>
      <c r="H1" s="90">
        <f t="shared" si="0"/>
        <v>5</v>
      </c>
      <c r="I1" s="90">
        <f t="shared" si="0"/>
        <v>6</v>
      </c>
      <c r="J1" s="90">
        <f t="shared" si="0"/>
        <v>7</v>
      </c>
      <c r="K1" s="90">
        <f t="shared" si="0"/>
        <v>8</v>
      </c>
      <c r="L1" s="90">
        <f t="shared" si="0"/>
        <v>9</v>
      </c>
      <c r="M1" s="90">
        <f t="shared" si="0"/>
        <v>10</v>
      </c>
      <c r="N1" s="90">
        <f t="shared" si="0"/>
        <v>11</v>
      </c>
      <c r="O1" s="90">
        <f t="shared" si="0"/>
        <v>12</v>
      </c>
      <c r="P1" s="90">
        <f t="shared" si="0"/>
        <v>13</v>
      </c>
      <c r="Q1" s="90">
        <f t="shared" si="0"/>
        <v>14</v>
      </c>
      <c r="R1" s="90">
        <f t="shared" si="0"/>
        <v>15</v>
      </c>
      <c r="S1" s="90">
        <f t="shared" si="0"/>
        <v>16</v>
      </c>
      <c r="T1" s="90">
        <f t="shared" si="0"/>
        <v>17</v>
      </c>
      <c r="U1" s="90">
        <f t="shared" si="0"/>
        <v>18</v>
      </c>
      <c r="V1" s="90">
        <f t="shared" si="0"/>
        <v>19</v>
      </c>
      <c r="W1" s="90">
        <f t="shared" si="0"/>
        <v>20</v>
      </c>
      <c r="X1" s="90">
        <f t="shared" si="0"/>
        <v>21</v>
      </c>
      <c r="Y1" s="90">
        <f t="shared" si="0"/>
        <v>22</v>
      </c>
      <c r="Z1" s="90">
        <f t="shared" si="0"/>
        <v>23</v>
      </c>
      <c r="AA1" s="90">
        <f t="shared" si="0"/>
        <v>24</v>
      </c>
      <c r="AB1" s="90">
        <f t="shared" si="0"/>
        <v>25</v>
      </c>
      <c r="AC1" s="90">
        <f t="shared" si="0"/>
        <v>26</v>
      </c>
      <c r="AD1" s="90">
        <f t="shared" si="0"/>
        <v>27</v>
      </c>
      <c r="AE1" s="90">
        <f t="shared" si="0"/>
        <v>28</v>
      </c>
      <c r="AF1" s="90">
        <f t="shared" si="0"/>
        <v>29</v>
      </c>
      <c r="AG1" s="90">
        <f t="shared" si="0"/>
        <v>30</v>
      </c>
      <c r="AH1" s="90">
        <f t="shared" si="0"/>
        <v>31</v>
      </c>
      <c r="AI1" s="90">
        <f t="shared" si="0"/>
        <v>32</v>
      </c>
      <c r="AJ1" s="90">
        <f t="shared" si="0"/>
        <v>33</v>
      </c>
      <c r="AK1" s="90">
        <f t="shared" si="0"/>
        <v>34</v>
      </c>
      <c r="AL1" s="90">
        <f t="shared" si="0"/>
        <v>35</v>
      </c>
      <c r="AM1" s="90">
        <f t="shared" si="0"/>
        <v>36</v>
      </c>
      <c r="AN1" s="90">
        <f t="shared" si="0"/>
        <v>37</v>
      </c>
      <c r="AO1" s="90">
        <f t="shared" si="0"/>
        <v>38</v>
      </c>
      <c r="AP1" s="90">
        <f t="shared" si="0"/>
        <v>39</v>
      </c>
      <c r="AQ1" s="90">
        <f t="shared" si="0"/>
        <v>40</v>
      </c>
      <c r="AR1" s="90">
        <f t="shared" si="0"/>
        <v>41</v>
      </c>
      <c r="AS1" s="90">
        <f t="shared" si="0"/>
        <v>42</v>
      </c>
      <c r="AT1" s="90">
        <f t="shared" si="0"/>
        <v>43</v>
      </c>
      <c r="AU1" s="90">
        <f t="shared" si="0"/>
        <v>44</v>
      </c>
      <c r="AV1" s="90">
        <f t="shared" si="0"/>
        <v>45</v>
      </c>
    </row>
    <row r="2" spans="2:48" ht="16" thickBot="1">
      <c r="C2" s="83"/>
      <c r="D2" s="817" t="s">
        <v>354</v>
      </c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2"/>
    </row>
    <row r="3" spans="2:48" ht="16" thickBot="1">
      <c r="B3" s="79"/>
      <c r="C3" s="511">
        <f>YEAR(C4)</f>
        <v>2026</v>
      </c>
      <c r="D3" s="512">
        <f t="shared" ref="D3:T3" si="1">C3+1</f>
        <v>2027</v>
      </c>
      <c r="E3" s="512">
        <f t="shared" si="1"/>
        <v>2028</v>
      </c>
      <c r="F3" s="512">
        <f t="shared" si="1"/>
        <v>2029</v>
      </c>
      <c r="G3" s="512">
        <f t="shared" si="1"/>
        <v>2030</v>
      </c>
      <c r="H3" s="512">
        <f t="shared" si="1"/>
        <v>2031</v>
      </c>
      <c r="I3" s="512">
        <f t="shared" si="1"/>
        <v>2032</v>
      </c>
      <c r="J3" s="512">
        <f t="shared" si="1"/>
        <v>2033</v>
      </c>
      <c r="K3" s="512">
        <f t="shared" si="1"/>
        <v>2034</v>
      </c>
      <c r="L3" s="512">
        <f t="shared" si="1"/>
        <v>2035</v>
      </c>
      <c r="M3" s="512">
        <f t="shared" si="1"/>
        <v>2036</v>
      </c>
      <c r="N3" s="512">
        <f t="shared" si="1"/>
        <v>2037</v>
      </c>
      <c r="O3" s="512">
        <f t="shared" si="1"/>
        <v>2038</v>
      </c>
      <c r="P3" s="512">
        <f t="shared" si="1"/>
        <v>2039</v>
      </c>
      <c r="Q3" s="512">
        <f t="shared" si="1"/>
        <v>2040</v>
      </c>
      <c r="R3" s="512">
        <f t="shared" si="1"/>
        <v>2041</v>
      </c>
      <c r="S3" s="512">
        <f t="shared" si="1"/>
        <v>2042</v>
      </c>
      <c r="T3" s="512">
        <f t="shared" si="1"/>
        <v>2043</v>
      </c>
      <c r="U3" s="512">
        <f t="shared" ref="U3:AJ3" si="2">T3+1</f>
        <v>2044</v>
      </c>
      <c r="V3" s="512">
        <f t="shared" si="2"/>
        <v>2045</v>
      </c>
      <c r="W3" s="512">
        <f t="shared" si="2"/>
        <v>2046</v>
      </c>
      <c r="X3" s="512">
        <f t="shared" si="2"/>
        <v>2047</v>
      </c>
      <c r="Y3" s="512">
        <f t="shared" si="2"/>
        <v>2048</v>
      </c>
      <c r="Z3" s="512">
        <f t="shared" si="2"/>
        <v>2049</v>
      </c>
      <c r="AA3" s="512">
        <f t="shared" si="2"/>
        <v>2050</v>
      </c>
      <c r="AB3" s="512">
        <f t="shared" si="2"/>
        <v>2051</v>
      </c>
      <c r="AC3" s="512">
        <f t="shared" si="2"/>
        <v>2052</v>
      </c>
      <c r="AD3" s="512">
        <f t="shared" si="2"/>
        <v>2053</v>
      </c>
      <c r="AE3" s="512">
        <f t="shared" si="2"/>
        <v>2054</v>
      </c>
      <c r="AF3" s="512">
        <f t="shared" si="2"/>
        <v>2055</v>
      </c>
      <c r="AG3" s="512">
        <f t="shared" si="2"/>
        <v>2056</v>
      </c>
      <c r="AH3" s="512">
        <f t="shared" si="2"/>
        <v>2057</v>
      </c>
      <c r="AI3" s="512">
        <f t="shared" si="2"/>
        <v>2058</v>
      </c>
      <c r="AJ3" s="512">
        <f t="shared" si="2"/>
        <v>2059</v>
      </c>
      <c r="AK3" s="512">
        <f t="shared" ref="AK3:AS3" si="3">AJ3+1</f>
        <v>2060</v>
      </c>
      <c r="AL3" s="512">
        <f t="shared" si="3"/>
        <v>2061</v>
      </c>
      <c r="AM3" s="512">
        <f t="shared" si="3"/>
        <v>2062</v>
      </c>
      <c r="AN3" s="512">
        <f t="shared" si="3"/>
        <v>2063</v>
      </c>
      <c r="AO3" s="512">
        <f t="shared" si="3"/>
        <v>2064</v>
      </c>
      <c r="AP3" s="512">
        <f t="shared" si="3"/>
        <v>2065</v>
      </c>
      <c r="AQ3" s="512">
        <f t="shared" si="3"/>
        <v>2066</v>
      </c>
      <c r="AR3" s="512">
        <f t="shared" si="3"/>
        <v>2067</v>
      </c>
      <c r="AS3" s="512">
        <f t="shared" si="3"/>
        <v>2068</v>
      </c>
      <c r="AT3" s="512">
        <f t="shared" ref="AT3:AV3" si="4">AS3+1</f>
        <v>2069</v>
      </c>
      <c r="AU3" s="512">
        <f t="shared" si="4"/>
        <v>2070</v>
      </c>
      <c r="AV3" s="513">
        <f t="shared" si="4"/>
        <v>2071</v>
      </c>
    </row>
    <row r="4" spans="2:48">
      <c r="B4" s="253"/>
      <c r="C4" s="254">
        <f>MIN('Assumptions &amp; Inputs'!G27:L27)</f>
        <v>46023</v>
      </c>
      <c r="D4" s="254">
        <f>DATE(D3, 12, 31)</f>
        <v>46752</v>
      </c>
      <c r="E4" s="254">
        <f t="shared" ref="E4:T4" si="5">DATE(E3, 12, 31)</f>
        <v>47118</v>
      </c>
      <c r="F4" s="254">
        <f t="shared" si="5"/>
        <v>47483</v>
      </c>
      <c r="G4" s="254">
        <f t="shared" si="5"/>
        <v>47848</v>
      </c>
      <c r="H4" s="254">
        <f t="shared" si="5"/>
        <v>48213</v>
      </c>
      <c r="I4" s="254">
        <f t="shared" si="5"/>
        <v>48579</v>
      </c>
      <c r="J4" s="254">
        <f t="shared" si="5"/>
        <v>48944</v>
      </c>
      <c r="K4" s="254">
        <f t="shared" si="5"/>
        <v>49309</v>
      </c>
      <c r="L4" s="254">
        <f t="shared" si="5"/>
        <v>49674</v>
      </c>
      <c r="M4" s="254">
        <f t="shared" si="5"/>
        <v>50040</v>
      </c>
      <c r="N4" s="254">
        <f t="shared" si="5"/>
        <v>50405</v>
      </c>
      <c r="O4" s="254">
        <f t="shared" si="5"/>
        <v>50770</v>
      </c>
      <c r="P4" s="254">
        <f t="shared" si="5"/>
        <v>51135</v>
      </c>
      <c r="Q4" s="254">
        <f t="shared" si="5"/>
        <v>51501</v>
      </c>
      <c r="R4" s="254">
        <f t="shared" si="5"/>
        <v>51866</v>
      </c>
      <c r="S4" s="254">
        <f t="shared" si="5"/>
        <v>52231</v>
      </c>
      <c r="T4" s="254">
        <f t="shared" si="5"/>
        <v>52596</v>
      </c>
      <c r="U4" s="254">
        <f t="shared" ref="U4" si="6">DATE(U3, 12, 31)</f>
        <v>52962</v>
      </c>
      <c r="V4" s="254">
        <f t="shared" ref="V4" si="7">DATE(V3, 12, 31)</f>
        <v>53327</v>
      </c>
      <c r="W4" s="254">
        <f t="shared" ref="W4" si="8">DATE(W3, 12, 31)</f>
        <v>53692</v>
      </c>
      <c r="X4" s="254">
        <f t="shared" ref="X4" si="9">DATE(X3, 12, 31)</f>
        <v>54057</v>
      </c>
      <c r="Y4" s="254">
        <f t="shared" ref="Y4" si="10">DATE(Y3, 12, 31)</f>
        <v>54423</v>
      </c>
      <c r="Z4" s="254">
        <f t="shared" ref="Z4" si="11">DATE(Z3, 12, 31)</f>
        <v>54788</v>
      </c>
      <c r="AA4" s="254">
        <f t="shared" ref="AA4" si="12">DATE(AA3, 12, 31)</f>
        <v>55153</v>
      </c>
      <c r="AB4" s="254">
        <f t="shared" ref="AB4" si="13">DATE(AB3, 12, 31)</f>
        <v>55518</v>
      </c>
      <c r="AC4" s="254">
        <f t="shared" ref="AC4" si="14">DATE(AC3, 12, 31)</f>
        <v>55884</v>
      </c>
      <c r="AD4" s="254">
        <f t="shared" ref="AD4" si="15">DATE(AD3, 12, 31)</f>
        <v>56249</v>
      </c>
      <c r="AE4" s="254">
        <f t="shared" ref="AE4" si="16">DATE(AE3, 12, 31)</f>
        <v>56614</v>
      </c>
      <c r="AF4" s="254">
        <f t="shared" ref="AF4" si="17">DATE(AF3, 12, 31)</f>
        <v>56979</v>
      </c>
      <c r="AG4" s="254">
        <f t="shared" ref="AG4" si="18">DATE(AG3, 12, 31)</f>
        <v>57345</v>
      </c>
      <c r="AH4" s="254">
        <f t="shared" ref="AH4" si="19">DATE(AH3, 12, 31)</f>
        <v>57710</v>
      </c>
      <c r="AI4" s="254">
        <f t="shared" ref="AI4" si="20">DATE(AI3, 12, 31)</f>
        <v>58075</v>
      </c>
      <c r="AJ4" s="254">
        <f t="shared" ref="AJ4" si="21">DATE(AJ3, 12, 31)</f>
        <v>58440</v>
      </c>
      <c r="AK4" s="254">
        <f t="shared" ref="AK4" si="22">DATE(AK3, 12, 31)</f>
        <v>58806</v>
      </c>
      <c r="AL4" s="254">
        <f t="shared" ref="AL4" si="23">DATE(AL3, 12, 31)</f>
        <v>59171</v>
      </c>
      <c r="AM4" s="254">
        <f t="shared" ref="AM4" si="24">DATE(AM3, 12, 31)</f>
        <v>59536</v>
      </c>
      <c r="AN4" s="254">
        <f t="shared" ref="AN4" si="25">DATE(AN3, 12, 31)</f>
        <v>59901</v>
      </c>
      <c r="AO4" s="254">
        <f t="shared" ref="AO4" si="26">DATE(AO3, 12, 31)</f>
        <v>60267</v>
      </c>
      <c r="AP4" s="254">
        <f t="shared" ref="AP4" si="27">DATE(AP3, 12, 31)</f>
        <v>60632</v>
      </c>
      <c r="AQ4" s="254">
        <f t="shared" ref="AQ4" si="28">DATE(AQ3, 12, 31)</f>
        <v>60997</v>
      </c>
      <c r="AR4" s="254">
        <f t="shared" ref="AR4" si="29">DATE(AR3, 12, 31)</f>
        <v>61362</v>
      </c>
      <c r="AS4" s="254">
        <f t="shared" ref="AS4" si="30">DATE(AS3, 12, 31)</f>
        <v>61728</v>
      </c>
      <c r="AT4" s="254">
        <f t="shared" ref="AT4" si="31">DATE(AT3, 12, 31)</f>
        <v>62093</v>
      </c>
      <c r="AU4" s="254">
        <f t="shared" ref="AU4" si="32">DATE(AU3, 12, 31)</f>
        <v>62458</v>
      </c>
      <c r="AV4" s="255">
        <f t="shared" ref="AV4" si="33">DATE(AV3, 12, 31)</f>
        <v>62823</v>
      </c>
    </row>
    <row r="5" spans="2:48">
      <c r="B5" s="222" t="s">
        <v>383</v>
      </c>
      <c r="C5" s="476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514"/>
    </row>
    <row r="6" spans="2:48">
      <c r="B6" s="664" t="s">
        <v>122</v>
      </c>
      <c r="C6" s="476">
        <f>IFERROR(_xlfn.XLOOKUP(C$3, Hydrogen!$D$110:$BA$110, Hydrogen!$D$116:$BA$116), 0)</f>
        <v>0</v>
      </c>
      <c r="D6" s="476">
        <f>IFERROR(_xlfn.XLOOKUP(D$3, Hydrogen!$D$110:$BA$110, Hydrogen!$D$116:$BA$116), 0)</f>
        <v>321200.00000000006</v>
      </c>
      <c r="E6" s="476">
        <f>IFERROR(_xlfn.XLOOKUP(E$3, Hydrogen!$D$110:$BA$110, Hydrogen!$D$116:$BA$116), 0)</f>
        <v>481800.00000000006</v>
      </c>
      <c r="F6" s="476">
        <f>IFERROR(_xlfn.XLOOKUP(F$3, Hydrogen!$D$110:$BA$110, Hydrogen!$D$116:$BA$116), 0)</f>
        <v>481800.00000000006</v>
      </c>
      <c r="G6" s="476">
        <f>IFERROR(_xlfn.XLOOKUP(G$3, Hydrogen!$D$110:$BA$110, Hydrogen!$D$116:$BA$116), 0)</f>
        <v>481800.00000000006</v>
      </c>
      <c r="H6" s="476">
        <f>IFERROR(_xlfn.XLOOKUP(H$3, Hydrogen!$D$110:$BA$110, Hydrogen!$D$116:$BA$116), 0)</f>
        <v>481800.00000000006</v>
      </c>
      <c r="I6" s="476">
        <f>IFERROR(_xlfn.XLOOKUP(I$3, Hydrogen!$D$110:$BA$110, Hydrogen!$D$116:$BA$116), 0)</f>
        <v>481800.00000000006</v>
      </c>
      <c r="J6" s="476">
        <f>IFERROR(_xlfn.XLOOKUP(J$3, Hydrogen!$D$110:$BA$110, Hydrogen!$D$116:$BA$116), 0)</f>
        <v>481800.00000000006</v>
      </c>
      <c r="K6" s="476">
        <f>IFERROR(_xlfn.XLOOKUP(K$3, Hydrogen!$D$110:$BA$110, Hydrogen!$D$116:$BA$116), 0)</f>
        <v>481800.00000000006</v>
      </c>
      <c r="L6" s="476">
        <f>IFERROR(_xlfn.XLOOKUP(L$3, Hydrogen!$D$110:$BA$110, Hydrogen!$D$116:$BA$116), 0)</f>
        <v>481800.00000000006</v>
      </c>
      <c r="M6" s="476">
        <f>IFERROR(_xlfn.XLOOKUP(M$3, Hydrogen!$D$110:$BA$110, Hydrogen!$D$116:$BA$116), 0)</f>
        <v>481800.00000000006</v>
      </c>
      <c r="N6" s="476">
        <f>IFERROR(_xlfn.XLOOKUP(N$3, Hydrogen!$D$110:$BA$110, Hydrogen!$D$116:$BA$116), 0)</f>
        <v>481800.00000000006</v>
      </c>
      <c r="O6" s="476">
        <f>IFERROR(_xlfn.XLOOKUP(O$3, Hydrogen!$D$110:$BA$110, Hydrogen!$D$116:$BA$116), 0)</f>
        <v>481800.00000000006</v>
      </c>
      <c r="P6" s="476">
        <f>IFERROR(_xlfn.XLOOKUP(P$3, Hydrogen!$D$110:$BA$110, Hydrogen!$D$116:$BA$116), 0)</f>
        <v>481800.00000000006</v>
      </c>
      <c r="Q6" s="476">
        <f>IFERROR(_xlfn.XLOOKUP(Q$3, Hydrogen!$D$110:$BA$110, Hydrogen!$D$116:$BA$116), 0)</f>
        <v>481800.00000000006</v>
      </c>
      <c r="R6" s="476">
        <f>IFERROR(_xlfn.XLOOKUP(R$3, Hydrogen!$D$110:$BA$110, Hydrogen!$D$116:$BA$116), 0)</f>
        <v>481800.00000000006</v>
      </c>
      <c r="S6" s="476">
        <f>IFERROR(_xlfn.XLOOKUP(S$3, Hydrogen!$D$110:$BA$110, Hydrogen!$D$116:$BA$116), 0)</f>
        <v>481800.00000000006</v>
      </c>
      <c r="T6" s="476">
        <f>IFERROR(_xlfn.XLOOKUP(T$3, Hydrogen!$D$110:$BA$110, Hydrogen!$D$116:$BA$116), 0)</f>
        <v>481800.00000000006</v>
      </c>
      <c r="U6" s="476">
        <f>IFERROR(_xlfn.XLOOKUP(U$3, Hydrogen!$D$110:$BA$110, Hydrogen!$D$116:$BA$116), 0)</f>
        <v>481800.00000000006</v>
      </c>
      <c r="V6" s="476">
        <f>IFERROR(_xlfn.XLOOKUP(V$3, Hydrogen!$D$110:$BA$110, Hydrogen!$D$116:$BA$116), 0)</f>
        <v>481800.00000000006</v>
      </c>
      <c r="W6" s="476">
        <f>IFERROR(_xlfn.XLOOKUP(W$3, Hydrogen!$D$110:$BA$110, Hydrogen!$D$116:$BA$116), 0)</f>
        <v>481800.00000000006</v>
      </c>
      <c r="X6" s="476">
        <f>IFERROR(_xlfn.XLOOKUP(X$3, Hydrogen!$D$110:$BA$110, Hydrogen!$D$116:$BA$116), 0)</f>
        <v>481800.00000000006</v>
      </c>
      <c r="Y6" s="476">
        <f>IFERROR(_xlfn.XLOOKUP(Y$3, Hydrogen!$D$110:$BA$110, Hydrogen!$D$116:$BA$116), 0)</f>
        <v>481800.00000000006</v>
      </c>
      <c r="Z6" s="476">
        <f>IFERROR(_xlfn.XLOOKUP(Z$3, Hydrogen!$D$110:$BA$110, Hydrogen!$D$116:$BA$116), 0)</f>
        <v>481800.00000000006</v>
      </c>
      <c r="AA6" s="476">
        <f>IFERROR(_xlfn.XLOOKUP(AA$3, Hydrogen!$D$110:$BA$110, Hydrogen!$D$116:$BA$116), 0)</f>
        <v>481800.00000000006</v>
      </c>
      <c r="AB6" s="476">
        <f>IFERROR(_xlfn.XLOOKUP(AB$3, Hydrogen!$D$110:$BA$110, Hydrogen!$D$116:$BA$116), 0)</f>
        <v>481800.00000000006</v>
      </c>
      <c r="AC6" s="476">
        <f>IFERROR(_xlfn.XLOOKUP(AC$3, Hydrogen!$D$110:$BA$110, Hydrogen!$D$116:$BA$116), 0)</f>
        <v>481800.00000000006</v>
      </c>
      <c r="AD6" s="476">
        <f>IFERROR(_xlfn.XLOOKUP(AD$3, Hydrogen!$D$110:$BA$110, Hydrogen!$D$116:$BA$116), 0)</f>
        <v>0</v>
      </c>
      <c r="AE6" s="476">
        <f>IFERROR(_xlfn.XLOOKUP(AE$3, Hydrogen!$D$110:$BA$110, Hydrogen!$D$116:$BA$116), 0)</f>
        <v>0</v>
      </c>
      <c r="AF6" s="476">
        <f>IFERROR(_xlfn.XLOOKUP(AF$3, Hydrogen!$D$110:$BA$110, Hydrogen!$D$116:$BA$116), 0)</f>
        <v>0</v>
      </c>
      <c r="AG6" s="476">
        <f>IFERROR(_xlfn.XLOOKUP(AG$3, Hydrogen!$D$110:$BA$110, Hydrogen!$D$116:$BA$116), 0)</f>
        <v>0</v>
      </c>
      <c r="AH6" s="476">
        <f>IFERROR(_xlfn.XLOOKUP(AH$3, Hydrogen!$D$110:$BA$110, Hydrogen!$D$116:$BA$116), 0)</f>
        <v>0</v>
      </c>
      <c r="AI6" s="476">
        <f>IFERROR(_xlfn.XLOOKUP(AI$3, Hydrogen!$D$110:$BA$110, Hydrogen!$D$116:$BA$116), 0)</f>
        <v>0</v>
      </c>
      <c r="AJ6" s="476">
        <f>IFERROR(_xlfn.XLOOKUP(AJ$3, Hydrogen!$D$110:$BA$110, Hydrogen!$D$116:$BA$116), 0)</f>
        <v>0</v>
      </c>
      <c r="AK6" s="476">
        <f>IFERROR(_xlfn.XLOOKUP(AK$3, Hydrogen!$D$110:$BA$110, Hydrogen!$D$116:$BA$116), 0)</f>
        <v>0</v>
      </c>
      <c r="AL6" s="476">
        <f>IFERROR(_xlfn.XLOOKUP(AL$3, Hydrogen!$D$110:$BA$110, Hydrogen!$D$116:$BA$116), 0)</f>
        <v>0</v>
      </c>
      <c r="AM6" s="476">
        <f>IFERROR(_xlfn.XLOOKUP(AM$3, Hydrogen!$D$110:$BA$110, Hydrogen!$D$116:$BA$116), 0)</f>
        <v>0</v>
      </c>
      <c r="AN6" s="476">
        <f>IFERROR(_xlfn.XLOOKUP(AN$3, Hydrogen!$D$110:$BA$110, Hydrogen!$D$116:$BA$116), 0)</f>
        <v>0</v>
      </c>
      <c r="AO6" s="476">
        <f>IFERROR(_xlfn.XLOOKUP(AO$3, Hydrogen!$D$110:$BA$110, Hydrogen!$D$116:$BA$116), 0)</f>
        <v>0</v>
      </c>
      <c r="AP6" s="476">
        <f>IFERROR(_xlfn.XLOOKUP(AP$3, Hydrogen!$D$110:$BA$110, Hydrogen!$D$116:$BA$116), 0)</f>
        <v>0</v>
      </c>
      <c r="AQ6" s="476">
        <f>IFERROR(_xlfn.XLOOKUP(AQ$3, Hydrogen!$D$110:$BA$110, Hydrogen!$D$116:$BA$116), 0)</f>
        <v>0</v>
      </c>
      <c r="AR6" s="476">
        <f>IFERROR(_xlfn.XLOOKUP(AR$3, Hydrogen!$D$110:$BA$110, Hydrogen!$D$116:$BA$116), 0)</f>
        <v>0</v>
      </c>
      <c r="AS6" s="476">
        <f>IFERROR(_xlfn.XLOOKUP(AS$3, Hydrogen!$D$110:$BA$110, Hydrogen!$D$116:$BA$116), 0)</f>
        <v>0</v>
      </c>
      <c r="AT6" s="476">
        <f>IFERROR(_xlfn.XLOOKUP(AT$3, Hydrogen!$D$110:$BA$110, Hydrogen!$D$116:$BA$116), 0)</f>
        <v>0</v>
      </c>
      <c r="AU6" s="476">
        <f>IFERROR(_xlfn.XLOOKUP(AU$3, Hydrogen!$D$110:$BA$110, Hydrogen!$D$116:$BA$116), 0)</f>
        <v>0</v>
      </c>
      <c r="AV6" s="476">
        <f>IFERROR(_xlfn.XLOOKUP(AV$3, Hydrogen!$D$110:$BA$110, Hydrogen!$D$116:$BA$116), 0)</f>
        <v>0</v>
      </c>
    </row>
    <row r="7" spans="2:48">
      <c r="B7" s="664" t="s">
        <v>462</v>
      </c>
      <c r="C7" s="476">
        <f>IFERROR(_xlfn.XLOOKUP(C$3, Load!$D$110:$BA$110, Load!$D$113:$BA$113)*8760*0.75, 0)</f>
        <v>2544480</v>
      </c>
      <c r="D7" s="476">
        <f>IFERROR(_xlfn.XLOOKUP(D$3, Load!$D$110:$BA$110, Load!$D$113:$BA$113)*8760*0.75, 0)</f>
        <v>2544480</v>
      </c>
      <c r="E7" s="476">
        <f>IFERROR(_xlfn.XLOOKUP(E$3, Load!$D$110:$BA$110, Load!$D$113:$BA$113)*8760*0.75, 0)</f>
        <v>2544480</v>
      </c>
      <c r="F7" s="476">
        <f>IFERROR(_xlfn.XLOOKUP(F$3, Load!$D$110:$BA$110, Load!$D$113:$BA$113)*8760*0.75, 0)</f>
        <v>2544480</v>
      </c>
      <c r="G7" s="476">
        <f>IFERROR(_xlfn.XLOOKUP(G$3, Load!$D$110:$BA$110, Load!$D$113:$BA$113)*8760*0.75, 0)</f>
        <v>2544480</v>
      </c>
      <c r="H7" s="476">
        <f>IFERROR(_xlfn.XLOOKUP(H$3, Load!$D$110:$BA$110, Load!$D$113:$BA$113)*8760*0.75, 0)</f>
        <v>2544480</v>
      </c>
      <c r="I7" s="476">
        <f>IFERROR(_xlfn.XLOOKUP(I$3, Load!$D$110:$BA$110, Load!$D$113:$BA$113)*8760*0.75, 0)</f>
        <v>2544480</v>
      </c>
      <c r="J7" s="476">
        <f>IFERROR(_xlfn.XLOOKUP(J$3, Load!$D$110:$BA$110, Load!$D$113:$BA$113)*8760*0.75, 0)</f>
        <v>2544480</v>
      </c>
      <c r="K7" s="476">
        <f>IFERROR(_xlfn.XLOOKUP(K$3, Load!$D$110:$BA$110, Load!$D$113:$BA$113)*8760*0.75, 0)</f>
        <v>2544480</v>
      </c>
      <c r="L7" s="476">
        <f>IFERROR(_xlfn.XLOOKUP(L$3, Load!$D$110:$BA$110, Load!$D$113:$BA$113)*8760*0.75, 0)</f>
        <v>2544480</v>
      </c>
      <c r="M7" s="476">
        <f>IFERROR(_xlfn.XLOOKUP(M$3, Load!$D$110:$BA$110, Load!$D$113:$BA$113)*8760*0.75, 0)</f>
        <v>2544480</v>
      </c>
      <c r="N7" s="476">
        <f>IFERROR(_xlfn.XLOOKUP(N$3, Load!$D$110:$BA$110, Load!$D$113:$BA$113)*8760*0.75, 0)</f>
        <v>2544480</v>
      </c>
      <c r="O7" s="476">
        <f>IFERROR(_xlfn.XLOOKUP(O$3, Load!$D$110:$BA$110, Load!$D$113:$BA$113)*8760*0.75, 0)</f>
        <v>2544480</v>
      </c>
      <c r="P7" s="476">
        <f>IFERROR(_xlfn.XLOOKUP(P$3, Load!$D$110:$BA$110, Load!$D$113:$BA$113)*8760*0.75, 0)</f>
        <v>2544480</v>
      </c>
      <c r="Q7" s="476">
        <f>IFERROR(_xlfn.XLOOKUP(Q$3, Load!$D$110:$BA$110, Load!$D$113:$BA$113)*8760*0.75, 0)</f>
        <v>2544480</v>
      </c>
      <c r="R7" s="476">
        <f>IFERROR(_xlfn.XLOOKUP(R$3, Load!$D$110:$BA$110, Load!$D$113:$BA$113)*8760*0.75, 0)</f>
        <v>2544480</v>
      </c>
      <c r="S7" s="476">
        <f>IFERROR(_xlfn.XLOOKUP(S$3, Load!$D$110:$BA$110, Load!$D$113:$BA$113)*8760*0.75, 0)</f>
        <v>2544480</v>
      </c>
      <c r="T7" s="476">
        <f>IFERROR(_xlfn.XLOOKUP(T$3, Load!$D$110:$BA$110, Load!$D$113:$BA$113)*8760*0.75, 0)</f>
        <v>2544480</v>
      </c>
      <c r="U7" s="476">
        <f>IFERROR(_xlfn.XLOOKUP(U$3, Load!$D$110:$BA$110, Load!$D$113:$BA$113)*8760*0.75, 0)</f>
        <v>2544480</v>
      </c>
      <c r="V7" s="476">
        <f>IFERROR(_xlfn.XLOOKUP(V$3, Load!$D$110:$BA$110, Load!$D$113:$BA$113)*8760*0.75, 0)</f>
        <v>2544480</v>
      </c>
      <c r="W7" s="476">
        <f>IFERROR(_xlfn.XLOOKUP(W$3, Load!$D$110:$BA$110, Load!$D$113:$BA$113)*8760*0.75, 0)</f>
        <v>2544480</v>
      </c>
      <c r="X7" s="476">
        <f>IFERROR(_xlfn.XLOOKUP(X$3, Load!$D$110:$BA$110, Load!$D$113:$BA$113)*8760*0.75, 0)</f>
        <v>2544480</v>
      </c>
      <c r="Y7" s="476">
        <f>IFERROR(_xlfn.XLOOKUP(Y$3, Load!$D$110:$BA$110, Load!$D$113:$BA$113)*8760*0.75, 0)</f>
        <v>2544480</v>
      </c>
      <c r="Z7" s="476">
        <f>IFERROR(_xlfn.XLOOKUP(Z$3, Load!$D$110:$BA$110, Load!$D$113:$BA$113)*8760*0.75, 0)</f>
        <v>2544480</v>
      </c>
      <c r="AA7" s="476">
        <f>IFERROR(_xlfn.XLOOKUP(AA$3, Load!$D$110:$BA$110, Load!$D$113:$BA$113)*8760*0.75, 0)</f>
        <v>2544480</v>
      </c>
      <c r="AB7" s="476">
        <f>IFERROR(_xlfn.XLOOKUP(AB$3, Load!$D$110:$BA$110, Load!$D$113:$BA$113)*8760*0.75, 0)</f>
        <v>2544480</v>
      </c>
      <c r="AC7" s="476">
        <f>IFERROR(_xlfn.XLOOKUP(AC$3, Load!$D$110:$BA$110, Load!$D$113:$BA$113)*8760*0.75, 0)</f>
        <v>2544480</v>
      </c>
      <c r="AD7" s="476">
        <f>IFERROR(_xlfn.XLOOKUP(AD$3, Load!$D$110:$BA$110, Load!$D$113:$BA$113)*8760*0.75, 0)</f>
        <v>2544480</v>
      </c>
      <c r="AE7" s="476">
        <f>IFERROR(_xlfn.XLOOKUP(AE$3, Load!$D$110:$BA$110, Load!$D$113:$BA$113)*8760*0.75, 0)</f>
        <v>2544480</v>
      </c>
      <c r="AF7" s="476">
        <f>IFERROR(_xlfn.XLOOKUP(AF$3, Load!$D$110:$BA$110, Load!$D$113:$BA$113)*8760*0.75, 0)</f>
        <v>2544480</v>
      </c>
      <c r="AG7" s="476">
        <f>IFERROR(_xlfn.XLOOKUP(AG$3, Load!$D$110:$BA$110, Load!$D$113:$BA$113)*8760*0.75, 0)</f>
        <v>2544480</v>
      </c>
      <c r="AH7" s="476">
        <f>IFERROR(_xlfn.XLOOKUP(AH$3, Load!$D$110:$BA$110, Load!$D$113:$BA$113)*8760*0.75, 0)</f>
        <v>2544480</v>
      </c>
      <c r="AI7" s="476">
        <f>IFERROR(_xlfn.XLOOKUP(AI$3, Load!$D$110:$BA$110, Load!$D$113:$BA$113)*8760*0.75, 0)</f>
        <v>2544480</v>
      </c>
      <c r="AJ7" s="476">
        <f>IFERROR(_xlfn.XLOOKUP(AJ$3, Load!$D$110:$BA$110, Load!$D$113:$BA$113)*8760*0.75, 0)</f>
        <v>2544480</v>
      </c>
      <c r="AK7" s="476">
        <f>IFERROR(_xlfn.XLOOKUP(AK$3, Load!$D$110:$BA$110, Load!$D$113:$BA$113)*8760*0.75, 0)</f>
        <v>2544480</v>
      </c>
      <c r="AL7" s="476">
        <f>IFERROR(_xlfn.XLOOKUP(AL$3, Load!$D$110:$BA$110, Load!$D$113:$BA$113)*8760*0.75, 0)</f>
        <v>2544480</v>
      </c>
      <c r="AM7" s="476">
        <f>IFERROR(_xlfn.XLOOKUP(AM$3, Load!$D$110:$BA$110, Load!$D$113:$BA$113)*8760*0.75, 0)</f>
        <v>2544480</v>
      </c>
      <c r="AN7" s="476">
        <f>IFERROR(_xlfn.XLOOKUP(AN$3, Load!$D$110:$BA$110, Load!$D$113:$BA$113)*8760*0.75, 0)</f>
        <v>2544480</v>
      </c>
      <c r="AO7" s="476">
        <f>IFERROR(_xlfn.XLOOKUP(AO$3, Load!$D$110:$BA$110, Load!$D$113:$BA$113)*8760*0.75, 0)</f>
        <v>2544480</v>
      </c>
      <c r="AP7" s="476">
        <f>IFERROR(_xlfn.XLOOKUP(AP$3, Load!$D$110:$BA$110, Load!$D$113:$BA$113)*8760*0.75, 0)</f>
        <v>2544480</v>
      </c>
      <c r="AQ7" s="476">
        <f>IFERROR(_xlfn.XLOOKUP(AQ$3, Load!$D$110:$BA$110, Load!$D$113:$BA$113)*8760*0.75, 0)</f>
        <v>2544480</v>
      </c>
      <c r="AR7" s="476">
        <f>IFERROR(_xlfn.XLOOKUP(AR$3, Load!$D$110:$BA$110, Load!$D$113:$BA$113)*8760*0.75, 0)</f>
        <v>2544480</v>
      </c>
      <c r="AS7" s="476">
        <f>IFERROR(_xlfn.XLOOKUP(AS$3, Load!$D$110:$BA$110, Load!$D$113:$BA$113)*8760*0.75, 0)</f>
        <v>2544480</v>
      </c>
      <c r="AT7" s="476">
        <f>IFERROR(_xlfn.XLOOKUP(AT$3, Load!$D$110:$BA$110, Load!$D$113:$BA$113)*8760*0.75, 0)</f>
        <v>2544480</v>
      </c>
      <c r="AU7" s="476">
        <f>IFERROR(_xlfn.XLOOKUP(AU$3, Load!$D$110:$BA$110, Load!$D$113:$BA$113)*8760*0.75, 0)</f>
        <v>2544480</v>
      </c>
      <c r="AV7" s="476">
        <f>IFERROR(_xlfn.XLOOKUP(AV$3, Load!$D$110:$BA$110, Load!$D$113:$BA$113)*8760*0.75, 0)</f>
        <v>0</v>
      </c>
    </row>
    <row r="8" spans="2:48">
      <c r="B8" s="664" t="s">
        <v>357</v>
      </c>
      <c r="C8" s="476" cm="1">
        <f t="array" ref="C8">IFERROR(_xlfn.XLOOKUP(C$3, 'SENS Coal'!$D$110:$BA110, 'SENS Coal'!$D$114:$BA$114), 0)</f>
        <v>0</v>
      </c>
      <c r="D8" s="476" cm="1">
        <f t="array" ref="D8">IFERROR(_xlfn.XLOOKUP(D$3, 'SENS Coal'!$D$110:$BA110, 'SENS Coal'!$D$114:$BA$114), 0)</f>
        <v>2628</v>
      </c>
      <c r="E8" s="476" cm="1">
        <f t="array" ref="E8">IFERROR(_xlfn.XLOOKUP(E$3, 'SENS Coal'!$D$110:$BA110, 'SENS Coal'!$D$114:$BA$114), 0)</f>
        <v>3504</v>
      </c>
      <c r="F8" s="476" cm="1">
        <f t="array" ref="F8">IFERROR(_xlfn.XLOOKUP(F$3, 'SENS Coal'!$D$110:$BA110, 'SENS Coal'!$D$114:$BA$114), 0)</f>
        <v>3504</v>
      </c>
      <c r="G8" s="476" cm="1">
        <f t="array" ref="G8">IFERROR(_xlfn.XLOOKUP(G$3, 'SENS Coal'!$D$110:$BA110, 'SENS Coal'!$D$114:$BA$114), 0)</f>
        <v>3504</v>
      </c>
      <c r="H8" s="476" cm="1">
        <f t="array" ref="H8">IFERROR(_xlfn.XLOOKUP(H$3, 'SENS Coal'!$D$110:$BA110, 'SENS Coal'!$D$114:$BA$114), 0)</f>
        <v>3504</v>
      </c>
      <c r="I8" s="476" cm="1">
        <f t="array" ref="I8">IFERROR(_xlfn.XLOOKUP(I$3, 'SENS Coal'!$D$110:$BA110, 'SENS Coal'!$D$114:$BA$114), 0)</f>
        <v>3504</v>
      </c>
      <c r="J8" s="476" cm="1">
        <f t="array" ref="J8">IFERROR(_xlfn.XLOOKUP(J$3, 'SENS Coal'!$D$110:$BA110, 'SENS Coal'!$D$114:$BA$114), 0)</f>
        <v>3504</v>
      </c>
      <c r="K8" s="476" cm="1">
        <f t="array" ref="K8">IFERROR(_xlfn.XLOOKUP(K$3, 'SENS Coal'!$D$110:$BA110, 'SENS Coal'!$D$114:$BA$114), 0)</f>
        <v>3504</v>
      </c>
      <c r="L8" s="476" cm="1">
        <f t="array" ref="L8">IFERROR(_xlfn.XLOOKUP(L$3, 'SENS Coal'!$D$110:$BA110, 'SENS Coal'!$D$114:$BA$114), 0)</f>
        <v>3504</v>
      </c>
      <c r="M8" s="476" cm="1">
        <f t="array" ref="M8">IFERROR(_xlfn.XLOOKUP(M$3, 'SENS Coal'!$D$110:$BA110, 'SENS Coal'!$D$114:$BA$114), 0)</f>
        <v>3504</v>
      </c>
      <c r="N8" s="476" cm="1">
        <f t="array" ref="N8">IFERROR(_xlfn.XLOOKUP(N$3, 'SENS Coal'!$D$110:$BA110, 'SENS Coal'!$D$114:$BA$114), 0)</f>
        <v>3504</v>
      </c>
      <c r="O8" s="476" cm="1">
        <f t="array" ref="O8">IFERROR(_xlfn.XLOOKUP(O$3, 'SENS Coal'!$D$110:$BA110, 'SENS Coal'!$D$114:$BA$114), 0)</f>
        <v>3504</v>
      </c>
      <c r="P8" s="476" cm="1">
        <f t="array" ref="P8">IFERROR(_xlfn.XLOOKUP(P$3, 'SENS Coal'!$D$110:$BA110, 'SENS Coal'!$D$114:$BA$114), 0)</f>
        <v>3504</v>
      </c>
      <c r="Q8" s="476" cm="1">
        <f t="array" ref="Q8">IFERROR(_xlfn.XLOOKUP(Q$3, 'SENS Coal'!$D$110:$BA110, 'SENS Coal'!$D$114:$BA$114), 0)</f>
        <v>3504</v>
      </c>
      <c r="R8" s="476" cm="1">
        <f t="array" ref="R8">IFERROR(_xlfn.XLOOKUP(R$3, 'SENS Coal'!$D$110:$BA110, 'SENS Coal'!$D$114:$BA$114), 0)</f>
        <v>3504</v>
      </c>
      <c r="S8" s="476" cm="1">
        <f t="array" ref="S8">IFERROR(_xlfn.XLOOKUP(S$3, 'SENS Coal'!$D$110:$BA110, 'SENS Coal'!$D$114:$BA$114), 0)</f>
        <v>3504</v>
      </c>
      <c r="T8" s="476" cm="1">
        <f t="array" ref="T8">IFERROR(_xlfn.XLOOKUP(T$3, 'SENS Coal'!$D$110:$BA110, 'SENS Coal'!$D$114:$BA$114), 0)</f>
        <v>3504</v>
      </c>
      <c r="U8" s="476" cm="1">
        <f t="array" ref="U8">IFERROR(_xlfn.XLOOKUP(U$3, 'SENS Coal'!$D$110:$BA110, 'SENS Coal'!$D$114:$BA$114), 0)</f>
        <v>3504</v>
      </c>
      <c r="V8" s="476" cm="1">
        <f t="array" ref="V8">IFERROR(_xlfn.XLOOKUP(V$3, 'SENS Coal'!$D$110:$BA110, 'SENS Coal'!$D$114:$BA$114), 0)</f>
        <v>3504</v>
      </c>
      <c r="W8" s="476" cm="1">
        <f t="array" ref="W8">IFERROR(_xlfn.XLOOKUP(W$3, 'SENS Coal'!$D$110:$BA110, 'SENS Coal'!$D$114:$BA$114), 0)</f>
        <v>3504</v>
      </c>
      <c r="X8" s="476" cm="1">
        <f t="array" ref="X8">IFERROR(_xlfn.XLOOKUP(X$3, 'SENS Coal'!$D$110:$BA110, 'SENS Coal'!$D$114:$BA$114), 0)</f>
        <v>3504</v>
      </c>
      <c r="Y8" s="476" cm="1">
        <f t="array" ref="Y8">IFERROR(_xlfn.XLOOKUP(Y$3, 'SENS Coal'!$D$110:$BA110, 'SENS Coal'!$D$114:$BA$114), 0)</f>
        <v>3504</v>
      </c>
      <c r="Z8" s="476" cm="1">
        <f t="array" ref="Z8">IFERROR(_xlfn.XLOOKUP(Z$3, 'SENS Coal'!$D$110:$BA110, 'SENS Coal'!$D$114:$BA$114), 0)</f>
        <v>3504</v>
      </c>
      <c r="AA8" s="476" cm="1">
        <f t="array" ref="AA8">IFERROR(_xlfn.XLOOKUP(AA$3, 'SENS Coal'!$D$110:$BA110, 'SENS Coal'!$D$114:$BA$114), 0)</f>
        <v>3504</v>
      </c>
      <c r="AB8" s="476" cm="1">
        <f t="array" ref="AB8">IFERROR(_xlfn.XLOOKUP(AB$3, 'SENS Coal'!$D$110:$BA110, 'SENS Coal'!$D$114:$BA$114), 0)</f>
        <v>3504</v>
      </c>
      <c r="AC8" s="476" cm="1">
        <f t="array" ref="AC8">IFERROR(_xlfn.XLOOKUP(AC$3, 'SENS Coal'!$D$110:$BA110, 'SENS Coal'!$D$114:$BA$114), 0)</f>
        <v>3504</v>
      </c>
      <c r="AD8" s="476" cm="1">
        <f t="array" ref="AD8">IFERROR(_xlfn.XLOOKUP(AD$3, 'SENS Coal'!$D$110:$BA110, 'SENS Coal'!$D$114:$BA$114), 0)</f>
        <v>0</v>
      </c>
      <c r="AE8" s="476" cm="1">
        <f t="array" ref="AE8">IFERROR(_xlfn.XLOOKUP(AE$3, 'SENS Coal'!$D$110:$BA110, 'SENS Coal'!$D$114:$BA$114), 0)</f>
        <v>0</v>
      </c>
      <c r="AF8" s="476" cm="1">
        <f t="array" ref="AF8">IFERROR(_xlfn.XLOOKUP(AF$3, 'SENS Coal'!$D$110:$BA110, 'SENS Coal'!$D$114:$BA$114), 0)</f>
        <v>0</v>
      </c>
      <c r="AG8" s="476" cm="1">
        <f t="array" ref="AG8">IFERROR(_xlfn.XLOOKUP(AG$3, 'SENS Coal'!$D$110:$BA110, 'SENS Coal'!$D$114:$BA$114), 0)</f>
        <v>0</v>
      </c>
      <c r="AH8" s="476" cm="1">
        <f t="array" ref="AH8">IFERROR(_xlfn.XLOOKUP(AH$3, 'SENS Coal'!$D$110:$BA110, 'SENS Coal'!$D$114:$BA$114), 0)</f>
        <v>0</v>
      </c>
      <c r="AI8" s="476" cm="1">
        <f t="array" ref="AI8">IFERROR(_xlfn.XLOOKUP(AI$3, 'SENS Coal'!$D$110:$BA110, 'SENS Coal'!$D$114:$BA$114), 0)</f>
        <v>0</v>
      </c>
      <c r="AJ8" s="476" cm="1">
        <f t="array" ref="AJ8">IFERROR(_xlfn.XLOOKUP(AJ$3, 'SENS Coal'!$D$110:$BA110, 'SENS Coal'!$D$114:$BA$114), 0)</f>
        <v>0</v>
      </c>
      <c r="AK8" s="476" cm="1">
        <f t="array" ref="AK8">IFERROR(_xlfn.XLOOKUP(AK$3, 'SENS Coal'!$D$110:$BA110, 'SENS Coal'!$D$114:$BA$114), 0)</f>
        <v>0</v>
      </c>
      <c r="AL8" s="476" cm="1">
        <f t="array" ref="AL8">IFERROR(_xlfn.XLOOKUP(AL$3, 'SENS Coal'!$D$110:$BA110, 'SENS Coal'!$D$114:$BA$114), 0)</f>
        <v>0</v>
      </c>
      <c r="AM8" s="476" cm="1">
        <f t="array" ref="AM8">IFERROR(_xlfn.XLOOKUP(AM$3, 'SENS Coal'!$D$110:$BA110, 'SENS Coal'!$D$114:$BA$114), 0)</f>
        <v>0</v>
      </c>
      <c r="AN8" s="476" cm="1">
        <f t="array" ref="AN8">IFERROR(_xlfn.XLOOKUP(AN$3, 'SENS Coal'!$D$110:$BA110, 'SENS Coal'!$D$114:$BA$114), 0)</f>
        <v>0</v>
      </c>
      <c r="AO8" s="476" cm="1">
        <f t="array" ref="AO8">IFERROR(_xlfn.XLOOKUP(AO$3, 'SENS Coal'!$D$110:$BA110, 'SENS Coal'!$D$114:$BA$114), 0)</f>
        <v>0</v>
      </c>
      <c r="AP8" s="476" cm="1">
        <f t="array" ref="AP8">IFERROR(_xlfn.XLOOKUP(AP$3, 'SENS Coal'!$D$110:$BA110, 'SENS Coal'!$D$114:$BA$114), 0)</f>
        <v>0</v>
      </c>
      <c r="AQ8" s="476" cm="1">
        <f t="array" ref="AQ8">IFERROR(_xlfn.XLOOKUP(AQ$3, 'SENS Coal'!$D$110:$BA110, 'SENS Coal'!$D$114:$BA$114), 0)</f>
        <v>0</v>
      </c>
      <c r="AR8" s="476" cm="1">
        <f t="array" ref="AR8">IFERROR(_xlfn.XLOOKUP(AR$3, 'SENS Coal'!$D$110:$BA110, 'SENS Coal'!$D$114:$BA$114), 0)</f>
        <v>0</v>
      </c>
      <c r="AS8" s="476" cm="1">
        <f t="array" ref="AS8">IFERROR(_xlfn.XLOOKUP(AS$3, 'SENS Coal'!$D$110:$BA110, 'SENS Coal'!$D$114:$BA$114), 0)</f>
        <v>0</v>
      </c>
      <c r="AT8" s="476" cm="1">
        <f t="array" ref="AT8">IFERROR(_xlfn.XLOOKUP(AT$3, 'SENS Coal'!$D$110:$BA110, 'SENS Coal'!$D$114:$BA$114), 0)</f>
        <v>0</v>
      </c>
      <c r="AU8" s="476" cm="1">
        <f t="array" ref="AU8">IFERROR(_xlfn.XLOOKUP(AU$3, 'SENS Coal'!$D$110:$BA110, 'SENS Coal'!$D$114:$BA$114), 0)</f>
        <v>0</v>
      </c>
      <c r="AV8" s="476" cm="1">
        <f t="array" ref="AV8">IFERROR(_xlfn.XLOOKUP(AV$3, 'SENS Coal'!$D$110:$BA110, 'SENS Coal'!$D$114:$BA$114), 0)</f>
        <v>0</v>
      </c>
    </row>
    <row r="9" spans="2:48">
      <c r="B9" s="664" t="s">
        <v>358</v>
      </c>
      <c r="C9" s="476">
        <f>IFERROR(_xlfn.XLOOKUP(C$3, 'SENS Tires'!$D$110:$BA$110, 'SENS Tires'!$D$114:$BA$114), 0)</f>
        <v>0</v>
      </c>
      <c r="D9" s="476">
        <f>IFERROR(_xlfn.XLOOKUP(D$3, 'SENS Tires'!$D$110:$BA$110, 'SENS Tires'!$D$114:$BA$114), 0)</f>
        <v>8593.56</v>
      </c>
      <c r="E9" s="476">
        <f>IFERROR(_xlfn.XLOOKUP(E$3, 'SENS Tires'!$D$110:$BA$110, 'SENS Tires'!$D$114:$BA$114), 0)</f>
        <v>11458.08</v>
      </c>
      <c r="F9" s="476">
        <f>IFERROR(_xlfn.XLOOKUP(F$3, 'SENS Tires'!$D$110:$BA$110, 'SENS Tires'!$D$114:$BA$114), 0)</f>
        <v>11458.08</v>
      </c>
      <c r="G9" s="476">
        <f>IFERROR(_xlfn.XLOOKUP(G$3, 'SENS Tires'!$D$110:$BA$110, 'SENS Tires'!$D$114:$BA$114), 0)</f>
        <v>11458.08</v>
      </c>
      <c r="H9" s="476">
        <f>IFERROR(_xlfn.XLOOKUP(H$3, 'SENS Tires'!$D$110:$BA$110, 'SENS Tires'!$D$114:$BA$114), 0)</f>
        <v>11458.08</v>
      </c>
      <c r="I9" s="476">
        <f>IFERROR(_xlfn.XLOOKUP(I$3, 'SENS Tires'!$D$110:$BA$110, 'SENS Tires'!$D$114:$BA$114), 0)</f>
        <v>11458.08</v>
      </c>
      <c r="J9" s="476">
        <f>IFERROR(_xlfn.XLOOKUP(J$3, 'SENS Tires'!$D$110:$BA$110, 'SENS Tires'!$D$114:$BA$114), 0)</f>
        <v>11458.08</v>
      </c>
      <c r="K9" s="476">
        <f>IFERROR(_xlfn.XLOOKUP(K$3, 'SENS Tires'!$D$110:$BA$110, 'SENS Tires'!$D$114:$BA$114), 0)</f>
        <v>11458.08</v>
      </c>
      <c r="L9" s="476">
        <f>IFERROR(_xlfn.XLOOKUP(L$3, 'SENS Tires'!$D$110:$BA$110, 'SENS Tires'!$D$114:$BA$114), 0)</f>
        <v>11458.08</v>
      </c>
      <c r="M9" s="476">
        <f>IFERROR(_xlfn.XLOOKUP(M$3, 'SENS Tires'!$D$110:$BA$110, 'SENS Tires'!$D$114:$BA$114), 0)</f>
        <v>11458.08</v>
      </c>
      <c r="N9" s="476">
        <f>IFERROR(_xlfn.XLOOKUP(N$3, 'SENS Tires'!$D$110:$BA$110, 'SENS Tires'!$D$114:$BA$114), 0)</f>
        <v>11458.08</v>
      </c>
      <c r="O9" s="476">
        <f>IFERROR(_xlfn.XLOOKUP(O$3, 'SENS Tires'!$D$110:$BA$110, 'SENS Tires'!$D$114:$BA$114), 0)</f>
        <v>11458.08</v>
      </c>
      <c r="P9" s="476">
        <f>IFERROR(_xlfn.XLOOKUP(P$3, 'SENS Tires'!$D$110:$BA$110, 'SENS Tires'!$D$114:$BA$114), 0)</f>
        <v>11458.08</v>
      </c>
      <c r="Q9" s="476">
        <f>IFERROR(_xlfn.XLOOKUP(Q$3, 'SENS Tires'!$D$110:$BA$110, 'SENS Tires'!$D$114:$BA$114), 0)</f>
        <v>11458.08</v>
      </c>
      <c r="R9" s="476">
        <f>IFERROR(_xlfn.XLOOKUP(R$3, 'SENS Tires'!$D$110:$BA$110, 'SENS Tires'!$D$114:$BA$114), 0)</f>
        <v>11458.08</v>
      </c>
      <c r="S9" s="476">
        <f>IFERROR(_xlfn.XLOOKUP(S$3, 'SENS Tires'!$D$110:$BA$110, 'SENS Tires'!$D$114:$BA$114), 0)</f>
        <v>11458.08</v>
      </c>
      <c r="T9" s="476">
        <f>IFERROR(_xlfn.XLOOKUP(T$3, 'SENS Tires'!$D$110:$BA$110, 'SENS Tires'!$D$114:$BA$114), 0)</f>
        <v>11458.08</v>
      </c>
      <c r="U9" s="476">
        <f>IFERROR(_xlfn.XLOOKUP(U$3, 'SENS Tires'!$D$110:$BA$110, 'SENS Tires'!$D$114:$BA$114), 0)</f>
        <v>11458.08</v>
      </c>
      <c r="V9" s="476">
        <f>IFERROR(_xlfn.XLOOKUP(V$3, 'SENS Tires'!$D$110:$BA$110, 'SENS Tires'!$D$114:$BA$114), 0)</f>
        <v>11458.08</v>
      </c>
      <c r="W9" s="476">
        <f>IFERROR(_xlfn.XLOOKUP(W$3, 'SENS Tires'!$D$110:$BA$110, 'SENS Tires'!$D$114:$BA$114), 0)</f>
        <v>11458.08</v>
      </c>
      <c r="X9" s="476">
        <f>IFERROR(_xlfn.XLOOKUP(X$3, 'SENS Tires'!$D$110:$BA$110, 'SENS Tires'!$D$114:$BA$114), 0)</f>
        <v>11458.08</v>
      </c>
      <c r="Y9" s="476">
        <f>IFERROR(_xlfn.XLOOKUP(Y$3, 'SENS Tires'!$D$110:$BA$110, 'SENS Tires'!$D$114:$BA$114), 0)</f>
        <v>11458.08</v>
      </c>
      <c r="Z9" s="476">
        <f>IFERROR(_xlfn.XLOOKUP(Z$3, 'SENS Tires'!$D$110:$BA$110, 'SENS Tires'!$D$114:$BA$114), 0)</f>
        <v>11458.08</v>
      </c>
      <c r="AA9" s="476">
        <f>IFERROR(_xlfn.XLOOKUP(AA$3, 'SENS Tires'!$D$110:$BA$110, 'SENS Tires'!$D$114:$BA$114), 0)</f>
        <v>11458.08</v>
      </c>
      <c r="AB9" s="476">
        <f>IFERROR(_xlfn.XLOOKUP(AB$3, 'SENS Tires'!$D$110:$BA$110, 'SENS Tires'!$D$114:$BA$114), 0)</f>
        <v>11458.08</v>
      </c>
      <c r="AC9" s="476">
        <f>IFERROR(_xlfn.XLOOKUP(AC$3, 'SENS Tires'!$D$110:$BA$110, 'SENS Tires'!$D$114:$BA$114), 0)</f>
        <v>11458.08</v>
      </c>
      <c r="AD9" s="476">
        <f>IFERROR(_xlfn.XLOOKUP(AD$3, 'SENS Tires'!$D$110:$BA$110, 'SENS Tires'!$D$114:$BA$114), 0)</f>
        <v>0</v>
      </c>
      <c r="AE9" s="476">
        <f>IFERROR(_xlfn.XLOOKUP(AE$3, 'SENS Tires'!$D$110:$BA$110, 'SENS Tires'!$D$114:$BA$114), 0)</f>
        <v>0</v>
      </c>
      <c r="AF9" s="476">
        <f>IFERROR(_xlfn.XLOOKUP(AF$3, 'SENS Tires'!$D$110:$BA$110, 'SENS Tires'!$D$114:$BA$114), 0)</f>
        <v>0</v>
      </c>
      <c r="AG9" s="476">
        <f>IFERROR(_xlfn.XLOOKUP(AG$3, 'SENS Tires'!$D$110:$BA$110, 'SENS Tires'!$D$114:$BA$114), 0)</f>
        <v>0</v>
      </c>
      <c r="AH9" s="476">
        <f>IFERROR(_xlfn.XLOOKUP(AH$3, 'SENS Tires'!$D$110:$BA$110, 'SENS Tires'!$D$114:$BA$114), 0)</f>
        <v>0</v>
      </c>
      <c r="AI9" s="476">
        <f>IFERROR(_xlfn.XLOOKUP(AI$3, 'SENS Tires'!$D$110:$BA$110, 'SENS Tires'!$D$114:$BA$114), 0)</f>
        <v>0</v>
      </c>
      <c r="AJ9" s="476">
        <f>IFERROR(_xlfn.XLOOKUP(AJ$3, 'SENS Tires'!$D$110:$BA$110, 'SENS Tires'!$D$114:$BA$114), 0)</f>
        <v>0</v>
      </c>
      <c r="AK9" s="476">
        <f>IFERROR(_xlfn.XLOOKUP(AK$3, 'SENS Tires'!$D$110:$BA$110, 'SENS Tires'!$D$114:$BA$114), 0)</f>
        <v>0</v>
      </c>
      <c r="AL9" s="476">
        <f>IFERROR(_xlfn.XLOOKUP(AL$3, 'SENS Tires'!$D$110:$BA$110, 'SENS Tires'!$D$114:$BA$114), 0)</f>
        <v>0</v>
      </c>
      <c r="AM9" s="476">
        <f>IFERROR(_xlfn.XLOOKUP(AM$3, 'SENS Tires'!$D$110:$BA$110, 'SENS Tires'!$D$114:$BA$114), 0)</f>
        <v>0</v>
      </c>
      <c r="AN9" s="476">
        <f>IFERROR(_xlfn.XLOOKUP(AN$3, 'SENS Tires'!$D$110:$BA$110, 'SENS Tires'!$D$114:$BA$114), 0)</f>
        <v>0</v>
      </c>
      <c r="AO9" s="476">
        <f>IFERROR(_xlfn.XLOOKUP(AO$3, 'SENS Tires'!$D$110:$BA$110, 'SENS Tires'!$D$114:$BA$114), 0)</f>
        <v>0</v>
      </c>
      <c r="AP9" s="476">
        <f>IFERROR(_xlfn.XLOOKUP(AP$3, 'SENS Tires'!$D$110:$BA$110, 'SENS Tires'!$D$114:$BA$114), 0)</f>
        <v>0</v>
      </c>
      <c r="AQ9" s="476">
        <f>IFERROR(_xlfn.XLOOKUP(AQ$3, 'SENS Tires'!$D$110:$BA$110, 'SENS Tires'!$D$114:$BA$114), 0)</f>
        <v>0</v>
      </c>
      <c r="AR9" s="476">
        <f>IFERROR(_xlfn.XLOOKUP(AR$3, 'SENS Tires'!$D$110:$BA$110, 'SENS Tires'!$D$114:$BA$114), 0)</f>
        <v>0</v>
      </c>
      <c r="AS9" s="476">
        <f>IFERROR(_xlfn.XLOOKUP(AS$3, 'SENS Tires'!$D$110:$BA$110, 'SENS Tires'!$D$114:$BA$114), 0)</f>
        <v>0</v>
      </c>
      <c r="AT9" s="476">
        <f>IFERROR(_xlfn.XLOOKUP(AT$3, 'SENS Tires'!$D$110:$BA$110, 'SENS Tires'!$D$114:$BA$114), 0)</f>
        <v>0</v>
      </c>
      <c r="AU9" s="476">
        <f>IFERROR(_xlfn.XLOOKUP(AU$3, 'SENS Tires'!$D$110:$BA$110, 'SENS Tires'!$D$114:$BA$114), 0)</f>
        <v>0</v>
      </c>
      <c r="AV9" s="476">
        <f>IFERROR(_xlfn.XLOOKUP(AV$3, 'SENS Tires'!$D$110:$BA$110, 'SENS Tires'!$D$114:$BA$114), 0)</f>
        <v>0</v>
      </c>
    </row>
    <row r="10" spans="2:48">
      <c r="B10" s="664" t="s">
        <v>385</v>
      </c>
      <c r="C10" s="476">
        <f>C14/'Assumptions &amp; Inputs'!$F$61</f>
        <v>0</v>
      </c>
      <c r="D10" s="476">
        <f>D14/'Assumptions &amp; Inputs'!$F$61</f>
        <v>93644.444444444453</v>
      </c>
      <c r="E10" s="476">
        <f>E14/'Assumptions &amp; Inputs'!$F$61</f>
        <v>112000</v>
      </c>
      <c r="F10" s="476">
        <f>F14/'Assumptions &amp; Inputs'!$F$61</f>
        <v>112000</v>
      </c>
      <c r="G10" s="476">
        <f>G14/'Assumptions &amp; Inputs'!$F$61</f>
        <v>112000</v>
      </c>
      <c r="H10" s="476">
        <f>H14/'Assumptions &amp; Inputs'!$F$61</f>
        <v>112000</v>
      </c>
      <c r="I10" s="476">
        <f>I14/'Assumptions &amp; Inputs'!$F$61</f>
        <v>112000</v>
      </c>
      <c r="J10" s="476">
        <f>J14/'Assumptions &amp; Inputs'!$F$61</f>
        <v>112000</v>
      </c>
      <c r="K10" s="476">
        <f>K14/'Assumptions &amp; Inputs'!$F$61</f>
        <v>112000</v>
      </c>
      <c r="L10" s="476">
        <f>L14/'Assumptions &amp; Inputs'!$F$61</f>
        <v>112000</v>
      </c>
      <c r="M10" s="476">
        <f>M14/'Assumptions &amp; Inputs'!$F$61</f>
        <v>112000</v>
      </c>
      <c r="N10" s="476">
        <f>N14/'Assumptions &amp; Inputs'!$F$61</f>
        <v>112000</v>
      </c>
      <c r="O10" s="476">
        <f>O14/'Assumptions &amp; Inputs'!$F$61</f>
        <v>112000</v>
      </c>
      <c r="P10" s="476">
        <f>P14/'Assumptions &amp; Inputs'!$F$61</f>
        <v>112000</v>
      </c>
      <c r="Q10" s="476">
        <f>Q14/'Assumptions &amp; Inputs'!$F$61</f>
        <v>112000</v>
      </c>
      <c r="R10" s="476">
        <f>R14/'Assumptions &amp; Inputs'!$F$61</f>
        <v>112000</v>
      </c>
      <c r="S10" s="476">
        <f>S14/'Assumptions &amp; Inputs'!$F$61</f>
        <v>112000</v>
      </c>
      <c r="T10" s="476">
        <f>T14/'Assumptions &amp; Inputs'!$F$61</f>
        <v>112000</v>
      </c>
      <c r="U10" s="476">
        <f>U14/'Assumptions &amp; Inputs'!$F$61</f>
        <v>112000</v>
      </c>
      <c r="V10" s="476">
        <f>V14/'Assumptions &amp; Inputs'!$F$61</f>
        <v>112000</v>
      </c>
      <c r="W10" s="476">
        <f>W14/'Assumptions &amp; Inputs'!$F$61</f>
        <v>112000</v>
      </c>
      <c r="X10" s="476">
        <f>X14/'Assumptions &amp; Inputs'!$F$61</f>
        <v>112000</v>
      </c>
      <c r="Y10" s="476">
        <f>Y14/'Assumptions &amp; Inputs'!$F$61</f>
        <v>112000</v>
      </c>
      <c r="Z10" s="476">
        <f>Z14/'Assumptions &amp; Inputs'!$F$61</f>
        <v>112000</v>
      </c>
      <c r="AA10" s="476">
        <f>AA14/'Assumptions &amp; Inputs'!$F$61</f>
        <v>112000</v>
      </c>
      <c r="AB10" s="476">
        <f>AB14/'Assumptions &amp; Inputs'!$F$61</f>
        <v>112000</v>
      </c>
      <c r="AC10" s="476">
        <f>AC14/'Assumptions &amp; Inputs'!$F$61</f>
        <v>112000</v>
      </c>
      <c r="AD10" s="476">
        <f>AD14/'Assumptions &amp; Inputs'!$F$61</f>
        <v>0</v>
      </c>
      <c r="AE10" s="476">
        <f>AE14/'Assumptions &amp; Inputs'!$F$61</f>
        <v>0</v>
      </c>
      <c r="AF10" s="476">
        <f>AF14/'Assumptions &amp; Inputs'!$F$61</f>
        <v>0</v>
      </c>
      <c r="AG10" s="476">
        <f>AG14/'Assumptions &amp; Inputs'!$F$61</f>
        <v>0</v>
      </c>
      <c r="AH10" s="476">
        <f>AH14/'Assumptions &amp; Inputs'!$F$61</f>
        <v>0</v>
      </c>
      <c r="AI10" s="476">
        <f>AI14/'Assumptions &amp; Inputs'!$F$61</f>
        <v>0</v>
      </c>
      <c r="AJ10" s="476">
        <f>AJ14/'Assumptions &amp; Inputs'!$F$61</f>
        <v>0</v>
      </c>
      <c r="AK10" s="476">
        <f>AK14/'Assumptions &amp; Inputs'!$F$61</f>
        <v>0</v>
      </c>
      <c r="AL10" s="476">
        <f>AL14/'Assumptions &amp; Inputs'!$F$61</f>
        <v>0</v>
      </c>
      <c r="AM10" s="476">
        <f>AM14/'Assumptions &amp; Inputs'!$F$61</f>
        <v>0</v>
      </c>
      <c r="AN10" s="476">
        <f>AN14/'Assumptions &amp; Inputs'!$F$61</f>
        <v>0</v>
      </c>
      <c r="AO10" s="476">
        <f>AO14/'Assumptions &amp; Inputs'!$F$61</f>
        <v>0</v>
      </c>
      <c r="AP10" s="476">
        <f>AP14/'Assumptions &amp; Inputs'!$F$61</f>
        <v>0</v>
      </c>
      <c r="AQ10" s="476">
        <f>AQ14/'Assumptions &amp; Inputs'!$F$61</f>
        <v>0</v>
      </c>
      <c r="AR10" s="476">
        <f>AR14/'Assumptions &amp; Inputs'!$F$61</f>
        <v>0</v>
      </c>
      <c r="AS10" s="476">
        <f>AS14/'Assumptions &amp; Inputs'!$F$61</f>
        <v>0</v>
      </c>
      <c r="AT10" s="476">
        <f>AT14/'Assumptions &amp; Inputs'!$F$61</f>
        <v>0</v>
      </c>
      <c r="AU10" s="476">
        <f>AU14/'Assumptions &amp; Inputs'!$F$61</f>
        <v>0</v>
      </c>
      <c r="AV10" s="476">
        <f>AV14/'Assumptions &amp; Inputs'!$F$61</f>
        <v>0</v>
      </c>
    </row>
    <row r="11" spans="2:48">
      <c r="B11" s="98"/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  <c r="AP11" s="223"/>
      <c r="AQ11" s="223"/>
      <c r="AR11" s="223"/>
      <c r="AS11" s="223"/>
      <c r="AT11" s="223"/>
      <c r="AU11" s="223"/>
      <c r="AV11" s="223"/>
    </row>
    <row r="12" spans="2:48">
      <c r="B12" s="101" t="s">
        <v>463</v>
      </c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</row>
    <row r="13" spans="2:48">
      <c r="B13" s="98" t="s">
        <v>6</v>
      </c>
      <c r="C13" s="476">
        <f>IFERROR(_xlfn.XLOOKUP(C$3, 'GEN-SOLAR'!$D$110:$AW$110, 'GEN-SOLAR'!$D$114:$AW$114)*(1-'Assumptions &amp; Inputs'!$H$86*(C$3-YEAR('Assumptions &amp; Inputs'!$H$31))), 0)</f>
        <v>0</v>
      </c>
      <c r="D13" s="476">
        <f>IFERROR(_xlfn.XLOOKUP(D$3, 'GEN-SOLAR'!$D$110:$AW$110, 'GEN-SOLAR'!$D$114:$AW$114)*(1-'Assumptions &amp; Inputs'!$H$86*(D$3-YEAR('Assumptions &amp; Inputs'!$H$31))), 0)</f>
        <v>58400</v>
      </c>
      <c r="E13" s="476">
        <f>IFERROR(_xlfn.XLOOKUP(E$3, 'GEN-SOLAR'!$D$110:$AW$110, 'GEN-SOLAR'!$D$114:$AW$114)*(1-'Assumptions &amp; Inputs'!$H$86*(E$3-YEAR('Assumptions &amp; Inputs'!$H$31))), 0)</f>
        <v>173887.64387132286</v>
      </c>
      <c r="F13" s="476">
        <f>IFERROR(_xlfn.XLOOKUP(F$3, 'GEN-SOLAR'!$D$110:$AW$110, 'GEN-SOLAR'!$D$114:$AW$114)*(1-'Assumptions &amp; Inputs'!$H$86*(F$3-YEAR('Assumptions &amp; Inputs'!$H$31))), 0)</f>
        <v>172148.7674326096</v>
      </c>
      <c r="G13" s="476">
        <f>IFERROR(_xlfn.XLOOKUP(G$3, 'GEN-SOLAR'!$D$110:$AW$110, 'GEN-SOLAR'!$D$114:$AW$114)*(1-'Assumptions &amp; Inputs'!$H$86*(G$3-YEAR('Assumptions &amp; Inputs'!$H$31))), 0)</f>
        <v>170422.93256718674</v>
      </c>
      <c r="H13" s="476">
        <f>IFERROR(_xlfn.XLOOKUP(H$3, 'GEN-SOLAR'!$D$110:$AW$110, 'GEN-SOLAR'!$D$114:$AW$114)*(1-'Assumptions &amp; Inputs'!$H$86*(H$3-YEAR('Assumptions &amp; Inputs'!$H$31))), 0)</f>
        <v>168710.05233123226</v>
      </c>
      <c r="I13" s="476">
        <f>IFERROR(_xlfn.XLOOKUP(I$3, 'GEN-SOLAR'!$D$110:$AW$110, 'GEN-SOLAR'!$D$114:$AW$114)*(1-'Assumptions &amp; Inputs'!$H$86*(I$3-YEAR('Assumptions &amp; Inputs'!$H$31))), 0)</f>
        <v>167010.04032432317</v>
      </c>
      <c r="J13" s="476">
        <f>IFERROR(_xlfn.XLOOKUP(J$3, 'GEN-SOLAR'!$D$110:$AW$110, 'GEN-SOLAR'!$D$114:$AW$114)*(1-'Assumptions &amp; Inputs'!$H$86*(J$3-YEAR('Assumptions &amp; Inputs'!$H$31))), 0)</f>
        <v>165322.8106861749</v>
      </c>
      <c r="K13" s="476">
        <f>IFERROR(_xlfn.XLOOKUP(K$3, 'GEN-SOLAR'!$D$110:$AW$110, 'GEN-SOLAR'!$D$114:$AW$114)*(1-'Assumptions &amp; Inputs'!$H$86*(K$3-YEAR('Assumptions &amp; Inputs'!$H$31))), 0)</f>
        <v>163648.27809339995</v>
      </c>
      <c r="L13" s="476">
        <f>IFERROR(_xlfn.XLOOKUP(L$3, 'GEN-SOLAR'!$D$110:$AW$110, 'GEN-SOLAR'!$D$114:$AW$114)*(1-'Assumptions &amp; Inputs'!$H$86*(L$3-YEAR('Assumptions &amp; Inputs'!$H$31))), 0)</f>
        <v>161986.35775628564</v>
      </c>
      <c r="M13" s="476">
        <f>IFERROR(_xlfn.XLOOKUP(M$3, 'GEN-SOLAR'!$D$110:$AW$110, 'GEN-SOLAR'!$D$114:$AW$114)*(1-'Assumptions &amp; Inputs'!$H$86*(M$3-YEAR('Assumptions &amp; Inputs'!$H$31))), 0)</f>
        <v>160336.96541559012</v>
      </c>
      <c r="N13" s="476">
        <f>IFERROR(_xlfn.XLOOKUP(N$3, 'GEN-SOLAR'!$D$110:$AW$110, 'GEN-SOLAR'!$D$114:$AW$114)*(1-'Assumptions &amp; Inputs'!$H$86*(N$3-YEAR('Assumptions &amp; Inputs'!$H$31))), 0)</f>
        <v>158700.01733935764</v>
      </c>
      <c r="O13" s="476">
        <f>IFERROR(_xlfn.XLOOKUP(O$3, 'GEN-SOLAR'!$D$110:$AW$110, 'GEN-SOLAR'!$D$114:$AW$114)*(1-'Assumptions &amp; Inputs'!$H$86*(O$3-YEAR('Assumptions &amp; Inputs'!$H$31))), 0)</f>
        <v>157075.43031975214</v>
      </c>
      <c r="P13" s="476">
        <f>IFERROR(_xlfn.XLOOKUP(P$3, 'GEN-SOLAR'!$D$110:$AW$110, 'GEN-SOLAR'!$D$114:$AW$114)*(1-'Assumptions &amp; Inputs'!$H$86*(P$3-YEAR('Assumptions &amp; Inputs'!$H$31))), 0)</f>
        <v>155463.12166990916</v>
      </c>
      <c r="Q13" s="476">
        <f>IFERROR(_xlfn.XLOOKUP(Q$3, 'GEN-SOLAR'!$D$110:$AW$110, 'GEN-SOLAR'!$D$114:$AW$114)*(1-'Assumptions &amp; Inputs'!$H$86*(Q$3-YEAR('Assumptions &amp; Inputs'!$H$31))), 0)</f>
        <v>153863.00922080665</v>
      </c>
      <c r="R13" s="476">
        <f>IFERROR(_xlfn.XLOOKUP(R$3, 'GEN-SOLAR'!$D$110:$AW$110, 'GEN-SOLAR'!$D$114:$AW$114)*(1-'Assumptions &amp; Inputs'!$H$86*(R$3-YEAR('Assumptions &amp; Inputs'!$H$31))), 0)</f>
        <v>152275.01131815341</v>
      </c>
      <c r="S13" s="476">
        <f>IFERROR(_xlfn.XLOOKUP(S$3, 'GEN-SOLAR'!$D$110:$AW$110, 'GEN-SOLAR'!$D$114:$AW$114)*(1-'Assumptions &amp; Inputs'!$H$86*(S$3-YEAR('Assumptions &amp; Inputs'!$H$31))), 0)</f>
        <v>150699.04681929617</v>
      </c>
      <c r="T13" s="476">
        <f>IFERROR(_xlfn.XLOOKUP(T$3, 'GEN-SOLAR'!$D$110:$AW$110, 'GEN-SOLAR'!$D$114:$AW$114)*(1-'Assumptions &amp; Inputs'!$H$86*(T$3-YEAR('Assumptions &amp; Inputs'!$H$31))), 0)</f>
        <v>149135.03509014455</v>
      </c>
      <c r="U13" s="476">
        <f>IFERROR(_xlfn.XLOOKUP(U$3, 'GEN-SOLAR'!$D$110:$AW$110, 'GEN-SOLAR'!$D$114:$AW$114)*(1-'Assumptions &amp; Inputs'!$H$86*(U$3-YEAR('Assumptions &amp; Inputs'!$H$31))), 0)</f>
        <v>147582.89600211396</v>
      </c>
      <c r="V13" s="476">
        <f>IFERROR(_xlfn.XLOOKUP(V$3, 'GEN-SOLAR'!$D$110:$AW$110, 'GEN-SOLAR'!$D$114:$AW$114)*(1-'Assumptions &amp; Inputs'!$H$86*(V$3-YEAR('Assumptions &amp; Inputs'!$H$31))), 0)</f>
        <v>146042.54992908644</v>
      </c>
      <c r="W13" s="476">
        <f>IFERROR(_xlfn.XLOOKUP(W$3, 'GEN-SOLAR'!$D$110:$AW$110, 'GEN-SOLAR'!$D$114:$AW$114)*(1-'Assumptions &amp; Inputs'!$H$86*(W$3-YEAR('Assumptions &amp; Inputs'!$H$31))), 0)</f>
        <v>144513.91774438915</v>
      </c>
      <c r="X13" s="476">
        <f>IFERROR(_xlfn.XLOOKUP(X$3, 'GEN-SOLAR'!$D$110:$AW$110, 'GEN-SOLAR'!$D$114:$AW$114)*(1-'Assumptions &amp; Inputs'!$H$86*(X$3-YEAR('Assumptions &amp; Inputs'!$H$31))), 0)</f>
        <v>142996.92081779055</v>
      </c>
      <c r="Y13" s="476">
        <f>IFERROR(_xlfn.XLOOKUP(Y$3, 'GEN-SOLAR'!$D$110:$AW$110, 'GEN-SOLAR'!$D$114:$AW$114)*(1-'Assumptions &amp; Inputs'!$H$86*(Y$3-YEAR('Assumptions &amp; Inputs'!$H$31))), 0)</f>
        <v>141491.48101251441</v>
      </c>
      <c r="Z13" s="476">
        <f>IFERROR(_xlfn.XLOOKUP(Z$3, 'GEN-SOLAR'!$D$110:$AW$110, 'GEN-SOLAR'!$D$114:$AW$114)*(1-'Assumptions &amp; Inputs'!$H$86*(Z$3-YEAR('Assumptions &amp; Inputs'!$H$31))), 0)</f>
        <v>139997.52068227052</v>
      </c>
      <c r="AA13" s="476">
        <f>IFERROR(_xlfn.XLOOKUP(AA$3, 'GEN-SOLAR'!$D$110:$AW$110, 'GEN-SOLAR'!$D$114:$AW$114)*(1-'Assumptions &amp; Inputs'!$H$86*(AA$3-YEAR('Assumptions &amp; Inputs'!$H$31))), 0)</f>
        <v>138514.96266830381</v>
      </c>
      <c r="AB13" s="476">
        <f>IFERROR(_xlfn.XLOOKUP(AB$3, 'GEN-SOLAR'!$D$110:$AW$110, 'GEN-SOLAR'!$D$114:$AW$114)*(1-'Assumptions &amp; Inputs'!$H$86*(AB$3-YEAR('Assumptions &amp; Inputs'!$H$31))), 0)</f>
        <v>137043.73029645966</v>
      </c>
      <c r="AC13" s="476">
        <f>IFERROR(_xlfn.XLOOKUP(AC$3, 'GEN-SOLAR'!$D$110:$AW$110, 'GEN-SOLAR'!$D$114:$AW$114)*(1-'Assumptions &amp; Inputs'!$H$86*(AC$3-YEAR('Assumptions &amp; Inputs'!$H$31))), 0)</f>
        <v>135583.74737426726</v>
      </c>
      <c r="AD13" s="476">
        <f>IFERROR(_xlfn.XLOOKUP(AD$3, 'GEN-SOLAR'!$D$110:$AW$110, 'GEN-SOLAR'!$D$114:$AW$114)*(1-'Assumptions &amp; Inputs'!$H$86*(AD$3-YEAR('Assumptions &amp; Inputs'!$H$31))), 0)</f>
        <v>0</v>
      </c>
      <c r="AE13" s="476">
        <f>IFERROR(_xlfn.XLOOKUP(AE$3, 'GEN-SOLAR'!$D$110:$AW$110, 'GEN-SOLAR'!$D$114:$AW$114)*(1-'Assumptions &amp; Inputs'!$H$86*(AE$3-YEAR('Assumptions &amp; Inputs'!$H$31))), 0)</f>
        <v>0</v>
      </c>
      <c r="AF13" s="476">
        <f>IFERROR(_xlfn.XLOOKUP(AF$3, 'GEN-SOLAR'!$D$110:$AW$110, 'GEN-SOLAR'!$D$114:$AW$114)*(1-'Assumptions &amp; Inputs'!$H$86*(AF$3-YEAR('Assumptions &amp; Inputs'!$H$31))), 0)</f>
        <v>0</v>
      </c>
      <c r="AG13" s="476">
        <f>IFERROR(_xlfn.XLOOKUP(AG$3, 'GEN-SOLAR'!$D$110:$AW$110, 'GEN-SOLAR'!$D$114:$AW$114)*(1-'Assumptions &amp; Inputs'!$H$86*(AG$3-YEAR('Assumptions &amp; Inputs'!$H$31))), 0)</f>
        <v>0</v>
      </c>
      <c r="AH13" s="476">
        <f>IFERROR(_xlfn.XLOOKUP(AH$3, 'GEN-SOLAR'!$D$110:$AW$110, 'GEN-SOLAR'!$D$114:$AW$114)*(1-'Assumptions &amp; Inputs'!$H$86*(AH$3-YEAR('Assumptions &amp; Inputs'!$H$31))), 0)</f>
        <v>0</v>
      </c>
      <c r="AI13" s="476">
        <f>IFERROR(_xlfn.XLOOKUP(AI$3, 'GEN-SOLAR'!$D$110:$AW$110, 'GEN-SOLAR'!$D$114:$AW$114)*(1-'Assumptions &amp; Inputs'!$H$86*(AI$3-YEAR('Assumptions &amp; Inputs'!$H$31))), 0)</f>
        <v>0</v>
      </c>
      <c r="AJ13" s="476">
        <f>IFERROR(_xlfn.XLOOKUP(AJ$3, 'GEN-SOLAR'!$D$110:$AW$110, 'GEN-SOLAR'!$D$114:$AW$114)*(1-'Assumptions &amp; Inputs'!$H$86*(AJ$3-YEAR('Assumptions &amp; Inputs'!$H$31))), 0)</f>
        <v>0</v>
      </c>
      <c r="AK13" s="476">
        <f>IFERROR(_xlfn.XLOOKUP(AK$3, 'GEN-SOLAR'!$D$110:$AW$110, 'GEN-SOLAR'!$D$114:$AW$114)*(1-'Assumptions &amp; Inputs'!$H$86*(AK$3-YEAR('Assumptions &amp; Inputs'!$H$31))), 0)</f>
        <v>0</v>
      </c>
      <c r="AL13" s="476">
        <f>IFERROR(_xlfn.XLOOKUP(AL$3, 'GEN-SOLAR'!$D$110:$AW$110, 'GEN-SOLAR'!$D$114:$AW$114)*(1-'Assumptions &amp; Inputs'!$H$86*(AL$3-YEAR('Assumptions &amp; Inputs'!$H$31))), 0)</f>
        <v>0</v>
      </c>
      <c r="AM13" s="476">
        <f>IFERROR(_xlfn.XLOOKUP(AM$3, 'GEN-SOLAR'!$D$110:$AW$110, 'GEN-SOLAR'!$D$114:$AW$114)*(1-'Assumptions &amp; Inputs'!$H$86*(AM$3-YEAR('Assumptions &amp; Inputs'!$H$31))), 0)</f>
        <v>0</v>
      </c>
      <c r="AN13" s="476">
        <f>IFERROR(_xlfn.XLOOKUP(AN$3, 'GEN-SOLAR'!$D$110:$AW$110, 'GEN-SOLAR'!$D$114:$AW$114)*(1-'Assumptions &amp; Inputs'!$H$86*(AN$3-YEAR('Assumptions &amp; Inputs'!$H$31))), 0)</f>
        <v>0</v>
      </c>
      <c r="AO13" s="476">
        <f>IFERROR(_xlfn.XLOOKUP(AO$3, 'GEN-SOLAR'!$D$110:$AW$110, 'GEN-SOLAR'!$D$114:$AW$114)*(1-'Assumptions &amp; Inputs'!$H$86*(AO$3-YEAR('Assumptions &amp; Inputs'!$H$31))), 0)</f>
        <v>0</v>
      </c>
      <c r="AP13" s="476">
        <f>IFERROR(_xlfn.XLOOKUP(AP$3, 'GEN-SOLAR'!$D$110:$AW$110, 'GEN-SOLAR'!$D$114:$AW$114)*(1-'Assumptions &amp; Inputs'!$H$86*(AP$3-YEAR('Assumptions &amp; Inputs'!$H$31))), 0)</f>
        <v>0</v>
      </c>
      <c r="AQ13" s="476">
        <f>IFERROR(_xlfn.XLOOKUP(AQ$3, 'GEN-SOLAR'!$D$110:$AW$110, 'GEN-SOLAR'!$D$114:$AW$114)*(1-'Assumptions &amp; Inputs'!$H$86*(AQ$3-YEAR('Assumptions &amp; Inputs'!$H$31))), 0)</f>
        <v>0</v>
      </c>
      <c r="AR13" s="476">
        <f>IFERROR(_xlfn.XLOOKUP(AR$3, 'GEN-SOLAR'!$D$110:$AW$110, 'GEN-SOLAR'!$D$114:$AW$114)*(1-'Assumptions &amp; Inputs'!$H$86*(AR$3-YEAR('Assumptions &amp; Inputs'!$H$31))), 0)</f>
        <v>0</v>
      </c>
      <c r="AS13" s="476">
        <f>IFERROR(_xlfn.XLOOKUP(AS$3, 'GEN-SOLAR'!$D$110:$AW$110, 'GEN-SOLAR'!$D$114:$AW$114)*(1-'Assumptions &amp; Inputs'!$H$86*(AS$3-YEAR('Assumptions &amp; Inputs'!$H$31))), 0)</f>
        <v>0</v>
      </c>
      <c r="AT13" s="476">
        <f>IFERROR(_xlfn.XLOOKUP(AT$3, 'GEN-SOLAR'!$D$110:$AW$110, 'GEN-SOLAR'!$D$114:$AW$114)*(1-'Assumptions &amp; Inputs'!$H$86*(AT$3-YEAR('Assumptions &amp; Inputs'!$H$31))), 0)</f>
        <v>0</v>
      </c>
      <c r="AU13" s="476">
        <f>IFERROR(_xlfn.XLOOKUP(AU$3, 'GEN-SOLAR'!$D$110:$AW$110, 'GEN-SOLAR'!$D$114:$AW$114)*(1-'Assumptions &amp; Inputs'!$H$86*(AU$3-YEAR('Assumptions &amp; Inputs'!$H$31))), 0)</f>
        <v>0</v>
      </c>
      <c r="AV13" s="476">
        <f>IFERROR(_xlfn.XLOOKUP(AV$3, 'GEN-SOLAR'!$D$110:$AW$110, 'GEN-SOLAR'!$D$114:$AW$114)*(1-'Assumptions &amp; Inputs'!$H$86*(AV$3-YEAR('Assumptions &amp; Inputs'!$H$31))), 0)</f>
        <v>0</v>
      </c>
    </row>
    <row r="14" spans="2:48">
      <c r="B14" s="98" t="s">
        <v>387</v>
      </c>
      <c r="C14" s="476">
        <f>IFERROR(_xlfn.XLOOKUP(C$3, 'GEN-BESS'!$D$110:$BA$110, 'GEN-BESS'!$D$116:$BA$116), 0)</f>
        <v>0</v>
      </c>
      <c r="D14" s="476">
        <f>IFERROR(_xlfn.XLOOKUP(D$3, 'GEN-BESS'!$D$110:$BA$110, 'GEN-BESS'!$D$116:$BA$116), 0)</f>
        <v>88962.222222222219</v>
      </c>
      <c r="E14" s="476">
        <f>IFERROR(_xlfn.XLOOKUP(E$3, 'GEN-BESS'!$D$110:$BA$110, 'GEN-BESS'!$D$116:$BA$116), 0)</f>
        <v>106400</v>
      </c>
      <c r="F14" s="476">
        <f>IFERROR(_xlfn.XLOOKUP(F$3, 'GEN-BESS'!$D$110:$BA$110, 'GEN-BESS'!$D$116:$BA$116), 0)</f>
        <v>106400</v>
      </c>
      <c r="G14" s="476">
        <f>IFERROR(_xlfn.XLOOKUP(G$3, 'GEN-BESS'!$D$110:$BA$110, 'GEN-BESS'!$D$116:$BA$116), 0)</f>
        <v>106400</v>
      </c>
      <c r="H14" s="476">
        <f>IFERROR(_xlfn.XLOOKUP(H$3, 'GEN-BESS'!$D$110:$BA$110, 'GEN-BESS'!$D$116:$BA$116), 0)</f>
        <v>106400</v>
      </c>
      <c r="I14" s="476">
        <f>IFERROR(_xlfn.XLOOKUP(I$3, 'GEN-BESS'!$D$110:$BA$110, 'GEN-BESS'!$D$116:$BA$116), 0)</f>
        <v>106400</v>
      </c>
      <c r="J14" s="476">
        <f>IFERROR(_xlfn.XLOOKUP(J$3, 'GEN-BESS'!$D$110:$BA$110, 'GEN-BESS'!$D$116:$BA$116), 0)</f>
        <v>106400</v>
      </c>
      <c r="K14" s="476">
        <f>IFERROR(_xlfn.XLOOKUP(K$3, 'GEN-BESS'!$D$110:$BA$110, 'GEN-BESS'!$D$116:$BA$116), 0)</f>
        <v>106400</v>
      </c>
      <c r="L14" s="476">
        <f>IFERROR(_xlfn.XLOOKUP(L$3, 'GEN-BESS'!$D$110:$BA$110, 'GEN-BESS'!$D$116:$BA$116), 0)</f>
        <v>106400</v>
      </c>
      <c r="M14" s="476">
        <f>IFERROR(_xlfn.XLOOKUP(M$3, 'GEN-BESS'!$D$110:$BA$110, 'GEN-BESS'!$D$116:$BA$116), 0)</f>
        <v>106400</v>
      </c>
      <c r="N14" s="476">
        <f>IFERROR(_xlfn.XLOOKUP(N$3, 'GEN-BESS'!$D$110:$BA$110, 'GEN-BESS'!$D$116:$BA$116), 0)</f>
        <v>106400</v>
      </c>
      <c r="O14" s="476">
        <f>IFERROR(_xlfn.XLOOKUP(O$3, 'GEN-BESS'!$D$110:$BA$110, 'GEN-BESS'!$D$116:$BA$116), 0)</f>
        <v>106400</v>
      </c>
      <c r="P14" s="476">
        <f>IFERROR(_xlfn.XLOOKUP(P$3, 'GEN-BESS'!$D$110:$BA$110, 'GEN-BESS'!$D$116:$BA$116), 0)</f>
        <v>106400</v>
      </c>
      <c r="Q14" s="476">
        <f>IFERROR(_xlfn.XLOOKUP(Q$3, 'GEN-BESS'!$D$110:$BA$110, 'GEN-BESS'!$D$116:$BA$116), 0)</f>
        <v>106400</v>
      </c>
      <c r="R14" s="476">
        <f>IFERROR(_xlfn.XLOOKUP(R$3, 'GEN-BESS'!$D$110:$BA$110, 'GEN-BESS'!$D$116:$BA$116), 0)</f>
        <v>106400</v>
      </c>
      <c r="S14" s="476">
        <f>IFERROR(_xlfn.XLOOKUP(S$3, 'GEN-BESS'!$D$110:$BA$110, 'GEN-BESS'!$D$116:$BA$116), 0)</f>
        <v>106400</v>
      </c>
      <c r="T14" s="476">
        <f>IFERROR(_xlfn.XLOOKUP(T$3, 'GEN-BESS'!$D$110:$BA$110, 'GEN-BESS'!$D$116:$BA$116), 0)</f>
        <v>106400</v>
      </c>
      <c r="U14" s="476">
        <f>IFERROR(_xlfn.XLOOKUP(U$3, 'GEN-BESS'!$D$110:$BA$110, 'GEN-BESS'!$D$116:$BA$116), 0)</f>
        <v>106400</v>
      </c>
      <c r="V14" s="476">
        <f>IFERROR(_xlfn.XLOOKUP(V$3, 'GEN-BESS'!$D$110:$BA$110, 'GEN-BESS'!$D$116:$BA$116), 0)</f>
        <v>106400</v>
      </c>
      <c r="W14" s="476">
        <f>IFERROR(_xlfn.XLOOKUP(W$3, 'GEN-BESS'!$D$110:$BA$110, 'GEN-BESS'!$D$116:$BA$116), 0)</f>
        <v>106400</v>
      </c>
      <c r="X14" s="476">
        <f>IFERROR(_xlfn.XLOOKUP(X$3, 'GEN-BESS'!$D$110:$BA$110, 'GEN-BESS'!$D$116:$BA$116), 0)</f>
        <v>106400</v>
      </c>
      <c r="Y14" s="476">
        <f>IFERROR(_xlfn.XLOOKUP(Y$3, 'GEN-BESS'!$D$110:$BA$110, 'GEN-BESS'!$D$116:$BA$116), 0)</f>
        <v>106400</v>
      </c>
      <c r="Z14" s="476">
        <f>IFERROR(_xlfn.XLOOKUP(Z$3, 'GEN-BESS'!$D$110:$BA$110, 'GEN-BESS'!$D$116:$BA$116), 0)</f>
        <v>106400</v>
      </c>
      <c r="AA14" s="476">
        <f>IFERROR(_xlfn.XLOOKUP(AA$3, 'GEN-BESS'!$D$110:$BA$110, 'GEN-BESS'!$D$116:$BA$116), 0)</f>
        <v>106400</v>
      </c>
      <c r="AB14" s="476">
        <f>IFERROR(_xlfn.XLOOKUP(AB$3, 'GEN-BESS'!$D$110:$BA$110, 'GEN-BESS'!$D$116:$BA$116), 0)</f>
        <v>106400</v>
      </c>
      <c r="AC14" s="476">
        <f>IFERROR(_xlfn.XLOOKUP(AC$3, 'GEN-BESS'!$D$110:$BA$110, 'GEN-BESS'!$D$116:$BA$116), 0)</f>
        <v>106400</v>
      </c>
      <c r="AD14" s="476">
        <f>IFERROR(_xlfn.XLOOKUP(AD$3, 'GEN-BESS'!$D$110:$BA$110, 'GEN-BESS'!$D$116:$BA$116), 0)</f>
        <v>0</v>
      </c>
      <c r="AE14" s="476">
        <f>IFERROR(_xlfn.XLOOKUP(AE$3, 'GEN-BESS'!$D$110:$BA$110, 'GEN-BESS'!$D$116:$BA$116), 0)</f>
        <v>0</v>
      </c>
      <c r="AF14" s="476">
        <f>IFERROR(_xlfn.XLOOKUP(AF$3, 'GEN-BESS'!$D$110:$BA$110, 'GEN-BESS'!$D$116:$BA$116), 0)</f>
        <v>0</v>
      </c>
      <c r="AG14" s="476">
        <f>IFERROR(_xlfn.XLOOKUP(AG$3, 'GEN-BESS'!$D$110:$BA$110, 'GEN-BESS'!$D$116:$BA$116), 0)</f>
        <v>0</v>
      </c>
      <c r="AH14" s="476">
        <f>IFERROR(_xlfn.XLOOKUP(AH$3, 'GEN-BESS'!$D$110:$BA$110, 'GEN-BESS'!$D$116:$BA$116), 0)</f>
        <v>0</v>
      </c>
      <c r="AI14" s="476">
        <f>IFERROR(_xlfn.XLOOKUP(AI$3, 'GEN-BESS'!$D$110:$BA$110, 'GEN-BESS'!$D$116:$BA$116), 0)</f>
        <v>0</v>
      </c>
      <c r="AJ14" s="476">
        <f>IFERROR(_xlfn.XLOOKUP(AJ$3, 'GEN-BESS'!$D$110:$BA$110, 'GEN-BESS'!$D$116:$BA$116), 0)</f>
        <v>0</v>
      </c>
      <c r="AK14" s="476">
        <f>IFERROR(_xlfn.XLOOKUP(AK$3, 'GEN-BESS'!$D$110:$BA$110, 'GEN-BESS'!$D$116:$BA$116), 0)</f>
        <v>0</v>
      </c>
      <c r="AL14" s="476">
        <f>IFERROR(_xlfn.XLOOKUP(AL$3, 'GEN-BESS'!$D$110:$BA$110, 'GEN-BESS'!$D$116:$BA$116), 0)</f>
        <v>0</v>
      </c>
      <c r="AM14" s="476">
        <f>IFERROR(_xlfn.XLOOKUP(AM$3, 'GEN-BESS'!$D$110:$BA$110, 'GEN-BESS'!$D$116:$BA$116), 0)</f>
        <v>0</v>
      </c>
      <c r="AN14" s="476">
        <f>IFERROR(_xlfn.XLOOKUP(AN$3, 'GEN-BESS'!$D$110:$BA$110, 'GEN-BESS'!$D$116:$BA$116), 0)</f>
        <v>0</v>
      </c>
      <c r="AO14" s="476">
        <f>IFERROR(_xlfn.XLOOKUP(AO$3, 'GEN-BESS'!$D$110:$BA$110, 'GEN-BESS'!$D$116:$BA$116), 0)</f>
        <v>0</v>
      </c>
      <c r="AP14" s="476">
        <f>IFERROR(_xlfn.XLOOKUP(AP$3, 'GEN-BESS'!$D$110:$BA$110, 'GEN-BESS'!$D$116:$BA$116), 0)</f>
        <v>0</v>
      </c>
      <c r="AQ14" s="476">
        <f>IFERROR(_xlfn.XLOOKUP(AQ$3, 'GEN-BESS'!$D$110:$BA$110, 'GEN-BESS'!$D$116:$BA$116), 0)</f>
        <v>0</v>
      </c>
      <c r="AR14" s="476">
        <f>IFERROR(_xlfn.XLOOKUP(AR$3, 'GEN-BESS'!$D$110:$BA$110, 'GEN-BESS'!$D$116:$BA$116), 0)</f>
        <v>0</v>
      </c>
      <c r="AS14" s="476">
        <f>IFERROR(_xlfn.XLOOKUP(AS$3, 'GEN-BESS'!$D$110:$BA$110, 'GEN-BESS'!$D$116:$BA$116), 0)</f>
        <v>0</v>
      </c>
      <c r="AT14" s="476">
        <f>IFERROR(_xlfn.XLOOKUP(AT$3, 'GEN-BESS'!$D$110:$BA$110, 'GEN-BESS'!$D$116:$BA$116), 0)</f>
        <v>0</v>
      </c>
      <c r="AU14" s="476">
        <f>IFERROR(_xlfn.XLOOKUP(AU$3, 'GEN-BESS'!$D$110:$BA$110, 'GEN-BESS'!$D$116:$BA$116), 0)</f>
        <v>0</v>
      </c>
      <c r="AV14" s="476">
        <f>IFERROR(_xlfn.XLOOKUP(AV$3, 'GEN-BESS'!$D$110:$BA$110, 'GEN-BESS'!$D$116:$BA$116), 0)</f>
        <v>0</v>
      </c>
    </row>
    <row r="15" spans="2:48">
      <c r="B15" s="98" t="s">
        <v>4</v>
      </c>
      <c r="C15" s="476">
        <f>IFERROR(_xlfn.XLOOKUP(C$3, 'GEN-CCGT'!$D$110:$BA$110, 'GEN-CCGT'!$D$113:$BA$113), 0)</f>
        <v>0</v>
      </c>
      <c r="D15" s="476">
        <f>IFERROR(_xlfn.XLOOKUP(D$3, 'GEN-CCGT'!$D$110:$BA$110, 'GEN-CCGT'!$D$113:$BA$113), 0)</f>
        <v>0</v>
      </c>
      <c r="E15" s="476">
        <f>IFERROR(_xlfn.XLOOKUP(E$3, 'GEN-CCGT'!$D$110:$BA$110, 'GEN-CCGT'!$D$113:$BA$113), 0)</f>
        <v>0</v>
      </c>
      <c r="F15" s="476">
        <f>IFERROR(_xlfn.XLOOKUP(F$3, 'GEN-CCGT'!$D$110:$BA$110, 'GEN-CCGT'!$D$113:$BA$113), 0)</f>
        <v>496953.59999999998</v>
      </c>
      <c r="G15" s="476">
        <f>IFERROR(_xlfn.XLOOKUP(G$3, 'GEN-CCGT'!$D$110:$BA$110, 'GEN-CCGT'!$D$113:$BA$113), 0)</f>
        <v>745430.4</v>
      </c>
      <c r="H15" s="476">
        <f>IFERROR(_xlfn.XLOOKUP(H$3, 'GEN-CCGT'!$D$110:$BA$110, 'GEN-CCGT'!$D$113:$BA$113), 0)</f>
        <v>743566.82400000002</v>
      </c>
      <c r="I15" s="476">
        <f>IFERROR(_xlfn.XLOOKUP(I$3, 'GEN-CCGT'!$D$110:$BA$110, 'GEN-CCGT'!$D$113:$BA$113), 0)</f>
        <v>741707.90694000013</v>
      </c>
      <c r="J15" s="476">
        <f>IFERROR(_xlfn.XLOOKUP(J$3, 'GEN-CCGT'!$D$110:$BA$110, 'GEN-CCGT'!$D$113:$BA$113), 0)</f>
        <v>739853.63717265008</v>
      </c>
      <c r="K15" s="476">
        <f>IFERROR(_xlfn.XLOOKUP(K$3, 'GEN-CCGT'!$D$110:$BA$110, 'GEN-CCGT'!$D$113:$BA$113), 0)</f>
        <v>738004.00307971844</v>
      </c>
      <c r="L15" s="476">
        <f>IFERROR(_xlfn.XLOOKUP(L$3, 'GEN-CCGT'!$D$110:$BA$110, 'GEN-CCGT'!$D$113:$BA$113), 0)</f>
        <v>736158.99307201931</v>
      </c>
      <c r="M15" s="476">
        <f>IFERROR(_xlfn.XLOOKUP(M$3, 'GEN-CCGT'!$D$110:$BA$110, 'GEN-CCGT'!$D$113:$BA$113), 0)</f>
        <v>734318.59558933927</v>
      </c>
      <c r="N15" s="476">
        <f>IFERROR(_xlfn.XLOOKUP(N$3, 'GEN-CCGT'!$D$110:$BA$110, 'GEN-CCGT'!$D$113:$BA$113), 0)</f>
        <v>732482.79910036596</v>
      </c>
      <c r="O15" s="476">
        <f>IFERROR(_xlfn.XLOOKUP(O$3, 'GEN-CCGT'!$D$110:$BA$110, 'GEN-CCGT'!$D$113:$BA$113), 0)</f>
        <v>730651.59210261505</v>
      </c>
      <c r="P15" s="476">
        <f>IFERROR(_xlfn.XLOOKUP(P$3, 'GEN-CCGT'!$D$110:$BA$110, 'GEN-CCGT'!$D$113:$BA$113), 0)</f>
        <v>728824.96312235855</v>
      </c>
      <c r="Q15" s="476">
        <f>IFERROR(_xlfn.XLOOKUP(Q$3, 'GEN-CCGT'!$D$110:$BA$110, 'GEN-CCGT'!$D$113:$BA$113), 0)</f>
        <v>727002.90071455261</v>
      </c>
      <c r="R15" s="476">
        <f>IFERROR(_xlfn.XLOOKUP(R$3, 'GEN-CCGT'!$D$110:$BA$110, 'GEN-CCGT'!$D$113:$BA$113), 0)</f>
        <v>725185.39346276631</v>
      </c>
      <c r="S15" s="476">
        <f>IFERROR(_xlfn.XLOOKUP(S$3, 'GEN-CCGT'!$D$110:$BA$110, 'GEN-CCGT'!$D$113:$BA$113), 0)</f>
        <v>723372.42997910944</v>
      </c>
      <c r="T15" s="476">
        <f>IFERROR(_xlfn.XLOOKUP(T$3, 'GEN-CCGT'!$D$110:$BA$110, 'GEN-CCGT'!$D$113:$BA$113), 0)</f>
        <v>721563.99890416162</v>
      </c>
      <c r="U15" s="476">
        <f>IFERROR(_xlfn.XLOOKUP(U$3, 'GEN-CCGT'!$D$110:$BA$110, 'GEN-CCGT'!$D$113:$BA$113), 0)</f>
        <v>719760.08890690131</v>
      </c>
      <c r="V15" s="476">
        <f>IFERROR(_xlfn.XLOOKUP(V$3, 'GEN-CCGT'!$D$110:$BA$110, 'GEN-CCGT'!$D$113:$BA$113), 0)</f>
        <v>717960.68868463405</v>
      </c>
      <c r="W15" s="476">
        <f>IFERROR(_xlfn.XLOOKUP(W$3, 'GEN-CCGT'!$D$110:$BA$110, 'GEN-CCGT'!$D$113:$BA$113), 0)</f>
        <v>716165.78696292255</v>
      </c>
      <c r="X15" s="476">
        <f>IFERROR(_xlfn.XLOOKUP(X$3, 'GEN-CCGT'!$D$110:$BA$110, 'GEN-CCGT'!$D$113:$BA$113), 0)</f>
        <v>714375.37249551527</v>
      </c>
      <c r="Y15" s="476">
        <f>IFERROR(_xlfn.XLOOKUP(Y$3, 'GEN-CCGT'!$D$110:$BA$110, 'GEN-CCGT'!$D$113:$BA$113), 0)</f>
        <v>712589.43406427652</v>
      </c>
      <c r="Z15" s="476">
        <f>IFERROR(_xlfn.XLOOKUP(Z$3, 'GEN-CCGT'!$D$110:$BA$110, 'GEN-CCGT'!$D$113:$BA$113), 0)</f>
        <v>710807.96047911583</v>
      </c>
      <c r="AA15" s="476">
        <f>IFERROR(_xlfn.XLOOKUP(AA$3, 'GEN-CCGT'!$D$110:$BA$110, 'GEN-CCGT'!$D$113:$BA$113), 0)</f>
        <v>709030.94057791808</v>
      </c>
      <c r="AB15" s="476">
        <f>IFERROR(_xlfn.XLOOKUP(AB$3, 'GEN-CCGT'!$D$110:$BA$110, 'GEN-CCGT'!$D$113:$BA$113), 0)</f>
        <v>707258.36322647345</v>
      </c>
      <c r="AC15" s="476">
        <f>IFERROR(_xlfn.XLOOKUP(AC$3, 'GEN-CCGT'!$D$110:$BA$110, 'GEN-CCGT'!$D$113:$BA$113), 0)</f>
        <v>705490.21731840726</v>
      </c>
      <c r="AD15" s="476">
        <f>IFERROR(_xlfn.XLOOKUP(AD$3, 'GEN-CCGT'!$D$110:$BA$110, 'GEN-CCGT'!$D$113:$BA$113), 0)</f>
        <v>703726.4917751113</v>
      </c>
      <c r="AE15" s="476">
        <f>IFERROR(_xlfn.XLOOKUP(AE$3, 'GEN-CCGT'!$D$110:$BA$110, 'GEN-CCGT'!$D$113:$BA$113), 0)</f>
        <v>701967.17554567347</v>
      </c>
      <c r="AF15" s="476">
        <f>IFERROR(_xlfn.XLOOKUP(AF$3, 'GEN-CCGT'!$D$110:$BA$110, 'GEN-CCGT'!$D$113:$BA$113), 0)</f>
        <v>0</v>
      </c>
      <c r="AG15" s="476">
        <f>IFERROR(_xlfn.XLOOKUP(AG$3, 'GEN-CCGT'!$D$110:$BA$110, 'GEN-CCGT'!$D$113:$BA$113), 0)</f>
        <v>0</v>
      </c>
      <c r="AH15" s="476">
        <f>IFERROR(_xlfn.XLOOKUP(AH$3, 'GEN-CCGT'!$D$110:$BA$110, 'GEN-CCGT'!$D$113:$BA$113), 0)</f>
        <v>0</v>
      </c>
      <c r="AI15" s="476">
        <f>IFERROR(_xlfn.XLOOKUP(AI$3, 'GEN-CCGT'!$D$110:$BA$110, 'GEN-CCGT'!$D$113:$BA$113), 0)</f>
        <v>0</v>
      </c>
      <c r="AJ15" s="476">
        <f>IFERROR(_xlfn.XLOOKUP(AJ$3, 'GEN-CCGT'!$D$110:$BA$110, 'GEN-CCGT'!$D$113:$BA$113), 0)</f>
        <v>0</v>
      </c>
      <c r="AK15" s="476">
        <f>IFERROR(_xlfn.XLOOKUP(AK$3, 'GEN-CCGT'!$D$110:$BA$110, 'GEN-CCGT'!$D$113:$BA$113), 0)</f>
        <v>0</v>
      </c>
      <c r="AL15" s="476">
        <f>IFERROR(_xlfn.XLOOKUP(AL$3, 'GEN-CCGT'!$D$110:$BA$110, 'GEN-CCGT'!$D$113:$BA$113), 0)</f>
        <v>0</v>
      </c>
      <c r="AM15" s="476">
        <f>IFERROR(_xlfn.XLOOKUP(AM$3, 'GEN-CCGT'!$D$110:$BA$110, 'GEN-CCGT'!$D$113:$BA$113), 0)</f>
        <v>0</v>
      </c>
      <c r="AN15" s="476">
        <f>IFERROR(_xlfn.XLOOKUP(AN$3, 'GEN-CCGT'!$D$110:$BA$110, 'GEN-CCGT'!$D$113:$BA$113), 0)</f>
        <v>0</v>
      </c>
      <c r="AO15" s="476">
        <f>IFERROR(_xlfn.XLOOKUP(AO$3, 'GEN-CCGT'!$D$110:$BA$110, 'GEN-CCGT'!$D$113:$BA$113), 0)</f>
        <v>0</v>
      </c>
      <c r="AP15" s="476">
        <f>IFERROR(_xlfn.XLOOKUP(AP$3, 'GEN-CCGT'!$D$110:$BA$110, 'GEN-CCGT'!$D$113:$BA$113), 0)</f>
        <v>0</v>
      </c>
      <c r="AQ15" s="476">
        <f>IFERROR(_xlfn.XLOOKUP(AQ$3, 'GEN-CCGT'!$D$110:$BA$110, 'GEN-CCGT'!$D$113:$BA$113), 0)</f>
        <v>0</v>
      </c>
      <c r="AR15" s="476">
        <f>IFERROR(_xlfn.XLOOKUP(AR$3, 'GEN-CCGT'!$D$110:$BA$110, 'GEN-CCGT'!$D$113:$BA$113), 0)</f>
        <v>0</v>
      </c>
      <c r="AS15" s="476">
        <f>IFERROR(_xlfn.XLOOKUP(AS$3, 'GEN-CCGT'!$D$110:$BA$110, 'GEN-CCGT'!$D$113:$BA$113), 0)</f>
        <v>0</v>
      </c>
      <c r="AT15" s="476">
        <f>IFERROR(_xlfn.XLOOKUP(AT$3, 'GEN-CCGT'!$D$110:$BA$110, 'GEN-CCGT'!$D$113:$BA$113), 0)</f>
        <v>0</v>
      </c>
      <c r="AU15" s="476">
        <f>IFERROR(_xlfn.XLOOKUP(AU$3, 'GEN-CCGT'!$D$110:$BA$110, 'GEN-CCGT'!$D$113:$BA$113), 0)</f>
        <v>0</v>
      </c>
      <c r="AV15" s="476">
        <f>IFERROR(_xlfn.XLOOKUP(AV$3, 'GEN-CCGT'!$D$110:$BA$110, 'GEN-CCGT'!$D$113:$BA$113), 0)</f>
        <v>0</v>
      </c>
    </row>
    <row r="16" spans="2:48">
      <c r="B16" s="98" t="s">
        <v>9</v>
      </c>
      <c r="C16" s="476">
        <f>IFERROR(_xlfn.XLOOKUP(C$3, 'GEN-CARBON'!$D$110:$BA$110, 'GEN-CARBON'!$D$113:$BA$113), 0)</f>
        <v>0</v>
      </c>
      <c r="D16" s="476">
        <f>IFERROR(_xlfn.XLOOKUP(D$3, 'GEN-CARBON'!$D$110:$BA$110, 'GEN-CARBON'!$D$113:$BA$113), 0)</f>
        <v>0</v>
      </c>
      <c r="E16" s="476">
        <f>IFERROR(_xlfn.XLOOKUP(E$3, 'GEN-CARBON'!$D$110:$BA$110, 'GEN-CARBON'!$D$113:$BA$113), 0)</f>
        <v>0</v>
      </c>
      <c r="F16" s="476">
        <f>IFERROR(_xlfn.XLOOKUP(F$3, 'GEN-CARBON'!$D$110:$BA$110, 'GEN-CARBON'!$D$113:$BA$113), 0)</f>
        <v>0</v>
      </c>
      <c r="G16" s="476">
        <f>IFERROR(_xlfn.XLOOKUP(G$3, 'GEN-CARBON'!$D$110:$BA$110, 'GEN-CARBON'!$D$113:$BA$113), 0)</f>
        <v>665691.6</v>
      </c>
      <c r="H16" s="476">
        <f>IFERROR(_xlfn.XLOOKUP(H$3, 'GEN-CARBON'!$D$110:$BA$110, 'GEN-CARBON'!$D$113:$BA$113), 0)</f>
        <v>796176</v>
      </c>
      <c r="I16" s="476">
        <f>IFERROR(_xlfn.XLOOKUP(I$3, 'GEN-CARBON'!$D$110:$BA$110, 'GEN-CARBON'!$D$113:$BA$113), 0)</f>
        <v>794185.55999999994</v>
      </c>
      <c r="J16" s="476">
        <f>IFERROR(_xlfn.XLOOKUP(J$3, 'GEN-CARBON'!$D$110:$BA$110, 'GEN-CARBON'!$D$113:$BA$113), 0)</f>
        <v>792200.09610000008</v>
      </c>
      <c r="K16" s="476">
        <f>IFERROR(_xlfn.XLOOKUP(K$3, 'GEN-CARBON'!$D$110:$BA$110, 'GEN-CARBON'!$D$113:$BA$113), 0)</f>
        <v>790219.59585975017</v>
      </c>
      <c r="L16" s="476">
        <f>IFERROR(_xlfn.XLOOKUP(L$3, 'GEN-CARBON'!$D$110:$BA$110, 'GEN-CARBON'!$D$113:$BA$113), 0)</f>
        <v>788244.04687010078</v>
      </c>
      <c r="M16" s="476">
        <f>IFERROR(_xlfn.XLOOKUP(M$3, 'GEN-CARBON'!$D$110:$BA$110, 'GEN-CARBON'!$D$113:$BA$113), 0)</f>
        <v>786273.43675292563</v>
      </c>
      <c r="N16" s="476">
        <f>IFERROR(_xlfn.XLOOKUP(N$3, 'GEN-CARBON'!$D$110:$BA$110, 'GEN-CARBON'!$D$113:$BA$113), 0)</f>
        <v>784307.75316104328</v>
      </c>
      <c r="O16" s="476">
        <f>IFERROR(_xlfn.XLOOKUP(O$3, 'GEN-CARBON'!$D$110:$BA$110, 'GEN-CARBON'!$D$113:$BA$113), 0)</f>
        <v>782346.98377814074</v>
      </c>
      <c r="P16" s="476">
        <f>IFERROR(_xlfn.XLOOKUP(P$3, 'GEN-CARBON'!$D$110:$BA$110, 'GEN-CARBON'!$D$113:$BA$113), 0)</f>
        <v>780391.11631869536</v>
      </c>
      <c r="Q16" s="476">
        <f>IFERROR(_xlfn.XLOOKUP(Q$3, 'GEN-CARBON'!$D$110:$BA$110, 'GEN-CARBON'!$D$113:$BA$113), 0)</f>
        <v>778440.13852789858</v>
      </c>
      <c r="R16" s="476">
        <f>IFERROR(_xlfn.XLOOKUP(R$3, 'GEN-CARBON'!$D$110:$BA$110, 'GEN-CARBON'!$D$113:$BA$113), 0)</f>
        <v>776494.03818157897</v>
      </c>
      <c r="S16" s="476">
        <f>IFERROR(_xlfn.XLOOKUP(S$3, 'GEN-CARBON'!$D$110:$BA$110, 'GEN-CARBON'!$D$113:$BA$113), 0)</f>
        <v>774552.80308612506</v>
      </c>
      <c r="T16" s="476">
        <f>IFERROR(_xlfn.XLOOKUP(T$3, 'GEN-CARBON'!$D$110:$BA$110, 'GEN-CARBON'!$D$113:$BA$113), 0)</f>
        <v>772616.42107840977</v>
      </c>
      <c r="U16" s="476">
        <f>IFERROR(_xlfn.XLOOKUP(U$3, 'GEN-CARBON'!$D$110:$BA$110, 'GEN-CARBON'!$D$113:$BA$113), 0)</f>
        <v>770684.88002571382</v>
      </c>
      <c r="V16" s="476">
        <f>IFERROR(_xlfn.XLOOKUP(V$3, 'GEN-CARBON'!$D$110:$BA$110, 'GEN-CARBON'!$D$113:$BA$113), 0)</f>
        <v>768758.16782564949</v>
      </c>
      <c r="W16" s="476">
        <f>IFERROR(_xlfn.XLOOKUP(W$3, 'GEN-CARBON'!$D$110:$BA$110, 'GEN-CARBON'!$D$113:$BA$113), 0)</f>
        <v>766836.27240608551</v>
      </c>
      <c r="X16" s="476">
        <f>IFERROR(_xlfn.XLOOKUP(X$3, 'GEN-CARBON'!$D$110:$BA$110, 'GEN-CARBON'!$D$113:$BA$113), 0)</f>
        <v>764919.18172507023</v>
      </c>
      <c r="Y16" s="476">
        <f>IFERROR(_xlfn.XLOOKUP(Y$3, 'GEN-CARBON'!$D$110:$BA$110, 'GEN-CARBON'!$D$113:$BA$113), 0)</f>
        <v>763006.8837707577</v>
      </c>
      <c r="Z16" s="476">
        <f>IFERROR(_xlfn.XLOOKUP(Z$3, 'GEN-CARBON'!$D$110:$BA$110, 'GEN-CARBON'!$D$113:$BA$113), 0)</f>
        <v>761099.36656133074</v>
      </c>
      <c r="AA16" s="476">
        <f>IFERROR(_xlfn.XLOOKUP(AA$3, 'GEN-CARBON'!$D$110:$BA$110, 'GEN-CARBON'!$D$113:$BA$113), 0)</f>
        <v>759196.61814492743</v>
      </c>
      <c r="AB16" s="476">
        <f>IFERROR(_xlfn.XLOOKUP(AB$3, 'GEN-CARBON'!$D$110:$BA$110, 'GEN-CARBON'!$D$113:$BA$113), 0)</f>
        <v>757298.62659956515</v>
      </c>
      <c r="AC16" s="476">
        <f>IFERROR(_xlfn.XLOOKUP(AC$3, 'GEN-CARBON'!$D$110:$BA$110, 'GEN-CARBON'!$D$113:$BA$113), 0)</f>
        <v>755405.38003306638</v>
      </c>
      <c r="AD16" s="476">
        <f>IFERROR(_xlfn.XLOOKUP(AD$3, 'GEN-CARBON'!$D$110:$BA$110, 'GEN-CARBON'!$D$113:$BA$113), 0)</f>
        <v>753516.86658298376</v>
      </c>
      <c r="AE16" s="476">
        <f>IFERROR(_xlfn.XLOOKUP(AE$3, 'GEN-CARBON'!$D$110:$BA$110, 'GEN-CARBON'!$D$113:$BA$113), 0)</f>
        <v>751633.07441652624</v>
      </c>
      <c r="AF16" s="476">
        <f>IFERROR(_xlfn.XLOOKUP(AF$3, 'GEN-CARBON'!$D$110:$BA$110, 'GEN-CARBON'!$D$113:$BA$113), 0)</f>
        <v>749753.99173048488</v>
      </c>
      <c r="AG16" s="476">
        <f>IFERROR(_xlfn.XLOOKUP(AG$3, 'GEN-CARBON'!$D$110:$BA$110, 'GEN-CARBON'!$D$113:$BA$113), 0)</f>
        <v>0</v>
      </c>
      <c r="AH16" s="476">
        <f>IFERROR(_xlfn.XLOOKUP(AH$3, 'GEN-CARBON'!$D$110:$BA$110, 'GEN-CARBON'!$D$113:$BA$113), 0)</f>
        <v>0</v>
      </c>
      <c r="AI16" s="476">
        <f>IFERROR(_xlfn.XLOOKUP(AI$3, 'GEN-CARBON'!$D$110:$BA$110, 'GEN-CARBON'!$D$113:$BA$113), 0)</f>
        <v>0</v>
      </c>
      <c r="AJ16" s="476">
        <f>IFERROR(_xlfn.XLOOKUP(AJ$3, 'GEN-CARBON'!$D$110:$BA$110, 'GEN-CARBON'!$D$113:$BA$113), 0)</f>
        <v>0</v>
      </c>
      <c r="AK16" s="476">
        <f>IFERROR(_xlfn.XLOOKUP(AK$3, 'GEN-CARBON'!$D$110:$BA$110, 'GEN-CARBON'!$D$113:$BA$113), 0)</f>
        <v>0</v>
      </c>
      <c r="AL16" s="476">
        <f>IFERROR(_xlfn.XLOOKUP(AL$3, 'GEN-CARBON'!$D$110:$BA$110, 'GEN-CARBON'!$D$113:$BA$113), 0)</f>
        <v>0</v>
      </c>
      <c r="AM16" s="476">
        <f>IFERROR(_xlfn.XLOOKUP(AM$3, 'GEN-CARBON'!$D$110:$BA$110, 'GEN-CARBON'!$D$113:$BA$113), 0)</f>
        <v>0</v>
      </c>
      <c r="AN16" s="476">
        <f>IFERROR(_xlfn.XLOOKUP(AN$3, 'GEN-CARBON'!$D$110:$BA$110, 'GEN-CARBON'!$D$113:$BA$113), 0)</f>
        <v>0</v>
      </c>
      <c r="AO16" s="476">
        <f>IFERROR(_xlfn.XLOOKUP(AO$3, 'GEN-CARBON'!$D$110:$BA$110, 'GEN-CARBON'!$D$113:$BA$113), 0)</f>
        <v>0</v>
      </c>
      <c r="AP16" s="476">
        <f>IFERROR(_xlfn.XLOOKUP(AP$3, 'GEN-CARBON'!$D$110:$BA$110, 'GEN-CARBON'!$D$113:$BA$113), 0)</f>
        <v>0</v>
      </c>
      <c r="AQ16" s="476">
        <f>IFERROR(_xlfn.XLOOKUP(AQ$3, 'GEN-CARBON'!$D$110:$BA$110, 'GEN-CARBON'!$D$113:$BA$113), 0)</f>
        <v>0</v>
      </c>
      <c r="AR16" s="476">
        <f>IFERROR(_xlfn.XLOOKUP(AR$3, 'GEN-CARBON'!$D$110:$BA$110, 'GEN-CARBON'!$D$113:$BA$113), 0)</f>
        <v>0</v>
      </c>
      <c r="AS16" s="476">
        <f>IFERROR(_xlfn.XLOOKUP(AS$3, 'GEN-CARBON'!$D$110:$BA$110, 'GEN-CARBON'!$D$113:$BA$113), 0)</f>
        <v>0</v>
      </c>
      <c r="AT16" s="476">
        <f>IFERROR(_xlfn.XLOOKUP(AT$3, 'GEN-CARBON'!$D$110:$BA$110, 'GEN-CARBON'!$D$113:$BA$113), 0)</f>
        <v>0</v>
      </c>
      <c r="AU16" s="476">
        <f>IFERROR(_xlfn.XLOOKUP(AU$3, 'GEN-CARBON'!$D$110:$BA$110, 'GEN-CARBON'!$D$113:$BA$113), 0)</f>
        <v>0</v>
      </c>
      <c r="AV16" s="476">
        <f>IFERROR(_xlfn.XLOOKUP(AV$3, 'GEN-CARBON'!$D$110:$BA$110, 'GEN-CARBON'!$D$113:$BA$113), 0)</f>
        <v>0</v>
      </c>
    </row>
    <row r="18" spans="2:48">
      <c r="B18" s="101" t="s">
        <v>386</v>
      </c>
      <c r="C18" s="223"/>
      <c r="D18" s="223"/>
      <c r="E18" s="223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  <c r="AR18" s="223"/>
      <c r="AS18" s="223"/>
      <c r="AT18" s="223"/>
      <c r="AU18" s="223"/>
      <c r="AV18" s="256"/>
    </row>
    <row r="19" spans="2:48">
      <c r="B19" s="98" t="s">
        <v>6</v>
      </c>
      <c r="C19" s="476">
        <f>MIN(C13, C24)</f>
        <v>0</v>
      </c>
      <c r="D19" s="476">
        <f>MIN(D13, D24)</f>
        <v>58400</v>
      </c>
      <c r="E19" s="476">
        <f t="shared" ref="E19:T19" si="34">MIN(E13, E24)</f>
        <v>173887.64387132286</v>
      </c>
      <c r="F19" s="476">
        <f t="shared" si="34"/>
        <v>172148.7674326096</v>
      </c>
      <c r="G19" s="476">
        <f t="shared" si="34"/>
        <v>170422.93256718674</v>
      </c>
      <c r="H19" s="476">
        <f t="shared" si="34"/>
        <v>168710.05233123226</v>
      </c>
      <c r="I19" s="476">
        <f t="shared" si="34"/>
        <v>167010.04032432317</v>
      </c>
      <c r="J19" s="476">
        <f t="shared" si="34"/>
        <v>165322.8106861749</v>
      </c>
      <c r="K19" s="476">
        <f t="shared" si="34"/>
        <v>163648.27809339995</v>
      </c>
      <c r="L19" s="476">
        <f t="shared" si="34"/>
        <v>161986.35775628564</v>
      </c>
      <c r="M19" s="476">
        <f t="shared" si="34"/>
        <v>160336.96541559012</v>
      </c>
      <c r="N19" s="476">
        <f t="shared" si="34"/>
        <v>158700.01733935764</v>
      </c>
      <c r="O19" s="476">
        <f t="shared" si="34"/>
        <v>157075.43031975214</v>
      </c>
      <c r="P19" s="476">
        <f t="shared" si="34"/>
        <v>155463.12166990916</v>
      </c>
      <c r="Q19" s="476">
        <f t="shared" si="34"/>
        <v>153863.00922080665</v>
      </c>
      <c r="R19" s="476">
        <f t="shared" si="34"/>
        <v>152275.01131815341</v>
      </c>
      <c r="S19" s="476">
        <f t="shared" si="34"/>
        <v>150699.04681929617</v>
      </c>
      <c r="T19" s="476">
        <f t="shared" si="34"/>
        <v>149135.03509014455</v>
      </c>
      <c r="U19" s="476">
        <f t="shared" ref="U19:AJ19" si="35">MIN(U13, U24)</f>
        <v>147582.89600211396</v>
      </c>
      <c r="V19" s="476">
        <f t="shared" si="35"/>
        <v>146042.54992908644</v>
      </c>
      <c r="W19" s="476">
        <f t="shared" si="35"/>
        <v>144513.91774438915</v>
      </c>
      <c r="X19" s="476">
        <f>MIN(X13, X24)</f>
        <v>142996.92081779055</v>
      </c>
      <c r="Y19" s="476">
        <f t="shared" si="35"/>
        <v>141491.48101251441</v>
      </c>
      <c r="Z19" s="476">
        <f t="shared" si="35"/>
        <v>139997.52068227052</v>
      </c>
      <c r="AA19" s="476">
        <f t="shared" si="35"/>
        <v>138514.96266830381</v>
      </c>
      <c r="AB19" s="476">
        <f t="shared" si="35"/>
        <v>137043.73029645966</v>
      </c>
      <c r="AC19" s="476">
        <f t="shared" si="35"/>
        <v>135583.74737426726</v>
      </c>
      <c r="AD19" s="476">
        <f t="shared" si="35"/>
        <v>0</v>
      </c>
      <c r="AE19" s="476">
        <f t="shared" si="35"/>
        <v>0</v>
      </c>
      <c r="AF19" s="476">
        <f t="shared" si="35"/>
        <v>0</v>
      </c>
      <c r="AG19" s="476">
        <f t="shared" si="35"/>
        <v>0</v>
      </c>
      <c r="AH19" s="476">
        <f t="shared" si="35"/>
        <v>0</v>
      </c>
      <c r="AI19" s="476">
        <f t="shared" si="35"/>
        <v>0</v>
      </c>
      <c r="AJ19" s="476">
        <f t="shared" si="35"/>
        <v>0</v>
      </c>
      <c r="AK19" s="476">
        <f t="shared" ref="AK19:AS19" si="36">MIN(AK13, AK24)</f>
        <v>0</v>
      </c>
      <c r="AL19" s="476">
        <f t="shared" si="36"/>
        <v>0</v>
      </c>
      <c r="AM19" s="476">
        <f t="shared" si="36"/>
        <v>0</v>
      </c>
      <c r="AN19" s="476">
        <f t="shared" si="36"/>
        <v>0</v>
      </c>
      <c r="AO19" s="476">
        <f t="shared" si="36"/>
        <v>0</v>
      </c>
      <c r="AP19" s="476">
        <f t="shared" si="36"/>
        <v>0</v>
      </c>
      <c r="AQ19" s="476">
        <f t="shared" si="36"/>
        <v>0</v>
      </c>
      <c r="AR19" s="476">
        <f t="shared" si="36"/>
        <v>0</v>
      </c>
      <c r="AS19" s="476">
        <f t="shared" si="36"/>
        <v>0</v>
      </c>
      <c r="AT19" s="476">
        <f t="shared" ref="AT19:AV19" si="37">MIN(AT13, AT24)</f>
        <v>0</v>
      </c>
      <c r="AU19" s="476">
        <f t="shared" si="37"/>
        <v>0</v>
      </c>
      <c r="AV19" s="515">
        <f t="shared" si="37"/>
        <v>0</v>
      </c>
    </row>
    <row r="20" spans="2:48">
      <c r="B20" s="98" t="s">
        <v>7</v>
      </c>
      <c r="C20" s="476">
        <f>MIN(C14, C24-C19)</f>
        <v>0</v>
      </c>
      <c r="D20" s="476">
        <f t="shared" ref="D20:T20" si="38">MIN(D14, D24-D19)</f>
        <v>88962.222222222219</v>
      </c>
      <c r="E20" s="476">
        <f t="shared" si="38"/>
        <v>106400</v>
      </c>
      <c r="F20" s="476">
        <f t="shared" si="38"/>
        <v>106400</v>
      </c>
      <c r="G20" s="476">
        <f t="shared" si="38"/>
        <v>106400</v>
      </c>
      <c r="H20" s="476">
        <f t="shared" si="38"/>
        <v>106400</v>
      </c>
      <c r="I20" s="476">
        <f t="shared" si="38"/>
        <v>106400</v>
      </c>
      <c r="J20" s="476">
        <f t="shared" si="38"/>
        <v>106400</v>
      </c>
      <c r="K20" s="476">
        <f t="shared" si="38"/>
        <v>106400</v>
      </c>
      <c r="L20" s="476">
        <f t="shared" si="38"/>
        <v>106400</v>
      </c>
      <c r="M20" s="476">
        <f t="shared" si="38"/>
        <v>106400</v>
      </c>
      <c r="N20" s="476">
        <f t="shared" si="38"/>
        <v>106400</v>
      </c>
      <c r="O20" s="476">
        <f t="shared" si="38"/>
        <v>106400</v>
      </c>
      <c r="P20" s="476">
        <f t="shared" si="38"/>
        <v>106400</v>
      </c>
      <c r="Q20" s="476">
        <f t="shared" si="38"/>
        <v>106400</v>
      </c>
      <c r="R20" s="476">
        <f t="shared" si="38"/>
        <v>106400</v>
      </c>
      <c r="S20" s="476">
        <f t="shared" si="38"/>
        <v>106400</v>
      </c>
      <c r="T20" s="476">
        <f t="shared" si="38"/>
        <v>106400</v>
      </c>
      <c r="U20" s="476">
        <f t="shared" ref="U20" si="39">MIN(U14, U24-U19)</f>
        <v>106400</v>
      </c>
      <c r="V20" s="476">
        <f t="shared" ref="V20" si="40">MIN(V14, V24-V19)</f>
        <v>106400</v>
      </c>
      <c r="W20" s="476">
        <f t="shared" ref="W20" si="41">MIN(W14, W24-W19)</f>
        <v>106400</v>
      </c>
      <c r="X20" s="476">
        <f t="shared" ref="X20" si="42">MIN(X14, X24-X19)</f>
        <v>106400</v>
      </c>
      <c r="Y20" s="476">
        <f t="shared" ref="Y20" si="43">MIN(Y14, Y24-Y19)</f>
        <v>106400</v>
      </c>
      <c r="Z20" s="476">
        <f t="shared" ref="Z20" si="44">MIN(Z14, Z24-Z19)</f>
        <v>106400</v>
      </c>
      <c r="AA20" s="476">
        <f t="shared" ref="AA20" si="45">MIN(AA14, AA24-AA19)</f>
        <v>106400</v>
      </c>
      <c r="AB20" s="476">
        <f t="shared" ref="AB20" si="46">MIN(AB14, AB24-AB19)</f>
        <v>106400</v>
      </c>
      <c r="AC20" s="476">
        <f t="shared" ref="AC20" si="47">MIN(AC14, AC24-AC19)</f>
        <v>106400</v>
      </c>
      <c r="AD20" s="476">
        <f t="shared" ref="AD20" si="48">MIN(AD14, AD24-AD19)</f>
        <v>0</v>
      </c>
      <c r="AE20" s="476">
        <f t="shared" ref="AE20" si="49">MIN(AE14, AE24-AE19)</f>
        <v>0</v>
      </c>
      <c r="AF20" s="476">
        <f t="shared" ref="AF20" si="50">MIN(AF14, AF24-AF19)</f>
        <v>0</v>
      </c>
      <c r="AG20" s="476">
        <f t="shared" ref="AG20" si="51">MIN(AG14, AG24-AG19)</f>
        <v>0</v>
      </c>
      <c r="AH20" s="476">
        <f t="shared" ref="AH20" si="52">MIN(AH14, AH24-AH19)</f>
        <v>0</v>
      </c>
      <c r="AI20" s="476">
        <f t="shared" ref="AI20" si="53">MIN(AI14, AI24-AI19)</f>
        <v>0</v>
      </c>
      <c r="AJ20" s="476">
        <f t="shared" ref="AJ20" si="54">MIN(AJ14, AJ24-AJ19)</f>
        <v>0</v>
      </c>
      <c r="AK20" s="476">
        <f t="shared" ref="AK20" si="55">MIN(AK14, AK24-AK19)</f>
        <v>0</v>
      </c>
      <c r="AL20" s="476">
        <f t="shared" ref="AL20" si="56">MIN(AL14, AL24-AL19)</f>
        <v>0</v>
      </c>
      <c r="AM20" s="476">
        <f t="shared" ref="AM20" si="57">MIN(AM14, AM24-AM19)</f>
        <v>0</v>
      </c>
      <c r="AN20" s="476">
        <f t="shared" ref="AN20" si="58">MIN(AN14, AN24-AN19)</f>
        <v>0</v>
      </c>
      <c r="AO20" s="476">
        <f t="shared" ref="AO20" si="59">MIN(AO14, AO24-AO19)</f>
        <v>0</v>
      </c>
      <c r="AP20" s="476">
        <f t="shared" ref="AP20" si="60">MIN(AP14, AP24-AP19)</f>
        <v>0</v>
      </c>
      <c r="AQ20" s="476">
        <f t="shared" ref="AQ20" si="61">MIN(AQ14, AQ24-AQ19)</f>
        <v>0</v>
      </c>
      <c r="AR20" s="476">
        <f t="shared" ref="AR20" si="62">MIN(AR14, AR24-AR19)</f>
        <v>0</v>
      </c>
      <c r="AS20" s="476">
        <f t="shared" ref="AS20" si="63">MIN(AS14, AS24-AS19)</f>
        <v>0</v>
      </c>
      <c r="AT20" s="476">
        <f t="shared" ref="AT20" si="64">MIN(AT14, AT24-AT19)</f>
        <v>0</v>
      </c>
      <c r="AU20" s="476">
        <f t="shared" ref="AU20" si="65">MIN(AU14, AU24-AU19)</f>
        <v>0</v>
      </c>
      <c r="AV20" s="515">
        <f t="shared" ref="AV20" si="66">MIN(AV14, AV24-AV19)</f>
        <v>0</v>
      </c>
    </row>
    <row r="21" spans="2:48">
      <c r="B21" s="98" t="s">
        <v>4</v>
      </c>
      <c r="C21" s="476">
        <f>MIN(C15, IFERROR((C$24-C$19-C$20)*(C15/(C$25-C$19-C$20)), 0))</f>
        <v>0</v>
      </c>
      <c r="D21" s="476">
        <f t="shared" ref="D21:T21" si="67">MIN(D15, IFERROR((D$24-D$19-D$20)*(D15/(D$25-D$19-D$20)), 0))</f>
        <v>0</v>
      </c>
      <c r="E21" s="476">
        <f t="shared" si="67"/>
        <v>0</v>
      </c>
      <c r="F21" s="476">
        <f t="shared" si="67"/>
        <v>496953.59999999998</v>
      </c>
      <c r="G21" s="476">
        <f t="shared" si="67"/>
        <v>745430.4</v>
      </c>
      <c r="H21" s="476">
        <f t="shared" si="67"/>
        <v>743566.82400000002</v>
      </c>
      <c r="I21" s="476">
        <f t="shared" si="67"/>
        <v>741707.90694000013</v>
      </c>
      <c r="J21" s="476">
        <f t="shared" si="67"/>
        <v>739853.63717265008</v>
      </c>
      <c r="K21" s="476">
        <f t="shared" si="67"/>
        <v>738004.00307971844</v>
      </c>
      <c r="L21" s="476">
        <f t="shared" si="67"/>
        <v>736158.99307201931</v>
      </c>
      <c r="M21" s="476">
        <f t="shared" si="67"/>
        <v>734318.59558933927</v>
      </c>
      <c r="N21" s="476">
        <f t="shared" si="67"/>
        <v>732482.79910036596</v>
      </c>
      <c r="O21" s="476">
        <f t="shared" si="67"/>
        <v>730651.59210261505</v>
      </c>
      <c r="P21" s="476">
        <f t="shared" si="67"/>
        <v>728824.96312235855</v>
      </c>
      <c r="Q21" s="476">
        <f t="shared" si="67"/>
        <v>727002.90071455261</v>
      </c>
      <c r="R21" s="476">
        <f t="shared" si="67"/>
        <v>725185.39346276631</v>
      </c>
      <c r="S21" s="476">
        <f t="shared" si="67"/>
        <v>723372.42997910944</v>
      </c>
      <c r="T21" s="476">
        <f t="shared" si="67"/>
        <v>721563.99890416162</v>
      </c>
      <c r="U21" s="476">
        <f t="shared" ref="U21:AJ21" si="68">MIN(U15, IFERROR((U$24-U$19-U$20)*(U15/(U$25-U$19-U$20)), 0))</f>
        <v>719760.08890690131</v>
      </c>
      <c r="V21" s="476">
        <f t="shared" si="68"/>
        <v>717960.68868463405</v>
      </c>
      <c r="W21" s="476">
        <f t="shared" si="68"/>
        <v>716165.78696292255</v>
      </c>
      <c r="X21" s="476">
        <f t="shared" si="68"/>
        <v>714375.37249551527</v>
      </c>
      <c r="Y21" s="476">
        <f t="shared" si="68"/>
        <v>712589.43406427652</v>
      </c>
      <c r="Z21" s="476">
        <f t="shared" si="68"/>
        <v>710807.96047911583</v>
      </c>
      <c r="AA21" s="476">
        <f t="shared" si="68"/>
        <v>709030.94057791808</v>
      </c>
      <c r="AB21" s="476">
        <f t="shared" si="68"/>
        <v>707258.36322647345</v>
      </c>
      <c r="AC21" s="476">
        <f t="shared" si="68"/>
        <v>705490.21731840726</v>
      </c>
      <c r="AD21" s="476">
        <f t="shared" si="68"/>
        <v>703726.4917751113</v>
      </c>
      <c r="AE21" s="476">
        <f t="shared" si="68"/>
        <v>701967.17554567347</v>
      </c>
      <c r="AF21" s="476">
        <f t="shared" si="68"/>
        <v>0</v>
      </c>
      <c r="AG21" s="476">
        <f t="shared" si="68"/>
        <v>0</v>
      </c>
      <c r="AH21" s="476">
        <f t="shared" si="68"/>
        <v>0</v>
      </c>
      <c r="AI21" s="476">
        <f t="shared" si="68"/>
        <v>0</v>
      </c>
      <c r="AJ21" s="476">
        <f t="shared" si="68"/>
        <v>0</v>
      </c>
      <c r="AK21" s="476">
        <f t="shared" ref="AK21:AS21" si="69">MIN(AK15, IFERROR((AK$24-AK$19-AK$20)*(AK15/(AK$25-AK$19-AK$20)), 0))</f>
        <v>0</v>
      </c>
      <c r="AL21" s="476">
        <f t="shared" si="69"/>
        <v>0</v>
      </c>
      <c r="AM21" s="476">
        <f t="shared" si="69"/>
        <v>0</v>
      </c>
      <c r="AN21" s="476">
        <f t="shared" si="69"/>
        <v>0</v>
      </c>
      <c r="AO21" s="476">
        <f t="shared" si="69"/>
        <v>0</v>
      </c>
      <c r="AP21" s="476">
        <f t="shared" si="69"/>
        <v>0</v>
      </c>
      <c r="AQ21" s="476">
        <f t="shared" si="69"/>
        <v>0</v>
      </c>
      <c r="AR21" s="476">
        <f t="shared" si="69"/>
        <v>0</v>
      </c>
      <c r="AS21" s="476">
        <f t="shared" si="69"/>
        <v>0</v>
      </c>
      <c r="AT21" s="476">
        <f t="shared" ref="AT21:AV21" si="70">MIN(AT15, IFERROR((AT$24-AT$19-AT$20)*(AT15/(AT$25-AT$19-AT$20)), 0))</f>
        <v>0</v>
      </c>
      <c r="AU21" s="476">
        <f t="shared" si="70"/>
        <v>0</v>
      </c>
      <c r="AV21" s="515">
        <f t="shared" si="70"/>
        <v>0</v>
      </c>
    </row>
    <row r="22" spans="2:48">
      <c r="B22" s="98" t="s">
        <v>9</v>
      </c>
      <c r="C22" s="476">
        <f>MIN(C16, IFERROR((C$24-C$19-C$20)*(C16/(C$25-C$19-C$20)), 0))</f>
        <v>0</v>
      </c>
      <c r="D22" s="476">
        <f t="shared" ref="D22:T22" si="71">MIN(D16, IFERROR((D$24-D$19-D$20)*(D16/(D$25-D$19-D$20)), 0))</f>
        <v>0</v>
      </c>
      <c r="E22" s="476">
        <f t="shared" si="71"/>
        <v>0</v>
      </c>
      <c r="F22" s="476">
        <f t="shared" si="71"/>
        <v>0</v>
      </c>
      <c r="G22" s="476">
        <f t="shared" si="71"/>
        <v>665691.6</v>
      </c>
      <c r="H22" s="476">
        <f t="shared" si="71"/>
        <v>796176</v>
      </c>
      <c r="I22" s="476">
        <f t="shared" si="71"/>
        <v>794185.55999999994</v>
      </c>
      <c r="J22" s="476">
        <f t="shared" si="71"/>
        <v>792200.09610000008</v>
      </c>
      <c r="K22" s="476">
        <f t="shared" si="71"/>
        <v>790219.59585975017</v>
      </c>
      <c r="L22" s="476">
        <f t="shared" si="71"/>
        <v>788244.04687010078</v>
      </c>
      <c r="M22" s="476">
        <f t="shared" si="71"/>
        <v>786273.43675292563</v>
      </c>
      <c r="N22" s="476">
        <f t="shared" si="71"/>
        <v>784307.75316104328</v>
      </c>
      <c r="O22" s="476">
        <f t="shared" si="71"/>
        <v>782346.98377814074</v>
      </c>
      <c r="P22" s="476">
        <f t="shared" si="71"/>
        <v>780391.11631869536</v>
      </c>
      <c r="Q22" s="476">
        <f t="shared" si="71"/>
        <v>778440.13852789858</v>
      </c>
      <c r="R22" s="476">
        <f t="shared" si="71"/>
        <v>776494.03818157897</v>
      </c>
      <c r="S22" s="476">
        <f t="shared" si="71"/>
        <v>774552.80308612506</v>
      </c>
      <c r="T22" s="476">
        <f t="shared" si="71"/>
        <v>772616.42107840977</v>
      </c>
      <c r="U22" s="476">
        <f t="shared" ref="U22:AJ22" si="72">MIN(U16, IFERROR((U$24-U$19-U$20)*(U16/(U$25-U$19-U$20)), 0))</f>
        <v>770684.88002571382</v>
      </c>
      <c r="V22" s="476">
        <f t="shared" si="72"/>
        <v>768758.16782564949</v>
      </c>
      <c r="W22" s="476">
        <f t="shared" si="72"/>
        <v>766836.27240608551</v>
      </c>
      <c r="X22" s="476">
        <f t="shared" si="72"/>
        <v>764919.18172507023</v>
      </c>
      <c r="Y22" s="476">
        <f t="shared" si="72"/>
        <v>763006.8837707577</v>
      </c>
      <c r="Z22" s="476">
        <f t="shared" si="72"/>
        <v>761099.36656133074</v>
      </c>
      <c r="AA22" s="476">
        <f t="shared" si="72"/>
        <v>759196.61814492743</v>
      </c>
      <c r="AB22" s="476">
        <f t="shared" si="72"/>
        <v>757298.62659956515</v>
      </c>
      <c r="AC22" s="476">
        <f t="shared" si="72"/>
        <v>755405.38003306638</v>
      </c>
      <c r="AD22" s="476">
        <f t="shared" si="72"/>
        <v>753516.86658298376</v>
      </c>
      <c r="AE22" s="476">
        <f t="shared" si="72"/>
        <v>751633.07441652624</v>
      </c>
      <c r="AF22" s="476">
        <f t="shared" si="72"/>
        <v>749753.99173048488</v>
      </c>
      <c r="AG22" s="476">
        <f t="shared" si="72"/>
        <v>0</v>
      </c>
      <c r="AH22" s="476">
        <f t="shared" si="72"/>
        <v>0</v>
      </c>
      <c r="AI22" s="476">
        <f t="shared" si="72"/>
        <v>0</v>
      </c>
      <c r="AJ22" s="476">
        <f t="shared" si="72"/>
        <v>0</v>
      </c>
      <c r="AK22" s="476">
        <f t="shared" ref="AK22:AS22" si="73">MIN(AK16, IFERROR((AK$24-AK$19-AK$20)*(AK16/(AK$25-AK$19-AK$20)), 0))</f>
        <v>0</v>
      </c>
      <c r="AL22" s="476">
        <f t="shared" si="73"/>
        <v>0</v>
      </c>
      <c r="AM22" s="476">
        <f t="shared" si="73"/>
        <v>0</v>
      </c>
      <c r="AN22" s="476">
        <f t="shared" si="73"/>
        <v>0</v>
      </c>
      <c r="AO22" s="476">
        <f t="shared" si="73"/>
        <v>0</v>
      </c>
      <c r="AP22" s="476">
        <f t="shared" si="73"/>
        <v>0</v>
      </c>
      <c r="AQ22" s="476">
        <f t="shared" si="73"/>
        <v>0</v>
      </c>
      <c r="AR22" s="476">
        <f t="shared" si="73"/>
        <v>0</v>
      </c>
      <c r="AS22" s="476">
        <f t="shared" si="73"/>
        <v>0</v>
      </c>
      <c r="AT22" s="476">
        <f t="shared" ref="AT22:AV22" si="74">MIN(AT16, IFERROR((AT$24-AT$19-AT$20)*(AT16/(AT$25-AT$19-AT$20)), 0))</f>
        <v>0</v>
      </c>
      <c r="AU22" s="476">
        <f t="shared" si="74"/>
        <v>0</v>
      </c>
      <c r="AV22" s="515">
        <f t="shared" si="74"/>
        <v>0</v>
      </c>
    </row>
    <row r="23" spans="2:48">
      <c r="B23" s="98"/>
      <c r="C23" s="476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514"/>
    </row>
    <row r="24" spans="2:48">
      <c r="B24" s="477" t="s">
        <v>388</v>
      </c>
      <c r="C24" s="77">
        <f>SUM(C6:C10)</f>
        <v>2544480</v>
      </c>
      <c r="D24" s="77">
        <f t="shared" ref="D24:T24" si="75">SUM(D6:D10)</f>
        <v>2970546.0044444446</v>
      </c>
      <c r="E24" s="77">
        <f t="shared" si="75"/>
        <v>3153242.08</v>
      </c>
      <c r="F24" s="77">
        <f t="shared" si="75"/>
        <v>3153242.08</v>
      </c>
      <c r="G24" s="77">
        <f t="shared" si="75"/>
        <v>3153242.08</v>
      </c>
      <c r="H24" s="77">
        <f t="shared" si="75"/>
        <v>3153242.08</v>
      </c>
      <c r="I24" s="77">
        <f t="shared" si="75"/>
        <v>3153242.08</v>
      </c>
      <c r="J24" s="77">
        <f t="shared" si="75"/>
        <v>3153242.08</v>
      </c>
      <c r="K24" s="77">
        <f t="shared" si="75"/>
        <v>3153242.08</v>
      </c>
      <c r="L24" s="77">
        <f t="shared" si="75"/>
        <v>3153242.08</v>
      </c>
      <c r="M24" s="77">
        <f t="shared" si="75"/>
        <v>3153242.08</v>
      </c>
      <c r="N24" s="77">
        <f t="shared" si="75"/>
        <v>3153242.08</v>
      </c>
      <c r="O24" s="77">
        <f t="shared" si="75"/>
        <v>3153242.08</v>
      </c>
      <c r="P24" s="77">
        <f t="shared" si="75"/>
        <v>3153242.08</v>
      </c>
      <c r="Q24" s="77">
        <f t="shared" si="75"/>
        <v>3153242.08</v>
      </c>
      <c r="R24" s="77">
        <f t="shared" si="75"/>
        <v>3153242.08</v>
      </c>
      <c r="S24" s="77">
        <f t="shared" si="75"/>
        <v>3153242.08</v>
      </c>
      <c r="T24" s="77">
        <f t="shared" si="75"/>
        <v>3153242.08</v>
      </c>
      <c r="U24" s="77">
        <f t="shared" ref="U24:AJ24" si="76">SUM(U6:U10)</f>
        <v>3153242.08</v>
      </c>
      <c r="V24" s="77">
        <f t="shared" si="76"/>
        <v>3153242.08</v>
      </c>
      <c r="W24" s="77">
        <f t="shared" si="76"/>
        <v>3153242.08</v>
      </c>
      <c r="X24" s="77">
        <f>SUM(X6:X10)</f>
        <v>3153242.08</v>
      </c>
      <c r="Y24" s="77">
        <f t="shared" si="76"/>
        <v>3153242.08</v>
      </c>
      <c r="Z24" s="77">
        <f t="shared" si="76"/>
        <v>3153242.08</v>
      </c>
      <c r="AA24" s="77">
        <f t="shared" si="76"/>
        <v>3153242.08</v>
      </c>
      <c r="AB24" s="77">
        <f t="shared" si="76"/>
        <v>3153242.08</v>
      </c>
      <c r="AC24" s="77">
        <f t="shared" si="76"/>
        <v>3153242.08</v>
      </c>
      <c r="AD24" s="77">
        <f t="shared" si="76"/>
        <v>2544480</v>
      </c>
      <c r="AE24" s="77">
        <f t="shared" si="76"/>
        <v>2544480</v>
      </c>
      <c r="AF24" s="77">
        <f t="shared" si="76"/>
        <v>2544480</v>
      </c>
      <c r="AG24" s="77">
        <f t="shared" si="76"/>
        <v>2544480</v>
      </c>
      <c r="AH24" s="77">
        <f t="shared" si="76"/>
        <v>2544480</v>
      </c>
      <c r="AI24" s="77">
        <f t="shared" si="76"/>
        <v>2544480</v>
      </c>
      <c r="AJ24" s="77">
        <f t="shared" si="76"/>
        <v>2544480</v>
      </c>
      <c r="AK24" s="77">
        <f t="shared" ref="AK24:AS24" si="77">SUM(AK6:AK10)</f>
        <v>2544480</v>
      </c>
      <c r="AL24" s="77">
        <f t="shared" si="77"/>
        <v>2544480</v>
      </c>
      <c r="AM24" s="77">
        <f t="shared" si="77"/>
        <v>2544480</v>
      </c>
      <c r="AN24" s="77">
        <f t="shared" si="77"/>
        <v>2544480</v>
      </c>
      <c r="AO24" s="77">
        <f t="shared" si="77"/>
        <v>2544480</v>
      </c>
      <c r="AP24" s="77">
        <f t="shared" si="77"/>
        <v>2544480</v>
      </c>
      <c r="AQ24" s="77">
        <f t="shared" si="77"/>
        <v>2544480</v>
      </c>
      <c r="AR24" s="77">
        <f t="shared" si="77"/>
        <v>2544480</v>
      </c>
      <c r="AS24" s="77">
        <f t="shared" si="77"/>
        <v>2544480</v>
      </c>
      <c r="AT24" s="77">
        <f t="shared" ref="AT24:AV24" si="78">SUM(AT6:AT10)</f>
        <v>2544480</v>
      </c>
      <c r="AU24" s="77">
        <f t="shared" si="78"/>
        <v>2544480</v>
      </c>
      <c r="AV24" s="257">
        <f t="shared" si="78"/>
        <v>0</v>
      </c>
    </row>
    <row r="25" spans="2:48">
      <c r="B25" s="101" t="s">
        <v>464</v>
      </c>
      <c r="C25" s="163">
        <f>SUM(C13:C16)</f>
        <v>0</v>
      </c>
      <c r="D25" s="163">
        <f>SUM(D13:D16)</f>
        <v>147362.22222222222</v>
      </c>
      <c r="E25" s="163">
        <f t="shared" ref="E25:T25" si="79">SUM(E13:E16)</f>
        <v>280287.64387132286</v>
      </c>
      <c r="F25" s="163">
        <f t="shared" si="79"/>
        <v>775502.36743260955</v>
      </c>
      <c r="G25" s="163">
        <f t="shared" si="79"/>
        <v>1687944.9325671867</v>
      </c>
      <c r="H25" s="163">
        <f t="shared" si="79"/>
        <v>1814852.8763312323</v>
      </c>
      <c r="I25" s="163">
        <f t="shared" si="79"/>
        <v>1809303.5072643231</v>
      </c>
      <c r="J25" s="163">
        <f t="shared" si="79"/>
        <v>1803776.5439588251</v>
      </c>
      <c r="K25" s="163">
        <f t="shared" si="79"/>
        <v>1798271.8770328686</v>
      </c>
      <c r="L25" s="163">
        <f t="shared" si="79"/>
        <v>1792789.3976984057</v>
      </c>
      <c r="M25" s="163">
        <f t="shared" si="79"/>
        <v>1787328.9977578549</v>
      </c>
      <c r="N25" s="163">
        <f t="shared" si="79"/>
        <v>1781890.569600767</v>
      </c>
      <c r="O25" s="163">
        <f t="shared" si="79"/>
        <v>1776474.006200508</v>
      </c>
      <c r="P25" s="163">
        <f t="shared" si="79"/>
        <v>1771079.2011109632</v>
      </c>
      <c r="Q25" s="163">
        <f t="shared" si="79"/>
        <v>1765706.048463258</v>
      </c>
      <c r="R25" s="163">
        <f t="shared" si="79"/>
        <v>1760354.4429624986</v>
      </c>
      <c r="S25" s="163">
        <f t="shared" si="79"/>
        <v>1755024.2798845307</v>
      </c>
      <c r="T25" s="163">
        <f t="shared" si="79"/>
        <v>1749715.4550727159</v>
      </c>
      <c r="U25" s="163">
        <f t="shared" ref="U25:AJ25" si="80">SUM(U13:U16)</f>
        <v>1744427.8649347289</v>
      </c>
      <c r="V25" s="163">
        <f t="shared" si="80"/>
        <v>1739161.40643937</v>
      </c>
      <c r="W25" s="163">
        <f t="shared" si="80"/>
        <v>1733915.9771133973</v>
      </c>
      <c r="X25" s="163">
        <f t="shared" si="80"/>
        <v>1728691.4750383762</v>
      </c>
      <c r="Y25" s="163">
        <f t="shared" si="80"/>
        <v>1723487.7988475487</v>
      </c>
      <c r="Z25" s="163">
        <f t="shared" si="80"/>
        <v>1718304.8477227171</v>
      </c>
      <c r="AA25" s="163">
        <f t="shared" si="80"/>
        <v>1713142.5213911491</v>
      </c>
      <c r="AB25" s="163">
        <f t="shared" si="80"/>
        <v>1708000.7201224982</v>
      </c>
      <c r="AC25" s="163">
        <f t="shared" si="80"/>
        <v>1702879.3447257411</v>
      </c>
      <c r="AD25" s="163">
        <f t="shared" si="80"/>
        <v>1457243.3583580949</v>
      </c>
      <c r="AE25" s="163">
        <f t="shared" si="80"/>
        <v>1453600.2499621997</v>
      </c>
      <c r="AF25" s="163">
        <f t="shared" si="80"/>
        <v>749753.99173048488</v>
      </c>
      <c r="AG25" s="163">
        <f t="shared" si="80"/>
        <v>0</v>
      </c>
      <c r="AH25" s="163">
        <f t="shared" si="80"/>
        <v>0</v>
      </c>
      <c r="AI25" s="163">
        <f t="shared" si="80"/>
        <v>0</v>
      </c>
      <c r="AJ25" s="163">
        <f t="shared" si="80"/>
        <v>0</v>
      </c>
      <c r="AK25" s="163">
        <f t="shared" ref="AK25:AS25" si="81">SUM(AK13:AK16)</f>
        <v>0</v>
      </c>
      <c r="AL25" s="163">
        <f t="shared" si="81"/>
        <v>0</v>
      </c>
      <c r="AM25" s="163">
        <f t="shared" si="81"/>
        <v>0</v>
      </c>
      <c r="AN25" s="163">
        <f t="shared" si="81"/>
        <v>0</v>
      </c>
      <c r="AO25" s="163">
        <f t="shared" si="81"/>
        <v>0</v>
      </c>
      <c r="AP25" s="163">
        <f t="shared" si="81"/>
        <v>0</v>
      </c>
      <c r="AQ25" s="163">
        <f t="shared" si="81"/>
        <v>0</v>
      </c>
      <c r="AR25" s="163">
        <f t="shared" si="81"/>
        <v>0</v>
      </c>
      <c r="AS25" s="163">
        <f t="shared" si="81"/>
        <v>0</v>
      </c>
      <c r="AT25" s="163">
        <f t="shared" ref="AT25:AV25" si="82">SUM(AT13:AT16)</f>
        <v>0</v>
      </c>
      <c r="AU25" s="163">
        <f t="shared" si="82"/>
        <v>0</v>
      </c>
      <c r="AV25" s="258">
        <f t="shared" si="82"/>
        <v>0</v>
      </c>
    </row>
    <row r="26" spans="2:48">
      <c r="B26" s="101" t="s">
        <v>389</v>
      </c>
      <c r="C26" s="163">
        <f>SUM(C19:C22)</f>
        <v>0</v>
      </c>
      <c r="D26" s="163">
        <f>SUM(D19:D22)</f>
        <v>147362.22222222222</v>
      </c>
      <c r="E26" s="163">
        <f t="shared" ref="E26:T26" si="83">SUM(E19:E22)</f>
        <v>280287.64387132286</v>
      </c>
      <c r="F26" s="163">
        <f t="shared" si="83"/>
        <v>775502.36743260955</v>
      </c>
      <c r="G26" s="163">
        <f t="shared" si="83"/>
        <v>1687944.9325671867</v>
      </c>
      <c r="H26" s="163">
        <f t="shared" si="83"/>
        <v>1814852.8763312323</v>
      </c>
      <c r="I26" s="163">
        <f t="shared" si="83"/>
        <v>1809303.5072643231</v>
      </c>
      <c r="J26" s="163">
        <f t="shared" si="83"/>
        <v>1803776.5439588251</v>
      </c>
      <c r="K26" s="163">
        <f t="shared" si="83"/>
        <v>1798271.8770328686</v>
      </c>
      <c r="L26" s="163">
        <f t="shared" si="83"/>
        <v>1792789.3976984057</v>
      </c>
      <c r="M26" s="163">
        <f t="shared" si="83"/>
        <v>1787328.9977578549</v>
      </c>
      <c r="N26" s="163">
        <f t="shared" si="83"/>
        <v>1781890.569600767</v>
      </c>
      <c r="O26" s="163">
        <f t="shared" si="83"/>
        <v>1776474.006200508</v>
      </c>
      <c r="P26" s="163">
        <f t="shared" si="83"/>
        <v>1771079.2011109632</v>
      </c>
      <c r="Q26" s="163">
        <f t="shared" si="83"/>
        <v>1765706.048463258</v>
      </c>
      <c r="R26" s="163">
        <f t="shared" si="83"/>
        <v>1760354.4429624986</v>
      </c>
      <c r="S26" s="163">
        <f t="shared" si="83"/>
        <v>1755024.2798845307</v>
      </c>
      <c r="T26" s="163">
        <f t="shared" si="83"/>
        <v>1749715.4550727159</v>
      </c>
      <c r="U26" s="163">
        <f t="shared" ref="U26:AJ26" si="84">SUM(U19:U22)</f>
        <v>1744427.8649347289</v>
      </c>
      <c r="V26" s="163">
        <f t="shared" si="84"/>
        <v>1739161.40643937</v>
      </c>
      <c r="W26" s="163">
        <f t="shared" si="84"/>
        <v>1733915.9771133973</v>
      </c>
      <c r="X26" s="163">
        <f t="shared" si="84"/>
        <v>1728691.4750383762</v>
      </c>
      <c r="Y26" s="163">
        <f t="shared" si="84"/>
        <v>1723487.7988475487</v>
      </c>
      <c r="Z26" s="163">
        <f t="shared" si="84"/>
        <v>1718304.8477227171</v>
      </c>
      <c r="AA26" s="163">
        <f t="shared" si="84"/>
        <v>1713142.5213911491</v>
      </c>
      <c r="AB26" s="163">
        <f t="shared" si="84"/>
        <v>1708000.7201224982</v>
      </c>
      <c r="AC26" s="163">
        <f t="shared" si="84"/>
        <v>1702879.3447257411</v>
      </c>
      <c r="AD26" s="163">
        <f t="shared" si="84"/>
        <v>1457243.3583580949</v>
      </c>
      <c r="AE26" s="163">
        <f t="shared" si="84"/>
        <v>1453600.2499621997</v>
      </c>
      <c r="AF26" s="163">
        <f t="shared" si="84"/>
        <v>749753.99173048488</v>
      </c>
      <c r="AG26" s="163">
        <f t="shared" si="84"/>
        <v>0</v>
      </c>
      <c r="AH26" s="163">
        <f t="shared" si="84"/>
        <v>0</v>
      </c>
      <c r="AI26" s="163">
        <f t="shared" si="84"/>
        <v>0</v>
      </c>
      <c r="AJ26" s="163">
        <f t="shared" si="84"/>
        <v>0</v>
      </c>
      <c r="AK26" s="163">
        <f t="shared" ref="AK26:AS26" si="85">SUM(AK19:AK22)</f>
        <v>0</v>
      </c>
      <c r="AL26" s="163">
        <f t="shared" si="85"/>
        <v>0</v>
      </c>
      <c r="AM26" s="163">
        <f t="shared" si="85"/>
        <v>0</v>
      </c>
      <c r="AN26" s="163">
        <f t="shared" si="85"/>
        <v>0</v>
      </c>
      <c r="AO26" s="163">
        <f t="shared" si="85"/>
        <v>0</v>
      </c>
      <c r="AP26" s="163">
        <f t="shared" si="85"/>
        <v>0</v>
      </c>
      <c r="AQ26" s="163">
        <f t="shared" si="85"/>
        <v>0</v>
      </c>
      <c r="AR26" s="163">
        <f t="shared" si="85"/>
        <v>0</v>
      </c>
      <c r="AS26" s="163">
        <f t="shared" si="85"/>
        <v>0</v>
      </c>
      <c r="AT26" s="163">
        <f t="shared" ref="AT26:AV26" si="86">SUM(AT19:AT22)</f>
        <v>0</v>
      </c>
      <c r="AU26" s="163">
        <f t="shared" si="86"/>
        <v>0</v>
      </c>
      <c r="AV26" s="258">
        <f t="shared" si="86"/>
        <v>0</v>
      </c>
    </row>
    <row r="27" spans="2:48" ht="16" thickBot="1">
      <c r="B27" s="26" t="s">
        <v>390</v>
      </c>
      <c r="C27" s="224">
        <f>C24-C26</f>
        <v>2544480</v>
      </c>
      <c r="D27" s="224">
        <f>D24-D26</f>
        <v>2823183.7822222225</v>
      </c>
      <c r="E27" s="224">
        <f t="shared" ref="E27:T27" si="87">E24-E26</f>
        <v>2872954.4361286773</v>
      </c>
      <c r="F27" s="224">
        <f t="shared" si="87"/>
        <v>2377739.7125673904</v>
      </c>
      <c r="G27" s="224">
        <f t="shared" si="87"/>
        <v>1465297.1474328134</v>
      </c>
      <c r="H27" s="224">
        <f t="shared" si="87"/>
        <v>1338389.2036687678</v>
      </c>
      <c r="I27" s="224">
        <f t="shared" si="87"/>
        <v>1343938.572735677</v>
      </c>
      <c r="J27" s="224">
        <f t="shared" si="87"/>
        <v>1349465.536041175</v>
      </c>
      <c r="K27" s="224">
        <f t="shared" si="87"/>
        <v>1354970.2029671315</v>
      </c>
      <c r="L27" s="224">
        <f t="shared" si="87"/>
        <v>1360452.6823015944</v>
      </c>
      <c r="M27" s="224">
        <f t="shared" si="87"/>
        <v>1365913.0822421452</v>
      </c>
      <c r="N27" s="224">
        <f t="shared" si="87"/>
        <v>1371351.5103992331</v>
      </c>
      <c r="O27" s="224">
        <f t="shared" si="87"/>
        <v>1376768.0737994921</v>
      </c>
      <c r="P27" s="224">
        <f t="shared" si="87"/>
        <v>1382162.8788890368</v>
      </c>
      <c r="Q27" s="224">
        <f t="shared" si="87"/>
        <v>1387536.0315367421</v>
      </c>
      <c r="R27" s="224">
        <f t="shared" si="87"/>
        <v>1392887.6370375014</v>
      </c>
      <c r="S27" s="224">
        <f t="shared" si="87"/>
        <v>1398217.8001154694</v>
      </c>
      <c r="T27" s="224">
        <f t="shared" si="87"/>
        <v>1403526.6249272842</v>
      </c>
      <c r="U27" s="224">
        <f t="shared" ref="U27" si="88">U24-U26</f>
        <v>1408814.2150652711</v>
      </c>
      <c r="V27" s="224">
        <f t="shared" ref="V27" si="89">V24-V26</f>
        <v>1414080.6735606301</v>
      </c>
      <c r="W27" s="224">
        <f t="shared" ref="W27" si="90">W24-W26</f>
        <v>1419326.1028866027</v>
      </c>
      <c r="X27" s="224">
        <f t="shared" ref="X27" si="91">X24-X26</f>
        <v>1424550.6049616239</v>
      </c>
      <c r="Y27" s="224">
        <f t="shared" ref="Y27" si="92">Y24-Y26</f>
        <v>1429754.2811524514</v>
      </c>
      <c r="Z27" s="224">
        <f t="shared" ref="Z27" si="93">Z24-Z26</f>
        <v>1434937.232277283</v>
      </c>
      <c r="AA27" s="224">
        <f t="shared" ref="AA27" si="94">AA24-AA26</f>
        <v>1440099.5586088509</v>
      </c>
      <c r="AB27" s="224">
        <f t="shared" ref="AB27" si="95">AB24-AB26</f>
        <v>1445241.3598775018</v>
      </c>
      <c r="AC27" s="224">
        <f t="shared" ref="AC27" si="96">AC24-AC26</f>
        <v>1450362.735274259</v>
      </c>
      <c r="AD27" s="224">
        <f t="shared" ref="AD27" si="97">AD24-AD26</f>
        <v>1087236.6416419051</v>
      </c>
      <c r="AE27" s="224">
        <f t="shared" ref="AE27" si="98">AE24-AE26</f>
        <v>1090879.7500378003</v>
      </c>
      <c r="AF27" s="224">
        <f t="shared" ref="AF27" si="99">AF24-AF26</f>
        <v>1794726.0082695151</v>
      </c>
      <c r="AG27" s="224">
        <f t="shared" ref="AG27" si="100">AG24-AG26</f>
        <v>2544480</v>
      </c>
      <c r="AH27" s="224">
        <f t="shared" ref="AH27" si="101">AH24-AH26</f>
        <v>2544480</v>
      </c>
      <c r="AI27" s="224">
        <f t="shared" ref="AI27" si="102">AI24-AI26</f>
        <v>2544480</v>
      </c>
      <c r="AJ27" s="224">
        <f t="shared" ref="AJ27" si="103">AJ24-AJ26</f>
        <v>2544480</v>
      </c>
      <c r="AK27" s="224">
        <f t="shared" ref="AK27" si="104">AK24-AK26</f>
        <v>2544480</v>
      </c>
      <c r="AL27" s="224">
        <f t="shared" ref="AL27" si="105">AL24-AL26</f>
        <v>2544480</v>
      </c>
      <c r="AM27" s="224">
        <f t="shared" ref="AM27" si="106">AM24-AM26</f>
        <v>2544480</v>
      </c>
      <c r="AN27" s="224">
        <f t="shared" ref="AN27" si="107">AN24-AN26</f>
        <v>2544480</v>
      </c>
      <c r="AO27" s="224">
        <f t="shared" ref="AO27" si="108">AO24-AO26</f>
        <v>2544480</v>
      </c>
      <c r="AP27" s="224">
        <f t="shared" ref="AP27" si="109">AP24-AP26</f>
        <v>2544480</v>
      </c>
      <c r="AQ27" s="224">
        <f t="shared" ref="AQ27" si="110">AQ24-AQ26</f>
        <v>2544480</v>
      </c>
      <c r="AR27" s="224">
        <f t="shared" ref="AR27" si="111">AR24-AR26</f>
        <v>2544480</v>
      </c>
      <c r="AS27" s="224">
        <f t="shared" ref="AS27" si="112">AS24-AS26</f>
        <v>2544480</v>
      </c>
      <c r="AT27" s="224">
        <f t="shared" ref="AT27" si="113">AT24-AT26</f>
        <v>2544480</v>
      </c>
      <c r="AU27" s="224">
        <f t="shared" ref="AU27" si="114">AU24-AU26</f>
        <v>2544480</v>
      </c>
      <c r="AV27" s="259">
        <f t="shared" ref="AV27" si="115">AV24-AV26</f>
        <v>0</v>
      </c>
    </row>
    <row r="28" spans="2:48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</row>
    <row r="29" spans="2:48" ht="16" thickBot="1"/>
    <row r="30" spans="2:48" ht="16" thickBot="1">
      <c r="B30" s="79"/>
      <c r="C30" s="511">
        <f>C3</f>
        <v>2026</v>
      </c>
      <c r="D30" s="204">
        <f t="shared" ref="D30:T30" si="116">D3</f>
        <v>2027</v>
      </c>
      <c r="E30" s="204">
        <f t="shared" si="116"/>
        <v>2028</v>
      </c>
      <c r="F30" s="204">
        <f t="shared" si="116"/>
        <v>2029</v>
      </c>
      <c r="G30" s="204">
        <f t="shared" si="116"/>
        <v>2030</v>
      </c>
      <c r="H30" s="204">
        <f t="shared" si="116"/>
        <v>2031</v>
      </c>
      <c r="I30" s="204">
        <f t="shared" si="116"/>
        <v>2032</v>
      </c>
      <c r="J30" s="204">
        <f t="shared" si="116"/>
        <v>2033</v>
      </c>
      <c r="K30" s="204">
        <f t="shared" si="116"/>
        <v>2034</v>
      </c>
      <c r="L30" s="204">
        <f t="shared" si="116"/>
        <v>2035</v>
      </c>
      <c r="M30" s="204">
        <f t="shared" si="116"/>
        <v>2036</v>
      </c>
      <c r="N30" s="204">
        <f t="shared" si="116"/>
        <v>2037</v>
      </c>
      <c r="O30" s="204">
        <f t="shared" si="116"/>
        <v>2038</v>
      </c>
      <c r="P30" s="204">
        <f t="shared" si="116"/>
        <v>2039</v>
      </c>
      <c r="Q30" s="204">
        <f t="shared" si="116"/>
        <v>2040</v>
      </c>
      <c r="R30" s="204">
        <f t="shared" si="116"/>
        <v>2041</v>
      </c>
      <c r="S30" s="204">
        <f t="shared" si="116"/>
        <v>2042</v>
      </c>
      <c r="T30" s="204">
        <f t="shared" si="116"/>
        <v>2043</v>
      </c>
      <c r="U30" s="204">
        <f t="shared" ref="U30:AJ30" si="117">U3</f>
        <v>2044</v>
      </c>
      <c r="V30" s="204">
        <f t="shared" si="117"/>
        <v>2045</v>
      </c>
      <c r="W30" s="204">
        <f t="shared" si="117"/>
        <v>2046</v>
      </c>
      <c r="X30" s="204">
        <f t="shared" si="117"/>
        <v>2047</v>
      </c>
      <c r="Y30" s="204">
        <f t="shared" si="117"/>
        <v>2048</v>
      </c>
      <c r="Z30" s="204">
        <f t="shared" si="117"/>
        <v>2049</v>
      </c>
      <c r="AA30" s="204">
        <f t="shared" si="117"/>
        <v>2050</v>
      </c>
      <c r="AB30" s="204">
        <f t="shared" si="117"/>
        <v>2051</v>
      </c>
      <c r="AC30" s="204">
        <f t="shared" si="117"/>
        <v>2052</v>
      </c>
      <c r="AD30" s="204">
        <f t="shared" si="117"/>
        <v>2053</v>
      </c>
      <c r="AE30" s="204">
        <f t="shared" si="117"/>
        <v>2054</v>
      </c>
      <c r="AF30" s="204">
        <f t="shared" si="117"/>
        <v>2055</v>
      </c>
      <c r="AG30" s="204">
        <f t="shared" si="117"/>
        <v>2056</v>
      </c>
      <c r="AH30" s="204">
        <f t="shared" si="117"/>
        <v>2057</v>
      </c>
      <c r="AI30" s="204">
        <f t="shared" si="117"/>
        <v>2058</v>
      </c>
      <c r="AJ30" s="204">
        <f t="shared" si="117"/>
        <v>2059</v>
      </c>
      <c r="AK30" s="204">
        <f t="shared" ref="AK30:AS30" si="118">AK3</f>
        <v>2060</v>
      </c>
      <c r="AL30" s="204">
        <f t="shared" si="118"/>
        <v>2061</v>
      </c>
      <c r="AM30" s="204">
        <f t="shared" si="118"/>
        <v>2062</v>
      </c>
      <c r="AN30" s="204">
        <f t="shared" si="118"/>
        <v>2063</v>
      </c>
      <c r="AO30" s="204">
        <f t="shared" si="118"/>
        <v>2064</v>
      </c>
      <c r="AP30" s="204">
        <f t="shared" si="118"/>
        <v>2065</v>
      </c>
      <c r="AQ30" s="204">
        <f t="shared" si="118"/>
        <v>2066</v>
      </c>
      <c r="AR30" s="204">
        <f t="shared" si="118"/>
        <v>2067</v>
      </c>
      <c r="AS30" s="204">
        <f t="shared" si="118"/>
        <v>2068</v>
      </c>
      <c r="AT30" s="204">
        <f t="shared" ref="AT30:AV30" si="119">AT3</f>
        <v>2069</v>
      </c>
      <c r="AU30" s="204">
        <f t="shared" si="119"/>
        <v>2070</v>
      </c>
      <c r="AV30" s="516">
        <f t="shared" si="119"/>
        <v>2071</v>
      </c>
    </row>
    <row r="31" spans="2:48">
      <c r="B31" s="263" t="s">
        <v>465</v>
      </c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  <c r="AR31" s="264"/>
      <c r="AS31" s="264"/>
      <c r="AT31" s="264"/>
      <c r="AU31" s="264"/>
      <c r="AV31" s="265"/>
    </row>
    <row r="32" spans="2:48">
      <c r="B32" s="664" t="s">
        <v>122</v>
      </c>
      <c r="C32" s="79">
        <f>IF(C$24=0, 0, C6/C$24*C$26)</f>
        <v>0</v>
      </c>
      <c r="D32" s="235">
        <f>IF(D$24=0, 0, D6/D$24*D$26)</f>
        <v>15934.022131608097</v>
      </c>
      <c r="E32" s="235">
        <f t="shared" ref="E32:T32" si="120">IF(E$24=0, 0, E6/E$24*E$26)</f>
        <v>42826.584001823088</v>
      </c>
      <c r="F32" s="235">
        <f t="shared" si="120"/>
        <v>118492.97679962183</v>
      </c>
      <c r="G32" s="235">
        <f t="shared" si="120"/>
        <v>257909.74745296768</v>
      </c>
      <c r="H32" s="235">
        <f t="shared" si="120"/>
        <v>277300.66186874802</v>
      </c>
      <c r="I32" s="235">
        <f t="shared" si="120"/>
        <v>276452.74535976979</v>
      </c>
      <c r="J32" s="235">
        <f t="shared" si="120"/>
        <v>275608.25234178087</v>
      </c>
      <c r="K32" s="235">
        <f t="shared" si="120"/>
        <v>274767.16610176535</v>
      </c>
      <c r="L32" s="235">
        <f t="shared" si="120"/>
        <v>273929.47001744056</v>
      </c>
      <c r="M32" s="235">
        <f t="shared" si="120"/>
        <v>273095.14755674405</v>
      </c>
      <c r="N32" s="235">
        <f t="shared" si="120"/>
        <v>272264.18227732443</v>
      </c>
      <c r="O32" s="235">
        <f t="shared" si="120"/>
        <v>271436.55782603432</v>
      </c>
      <c r="P32" s="235">
        <f t="shared" si="120"/>
        <v>270612.25793842704</v>
      </c>
      <c r="Q32" s="235">
        <f t="shared" si="120"/>
        <v>269791.26643825509</v>
      </c>
      <c r="R32" s="235">
        <f t="shared" si="120"/>
        <v>268973.5672369728</v>
      </c>
      <c r="S32" s="235">
        <f t="shared" si="120"/>
        <v>268159.14433324034</v>
      </c>
      <c r="T32" s="235">
        <f t="shared" si="120"/>
        <v>267347.98181243177</v>
      </c>
      <c r="U32" s="235">
        <f t="shared" ref="U32:AJ32" si="121">IF(U$24=0, 0, U6/U$24*U$26)</f>
        <v>266540.06384614547</v>
      </c>
      <c r="V32" s="235">
        <f t="shared" si="121"/>
        <v>265735.3746917168</v>
      </c>
      <c r="W32" s="235">
        <f t="shared" si="121"/>
        <v>264933.89869173471</v>
      </c>
      <c r="X32" s="235">
        <f>IF(X$24=0, 0, X6/X$24*X$26)</f>
        <v>264135.62027355976</v>
      </c>
      <c r="Y32" s="235">
        <f t="shared" si="121"/>
        <v>263340.52394884598</v>
      </c>
      <c r="Z32" s="235">
        <f t="shared" si="121"/>
        <v>262548.59431306494</v>
      </c>
      <c r="AA32" s="235">
        <f t="shared" si="121"/>
        <v>261759.81604503252</v>
      </c>
      <c r="AB32" s="235">
        <f t="shared" si="121"/>
        <v>260974.17390643843</v>
      </c>
      <c r="AC32" s="235">
        <f t="shared" si="121"/>
        <v>260191.65274137852</v>
      </c>
      <c r="AD32" s="235">
        <f t="shared" si="121"/>
        <v>0</v>
      </c>
      <c r="AE32" s="235">
        <f t="shared" si="121"/>
        <v>0</v>
      </c>
      <c r="AF32" s="235">
        <f t="shared" si="121"/>
        <v>0</v>
      </c>
      <c r="AG32" s="235">
        <f t="shared" si="121"/>
        <v>0</v>
      </c>
      <c r="AH32" s="235">
        <f t="shared" si="121"/>
        <v>0</v>
      </c>
      <c r="AI32" s="235">
        <f t="shared" si="121"/>
        <v>0</v>
      </c>
      <c r="AJ32" s="235">
        <f t="shared" si="121"/>
        <v>0</v>
      </c>
      <c r="AK32" s="235">
        <f t="shared" ref="AK32:AS32" si="122">IF(AK$24=0, 0, AK6/AK$24*AK$26)</f>
        <v>0</v>
      </c>
      <c r="AL32" s="235">
        <f t="shared" si="122"/>
        <v>0</v>
      </c>
      <c r="AM32" s="235">
        <f t="shared" si="122"/>
        <v>0</v>
      </c>
      <c r="AN32" s="235">
        <f t="shared" si="122"/>
        <v>0</v>
      </c>
      <c r="AO32" s="235">
        <f t="shared" si="122"/>
        <v>0</v>
      </c>
      <c r="AP32" s="235">
        <f t="shared" si="122"/>
        <v>0</v>
      </c>
      <c r="AQ32" s="235">
        <f t="shared" si="122"/>
        <v>0</v>
      </c>
      <c r="AR32" s="235">
        <f t="shared" si="122"/>
        <v>0</v>
      </c>
      <c r="AS32" s="235">
        <f t="shared" si="122"/>
        <v>0</v>
      </c>
      <c r="AT32" s="235">
        <f t="shared" ref="AT32:AV32" si="123">IF(AT$24=0, 0, AT6/AT$24*AT$26)</f>
        <v>0</v>
      </c>
      <c r="AU32" s="235">
        <f t="shared" si="123"/>
        <v>0</v>
      </c>
      <c r="AV32" s="266">
        <f t="shared" si="123"/>
        <v>0</v>
      </c>
    </row>
    <row r="33" spans="2:48">
      <c r="B33" s="664" t="s">
        <v>462</v>
      </c>
      <c r="C33" s="79">
        <f>IF(C$24=0, 0, C7/C$24*C$26)</f>
        <v>0</v>
      </c>
      <c r="D33" s="235">
        <f>IF(D$24=0, 0, D7/D$24*D$26)</f>
        <v>126226.02936934671</v>
      </c>
      <c r="E33" s="235">
        <f t="shared" ref="E33:T33" si="124">IF(E$24=0, 0, E7/E$24*E$26)</f>
        <v>226175.56343079868</v>
      </c>
      <c r="F33" s="235">
        <f t="shared" si="124"/>
        <v>625784.57784786588</v>
      </c>
      <c r="G33" s="235">
        <f t="shared" si="124"/>
        <v>1362071.8019907165</v>
      </c>
      <c r="H33" s="235">
        <f t="shared" si="124"/>
        <v>1464479.0122702199</v>
      </c>
      <c r="I33" s="235">
        <f t="shared" si="124"/>
        <v>1460000.9994043733</v>
      </c>
      <c r="J33" s="235">
        <f t="shared" si="124"/>
        <v>1455541.066663791</v>
      </c>
      <c r="K33" s="235">
        <f t="shared" si="124"/>
        <v>1451099.1257837689</v>
      </c>
      <c r="L33" s="235">
        <f t="shared" si="124"/>
        <v>1446675.0889787818</v>
      </c>
      <c r="M33" s="235">
        <f t="shared" si="124"/>
        <v>1442268.868939776</v>
      </c>
      <c r="N33" s="235">
        <f t="shared" si="124"/>
        <v>1437880.3788314785</v>
      </c>
      <c r="O33" s="235">
        <f t="shared" si="124"/>
        <v>1433509.5322897215</v>
      </c>
      <c r="P33" s="235">
        <f t="shared" si="124"/>
        <v>1429156.2434187811</v>
      </c>
      <c r="Q33" s="235">
        <f t="shared" si="124"/>
        <v>1424820.4267887324</v>
      </c>
      <c r="R33" s="235">
        <f t="shared" si="124"/>
        <v>1420501.9974328196</v>
      </c>
      <c r="S33" s="235">
        <f t="shared" si="124"/>
        <v>1416200.8708448387</v>
      </c>
      <c r="T33" s="235">
        <f t="shared" si="124"/>
        <v>1411916.9629765388</v>
      </c>
      <c r="U33" s="235">
        <f t="shared" ref="U33:AJ33" si="125">IF(U$24=0, 0, U7/U$24*U$26)</f>
        <v>1407650.1902350355</v>
      </c>
      <c r="V33" s="235">
        <f t="shared" si="125"/>
        <v>1403400.46948024</v>
      </c>
      <c r="W33" s="235">
        <f t="shared" si="125"/>
        <v>1399167.718022302</v>
      </c>
      <c r="X33" s="235">
        <f t="shared" si="125"/>
        <v>1394951.8536190686</v>
      </c>
      <c r="Y33" s="235">
        <f t="shared" si="125"/>
        <v>1390752.7944735568</v>
      </c>
      <c r="Z33" s="235">
        <f t="shared" si="125"/>
        <v>1386570.4592314395</v>
      </c>
      <c r="AA33" s="235">
        <f t="shared" si="125"/>
        <v>1382404.7669785477</v>
      </c>
      <c r="AB33" s="235">
        <f t="shared" si="125"/>
        <v>1378255.6372383861</v>
      </c>
      <c r="AC33" s="235">
        <f t="shared" si="125"/>
        <v>1374122.9899696612</v>
      </c>
      <c r="AD33" s="235">
        <f t="shared" si="125"/>
        <v>1457243.3583580949</v>
      </c>
      <c r="AE33" s="235">
        <f t="shared" si="125"/>
        <v>1453600.2499621997</v>
      </c>
      <c r="AF33" s="235">
        <f t="shared" si="125"/>
        <v>749753.99173048488</v>
      </c>
      <c r="AG33" s="235">
        <f t="shared" si="125"/>
        <v>0</v>
      </c>
      <c r="AH33" s="235">
        <f t="shared" si="125"/>
        <v>0</v>
      </c>
      <c r="AI33" s="235">
        <f t="shared" si="125"/>
        <v>0</v>
      </c>
      <c r="AJ33" s="235">
        <f t="shared" si="125"/>
        <v>0</v>
      </c>
      <c r="AK33" s="235">
        <f t="shared" ref="AK33:AS33" si="126">IF(AK$24=0, 0, AK7/AK$24*AK$26)</f>
        <v>0</v>
      </c>
      <c r="AL33" s="235">
        <f t="shared" si="126"/>
        <v>0</v>
      </c>
      <c r="AM33" s="235">
        <f t="shared" si="126"/>
        <v>0</v>
      </c>
      <c r="AN33" s="235">
        <f t="shared" si="126"/>
        <v>0</v>
      </c>
      <c r="AO33" s="235">
        <f t="shared" si="126"/>
        <v>0</v>
      </c>
      <c r="AP33" s="235">
        <f t="shared" si="126"/>
        <v>0</v>
      </c>
      <c r="AQ33" s="235">
        <f t="shared" si="126"/>
        <v>0</v>
      </c>
      <c r="AR33" s="235">
        <f t="shared" si="126"/>
        <v>0</v>
      </c>
      <c r="AS33" s="235">
        <f t="shared" si="126"/>
        <v>0</v>
      </c>
      <c r="AT33" s="235">
        <f t="shared" ref="AT33:AV33" si="127">IF(AT$24=0, 0, AT7/AT$24*AT$26)</f>
        <v>0</v>
      </c>
      <c r="AU33" s="235">
        <f t="shared" si="127"/>
        <v>0</v>
      </c>
      <c r="AV33" s="266">
        <f t="shared" si="127"/>
        <v>0</v>
      </c>
    </row>
    <row r="34" spans="2:48">
      <c r="B34" s="664" t="s">
        <v>357</v>
      </c>
      <c r="C34" s="79">
        <f>IF(C$24=0, 0, C8/C$24*C$26)</f>
        <v>0</v>
      </c>
      <c r="D34" s="235">
        <f t="shared" ref="D34:T34" si="128">IF(D$24=0, 0, D8/D$24*D$26)</f>
        <v>130.36927198588441</v>
      </c>
      <c r="E34" s="235">
        <f t="shared" si="128"/>
        <v>311.46606546780424</v>
      </c>
      <c r="F34" s="235">
        <f t="shared" si="128"/>
        <v>861.76710399724971</v>
      </c>
      <c r="G34" s="235">
        <f t="shared" si="128"/>
        <v>1875.7072542034014</v>
      </c>
      <c r="H34" s="235">
        <f t="shared" si="128"/>
        <v>2016.7320863181674</v>
      </c>
      <c r="I34" s="235">
        <f t="shared" si="128"/>
        <v>2010.5654207983257</v>
      </c>
      <c r="J34" s="235">
        <f t="shared" si="128"/>
        <v>2004.4236533947699</v>
      </c>
      <c r="K34" s="235">
        <f t="shared" si="128"/>
        <v>1998.3066625582935</v>
      </c>
      <c r="L34" s="235">
        <f t="shared" si="128"/>
        <v>1992.2143273995675</v>
      </c>
      <c r="M34" s="235">
        <f t="shared" si="128"/>
        <v>1986.1465276854112</v>
      </c>
      <c r="N34" s="235">
        <f t="shared" si="128"/>
        <v>1980.1031438350865</v>
      </c>
      <c r="O34" s="235">
        <f t="shared" si="128"/>
        <v>1974.0840569166132</v>
      </c>
      <c r="P34" s="235">
        <f t="shared" si="128"/>
        <v>1968.0891486431055</v>
      </c>
      <c r="Q34" s="235">
        <f t="shared" si="128"/>
        <v>1962.1183013691279</v>
      </c>
      <c r="R34" s="235">
        <f t="shared" si="128"/>
        <v>1956.1713980870745</v>
      </c>
      <c r="S34" s="235">
        <f t="shared" si="128"/>
        <v>1950.2483224235659</v>
      </c>
      <c r="T34" s="235">
        <f t="shared" si="128"/>
        <v>1944.3489586358673</v>
      </c>
      <c r="U34" s="235">
        <f t="shared" ref="U34:AJ34" si="129">IF(U$24=0, 0, U8/U$24*U$26)</f>
        <v>1938.4731916083304</v>
      </c>
      <c r="V34" s="235">
        <f t="shared" si="129"/>
        <v>1932.6209068488495</v>
      </c>
      <c r="W34" s="235">
        <f t="shared" si="129"/>
        <v>1926.7919904853434</v>
      </c>
      <c r="X34" s="235">
        <f t="shared" si="129"/>
        <v>1920.9863292622526</v>
      </c>
      <c r="Y34" s="235">
        <f t="shared" si="129"/>
        <v>1915.2038105370618</v>
      </c>
      <c r="Z34" s="235">
        <f t="shared" si="129"/>
        <v>1909.4443222768359</v>
      </c>
      <c r="AA34" s="235">
        <f t="shared" si="129"/>
        <v>1903.7077530547817</v>
      </c>
      <c r="AB34" s="235">
        <f t="shared" si="129"/>
        <v>1897.993992046825</v>
      </c>
      <c r="AC34" s="235">
        <f t="shared" si="129"/>
        <v>1892.3029290282072</v>
      </c>
      <c r="AD34" s="235">
        <f t="shared" si="129"/>
        <v>0</v>
      </c>
      <c r="AE34" s="235">
        <f t="shared" si="129"/>
        <v>0</v>
      </c>
      <c r="AF34" s="235">
        <f t="shared" si="129"/>
        <v>0</v>
      </c>
      <c r="AG34" s="235">
        <f t="shared" si="129"/>
        <v>0</v>
      </c>
      <c r="AH34" s="235">
        <f t="shared" si="129"/>
        <v>0</v>
      </c>
      <c r="AI34" s="235">
        <f t="shared" si="129"/>
        <v>0</v>
      </c>
      <c r="AJ34" s="235">
        <f t="shared" si="129"/>
        <v>0</v>
      </c>
      <c r="AK34" s="235">
        <f t="shared" ref="AK34:AS34" si="130">IF(AK$24=0, 0, AK8/AK$24*AK$26)</f>
        <v>0</v>
      </c>
      <c r="AL34" s="235">
        <f t="shared" si="130"/>
        <v>0</v>
      </c>
      <c r="AM34" s="235">
        <f t="shared" si="130"/>
        <v>0</v>
      </c>
      <c r="AN34" s="235">
        <f t="shared" si="130"/>
        <v>0</v>
      </c>
      <c r="AO34" s="235">
        <f t="shared" si="130"/>
        <v>0</v>
      </c>
      <c r="AP34" s="235">
        <f t="shared" si="130"/>
        <v>0</v>
      </c>
      <c r="AQ34" s="235">
        <f t="shared" si="130"/>
        <v>0</v>
      </c>
      <c r="AR34" s="235">
        <f t="shared" si="130"/>
        <v>0</v>
      </c>
      <c r="AS34" s="235">
        <f t="shared" si="130"/>
        <v>0</v>
      </c>
      <c r="AT34" s="235">
        <f t="shared" ref="AT34:AV34" si="131">IF(AT$24=0, 0, AT8/AT$24*AT$26)</f>
        <v>0</v>
      </c>
      <c r="AU34" s="235">
        <f t="shared" si="131"/>
        <v>0</v>
      </c>
      <c r="AV34" s="266">
        <f t="shared" si="131"/>
        <v>0</v>
      </c>
    </row>
    <row r="35" spans="2:48">
      <c r="B35" s="664" t="s">
        <v>358</v>
      </c>
      <c r="C35" s="79">
        <f>IF(C$24=0, 0, C9/C$24*C$26)</f>
        <v>0</v>
      </c>
      <c r="D35" s="235">
        <f>IF(D$24=0, 0, D9/D$24*D$26)</f>
        <v>426.30751939384203</v>
      </c>
      <c r="E35" s="235">
        <f t="shared" ref="E35:T35" si="132">IF(E$24=0, 0, E9/E$24*E$26)</f>
        <v>1018.4940340797199</v>
      </c>
      <c r="F35" s="235">
        <f t="shared" si="132"/>
        <v>2817.9784300710062</v>
      </c>
      <c r="G35" s="235">
        <f t="shared" si="132"/>
        <v>6133.5627212451218</v>
      </c>
      <c r="H35" s="235">
        <f t="shared" si="132"/>
        <v>6594.7139222604073</v>
      </c>
      <c r="I35" s="235">
        <f t="shared" si="132"/>
        <v>6574.5489260105251</v>
      </c>
      <c r="J35" s="235">
        <f t="shared" si="132"/>
        <v>6554.4653466008967</v>
      </c>
      <c r="K35" s="235">
        <f t="shared" si="132"/>
        <v>6534.4627865656194</v>
      </c>
      <c r="L35" s="235">
        <f t="shared" si="132"/>
        <v>6514.5408505965852</v>
      </c>
      <c r="M35" s="235">
        <f t="shared" si="132"/>
        <v>6494.6991455312937</v>
      </c>
      <c r="N35" s="235">
        <f t="shared" si="132"/>
        <v>6474.9372803407323</v>
      </c>
      <c r="O35" s="235">
        <f t="shared" si="132"/>
        <v>6455.254866117325</v>
      </c>
      <c r="P35" s="235">
        <f t="shared" si="132"/>
        <v>6435.6515160629542</v>
      </c>
      <c r="Q35" s="235">
        <f t="shared" si="132"/>
        <v>6416.1268454770479</v>
      </c>
      <c r="R35" s="235">
        <f t="shared" si="132"/>
        <v>6396.680471744733</v>
      </c>
      <c r="S35" s="235">
        <f t="shared" si="132"/>
        <v>6377.3120143250599</v>
      </c>
      <c r="T35" s="235">
        <f t="shared" si="132"/>
        <v>6358.0210947392861</v>
      </c>
      <c r="U35" s="235">
        <f t="shared" ref="U35:AJ35" si="133">IF(U$24=0, 0, U9/U$24*U$26)</f>
        <v>6338.80733655924</v>
      </c>
      <c r="V35" s="235">
        <f t="shared" si="133"/>
        <v>6319.6703653957375</v>
      </c>
      <c r="W35" s="235">
        <f t="shared" si="133"/>
        <v>6300.6098088870722</v>
      </c>
      <c r="X35" s="235">
        <f t="shared" si="133"/>
        <v>6281.6252966875654</v>
      </c>
      <c r="Y35" s="235">
        <f t="shared" si="133"/>
        <v>6262.7164604561913</v>
      </c>
      <c r="Z35" s="235">
        <f t="shared" si="133"/>
        <v>6243.8829338452533</v>
      </c>
      <c r="AA35" s="235">
        <f t="shared" si="133"/>
        <v>6225.1243524891361</v>
      </c>
      <c r="AB35" s="235">
        <f t="shared" si="133"/>
        <v>6206.4403539931172</v>
      </c>
      <c r="AC35" s="235">
        <f t="shared" si="133"/>
        <v>6187.8305779222374</v>
      </c>
      <c r="AD35" s="235">
        <f t="shared" si="133"/>
        <v>0</v>
      </c>
      <c r="AE35" s="235">
        <f t="shared" si="133"/>
        <v>0</v>
      </c>
      <c r="AF35" s="235">
        <f t="shared" si="133"/>
        <v>0</v>
      </c>
      <c r="AG35" s="235">
        <f t="shared" si="133"/>
        <v>0</v>
      </c>
      <c r="AH35" s="235">
        <f t="shared" si="133"/>
        <v>0</v>
      </c>
      <c r="AI35" s="235">
        <f t="shared" si="133"/>
        <v>0</v>
      </c>
      <c r="AJ35" s="235">
        <f t="shared" si="133"/>
        <v>0</v>
      </c>
      <c r="AK35" s="235">
        <f t="shared" ref="AK35:AS35" si="134">IF(AK$24=0, 0, AK9/AK$24*AK$26)</f>
        <v>0</v>
      </c>
      <c r="AL35" s="235">
        <f t="shared" si="134"/>
        <v>0</v>
      </c>
      <c r="AM35" s="235">
        <f t="shared" si="134"/>
        <v>0</v>
      </c>
      <c r="AN35" s="235">
        <f t="shared" si="134"/>
        <v>0</v>
      </c>
      <c r="AO35" s="235">
        <f t="shared" si="134"/>
        <v>0</v>
      </c>
      <c r="AP35" s="235">
        <f t="shared" si="134"/>
        <v>0</v>
      </c>
      <c r="AQ35" s="235">
        <f t="shared" si="134"/>
        <v>0</v>
      </c>
      <c r="AR35" s="235">
        <f t="shared" si="134"/>
        <v>0</v>
      </c>
      <c r="AS35" s="235">
        <f t="shared" si="134"/>
        <v>0</v>
      </c>
      <c r="AT35" s="235">
        <f t="shared" ref="AT35:AV35" si="135">IF(AT$24=0, 0, AT9/AT$24*AT$26)</f>
        <v>0</v>
      </c>
      <c r="AU35" s="235">
        <f t="shared" si="135"/>
        <v>0</v>
      </c>
      <c r="AV35" s="266">
        <f t="shared" si="135"/>
        <v>0</v>
      </c>
    </row>
    <row r="36" spans="2:48">
      <c r="B36" s="664" t="s">
        <v>385</v>
      </c>
      <c r="C36" s="79">
        <f>IF(C$24=0, 0, C10/C$24*C$26)</f>
        <v>0</v>
      </c>
      <c r="D36" s="235">
        <f t="shared" ref="D36:T36" si="136">IF(D$24=0, 0, D10/D$24*D$26)</f>
        <v>4645.4939298876798</v>
      </c>
      <c r="E36" s="235">
        <f t="shared" si="136"/>
        <v>9955.5363391535611</v>
      </c>
      <c r="F36" s="235">
        <f t="shared" si="136"/>
        <v>27545.067251053642</v>
      </c>
      <c r="G36" s="235">
        <f t="shared" si="136"/>
        <v>59954.113148053926</v>
      </c>
      <c r="H36" s="235">
        <f t="shared" si="136"/>
        <v>64461.75618368572</v>
      </c>
      <c r="I36" s="235">
        <f t="shared" si="136"/>
        <v>64264.648153371149</v>
      </c>
      <c r="J36" s="235">
        <f t="shared" si="136"/>
        <v>64068.335953257483</v>
      </c>
      <c r="K36" s="235">
        <f t="shared" si="136"/>
        <v>63872.815698210296</v>
      </c>
      <c r="L36" s="235">
        <f t="shared" si="136"/>
        <v>63678.083524187095</v>
      </c>
      <c r="M36" s="235">
        <f t="shared" si="136"/>
        <v>63484.135588118166</v>
      </c>
      <c r="N36" s="235">
        <f t="shared" si="136"/>
        <v>63290.968067788155</v>
      </c>
      <c r="O36" s="235">
        <f t="shared" si="136"/>
        <v>63098.577161718233</v>
      </c>
      <c r="P36" s="235">
        <f t="shared" si="136"/>
        <v>62906.959089049036</v>
      </c>
      <c r="Q36" s="235">
        <f t="shared" si="136"/>
        <v>62716.110089424183</v>
      </c>
      <c r="R36" s="235">
        <f t="shared" si="136"/>
        <v>62526.026422874536</v>
      </c>
      <c r="S36" s="235">
        <f t="shared" si="136"/>
        <v>62336.704369703024</v>
      </c>
      <c r="T36" s="235">
        <f t="shared" si="136"/>
        <v>62148.140230370191</v>
      </c>
      <c r="U36" s="235">
        <f t="shared" ref="U36:AJ36" si="137">IF(U$24=0, 0, U10/U$24*U$26)</f>
        <v>61960.330325380426</v>
      </c>
      <c r="V36" s="235">
        <f t="shared" si="137"/>
        <v>61773.270995168707</v>
      </c>
      <c r="W36" s="235">
        <f t="shared" si="137"/>
        <v>61586.958599988146</v>
      </c>
      <c r="X36" s="235">
        <f t="shared" si="137"/>
        <v>61401.389519798031</v>
      </c>
      <c r="Y36" s="235">
        <f t="shared" si="137"/>
        <v>61216.560154152663</v>
      </c>
      <c r="Z36" s="235">
        <f t="shared" si="137"/>
        <v>61032.466922090651</v>
      </c>
      <c r="AA36" s="235">
        <f t="shared" si="137"/>
        <v>60849.106262024994</v>
      </c>
      <c r="AB36" s="235">
        <f t="shared" si="137"/>
        <v>60666.474631633675</v>
      </c>
      <c r="AC36" s="235">
        <f t="shared" si="137"/>
        <v>60484.568507750919</v>
      </c>
      <c r="AD36" s="235">
        <f t="shared" si="137"/>
        <v>0</v>
      </c>
      <c r="AE36" s="235">
        <f t="shared" si="137"/>
        <v>0</v>
      </c>
      <c r="AF36" s="235">
        <f t="shared" si="137"/>
        <v>0</v>
      </c>
      <c r="AG36" s="235">
        <f t="shared" si="137"/>
        <v>0</v>
      </c>
      <c r="AH36" s="235">
        <f t="shared" si="137"/>
        <v>0</v>
      </c>
      <c r="AI36" s="235">
        <f t="shared" si="137"/>
        <v>0</v>
      </c>
      <c r="AJ36" s="235">
        <f t="shared" si="137"/>
        <v>0</v>
      </c>
      <c r="AK36" s="235">
        <f t="shared" ref="AK36:AS36" si="138">IF(AK$24=0, 0, AK10/AK$24*AK$26)</f>
        <v>0</v>
      </c>
      <c r="AL36" s="235">
        <f t="shared" si="138"/>
        <v>0</v>
      </c>
      <c r="AM36" s="235">
        <f t="shared" si="138"/>
        <v>0</v>
      </c>
      <c r="AN36" s="235">
        <f t="shared" si="138"/>
        <v>0</v>
      </c>
      <c r="AO36" s="235">
        <f t="shared" si="138"/>
        <v>0</v>
      </c>
      <c r="AP36" s="235">
        <f t="shared" si="138"/>
        <v>0</v>
      </c>
      <c r="AQ36" s="235">
        <f t="shared" si="138"/>
        <v>0</v>
      </c>
      <c r="AR36" s="235">
        <f t="shared" si="138"/>
        <v>0</v>
      </c>
      <c r="AS36" s="235">
        <f t="shared" si="138"/>
        <v>0</v>
      </c>
      <c r="AT36" s="235">
        <f t="shared" ref="AT36:AV36" si="139">IF(AT$24=0, 0, AT10/AT$24*AT$26)</f>
        <v>0</v>
      </c>
      <c r="AU36" s="235">
        <f t="shared" si="139"/>
        <v>0</v>
      </c>
      <c r="AV36" s="266">
        <f t="shared" si="139"/>
        <v>0</v>
      </c>
    </row>
    <row r="37" spans="2:48">
      <c r="B37" s="203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231"/>
    </row>
    <row r="38" spans="2:48">
      <c r="B38" s="222" t="s">
        <v>466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231"/>
    </row>
    <row r="39" spans="2:48">
      <c r="B39" s="664" t="s">
        <v>122</v>
      </c>
      <c r="C39" s="79">
        <f>IF(C$24=0, 0, C6/C$24*C$27)</f>
        <v>0</v>
      </c>
      <c r="D39" s="235">
        <f>IF(D$24=0, 0, D6/D$24*D$27)</f>
        <v>305265.97786839196</v>
      </c>
      <c r="E39" s="235">
        <f t="shared" ref="E39:T39" si="140">IF(E$24=0, 0, E6/E$24*E$27)</f>
        <v>438973.41599817696</v>
      </c>
      <c r="F39" s="235">
        <f t="shared" si="140"/>
        <v>363307.02320037817</v>
      </c>
      <c r="G39" s="235">
        <f t="shared" si="140"/>
        <v>223890.25254703235</v>
      </c>
      <c r="H39" s="235">
        <f t="shared" si="140"/>
        <v>204499.33813125201</v>
      </c>
      <c r="I39" s="235">
        <f t="shared" si="140"/>
        <v>205347.25464023024</v>
      </c>
      <c r="J39" s="235">
        <f t="shared" si="140"/>
        <v>206191.74765821916</v>
      </c>
      <c r="K39" s="235">
        <f t="shared" si="140"/>
        <v>207032.83389823468</v>
      </c>
      <c r="L39" s="235">
        <f t="shared" si="140"/>
        <v>207870.52998255947</v>
      </c>
      <c r="M39" s="235">
        <f t="shared" si="140"/>
        <v>208704.85244325598</v>
      </c>
      <c r="N39" s="235">
        <f t="shared" si="140"/>
        <v>209535.81772267562</v>
      </c>
      <c r="O39" s="235">
        <f t="shared" si="140"/>
        <v>210363.44217396568</v>
      </c>
      <c r="P39" s="235">
        <f t="shared" si="140"/>
        <v>211187.74206157302</v>
      </c>
      <c r="Q39" s="235">
        <f t="shared" si="140"/>
        <v>212008.73356174491</v>
      </c>
      <c r="R39" s="235">
        <f t="shared" si="140"/>
        <v>212826.43276302726</v>
      </c>
      <c r="S39" s="235">
        <f t="shared" si="140"/>
        <v>213640.85566675971</v>
      </c>
      <c r="T39" s="235">
        <f t="shared" si="140"/>
        <v>214452.01818756826</v>
      </c>
      <c r="U39" s="235">
        <f t="shared" ref="U39:AJ39" si="141">IF(U$24=0, 0, U6/U$24*U$27)</f>
        <v>215259.93615385459</v>
      </c>
      <c r="V39" s="235">
        <f t="shared" si="141"/>
        <v>216064.6253082832</v>
      </c>
      <c r="W39" s="235">
        <f t="shared" si="141"/>
        <v>216866.10130826532</v>
      </c>
      <c r="X39" s="235">
        <f t="shared" si="141"/>
        <v>217664.3797264403</v>
      </c>
      <c r="Y39" s="235">
        <f t="shared" si="141"/>
        <v>218459.47605115402</v>
      </c>
      <c r="Z39" s="235">
        <f t="shared" si="141"/>
        <v>219251.40568693506</v>
      </c>
      <c r="AA39" s="235">
        <f t="shared" si="141"/>
        <v>220040.18395496751</v>
      </c>
      <c r="AB39" s="235">
        <f t="shared" si="141"/>
        <v>220825.8260935616</v>
      </c>
      <c r="AC39" s="235">
        <f t="shared" si="141"/>
        <v>221608.34725862151</v>
      </c>
      <c r="AD39" s="235">
        <f t="shared" si="141"/>
        <v>0</v>
      </c>
      <c r="AE39" s="235">
        <f t="shared" si="141"/>
        <v>0</v>
      </c>
      <c r="AF39" s="235">
        <f t="shared" si="141"/>
        <v>0</v>
      </c>
      <c r="AG39" s="235">
        <f t="shared" si="141"/>
        <v>0</v>
      </c>
      <c r="AH39" s="235">
        <f t="shared" si="141"/>
        <v>0</v>
      </c>
      <c r="AI39" s="235">
        <f t="shared" si="141"/>
        <v>0</v>
      </c>
      <c r="AJ39" s="235">
        <f t="shared" si="141"/>
        <v>0</v>
      </c>
      <c r="AK39" s="235">
        <f t="shared" ref="AK39:AS39" si="142">IF(AK$24=0, 0, AK6/AK$24*AK$27)</f>
        <v>0</v>
      </c>
      <c r="AL39" s="235">
        <f t="shared" si="142"/>
        <v>0</v>
      </c>
      <c r="AM39" s="235">
        <f t="shared" si="142"/>
        <v>0</v>
      </c>
      <c r="AN39" s="235">
        <f t="shared" si="142"/>
        <v>0</v>
      </c>
      <c r="AO39" s="235">
        <f t="shared" si="142"/>
        <v>0</v>
      </c>
      <c r="AP39" s="235">
        <f t="shared" si="142"/>
        <v>0</v>
      </c>
      <c r="AQ39" s="235">
        <f t="shared" si="142"/>
        <v>0</v>
      </c>
      <c r="AR39" s="235">
        <f t="shared" si="142"/>
        <v>0</v>
      </c>
      <c r="AS39" s="235">
        <f t="shared" si="142"/>
        <v>0</v>
      </c>
      <c r="AT39" s="235">
        <f t="shared" ref="AT39:AV39" si="143">IF(AT$24=0, 0, AT6/AT$24*AT$27)</f>
        <v>0</v>
      </c>
      <c r="AU39" s="235">
        <f t="shared" si="143"/>
        <v>0</v>
      </c>
      <c r="AV39" s="266">
        <f t="shared" si="143"/>
        <v>0</v>
      </c>
    </row>
    <row r="40" spans="2:48">
      <c r="B40" s="664" t="s">
        <v>462</v>
      </c>
      <c r="C40" s="79">
        <f>IF(C$24=0, 0, C7/C$24*C$27)</f>
        <v>2544480</v>
      </c>
      <c r="D40" s="235">
        <f t="shared" ref="D40:T40" si="144">IF(D$24=0, 0, D7/D$24*D$27)</f>
        <v>2418253.9706306532</v>
      </c>
      <c r="E40" s="235">
        <f t="shared" si="144"/>
        <v>2318304.4365692013</v>
      </c>
      <c r="F40" s="235">
        <f t="shared" si="144"/>
        <v>1918695.4221521341</v>
      </c>
      <c r="G40" s="235">
        <f t="shared" si="144"/>
        <v>1182408.1980092835</v>
      </c>
      <c r="H40" s="235">
        <f t="shared" si="144"/>
        <v>1080000.9877297801</v>
      </c>
      <c r="I40" s="235">
        <f t="shared" si="144"/>
        <v>1084479.0005956269</v>
      </c>
      <c r="J40" s="235">
        <f t="shared" si="144"/>
        <v>1088938.933336209</v>
      </c>
      <c r="K40" s="235">
        <f t="shared" si="144"/>
        <v>1093380.8742162311</v>
      </c>
      <c r="L40" s="235">
        <f t="shared" si="144"/>
        <v>1097804.9110212182</v>
      </c>
      <c r="M40" s="235">
        <f t="shared" si="144"/>
        <v>1102211.131060224</v>
      </c>
      <c r="N40" s="235">
        <f t="shared" si="144"/>
        <v>1106599.6211685215</v>
      </c>
      <c r="O40" s="235">
        <f t="shared" si="144"/>
        <v>1110970.4677102787</v>
      </c>
      <c r="P40" s="235">
        <f t="shared" si="144"/>
        <v>1115323.7565812189</v>
      </c>
      <c r="Q40" s="235">
        <f t="shared" si="144"/>
        <v>1119659.5732112676</v>
      </c>
      <c r="R40" s="235">
        <f t="shared" si="144"/>
        <v>1123978.0025671804</v>
      </c>
      <c r="S40" s="235">
        <f t="shared" si="144"/>
        <v>1128279.1291551613</v>
      </c>
      <c r="T40" s="235">
        <f t="shared" si="144"/>
        <v>1132563.0370234612</v>
      </c>
      <c r="U40" s="235">
        <f t="shared" ref="U40:AJ40" si="145">IF(U$24=0, 0, U7/U$24*U$27)</f>
        <v>1136829.8097649645</v>
      </c>
      <c r="V40" s="235">
        <f t="shared" si="145"/>
        <v>1141079.5305197602</v>
      </c>
      <c r="W40" s="235">
        <f t="shared" si="145"/>
        <v>1145312.281977698</v>
      </c>
      <c r="X40" s="235">
        <f t="shared" si="145"/>
        <v>1149528.1463809314</v>
      </c>
      <c r="Y40" s="235">
        <f t="shared" si="145"/>
        <v>1153727.2055264432</v>
      </c>
      <c r="Z40" s="235">
        <f t="shared" si="145"/>
        <v>1157909.5407685607</v>
      </c>
      <c r="AA40" s="235">
        <f t="shared" si="145"/>
        <v>1162075.2330214523</v>
      </c>
      <c r="AB40" s="235">
        <f t="shared" si="145"/>
        <v>1166224.3627616139</v>
      </c>
      <c r="AC40" s="235">
        <f t="shared" si="145"/>
        <v>1170357.0100303388</v>
      </c>
      <c r="AD40" s="235">
        <f t="shared" si="145"/>
        <v>1087236.6416419051</v>
      </c>
      <c r="AE40" s="235">
        <f t="shared" si="145"/>
        <v>1090879.7500378003</v>
      </c>
      <c r="AF40" s="235">
        <f t="shared" si="145"/>
        <v>1794726.0082695151</v>
      </c>
      <c r="AG40" s="235">
        <f t="shared" si="145"/>
        <v>2544480</v>
      </c>
      <c r="AH40" s="235">
        <f t="shared" si="145"/>
        <v>2544480</v>
      </c>
      <c r="AI40" s="235">
        <f t="shared" si="145"/>
        <v>2544480</v>
      </c>
      <c r="AJ40" s="235">
        <f t="shared" si="145"/>
        <v>2544480</v>
      </c>
      <c r="AK40" s="235">
        <f t="shared" ref="AK40:AS40" si="146">IF(AK$24=0, 0, AK7/AK$24*AK$27)</f>
        <v>2544480</v>
      </c>
      <c r="AL40" s="235">
        <f t="shared" si="146"/>
        <v>2544480</v>
      </c>
      <c r="AM40" s="235">
        <f t="shared" si="146"/>
        <v>2544480</v>
      </c>
      <c r="AN40" s="235">
        <f t="shared" si="146"/>
        <v>2544480</v>
      </c>
      <c r="AO40" s="235">
        <f t="shared" si="146"/>
        <v>2544480</v>
      </c>
      <c r="AP40" s="235">
        <f t="shared" si="146"/>
        <v>2544480</v>
      </c>
      <c r="AQ40" s="235">
        <f t="shared" si="146"/>
        <v>2544480</v>
      </c>
      <c r="AR40" s="235">
        <f t="shared" si="146"/>
        <v>2544480</v>
      </c>
      <c r="AS40" s="235">
        <f t="shared" si="146"/>
        <v>2544480</v>
      </c>
      <c r="AT40" s="235">
        <f t="shared" ref="AT40:AV40" si="147">IF(AT$24=0, 0, AT7/AT$24*AT$27)</f>
        <v>2544480</v>
      </c>
      <c r="AU40" s="235">
        <f t="shared" si="147"/>
        <v>2544480</v>
      </c>
      <c r="AV40" s="266">
        <f t="shared" si="147"/>
        <v>0</v>
      </c>
    </row>
    <row r="41" spans="2:48">
      <c r="B41" s="664" t="s">
        <v>357</v>
      </c>
      <c r="C41" s="79">
        <f>IF(C$24=0, 0, C8/C$24*C$27)</f>
        <v>0</v>
      </c>
      <c r="D41" s="235">
        <f t="shared" ref="D41:T41" si="148">IF(D$24=0, 0, D8/D$24*D$27)</f>
        <v>2497.6307280141154</v>
      </c>
      <c r="E41" s="235">
        <f t="shared" si="148"/>
        <v>3192.5339345321959</v>
      </c>
      <c r="F41" s="235">
        <f t="shared" si="148"/>
        <v>2642.2328960027503</v>
      </c>
      <c r="G41" s="235">
        <f t="shared" si="148"/>
        <v>1628.2927457965986</v>
      </c>
      <c r="H41" s="235">
        <f t="shared" si="148"/>
        <v>1487.2679136818326</v>
      </c>
      <c r="I41" s="235">
        <f t="shared" si="148"/>
        <v>1493.4345792016743</v>
      </c>
      <c r="J41" s="235">
        <f t="shared" si="148"/>
        <v>1499.5763466052304</v>
      </c>
      <c r="K41" s="235">
        <f t="shared" si="148"/>
        <v>1505.6933374417065</v>
      </c>
      <c r="L41" s="235">
        <f t="shared" si="148"/>
        <v>1511.7856726004325</v>
      </c>
      <c r="M41" s="235">
        <f t="shared" si="148"/>
        <v>1517.853472314589</v>
      </c>
      <c r="N41" s="235">
        <f t="shared" si="148"/>
        <v>1523.8968561649135</v>
      </c>
      <c r="O41" s="235">
        <f t="shared" si="148"/>
        <v>1529.9159430833868</v>
      </c>
      <c r="P41" s="235">
        <f t="shared" si="148"/>
        <v>1535.9108513568945</v>
      </c>
      <c r="Q41" s="235">
        <f t="shared" si="148"/>
        <v>1541.8816986308721</v>
      </c>
      <c r="R41" s="235">
        <f t="shared" si="148"/>
        <v>1547.8286019129255</v>
      </c>
      <c r="S41" s="235">
        <f t="shared" si="148"/>
        <v>1553.7516775764341</v>
      </c>
      <c r="T41" s="235">
        <f t="shared" si="148"/>
        <v>1559.6510413641327</v>
      </c>
      <c r="U41" s="235">
        <f t="shared" ref="U41:AJ41" si="149">IF(U$24=0, 0, U8/U$24*U$27)</f>
        <v>1565.5268083916696</v>
      </c>
      <c r="V41" s="235">
        <f t="shared" si="149"/>
        <v>1571.3790931511505</v>
      </c>
      <c r="W41" s="235">
        <f t="shared" si="149"/>
        <v>1577.2080095146566</v>
      </c>
      <c r="X41" s="235">
        <f t="shared" si="149"/>
        <v>1583.0136707377476</v>
      </c>
      <c r="Y41" s="235">
        <f t="shared" si="149"/>
        <v>1588.7961894629384</v>
      </c>
      <c r="Z41" s="235">
        <f t="shared" si="149"/>
        <v>1594.5556777231641</v>
      </c>
      <c r="AA41" s="235">
        <f t="shared" si="149"/>
        <v>1600.2922469452183</v>
      </c>
      <c r="AB41" s="235">
        <f t="shared" si="149"/>
        <v>1606.0060079531752</v>
      </c>
      <c r="AC41" s="235">
        <f t="shared" si="149"/>
        <v>1611.6970709717928</v>
      </c>
      <c r="AD41" s="235">
        <f t="shared" si="149"/>
        <v>0</v>
      </c>
      <c r="AE41" s="235">
        <f t="shared" si="149"/>
        <v>0</v>
      </c>
      <c r="AF41" s="235">
        <f t="shared" si="149"/>
        <v>0</v>
      </c>
      <c r="AG41" s="235">
        <f t="shared" si="149"/>
        <v>0</v>
      </c>
      <c r="AH41" s="235">
        <f t="shared" si="149"/>
        <v>0</v>
      </c>
      <c r="AI41" s="235">
        <f t="shared" si="149"/>
        <v>0</v>
      </c>
      <c r="AJ41" s="235">
        <f t="shared" si="149"/>
        <v>0</v>
      </c>
      <c r="AK41" s="235">
        <f t="shared" ref="AK41:AS41" si="150">IF(AK$24=0, 0, AK8/AK$24*AK$27)</f>
        <v>0</v>
      </c>
      <c r="AL41" s="235">
        <f t="shared" si="150"/>
        <v>0</v>
      </c>
      <c r="AM41" s="235">
        <f t="shared" si="150"/>
        <v>0</v>
      </c>
      <c r="AN41" s="235">
        <f t="shared" si="150"/>
        <v>0</v>
      </c>
      <c r="AO41" s="235">
        <f t="shared" si="150"/>
        <v>0</v>
      </c>
      <c r="AP41" s="235">
        <f t="shared" si="150"/>
        <v>0</v>
      </c>
      <c r="AQ41" s="235">
        <f t="shared" si="150"/>
        <v>0</v>
      </c>
      <c r="AR41" s="235">
        <f t="shared" si="150"/>
        <v>0</v>
      </c>
      <c r="AS41" s="235">
        <f t="shared" si="150"/>
        <v>0</v>
      </c>
      <c r="AT41" s="235">
        <f t="shared" ref="AT41:AV41" si="151">IF(AT$24=0, 0, AT8/AT$24*AT$27)</f>
        <v>0</v>
      </c>
      <c r="AU41" s="235">
        <f t="shared" si="151"/>
        <v>0</v>
      </c>
      <c r="AV41" s="266">
        <f t="shared" si="151"/>
        <v>0</v>
      </c>
    </row>
    <row r="42" spans="2:48">
      <c r="B42" s="664" t="s">
        <v>358</v>
      </c>
      <c r="C42" s="79">
        <f>IF(C$24=0, 0, C9/C$24*C$27)</f>
        <v>0</v>
      </c>
      <c r="D42" s="235">
        <f t="shared" ref="D42:T42" si="152">IF(D$24=0, 0, D9/D$24*D$27)</f>
        <v>8167.2524806061583</v>
      </c>
      <c r="E42" s="235">
        <f t="shared" si="152"/>
        <v>10439.58596592028</v>
      </c>
      <c r="F42" s="235">
        <f t="shared" si="152"/>
        <v>8640.1015699289928</v>
      </c>
      <c r="G42" s="235">
        <f t="shared" si="152"/>
        <v>5324.5172787548772</v>
      </c>
      <c r="H42" s="235">
        <f t="shared" si="152"/>
        <v>4863.3660777395926</v>
      </c>
      <c r="I42" s="235">
        <f t="shared" si="152"/>
        <v>4883.5310739894749</v>
      </c>
      <c r="J42" s="235">
        <f t="shared" si="152"/>
        <v>4903.6146533991023</v>
      </c>
      <c r="K42" s="235">
        <f t="shared" si="152"/>
        <v>4923.6172134343806</v>
      </c>
      <c r="L42" s="235">
        <f t="shared" si="152"/>
        <v>4943.5391494034138</v>
      </c>
      <c r="M42" s="235">
        <f t="shared" si="152"/>
        <v>4963.3808544687054</v>
      </c>
      <c r="N42" s="235">
        <f t="shared" si="152"/>
        <v>4983.1427196592667</v>
      </c>
      <c r="O42" s="235">
        <f t="shared" si="152"/>
        <v>5002.8251338826749</v>
      </c>
      <c r="P42" s="235">
        <f t="shared" si="152"/>
        <v>5022.4284839370448</v>
      </c>
      <c r="Q42" s="235">
        <f t="shared" si="152"/>
        <v>5041.9531545229511</v>
      </c>
      <c r="R42" s="235">
        <f t="shared" si="152"/>
        <v>5061.399528255266</v>
      </c>
      <c r="S42" s="235">
        <f t="shared" si="152"/>
        <v>5080.7679856749392</v>
      </c>
      <c r="T42" s="235">
        <f t="shared" si="152"/>
        <v>5100.0589052607138</v>
      </c>
      <c r="U42" s="235">
        <f t="shared" ref="U42:AJ42" si="153">IF(U$24=0, 0, U9/U$24*U$27)</f>
        <v>5119.2726634407591</v>
      </c>
      <c r="V42" s="235">
        <f t="shared" si="153"/>
        <v>5138.4096346042616</v>
      </c>
      <c r="W42" s="235">
        <f t="shared" si="153"/>
        <v>5157.4701911129268</v>
      </c>
      <c r="X42" s="235">
        <f t="shared" si="153"/>
        <v>5176.4547033124336</v>
      </c>
      <c r="Y42" s="235">
        <f t="shared" si="153"/>
        <v>5195.3635395438077</v>
      </c>
      <c r="Z42" s="235">
        <f t="shared" si="153"/>
        <v>5214.1970661547457</v>
      </c>
      <c r="AA42" s="235">
        <f t="shared" si="153"/>
        <v>5232.9556475108629</v>
      </c>
      <c r="AB42" s="235">
        <f t="shared" si="153"/>
        <v>5251.6396460068818</v>
      </c>
      <c r="AC42" s="235">
        <f t="shared" si="153"/>
        <v>5270.2494220777617</v>
      </c>
      <c r="AD42" s="235">
        <f t="shared" si="153"/>
        <v>0</v>
      </c>
      <c r="AE42" s="235">
        <f t="shared" si="153"/>
        <v>0</v>
      </c>
      <c r="AF42" s="235">
        <f t="shared" si="153"/>
        <v>0</v>
      </c>
      <c r="AG42" s="235">
        <f t="shared" si="153"/>
        <v>0</v>
      </c>
      <c r="AH42" s="235">
        <f t="shared" si="153"/>
        <v>0</v>
      </c>
      <c r="AI42" s="235">
        <f t="shared" si="153"/>
        <v>0</v>
      </c>
      <c r="AJ42" s="235">
        <f t="shared" si="153"/>
        <v>0</v>
      </c>
      <c r="AK42" s="235">
        <f t="shared" ref="AK42:AS42" si="154">IF(AK$24=0, 0, AK9/AK$24*AK$27)</f>
        <v>0</v>
      </c>
      <c r="AL42" s="235">
        <f t="shared" si="154"/>
        <v>0</v>
      </c>
      <c r="AM42" s="235">
        <f t="shared" si="154"/>
        <v>0</v>
      </c>
      <c r="AN42" s="235">
        <f t="shared" si="154"/>
        <v>0</v>
      </c>
      <c r="AO42" s="235">
        <f t="shared" si="154"/>
        <v>0</v>
      </c>
      <c r="AP42" s="235">
        <f t="shared" si="154"/>
        <v>0</v>
      </c>
      <c r="AQ42" s="235">
        <f t="shared" si="154"/>
        <v>0</v>
      </c>
      <c r="AR42" s="235">
        <f t="shared" si="154"/>
        <v>0</v>
      </c>
      <c r="AS42" s="235">
        <f t="shared" si="154"/>
        <v>0</v>
      </c>
      <c r="AT42" s="235">
        <f t="shared" ref="AT42:AV42" si="155">IF(AT$24=0, 0, AT9/AT$24*AT$27)</f>
        <v>0</v>
      </c>
      <c r="AU42" s="235">
        <f t="shared" si="155"/>
        <v>0</v>
      </c>
      <c r="AV42" s="266">
        <f t="shared" si="155"/>
        <v>0</v>
      </c>
    </row>
    <row r="43" spans="2:48" ht="16" thickBot="1">
      <c r="B43" s="750" t="s">
        <v>385</v>
      </c>
      <c r="C43" s="232">
        <f>IF(C$24=0, 0, C10/C$24*C$27)</f>
        <v>0</v>
      </c>
      <c r="D43" s="267">
        <f t="shared" ref="D43:T43" si="156">IF(D$24=0, 0, D10/D$24*D$27)</f>
        <v>88998.950514556782</v>
      </c>
      <c r="E43" s="267">
        <f t="shared" si="156"/>
        <v>102044.46366084645</v>
      </c>
      <c r="F43" s="267">
        <f t="shared" si="156"/>
        <v>84454.932748946361</v>
      </c>
      <c r="G43" s="267">
        <f t="shared" si="156"/>
        <v>52045.886851946081</v>
      </c>
      <c r="H43" s="267">
        <f t="shared" si="156"/>
        <v>47538.243816314287</v>
      </c>
      <c r="I43" s="267">
        <f t="shared" si="156"/>
        <v>47735.351846628859</v>
      </c>
      <c r="J43" s="267">
        <f t="shared" si="156"/>
        <v>47931.664046742524</v>
      </c>
      <c r="K43" s="267">
        <f t="shared" si="156"/>
        <v>48127.184301789712</v>
      </c>
      <c r="L43" s="267">
        <f t="shared" si="156"/>
        <v>48321.916475812912</v>
      </c>
      <c r="M43" s="267">
        <f t="shared" si="156"/>
        <v>48515.864411881841</v>
      </c>
      <c r="N43" s="267">
        <f t="shared" si="156"/>
        <v>48709.031932211852</v>
      </c>
      <c r="O43" s="267">
        <f t="shared" si="156"/>
        <v>48901.422838281775</v>
      </c>
      <c r="P43" s="267">
        <f t="shared" si="156"/>
        <v>49093.040910950971</v>
      </c>
      <c r="Q43" s="267">
        <f t="shared" si="156"/>
        <v>49283.889910575825</v>
      </c>
      <c r="R43" s="267">
        <f t="shared" si="156"/>
        <v>49473.973577125471</v>
      </c>
      <c r="S43" s="267">
        <f t="shared" si="156"/>
        <v>49663.295630296983</v>
      </c>
      <c r="T43" s="267">
        <f t="shared" si="156"/>
        <v>49851.859769629817</v>
      </c>
      <c r="U43" s="267">
        <f t="shared" ref="U43:AJ43" si="157">IF(U$24=0, 0, U10/U$24*U$27)</f>
        <v>50039.669674619581</v>
      </c>
      <c r="V43" s="267">
        <f t="shared" si="157"/>
        <v>50226.729004831301</v>
      </c>
      <c r="W43" s="267">
        <f t="shared" si="157"/>
        <v>50413.041400011862</v>
      </c>
      <c r="X43" s="267">
        <f t="shared" si="157"/>
        <v>50598.610480201976</v>
      </c>
      <c r="Y43" s="267">
        <f t="shared" si="157"/>
        <v>50783.439845847344</v>
      </c>
      <c r="Z43" s="267">
        <f t="shared" si="157"/>
        <v>50967.533077909357</v>
      </c>
      <c r="AA43" s="267">
        <f t="shared" si="157"/>
        <v>51150.893737975013</v>
      </c>
      <c r="AB43" s="267">
        <f t="shared" si="157"/>
        <v>51333.525368366332</v>
      </c>
      <c r="AC43" s="267">
        <f t="shared" si="157"/>
        <v>51515.431492249088</v>
      </c>
      <c r="AD43" s="267">
        <f t="shared" si="157"/>
        <v>0</v>
      </c>
      <c r="AE43" s="267">
        <f t="shared" si="157"/>
        <v>0</v>
      </c>
      <c r="AF43" s="267">
        <f t="shared" si="157"/>
        <v>0</v>
      </c>
      <c r="AG43" s="267">
        <f t="shared" si="157"/>
        <v>0</v>
      </c>
      <c r="AH43" s="267">
        <f t="shared" si="157"/>
        <v>0</v>
      </c>
      <c r="AI43" s="267">
        <f t="shared" si="157"/>
        <v>0</v>
      </c>
      <c r="AJ43" s="267">
        <f t="shared" si="157"/>
        <v>0</v>
      </c>
      <c r="AK43" s="267">
        <f t="shared" ref="AK43:AS43" si="158">IF(AK$24=0, 0, AK10/AK$24*AK$27)</f>
        <v>0</v>
      </c>
      <c r="AL43" s="267">
        <f t="shared" si="158"/>
        <v>0</v>
      </c>
      <c r="AM43" s="267">
        <f t="shared" si="158"/>
        <v>0</v>
      </c>
      <c r="AN43" s="267">
        <f t="shared" si="158"/>
        <v>0</v>
      </c>
      <c r="AO43" s="267">
        <f t="shared" si="158"/>
        <v>0</v>
      </c>
      <c r="AP43" s="267">
        <f t="shared" si="158"/>
        <v>0</v>
      </c>
      <c r="AQ43" s="267">
        <f t="shared" si="158"/>
        <v>0</v>
      </c>
      <c r="AR43" s="267">
        <f t="shared" si="158"/>
        <v>0</v>
      </c>
      <c r="AS43" s="267">
        <f t="shared" si="158"/>
        <v>0</v>
      </c>
      <c r="AT43" s="267">
        <f t="shared" ref="AT43:AV43" si="159">IF(AT$24=0, 0, AT10/AT$24*AT$27)</f>
        <v>0</v>
      </c>
      <c r="AU43" s="267">
        <f t="shared" si="159"/>
        <v>0</v>
      </c>
      <c r="AV43" s="268">
        <f t="shared" si="159"/>
        <v>0</v>
      </c>
    </row>
    <row r="44" spans="2:48"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</row>
    <row r="45" spans="2:48" ht="16" thickBot="1"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</row>
    <row r="46" spans="2:48" ht="16" thickBot="1">
      <c r="B46" s="79"/>
      <c r="C46" s="511">
        <f>C30</f>
        <v>2026</v>
      </c>
      <c r="D46" s="204">
        <f t="shared" ref="D46:T46" si="160">D30</f>
        <v>2027</v>
      </c>
      <c r="E46" s="204">
        <f t="shared" si="160"/>
        <v>2028</v>
      </c>
      <c r="F46" s="204">
        <f t="shared" si="160"/>
        <v>2029</v>
      </c>
      <c r="G46" s="204">
        <f t="shared" si="160"/>
        <v>2030</v>
      </c>
      <c r="H46" s="204">
        <f t="shared" si="160"/>
        <v>2031</v>
      </c>
      <c r="I46" s="204">
        <f t="shared" si="160"/>
        <v>2032</v>
      </c>
      <c r="J46" s="204">
        <f t="shared" si="160"/>
        <v>2033</v>
      </c>
      <c r="K46" s="204">
        <f t="shared" si="160"/>
        <v>2034</v>
      </c>
      <c r="L46" s="204">
        <f t="shared" si="160"/>
        <v>2035</v>
      </c>
      <c r="M46" s="204">
        <f t="shared" si="160"/>
        <v>2036</v>
      </c>
      <c r="N46" s="204">
        <f t="shared" si="160"/>
        <v>2037</v>
      </c>
      <c r="O46" s="204">
        <f t="shared" si="160"/>
        <v>2038</v>
      </c>
      <c r="P46" s="204">
        <f t="shared" si="160"/>
        <v>2039</v>
      </c>
      <c r="Q46" s="204">
        <f t="shared" si="160"/>
        <v>2040</v>
      </c>
      <c r="R46" s="204">
        <f t="shared" si="160"/>
        <v>2041</v>
      </c>
      <c r="S46" s="204">
        <f t="shared" si="160"/>
        <v>2042</v>
      </c>
      <c r="T46" s="204">
        <f t="shared" si="160"/>
        <v>2043</v>
      </c>
      <c r="U46" s="204">
        <f t="shared" ref="U46:AJ46" si="161">U30</f>
        <v>2044</v>
      </c>
      <c r="V46" s="204">
        <f t="shared" si="161"/>
        <v>2045</v>
      </c>
      <c r="W46" s="204">
        <f t="shared" si="161"/>
        <v>2046</v>
      </c>
      <c r="X46" s="204">
        <f t="shared" si="161"/>
        <v>2047</v>
      </c>
      <c r="Y46" s="204">
        <f t="shared" si="161"/>
        <v>2048</v>
      </c>
      <c r="Z46" s="204">
        <f t="shared" si="161"/>
        <v>2049</v>
      </c>
      <c r="AA46" s="204">
        <f t="shared" si="161"/>
        <v>2050</v>
      </c>
      <c r="AB46" s="204">
        <f t="shared" si="161"/>
        <v>2051</v>
      </c>
      <c r="AC46" s="204">
        <f t="shared" si="161"/>
        <v>2052</v>
      </c>
      <c r="AD46" s="204">
        <f t="shared" si="161"/>
        <v>2053</v>
      </c>
      <c r="AE46" s="204">
        <f t="shared" si="161"/>
        <v>2054</v>
      </c>
      <c r="AF46" s="204">
        <f t="shared" si="161"/>
        <v>2055</v>
      </c>
      <c r="AG46" s="204">
        <f t="shared" si="161"/>
        <v>2056</v>
      </c>
      <c r="AH46" s="204">
        <f t="shared" si="161"/>
        <v>2057</v>
      </c>
      <c r="AI46" s="204">
        <f t="shared" si="161"/>
        <v>2058</v>
      </c>
      <c r="AJ46" s="204">
        <f t="shared" si="161"/>
        <v>2059</v>
      </c>
      <c r="AK46" s="204">
        <f t="shared" ref="AK46:AS46" si="162">AK30</f>
        <v>2060</v>
      </c>
      <c r="AL46" s="204">
        <f t="shared" si="162"/>
        <v>2061</v>
      </c>
      <c r="AM46" s="204">
        <f t="shared" si="162"/>
        <v>2062</v>
      </c>
      <c r="AN46" s="204">
        <f t="shared" si="162"/>
        <v>2063</v>
      </c>
      <c r="AO46" s="204">
        <f t="shared" si="162"/>
        <v>2064</v>
      </c>
      <c r="AP46" s="204">
        <f t="shared" si="162"/>
        <v>2065</v>
      </c>
      <c r="AQ46" s="204">
        <f t="shared" si="162"/>
        <v>2066</v>
      </c>
      <c r="AR46" s="204">
        <f t="shared" si="162"/>
        <v>2067</v>
      </c>
      <c r="AS46" s="204">
        <f t="shared" si="162"/>
        <v>2068</v>
      </c>
      <c r="AT46" s="204">
        <f t="shared" ref="AT46:AV46" si="163">AT30</f>
        <v>2069</v>
      </c>
      <c r="AU46" s="204">
        <f t="shared" si="163"/>
        <v>2070</v>
      </c>
      <c r="AV46" s="516">
        <f t="shared" si="163"/>
        <v>2071</v>
      </c>
    </row>
    <row r="47" spans="2:48">
      <c r="B47" s="263" t="s">
        <v>467</v>
      </c>
      <c r="C47" s="269">
        <f>'Assumptions &amp; Inputs'!$D$84*(1+'Assumptions &amp; Inputs'!$G$21)^(C$46-$C$46)</f>
        <v>60</v>
      </c>
      <c r="D47" s="269">
        <f>'Assumptions &amp; Inputs'!$D$84*(1+'Assumptions &amp; Inputs'!$G$21)^(D$46-$C$46)</f>
        <v>61.2</v>
      </c>
      <c r="E47" s="269">
        <f>'Assumptions &amp; Inputs'!$D$84*(1+'Assumptions &amp; Inputs'!$G$21)^(E$46-$C$46)</f>
        <v>62.423999999999999</v>
      </c>
      <c r="F47" s="269">
        <f>'Assumptions &amp; Inputs'!$D$84*(1+'Assumptions &amp; Inputs'!$G$21)^(F$46-$C$46)</f>
        <v>63.672479999999993</v>
      </c>
      <c r="G47" s="269">
        <f>'Assumptions &amp; Inputs'!$D$84*(1+'Assumptions &amp; Inputs'!$G$21)^(G$46-$C$46)</f>
        <v>64.945929599999999</v>
      </c>
      <c r="H47" s="269">
        <f>'Assumptions &amp; Inputs'!$D$84*(1+'Assumptions &amp; Inputs'!$G$21)^(H$46-$C$46)</f>
        <v>66.244848192000006</v>
      </c>
      <c r="I47" s="269">
        <f>'Assumptions &amp; Inputs'!$D$84*(1+'Assumptions &amp; Inputs'!$G$21)^(I$46-$C$46)</f>
        <v>67.56974515584001</v>
      </c>
      <c r="J47" s="269">
        <f>'Assumptions &amp; Inputs'!$D$84*(1+'Assumptions &amp; Inputs'!$G$21)^(J$46-$C$46)</f>
        <v>68.921140058956794</v>
      </c>
      <c r="K47" s="269">
        <f>'Assumptions &amp; Inputs'!$D$84*(1+'Assumptions &amp; Inputs'!$G$21)^(K$46-$C$46)</f>
        <v>70.299562860135936</v>
      </c>
      <c r="L47" s="269">
        <f>'Assumptions &amp; Inputs'!$D$84*(1+'Assumptions &amp; Inputs'!$G$21)^(L$46-$C$46)</f>
        <v>71.70555411733865</v>
      </c>
      <c r="M47" s="269">
        <f>'Assumptions &amp; Inputs'!$D$84*(1+'Assumptions &amp; Inputs'!$G$21)^(M$46-$C$46)</f>
        <v>73.139665199685425</v>
      </c>
      <c r="N47" s="269">
        <f>'Assumptions &amp; Inputs'!$D$84*(1+'Assumptions &amp; Inputs'!$G$21)^(N$46-$C$46)</f>
        <v>74.602458503679117</v>
      </c>
      <c r="O47" s="269">
        <f>'Assumptions &amp; Inputs'!$D$84*(1+'Assumptions &amp; Inputs'!$G$21)^(O$46-$C$46)</f>
        <v>76.094507673752716</v>
      </c>
      <c r="P47" s="269">
        <f>'Assumptions &amp; Inputs'!$D$84*(1+'Assumptions &amp; Inputs'!$G$21)^(P$46-$C$46)</f>
        <v>77.616397827227772</v>
      </c>
      <c r="Q47" s="269">
        <f>'Assumptions &amp; Inputs'!$D$84*(1+'Assumptions &amp; Inputs'!$G$21)^(Q$46-$C$46)</f>
        <v>79.168725783772331</v>
      </c>
      <c r="R47" s="269">
        <f>'Assumptions &amp; Inputs'!$D$84*(1+'Assumptions &amp; Inputs'!$G$21)^(R$46-$C$46)</f>
        <v>80.752100299447747</v>
      </c>
      <c r="S47" s="269">
        <f>'Assumptions &amp; Inputs'!$D$84*(1+'Assumptions &amp; Inputs'!$G$21)^(S$46-$C$46)</f>
        <v>82.367142305436715</v>
      </c>
      <c r="T47" s="269">
        <f>'Assumptions &amp; Inputs'!$D$84*(1+'Assumptions &amp; Inputs'!$G$21)^(T$46-$C$46)</f>
        <v>84.014485151545458</v>
      </c>
      <c r="U47" s="269">
        <f>'Assumptions &amp; Inputs'!$D$84*(1+'Assumptions &amp; Inputs'!$G$21)^(U$46-$C$46)</f>
        <v>85.694774854576366</v>
      </c>
      <c r="V47" s="269">
        <f>'Assumptions &amp; Inputs'!$D$84*(1+'Assumptions &amp; Inputs'!$G$21)^(V$46-$C$46)</f>
        <v>87.408670351667894</v>
      </c>
      <c r="W47" s="269">
        <f>'Assumptions &amp; Inputs'!$D$84*(1+'Assumptions &amp; Inputs'!$G$21)^(W$46-$C$46)</f>
        <v>89.156843758701257</v>
      </c>
      <c r="X47" s="269">
        <f>'Assumptions &amp; Inputs'!$D$84*(1+'Assumptions &amp; Inputs'!$G$21)^(X$46-$C$46)</f>
        <v>90.93998063387528</v>
      </c>
      <c r="Y47" s="269">
        <f>'Assumptions &amp; Inputs'!$D$84*(1+'Assumptions &amp; Inputs'!$G$21)^(Y$46-$C$46)</f>
        <v>92.758780246552789</v>
      </c>
      <c r="Z47" s="269">
        <f>'Assumptions &amp; Inputs'!$D$84*(1+'Assumptions &amp; Inputs'!$G$21)^(Z$46-$C$46)</f>
        <v>94.613955851483823</v>
      </c>
      <c r="AA47" s="269">
        <f>'Assumptions &amp; Inputs'!$D$84*(1+'Assumptions &amp; Inputs'!$G$21)^(AA$46-$C$46)</f>
        <v>96.506234968513496</v>
      </c>
      <c r="AB47" s="269">
        <f>'Assumptions &amp; Inputs'!$D$84*(1+'Assumptions &amp; Inputs'!$G$21)^(AB$46-$C$46)</f>
        <v>98.436359667883778</v>
      </c>
      <c r="AC47" s="269">
        <f>'Assumptions &amp; Inputs'!$D$84*(1+'Assumptions &amp; Inputs'!$G$21)^(AC$46-$C$46)</f>
        <v>100.40508686124146</v>
      </c>
      <c r="AD47" s="269">
        <f>'Assumptions &amp; Inputs'!$D$84*(1+'Assumptions &amp; Inputs'!$G$21)^(AD$46-$C$46)</f>
        <v>102.41318859846626</v>
      </c>
      <c r="AE47" s="269">
        <f>'Assumptions &amp; Inputs'!$D$84*(1+'Assumptions &amp; Inputs'!$G$21)^(AE$46-$C$46)</f>
        <v>104.46145237043562</v>
      </c>
      <c r="AF47" s="269">
        <f>'Assumptions &amp; Inputs'!$D$84*(1+'Assumptions &amp; Inputs'!$G$21)^(AF$46-$C$46)</f>
        <v>106.55068141784432</v>
      </c>
      <c r="AG47" s="269">
        <f>'Assumptions &amp; Inputs'!$D$84*(1+'Assumptions &amp; Inputs'!$G$21)^(AG$46-$C$46)</f>
        <v>108.68169504620121</v>
      </c>
      <c r="AH47" s="269">
        <f>'Assumptions &amp; Inputs'!$D$84*(1+'Assumptions &amp; Inputs'!$G$21)^(AH$46-$C$46)</f>
        <v>110.8553289471252</v>
      </c>
      <c r="AI47" s="269">
        <f>'Assumptions &amp; Inputs'!$D$84*(1+'Assumptions &amp; Inputs'!$G$21)^(AI$46-$C$46)</f>
        <v>113.07243552606774</v>
      </c>
      <c r="AJ47" s="269">
        <f>'Assumptions &amp; Inputs'!$D$84*(1+'Assumptions &amp; Inputs'!$G$21)^(AJ$46-$C$46)</f>
        <v>115.3338842365891</v>
      </c>
      <c r="AK47" s="269">
        <f>'Assumptions &amp; Inputs'!$D$84*(1+'Assumptions &amp; Inputs'!$G$21)^(AK$46-$C$46)</f>
        <v>117.64056192132087</v>
      </c>
      <c r="AL47" s="269">
        <f>'Assumptions &amp; Inputs'!$D$84*(1+'Assumptions &amp; Inputs'!$G$21)^(AL$46-$C$46)</f>
        <v>119.99337315974728</v>
      </c>
      <c r="AM47" s="269">
        <f>'Assumptions &amp; Inputs'!$D$84*(1+'Assumptions &amp; Inputs'!$G$21)^(AM$46-$C$46)</f>
        <v>122.39324062294222</v>
      </c>
      <c r="AN47" s="269">
        <f>'Assumptions &amp; Inputs'!$D$84*(1+'Assumptions &amp; Inputs'!$G$21)^(AN$46-$C$46)</f>
        <v>124.84110543540109</v>
      </c>
      <c r="AO47" s="269">
        <f>'Assumptions &amp; Inputs'!$D$84*(1+'Assumptions &amp; Inputs'!$G$21)^(AO$46-$C$46)</f>
        <v>127.33792754410912</v>
      </c>
      <c r="AP47" s="269">
        <f>'Assumptions &amp; Inputs'!$D$84*(1+'Assumptions &amp; Inputs'!$G$21)^(AP$46-$C$46)</f>
        <v>129.88468609499125</v>
      </c>
      <c r="AQ47" s="269">
        <f>'Assumptions &amp; Inputs'!$D$84*(1+'Assumptions &amp; Inputs'!$G$21)^(AQ$46-$C$46)</f>
        <v>132.4823798168911</v>
      </c>
      <c r="AR47" s="269">
        <f>'Assumptions &amp; Inputs'!$D$84*(1+'Assumptions &amp; Inputs'!$G$21)^(AR$46-$C$46)</f>
        <v>135.13202741322891</v>
      </c>
      <c r="AS47" s="269">
        <f>'Assumptions &amp; Inputs'!$D$84*(1+'Assumptions &amp; Inputs'!$G$21)^(AS$46-$C$46)</f>
        <v>137.83466796149349</v>
      </c>
      <c r="AT47" s="269">
        <f>'Assumptions &amp; Inputs'!$D$84*(1+'Assumptions &amp; Inputs'!$G$21)^(AT$46-$C$46)</f>
        <v>140.59136132072337</v>
      </c>
      <c r="AU47" s="269">
        <f>'Assumptions &amp; Inputs'!$D$84*(1+'Assumptions &amp; Inputs'!$G$21)^(AU$46-$C$46)</f>
        <v>143.40318854713786</v>
      </c>
      <c r="AV47" s="270">
        <f>'Assumptions &amp; Inputs'!$D$84*(1+'Assumptions &amp; Inputs'!$G$21)^(AV$46-$C$46)</f>
        <v>146.2712523180806</v>
      </c>
    </row>
    <row r="48" spans="2:48" ht="16" thickBot="1">
      <c r="B48" s="260" t="s">
        <v>468</v>
      </c>
      <c r="C48" s="261">
        <f>'Assumptions &amp; Inputs'!$J$70*(1+'Assumptions &amp; Inputs'!$G$21)^(C$46-$C$46)</f>
        <v>75</v>
      </c>
      <c r="D48" s="261">
        <f>'Assumptions &amp; Inputs'!$J$70*(1+'Assumptions &amp; Inputs'!$G$21)^(D$46-$C$46)</f>
        <v>76.5</v>
      </c>
      <c r="E48" s="261">
        <f>'Assumptions &amp; Inputs'!$J$70*(1+'Assumptions &amp; Inputs'!$G$21)^(E$46-$C$46)</f>
        <v>78.03</v>
      </c>
      <c r="F48" s="261">
        <f>'Assumptions &amp; Inputs'!$J$70*(1+'Assumptions &amp; Inputs'!$G$21)^(F$46-$C$46)</f>
        <v>79.590599999999995</v>
      </c>
      <c r="G48" s="261">
        <f>'Assumptions &amp; Inputs'!$J$70*(1+'Assumptions &amp; Inputs'!$G$21)^(G$46-$C$46)</f>
        <v>81.182411999999999</v>
      </c>
      <c r="H48" s="261">
        <f>'Assumptions &amp; Inputs'!$J$70*(1+'Assumptions &amp; Inputs'!$G$21)^(H$46-$C$46)</f>
        <v>82.806060240000008</v>
      </c>
      <c r="I48" s="261">
        <f>'Assumptions &amp; Inputs'!$J$70*(1+'Assumptions &amp; Inputs'!$G$21)^(I$46-$C$46)</f>
        <v>84.462181444800009</v>
      </c>
      <c r="J48" s="261">
        <f>'Assumptions &amp; Inputs'!$J$70*(1+'Assumptions &amp; Inputs'!$G$21)^(J$46-$C$46)</f>
        <v>86.151425073695989</v>
      </c>
      <c r="K48" s="261">
        <f>'Assumptions &amp; Inputs'!$J$70*(1+'Assumptions &amp; Inputs'!$G$21)^(K$46-$C$46)</f>
        <v>87.874453575169909</v>
      </c>
      <c r="L48" s="261">
        <f>'Assumptions &amp; Inputs'!$J$70*(1+'Assumptions &amp; Inputs'!$G$21)^(L$46-$C$46)</f>
        <v>89.631942646673309</v>
      </c>
      <c r="M48" s="261">
        <f>'Assumptions &amp; Inputs'!$J$70*(1+'Assumptions &amp; Inputs'!$G$21)^(M$46-$C$46)</f>
        <v>91.424581499606788</v>
      </c>
      <c r="N48" s="261">
        <f>'Assumptions &amp; Inputs'!$J$70*(1+'Assumptions &amp; Inputs'!$G$21)^(N$46-$C$46)</f>
        <v>93.253073129598903</v>
      </c>
      <c r="O48" s="261">
        <f>'Assumptions &amp; Inputs'!$J$70*(1+'Assumptions &amp; Inputs'!$G$21)^(O$46-$C$46)</f>
        <v>95.118134592190899</v>
      </c>
      <c r="P48" s="261">
        <f>'Assumptions &amp; Inputs'!$J$70*(1+'Assumptions &amp; Inputs'!$G$21)^(P$46-$C$46)</f>
        <v>97.020497284034704</v>
      </c>
      <c r="Q48" s="261">
        <f>'Assumptions &amp; Inputs'!$J$70*(1+'Assumptions &amp; Inputs'!$G$21)^(Q$46-$C$46)</f>
        <v>98.960907229715417</v>
      </c>
      <c r="R48" s="261">
        <f>'Assumptions &amp; Inputs'!$J$70*(1+'Assumptions &amp; Inputs'!$G$21)^(R$46-$C$46)</f>
        <v>100.94012537430969</v>
      </c>
      <c r="S48" s="261">
        <f>'Assumptions &amp; Inputs'!$J$70*(1+'Assumptions &amp; Inputs'!$G$21)^(S$46-$C$46)</f>
        <v>102.9589278817959</v>
      </c>
      <c r="T48" s="261">
        <f>'Assumptions &amp; Inputs'!$J$70*(1+'Assumptions &amp; Inputs'!$G$21)^(T$46-$C$46)</f>
        <v>105.01810643943183</v>
      </c>
      <c r="U48" s="261">
        <f>'Assumptions &amp; Inputs'!$J$70*(1+'Assumptions &amp; Inputs'!$G$21)^(U$46-$C$46)</f>
        <v>107.11846856822045</v>
      </c>
      <c r="V48" s="261">
        <f>'Assumptions &amp; Inputs'!$J$70*(1+'Assumptions &amp; Inputs'!$G$21)^(V$46-$C$46)</f>
        <v>109.26083793958486</v>
      </c>
      <c r="W48" s="261">
        <f>'Assumptions &amp; Inputs'!$J$70*(1+'Assumptions &amp; Inputs'!$G$21)^(W$46-$C$46)</f>
        <v>111.44605469837657</v>
      </c>
      <c r="X48" s="261">
        <f>'Assumptions &amp; Inputs'!$J$70*(1+'Assumptions &amp; Inputs'!$G$21)^(X$46-$C$46)</f>
        <v>113.67497579234409</v>
      </c>
      <c r="Y48" s="261">
        <f>'Assumptions &amp; Inputs'!$J$70*(1+'Assumptions &amp; Inputs'!$G$21)^(Y$46-$C$46)</f>
        <v>115.94847530819098</v>
      </c>
      <c r="Z48" s="261">
        <f>'Assumptions &amp; Inputs'!$J$70*(1+'Assumptions &amp; Inputs'!$G$21)^(Z$46-$C$46)</f>
        <v>118.26744481435477</v>
      </c>
      <c r="AA48" s="261">
        <f>'Assumptions &amp; Inputs'!$J$70*(1+'Assumptions &amp; Inputs'!$G$21)^(AA$46-$C$46)</f>
        <v>120.63279371064188</v>
      </c>
      <c r="AB48" s="261">
        <f>'Assumptions &amp; Inputs'!$J$70*(1+'Assumptions &amp; Inputs'!$G$21)^(AB$46-$C$46)</f>
        <v>123.04544958485472</v>
      </c>
      <c r="AC48" s="261">
        <f>'Assumptions &amp; Inputs'!$J$70*(1+'Assumptions &amp; Inputs'!$G$21)^(AC$46-$C$46)</f>
        <v>125.50635857655182</v>
      </c>
      <c r="AD48" s="261">
        <f>'Assumptions &amp; Inputs'!$J$70*(1+'Assumptions &amp; Inputs'!$G$21)^(AD$46-$C$46)</f>
        <v>128.01648574808283</v>
      </c>
      <c r="AE48" s="261">
        <f>'Assumptions &amp; Inputs'!$J$70*(1+'Assumptions &amp; Inputs'!$G$21)^(AE$46-$C$46)</f>
        <v>130.57681546304451</v>
      </c>
      <c r="AF48" s="261">
        <f>'Assumptions &amp; Inputs'!$J$70*(1+'Assumptions &amp; Inputs'!$G$21)^(AF$46-$C$46)</f>
        <v>133.1883517723054</v>
      </c>
      <c r="AG48" s="261">
        <f>'Assumptions &amp; Inputs'!$J$70*(1+'Assumptions &amp; Inputs'!$G$21)^(AG$46-$C$46)</f>
        <v>135.85211880775151</v>
      </c>
      <c r="AH48" s="261">
        <f>'Assumptions &amp; Inputs'!$J$70*(1+'Assumptions &amp; Inputs'!$G$21)^(AH$46-$C$46)</f>
        <v>138.56916118390652</v>
      </c>
      <c r="AI48" s="261">
        <f>'Assumptions &amp; Inputs'!$J$70*(1+'Assumptions &amp; Inputs'!$G$21)^(AI$46-$C$46)</f>
        <v>141.34054440758467</v>
      </c>
      <c r="AJ48" s="261">
        <f>'Assumptions &amp; Inputs'!$J$70*(1+'Assumptions &amp; Inputs'!$G$21)^(AJ$46-$C$46)</f>
        <v>144.16735529573637</v>
      </c>
      <c r="AK48" s="261">
        <f>'Assumptions &amp; Inputs'!$J$70*(1+'Assumptions &amp; Inputs'!$G$21)^(AK$46-$C$46)</f>
        <v>147.05070240165108</v>
      </c>
      <c r="AL48" s="261">
        <f>'Assumptions &amp; Inputs'!$J$70*(1+'Assumptions &amp; Inputs'!$G$21)^(AL$46-$C$46)</f>
        <v>149.99171644968411</v>
      </c>
      <c r="AM48" s="261">
        <f>'Assumptions &amp; Inputs'!$J$70*(1+'Assumptions &amp; Inputs'!$G$21)^(AM$46-$C$46)</f>
        <v>152.99155077867778</v>
      </c>
      <c r="AN48" s="261">
        <f>'Assumptions &amp; Inputs'!$J$70*(1+'Assumptions &amp; Inputs'!$G$21)^(AN$46-$C$46)</f>
        <v>156.05138179425134</v>
      </c>
      <c r="AO48" s="261">
        <f>'Assumptions &amp; Inputs'!$J$70*(1+'Assumptions &amp; Inputs'!$G$21)^(AO$46-$C$46)</f>
        <v>159.17240943013638</v>
      </c>
      <c r="AP48" s="261">
        <f>'Assumptions &amp; Inputs'!$J$70*(1+'Assumptions &amp; Inputs'!$G$21)^(AP$46-$C$46)</f>
        <v>162.35585761873907</v>
      </c>
      <c r="AQ48" s="261">
        <f>'Assumptions &amp; Inputs'!$J$70*(1+'Assumptions &amp; Inputs'!$G$21)^(AQ$46-$C$46)</f>
        <v>165.60297477111388</v>
      </c>
      <c r="AR48" s="261">
        <f>'Assumptions &amp; Inputs'!$J$70*(1+'Assumptions &amp; Inputs'!$G$21)^(AR$46-$C$46)</f>
        <v>168.91503426653617</v>
      </c>
      <c r="AS48" s="261">
        <f>'Assumptions &amp; Inputs'!$J$70*(1+'Assumptions &amp; Inputs'!$G$21)^(AS$46-$C$46)</f>
        <v>172.29333495186688</v>
      </c>
      <c r="AT48" s="261">
        <f>'Assumptions &amp; Inputs'!$J$70*(1+'Assumptions &amp; Inputs'!$G$21)^(AT$46-$C$46)</f>
        <v>175.73920165090419</v>
      </c>
      <c r="AU48" s="261">
        <f>'Assumptions &amp; Inputs'!$J$70*(1+'Assumptions &amp; Inputs'!$G$21)^(AU$46-$C$46)</f>
        <v>179.25398568392231</v>
      </c>
      <c r="AV48" s="262">
        <f>'Assumptions &amp; Inputs'!$J$70*(1+'Assumptions &amp; Inputs'!$G$21)^(AV$46-$C$46)</f>
        <v>182.83906539760073</v>
      </c>
    </row>
  </sheetData>
  <mergeCells count="1">
    <mergeCell ref="D2:O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F586-8D74-411A-BE42-CE6AF99A894C}">
  <sheetPr codeName="Sheet8">
    <tabColor theme="9" tint="-0.499984740745262"/>
  </sheetPr>
  <dimension ref="A2:AW142"/>
  <sheetViews>
    <sheetView workbookViewId="0">
      <selection activeCell="F58" sqref="F58"/>
    </sheetView>
  </sheetViews>
  <sheetFormatPr baseColWidth="10" defaultColWidth="14.33203125" defaultRowHeight="15" customHeight="1"/>
  <cols>
    <col min="1" max="2" width="3" customWidth="1"/>
    <col min="3" max="3" width="42.83203125" customWidth="1"/>
    <col min="4" max="5" width="15.5" bestFit="1" customWidth="1"/>
    <col min="6" max="6" width="64.6640625" bestFit="1" customWidth="1"/>
    <col min="7" max="49" width="15.5" bestFit="1" customWidth="1"/>
  </cols>
  <sheetData>
    <row r="2" spans="1:49" ht="14.25" customHeight="1">
      <c r="A2" s="1"/>
      <c r="B2" s="1"/>
      <c r="C2" s="63" t="s">
        <v>469</v>
      </c>
      <c r="D2" s="89"/>
      <c r="E2" s="105">
        <v>1000</v>
      </c>
      <c r="F2" s="6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9" ht="14.25" customHeight="1">
      <c r="A3" s="1"/>
      <c r="B3" s="1"/>
      <c r="C3" s="63" t="s">
        <v>470</v>
      </c>
      <c r="D3" s="64"/>
      <c r="E3" s="106">
        <v>1000000</v>
      </c>
      <c r="F3" s="6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9" ht="14.25" customHeight="1">
      <c r="A4" s="1"/>
      <c r="B4" s="1"/>
      <c r="C4" s="172"/>
      <c r="D4" s="167"/>
      <c r="E4" s="167"/>
      <c r="F4" s="167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"/>
      <c r="AS4" s="1"/>
    </row>
    <row r="5" spans="1:49" ht="14.25" customHeight="1" thickBot="1">
      <c r="A5" s="1" t="s">
        <v>351</v>
      </c>
      <c r="B5" s="1"/>
      <c r="C5" s="9" t="s">
        <v>352</v>
      </c>
      <c r="D5" s="9"/>
      <c r="E5" s="10"/>
      <c r="F5" s="10"/>
      <c r="G5" s="10"/>
      <c r="H5" s="10"/>
      <c r="I5" s="10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"/>
      <c r="Z5" s="1"/>
    </row>
    <row r="6" spans="1:49" ht="14.25" customHeight="1">
      <c r="A6" s="1"/>
      <c r="B6" s="1"/>
      <c r="C6" s="12" t="s">
        <v>353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14.25" customHeight="1">
      <c r="A7" s="1"/>
      <c r="B7" s="1"/>
      <c r="C7" s="1"/>
      <c r="D7" s="43">
        <v>0</v>
      </c>
      <c r="E7" s="119">
        <f t="shared" ref="E7:AW7" si="0">D7+1</f>
        <v>1</v>
      </c>
      <c r="F7" s="119">
        <f t="shared" si="0"/>
        <v>2</v>
      </c>
      <c r="G7" s="119">
        <f t="shared" si="0"/>
        <v>3</v>
      </c>
      <c r="H7" s="119">
        <f t="shared" si="0"/>
        <v>4</v>
      </c>
      <c r="I7" s="119">
        <f t="shared" si="0"/>
        <v>5</v>
      </c>
      <c r="J7" s="119">
        <f t="shared" si="0"/>
        <v>6</v>
      </c>
      <c r="K7" s="119">
        <f t="shared" si="0"/>
        <v>7</v>
      </c>
      <c r="L7" s="119">
        <f t="shared" si="0"/>
        <v>8</v>
      </c>
      <c r="M7" s="119">
        <f t="shared" si="0"/>
        <v>9</v>
      </c>
      <c r="N7" s="119">
        <f t="shared" si="0"/>
        <v>10</v>
      </c>
      <c r="O7" s="119">
        <f t="shared" si="0"/>
        <v>11</v>
      </c>
      <c r="P7" s="119">
        <f t="shared" si="0"/>
        <v>12</v>
      </c>
      <c r="Q7" s="119">
        <f t="shared" si="0"/>
        <v>13</v>
      </c>
      <c r="R7" s="119">
        <f t="shared" si="0"/>
        <v>14</v>
      </c>
      <c r="S7" s="119">
        <f t="shared" si="0"/>
        <v>15</v>
      </c>
      <c r="T7" s="119">
        <f t="shared" si="0"/>
        <v>16</v>
      </c>
      <c r="U7" s="119">
        <f t="shared" si="0"/>
        <v>17</v>
      </c>
      <c r="V7" s="119">
        <f t="shared" si="0"/>
        <v>18</v>
      </c>
      <c r="W7" s="119">
        <f t="shared" si="0"/>
        <v>19</v>
      </c>
      <c r="X7" s="119">
        <f t="shared" si="0"/>
        <v>20</v>
      </c>
      <c r="Y7" s="119">
        <f t="shared" si="0"/>
        <v>21</v>
      </c>
      <c r="Z7" s="119">
        <f t="shared" si="0"/>
        <v>22</v>
      </c>
      <c r="AA7" s="119">
        <f t="shared" si="0"/>
        <v>23</v>
      </c>
      <c r="AB7" s="119">
        <f t="shared" si="0"/>
        <v>24</v>
      </c>
      <c r="AC7" s="119">
        <f t="shared" si="0"/>
        <v>25</v>
      </c>
      <c r="AD7" s="119">
        <f t="shared" si="0"/>
        <v>26</v>
      </c>
      <c r="AE7" s="119">
        <f t="shared" si="0"/>
        <v>27</v>
      </c>
      <c r="AF7" s="119">
        <f t="shared" si="0"/>
        <v>28</v>
      </c>
      <c r="AG7" s="119">
        <f t="shared" si="0"/>
        <v>29</v>
      </c>
      <c r="AH7" s="119">
        <f t="shared" si="0"/>
        <v>30</v>
      </c>
      <c r="AI7" s="119">
        <f t="shared" si="0"/>
        <v>31</v>
      </c>
      <c r="AJ7" s="119">
        <f t="shared" si="0"/>
        <v>32</v>
      </c>
      <c r="AK7" s="119">
        <f t="shared" si="0"/>
        <v>33</v>
      </c>
      <c r="AL7" s="119">
        <f t="shared" si="0"/>
        <v>34</v>
      </c>
      <c r="AM7" s="119">
        <f t="shared" si="0"/>
        <v>35</v>
      </c>
      <c r="AN7" s="119">
        <f t="shared" si="0"/>
        <v>36</v>
      </c>
      <c r="AO7" s="119">
        <f t="shared" si="0"/>
        <v>37</v>
      </c>
      <c r="AP7" s="119">
        <f t="shared" si="0"/>
        <v>38</v>
      </c>
      <c r="AQ7" s="119">
        <f t="shared" si="0"/>
        <v>39</v>
      </c>
      <c r="AR7" s="119">
        <f t="shared" si="0"/>
        <v>40</v>
      </c>
      <c r="AS7" s="119">
        <f t="shared" si="0"/>
        <v>41</v>
      </c>
      <c r="AT7" s="119">
        <f t="shared" si="0"/>
        <v>42</v>
      </c>
      <c r="AU7" s="119">
        <f t="shared" si="0"/>
        <v>43</v>
      </c>
      <c r="AV7" s="119">
        <f t="shared" si="0"/>
        <v>44</v>
      </c>
      <c r="AW7" s="119">
        <f t="shared" si="0"/>
        <v>45</v>
      </c>
    </row>
    <row r="8" spans="1:49" ht="14.25" customHeight="1" thickBot="1">
      <c r="A8" s="1"/>
      <c r="B8" s="1"/>
      <c r="C8" s="200"/>
      <c r="D8" s="83"/>
      <c r="E8" s="806" t="s">
        <v>354</v>
      </c>
      <c r="F8" s="806"/>
      <c r="G8" s="806"/>
      <c r="H8" s="806"/>
      <c r="I8" s="806"/>
      <c r="J8" s="806"/>
      <c r="K8" s="806"/>
      <c r="L8" s="806"/>
      <c r="M8" s="806"/>
      <c r="N8" s="806"/>
      <c r="O8" s="806"/>
      <c r="P8" s="806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</row>
    <row r="9" spans="1:49" ht="14.25" customHeight="1">
      <c r="A9" s="1"/>
      <c r="B9" s="84"/>
      <c r="C9" s="275"/>
      <c r="D9" s="276">
        <f>YEAR(D10)</f>
        <v>2026</v>
      </c>
      <c r="E9" s="276">
        <f t="shared" ref="E9:AW9" si="1">D9+1</f>
        <v>2027</v>
      </c>
      <c r="F9" s="276">
        <f t="shared" si="1"/>
        <v>2028</v>
      </c>
      <c r="G9" s="276">
        <f t="shared" si="1"/>
        <v>2029</v>
      </c>
      <c r="H9" s="276">
        <f t="shared" si="1"/>
        <v>2030</v>
      </c>
      <c r="I9" s="276">
        <f t="shared" si="1"/>
        <v>2031</v>
      </c>
      <c r="J9" s="276">
        <f t="shared" si="1"/>
        <v>2032</v>
      </c>
      <c r="K9" s="276">
        <f t="shared" si="1"/>
        <v>2033</v>
      </c>
      <c r="L9" s="276">
        <f t="shared" si="1"/>
        <v>2034</v>
      </c>
      <c r="M9" s="276">
        <f t="shared" si="1"/>
        <v>2035</v>
      </c>
      <c r="N9" s="276">
        <f t="shared" si="1"/>
        <v>2036</v>
      </c>
      <c r="O9" s="276">
        <f t="shared" si="1"/>
        <v>2037</v>
      </c>
      <c r="P9" s="276">
        <f t="shared" si="1"/>
        <v>2038</v>
      </c>
      <c r="Q9" s="276">
        <f t="shared" si="1"/>
        <v>2039</v>
      </c>
      <c r="R9" s="276">
        <f t="shared" si="1"/>
        <v>2040</v>
      </c>
      <c r="S9" s="276">
        <f t="shared" si="1"/>
        <v>2041</v>
      </c>
      <c r="T9" s="276">
        <f t="shared" si="1"/>
        <v>2042</v>
      </c>
      <c r="U9" s="276">
        <f t="shared" si="1"/>
        <v>2043</v>
      </c>
      <c r="V9" s="276">
        <f t="shared" si="1"/>
        <v>2044</v>
      </c>
      <c r="W9" s="276">
        <f t="shared" si="1"/>
        <v>2045</v>
      </c>
      <c r="X9" s="276">
        <f t="shared" si="1"/>
        <v>2046</v>
      </c>
      <c r="Y9" s="276">
        <f t="shared" si="1"/>
        <v>2047</v>
      </c>
      <c r="Z9" s="276">
        <f t="shared" si="1"/>
        <v>2048</v>
      </c>
      <c r="AA9" s="276">
        <f t="shared" si="1"/>
        <v>2049</v>
      </c>
      <c r="AB9" s="276">
        <f t="shared" si="1"/>
        <v>2050</v>
      </c>
      <c r="AC9" s="276">
        <f t="shared" si="1"/>
        <v>2051</v>
      </c>
      <c r="AD9" s="276">
        <f t="shared" si="1"/>
        <v>2052</v>
      </c>
      <c r="AE9" s="276">
        <f t="shared" si="1"/>
        <v>2053</v>
      </c>
      <c r="AF9" s="276">
        <f t="shared" si="1"/>
        <v>2054</v>
      </c>
      <c r="AG9" s="276">
        <f t="shared" si="1"/>
        <v>2055</v>
      </c>
      <c r="AH9" s="276">
        <f t="shared" si="1"/>
        <v>2056</v>
      </c>
      <c r="AI9" s="276">
        <f t="shared" si="1"/>
        <v>2057</v>
      </c>
      <c r="AJ9" s="276">
        <f t="shared" si="1"/>
        <v>2058</v>
      </c>
      <c r="AK9" s="276">
        <f t="shared" si="1"/>
        <v>2059</v>
      </c>
      <c r="AL9" s="276">
        <f t="shared" si="1"/>
        <v>2060</v>
      </c>
      <c r="AM9" s="276">
        <f t="shared" si="1"/>
        <v>2061</v>
      </c>
      <c r="AN9" s="276">
        <f t="shared" si="1"/>
        <v>2062</v>
      </c>
      <c r="AO9" s="276">
        <f t="shared" si="1"/>
        <v>2063</v>
      </c>
      <c r="AP9" s="276">
        <f t="shared" si="1"/>
        <v>2064</v>
      </c>
      <c r="AQ9" s="276">
        <f t="shared" si="1"/>
        <v>2065</v>
      </c>
      <c r="AR9" s="276">
        <f t="shared" si="1"/>
        <v>2066</v>
      </c>
      <c r="AS9" s="276">
        <f t="shared" si="1"/>
        <v>2067</v>
      </c>
      <c r="AT9" s="276">
        <f t="shared" si="1"/>
        <v>2068</v>
      </c>
      <c r="AU9" s="276">
        <f t="shared" si="1"/>
        <v>2069</v>
      </c>
      <c r="AV9" s="276">
        <f t="shared" si="1"/>
        <v>2070</v>
      </c>
      <c r="AW9" s="277">
        <f t="shared" si="1"/>
        <v>2071</v>
      </c>
    </row>
    <row r="10" spans="1:49" ht="14.25" customHeight="1">
      <c r="A10" s="1"/>
      <c r="B10" s="84"/>
      <c r="C10" s="278"/>
      <c r="D10" s="142">
        <f>'Assumptions &amp; Inputs'!P7</f>
        <v>46023</v>
      </c>
      <c r="E10" s="142">
        <f t="shared" ref="E10:AW10" si="2">DATE(E9, 12, 31)</f>
        <v>46752</v>
      </c>
      <c r="F10" s="142">
        <f t="shared" si="2"/>
        <v>47118</v>
      </c>
      <c r="G10" s="142">
        <f t="shared" si="2"/>
        <v>47483</v>
      </c>
      <c r="H10" s="142">
        <f t="shared" si="2"/>
        <v>47848</v>
      </c>
      <c r="I10" s="142">
        <f t="shared" si="2"/>
        <v>48213</v>
      </c>
      <c r="J10" s="142">
        <f t="shared" si="2"/>
        <v>48579</v>
      </c>
      <c r="K10" s="142">
        <f t="shared" si="2"/>
        <v>48944</v>
      </c>
      <c r="L10" s="142">
        <f t="shared" si="2"/>
        <v>49309</v>
      </c>
      <c r="M10" s="142">
        <f t="shared" si="2"/>
        <v>49674</v>
      </c>
      <c r="N10" s="142">
        <f t="shared" si="2"/>
        <v>50040</v>
      </c>
      <c r="O10" s="142">
        <f t="shared" si="2"/>
        <v>50405</v>
      </c>
      <c r="P10" s="142">
        <f t="shared" si="2"/>
        <v>50770</v>
      </c>
      <c r="Q10" s="142">
        <f t="shared" si="2"/>
        <v>51135</v>
      </c>
      <c r="R10" s="142">
        <f t="shared" si="2"/>
        <v>51501</v>
      </c>
      <c r="S10" s="142">
        <f t="shared" si="2"/>
        <v>51866</v>
      </c>
      <c r="T10" s="142">
        <f t="shared" si="2"/>
        <v>52231</v>
      </c>
      <c r="U10" s="142">
        <f t="shared" si="2"/>
        <v>52596</v>
      </c>
      <c r="V10" s="142">
        <f t="shared" si="2"/>
        <v>52962</v>
      </c>
      <c r="W10" s="142">
        <f t="shared" si="2"/>
        <v>53327</v>
      </c>
      <c r="X10" s="142">
        <f t="shared" si="2"/>
        <v>53692</v>
      </c>
      <c r="Y10" s="142">
        <f t="shared" si="2"/>
        <v>54057</v>
      </c>
      <c r="Z10" s="142">
        <f t="shared" si="2"/>
        <v>54423</v>
      </c>
      <c r="AA10" s="142">
        <f t="shared" si="2"/>
        <v>54788</v>
      </c>
      <c r="AB10" s="142">
        <f t="shared" si="2"/>
        <v>55153</v>
      </c>
      <c r="AC10" s="142">
        <f t="shared" si="2"/>
        <v>55518</v>
      </c>
      <c r="AD10" s="142">
        <f t="shared" si="2"/>
        <v>55884</v>
      </c>
      <c r="AE10" s="142">
        <f t="shared" si="2"/>
        <v>56249</v>
      </c>
      <c r="AF10" s="142">
        <f t="shared" si="2"/>
        <v>56614</v>
      </c>
      <c r="AG10" s="142">
        <f t="shared" si="2"/>
        <v>56979</v>
      </c>
      <c r="AH10" s="142">
        <f t="shared" si="2"/>
        <v>57345</v>
      </c>
      <c r="AI10" s="142">
        <f t="shared" si="2"/>
        <v>57710</v>
      </c>
      <c r="AJ10" s="142">
        <f t="shared" si="2"/>
        <v>58075</v>
      </c>
      <c r="AK10" s="142">
        <f t="shared" si="2"/>
        <v>58440</v>
      </c>
      <c r="AL10" s="142">
        <f t="shared" si="2"/>
        <v>58806</v>
      </c>
      <c r="AM10" s="142">
        <f t="shared" si="2"/>
        <v>59171</v>
      </c>
      <c r="AN10" s="142">
        <f t="shared" si="2"/>
        <v>59536</v>
      </c>
      <c r="AO10" s="142">
        <f t="shared" si="2"/>
        <v>59901</v>
      </c>
      <c r="AP10" s="142">
        <f t="shared" si="2"/>
        <v>60267</v>
      </c>
      <c r="AQ10" s="142">
        <f t="shared" si="2"/>
        <v>60632</v>
      </c>
      <c r="AR10" s="142">
        <f t="shared" si="2"/>
        <v>60997</v>
      </c>
      <c r="AS10" s="142">
        <f t="shared" si="2"/>
        <v>61362</v>
      </c>
      <c r="AT10" s="142">
        <f t="shared" si="2"/>
        <v>61728</v>
      </c>
      <c r="AU10" s="142">
        <f t="shared" si="2"/>
        <v>62093</v>
      </c>
      <c r="AV10" s="142">
        <f t="shared" si="2"/>
        <v>62458</v>
      </c>
      <c r="AW10" s="279">
        <f t="shared" si="2"/>
        <v>62823</v>
      </c>
    </row>
    <row r="11" spans="1:49" ht="14.25" customHeight="1">
      <c r="A11" s="1"/>
      <c r="B11" s="84"/>
      <c r="C11" s="280" t="s">
        <v>471</v>
      </c>
      <c r="D11" s="186">
        <f>IF(DATEDIF('Assumptions &amp; Inputs'!$P$7,DATE(YEAR('Assumptions &amp; Inputs'!$P$7),12,31),"m")&gt;'Assumptions &amp; Inputs'!$P$8, 'Assumptions &amp; Inputs'!$P$8, DATEDIF('Assumptions &amp; Inputs'!$P$7,DATE(YEAR('Assumptions &amp; Inputs'!$P$7),12,31),"m"))</f>
        <v>1</v>
      </c>
      <c r="E11" s="186">
        <f>IF('Assumptions &amp; Inputs'!$P$8-D12&lt;=12,MIN('Assumptions &amp; Inputs'!$P$8-D12,12), 12)</f>
        <v>0</v>
      </c>
      <c r="F11" s="186">
        <f>IF('Assumptions &amp; Inputs'!$P$8-E12&lt;=12,MIN('Assumptions &amp; Inputs'!$P$8-E12,12), 12)</f>
        <v>0</v>
      </c>
      <c r="G11" s="186">
        <f>IF('Assumptions &amp; Inputs'!$P$8-F12&lt;=12,MIN('Assumptions &amp; Inputs'!$P$8-F12,12), 12)</f>
        <v>0</v>
      </c>
      <c r="H11" s="186">
        <f>IF('Assumptions &amp; Inputs'!$P$8-G12&lt;=12,MIN('Assumptions &amp; Inputs'!$P$8-G12,12), 12)</f>
        <v>0</v>
      </c>
      <c r="I11" s="186">
        <f>IF('Assumptions &amp; Inputs'!$P$8-H12&lt;=12,MIN('Assumptions &amp; Inputs'!$P$8-H12,12), 12)</f>
        <v>0</v>
      </c>
      <c r="J11" s="186">
        <f>IF('Assumptions &amp; Inputs'!$P$8-I12&lt;=12,MIN('Assumptions &amp; Inputs'!$P$8-I12,12), 12)</f>
        <v>0</v>
      </c>
      <c r="K11" s="186">
        <f>IF('Assumptions &amp; Inputs'!$P$8-J12&lt;=12,MIN('Assumptions &amp; Inputs'!$P$8-J12,12), 12)</f>
        <v>0</v>
      </c>
      <c r="L11" s="186">
        <f>IF('Assumptions &amp; Inputs'!$P$8-K12&lt;=12,MIN('Assumptions &amp; Inputs'!$P$8-K12,12), 12)</f>
        <v>0</v>
      </c>
      <c r="M11" s="186">
        <f>IF('Assumptions &amp; Inputs'!$P$8-L12&lt;=12,MIN('Assumptions &amp; Inputs'!$P$8-L12,12), 12)</f>
        <v>0</v>
      </c>
      <c r="N11" s="186">
        <f>IF('Assumptions &amp; Inputs'!$P$8-M12&lt;=12,MIN('Assumptions &amp; Inputs'!$P$8-M12,12), 12)</f>
        <v>0</v>
      </c>
      <c r="O11" s="186">
        <f>IF('Assumptions &amp; Inputs'!$P$8-N12&lt;=12,MIN('Assumptions &amp; Inputs'!$P$8-N12,12), 12)</f>
        <v>0</v>
      </c>
      <c r="P11" s="186">
        <f>IF('Assumptions &amp; Inputs'!$P$8-O12&lt;=12,MIN('Assumptions &amp; Inputs'!$P$8-O12,12), 12)</f>
        <v>0</v>
      </c>
      <c r="Q11" s="186">
        <f>IF('Assumptions &amp; Inputs'!$P$8-P12&lt;=12,MIN('Assumptions &amp; Inputs'!$P$8-P12,12), 12)</f>
        <v>0</v>
      </c>
      <c r="R11" s="186">
        <f>IF('Assumptions &amp; Inputs'!$P$8-Q12&lt;=12,MIN('Assumptions &amp; Inputs'!$P$8-Q12,12), 12)</f>
        <v>0</v>
      </c>
      <c r="S11" s="186">
        <f>IF('Assumptions &amp; Inputs'!$P$8-R12&lt;=12,MIN('Assumptions &amp; Inputs'!$P$8-R12,12), 12)</f>
        <v>0</v>
      </c>
      <c r="T11" s="186">
        <f>IF('Assumptions &amp; Inputs'!$P$8-S12&lt;=12,MIN('Assumptions &amp; Inputs'!$P$8-S12,12), 12)</f>
        <v>0</v>
      </c>
      <c r="U11" s="186">
        <f>IF('Assumptions &amp; Inputs'!$P$8-T12&lt;=12,MIN('Assumptions &amp; Inputs'!$P$8-T12,12), 12)</f>
        <v>0</v>
      </c>
      <c r="V11" s="186">
        <f>IF('Assumptions &amp; Inputs'!$P$8-U12&lt;=12,MIN('Assumptions &amp; Inputs'!$P$8-U12,12), 12)</f>
        <v>0</v>
      </c>
      <c r="W11" s="186">
        <f>IF('Assumptions &amp; Inputs'!$P$8-V12&lt;=12,MIN('Assumptions &amp; Inputs'!$P$8-V12,12), 12)</f>
        <v>0</v>
      </c>
      <c r="X11" s="186">
        <f>IF('Assumptions &amp; Inputs'!$P$8-W12&lt;=12,MIN('Assumptions &amp; Inputs'!$P$8-W12,12), 12)</f>
        <v>0</v>
      </c>
      <c r="Y11" s="186">
        <f>IF('Assumptions &amp; Inputs'!$P$8-X12&lt;=12,MIN('Assumptions &amp; Inputs'!$P$8-X12,12), 12)</f>
        <v>0</v>
      </c>
      <c r="Z11" s="186">
        <f>IF('Assumptions &amp; Inputs'!$P$8-Y12&lt;=12,MIN('Assumptions &amp; Inputs'!$P$8-Y12,12), 12)</f>
        <v>0</v>
      </c>
      <c r="AA11" s="186">
        <f>IF('Assumptions &amp; Inputs'!$P$8-Z12&lt;=12,MIN('Assumptions &amp; Inputs'!$P$8-Z12,12), 12)</f>
        <v>0</v>
      </c>
      <c r="AB11" s="186">
        <f>IF('Assumptions &amp; Inputs'!$P$8-AA12&lt;=12,MIN('Assumptions &amp; Inputs'!$P$8-AA12,12), 12)</f>
        <v>0</v>
      </c>
      <c r="AC11" s="186">
        <f>IF('Assumptions &amp; Inputs'!$P$8-AB12&lt;=12,MIN('Assumptions &amp; Inputs'!$P$8-AB12,12), 12)</f>
        <v>0</v>
      </c>
      <c r="AD11" s="186">
        <f>IF('Assumptions &amp; Inputs'!$P$8-AC12&lt;=12,MIN('Assumptions &amp; Inputs'!$P$8-AC12,12), 12)</f>
        <v>0</v>
      </c>
      <c r="AE11" s="186">
        <f>IF('Assumptions &amp; Inputs'!$P$8-AD12&lt;=12,MIN('Assumptions &amp; Inputs'!$P$8-AD12,12), 12)</f>
        <v>0</v>
      </c>
      <c r="AF11" s="186">
        <f>IF('Assumptions &amp; Inputs'!$P$8-AE12&lt;=12,MIN('Assumptions &amp; Inputs'!$P$8-AE12,12), 12)</f>
        <v>0</v>
      </c>
      <c r="AG11" s="186">
        <f>IF('Assumptions &amp; Inputs'!$P$8-AF12&lt;=12,MIN('Assumptions &amp; Inputs'!$P$8-AF12,12), 12)</f>
        <v>0</v>
      </c>
      <c r="AH11" s="186">
        <f>IF('Assumptions &amp; Inputs'!$P$8-AG12&lt;=12,MIN('Assumptions &amp; Inputs'!$P$8-AG12,12), 12)</f>
        <v>0</v>
      </c>
      <c r="AI11" s="186">
        <f>IF('Assumptions &amp; Inputs'!$P$8-AH12&lt;=12,MIN('Assumptions &amp; Inputs'!$P$8-AH12,12), 12)</f>
        <v>0</v>
      </c>
      <c r="AJ11" s="186">
        <f>IF('Assumptions &amp; Inputs'!$P$8-AI12&lt;=12,MIN('Assumptions &amp; Inputs'!$P$8-AI12,12), 12)</f>
        <v>0</v>
      </c>
      <c r="AK11" s="186">
        <f>IF('Assumptions &amp; Inputs'!$P$8-AJ12&lt;=12,MIN('Assumptions &amp; Inputs'!$P$8-AJ12,12), 12)</f>
        <v>0</v>
      </c>
      <c r="AL11" s="186">
        <f>IF('Assumptions &amp; Inputs'!$P$8-AK12&lt;=12,MIN('Assumptions &amp; Inputs'!$P$8-AK12,12), 12)</f>
        <v>0</v>
      </c>
      <c r="AM11" s="186">
        <f>IF('Assumptions &amp; Inputs'!$P$8-AL12&lt;=12,MIN('Assumptions &amp; Inputs'!$P$8-AL12,12), 12)</f>
        <v>0</v>
      </c>
      <c r="AN11" s="186">
        <f>IF('Assumptions &amp; Inputs'!$P$8-AM12&lt;=12,MIN('Assumptions &amp; Inputs'!$P$8-AM12,12), 12)</f>
        <v>0</v>
      </c>
      <c r="AO11" s="186">
        <f>IF('Assumptions &amp; Inputs'!$P$8-AN12&lt;=12,MIN('Assumptions &amp; Inputs'!$P$8-AN12,12), 12)</f>
        <v>0</v>
      </c>
      <c r="AP11" s="186">
        <f>IF('Assumptions &amp; Inputs'!$P$8-AO12&lt;=12,MIN('Assumptions &amp; Inputs'!$P$8-AO12,12), 12)</f>
        <v>0</v>
      </c>
      <c r="AQ11" s="186">
        <f>IF('Assumptions &amp; Inputs'!$P$8-AP12&lt;=12,MIN('Assumptions &amp; Inputs'!$P$8-AP12,12), 12)</f>
        <v>0</v>
      </c>
      <c r="AR11" s="186">
        <f>IF('Assumptions &amp; Inputs'!$P$8-AQ12&lt;=12,MIN('Assumptions &amp; Inputs'!$P$8-AQ12,12), 12)</f>
        <v>0</v>
      </c>
      <c r="AS11" s="186">
        <f>IF('Assumptions &amp; Inputs'!$P$8-AR12&lt;=12,MIN('Assumptions &amp; Inputs'!$P$8-AR12,12), 12)</f>
        <v>0</v>
      </c>
      <c r="AT11" s="186">
        <f>IF('Assumptions &amp; Inputs'!$P$8-AS12&lt;=12,MIN('Assumptions &amp; Inputs'!$P$8-AS12,12), 12)</f>
        <v>0</v>
      </c>
      <c r="AU11" s="186">
        <f>IF('Assumptions &amp; Inputs'!$P$8-AT12&lt;=12,MIN('Assumptions &amp; Inputs'!$P$8-AT12,12), 12)</f>
        <v>0</v>
      </c>
      <c r="AV11" s="186">
        <f>IF('Assumptions &amp; Inputs'!$P$8-AU12&lt;=12,MIN('Assumptions &amp; Inputs'!$P$8-AU12,12), 12)</f>
        <v>0</v>
      </c>
      <c r="AW11" s="281">
        <f>IF('Assumptions &amp; Inputs'!$P$8-AV12&lt;=12,MIN('Assumptions &amp; Inputs'!$P$8-AV12,12), 12)</f>
        <v>0</v>
      </c>
    </row>
    <row r="12" spans="1:49" ht="14.25" customHeight="1">
      <c r="A12" s="1"/>
      <c r="B12" s="84"/>
      <c r="C12" s="280" t="s">
        <v>472</v>
      </c>
      <c r="D12" s="186">
        <f>D11</f>
        <v>1</v>
      </c>
      <c r="E12" s="186">
        <f t="shared" ref="E12:AW12" si="3">E11+D12</f>
        <v>1</v>
      </c>
      <c r="F12" s="186">
        <f t="shared" si="3"/>
        <v>1</v>
      </c>
      <c r="G12" s="186">
        <f t="shared" si="3"/>
        <v>1</v>
      </c>
      <c r="H12" s="186">
        <f t="shared" si="3"/>
        <v>1</v>
      </c>
      <c r="I12" s="186">
        <f t="shared" si="3"/>
        <v>1</v>
      </c>
      <c r="J12" s="186">
        <f t="shared" si="3"/>
        <v>1</v>
      </c>
      <c r="K12" s="186">
        <f t="shared" si="3"/>
        <v>1</v>
      </c>
      <c r="L12" s="186">
        <f t="shared" si="3"/>
        <v>1</v>
      </c>
      <c r="M12" s="186">
        <f t="shared" si="3"/>
        <v>1</v>
      </c>
      <c r="N12" s="186">
        <f t="shared" si="3"/>
        <v>1</v>
      </c>
      <c r="O12" s="186">
        <f t="shared" si="3"/>
        <v>1</v>
      </c>
      <c r="P12" s="186">
        <f t="shared" si="3"/>
        <v>1</v>
      </c>
      <c r="Q12" s="186">
        <f t="shared" si="3"/>
        <v>1</v>
      </c>
      <c r="R12" s="186">
        <f t="shared" si="3"/>
        <v>1</v>
      </c>
      <c r="S12" s="186">
        <f t="shared" si="3"/>
        <v>1</v>
      </c>
      <c r="T12" s="186">
        <f t="shared" si="3"/>
        <v>1</v>
      </c>
      <c r="U12" s="186">
        <f t="shared" si="3"/>
        <v>1</v>
      </c>
      <c r="V12" s="186">
        <f t="shared" si="3"/>
        <v>1</v>
      </c>
      <c r="W12" s="186">
        <f t="shared" si="3"/>
        <v>1</v>
      </c>
      <c r="X12" s="186">
        <f t="shared" si="3"/>
        <v>1</v>
      </c>
      <c r="Y12" s="186">
        <f t="shared" si="3"/>
        <v>1</v>
      </c>
      <c r="Z12" s="186">
        <f t="shared" si="3"/>
        <v>1</v>
      </c>
      <c r="AA12" s="186">
        <f t="shared" si="3"/>
        <v>1</v>
      </c>
      <c r="AB12" s="186">
        <f t="shared" si="3"/>
        <v>1</v>
      </c>
      <c r="AC12" s="186">
        <f t="shared" si="3"/>
        <v>1</v>
      </c>
      <c r="AD12" s="186">
        <f t="shared" si="3"/>
        <v>1</v>
      </c>
      <c r="AE12" s="186">
        <f t="shared" si="3"/>
        <v>1</v>
      </c>
      <c r="AF12" s="186">
        <f t="shared" si="3"/>
        <v>1</v>
      </c>
      <c r="AG12" s="186">
        <f t="shared" si="3"/>
        <v>1</v>
      </c>
      <c r="AH12" s="186">
        <f t="shared" si="3"/>
        <v>1</v>
      </c>
      <c r="AI12" s="186">
        <f t="shared" si="3"/>
        <v>1</v>
      </c>
      <c r="AJ12" s="186">
        <f t="shared" si="3"/>
        <v>1</v>
      </c>
      <c r="AK12" s="186">
        <f t="shared" si="3"/>
        <v>1</v>
      </c>
      <c r="AL12" s="186">
        <f t="shared" si="3"/>
        <v>1</v>
      </c>
      <c r="AM12" s="186">
        <f t="shared" si="3"/>
        <v>1</v>
      </c>
      <c r="AN12" s="186">
        <f t="shared" si="3"/>
        <v>1</v>
      </c>
      <c r="AO12" s="186">
        <f t="shared" si="3"/>
        <v>1</v>
      </c>
      <c r="AP12" s="186">
        <f t="shared" si="3"/>
        <v>1</v>
      </c>
      <c r="AQ12" s="186">
        <f t="shared" si="3"/>
        <v>1</v>
      </c>
      <c r="AR12" s="186">
        <f t="shared" si="3"/>
        <v>1</v>
      </c>
      <c r="AS12" s="186">
        <f t="shared" si="3"/>
        <v>1</v>
      </c>
      <c r="AT12" s="186">
        <f t="shared" si="3"/>
        <v>1</v>
      </c>
      <c r="AU12" s="186">
        <f t="shared" si="3"/>
        <v>1</v>
      </c>
      <c r="AV12" s="186">
        <f t="shared" si="3"/>
        <v>1</v>
      </c>
      <c r="AW12" s="281">
        <f t="shared" si="3"/>
        <v>1</v>
      </c>
    </row>
    <row r="13" spans="1:49" ht="14.25" customHeight="1">
      <c r="A13" s="1"/>
      <c r="B13" s="84"/>
      <c r="C13" s="278" t="s">
        <v>138</v>
      </c>
      <c r="D13" s="282">
        <f>-D$11/'Assumptions &amp; Inputs'!$P$8*'Assumptions &amp; Inputs'!$P$4*'Assumptions &amp; Inputs'!$P6/$E$3</f>
        <v>-39.200000000000003</v>
      </c>
      <c r="E13" s="282">
        <f>-E$11/'Assumptions &amp; Inputs'!$P$8*'Assumptions &amp; Inputs'!$P$4*'Assumptions &amp; Inputs'!$P6/$E$3</f>
        <v>0</v>
      </c>
      <c r="F13" s="282">
        <f>-F$11/'Assumptions &amp; Inputs'!$P$8*'Assumptions &amp; Inputs'!$P$4*'Assumptions &amp; Inputs'!$P6/$E$3</f>
        <v>0</v>
      </c>
      <c r="G13" s="282">
        <f>-G$11/'Assumptions &amp; Inputs'!$P$8*'Assumptions &amp; Inputs'!$P$4*'Assumptions &amp; Inputs'!$P6/$E$3</f>
        <v>0</v>
      </c>
      <c r="H13" s="282">
        <f>-H$11/'Assumptions &amp; Inputs'!$P$8*'Assumptions &amp; Inputs'!$P$4*'Assumptions &amp; Inputs'!$P6/$E$3</f>
        <v>0</v>
      </c>
      <c r="I13" s="282">
        <f>-I$11/'Assumptions &amp; Inputs'!$P$8*'Assumptions &amp; Inputs'!$P$4*'Assumptions &amp; Inputs'!$P6/$E$3</f>
        <v>0</v>
      </c>
      <c r="J13" s="282">
        <f>-J$11/'Assumptions &amp; Inputs'!$P$8*'Assumptions &amp; Inputs'!$P$4*'Assumptions &amp; Inputs'!$P6/$E$3</f>
        <v>0</v>
      </c>
      <c r="K13" s="282">
        <f>-K$11/'Assumptions &amp; Inputs'!$P$8*'Assumptions &amp; Inputs'!$P$4*'Assumptions &amp; Inputs'!$P6/$E$3</f>
        <v>0</v>
      </c>
      <c r="L13" s="282">
        <f>-L$11/'Assumptions &amp; Inputs'!$P$8*'Assumptions &amp; Inputs'!$P$4*'Assumptions &amp; Inputs'!$P6/$E$3</f>
        <v>0</v>
      </c>
      <c r="M13" s="282">
        <f>-M$11/'Assumptions &amp; Inputs'!$P$8*'Assumptions &amp; Inputs'!$P$4*'Assumptions &amp; Inputs'!$P6/$E$3</f>
        <v>0</v>
      </c>
      <c r="N13" s="282">
        <f>-N$11/'Assumptions &amp; Inputs'!$P$8*'Assumptions &amp; Inputs'!$P$4*'Assumptions &amp; Inputs'!$P6/$E$3</f>
        <v>0</v>
      </c>
      <c r="O13" s="282">
        <f>-O$11/'Assumptions &amp; Inputs'!$P$8*'Assumptions &amp; Inputs'!$P$4*'Assumptions &amp; Inputs'!$P6/$E$3</f>
        <v>0</v>
      </c>
      <c r="P13" s="282">
        <f>-P$11/'Assumptions &amp; Inputs'!$P$8*'Assumptions &amp; Inputs'!$P$4*'Assumptions &amp; Inputs'!$P6/$E$3</f>
        <v>0</v>
      </c>
      <c r="Q13" s="282">
        <f>-Q$11/'Assumptions &amp; Inputs'!$P$8*'Assumptions &amp; Inputs'!$P$4*'Assumptions &amp; Inputs'!$P6/$E$3</f>
        <v>0</v>
      </c>
      <c r="R13" s="282">
        <f>-R$11/'Assumptions &amp; Inputs'!$P$8*'Assumptions &amp; Inputs'!$P$4*'Assumptions &amp; Inputs'!$P6/$E$3</f>
        <v>0</v>
      </c>
      <c r="S13" s="282">
        <f>-S$11/'Assumptions &amp; Inputs'!$P$8*'Assumptions &amp; Inputs'!$P$4*'Assumptions &amp; Inputs'!$P6/$E$3</f>
        <v>0</v>
      </c>
      <c r="T13" s="282">
        <f>-T$11/'Assumptions &amp; Inputs'!$P$8*'Assumptions &amp; Inputs'!$P$4*'Assumptions &amp; Inputs'!$P6/$E$3</f>
        <v>0</v>
      </c>
      <c r="U13" s="282">
        <f>-U$11/'Assumptions &amp; Inputs'!$P$8*'Assumptions &amp; Inputs'!$P$4*'Assumptions &amp; Inputs'!$P6/$E$3</f>
        <v>0</v>
      </c>
      <c r="V13" s="282">
        <f>-V$11/'Assumptions &amp; Inputs'!$P$8*'Assumptions &amp; Inputs'!$P$4*'Assumptions &amp; Inputs'!$P6/$E$3</f>
        <v>0</v>
      </c>
      <c r="W13" s="282">
        <f>-W$11/'Assumptions &amp; Inputs'!$P$8*'Assumptions &amp; Inputs'!$P$4*'Assumptions &amp; Inputs'!$P6/$E$3</f>
        <v>0</v>
      </c>
      <c r="X13" s="282">
        <f>-X$11/'Assumptions &amp; Inputs'!$P$8*'Assumptions &amp; Inputs'!$P$4*'Assumptions &amp; Inputs'!$P6/$E$3</f>
        <v>0</v>
      </c>
      <c r="Y13" s="282">
        <f>-Y$11/'Assumptions &amp; Inputs'!$P$8*'Assumptions &amp; Inputs'!$P$4*'Assumptions &amp; Inputs'!$P6/$E$3</f>
        <v>0</v>
      </c>
      <c r="Z13" s="282">
        <f>-Z$11/'Assumptions &amp; Inputs'!$P$8*'Assumptions &amp; Inputs'!$P$4*'Assumptions &amp; Inputs'!$P6/$E$3</f>
        <v>0</v>
      </c>
      <c r="AA13" s="282">
        <f>-AA$11/'Assumptions &amp; Inputs'!$P$8*'Assumptions &amp; Inputs'!$P$4*'Assumptions &amp; Inputs'!$P6/$E$3</f>
        <v>0</v>
      </c>
      <c r="AB13" s="282">
        <f>-AB$11/'Assumptions &amp; Inputs'!$P$8*'Assumptions &amp; Inputs'!$P$4*'Assumptions &amp; Inputs'!$P6/$E$3</f>
        <v>0</v>
      </c>
      <c r="AC13" s="282">
        <f>-AC$11/'Assumptions &amp; Inputs'!$P$8*'Assumptions &amp; Inputs'!$P$4*'Assumptions &amp; Inputs'!$P6/$E$3</f>
        <v>0</v>
      </c>
      <c r="AD13" s="282">
        <f>-AD$11/'Assumptions &amp; Inputs'!$P$8*'Assumptions &amp; Inputs'!$P$4*'Assumptions &amp; Inputs'!$P6/$E$3</f>
        <v>0</v>
      </c>
      <c r="AE13" s="282">
        <f>-AE$11/'Assumptions &amp; Inputs'!$P$8*'Assumptions &amp; Inputs'!$P$4*'Assumptions &amp; Inputs'!$P6/$E$3</f>
        <v>0</v>
      </c>
      <c r="AF13" s="282">
        <f>-AF$11/'Assumptions &amp; Inputs'!$P$8*'Assumptions &amp; Inputs'!$P$4*'Assumptions &amp; Inputs'!$P6/$E$3</f>
        <v>0</v>
      </c>
      <c r="AG13" s="282">
        <f>-AG$11/'Assumptions &amp; Inputs'!$P$8*'Assumptions &amp; Inputs'!$P$4*'Assumptions &amp; Inputs'!$P6/$E$3</f>
        <v>0</v>
      </c>
      <c r="AH13" s="282">
        <f>-AH$11/'Assumptions &amp; Inputs'!$P$8*'Assumptions &amp; Inputs'!$P$4*'Assumptions &amp; Inputs'!$P6/$E$3</f>
        <v>0</v>
      </c>
      <c r="AI13" s="282">
        <f>-AI$11/'Assumptions &amp; Inputs'!$P$8*'Assumptions &amp; Inputs'!$P$4*'Assumptions &amp; Inputs'!$P6/$E$3</f>
        <v>0</v>
      </c>
      <c r="AJ13" s="282">
        <f>-AJ$11/'Assumptions &amp; Inputs'!$P$8*'Assumptions &amp; Inputs'!$P$4*'Assumptions &amp; Inputs'!$P6/$E$3</f>
        <v>0</v>
      </c>
      <c r="AK13" s="282">
        <f>-AK$11/'Assumptions &amp; Inputs'!$P$8*'Assumptions &amp; Inputs'!$P$4*'Assumptions &amp; Inputs'!$P6/$E$3</f>
        <v>0</v>
      </c>
      <c r="AL13" s="282">
        <f>-AL$11/'Assumptions &amp; Inputs'!$P$8*'Assumptions &amp; Inputs'!$P$4*'Assumptions &amp; Inputs'!$P6/$E$3</f>
        <v>0</v>
      </c>
      <c r="AM13" s="282">
        <f>-AM$11/'Assumptions &amp; Inputs'!$P$8*'Assumptions &amp; Inputs'!$P$4*'Assumptions &amp; Inputs'!$P6/$E$3</f>
        <v>0</v>
      </c>
      <c r="AN13" s="282">
        <f>-AN$11/'Assumptions &amp; Inputs'!$P$8*'Assumptions &amp; Inputs'!$P$4*'Assumptions &amp; Inputs'!$P6/$E$3</f>
        <v>0</v>
      </c>
      <c r="AO13" s="282">
        <f>-AO$11/'Assumptions &amp; Inputs'!$P$8*'Assumptions &amp; Inputs'!$P$4*'Assumptions &amp; Inputs'!$P6/$E$3</f>
        <v>0</v>
      </c>
      <c r="AP13" s="282">
        <f>-AP$11/'Assumptions &amp; Inputs'!$P$8*'Assumptions &amp; Inputs'!$P$4*'Assumptions &amp; Inputs'!$P6/$E$3</f>
        <v>0</v>
      </c>
      <c r="AQ13" s="282">
        <f>-AQ$11/'Assumptions &amp; Inputs'!$P$8*'Assumptions &amp; Inputs'!$P$4*'Assumptions &amp; Inputs'!$P6/$E$3</f>
        <v>0</v>
      </c>
      <c r="AR13" s="282">
        <f>-AR$11/'Assumptions &amp; Inputs'!$P$8*'Assumptions &amp; Inputs'!$P$4*'Assumptions &amp; Inputs'!$P6/$E$3</f>
        <v>0</v>
      </c>
      <c r="AS13" s="282">
        <f>-AS$11/'Assumptions &amp; Inputs'!$P$8*'Assumptions &amp; Inputs'!$P$4*'Assumptions &amp; Inputs'!$P6/$E$3</f>
        <v>0</v>
      </c>
      <c r="AT13" s="282">
        <f>-AT$11/'Assumptions &amp; Inputs'!$P$8*'Assumptions &amp; Inputs'!$P$4*'Assumptions &amp; Inputs'!$P6/$E$3</f>
        <v>0</v>
      </c>
      <c r="AU13" s="282">
        <f>-AU$11/'Assumptions &amp; Inputs'!$P$8*'Assumptions &amp; Inputs'!$P$4*'Assumptions &amp; Inputs'!$P6/$E$3</f>
        <v>0</v>
      </c>
      <c r="AV13" s="282">
        <f>-AV$11/'Assumptions &amp; Inputs'!$P$8*'Assumptions &amp; Inputs'!$P$4*'Assumptions &amp; Inputs'!$P6/$E$3</f>
        <v>0</v>
      </c>
      <c r="AW13" s="283">
        <f>-AW$11/'Assumptions &amp; Inputs'!$P$8*'Assumptions &amp; Inputs'!$P$4*'Assumptions &amp; Inputs'!$P6/$E$3</f>
        <v>0</v>
      </c>
    </row>
    <row r="14" spans="1:49" ht="13.5" customHeight="1">
      <c r="A14" s="1"/>
      <c r="B14" s="84"/>
      <c r="C14" s="278" t="s">
        <v>473</v>
      </c>
      <c r="D14" s="282">
        <f>-D$11/'Assumptions &amp; Inputs'!$P$8*'Assumptions &amp; Inputs'!$P$4*'Assumptions &amp; Inputs'!$P15/$E$3*'Assumptions &amp; Inputs'!$P16</f>
        <v>0</v>
      </c>
      <c r="E14" s="282">
        <f>-E$11/'Assumptions &amp; Inputs'!$P$8*'Assumptions &amp; Inputs'!$P$4*'Assumptions &amp; Inputs'!$P15/$E$3</f>
        <v>0</v>
      </c>
      <c r="F14" s="282">
        <f>-F$11/'Assumptions &amp; Inputs'!$P$8*'Assumptions &amp; Inputs'!$P$4*'Assumptions &amp; Inputs'!$P15/$E$3</f>
        <v>0</v>
      </c>
      <c r="G14" s="282">
        <f>-G$11/'Assumptions &amp; Inputs'!$P$8*'Assumptions &amp; Inputs'!$P$4*'Assumptions &amp; Inputs'!$P15/$E$3</f>
        <v>0</v>
      </c>
      <c r="H14" s="282">
        <f>-H$11/'Assumptions &amp; Inputs'!$P$8*'Assumptions &amp; Inputs'!$P$4*'Assumptions &amp; Inputs'!$P15/$E$3</f>
        <v>0</v>
      </c>
      <c r="I14" s="282">
        <f>-I$11/'Assumptions &amp; Inputs'!$P$8*'Assumptions &amp; Inputs'!$P$4*'Assumptions &amp; Inputs'!$P15/$E$3</f>
        <v>0</v>
      </c>
      <c r="J14" s="282">
        <f>-J$11/'Assumptions &amp; Inputs'!$P$8*'Assumptions &amp; Inputs'!$P$4*'Assumptions &amp; Inputs'!$P15/$E$3</f>
        <v>0</v>
      </c>
      <c r="K14" s="282">
        <f>-K$11/'Assumptions &amp; Inputs'!$P$8*'Assumptions &amp; Inputs'!$P$4*'Assumptions &amp; Inputs'!$P15/$E$3</f>
        <v>0</v>
      </c>
      <c r="L14" s="282">
        <f>-L$11/'Assumptions &amp; Inputs'!$P$8*'Assumptions &amp; Inputs'!$P$4*'Assumptions &amp; Inputs'!$P15/$E$3</f>
        <v>0</v>
      </c>
      <c r="M14" s="282">
        <f>-M$11/'Assumptions &amp; Inputs'!$P$8*'Assumptions &amp; Inputs'!$P$4*'Assumptions &amp; Inputs'!$P15/$E$3</f>
        <v>0</v>
      </c>
      <c r="N14" s="282">
        <f>-N$11/'Assumptions &amp; Inputs'!$P$8*'Assumptions &amp; Inputs'!$P$4*'Assumptions &amp; Inputs'!$P15/$E$3</f>
        <v>0</v>
      </c>
      <c r="O14" s="282">
        <f>-O$11/'Assumptions &amp; Inputs'!$P$8*'Assumptions &amp; Inputs'!$P$4*'Assumptions &amp; Inputs'!$P15/$E$3</f>
        <v>0</v>
      </c>
      <c r="P14" s="282">
        <f>-P$11/'Assumptions &amp; Inputs'!$P$8*'Assumptions &amp; Inputs'!$P$4*'Assumptions &amp; Inputs'!$P15/$E$3</f>
        <v>0</v>
      </c>
      <c r="Q14" s="282">
        <f>-Q$11/'Assumptions &amp; Inputs'!$P$8*'Assumptions &amp; Inputs'!$P$4*'Assumptions &amp; Inputs'!$P15/$E$3</f>
        <v>0</v>
      </c>
      <c r="R14" s="282">
        <f>-R$11/'Assumptions &amp; Inputs'!$P$8*'Assumptions &amp; Inputs'!$P$4*'Assumptions &amp; Inputs'!$P15/$E$3</f>
        <v>0</v>
      </c>
      <c r="S14" s="282">
        <f>-S$11/'Assumptions &amp; Inputs'!$P$8*'Assumptions &amp; Inputs'!$P$4*'Assumptions &amp; Inputs'!$P15/$E$3</f>
        <v>0</v>
      </c>
      <c r="T14" s="282">
        <f>-T$11/'Assumptions &amp; Inputs'!$P$8*'Assumptions &amp; Inputs'!$P$4*'Assumptions &amp; Inputs'!$P15/$E$3</f>
        <v>0</v>
      </c>
      <c r="U14" s="282">
        <f>-U$11/'Assumptions &amp; Inputs'!$P$8*'Assumptions &amp; Inputs'!$P$4*'Assumptions &amp; Inputs'!$P15/$E$3</f>
        <v>0</v>
      </c>
      <c r="V14" s="282">
        <f>-V$11/'Assumptions &amp; Inputs'!$P$8*'Assumptions &amp; Inputs'!$P$4*'Assumptions &amp; Inputs'!$P15/$E$3</f>
        <v>0</v>
      </c>
      <c r="W14" s="282">
        <f>-W$11/'Assumptions &amp; Inputs'!$P$8*'Assumptions &amp; Inputs'!$P$4*'Assumptions &amp; Inputs'!$P15/$E$3</f>
        <v>0</v>
      </c>
      <c r="X14" s="282">
        <f>-X$11/'Assumptions &amp; Inputs'!$P$8*'Assumptions &amp; Inputs'!$P$4*'Assumptions &amp; Inputs'!$P15/$E$3</f>
        <v>0</v>
      </c>
      <c r="Y14" s="282">
        <f>-Y$11/'Assumptions &amp; Inputs'!$P$8*'Assumptions &amp; Inputs'!$P$4*'Assumptions &amp; Inputs'!$P15/$E$3</f>
        <v>0</v>
      </c>
      <c r="Z14" s="282">
        <f>-Z$11/'Assumptions &amp; Inputs'!$P$8*'Assumptions &amp; Inputs'!$P$4*'Assumptions &amp; Inputs'!$P15/$E$3</f>
        <v>0</v>
      </c>
      <c r="AA14" s="282">
        <f>-AA$11/'Assumptions &amp; Inputs'!$P$8*'Assumptions &amp; Inputs'!$P$4*'Assumptions &amp; Inputs'!$P15/$E$3</f>
        <v>0</v>
      </c>
      <c r="AB14" s="282">
        <f>-AB$11/'Assumptions &amp; Inputs'!$P$8*'Assumptions &amp; Inputs'!$P$4*'Assumptions &amp; Inputs'!$P15/$E$3</f>
        <v>0</v>
      </c>
      <c r="AC14" s="282">
        <f>-AC$11/'Assumptions &amp; Inputs'!$P$8*'Assumptions &amp; Inputs'!$P$4*'Assumptions &amp; Inputs'!$P15/$E$3</f>
        <v>0</v>
      </c>
      <c r="AD14" s="282">
        <f>-AD$11/'Assumptions &amp; Inputs'!$P$8*'Assumptions &amp; Inputs'!$P$4*'Assumptions &amp; Inputs'!$P15/$E$3</f>
        <v>0</v>
      </c>
      <c r="AE14" s="282">
        <f>-AE$11/'Assumptions &amp; Inputs'!$P$8*'Assumptions &amp; Inputs'!$P$4*'Assumptions &amp; Inputs'!$P15/$E$3</f>
        <v>0</v>
      </c>
      <c r="AF14" s="282">
        <f>-AF$11/'Assumptions &amp; Inputs'!$P$8*'Assumptions &amp; Inputs'!$P$4*'Assumptions &amp; Inputs'!$P15/$E$3</f>
        <v>0</v>
      </c>
      <c r="AG14" s="282">
        <f>-AG$11/'Assumptions &amp; Inputs'!$P$8*'Assumptions &amp; Inputs'!$P$4*'Assumptions &amp; Inputs'!$P15/$E$3</f>
        <v>0</v>
      </c>
      <c r="AH14" s="282">
        <f>-AH$11/'Assumptions &amp; Inputs'!$P$8*'Assumptions &amp; Inputs'!$P$4*'Assumptions &amp; Inputs'!$P15/$E$3</f>
        <v>0</v>
      </c>
      <c r="AI14" s="282">
        <f>-AI$11/'Assumptions &amp; Inputs'!$P$8*'Assumptions &amp; Inputs'!$P$4*'Assumptions &amp; Inputs'!$P15/$E$3</f>
        <v>0</v>
      </c>
      <c r="AJ14" s="282">
        <f>-AJ$11/'Assumptions &amp; Inputs'!$P$8*'Assumptions &amp; Inputs'!$P$4*'Assumptions &amp; Inputs'!$P15/$E$3</f>
        <v>0</v>
      </c>
      <c r="AK14" s="282">
        <f>-AK$11/'Assumptions &amp; Inputs'!$P$8*'Assumptions &amp; Inputs'!$P$4*'Assumptions &amp; Inputs'!$P15/$E$3</f>
        <v>0</v>
      </c>
      <c r="AL14" s="282">
        <f>-AL$11/'Assumptions &amp; Inputs'!$P$8*'Assumptions &amp; Inputs'!$P$4*'Assumptions &amp; Inputs'!$P15/$E$3</f>
        <v>0</v>
      </c>
      <c r="AM14" s="282">
        <f>-AM$11/'Assumptions &amp; Inputs'!$P$8*'Assumptions &amp; Inputs'!$P$4*'Assumptions &amp; Inputs'!$P15/$E$3</f>
        <v>0</v>
      </c>
      <c r="AN14" s="282">
        <f>-AN$11/'Assumptions &amp; Inputs'!$P$8*'Assumptions &amp; Inputs'!$P$4*'Assumptions &amp; Inputs'!$P15/$E$3</f>
        <v>0</v>
      </c>
      <c r="AO14" s="282">
        <f>-AO$11/'Assumptions &amp; Inputs'!$P$8*'Assumptions &amp; Inputs'!$P$4*'Assumptions &amp; Inputs'!$P15/$E$3</f>
        <v>0</v>
      </c>
      <c r="AP14" s="282">
        <f>-AP$11/'Assumptions &amp; Inputs'!$P$8*'Assumptions &amp; Inputs'!$P$4*'Assumptions &amp; Inputs'!$P15/$E$3</f>
        <v>0</v>
      </c>
      <c r="AQ14" s="282">
        <f>-AQ$11/'Assumptions &amp; Inputs'!$P$8*'Assumptions &amp; Inputs'!$P$4*'Assumptions &amp; Inputs'!$P15/$E$3</f>
        <v>0</v>
      </c>
      <c r="AR14" s="282">
        <f>-AR$11/'Assumptions &amp; Inputs'!$P$8*'Assumptions &amp; Inputs'!$P$4*'Assumptions &amp; Inputs'!$P15/$E$3</f>
        <v>0</v>
      </c>
      <c r="AS14" s="282">
        <f>-AS$11/'Assumptions &amp; Inputs'!$P$8*'Assumptions &amp; Inputs'!$P$4*'Assumptions &amp; Inputs'!$P15/$E$3</f>
        <v>0</v>
      </c>
      <c r="AT14" s="282">
        <f>-AT$11/'Assumptions &amp; Inputs'!$P$8*'Assumptions &amp; Inputs'!$P$4*'Assumptions &amp; Inputs'!$P15/$E$3</f>
        <v>0</v>
      </c>
      <c r="AU14" s="282">
        <f>-AU$11/'Assumptions &amp; Inputs'!$P$8*'Assumptions &amp; Inputs'!$P$4*'Assumptions &amp; Inputs'!$P15/$E$3</f>
        <v>0</v>
      </c>
      <c r="AV14" s="282">
        <f>-AV$11/'Assumptions &amp; Inputs'!$P$8*'Assumptions &amp; Inputs'!$P$4*'Assumptions &amp; Inputs'!$P15/$E$3</f>
        <v>0</v>
      </c>
      <c r="AW14" s="283">
        <f>-AW$11/'Assumptions &amp; Inputs'!$P$8*'Assumptions &amp; Inputs'!$P$4*'Assumptions &amp; Inputs'!$P15/$E$3</f>
        <v>0</v>
      </c>
    </row>
    <row r="15" spans="1:49" ht="13.5" customHeight="1">
      <c r="A15" s="1"/>
      <c r="B15" s="84"/>
      <c r="C15" s="278" t="s">
        <v>474</v>
      </c>
      <c r="D15" s="282">
        <f>-D$11/'Assumptions &amp; Inputs'!$P$8*'Assumptions &amp; Inputs'!$P$4*'Assumptions &amp; Inputs'!$P10/$E$3*'Assumptions &amp; Inputs'!$P11</f>
        <v>-8.4</v>
      </c>
      <c r="E15" s="282">
        <f>-E$11/'Assumptions &amp; Inputs'!$P$8*'Assumptions &amp; Inputs'!$P$4*'Assumptions &amp; Inputs'!$P10/$E$3</f>
        <v>0</v>
      </c>
      <c r="F15" s="282">
        <f>-F$11/'Assumptions &amp; Inputs'!$P$8*'Assumptions &amp; Inputs'!$P$4*'Assumptions &amp; Inputs'!$P10/$E$3</f>
        <v>0</v>
      </c>
      <c r="G15" s="282">
        <f>-G$11/'Assumptions &amp; Inputs'!$P$8*'Assumptions &amp; Inputs'!$P$4*'Assumptions &amp; Inputs'!$P10/$E$3</f>
        <v>0</v>
      </c>
      <c r="H15" s="282">
        <f>-H$11/'Assumptions &amp; Inputs'!$P$8*'Assumptions &amp; Inputs'!$P$4*'Assumptions &amp; Inputs'!$P10/$E$3</f>
        <v>0</v>
      </c>
      <c r="I15" s="282">
        <f>-I$11/'Assumptions &amp; Inputs'!$P$8*'Assumptions &amp; Inputs'!$P$4*'Assumptions &amp; Inputs'!$P10/$E$3</f>
        <v>0</v>
      </c>
      <c r="J15" s="282">
        <f>-J$11/'Assumptions &amp; Inputs'!$P$8*'Assumptions &amp; Inputs'!$P$4*'Assumptions &amp; Inputs'!$P10/$E$3</f>
        <v>0</v>
      </c>
      <c r="K15" s="282">
        <f>-K$11/'Assumptions &amp; Inputs'!$P$8*'Assumptions &amp; Inputs'!$P$4*'Assumptions &amp; Inputs'!$P10/$E$3</f>
        <v>0</v>
      </c>
      <c r="L15" s="282">
        <f>-L$11/'Assumptions &amp; Inputs'!$P$8*'Assumptions &amp; Inputs'!$P$4*'Assumptions &amp; Inputs'!$P10/$E$3</f>
        <v>0</v>
      </c>
      <c r="M15" s="282">
        <f>-M$11/'Assumptions &amp; Inputs'!$P$8*'Assumptions &amp; Inputs'!$P$4*'Assumptions &amp; Inputs'!$P10/$E$3</f>
        <v>0</v>
      </c>
      <c r="N15" s="282">
        <f>-N$11/'Assumptions &amp; Inputs'!$P$8*'Assumptions &amp; Inputs'!$P$4*'Assumptions &amp; Inputs'!$P10/$E$3</f>
        <v>0</v>
      </c>
      <c r="O15" s="282">
        <f>-O$11/'Assumptions &amp; Inputs'!$P$8*'Assumptions &amp; Inputs'!$P$4*'Assumptions &amp; Inputs'!$P10/$E$3</f>
        <v>0</v>
      </c>
      <c r="P15" s="282">
        <f>-P$11/'Assumptions &amp; Inputs'!$P$8*'Assumptions &amp; Inputs'!$P$4*'Assumptions &amp; Inputs'!$P10/$E$3</f>
        <v>0</v>
      </c>
      <c r="Q15" s="282">
        <f>-Q$11/'Assumptions &amp; Inputs'!$P$8*'Assumptions &amp; Inputs'!$P$4*'Assumptions &amp; Inputs'!$P10/$E$3</f>
        <v>0</v>
      </c>
      <c r="R15" s="282">
        <f>-R$11/'Assumptions &amp; Inputs'!$P$8*'Assumptions &amp; Inputs'!$P$4*'Assumptions &amp; Inputs'!$P10/$E$3</f>
        <v>0</v>
      </c>
      <c r="S15" s="282">
        <f>-S$11/'Assumptions &amp; Inputs'!$P$8*'Assumptions &amp; Inputs'!$P$4*'Assumptions &amp; Inputs'!$P10/$E$3</f>
        <v>0</v>
      </c>
      <c r="T15" s="282">
        <f>-T$11/'Assumptions &amp; Inputs'!$P$8*'Assumptions &amp; Inputs'!$P$4*'Assumptions &amp; Inputs'!$P10/$E$3</f>
        <v>0</v>
      </c>
      <c r="U15" s="282">
        <f>-U$11/'Assumptions &amp; Inputs'!$P$8*'Assumptions &amp; Inputs'!$P$4*'Assumptions &amp; Inputs'!$P10/$E$3</f>
        <v>0</v>
      </c>
      <c r="V15" s="282">
        <f>-V$11/'Assumptions &amp; Inputs'!$P$8*'Assumptions &amp; Inputs'!$P$4*'Assumptions &amp; Inputs'!$P10/$E$3</f>
        <v>0</v>
      </c>
      <c r="W15" s="282">
        <f>-W$11/'Assumptions &amp; Inputs'!$P$8*'Assumptions &amp; Inputs'!$P$4*'Assumptions &amp; Inputs'!$P10/$E$3</f>
        <v>0</v>
      </c>
      <c r="X15" s="282">
        <f>-X$11/'Assumptions &amp; Inputs'!$P$8*'Assumptions &amp; Inputs'!$P$4*'Assumptions &amp; Inputs'!$P10/$E$3</f>
        <v>0</v>
      </c>
      <c r="Y15" s="282">
        <f>-Y$11/'Assumptions &amp; Inputs'!$P$8*'Assumptions &amp; Inputs'!$P$4*'Assumptions &amp; Inputs'!$P10/$E$3</f>
        <v>0</v>
      </c>
      <c r="Z15" s="282">
        <f>-Z$11/'Assumptions &amp; Inputs'!$P$8*'Assumptions &amp; Inputs'!$P$4*'Assumptions &amp; Inputs'!$P10/$E$3</f>
        <v>0</v>
      </c>
      <c r="AA15" s="282">
        <f>-AA$11/'Assumptions &amp; Inputs'!$P$8*'Assumptions &amp; Inputs'!$P$4*'Assumptions &amp; Inputs'!$P10/$E$3</f>
        <v>0</v>
      </c>
      <c r="AB15" s="282">
        <f>-AB$11/'Assumptions &amp; Inputs'!$P$8*'Assumptions &amp; Inputs'!$P$4*'Assumptions &amp; Inputs'!$P10/$E$3</f>
        <v>0</v>
      </c>
      <c r="AC15" s="282">
        <f>-AC$11/'Assumptions &amp; Inputs'!$P$8*'Assumptions &amp; Inputs'!$P$4*'Assumptions &amp; Inputs'!$P10/$E$3</f>
        <v>0</v>
      </c>
      <c r="AD15" s="282">
        <f>-AD$11/'Assumptions &amp; Inputs'!$P$8*'Assumptions &amp; Inputs'!$P$4*'Assumptions &amp; Inputs'!$P10/$E$3</f>
        <v>0</v>
      </c>
      <c r="AE15" s="282">
        <f>-AE$11/'Assumptions &amp; Inputs'!$P$8*'Assumptions &amp; Inputs'!$P$4*'Assumptions &amp; Inputs'!$P10/$E$3</f>
        <v>0</v>
      </c>
      <c r="AF15" s="282">
        <f>-AF$11/'Assumptions &amp; Inputs'!$P$8*'Assumptions &amp; Inputs'!$P$4*'Assumptions &amp; Inputs'!$P10/$E$3</f>
        <v>0</v>
      </c>
      <c r="AG15" s="282">
        <f>-AG$11/'Assumptions &amp; Inputs'!$P$8*'Assumptions &amp; Inputs'!$P$4*'Assumptions &amp; Inputs'!$P10/$E$3</f>
        <v>0</v>
      </c>
      <c r="AH15" s="282">
        <f>-AH$11/'Assumptions &amp; Inputs'!$P$8*'Assumptions &amp; Inputs'!$P$4*'Assumptions &amp; Inputs'!$P10/$E$3</f>
        <v>0</v>
      </c>
      <c r="AI15" s="282">
        <f>-AI$11/'Assumptions &amp; Inputs'!$P$8*'Assumptions &amp; Inputs'!$P$4*'Assumptions &amp; Inputs'!$P10/$E$3</f>
        <v>0</v>
      </c>
      <c r="AJ15" s="282">
        <f>-AJ$11/'Assumptions &amp; Inputs'!$P$8*'Assumptions &amp; Inputs'!$P$4*'Assumptions &amp; Inputs'!$P10/$E$3</f>
        <v>0</v>
      </c>
      <c r="AK15" s="282">
        <f>-AK$11/'Assumptions &amp; Inputs'!$P$8*'Assumptions &amp; Inputs'!$P$4*'Assumptions &amp; Inputs'!$P10/$E$3</f>
        <v>0</v>
      </c>
      <c r="AL15" s="282">
        <f>-AL$11/'Assumptions &amp; Inputs'!$P$8*'Assumptions &amp; Inputs'!$P$4*'Assumptions &amp; Inputs'!$P10/$E$3</f>
        <v>0</v>
      </c>
      <c r="AM15" s="282">
        <f>-AM$11/'Assumptions &amp; Inputs'!$P$8*'Assumptions &amp; Inputs'!$P$4*'Assumptions &amp; Inputs'!$P10/$E$3</f>
        <v>0</v>
      </c>
      <c r="AN15" s="282">
        <f>-AN$11/'Assumptions &amp; Inputs'!$P$8*'Assumptions &amp; Inputs'!$P$4*'Assumptions &amp; Inputs'!$P10/$E$3</f>
        <v>0</v>
      </c>
      <c r="AO15" s="282">
        <f>-AO$11/'Assumptions &amp; Inputs'!$P$8*'Assumptions &amp; Inputs'!$P$4*'Assumptions &amp; Inputs'!$P10/$E$3</f>
        <v>0</v>
      </c>
      <c r="AP15" s="282">
        <f>-AP$11/'Assumptions &amp; Inputs'!$P$8*'Assumptions &amp; Inputs'!$P$4*'Assumptions &amp; Inputs'!$P10/$E$3</f>
        <v>0</v>
      </c>
      <c r="AQ15" s="282">
        <f>-AQ$11/'Assumptions &amp; Inputs'!$P$8*'Assumptions &amp; Inputs'!$P$4*'Assumptions &amp; Inputs'!$P10/$E$3</f>
        <v>0</v>
      </c>
      <c r="AR15" s="282">
        <f>-AR$11/'Assumptions &amp; Inputs'!$P$8*'Assumptions &amp; Inputs'!$P$4*'Assumptions &amp; Inputs'!$P10/$E$3</f>
        <v>0</v>
      </c>
      <c r="AS15" s="282">
        <f>-AS$11/'Assumptions &amp; Inputs'!$P$8*'Assumptions &amp; Inputs'!$P$4*'Assumptions &amp; Inputs'!$P10/$E$3</f>
        <v>0</v>
      </c>
      <c r="AT15" s="282">
        <f>-AT$11/'Assumptions &amp; Inputs'!$P$8*'Assumptions &amp; Inputs'!$P$4*'Assumptions &amp; Inputs'!$P10/$E$3</f>
        <v>0</v>
      </c>
      <c r="AU15" s="282">
        <f>-AU$11/'Assumptions &amp; Inputs'!$P$8*'Assumptions &amp; Inputs'!$P$4*'Assumptions &amp; Inputs'!$P10/$E$3</f>
        <v>0</v>
      </c>
      <c r="AV15" s="282">
        <f>-AV$11/'Assumptions &amp; Inputs'!$P$8*'Assumptions &amp; Inputs'!$P$4*'Assumptions &amp; Inputs'!$P10/$E$3</f>
        <v>0</v>
      </c>
      <c r="AW15" s="283">
        <f>-AW$11/'Assumptions &amp; Inputs'!$P$8*'Assumptions &amp; Inputs'!$P$4*'Assumptions &amp; Inputs'!$P10/$E$3</f>
        <v>0</v>
      </c>
    </row>
    <row r="17" spans="1:49" ht="14.25" customHeight="1">
      <c r="A17" s="1"/>
      <c r="B17" s="84"/>
      <c r="C17" s="284" t="s">
        <v>359</v>
      </c>
      <c r="D17" s="517">
        <f>SUM(D13:D15)</f>
        <v>-47.6</v>
      </c>
      <c r="E17" s="517">
        <f t="shared" ref="E17:AW17" si="4">SUM(E13:E15)</f>
        <v>0</v>
      </c>
      <c r="F17" s="517">
        <f t="shared" si="4"/>
        <v>0</v>
      </c>
      <c r="G17" s="517">
        <f t="shared" si="4"/>
        <v>0</v>
      </c>
      <c r="H17" s="517">
        <f t="shared" si="4"/>
        <v>0</v>
      </c>
      <c r="I17" s="517">
        <f t="shared" si="4"/>
        <v>0</v>
      </c>
      <c r="J17" s="517">
        <f t="shared" si="4"/>
        <v>0</v>
      </c>
      <c r="K17" s="517">
        <f t="shared" si="4"/>
        <v>0</v>
      </c>
      <c r="L17" s="517">
        <f t="shared" si="4"/>
        <v>0</v>
      </c>
      <c r="M17" s="517">
        <f t="shared" si="4"/>
        <v>0</v>
      </c>
      <c r="N17" s="517">
        <f t="shared" si="4"/>
        <v>0</v>
      </c>
      <c r="O17" s="517">
        <f t="shared" si="4"/>
        <v>0</v>
      </c>
      <c r="P17" s="517">
        <f t="shared" si="4"/>
        <v>0</v>
      </c>
      <c r="Q17" s="517">
        <f t="shared" si="4"/>
        <v>0</v>
      </c>
      <c r="R17" s="517">
        <f t="shared" si="4"/>
        <v>0</v>
      </c>
      <c r="S17" s="517">
        <f t="shared" si="4"/>
        <v>0</v>
      </c>
      <c r="T17" s="517">
        <f t="shared" si="4"/>
        <v>0</v>
      </c>
      <c r="U17" s="517">
        <f t="shared" si="4"/>
        <v>0</v>
      </c>
      <c r="V17" s="517">
        <f t="shared" si="4"/>
        <v>0</v>
      </c>
      <c r="W17" s="517">
        <f t="shared" si="4"/>
        <v>0</v>
      </c>
      <c r="X17" s="517">
        <f t="shared" si="4"/>
        <v>0</v>
      </c>
      <c r="Y17" s="517">
        <f t="shared" si="4"/>
        <v>0</v>
      </c>
      <c r="Z17" s="517">
        <f t="shared" si="4"/>
        <v>0</v>
      </c>
      <c r="AA17" s="517">
        <f t="shared" si="4"/>
        <v>0</v>
      </c>
      <c r="AB17" s="517">
        <f t="shared" si="4"/>
        <v>0</v>
      </c>
      <c r="AC17" s="517">
        <f t="shared" si="4"/>
        <v>0</v>
      </c>
      <c r="AD17" s="517">
        <f t="shared" si="4"/>
        <v>0</v>
      </c>
      <c r="AE17" s="517">
        <f t="shared" si="4"/>
        <v>0</v>
      </c>
      <c r="AF17" s="517">
        <f t="shared" si="4"/>
        <v>0</v>
      </c>
      <c r="AG17" s="517">
        <f t="shared" si="4"/>
        <v>0</v>
      </c>
      <c r="AH17" s="517">
        <f t="shared" si="4"/>
        <v>0</v>
      </c>
      <c r="AI17" s="517">
        <f t="shared" si="4"/>
        <v>0</v>
      </c>
      <c r="AJ17" s="517">
        <f t="shared" si="4"/>
        <v>0</v>
      </c>
      <c r="AK17" s="517">
        <f t="shared" si="4"/>
        <v>0</v>
      </c>
      <c r="AL17" s="517">
        <f t="shared" si="4"/>
        <v>0</v>
      </c>
      <c r="AM17" s="517">
        <f t="shared" si="4"/>
        <v>0</v>
      </c>
      <c r="AN17" s="517">
        <f t="shared" si="4"/>
        <v>0</v>
      </c>
      <c r="AO17" s="517">
        <f t="shared" si="4"/>
        <v>0</v>
      </c>
      <c r="AP17" s="517">
        <f t="shared" si="4"/>
        <v>0</v>
      </c>
      <c r="AQ17" s="517">
        <f t="shared" si="4"/>
        <v>0</v>
      </c>
      <c r="AR17" s="517">
        <f t="shared" si="4"/>
        <v>0</v>
      </c>
      <c r="AS17" s="517">
        <f t="shared" si="4"/>
        <v>0</v>
      </c>
      <c r="AT17" s="517">
        <f t="shared" si="4"/>
        <v>0</v>
      </c>
      <c r="AU17" s="517">
        <f t="shared" si="4"/>
        <v>0</v>
      </c>
      <c r="AV17" s="517">
        <f t="shared" si="4"/>
        <v>0</v>
      </c>
      <c r="AW17" s="518">
        <f t="shared" si="4"/>
        <v>0</v>
      </c>
    </row>
    <row r="18" spans="1:49" ht="14.25" customHeight="1" thickBot="1">
      <c r="A18" s="1"/>
      <c r="B18" s="84"/>
      <c r="C18" s="285" t="s">
        <v>360</v>
      </c>
      <c r="D18" s="286">
        <f>SUM(D17:BA17)</f>
        <v>-47.6</v>
      </c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7"/>
      <c r="AU18" s="287"/>
      <c r="AV18" s="287"/>
      <c r="AW18" s="288"/>
    </row>
    <row r="19" spans="1:49" ht="14.25" customHeight="1">
      <c r="A19" s="1"/>
      <c r="B19" s="84"/>
      <c r="C19" s="188"/>
      <c r="D19" s="195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  <c r="AA19" s="274"/>
      <c r="AB19" s="274"/>
      <c r="AC19" s="274"/>
      <c r="AD19" s="274"/>
      <c r="AE19" s="274"/>
      <c r="AF19" s="274"/>
      <c r="AG19" s="274"/>
      <c r="AH19" s="274"/>
      <c r="AI19" s="274"/>
      <c r="AJ19" s="274"/>
      <c r="AK19" s="274"/>
      <c r="AL19" s="274"/>
      <c r="AM19" s="274"/>
      <c r="AN19" s="274"/>
      <c r="AO19" s="274"/>
      <c r="AP19" s="274"/>
      <c r="AQ19" s="274"/>
      <c r="AR19" s="274"/>
      <c r="AS19" s="274"/>
      <c r="AT19" s="274"/>
      <c r="AU19" s="274"/>
      <c r="AV19" s="274"/>
      <c r="AW19" s="274"/>
    </row>
    <row r="20" spans="1:49" ht="14.25" customHeight="1">
      <c r="A20" s="1"/>
      <c r="B20" s="1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1"/>
      <c r="AS20" s="1"/>
    </row>
    <row r="21" spans="1:49" ht="14.25" customHeight="1" thickBot="1">
      <c r="A21" s="1" t="s">
        <v>351</v>
      </c>
      <c r="B21" s="1"/>
      <c r="C21" s="9" t="s">
        <v>402</v>
      </c>
      <c r="D21" s="9"/>
      <c r="E21" s="10"/>
      <c r="F21" s="10"/>
      <c r="G21" s="10"/>
      <c r="H21" s="10"/>
      <c r="I21" s="10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"/>
      <c r="AS21" s="1"/>
    </row>
    <row r="22" spans="1:49" ht="14.25" customHeight="1">
      <c r="A22" s="1"/>
      <c r="B22" s="1"/>
      <c r="C22" s="12" t="s">
        <v>353</v>
      </c>
      <c r="D22" s="13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9" ht="14.25" customHeight="1">
      <c r="A23" s="1"/>
      <c r="B23" s="1"/>
      <c r="C23" s="1"/>
      <c r="D23" s="119">
        <v>0</v>
      </c>
      <c r="E23" s="119">
        <f t="shared" ref="E23:AW23" si="5">D23+1</f>
        <v>1</v>
      </c>
      <c r="F23" s="119">
        <f t="shared" si="5"/>
        <v>2</v>
      </c>
      <c r="G23" s="119">
        <f t="shared" si="5"/>
        <v>3</v>
      </c>
      <c r="H23" s="119">
        <f t="shared" si="5"/>
        <v>4</v>
      </c>
      <c r="I23" s="119">
        <f t="shared" si="5"/>
        <v>5</v>
      </c>
      <c r="J23" s="119">
        <f t="shared" si="5"/>
        <v>6</v>
      </c>
      <c r="K23" s="119">
        <f t="shared" si="5"/>
        <v>7</v>
      </c>
      <c r="L23" s="119">
        <f t="shared" si="5"/>
        <v>8</v>
      </c>
      <c r="M23" s="119">
        <f t="shared" si="5"/>
        <v>9</v>
      </c>
      <c r="N23" s="119">
        <f t="shared" si="5"/>
        <v>10</v>
      </c>
      <c r="O23" s="119">
        <f t="shared" si="5"/>
        <v>11</v>
      </c>
      <c r="P23" s="119">
        <f t="shared" si="5"/>
        <v>12</v>
      </c>
      <c r="Q23" s="119">
        <f t="shared" si="5"/>
        <v>13</v>
      </c>
      <c r="R23" s="119">
        <f t="shared" si="5"/>
        <v>14</v>
      </c>
      <c r="S23" s="119">
        <f t="shared" si="5"/>
        <v>15</v>
      </c>
      <c r="T23" s="119">
        <f t="shared" si="5"/>
        <v>16</v>
      </c>
      <c r="U23" s="119">
        <f t="shared" si="5"/>
        <v>17</v>
      </c>
      <c r="V23" s="119">
        <f t="shared" si="5"/>
        <v>18</v>
      </c>
      <c r="W23" s="119">
        <f t="shared" si="5"/>
        <v>19</v>
      </c>
      <c r="X23" s="119">
        <f t="shared" si="5"/>
        <v>20</v>
      </c>
      <c r="Y23" s="119">
        <f t="shared" si="5"/>
        <v>21</v>
      </c>
      <c r="Z23" s="119">
        <f t="shared" si="5"/>
        <v>22</v>
      </c>
      <c r="AA23" s="119">
        <f t="shared" si="5"/>
        <v>23</v>
      </c>
      <c r="AB23" s="119">
        <f t="shared" si="5"/>
        <v>24</v>
      </c>
      <c r="AC23" s="119">
        <f t="shared" si="5"/>
        <v>25</v>
      </c>
      <c r="AD23" s="119">
        <f t="shared" si="5"/>
        <v>26</v>
      </c>
      <c r="AE23" s="119">
        <f t="shared" si="5"/>
        <v>27</v>
      </c>
      <c r="AF23" s="119">
        <f t="shared" si="5"/>
        <v>28</v>
      </c>
      <c r="AG23" s="119">
        <f t="shared" si="5"/>
        <v>29</v>
      </c>
      <c r="AH23" s="119">
        <f t="shared" si="5"/>
        <v>30</v>
      </c>
      <c r="AI23" s="119">
        <f t="shared" si="5"/>
        <v>31</v>
      </c>
      <c r="AJ23" s="119">
        <f t="shared" si="5"/>
        <v>32</v>
      </c>
      <c r="AK23" s="119">
        <f t="shared" si="5"/>
        <v>33</v>
      </c>
      <c r="AL23" s="119">
        <f t="shared" si="5"/>
        <v>34</v>
      </c>
      <c r="AM23" s="119">
        <f t="shared" si="5"/>
        <v>35</v>
      </c>
      <c r="AN23" s="119">
        <f t="shared" si="5"/>
        <v>36</v>
      </c>
      <c r="AO23" s="119">
        <f t="shared" si="5"/>
        <v>37</v>
      </c>
      <c r="AP23" s="119">
        <f t="shared" si="5"/>
        <v>38</v>
      </c>
      <c r="AQ23" s="119">
        <f t="shared" si="5"/>
        <v>39</v>
      </c>
      <c r="AR23" s="119">
        <f t="shared" si="5"/>
        <v>40</v>
      </c>
      <c r="AS23" s="119">
        <f t="shared" si="5"/>
        <v>41</v>
      </c>
      <c r="AT23" s="119">
        <f t="shared" si="5"/>
        <v>42</v>
      </c>
      <c r="AU23" s="119">
        <f t="shared" si="5"/>
        <v>43</v>
      </c>
      <c r="AV23" s="119">
        <f t="shared" si="5"/>
        <v>44</v>
      </c>
      <c r="AW23" s="119">
        <f t="shared" si="5"/>
        <v>45</v>
      </c>
    </row>
    <row r="24" spans="1:49" ht="14.25" customHeight="1">
      <c r="A24" s="2"/>
      <c r="B24" s="2"/>
      <c r="C24" s="2"/>
      <c r="D24" s="2"/>
      <c r="E24" s="807" t="s">
        <v>354</v>
      </c>
      <c r="F24" s="820"/>
      <c r="G24" s="820"/>
      <c r="H24" s="820"/>
      <c r="I24" s="820"/>
      <c r="J24" s="820"/>
      <c r="K24" s="820"/>
      <c r="L24" s="820"/>
      <c r="M24" s="820"/>
      <c r="N24" s="820"/>
      <c r="O24" s="820"/>
      <c r="P24" s="820"/>
      <c r="Q24" s="820"/>
      <c r="R24" s="820"/>
      <c r="S24" s="820"/>
      <c r="T24" s="820"/>
      <c r="U24" s="820"/>
      <c r="V24" s="820"/>
      <c r="W24" s="820"/>
      <c r="X24" s="820"/>
      <c r="Y24" s="820"/>
      <c r="Z24" s="820"/>
      <c r="AA24" s="820"/>
      <c r="AB24" s="820"/>
      <c r="AC24" s="820"/>
      <c r="AD24" s="820"/>
      <c r="AE24" s="820"/>
      <c r="AF24" s="820"/>
      <c r="AG24" s="820"/>
      <c r="AH24" s="820"/>
      <c r="AI24" s="8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</row>
    <row r="25" spans="1:49" ht="14.25" customHeight="1">
      <c r="A25" s="2"/>
      <c r="B25" s="2"/>
      <c r="C25" s="2"/>
      <c r="D25" s="3">
        <f>'Project Summary'!E6</f>
        <v>2026</v>
      </c>
      <c r="E25" s="3">
        <f t="shared" ref="E25:N25" si="6">D25+1</f>
        <v>2027</v>
      </c>
      <c r="F25" s="3">
        <f t="shared" si="6"/>
        <v>2028</v>
      </c>
      <c r="G25" s="3">
        <f t="shared" si="6"/>
        <v>2029</v>
      </c>
      <c r="H25" s="3">
        <f t="shared" si="6"/>
        <v>2030</v>
      </c>
      <c r="I25" s="3">
        <f t="shared" si="6"/>
        <v>2031</v>
      </c>
      <c r="J25" s="3">
        <f t="shared" si="6"/>
        <v>2032</v>
      </c>
      <c r="K25" s="3">
        <f t="shared" si="6"/>
        <v>2033</v>
      </c>
      <c r="L25" s="3">
        <f t="shared" si="6"/>
        <v>2034</v>
      </c>
      <c r="M25" s="3">
        <f t="shared" si="6"/>
        <v>2035</v>
      </c>
      <c r="N25" s="3">
        <f t="shared" si="6"/>
        <v>2036</v>
      </c>
      <c r="O25" s="3">
        <f t="shared" ref="O25:AF25" si="7">N25+1</f>
        <v>2037</v>
      </c>
      <c r="P25" s="3">
        <f t="shared" si="7"/>
        <v>2038</v>
      </c>
      <c r="Q25" s="3">
        <f t="shared" si="7"/>
        <v>2039</v>
      </c>
      <c r="R25" s="3">
        <f t="shared" si="7"/>
        <v>2040</v>
      </c>
      <c r="S25" s="3">
        <f t="shared" si="7"/>
        <v>2041</v>
      </c>
      <c r="T25" s="3">
        <f t="shared" si="7"/>
        <v>2042</v>
      </c>
      <c r="U25" s="3">
        <f t="shared" si="7"/>
        <v>2043</v>
      </c>
      <c r="V25" s="3">
        <f t="shared" si="7"/>
        <v>2044</v>
      </c>
      <c r="W25" s="3">
        <f t="shared" si="7"/>
        <v>2045</v>
      </c>
      <c r="X25" s="3">
        <f t="shared" si="7"/>
        <v>2046</v>
      </c>
      <c r="Y25" s="3">
        <f t="shared" si="7"/>
        <v>2047</v>
      </c>
      <c r="Z25" s="3">
        <f t="shared" si="7"/>
        <v>2048</v>
      </c>
      <c r="AA25" s="3">
        <f t="shared" si="7"/>
        <v>2049</v>
      </c>
      <c r="AB25" s="3">
        <f t="shared" si="7"/>
        <v>2050</v>
      </c>
      <c r="AC25" s="3">
        <f t="shared" si="7"/>
        <v>2051</v>
      </c>
      <c r="AD25" s="3">
        <f t="shared" si="7"/>
        <v>2052</v>
      </c>
      <c r="AE25" s="3">
        <f t="shared" si="7"/>
        <v>2053</v>
      </c>
      <c r="AF25" s="3">
        <f t="shared" si="7"/>
        <v>2054</v>
      </c>
      <c r="AG25" s="3">
        <f t="shared" ref="AG25:AW25" si="8">AF25+1</f>
        <v>2055</v>
      </c>
      <c r="AH25" s="3">
        <f t="shared" si="8"/>
        <v>2056</v>
      </c>
      <c r="AI25" s="3">
        <f t="shared" si="8"/>
        <v>2057</v>
      </c>
      <c r="AJ25" s="3">
        <f t="shared" si="8"/>
        <v>2058</v>
      </c>
      <c r="AK25" s="3">
        <f t="shared" si="8"/>
        <v>2059</v>
      </c>
      <c r="AL25" s="3">
        <f t="shared" si="8"/>
        <v>2060</v>
      </c>
      <c r="AM25" s="3">
        <f t="shared" si="8"/>
        <v>2061</v>
      </c>
      <c r="AN25" s="3">
        <f t="shared" si="8"/>
        <v>2062</v>
      </c>
      <c r="AO25" s="3">
        <f t="shared" si="8"/>
        <v>2063</v>
      </c>
      <c r="AP25" s="3">
        <f t="shared" si="8"/>
        <v>2064</v>
      </c>
      <c r="AQ25" s="3">
        <f t="shared" si="8"/>
        <v>2065</v>
      </c>
      <c r="AR25" s="3">
        <f t="shared" si="8"/>
        <v>2066</v>
      </c>
      <c r="AS25" s="3">
        <f t="shared" si="8"/>
        <v>2067</v>
      </c>
      <c r="AT25" s="3">
        <f t="shared" si="8"/>
        <v>2068</v>
      </c>
      <c r="AU25" s="3">
        <f t="shared" si="8"/>
        <v>2069</v>
      </c>
      <c r="AV25" s="3">
        <f t="shared" si="8"/>
        <v>2070</v>
      </c>
      <c r="AW25" s="3">
        <f t="shared" si="8"/>
        <v>2071</v>
      </c>
    </row>
    <row r="26" spans="1:49" ht="14.25" customHeight="1">
      <c r="A26" s="200"/>
      <c r="B26" s="200"/>
      <c r="C26" s="121"/>
      <c r="D26" s="122">
        <f>D10</f>
        <v>46023</v>
      </c>
      <c r="E26" s="122">
        <f t="shared" ref="E26:AW26" si="9">E10</f>
        <v>46752</v>
      </c>
      <c r="F26" s="122">
        <f t="shared" si="9"/>
        <v>47118</v>
      </c>
      <c r="G26" s="122">
        <f t="shared" si="9"/>
        <v>47483</v>
      </c>
      <c r="H26" s="122">
        <f t="shared" si="9"/>
        <v>47848</v>
      </c>
      <c r="I26" s="122">
        <f t="shared" si="9"/>
        <v>48213</v>
      </c>
      <c r="J26" s="122">
        <f t="shared" si="9"/>
        <v>48579</v>
      </c>
      <c r="K26" s="122">
        <f t="shared" si="9"/>
        <v>48944</v>
      </c>
      <c r="L26" s="122">
        <f t="shared" si="9"/>
        <v>49309</v>
      </c>
      <c r="M26" s="122">
        <f t="shared" si="9"/>
        <v>49674</v>
      </c>
      <c r="N26" s="122">
        <f t="shared" si="9"/>
        <v>50040</v>
      </c>
      <c r="O26" s="122">
        <f t="shared" si="9"/>
        <v>50405</v>
      </c>
      <c r="P26" s="122">
        <f t="shared" si="9"/>
        <v>50770</v>
      </c>
      <c r="Q26" s="122">
        <f t="shared" si="9"/>
        <v>51135</v>
      </c>
      <c r="R26" s="122">
        <f t="shared" si="9"/>
        <v>51501</v>
      </c>
      <c r="S26" s="122">
        <f t="shared" si="9"/>
        <v>51866</v>
      </c>
      <c r="T26" s="122">
        <f t="shared" si="9"/>
        <v>52231</v>
      </c>
      <c r="U26" s="122">
        <f t="shared" si="9"/>
        <v>52596</v>
      </c>
      <c r="V26" s="122">
        <f t="shared" si="9"/>
        <v>52962</v>
      </c>
      <c r="W26" s="122">
        <f t="shared" si="9"/>
        <v>53327</v>
      </c>
      <c r="X26" s="122">
        <f t="shared" si="9"/>
        <v>53692</v>
      </c>
      <c r="Y26" s="122">
        <f t="shared" si="9"/>
        <v>54057</v>
      </c>
      <c r="Z26" s="122">
        <f t="shared" si="9"/>
        <v>54423</v>
      </c>
      <c r="AA26" s="122">
        <f t="shared" si="9"/>
        <v>54788</v>
      </c>
      <c r="AB26" s="122">
        <f t="shared" si="9"/>
        <v>55153</v>
      </c>
      <c r="AC26" s="122">
        <f t="shared" si="9"/>
        <v>55518</v>
      </c>
      <c r="AD26" s="122">
        <f t="shared" si="9"/>
        <v>55884</v>
      </c>
      <c r="AE26" s="122">
        <f t="shared" si="9"/>
        <v>56249</v>
      </c>
      <c r="AF26" s="122">
        <f t="shared" si="9"/>
        <v>56614</v>
      </c>
      <c r="AG26" s="122">
        <f t="shared" si="9"/>
        <v>56979</v>
      </c>
      <c r="AH26" s="122">
        <f t="shared" si="9"/>
        <v>57345</v>
      </c>
      <c r="AI26" s="122">
        <f t="shared" si="9"/>
        <v>57710</v>
      </c>
      <c r="AJ26" s="122">
        <f t="shared" si="9"/>
        <v>58075</v>
      </c>
      <c r="AK26" s="122">
        <f t="shared" si="9"/>
        <v>58440</v>
      </c>
      <c r="AL26" s="122">
        <f t="shared" si="9"/>
        <v>58806</v>
      </c>
      <c r="AM26" s="122">
        <f t="shared" si="9"/>
        <v>59171</v>
      </c>
      <c r="AN26" s="122">
        <f t="shared" si="9"/>
        <v>59536</v>
      </c>
      <c r="AO26" s="122">
        <f t="shared" si="9"/>
        <v>59901</v>
      </c>
      <c r="AP26" s="122">
        <f t="shared" si="9"/>
        <v>60267</v>
      </c>
      <c r="AQ26" s="122">
        <f t="shared" si="9"/>
        <v>60632</v>
      </c>
      <c r="AR26" s="122">
        <f t="shared" si="9"/>
        <v>60997</v>
      </c>
      <c r="AS26" s="122">
        <f t="shared" si="9"/>
        <v>61362</v>
      </c>
      <c r="AT26" s="122">
        <f t="shared" si="9"/>
        <v>61728</v>
      </c>
      <c r="AU26" s="122">
        <f t="shared" si="9"/>
        <v>62093</v>
      </c>
      <c r="AV26" s="122">
        <f t="shared" si="9"/>
        <v>62458</v>
      </c>
      <c r="AW26" s="122">
        <f t="shared" si="9"/>
        <v>62823</v>
      </c>
    </row>
    <row r="27" spans="1:49" ht="14.25" customHeight="1">
      <c r="A27" s="1"/>
      <c r="B27" s="1"/>
      <c r="C27" s="1" t="s">
        <v>403</v>
      </c>
      <c r="D27" s="15">
        <f t="shared" ref="D27:N27" si="10">D124</f>
        <v>5.6000000000000005</v>
      </c>
      <c r="E27" s="15">
        <f t="shared" si="10"/>
        <v>5.7680000000000007</v>
      </c>
      <c r="F27" s="15">
        <f>F124</f>
        <v>5.941040000000001</v>
      </c>
      <c r="G27" s="15">
        <f t="shared" si="10"/>
        <v>6.1192712</v>
      </c>
      <c r="H27" s="15">
        <f t="shared" si="10"/>
        <v>6.3028493360000004</v>
      </c>
      <c r="I27" s="15">
        <f t="shared" si="10"/>
        <v>6.4919348160799988</v>
      </c>
      <c r="J27" s="15">
        <f t="shared" si="10"/>
        <v>6.6866928605623999</v>
      </c>
      <c r="K27" s="15">
        <f t="shared" si="10"/>
        <v>6.8872936463792716</v>
      </c>
      <c r="L27" s="15">
        <f t="shared" si="10"/>
        <v>7.0939124557706501</v>
      </c>
      <c r="M27" s="15">
        <f t="shared" si="10"/>
        <v>7.3067298294437704</v>
      </c>
      <c r="N27" s="15">
        <f t="shared" si="10"/>
        <v>7.5259317243270836</v>
      </c>
      <c r="O27" s="15">
        <f t="shared" ref="O27:AF27" si="11">O124</f>
        <v>7.7517096760568958</v>
      </c>
      <c r="P27" s="15">
        <f t="shared" si="11"/>
        <v>7.9842609663386011</v>
      </c>
      <c r="Q27" s="15">
        <f t="shared" si="11"/>
        <v>8.2237887953287583</v>
      </c>
      <c r="R27" s="15">
        <f t="shared" si="11"/>
        <v>8.4705024591886229</v>
      </c>
      <c r="S27" s="15">
        <f t="shared" si="11"/>
        <v>8.724617532964281</v>
      </c>
      <c r="T27" s="15">
        <f t="shared" si="11"/>
        <v>8.9863560589532092</v>
      </c>
      <c r="U27" s="15">
        <f t="shared" si="11"/>
        <v>9.2559467407218037</v>
      </c>
      <c r="V27" s="15">
        <f t="shared" si="11"/>
        <v>9.5336251429434586</v>
      </c>
      <c r="W27" s="15">
        <f t="shared" si="11"/>
        <v>9.8196338972317623</v>
      </c>
      <c r="X27" s="15">
        <f t="shared" si="11"/>
        <v>10.114222914148716</v>
      </c>
      <c r="Y27" s="15">
        <f t="shared" si="11"/>
        <v>10.417649601573174</v>
      </c>
      <c r="Z27" s="15">
        <f t="shared" si="11"/>
        <v>10.730179089620371</v>
      </c>
      <c r="AA27" s="15">
        <f t="shared" si="11"/>
        <v>11.052084462308983</v>
      </c>
      <c r="AB27" s="15">
        <f t="shared" si="11"/>
        <v>11.383646996178252</v>
      </c>
      <c r="AC27" s="15">
        <f t="shared" si="11"/>
        <v>11.725156406063601</v>
      </c>
      <c r="AD27" s="15">
        <f t="shared" si="11"/>
        <v>12.076911098245509</v>
      </c>
      <c r="AE27" s="15">
        <f t="shared" si="11"/>
        <v>12.43921843119287</v>
      </c>
      <c r="AF27" s="15">
        <f t="shared" si="11"/>
        <v>12.812394984128659</v>
      </c>
      <c r="AG27" s="15">
        <f t="shared" ref="AG27:AW27" si="12">AG124</f>
        <v>13.196766833652514</v>
      </c>
      <c r="AH27" s="15">
        <f t="shared" si="12"/>
        <v>13.592669838662092</v>
      </c>
      <c r="AI27" s="15">
        <f t="shared" si="12"/>
        <v>14.000449933821958</v>
      </c>
      <c r="AJ27" s="15">
        <f t="shared" si="12"/>
        <v>14.420463431836613</v>
      </c>
      <c r="AK27" s="15">
        <f t="shared" si="12"/>
        <v>14.853077334791713</v>
      </c>
      <c r="AL27" s="15">
        <f t="shared" si="12"/>
        <v>15.298669654835463</v>
      </c>
      <c r="AM27" s="15">
        <f t="shared" si="12"/>
        <v>15.757629744480528</v>
      </c>
      <c r="AN27" s="15">
        <f t="shared" si="12"/>
        <v>16.230358636814945</v>
      </c>
      <c r="AO27" s="15">
        <f t="shared" si="12"/>
        <v>16.717269395919388</v>
      </c>
      <c r="AP27" s="15">
        <f t="shared" si="12"/>
        <v>17.218787477796972</v>
      </c>
      <c r="AQ27" s="15">
        <f t="shared" si="12"/>
        <v>17.735351102130881</v>
      </c>
      <c r="AR27" s="15">
        <f t="shared" si="12"/>
        <v>18.267411635194804</v>
      </c>
      <c r="AS27" s="15">
        <f t="shared" si="12"/>
        <v>18.815433984250653</v>
      </c>
      <c r="AT27" s="15">
        <f t="shared" si="12"/>
        <v>19.379897003778169</v>
      </c>
      <c r="AU27" s="15">
        <f t="shared" si="12"/>
        <v>19.961293913891517</v>
      </c>
      <c r="AV27" s="15">
        <f t="shared" si="12"/>
        <v>20.560132731308258</v>
      </c>
      <c r="AW27" s="15">
        <f t="shared" si="12"/>
        <v>21.176936713247507</v>
      </c>
    </row>
    <row r="28" spans="1:49" ht="14.25" customHeight="1">
      <c r="A28" s="1"/>
      <c r="B28" s="1"/>
      <c r="C28" s="4" t="str">
        <f>"   Less: Taxes @ "&amp;TEXT('Assumptions &amp; Inputs'!G12,"0.0%")</f>
        <v xml:space="preserve">   Less: Taxes @ 26.0%</v>
      </c>
      <c r="D28" s="16">
        <f t="shared" ref="D28:N28" si="13">D134</f>
        <v>-1.4560000000000002</v>
      </c>
      <c r="E28" s="16">
        <f t="shared" si="13"/>
        <v>-1.4996800000000001</v>
      </c>
      <c r="F28" s="16">
        <f t="shared" si="13"/>
        <v>-1.5446704000000002</v>
      </c>
      <c r="G28" s="16">
        <f t="shared" si="13"/>
        <v>-1.591010512</v>
      </c>
      <c r="H28" s="16">
        <f t="shared" si="13"/>
        <v>-1.6387408273600002</v>
      </c>
      <c r="I28" s="16">
        <f t="shared" si="13"/>
        <v>-1.6879030521807998</v>
      </c>
      <c r="J28" s="16">
        <f t="shared" si="13"/>
        <v>-1.738540143746224</v>
      </c>
      <c r="K28" s="16">
        <f t="shared" si="13"/>
        <v>-1.7906963480586107</v>
      </c>
      <c r="L28" s="16">
        <f t="shared" si="13"/>
        <v>-1.844417238500369</v>
      </c>
      <c r="M28" s="16">
        <f t="shared" si="13"/>
        <v>-1.8997497556553804</v>
      </c>
      <c r="N28" s="16">
        <f t="shared" si="13"/>
        <v>-1.9567422483250418</v>
      </c>
      <c r="O28" s="16">
        <f t="shared" ref="O28:AF28" si="14">O134</f>
        <v>-2.0154445157747931</v>
      </c>
      <c r="P28" s="16">
        <f t="shared" si="14"/>
        <v>-2.0759078512480365</v>
      </c>
      <c r="Q28" s="16">
        <f t="shared" si="14"/>
        <v>-2.138185086785477</v>
      </c>
      <c r="R28" s="16">
        <f t="shared" si="14"/>
        <v>-2.2023306393890421</v>
      </c>
      <c r="S28" s="16">
        <f t="shared" si="14"/>
        <v>-2.268400558570713</v>
      </c>
      <c r="T28" s="16">
        <f t="shared" si="14"/>
        <v>-2.3364525753278347</v>
      </c>
      <c r="U28" s="16">
        <f t="shared" si="14"/>
        <v>-2.4065461525876692</v>
      </c>
      <c r="V28" s="16">
        <f t="shared" si="14"/>
        <v>-2.4787425371652994</v>
      </c>
      <c r="W28" s="16">
        <f t="shared" si="14"/>
        <v>-2.5531048132802581</v>
      </c>
      <c r="X28" s="16">
        <f t="shared" si="14"/>
        <v>-2.6296979576786663</v>
      </c>
      <c r="Y28" s="16">
        <f t="shared" si="14"/>
        <v>-2.7085888964090254</v>
      </c>
      <c r="Z28" s="16">
        <f>Z134</f>
        <v>-2.7898465633012965</v>
      </c>
      <c r="AA28" s="16">
        <f t="shared" si="14"/>
        <v>-2.8735419602003356</v>
      </c>
      <c r="AB28" s="16">
        <f t="shared" si="14"/>
        <v>-2.9597482190063453</v>
      </c>
      <c r="AC28" s="16">
        <f t="shared" si="14"/>
        <v>-3.0485406655765361</v>
      </c>
      <c r="AD28" s="16">
        <f t="shared" si="14"/>
        <v>-3.1399968855438325</v>
      </c>
      <c r="AE28" s="16">
        <f t="shared" si="14"/>
        <v>-3.2341967921101462</v>
      </c>
      <c r="AF28" s="16">
        <f t="shared" si="14"/>
        <v>-3.3312226958734512</v>
      </c>
      <c r="AG28" s="16">
        <f t="shared" ref="AG28:AW28" si="15">AG134</f>
        <v>-3.4311593767496538</v>
      </c>
      <c r="AH28" s="16">
        <f t="shared" si="15"/>
        <v>-3.5340941580521439</v>
      </c>
      <c r="AI28" s="16">
        <f t="shared" si="15"/>
        <v>-3.6401169827937094</v>
      </c>
      <c r="AJ28" s="16">
        <f t="shared" si="15"/>
        <v>-3.7493204922775192</v>
      </c>
      <c r="AK28" s="16">
        <f t="shared" si="15"/>
        <v>-3.8618001070458456</v>
      </c>
      <c r="AL28" s="16">
        <f t="shared" si="15"/>
        <v>-3.9776541102572205</v>
      </c>
      <c r="AM28" s="16">
        <f t="shared" si="15"/>
        <v>-4.0969837335649375</v>
      </c>
      <c r="AN28" s="16">
        <f t="shared" si="15"/>
        <v>-4.2198932455718854</v>
      </c>
      <c r="AO28" s="16">
        <f t="shared" si="15"/>
        <v>-4.346490042939041</v>
      </c>
      <c r="AP28" s="16">
        <f t="shared" si="15"/>
        <v>-4.4768847442272133</v>
      </c>
      <c r="AQ28" s="16">
        <f t="shared" si="15"/>
        <v>-4.6111912865540292</v>
      </c>
      <c r="AR28" s="16">
        <f t="shared" si="15"/>
        <v>-4.7495270251506492</v>
      </c>
      <c r="AS28" s="16">
        <f t="shared" si="15"/>
        <v>-4.8920128359051702</v>
      </c>
      <c r="AT28" s="16">
        <f t="shared" si="15"/>
        <v>-5.0387732209823239</v>
      </c>
      <c r="AU28" s="16">
        <f t="shared" si="15"/>
        <v>-5.1899364176117944</v>
      </c>
      <c r="AV28" s="16">
        <f t="shared" si="15"/>
        <v>-5.3456345101401475</v>
      </c>
      <c r="AW28" s="16">
        <f t="shared" si="15"/>
        <v>-5.5060035454443517</v>
      </c>
    </row>
    <row r="29" spans="1:49" ht="14.25" customHeight="1">
      <c r="A29" s="1"/>
      <c r="B29" s="1"/>
      <c r="C29" s="1" t="s">
        <v>414</v>
      </c>
      <c r="D29" s="8">
        <f>SUM(D27:D28)</f>
        <v>4.1440000000000001</v>
      </c>
      <c r="E29" s="8">
        <f t="shared" ref="E29:N29" si="16">SUM(E27:E28)</f>
        <v>4.268320000000001</v>
      </c>
      <c r="F29" s="8">
        <f t="shared" si="16"/>
        <v>4.3963696000000008</v>
      </c>
      <c r="G29" s="8">
        <f t="shared" si="16"/>
        <v>4.5282606879999996</v>
      </c>
      <c r="H29" s="8">
        <f t="shared" si="16"/>
        <v>4.66410850864</v>
      </c>
      <c r="I29" s="8">
        <f t="shared" si="16"/>
        <v>4.8040317638991992</v>
      </c>
      <c r="J29" s="8">
        <f t="shared" si="16"/>
        <v>4.9481527168161756</v>
      </c>
      <c r="K29" s="8">
        <f t="shared" si="16"/>
        <v>5.0965972983206607</v>
      </c>
      <c r="L29" s="8">
        <f t="shared" si="16"/>
        <v>5.2494952172702813</v>
      </c>
      <c r="M29" s="8">
        <f t="shared" si="16"/>
        <v>5.4069800737883895</v>
      </c>
      <c r="N29" s="8">
        <f t="shared" si="16"/>
        <v>5.5691894760020419</v>
      </c>
      <c r="O29" s="8">
        <f t="shared" ref="O29" si="17">SUM(O27:O28)</f>
        <v>5.7362651602821026</v>
      </c>
      <c r="P29" s="8">
        <f t="shared" ref="P29" si="18">SUM(P27:P28)</f>
        <v>5.9083531150905646</v>
      </c>
      <c r="Q29" s="8">
        <f t="shared" ref="Q29" si="19">SUM(Q27:Q28)</f>
        <v>6.0856037085432817</v>
      </c>
      <c r="R29" s="8">
        <f t="shared" ref="R29" si="20">SUM(R27:R28)</f>
        <v>6.2681718197995808</v>
      </c>
      <c r="S29" s="8">
        <f t="shared" ref="S29" si="21">SUM(S27:S28)</f>
        <v>6.456216974393568</v>
      </c>
      <c r="T29" s="8">
        <f t="shared" ref="T29" si="22">SUM(T27:T28)</f>
        <v>6.6499034836253745</v>
      </c>
      <c r="U29" s="8">
        <f t="shared" ref="U29" si="23">SUM(U27:U28)</f>
        <v>6.8494005881341344</v>
      </c>
      <c r="V29" s="8">
        <f t="shared" ref="V29" si="24">SUM(V27:V28)</f>
        <v>7.0548826057781593</v>
      </c>
      <c r="W29" s="8">
        <f t="shared" ref="W29" si="25">SUM(W27:W28)</f>
        <v>7.2665290839515038</v>
      </c>
      <c r="X29" s="8">
        <f t="shared" ref="X29" si="26">SUM(X27:X28)</f>
        <v>7.4845249564700493</v>
      </c>
      <c r="Y29" s="8">
        <f t="shared" ref="Y29" si="27">SUM(Y27:Y28)</f>
        <v>7.7090607051641484</v>
      </c>
      <c r="Z29" s="8">
        <f t="shared" ref="Z29" si="28">SUM(Z27:Z28)</f>
        <v>7.9403325263190752</v>
      </c>
      <c r="AA29" s="8">
        <f t="shared" ref="AA29" si="29">SUM(AA27:AA28)</f>
        <v>8.1785425021086482</v>
      </c>
      <c r="AB29" s="8">
        <f t="shared" ref="AB29" si="30">SUM(AB27:AB28)</f>
        <v>8.4238987771719067</v>
      </c>
      <c r="AC29" s="8">
        <f t="shared" ref="AC29" si="31">SUM(AC27:AC28)</f>
        <v>8.6766157404870654</v>
      </c>
      <c r="AD29" s="8">
        <f t="shared" ref="AD29" si="32">SUM(AD27:AD28)</f>
        <v>8.9369142127016765</v>
      </c>
      <c r="AE29" s="8">
        <f t="shared" ref="AE29" si="33">SUM(AE27:AE28)</f>
        <v>9.2050216390827231</v>
      </c>
      <c r="AF29" s="8">
        <f t="shared" ref="AF29" si="34">SUM(AF27:AF28)</f>
        <v>9.4811722882552072</v>
      </c>
      <c r="AG29" s="8">
        <f t="shared" ref="AG29" si="35">SUM(AG27:AG28)</f>
        <v>9.7656074569028597</v>
      </c>
      <c r="AH29" s="8">
        <f t="shared" ref="AH29" si="36">SUM(AH27:AH28)</f>
        <v>10.058575680609948</v>
      </c>
      <c r="AI29" s="8">
        <f t="shared" ref="AI29" si="37">SUM(AI27:AI28)</f>
        <v>10.360332951028248</v>
      </c>
      <c r="AJ29" s="8">
        <f t="shared" ref="AJ29" si="38">SUM(AJ27:AJ28)</f>
        <v>10.671142939559093</v>
      </c>
      <c r="AK29" s="8">
        <f t="shared" ref="AK29" si="39">SUM(AK27:AK28)</f>
        <v>10.991277227745869</v>
      </c>
      <c r="AL29" s="8">
        <f t="shared" ref="AL29" si="40">SUM(AL27:AL28)</f>
        <v>11.321015544578241</v>
      </c>
      <c r="AM29" s="8">
        <f t="shared" ref="AM29" si="41">SUM(AM27:AM28)</f>
        <v>11.660646010915592</v>
      </c>
      <c r="AN29" s="8">
        <f t="shared" ref="AN29" si="42">SUM(AN27:AN28)</f>
        <v>12.010465391243059</v>
      </c>
      <c r="AO29" s="8">
        <f t="shared" ref="AO29" si="43">SUM(AO27:AO28)</f>
        <v>12.370779352980346</v>
      </c>
      <c r="AP29" s="8">
        <f t="shared" ref="AP29" si="44">SUM(AP27:AP28)</f>
        <v>12.741902733569759</v>
      </c>
      <c r="AQ29" s="8">
        <f>SUM(AQ27:AW28)</f>
        <v>100.56337824201333</v>
      </c>
      <c r="AR29" s="8">
        <f t="shared" ref="AR29" si="45">SUM(AR27:AR28)</f>
        <v>13.517884610044156</v>
      </c>
      <c r="AS29" s="8">
        <f t="shared" ref="AS29" si="46">SUM(AS27:AS28)</f>
        <v>13.923421148345483</v>
      </c>
      <c r="AT29" s="8">
        <f t="shared" ref="AT29" si="47">SUM(AT27:AT28)</f>
        <v>14.341123782795844</v>
      </c>
      <c r="AU29" s="8">
        <f t="shared" ref="AU29" si="48">SUM(AU27:AU28)</f>
        <v>14.771357496279723</v>
      </c>
      <c r="AV29" s="8">
        <f t="shared" ref="AV29" si="49">SUM(AV27:AV28)</f>
        <v>15.21449822116811</v>
      </c>
      <c r="AW29" s="8">
        <f t="shared" ref="AW29" si="50">SUM(AW27:AW28)</f>
        <v>15.670933167803156</v>
      </c>
    </row>
    <row r="30" spans="1:49" ht="14.25" customHeight="1">
      <c r="A30" s="1"/>
      <c r="B30" s="1"/>
      <c r="C30" s="17" t="s">
        <v>405</v>
      </c>
      <c r="D30" s="15">
        <f>-D139</f>
        <v>0</v>
      </c>
      <c r="E30" s="15">
        <f t="shared" ref="E30:N30" si="51">-E139</f>
        <v>0</v>
      </c>
      <c r="F30" s="15">
        <f t="shared" si="51"/>
        <v>0</v>
      </c>
      <c r="G30" s="15">
        <f t="shared" si="51"/>
        <v>0</v>
      </c>
      <c r="H30" s="15">
        <f t="shared" si="51"/>
        <v>0</v>
      </c>
      <c r="I30" s="15">
        <f t="shared" si="51"/>
        <v>0</v>
      </c>
      <c r="J30" s="15">
        <f t="shared" si="51"/>
        <v>0</v>
      </c>
      <c r="K30" s="15">
        <f t="shared" si="51"/>
        <v>0</v>
      </c>
      <c r="L30" s="15">
        <f t="shared" si="51"/>
        <v>0</v>
      </c>
      <c r="M30" s="15">
        <f t="shared" si="51"/>
        <v>0</v>
      </c>
      <c r="N30" s="15">
        <f t="shared" si="51"/>
        <v>0</v>
      </c>
      <c r="O30" s="15">
        <f t="shared" ref="O30:AF30" si="52">-O139</f>
        <v>0</v>
      </c>
      <c r="P30" s="15">
        <f t="shared" si="52"/>
        <v>0</v>
      </c>
      <c r="Q30" s="15">
        <f t="shared" si="52"/>
        <v>0</v>
      </c>
      <c r="R30" s="15">
        <f t="shared" si="52"/>
        <v>0</v>
      </c>
      <c r="S30" s="15">
        <f t="shared" si="52"/>
        <v>0</v>
      </c>
      <c r="T30" s="15">
        <f t="shared" si="52"/>
        <v>0</v>
      </c>
      <c r="U30" s="15">
        <f t="shared" si="52"/>
        <v>0</v>
      </c>
      <c r="V30" s="15">
        <f t="shared" si="52"/>
        <v>0</v>
      </c>
      <c r="W30" s="15">
        <f t="shared" si="52"/>
        <v>0</v>
      </c>
      <c r="X30" s="15">
        <f t="shared" si="52"/>
        <v>0</v>
      </c>
      <c r="Y30" s="15">
        <f t="shared" si="52"/>
        <v>0</v>
      </c>
      <c r="Z30" s="15">
        <f t="shared" si="52"/>
        <v>0</v>
      </c>
      <c r="AA30" s="15">
        <f t="shared" si="52"/>
        <v>0</v>
      </c>
      <c r="AB30" s="15">
        <f t="shared" si="52"/>
        <v>0</v>
      </c>
      <c r="AC30" s="15">
        <f t="shared" si="52"/>
        <v>0</v>
      </c>
      <c r="AD30" s="15">
        <f t="shared" si="52"/>
        <v>0</v>
      </c>
      <c r="AE30" s="15">
        <f t="shared" si="52"/>
        <v>0</v>
      </c>
      <c r="AF30" s="15">
        <f t="shared" si="52"/>
        <v>0</v>
      </c>
      <c r="AG30" s="15">
        <f t="shared" ref="AG30:AW30" si="53">-AG139</f>
        <v>0</v>
      </c>
      <c r="AH30" s="15">
        <f t="shared" si="53"/>
        <v>0</v>
      </c>
      <c r="AI30" s="15">
        <f t="shared" si="53"/>
        <v>0</v>
      </c>
      <c r="AJ30" s="15">
        <f t="shared" si="53"/>
        <v>0</v>
      </c>
      <c r="AK30" s="15">
        <f t="shared" si="53"/>
        <v>0</v>
      </c>
      <c r="AL30" s="15">
        <f t="shared" si="53"/>
        <v>0</v>
      </c>
      <c r="AM30" s="15">
        <f t="shared" si="53"/>
        <v>0</v>
      </c>
      <c r="AN30" s="15">
        <f t="shared" si="53"/>
        <v>0</v>
      </c>
      <c r="AO30" s="15">
        <f t="shared" si="53"/>
        <v>0</v>
      </c>
      <c r="AP30" s="15">
        <f t="shared" si="53"/>
        <v>0</v>
      </c>
      <c r="AQ30" s="15">
        <f t="shared" si="53"/>
        <v>0</v>
      </c>
      <c r="AR30" s="15">
        <f t="shared" si="53"/>
        <v>0</v>
      </c>
      <c r="AS30" s="15">
        <f t="shared" si="53"/>
        <v>0</v>
      </c>
      <c r="AT30" s="15">
        <f t="shared" si="53"/>
        <v>0</v>
      </c>
      <c r="AU30" s="15">
        <f t="shared" si="53"/>
        <v>0</v>
      </c>
      <c r="AV30" s="15">
        <f t="shared" si="53"/>
        <v>0</v>
      </c>
      <c r="AW30" s="15">
        <f t="shared" si="53"/>
        <v>0</v>
      </c>
    </row>
    <row r="31" spans="1:49" ht="14.25" customHeight="1">
      <c r="A31" s="1"/>
      <c r="B31" s="1"/>
      <c r="C31" s="17" t="s">
        <v>406</v>
      </c>
      <c r="D31" s="18">
        <f>D138</f>
        <v>-47.6</v>
      </c>
      <c r="E31" s="18">
        <f t="shared" ref="E31:AW31" si="54">E138</f>
        <v>0</v>
      </c>
      <c r="F31" s="18">
        <f t="shared" si="54"/>
        <v>0</v>
      </c>
      <c r="G31" s="18">
        <f t="shared" si="54"/>
        <v>0</v>
      </c>
      <c r="H31" s="18">
        <f t="shared" si="54"/>
        <v>0</v>
      </c>
      <c r="I31" s="18">
        <f t="shared" si="54"/>
        <v>0</v>
      </c>
      <c r="J31" s="18">
        <f t="shared" si="54"/>
        <v>0</v>
      </c>
      <c r="K31" s="18">
        <f t="shared" si="54"/>
        <v>0</v>
      </c>
      <c r="L31" s="18">
        <f t="shared" si="54"/>
        <v>0</v>
      </c>
      <c r="M31" s="18">
        <f t="shared" si="54"/>
        <v>0</v>
      </c>
      <c r="N31" s="18">
        <f t="shared" si="54"/>
        <v>0</v>
      </c>
      <c r="O31" s="18">
        <f>O138</f>
        <v>0</v>
      </c>
      <c r="P31" s="18">
        <f t="shared" si="54"/>
        <v>0</v>
      </c>
      <c r="Q31" s="18">
        <f t="shared" si="54"/>
        <v>0</v>
      </c>
      <c r="R31" s="18">
        <f t="shared" si="54"/>
        <v>0</v>
      </c>
      <c r="S31" s="18">
        <f t="shared" si="54"/>
        <v>0</v>
      </c>
      <c r="T31" s="18">
        <f t="shared" si="54"/>
        <v>0</v>
      </c>
      <c r="U31" s="18">
        <f t="shared" si="54"/>
        <v>0</v>
      </c>
      <c r="V31" s="18">
        <f t="shared" si="54"/>
        <v>0</v>
      </c>
      <c r="W31" s="18">
        <f t="shared" si="54"/>
        <v>0</v>
      </c>
      <c r="X31" s="18">
        <f t="shared" si="54"/>
        <v>0</v>
      </c>
      <c r="Y31" s="18">
        <f t="shared" si="54"/>
        <v>0</v>
      </c>
      <c r="Z31" s="18">
        <f t="shared" si="54"/>
        <v>0</v>
      </c>
      <c r="AA31" s="18">
        <f t="shared" si="54"/>
        <v>0</v>
      </c>
      <c r="AB31" s="18">
        <f t="shared" si="54"/>
        <v>0</v>
      </c>
      <c r="AC31" s="18">
        <f t="shared" si="54"/>
        <v>0</v>
      </c>
      <c r="AD31" s="18">
        <f t="shared" si="54"/>
        <v>0</v>
      </c>
      <c r="AE31" s="18">
        <f t="shared" si="54"/>
        <v>0</v>
      </c>
      <c r="AF31" s="18">
        <f t="shared" si="54"/>
        <v>0</v>
      </c>
      <c r="AG31" s="18">
        <f t="shared" si="54"/>
        <v>0</v>
      </c>
      <c r="AH31" s="18">
        <f t="shared" si="54"/>
        <v>0</v>
      </c>
      <c r="AI31" s="18">
        <f t="shared" si="54"/>
        <v>0</v>
      </c>
      <c r="AJ31" s="18">
        <f t="shared" si="54"/>
        <v>0</v>
      </c>
      <c r="AK31" s="18">
        <f t="shared" si="54"/>
        <v>0</v>
      </c>
      <c r="AL31" s="18">
        <f t="shared" si="54"/>
        <v>0</v>
      </c>
      <c r="AM31" s="18">
        <f t="shared" si="54"/>
        <v>0</v>
      </c>
      <c r="AN31" s="18">
        <f t="shared" si="54"/>
        <v>0</v>
      </c>
      <c r="AO31" s="18">
        <f t="shared" si="54"/>
        <v>0</v>
      </c>
      <c r="AP31" s="18">
        <f t="shared" si="54"/>
        <v>0</v>
      </c>
      <c r="AQ31" s="18">
        <f t="shared" si="54"/>
        <v>0</v>
      </c>
      <c r="AR31" s="18">
        <f t="shared" si="54"/>
        <v>0</v>
      </c>
      <c r="AS31" s="18">
        <f t="shared" si="54"/>
        <v>0</v>
      </c>
      <c r="AT31" s="18">
        <f t="shared" si="54"/>
        <v>0</v>
      </c>
      <c r="AU31" s="18">
        <f t="shared" si="54"/>
        <v>0</v>
      </c>
      <c r="AV31" s="18">
        <f t="shared" si="54"/>
        <v>0</v>
      </c>
      <c r="AW31" s="18">
        <f t="shared" si="54"/>
        <v>0</v>
      </c>
    </row>
    <row r="32" spans="1:49" ht="14.25" customHeight="1">
      <c r="A32" s="1"/>
      <c r="B32" s="1"/>
      <c r="C32" s="17" t="s">
        <v>407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</row>
    <row r="33" spans="1:49" ht="14.25" customHeight="1">
      <c r="A33" s="1"/>
      <c r="B33" s="1"/>
      <c r="C33" s="20" t="s">
        <v>408</v>
      </c>
      <c r="D33" s="21">
        <f>SUM(D29:D32)</f>
        <v>-43.456000000000003</v>
      </c>
      <c r="E33" s="21">
        <f t="shared" ref="E33:N33" si="55">SUM(E29:E32)</f>
        <v>4.268320000000001</v>
      </c>
      <c r="F33" s="21">
        <f t="shared" si="55"/>
        <v>4.3963696000000008</v>
      </c>
      <c r="G33" s="21">
        <f t="shared" si="55"/>
        <v>4.5282606879999996</v>
      </c>
      <c r="H33" s="21">
        <f t="shared" si="55"/>
        <v>4.66410850864</v>
      </c>
      <c r="I33" s="21">
        <f t="shared" si="55"/>
        <v>4.8040317638991992</v>
      </c>
      <c r="J33" s="21">
        <f t="shared" si="55"/>
        <v>4.9481527168161756</v>
      </c>
      <c r="K33" s="21">
        <f t="shared" si="55"/>
        <v>5.0965972983206607</v>
      </c>
      <c r="L33" s="21">
        <f t="shared" si="55"/>
        <v>5.2494952172702813</v>
      </c>
      <c r="M33" s="21">
        <f t="shared" si="55"/>
        <v>5.4069800737883895</v>
      </c>
      <c r="N33" s="21">
        <f t="shared" si="55"/>
        <v>5.5691894760020419</v>
      </c>
      <c r="O33" s="21">
        <f t="shared" ref="O33" si="56">SUM(O29:O32)</f>
        <v>5.7362651602821026</v>
      </c>
      <c r="P33" s="21">
        <f t="shared" ref="P33" si="57">SUM(P29:P32)</f>
        <v>5.9083531150905646</v>
      </c>
      <c r="Q33" s="21">
        <f t="shared" ref="Q33" si="58">SUM(Q29:Q32)</f>
        <v>6.0856037085432817</v>
      </c>
      <c r="R33" s="21">
        <f t="shared" ref="R33" si="59">SUM(R29:R32)</f>
        <v>6.2681718197995808</v>
      </c>
      <c r="S33" s="21">
        <f t="shared" ref="S33" si="60">SUM(S29:S32)</f>
        <v>6.456216974393568</v>
      </c>
      <c r="T33" s="21">
        <f t="shared" ref="T33" si="61">SUM(T29:T32)</f>
        <v>6.6499034836253745</v>
      </c>
      <c r="U33" s="21">
        <f t="shared" ref="U33" si="62">SUM(U29:U32)</f>
        <v>6.8494005881341344</v>
      </c>
      <c r="V33" s="21">
        <f t="shared" ref="V33" si="63">SUM(V29:V32)</f>
        <v>7.0548826057781593</v>
      </c>
      <c r="W33" s="21">
        <f t="shared" ref="W33" si="64">SUM(W29:W32)</f>
        <v>7.2665290839515038</v>
      </c>
      <c r="X33" s="21">
        <f t="shared" ref="X33" si="65">SUM(X29:X32)</f>
        <v>7.4845249564700493</v>
      </c>
      <c r="Y33" s="21">
        <f t="shared" ref="Y33" si="66">SUM(Y29:Y32)</f>
        <v>7.7090607051641484</v>
      </c>
      <c r="Z33" s="21">
        <f t="shared" ref="Z33" si="67">SUM(Z29:Z32)</f>
        <v>7.9403325263190752</v>
      </c>
      <c r="AA33" s="21">
        <f t="shared" ref="AA33" si="68">SUM(AA29:AA32)</f>
        <v>8.1785425021086482</v>
      </c>
      <c r="AB33" s="21">
        <f t="shared" ref="AB33" si="69">SUM(AB29:AB32)</f>
        <v>8.4238987771719067</v>
      </c>
      <c r="AC33" s="21">
        <f t="shared" ref="AC33" si="70">SUM(AC29:AC32)</f>
        <v>8.6766157404870654</v>
      </c>
      <c r="AD33" s="21">
        <f t="shared" ref="AD33" si="71">SUM(AD29:AD32)</f>
        <v>8.9369142127016765</v>
      </c>
      <c r="AE33" s="21">
        <f t="shared" ref="AE33" si="72">SUM(AE29:AE32)</f>
        <v>9.2050216390827231</v>
      </c>
      <c r="AF33" s="21">
        <f t="shared" ref="AF33" si="73">SUM(AF29:AF32)</f>
        <v>9.4811722882552072</v>
      </c>
      <c r="AG33" s="21">
        <f t="shared" ref="AG33" si="74">SUM(AG29:AG32)</f>
        <v>9.7656074569028597</v>
      </c>
      <c r="AH33" s="21">
        <f t="shared" ref="AH33" si="75">SUM(AH29:AH32)</f>
        <v>10.058575680609948</v>
      </c>
      <c r="AI33" s="21">
        <f t="shared" ref="AI33" si="76">SUM(AI29:AI32)</f>
        <v>10.360332951028248</v>
      </c>
      <c r="AJ33" s="21">
        <f t="shared" ref="AJ33" si="77">SUM(AJ29:AJ32)</f>
        <v>10.671142939559093</v>
      </c>
      <c r="AK33" s="21">
        <f t="shared" ref="AK33" si="78">SUM(AK29:AK32)</f>
        <v>10.991277227745869</v>
      </c>
      <c r="AL33" s="21">
        <f t="shared" ref="AL33" si="79">SUM(AL29:AL32)</f>
        <v>11.321015544578241</v>
      </c>
      <c r="AM33" s="21">
        <f t="shared" ref="AM33" si="80">SUM(AM29:AM32)</f>
        <v>11.660646010915592</v>
      </c>
      <c r="AN33" s="21">
        <f t="shared" ref="AN33" si="81">SUM(AN29:AN32)</f>
        <v>12.010465391243059</v>
      </c>
      <c r="AO33" s="21">
        <f t="shared" ref="AO33" si="82">SUM(AO29:AO32)</f>
        <v>12.370779352980346</v>
      </c>
      <c r="AP33" s="21">
        <f t="shared" ref="AP33" si="83">SUM(AP29:AP32)</f>
        <v>12.741902733569759</v>
      </c>
      <c r="AQ33" s="21">
        <f>SUM(AQ29:AW32)</f>
        <v>188.0025966684498</v>
      </c>
      <c r="AR33" s="21">
        <f t="shared" ref="AR33" si="84">SUM(AR29:AR32)</f>
        <v>13.517884610044156</v>
      </c>
      <c r="AS33" s="21">
        <f t="shared" ref="AS33" si="85">SUM(AS29:AS32)</f>
        <v>13.923421148345483</v>
      </c>
      <c r="AT33" s="21">
        <f t="shared" ref="AT33" si="86">SUM(AT29:AT32)</f>
        <v>14.341123782795844</v>
      </c>
      <c r="AU33" s="21">
        <f t="shared" ref="AU33" si="87">SUM(AU29:AU32)</f>
        <v>14.771357496279723</v>
      </c>
      <c r="AV33" s="21">
        <f t="shared" ref="AV33" si="88">SUM(AV29:AV32)</f>
        <v>15.21449822116811</v>
      </c>
      <c r="AW33" s="21">
        <f t="shared" ref="AW33" si="89">SUM(AW29:AW32)</f>
        <v>15.670933167803156</v>
      </c>
    </row>
    <row r="34" spans="1:49" ht="14.25" customHeight="1">
      <c r="A34" s="1"/>
      <c r="B34" s="1"/>
      <c r="C34" s="1" t="s">
        <v>409</v>
      </c>
      <c r="D34" s="15">
        <f>-E58</f>
        <v>-39.200000000000003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t="14.25" customHeight="1">
      <c r="A35" s="1"/>
      <c r="B35" s="1"/>
      <c r="C35" s="1" t="s">
        <v>410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t="14.25" customHeight="1">
      <c r="A36" s="1"/>
      <c r="B36" s="1" t="s">
        <v>351</v>
      </c>
      <c r="C36" s="22" t="s">
        <v>411</v>
      </c>
      <c r="D36" s="21">
        <f t="shared" ref="D36:N36" si="90">SUM(D33:D35)</f>
        <v>-82.656000000000006</v>
      </c>
      <c r="E36" s="21">
        <f t="shared" si="90"/>
        <v>4.268320000000001</v>
      </c>
      <c r="F36" s="21">
        <f t="shared" si="90"/>
        <v>4.3963696000000008</v>
      </c>
      <c r="G36" s="21">
        <f t="shared" si="90"/>
        <v>4.5282606879999996</v>
      </c>
      <c r="H36" s="21">
        <f t="shared" si="90"/>
        <v>4.66410850864</v>
      </c>
      <c r="I36" s="21">
        <f t="shared" si="90"/>
        <v>4.8040317638991992</v>
      </c>
      <c r="J36" s="21">
        <f t="shared" si="90"/>
        <v>4.9481527168161756</v>
      </c>
      <c r="K36" s="21">
        <f t="shared" si="90"/>
        <v>5.0965972983206607</v>
      </c>
      <c r="L36" s="21">
        <f t="shared" si="90"/>
        <v>5.2494952172702813</v>
      </c>
      <c r="M36" s="21">
        <f t="shared" si="90"/>
        <v>5.4069800737883895</v>
      </c>
      <c r="N36" s="21">
        <f t="shared" si="90"/>
        <v>5.5691894760020419</v>
      </c>
      <c r="O36" s="21">
        <f t="shared" ref="O36" si="91">SUM(O33:O35)</f>
        <v>5.7362651602821026</v>
      </c>
      <c r="P36" s="21">
        <f t="shared" ref="P36" si="92">SUM(P33:P35)</f>
        <v>5.9083531150905646</v>
      </c>
      <c r="Q36" s="21">
        <f t="shared" ref="Q36" si="93">SUM(Q33:Q35)</f>
        <v>6.0856037085432817</v>
      </c>
      <c r="R36" s="21">
        <f t="shared" ref="R36" si="94">SUM(R33:R35)</f>
        <v>6.2681718197995808</v>
      </c>
      <c r="S36" s="21">
        <f t="shared" ref="S36" si="95">SUM(S33:S35)</f>
        <v>6.456216974393568</v>
      </c>
      <c r="T36" s="21">
        <f t="shared" ref="T36" si="96">SUM(T33:T35)</f>
        <v>6.6499034836253745</v>
      </c>
      <c r="U36" s="21">
        <f t="shared" ref="U36" si="97">SUM(U33:U35)</f>
        <v>6.8494005881341344</v>
      </c>
      <c r="V36" s="21">
        <f t="shared" ref="V36" si="98">SUM(V33:V35)</f>
        <v>7.0548826057781593</v>
      </c>
      <c r="W36" s="21">
        <f t="shared" ref="W36" si="99">SUM(W33:W35)</f>
        <v>7.2665290839515038</v>
      </c>
      <c r="X36" s="21">
        <f t="shared" ref="X36" si="100">SUM(X33:X35)</f>
        <v>7.4845249564700493</v>
      </c>
      <c r="Y36" s="21">
        <f t="shared" ref="Y36" si="101">SUM(Y33:Y35)</f>
        <v>7.7090607051641484</v>
      </c>
      <c r="Z36" s="21">
        <f t="shared" ref="Z36" si="102">SUM(Z33:Z35)</f>
        <v>7.9403325263190752</v>
      </c>
      <c r="AA36" s="21">
        <f t="shared" ref="AA36" si="103">SUM(AA33:AA35)</f>
        <v>8.1785425021086482</v>
      </c>
      <c r="AB36" s="21">
        <f t="shared" ref="AB36" si="104">SUM(AB33:AB35)</f>
        <v>8.4238987771719067</v>
      </c>
      <c r="AC36" s="21">
        <f t="shared" ref="AC36" si="105">SUM(AC33:AC35)</f>
        <v>8.6766157404870654</v>
      </c>
      <c r="AD36" s="21">
        <f t="shared" ref="AD36" si="106">SUM(AD33:AD35)</f>
        <v>8.9369142127016765</v>
      </c>
      <c r="AE36" s="21">
        <f t="shared" ref="AE36" si="107">SUM(AE33:AE35)</f>
        <v>9.2050216390827231</v>
      </c>
      <c r="AF36" s="21">
        <f t="shared" ref="AF36" si="108">SUM(AF33:AF35)</f>
        <v>9.4811722882552072</v>
      </c>
      <c r="AG36" s="21">
        <f t="shared" ref="AG36" si="109">SUM(AG33:AG35)</f>
        <v>9.7656074569028597</v>
      </c>
      <c r="AH36" s="21">
        <f t="shared" ref="AH36" si="110">SUM(AH33:AH35)</f>
        <v>10.058575680609948</v>
      </c>
      <c r="AI36" s="21">
        <f t="shared" ref="AI36" si="111">SUM(AI33:AI35)</f>
        <v>10.360332951028248</v>
      </c>
      <c r="AJ36" s="21">
        <f t="shared" ref="AJ36" si="112">SUM(AJ33:AJ35)</f>
        <v>10.671142939559093</v>
      </c>
      <c r="AK36" s="21">
        <f t="shared" ref="AK36" si="113">SUM(AK33:AK35)</f>
        <v>10.991277227745869</v>
      </c>
      <c r="AL36" s="21">
        <f t="shared" ref="AL36" si="114">SUM(AL33:AL35)</f>
        <v>11.321015544578241</v>
      </c>
      <c r="AM36" s="21">
        <f t="shared" ref="AM36" si="115">SUM(AM33:AM35)</f>
        <v>11.660646010915592</v>
      </c>
      <c r="AN36" s="21">
        <f t="shared" ref="AN36" si="116">SUM(AN33:AN35)</f>
        <v>12.010465391243059</v>
      </c>
      <c r="AO36" s="21">
        <f t="shared" ref="AO36" si="117">SUM(AO33:AO35)</f>
        <v>12.370779352980346</v>
      </c>
      <c r="AP36" s="21">
        <f t="shared" ref="AP36" si="118">SUM(AP33:AP35)</f>
        <v>12.741902733569759</v>
      </c>
      <c r="AQ36" s="21">
        <f>SUM(AQ33:AW35)</f>
        <v>275.44181509488624</v>
      </c>
      <c r="AR36" s="21">
        <f t="shared" ref="AR36" si="119">SUM(AR33:AR35)</f>
        <v>13.517884610044156</v>
      </c>
      <c r="AS36" s="21">
        <f t="shared" ref="AS36" si="120">SUM(AS33:AS35)</f>
        <v>13.923421148345483</v>
      </c>
      <c r="AT36" s="21">
        <f t="shared" ref="AT36" si="121">SUM(AT33:AT35)</f>
        <v>14.341123782795844</v>
      </c>
      <c r="AU36" s="21">
        <f t="shared" ref="AU36" si="122">SUM(AU33:AU35)</f>
        <v>14.771357496279723</v>
      </c>
      <c r="AV36" s="21">
        <f t="shared" ref="AV36" si="123">SUM(AV33:AV35)</f>
        <v>15.21449822116811</v>
      </c>
      <c r="AW36" s="21">
        <f t="shared" ref="AW36" si="124">SUM(AW33:AW35)</f>
        <v>15.670933167803156</v>
      </c>
    </row>
    <row r="37" spans="1:49" ht="14.25" customHeight="1">
      <c r="A37" s="4"/>
      <c r="B37" s="4"/>
      <c r="C37" s="4" t="s">
        <v>412</v>
      </c>
      <c r="D37" s="23">
        <f>D36</f>
        <v>-82.656000000000006</v>
      </c>
      <c r="E37" s="23">
        <f t="shared" ref="E37:N37" si="125">D37+E36</f>
        <v>-78.387680000000003</v>
      </c>
      <c r="F37" s="23">
        <f t="shared" si="125"/>
        <v>-73.991310400000003</v>
      </c>
      <c r="G37" s="23">
        <f t="shared" si="125"/>
        <v>-69.463049712</v>
      </c>
      <c r="H37" s="23">
        <f t="shared" si="125"/>
        <v>-64.798941203360002</v>
      </c>
      <c r="I37" s="23">
        <f t="shared" si="125"/>
        <v>-59.994909439460805</v>
      </c>
      <c r="J37" s="23">
        <f t="shared" si="125"/>
        <v>-55.046756722644631</v>
      </c>
      <c r="K37" s="23">
        <f t="shared" si="125"/>
        <v>-49.950159424323971</v>
      </c>
      <c r="L37" s="23">
        <f t="shared" si="125"/>
        <v>-44.700664207053691</v>
      </c>
      <c r="M37" s="23">
        <f t="shared" si="125"/>
        <v>-39.293684133265302</v>
      </c>
      <c r="N37" s="23">
        <f t="shared" si="125"/>
        <v>-33.724494657263257</v>
      </c>
      <c r="O37" s="23">
        <f t="shared" ref="O37" si="126">N37+O36</f>
        <v>-27.988229496981155</v>
      </c>
      <c r="P37" s="23">
        <f t="shared" ref="P37" si="127">O37+P36</f>
        <v>-22.079876381890593</v>
      </c>
      <c r="Q37" s="23">
        <f t="shared" ref="Q37" si="128">P37+Q36</f>
        <v>-15.994272673347311</v>
      </c>
      <c r="R37" s="23">
        <f t="shared" ref="R37" si="129">Q37+R36</f>
        <v>-9.7261008535477309</v>
      </c>
      <c r="S37" s="23">
        <f t="shared" ref="S37" si="130">R37+S36</f>
        <v>-3.2698838791541629</v>
      </c>
      <c r="T37" s="23">
        <f t="shared" ref="T37" si="131">S37+T36</f>
        <v>3.3800196044712116</v>
      </c>
      <c r="U37" s="23">
        <f t="shared" ref="U37" si="132">T37+U36</f>
        <v>10.229420192605346</v>
      </c>
      <c r="V37" s="23">
        <f t="shared" ref="V37" si="133">U37+V36</f>
        <v>17.284302798383507</v>
      </c>
      <c r="W37" s="23">
        <f t="shared" ref="W37" si="134">V37+W36</f>
        <v>24.550831882335011</v>
      </c>
      <c r="X37" s="23">
        <f t="shared" ref="X37" si="135">W37+X36</f>
        <v>32.035356838805058</v>
      </c>
      <c r="Y37" s="23">
        <f t="shared" ref="Y37" si="136">X37+Y36</f>
        <v>39.744417543969206</v>
      </c>
      <c r="Z37" s="23">
        <f t="shared" ref="Z37" si="137">Y37+Z36</f>
        <v>47.684750070288281</v>
      </c>
      <c r="AA37" s="23">
        <f t="shared" ref="AA37" si="138">Z37+AA36</f>
        <v>55.863292572396929</v>
      </c>
      <c r="AB37" s="23">
        <f t="shared" ref="AB37" si="139">AA37+AB36</f>
        <v>64.287191349568843</v>
      </c>
      <c r="AC37" s="23">
        <f t="shared" ref="AC37" si="140">AB37+AC36</f>
        <v>72.963807090055909</v>
      </c>
      <c r="AD37" s="23">
        <f t="shared" ref="AD37" si="141">AC37+AD36</f>
        <v>81.900721302757589</v>
      </c>
      <c r="AE37" s="23">
        <f t="shared" ref="AE37" si="142">AD37+AE36</f>
        <v>91.105742941840305</v>
      </c>
      <c r="AF37" s="23">
        <f t="shared" ref="AF37" si="143">AE37+AF36</f>
        <v>100.58691523009551</v>
      </c>
      <c r="AG37" s="23">
        <f t="shared" ref="AG37" si="144">AF37+AG36</f>
        <v>110.35252268699837</v>
      </c>
      <c r="AH37" s="23">
        <f t="shared" ref="AH37" si="145">AG37+AH36</f>
        <v>120.41109836760832</v>
      </c>
      <c r="AI37" s="23">
        <f t="shared" ref="AI37" si="146">AH37+AI36</f>
        <v>130.77143131863656</v>
      </c>
      <c r="AJ37" s="23">
        <f t="shared" ref="AJ37" si="147">AI37+AJ36</f>
        <v>141.44257425819566</v>
      </c>
      <c r="AK37" s="23">
        <f t="shared" ref="AK37" si="148">AJ37+AK36</f>
        <v>152.43385148594155</v>
      </c>
      <c r="AL37" s="23">
        <f t="shared" ref="AL37" si="149">AK37+AL36</f>
        <v>163.75486703051979</v>
      </c>
      <c r="AM37" s="23">
        <f t="shared" ref="AM37" si="150">AL37+AM36</f>
        <v>175.41551304143539</v>
      </c>
      <c r="AN37" s="23">
        <f t="shared" ref="AN37" si="151">AM37+AN36</f>
        <v>187.42597843267845</v>
      </c>
      <c r="AO37" s="23">
        <f t="shared" ref="AO37" si="152">AN37+AO36</f>
        <v>199.7967577856588</v>
      </c>
      <c r="AP37" s="23">
        <f t="shared" ref="AP37" si="153">AO37+AP36</f>
        <v>212.53866051922856</v>
      </c>
      <c r="AQ37" s="23">
        <f t="shared" ref="AQ37" si="154">AP37+AQ36</f>
        <v>487.98047561411477</v>
      </c>
      <c r="AR37" s="23">
        <f t="shared" ref="AR37" si="155">AQ37+AR36</f>
        <v>501.49836022415894</v>
      </c>
      <c r="AS37" s="23">
        <f t="shared" ref="AS37" si="156">AR37+AS36</f>
        <v>515.42178137250448</v>
      </c>
      <c r="AT37" s="23">
        <f t="shared" ref="AT37" si="157">AS37+AT36</f>
        <v>529.76290515530036</v>
      </c>
      <c r="AU37" s="23">
        <f t="shared" ref="AU37" si="158">AT37+AU36</f>
        <v>544.53426265158009</v>
      </c>
      <c r="AV37" s="23">
        <f t="shared" ref="AV37" si="159">AU37+AV36</f>
        <v>559.74876087274822</v>
      </c>
      <c r="AW37" s="23">
        <f t="shared" ref="AW37" si="160">AV37+AW36</f>
        <v>575.41969404055135</v>
      </c>
    </row>
    <row r="38" spans="1:49" ht="14.25" customHeight="1">
      <c r="A38" s="4"/>
      <c r="B38" s="4"/>
      <c r="C38" s="4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</row>
    <row r="39" spans="1:49" ht="14.25" customHeight="1">
      <c r="A39" s="4"/>
      <c r="B39" s="4"/>
      <c r="C39" s="2" t="s">
        <v>413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</row>
    <row r="40" spans="1:49" ht="14.25" customHeight="1">
      <c r="A40" s="4"/>
      <c r="B40" s="4"/>
      <c r="C40" s="1" t="s">
        <v>414</v>
      </c>
      <c r="D40" s="15">
        <f>D29</f>
        <v>4.1440000000000001</v>
      </c>
      <c r="E40" s="15">
        <f t="shared" ref="E40:AW40" si="161">E29</f>
        <v>4.268320000000001</v>
      </c>
      <c r="F40" s="15">
        <f t="shared" si="161"/>
        <v>4.3963696000000008</v>
      </c>
      <c r="G40" s="15">
        <f t="shared" si="161"/>
        <v>4.5282606879999996</v>
      </c>
      <c r="H40" s="15">
        <f t="shared" si="161"/>
        <v>4.66410850864</v>
      </c>
      <c r="I40" s="15">
        <f t="shared" si="161"/>
        <v>4.8040317638991992</v>
      </c>
      <c r="J40" s="15">
        <f t="shared" si="161"/>
        <v>4.9481527168161756</v>
      </c>
      <c r="K40" s="15">
        <f t="shared" si="161"/>
        <v>5.0965972983206607</v>
      </c>
      <c r="L40" s="15">
        <f t="shared" si="161"/>
        <v>5.2494952172702813</v>
      </c>
      <c r="M40" s="15">
        <f t="shared" si="161"/>
        <v>5.4069800737883895</v>
      </c>
      <c r="N40" s="15">
        <f t="shared" si="161"/>
        <v>5.5691894760020419</v>
      </c>
      <c r="O40" s="15">
        <f t="shared" si="161"/>
        <v>5.7362651602821026</v>
      </c>
      <c r="P40" s="15">
        <f t="shared" si="161"/>
        <v>5.9083531150905646</v>
      </c>
      <c r="Q40" s="15">
        <f t="shared" si="161"/>
        <v>6.0856037085432817</v>
      </c>
      <c r="R40" s="15">
        <f t="shared" si="161"/>
        <v>6.2681718197995808</v>
      </c>
      <c r="S40" s="15">
        <f t="shared" si="161"/>
        <v>6.456216974393568</v>
      </c>
      <c r="T40" s="15">
        <f t="shared" si="161"/>
        <v>6.6499034836253745</v>
      </c>
      <c r="U40" s="15">
        <f t="shared" si="161"/>
        <v>6.8494005881341344</v>
      </c>
      <c r="V40" s="15">
        <f t="shared" si="161"/>
        <v>7.0548826057781593</v>
      </c>
      <c r="W40" s="15">
        <f t="shared" si="161"/>
        <v>7.2665290839515038</v>
      </c>
      <c r="X40" s="15">
        <f t="shared" si="161"/>
        <v>7.4845249564700493</v>
      </c>
      <c r="Y40" s="15">
        <f t="shared" si="161"/>
        <v>7.7090607051641484</v>
      </c>
      <c r="Z40" s="15">
        <f t="shared" si="161"/>
        <v>7.9403325263190752</v>
      </c>
      <c r="AA40" s="15">
        <f t="shared" si="161"/>
        <v>8.1785425021086482</v>
      </c>
      <c r="AB40" s="15">
        <f t="shared" si="161"/>
        <v>8.4238987771719067</v>
      </c>
      <c r="AC40" s="15">
        <f t="shared" si="161"/>
        <v>8.6766157404870654</v>
      </c>
      <c r="AD40" s="15">
        <f t="shared" si="161"/>
        <v>8.9369142127016765</v>
      </c>
      <c r="AE40" s="15">
        <f t="shared" si="161"/>
        <v>9.2050216390827231</v>
      </c>
      <c r="AF40" s="15">
        <f t="shared" si="161"/>
        <v>9.4811722882552072</v>
      </c>
      <c r="AG40" s="15">
        <f t="shared" si="161"/>
        <v>9.7656074569028597</v>
      </c>
      <c r="AH40" s="15">
        <f t="shared" si="161"/>
        <v>10.058575680609948</v>
      </c>
      <c r="AI40" s="15">
        <f t="shared" si="161"/>
        <v>10.360332951028248</v>
      </c>
      <c r="AJ40" s="15">
        <f t="shared" si="161"/>
        <v>10.671142939559093</v>
      </c>
      <c r="AK40" s="15">
        <f t="shared" si="161"/>
        <v>10.991277227745869</v>
      </c>
      <c r="AL40" s="15">
        <f t="shared" si="161"/>
        <v>11.321015544578241</v>
      </c>
      <c r="AM40" s="15">
        <f t="shared" si="161"/>
        <v>11.660646010915592</v>
      </c>
      <c r="AN40" s="15">
        <f t="shared" si="161"/>
        <v>12.010465391243059</v>
      </c>
      <c r="AO40" s="15">
        <f t="shared" si="161"/>
        <v>12.370779352980346</v>
      </c>
      <c r="AP40" s="15">
        <f t="shared" si="161"/>
        <v>12.741902733569759</v>
      </c>
      <c r="AQ40" s="15">
        <f t="shared" si="161"/>
        <v>100.56337824201333</v>
      </c>
      <c r="AR40" s="15">
        <f t="shared" si="161"/>
        <v>13.517884610044156</v>
      </c>
      <c r="AS40" s="15">
        <f t="shared" si="161"/>
        <v>13.923421148345483</v>
      </c>
      <c r="AT40" s="15">
        <f t="shared" si="161"/>
        <v>14.341123782795844</v>
      </c>
      <c r="AU40" s="15">
        <f t="shared" si="161"/>
        <v>14.771357496279723</v>
      </c>
      <c r="AV40" s="15">
        <f t="shared" si="161"/>
        <v>15.21449822116811</v>
      </c>
      <c r="AW40" s="15">
        <f t="shared" si="161"/>
        <v>15.670933167803156</v>
      </c>
    </row>
    <row r="41" spans="1:49" ht="14.25" customHeight="1">
      <c r="A41" s="4"/>
      <c r="B41" s="4"/>
      <c r="C41" s="1" t="s">
        <v>415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</row>
    <row r="42" spans="1:49" ht="14.25" customHeight="1">
      <c r="A42" s="4"/>
      <c r="B42" s="4"/>
      <c r="C42" s="1" t="s">
        <v>416</v>
      </c>
      <c r="D42" s="15">
        <f>-D17</f>
        <v>47.6</v>
      </c>
      <c r="E42" s="15">
        <f t="shared" ref="E42:AW42" si="162">-E17</f>
        <v>0</v>
      </c>
      <c r="F42" s="15">
        <f t="shared" si="162"/>
        <v>0</v>
      </c>
      <c r="G42" s="15">
        <f t="shared" si="162"/>
        <v>0</v>
      </c>
      <c r="H42" s="15">
        <f t="shared" si="162"/>
        <v>0</v>
      </c>
      <c r="I42" s="15">
        <f t="shared" si="162"/>
        <v>0</v>
      </c>
      <c r="J42" s="15">
        <f t="shared" si="162"/>
        <v>0</v>
      </c>
      <c r="K42" s="15">
        <f t="shared" si="162"/>
        <v>0</v>
      </c>
      <c r="L42" s="15">
        <f t="shared" si="162"/>
        <v>0</v>
      </c>
      <c r="M42" s="15">
        <f t="shared" si="162"/>
        <v>0</v>
      </c>
      <c r="N42" s="15">
        <f t="shared" si="162"/>
        <v>0</v>
      </c>
      <c r="O42" s="15">
        <f t="shared" si="162"/>
        <v>0</v>
      </c>
      <c r="P42" s="15">
        <f t="shared" si="162"/>
        <v>0</v>
      </c>
      <c r="Q42" s="15">
        <f t="shared" si="162"/>
        <v>0</v>
      </c>
      <c r="R42" s="15">
        <f t="shared" si="162"/>
        <v>0</v>
      </c>
      <c r="S42" s="15">
        <f t="shared" si="162"/>
        <v>0</v>
      </c>
      <c r="T42" s="15">
        <f t="shared" si="162"/>
        <v>0</v>
      </c>
      <c r="U42" s="15">
        <f t="shared" si="162"/>
        <v>0</v>
      </c>
      <c r="V42" s="15">
        <f t="shared" si="162"/>
        <v>0</v>
      </c>
      <c r="W42" s="15">
        <f t="shared" si="162"/>
        <v>0</v>
      </c>
      <c r="X42" s="15">
        <f t="shared" si="162"/>
        <v>0</v>
      </c>
      <c r="Y42" s="15">
        <f t="shared" si="162"/>
        <v>0</v>
      </c>
      <c r="Z42" s="15">
        <f t="shared" si="162"/>
        <v>0</v>
      </c>
      <c r="AA42" s="15">
        <f t="shared" si="162"/>
        <v>0</v>
      </c>
      <c r="AB42" s="15">
        <f t="shared" si="162"/>
        <v>0</v>
      </c>
      <c r="AC42" s="15">
        <f t="shared" si="162"/>
        <v>0</v>
      </c>
      <c r="AD42" s="15">
        <f t="shared" si="162"/>
        <v>0</v>
      </c>
      <c r="AE42" s="15">
        <f t="shared" si="162"/>
        <v>0</v>
      </c>
      <c r="AF42" s="15">
        <f t="shared" si="162"/>
        <v>0</v>
      </c>
      <c r="AG42" s="15">
        <f t="shared" si="162"/>
        <v>0</v>
      </c>
      <c r="AH42" s="15">
        <f t="shared" si="162"/>
        <v>0</v>
      </c>
      <c r="AI42" s="15">
        <f t="shared" si="162"/>
        <v>0</v>
      </c>
      <c r="AJ42" s="15">
        <f t="shared" si="162"/>
        <v>0</v>
      </c>
      <c r="AK42" s="15">
        <f t="shared" si="162"/>
        <v>0</v>
      </c>
      <c r="AL42" s="15">
        <f t="shared" si="162"/>
        <v>0</v>
      </c>
      <c r="AM42" s="15">
        <f t="shared" si="162"/>
        <v>0</v>
      </c>
      <c r="AN42" s="15">
        <f t="shared" si="162"/>
        <v>0</v>
      </c>
      <c r="AO42" s="15">
        <f t="shared" si="162"/>
        <v>0</v>
      </c>
      <c r="AP42" s="15">
        <f t="shared" si="162"/>
        <v>0</v>
      </c>
      <c r="AQ42" s="15">
        <f t="shared" si="162"/>
        <v>0</v>
      </c>
      <c r="AR42" s="15">
        <f t="shared" si="162"/>
        <v>0</v>
      </c>
      <c r="AS42" s="15">
        <f t="shared" si="162"/>
        <v>0</v>
      </c>
      <c r="AT42" s="15">
        <f t="shared" si="162"/>
        <v>0</v>
      </c>
      <c r="AU42" s="15">
        <f t="shared" si="162"/>
        <v>0</v>
      </c>
      <c r="AV42" s="15">
        <f t="shared" si="162"/>
        <v>0</v>
      </c>
      <c r="AW42" s="15">
        <f t="shared" si="162"/>
        <v>0</v>
      </c>
    </row>
    <row r="43" spans="1:49" ht="14.25" customHeight="1">
      <c r="A43" s="4"/>
      <c r="B43" s="4"/>
      <c r="C43" s="1" t="s">
        <v>417</v>
      </c>
      <c r="D43" s="324">
        <f>-D139</f>
        <v>0</v>
      </c>
      <c r="E43" s="324">
        <f t="shared" ref="E43:AW43" si="163">-E139</f>
        <v>0</v>
      </c>
      <c r="F43" s="324">
        <f t="shared" si="163"/>
        <v>0</v>
      </c>
      <c r="G43" s="324">
        <f t="shared" si="163"/>
        <v>0</v>
      </c>
      <c r="H43" s="324">
        <f t="shared" si="163"/>
        <v>0</v>
      </c>
      <c r="I43" s="324">
        <f t="shared" si="163"/>
        <v>0</v>
      </c>
      <c r="J43" s="324">
        <f t="shared" si="163"/>
        <v>0</v>
      </c>
      <c r="K43" s="324">
        <f t="shared" si="163"/>
        <v>0</v>
      </c>
      <c r="L43" s="324">
        <f t="shared" si="163"/>
        <v>0</v>
      </c>
      <c r="M43" s="324">
        <f t="shared" si="163"/>
        <v>0</v>
      </c>
      <c r="N43" s="324">
        <f t="shared" si="163"/>
        <v>0</v>
      </c>
      <c r="O43" s="324">
        <f t="shared" si="163"/>
        <v>0</v>
      </c>
      <c r="P43" s="324">
        <f t="shared" si="163"/>
        <v>0</v>
      </c>
      <c r="Q43" s="324">
        <f t="shared" si="163"/>
        <v>0</v>
      </c>
      <c r="R43" s="324">
        <f t="shared" si="163"/>
        <v>0</v>
      </c>
      <c r="S43" s="324">
        <f t="shared" si="163"/>
        <v>0</v>
      </c>
      <c r="T43" s="324">
        <f t="shared" si="163"/>
        <v>0</v>
      </c>
      <c r="U43" s="324">
        <f t="shared" si="163"/>
        <v>0</v>
      </c>
      <c r="V43" s="324">
        <f t="shared" si="163"/>
        <v>0</v>
      </c>
      <c r="W43" s="324">
        <f t="shared" si="163"/>
        <v>0</v>
      </c>
      <c r="X43" s="324">
        <f t="shared" si="163"/>
        <v>0</v>
      </c>
      <c r="Y43" s="324">
        <f t="shared" si="163"/>
        <v>0</v>
      </c>
      <c r="Z43" s="324">
        <f t="shared" si="163"/>
        <v>0</v>
      </c>
      <c r="AA43" s="324">
        <f t="shared" si="163"/>
        <v>0</v>
      </c>
      <c r="AB43" s="324">
        <f t="shared" si="163"/>
        <v>0</v>
      </c>
      <c r="AC43" s="324">
        <f t="shared" si="163"/>
        <v>0</v>
      </c>
      <c r="AD43" s="324">
        <f t="shared" si="163"/>
        <v>0</v>
      </c>
      <c r="AE43" s="324">
        <f t="shared" si="163"/>
        <v>0</v>
      </c>
      <c r="AF43" s="324">
        <f t="shared" si="163"/>
        <v>0</v>
      </c>
      <c r="AG43" s="324">
        <f t="shared" si="163"/>
        <v>0</v>
      </c>
      <c r="AH43" s="324">
        <f t="shared" si="163"/>
        <v>0</v>
      </c>
      <c r="AI43" s="324">
        <f t="shared" si="163"/>
        <v>0</v>
      </c>
      <c r="AJ43" s="324">
        <f t="shared" si="163"/>
        <v>0</v>
      </c>
      <c r="AK43" s="324">
        <f t="shared" si="163"/>
        <v>0</v>
      </c>
      <c r="AL43" s="324">
        <f t="shared" si="163"/>
        <v>0</v>
      </c>
      <c r="AM43" s="324">
        <f t="shared" si="163"/>
        <v>0</v>
      </c>
      <c r="AN43" s="324">
        <f t="shared" si="163"/>
        <v>0</v>
      </c>
      <c r="AO43" s="324">
        <f t="shared" si="163"/>
        <v>0</v>
      </c>
      <c r="AP43" s="324">
        <f t="shared" si="163"/>
        <v>0</v>
      </c>
      <c r="AQ43" s="324">
        <f t="shared" si="163"/>
        <v>0</v>
      </c>
      <c r="AR43" s="324">
        <f t="shared" si="163"/>
        <v>0</v>
      </c>
      <c r="AS43" s="324">
        <f t="shared" si="163"/>
        <v>0</v>
      </c>
      <c r="AT43" s="324">
        <f t="shared" si="163"/>
        <v>0</v>
      </c>
      <c r="AU43" s="324">
        <f t="shared" si="163"/>
        <v>0</v>
      </c>
      <c r="AV43" s="324">
        <f t="shared" si="163"/>
        <v>0</v>
      </c>
      <c r="AW43" s="324">
        <f t="shared" si="163"/>
        <v>0</v>
      </c>
    </row>
    <row r="44" spans="1:49" ht="14.25" customHeight="1">
      <c r="A44" s="4"/>
      <c r="B44" s="4"/>
      <c r="C44" s="1" t="s">
        <v>418</v>
      </c>
      <c r="D44" s="8">
        <f>SUM(E58,D42:D43)</f>
        <v>86.800000000000011</v>
      </c>
      <c r="E44" s="8">
        <f>SUM(D44,E42:E43)</f>
        <v>86.800000000000011</v>
      </c>
      <c r="F44" s="8">
        <f t="shared" ref="F44:AW44" si="164">SUM(E44,F42:F43)</f>
        <v>86.800000000000011</v>
      </c>
      <c r="G44" s="8">
        <f t="shared" si="164"/>
        <v>86.800000000000011</v>
      </c>
      <c r="H44" s="8">
        <f t="shared" si="164"/>
        <v>86.800000000000011</v>
      </c>
      <c r="I44" s="8">
        <f t="shared" si="164"/>
        <v>86.800000000000011</v>
      </c>
      <c r="J44" s="8">
        <f t="shared" si="164"/>
        <v>86.800000000000011</v>
      </c>
      <c r="K44" s="8">
        <f t="shared" si="164"/>
        <v>86.800000000000011</v>
      </c>
      <c r="L44" s="8">
        <f t="shared" si="164"/>
        <v>86.800000000000011</v>
      </c>
      <c r="M44" s="8">
        <f t="shared" si="164"/>
        <v>86.800000000000011</v>
      </c>
      <c r="N44" s="8">
        <f t="shared" si="164"/>
        <v>86.800000000000011</v>
      </c>
      <c r="O44" s="8">
        <f t="shared" si="164"/>
        <v>86.800000000000011</v>
      </c>
      <c r="P44" s="8">
        <f t="shared" si="164"/>
        <v>86.800000000000011</v>
      </c>
      <c r="Q44" s="8">
        <f t="shared" si="164"/>
        <v>86.800000000000011</v>
      </c>
      <c r="R44" s="8">
        <f t="shared" si="164"/>
        <v>86.800000000000011</v>
      </c>
      <c r="S44" s="8">
        <f t="shared" si="164"/>
        <v>86.800000000000011</v>
      </c>
      <c r="T44" s="8">
        <f t="shared" si="164"/>
        <v>86.800000000000011</v>
      </c>
      <c r="U44" s="8">
        <f t="shared" si="164"/>
        <v>86.800000000000011</v>
      </c>
      <c r="V44" s="8">
        <f t="shared" si="164"/>
        <v>86.800000000000011</v>
      </c>
      <c r="W44" s="8">
        <f t="shared" si="164"/>
        <v>86.800000000000011</v>
      </c>
      <c r="X44" s="8">
        <f t="shared" si="164"/>
        <v>86.800000000000011</v>
      </c>
      <c r="Y44" s="8">
        <f t="shared" si="164"/>
        <v>86.800000000000011</v>
      </c>
      <c r="Z44" s="8">
        <f t="shared" si="164"/>
        <v>86.800000000000011</v>
      </c>
      <c r="AA44" s="8">
        <f t="shared" si="164"/>
        <v>86.800000000000011</v>
      </c>
      <c r="AB44" s="8">
        <f t="shared" si="164"/>
        <v>86.800000000000011</v>
      </c>
      <c r="AC44" s="8">
        <f t="shared" si="164"/>
        <v>86.800000000000011</v>
      </c>
      <c r="AD44" s="8">
        <f t="shared" si="164"/>
        <v>86.800000000000011</v>
      </c>
      <c r="AE44" s="8">
        <f t="shared" si="164"/>
        <v>86.800000000000011</v>
      </c>
      <c r="AF44" s="8">
        <f t="shared" si="164"/>
        <v>86.800000000000011</v>
      </c>
      <c r="AG44" s="8">
        <f t="shared" si="164"/>
        <v>86.800000000000011</v>
      </c>
      <c r="AH44" s="8">
        <f t="shared" si="164"/>
        <v>86.800000000000011</v>
      </c>
      <c r="AI44" s="8">
        <f t="shared" si="164"/>
        <v>86.800000000000011</v>
      </c>
      <c r="AJ44" s="8">
        <f t="shared" si="164"/>
        <v>86.800000000000011</v>
      </c>
      <c r="AK44" s="8">
        <f t="shared" si="164"/>
        <v>86.800000000000011</v>
      </c>
      <c r="AL44" s="8">
        <f t="shared" si="164"/>
        <v>86.800000000000011</v>
      </c>
      <c r="AM44" s="8">
        <f t="shared" si="164"/>
        <v>86.800000000000011</v>
      </c>
      <c r="AN44" s="8">
        <f t="shared" si="164"/>
        <v>86.800000000000011</v>
      </c>
      <c r="AO44" s="8">
        <f t="shared" si="164"/>
        <v>86.800000000000011</v>
      </c>
      <c r="AP44" s="8">
        <f t="shared" si="164"/>
        <v>86.800000000000011</v>
      </c>
      <c r="AQ44" s="8">
        <f t="shared" si="164"/>
        <v>86.800000000000011</v>
      </c>
      <c r="AR44" s="8">
        <f t="shared" si="164"/>
        <v>86.800000000000011</v>
      </c>
      <c r="AS44" s="8">
        <f t="shared" si="164"/>
        <v>86.800000000000011</v>
      </c>
      <c r="AT44" s="8">
        <f t="shared" si="164"/>
        <v>86.800000000000011</v>
      </c>
      <c r="AU44" s="8">
        <f t="shared" si="164"/>
        <v>86.800000000000011</v>
      </c>
      <c r="AV44" s="8">
        <f t="shared" si="164"/>
        <v>86.800000000000011</v>
      </c>
      <c r="AW44" s="8">
        <f t="shared" si="164"/>
        <v>86.800000000000011</v>
      </c>
    </row>
    <row r="45" spans="1:49" ht="14.25" customHeight="1">
      <c r="A45" s="4"/>
      <c r="B45" s="4"/>
      <c r="C45" s="325" t="s">
        <v>419</v>
      </c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26"/>
      <c r="AU45" s="326"/>
      <c r="AV45" s="326"/>
      <c r="AW45" s="326"/>
    </row>
    <row r="46" spans="1:49" ht="14.25" customHeight="1">
      <c r="A46" s="4"/>
      <c r="B46" s="4"/>
      <c r="C46" s="1" t="s">
        <v>420</v>
      </c>
      <c r="D46" s="8">
        <f>SUM(D44:D45)</f>
        <v>86.800000000000011</v>
      </c>
      <c r="E46" s="8">
        <f t="shared" ref="E46:AW46" si="165">SUM(E44:E45)</f>
        <v>86.800000000000011</v>
      </c>
      <c r="F46" s="8">
        <f t="shared" si="165"/>
        <v>86.800000000000011</v>
      </c>
      <c r="G46" s="8">
        <f t="shared" si="165"/>
        <v>86.800000000000011</v>
      </c>
      <c r="H46" s="8">
        <f t="shared" si="165"/>
        <v>86.800000000000011</v>
      </c>
      <c r="I46" s="8">
        <f t="shared" si="165"/>
        <v>86.800000000000011</v>
      </c>
      <c r="J46" s="8">
        <f t="shared" si="165"/>
        <v>86.800000000000011</v>
      </c>
      <c r="K46" s="8">
        <f t="shared" si="165"/>
        <v>86.800000000000011</v>
      </c>
      <c r="L46" s="8">
        <f t="shared" si="165"/>
        <v>86.800000000000011</v>
      </c>
      <c r="M46" s="8">
        <f t="shared" si="165"/>
        <v>86.800000000000011</v>
      </c>
      <c r="N46" s="8">
        <f t="shared" si="165"/>
        <v>86.800000000000011</v>
      </c>
      <c r="O46" s="8">
        <f t="shared" si="165"/>
        <v>86.800000000000011</v>
      </c>
      <c r="P46" s="8">
        <f t="shared" si="165"/>
        <v>86.800000000000011</v>
      </c>
      <c r="Q46" s="8">
        <f t="shared" si="165"/>
        <v>86.800000000000011</v>
      </c>
      <c r="R46" s="8">
        <f t="shared" si="165"/>
        <v>86.800000000000011</v>
      </c>
      <c r="S46" s="8">
        <f t="shared" si="165"/>
        <v>86.800000000000011</v>
      </c>
      <c r="T46" s="8">
        <f t="shared" si="165"/>
        <v>86.800000000000011</v>
      </c>
      <c r="U46" s="8">
        <f t="shared" si="165"/>
        <v>86.800000000000011</v>
      </c>
      <c r="V46" s="8">
        <f t="shared" si="165"/>
        <v>86.800000000000011</v>
      </c>
      <c r="W46" s="8">
        <f t="shared" si="165"/>
        <v>86.800000000000011</v>
      </c>
      <c r="X46" s="8">
        <f t="shared" si="165"/>
        <v>86.800000000000011</v>
      </c>
      <c r="Y46" s="8">
        <f t="shared" si="165"/>
        <v>86.800000000000011</v>
      </c>
      <c r="Z46" s="8">
        <f t="shared" si="165"/>
        <v>86.800000000000011</v>
      </c>
      <c r="AA46" s="8">
        <f t="shared" si="165"/>
        <v>86.800000000000011</v>
      </c>
      <c r="AB46" s="8">
        <f t="shared" si="165"/>
        <v>86.800000000000011</v>
      </c>
      <c r="AC46" s="8">
        <f t="shared" si="165"/>
        <v>86.800000000000011</v>
      </c>
      <c r="AD46" s="8">
        <f t="shared" si="165"/>
        <v>86.800000000000011</v>
      </c>
      <c r="AE46" s="8">
        <f t="shared" si="165"/>
        <v>86.800000000000011</v>
      </c>
      <c r="AF46" s="8">
        <f t="shared" si="165"/>
        <v>86.800000000000011</v>
      </c>
      <c r="AG46" s="8">
        <f t="shared" si="165"/>
        <v>86.800000000000011</v>
      </c>
      <c r="AH46" s="8">
        <f t="shared" si="165"/>
        <v>86.800000000000011</v>
      </c>
      <c r="AI46" s="8">
        <f t="shared" si="165"/>
        <v>86.800000000000011</v>
      </c>
      <c r="AJ46" s="8">
        <f t="shared" si="165"/>
        <v>86.800000000000011</v>
      </c>
      <c r="AK46" s="8">
        <f t="shared" si="165"/>
        <v>86.800000000000011</v>
      </c>
      <c r="AL46" s="8">
        <f t="shared" si="165"/>
        <v>86.800000000000011</v>
      </c>
      <c r="AM46" s="8">
        <f t="shared" si="165"/>
        <v>86.800000000000011</v>
      </c>
      <c r="AN46" s="8">
        <f t="shared" si="165"/>
        <v>86.800000000000011</v>
      </c>
      <c r="AO46" s="8">
        <f t="shared" si="165"/>
        <v>86.800000000000011</v>
      </c>
      <c r="AP46" s="8">
        <f t="shared" si="165"/>
        <v>86.800000000000011</v>
      </c>
      <c r="AQ46" s="8">
        <f t="shared" si="165"/>
        <v>86.800000000000011</v>
      </c>
      <c r="AR46" s="8">
        <f t="shared" si="165"/>
        <v>86.800000000000011</v>
      </c>
      <c r="AS46" s="8">
        <f t="shared" si="165"/>
        <v>86.800000000000011</v>
      </c>
      <c r="AT46" s="8">
        <f t="shared" si="165"/>
        <v>86.800000000000011</v>
      </c>
      <c r="AU46" s="8">
        <f t="shared" si="165"/>
        <v>86.800000000000011</v>
      </c>
      <c r="AV46" s="8">
        <f t="shared" si="165"/>
        <v>86.800000000000011</v>
      </c>
      <c r="AW46" s="8">
        <f t="shared" si="165"/>
        <v>86.800000000000011</v>
      </c>
    </row>
    <row r="47" spans="1:49" s="76" customFormat="1" ht="14.25" customHeight="1">
      <c r="A47" s="327"/>
      <c r="B47" s="2" t="s">
        <v>351</v>
      </c>
      <c r="C47" s="2" t="s">
        <v>421</v>
      </c>
      <c r="D47" s="328">
        <f>IFERROR(D40/D46,"n.a.")</f>
        <v>4.7741935483870963E-2</v>
      </c>
      <c r="E47" s="328">
        <f t="shared" ref="E47:AW47" si="166">IFERROR(E40/E46,"n.a.")</f>
        <v>4.9174193548387105E-2</v>
      </c>
      <c r="F47" s="328">
        <f t="shared" si="166"/>
        <v>5.0649419354838715E-2</v>
      </c>
      <c r="G47" s="328">
        <f t="shared" si="166"/>
        <v>5.2168901935483861E-2</v>
      </c>
      <c r="H47" s="328">
        <f t="shared" si="166"/>
        <v>5.3733968993548382E-2</v>
      </c>
      <c r="I47" s="328">
        <f t="shared" si="166"/>
        <v>5.534598806335482E-2</v>
      </c>
      <c r="J47" s="328">
        <f t="shared" si="166"/>
        <v>5.7006367705255474E-2</v>
      </c>
      <c r="K47" s="328">
        <f t="shared" si="166"/>
        <v>5.8716558736413134E-2</v>
      </c>
      <c r="L47" s="328">
        <f t="shared" si="166"/>
        <v>6.0478055498505538E-2</v>
      </c>
      <c r="M47" s="328">
        <f t="shared" si="166"/>
        <v>6.2292397163460703E-2</v>
      </c>
      <c r="N47" s="328">
        <f t="shared" si="166"/>
        <v>6.4161169078364527E-2</v>
      </c>
      <c r="O47" s="328">
        <f t="shared" si="166"/>
        <v>6.6086004150715458E-2</v>
      </c>
      <c r="P47" s="328">
        <f t="shared" si="166"/>
        <v>6.8068584275236904E-2</v>
      </c>
      <c r="Q47" s="328">
        <f t="shared" si="166"/>
        <v>7.0110641803494023E-2</v>
      </c>
      <c r="R47" s="328">
        <f t="shared" si="166"/>
        <v>7.2213961057598849E-2</v>
      </c>
      <c r="S47" s="328">
        <f t="shared" si="166"/>
        <v>7.4380379889326817E-2</v>
      </c>
      <c r="T47" s="328">
        <f t="shared" si="166"/>
        <v>7.6611791286006606E-2</v>
      </c>
      <c r="U47" s="328">
        <f t="shared" si="166"/>
        <v>7.8910145024586792E-2</v>
      </c>
      <c r="V47" s="328">
        <f t="shared" si="166"/>
        <v>8.1277449375324412E-2</v>
      </c>
      <c r="W47" s="328">
        <f t="shared" si="166"/>
        <v>8.3715772856584131E-2</v>
      </c>
      <c r="X47" s="328">
        <f t="shared" si="166"/>
        <v>8.6227246042281658E-2</v>
      </c>
      <c r="Y47" s="328">
        <f t="shared" si="166"/>
        <v>8.8814063423550083E-2</v>
      </c>
      <c r="Z47" s="328">
        <f t="shared" si="166"/>
        <v>9.1478485326256617E-2</v>
      </c>
      <c r="AA47" s="328">
        <f t="shared" si="166"/>
        <v>9.4222839886044324E-2</v>
      </c>
      <c r="AB47" s="328">
        <f t="shared" si="166"/>
        <v>9.704952508262564E-2</v>
      </c>
      <c r="AC47" s="328">
        <f t="shared" si="166"/>
        <v>9.9961010835104433E-2</v>
      </c>
      <c r="AD47" s="328">
        <f t="shared" si="166"/>
        <v>0.10295984116015755</v>
      </c>
      <c r="AE47" s="328">
        <f t="shared" si="166"/>
        <v>0.10604863639496223</v>
      </c>
      <c r="AF47" s="328">
        <f t="shared" si="166"/>
        <v>0.10923009548681113</v>
      </c>
      <c r="AG47" s="328">
        <f t="shared" si="166"/>
        <v>0.11250699835141542</v>
      </c>
      <c r="AH47" s="328">
        <f t="shared" si="166"/>
        <v>0.11588220830195792</v>
      </c>
      <c r="AI47" s="328">
        <f t="shared" si="166"/>
        <v>0.11935867455101666</v>
      </c>
      <c r="AJ47" s="328">
        <f t="shared" si="166"/>
        <v>0.12293943478754714</v>
      </c>
      <c r="AK47" s="328">
        <f t="shared" si="166"/>
        <v>0.12662761783117357</v>
      </c>
      <c r="AL47" s="328">
        <f t="shared" si="166"/>
        <v>0.13042644636610876</v>
      </c>
      <c r="AM47" s="328">
        <f t="shared" si="166"/>
        <v>0.13433923975709205</v>
      </c>
      <c r="AN47" s="328">
        <f t="shared" si="166"/>
        <v>0.13836941694980481</v>
      </c>
      <c r="AO47" s="328">
        <f t="shared" si="166"/>
        <v>0.14252049945829889</v>
      </c>
      <c r="AP47" s="328">
        <f t="shared" si="166"/>
        <v>0.1467961144420479</v>
      </c>
      <c r="AQ47" s="328">
        <f t="shared" si="166"/>
        <v>1.1585642654609829</v>
      </c>
      <c r="AR47" s="328">
        <f t="shared" si="166"/>
        <v>0.1557359978115686</v>
      </c>
      <c r="AS47" s="328">
        <f t="shared" si="166"/>
        <v>0.16040807774591567</v>
      </c>
      <c r="AT47" s="328">
        <f t="shared" si="166"/>
        <v>0.1652203200782931</v>
      </c>
      <c r="AU47" s="328">
        <f t="shared" si="166"/>
        <v>0.17017692968064194</v>
      </c>
      <c r="AV47" s="328">
        <f t="shared" si="166"/>
        <v>0.17528223757106115</v>
      </c>
      <c r="AW47" s="328">
        <f t="shared" si="166"/>
        <v>0.18054070469819303</v>
      </c>
    </row>
    <row r="50" spans="3:49" s="76" customFormat="1" ht="14.25" customHeight="1">
      <c r="C50" s="2" t="s">
        <v>422</v>
      </c>
      <c r="D50" s="329">
        <f>D23</f>
        <v>0</v>
      </c>
      <c r="E50" s="329">
        <f t="shared" ref="E50:AW50" si="167">E23</f>
        <v>1</v>
      </c>
      <c r="F50" s="329">
        <f t="shared" si="167"/>
        <v>2</v>
      </c>
      <c r="G50" s="329">
        <f t="shared" si="167"/>
        <v>3</v>
      </c>
      <c r="H50" s="329">
        <f t="shared" si="167"/>
        <v>4</v>
      </c>
      <c r="I50" s="329">
        <f t="shared" si="167"/>
        <v>5</v>
      </c>
      <c r="J50" s="329">
        <f t="shared" si="167"/>
        <v>6</v>
      </c>
      <c r="K50" s="329">
        <f t="shared" si="167"/>
        <v>7</v>
      </c>
      <c r="L50" s="329">
        <f t="shared" si="167"/>
        <v>8</v>
      </c>
      <c r="M50" s="329">
        <f t="shared" si="167"/>
        <v>9</v>
      </c>
      <c r="N50" s="329">
        <f t="shared" si="167"/>
        <v>10</v>
      </c>
      <c r="O50" s="329">
        <f t="shared" si="167"/>
        <v>11</v>
      </c>
      <c r="P50" s="329">
        <f t="shared" si="167"/>
        <v>12</v>
      </c>
      <c r="Q50" s="329">
        <f t="shared" si="167"/>
        <v>13</v>
      </c>
      <c r="R50" s="329">
        <f t="shared" si="167"/>
        <v>14</v>
      </c>
      <c r="S50" s="329">
        <f t="shared" si="167"/>
        <v>15</v>
      </c>
      <c r="T50" s="329">
        <f t="shared" si="167"/>
        <v>16</v>
      </c>
      <c r="U50" s="329">
        <f t="shared" si="167"/>
        <v>17</v>
      </c>
      <c r="V50" s="329">
        <f t="shared" si="167"/>
        <v>18</v>
      </c>
      <c r="W50" s="329">
        <f t="shared" si="167"/>
        <v>19</v>
      </c>
      <c r="X50" s="329">
        <f t="shared" si="167"/>
        <v>20</v>
      </c>
      <c r="Y50" s="329">
        <f t="shared" si="167"/>
        <v>21</v>
      </c>
      <c r="Z50" s="329">
        <f t="shared" si="167"/>
        <v>22</v>
      </c>
      <c r="AA50" s="329">
        <f t="shared" si="167"/>
        <v>23</v>
      </c>
      <c r="AB50" s="329">
        <f t="shared" si="167"/>
        <v>24</v>
      </c>
      <c r="AC50" s="329">
        <f t="shared" si="167"/>
        <v>25</v>
      </c>
      <c r="AD50" s="329">
        <f t="shared" si="167"/>
        <v>26</v>
      </c>
      <c r="AE50" s="329">
        <f t="shared" si="167"/>
        <v>27</v>
      </c>
      <c r="AF50" s="329">
        <f t="shared" si="167"/>
        <v>28</v>
      </c>
      <c r="AG50" s="329">
        <f t="shared" si="167"/>
        <v>29</v>
      </c>
      <c r="AH50" s="329">
        <f t="shared" si="167"/>
        <v>30</v>
      </c>
      <c r="AI50" s="329">
        <f t="shared" si="167"/>
        <v>31</v>
      </c>
      <c r="AJ50" s="329">
        <f t="shared" si="167"/>
        <v>32</v>
      </c>
      <c r="AK50" s="329">
        <f t="shared" si="167"/>
        <v>33</v>
      </c>
      <c r="AL50" s="329">
        <f t="shared" si="167"/>
        <v>34</v>
      </c>
      <c r="AM50" s="329">
        <f t="shared" si="167"/>
        <v>35</v>
      </c>
      <c r="AN50" s="329">
        <f t="shared" si="167"/>
        <v>36</v>
      </c>
      <c r="AO50" s="329">
        <f t="shared" si="167"/>
        <v>37</v>
      </c>
      <c r="AP50" s="329">
        <f t="shared" si="167"/>
        <v>38</v>
      </c>
      <c r="AQ50" s="329">
        <f t="shared" si="167"/>
        <v>39</v>
      </c>
      <c r="AR50" s="329">
        <f t="shared" si="167"/>
        <v>40</v>
      </c>
      <c r="AS50" s="329">
        <f t="shared" si="167"/>
        <v>41</v>
      </c>
      <c r="AT50" s="329">
        <f t="shared" si="167"/>
        <v>42</v>
      </c>
      <c r="AU50" s="329">
        <f t="shared" si="167"/>
        <v>43</v>
      </c>
      <c r="AV50" s="329">
        <f t="shared" si="167"/>
        <v>44</v>
      </c>
      <c r="AW50" s="329">
        <f t="shared" si="167"/>
        <v>45</v>
      </c>
    </row>
    <row r="51" spans="3:49" s="76" customFormat="1" ht="14.25" customHeight="1">
      <c r="C51" s="1" t="s">
        <v>423</v>
      </c>
      <c r="D51" s="330">
        <f>D37</f>
        <v>-82.656000000000006</v>
      </c>
      <c r="E51" s="330">
        <f t="shared" ref="E51:AW51" si="168">E37</f>
        <v>-78.387680000000003</v>
      </c>
      <c r="F51" s="330">
        <f t="shared" si="168"/>
        <v>-73.991310400000003</v>
      </c>
      <c r="G51" s="330">
        <f t="shared" si="168"/>
        <v>-69.463049712</v>
      </c>
      <c r="H51" s="330">
        <f t="shared" si="168"/>
        <v>-64.798941203360002</v>
      </c>
      <c r="I51" s="330">
        <f t="shared" si="168"/>
        <v>-59.994909439460805</v>
      </c>
      <c r="J51" s="330">
        <f t="shared" si="168"/>
        <v>-55.046756722644631</v>
      </c>
      <c r="K51" s="330">
        <f t="shared" si="168"/>
        <v>-49.950159424323971</v>
      </c>
      <c r="L51" s="330">
        <f t="shared" si="168"/>
        <v>-44.700664207053691</v>
      </c>
      <c r="M51" s="330">
        <f t="shared" si="168"/>
        <v>-39.293684133265302</v>
      </c>
      <c r="N51" s="330">
        <f t="shared" si="168"/>
        <v>-33.724494657263257</v>
      </c>
      <c r="O51" s="330">
        <f t="shared" si="168"/>
        <v>-27.988229496981155</v>
      </c>
      <c r="P51" s="330">
        <f t="shared" si="168"/>
        <v>-22.079876381890593</v>
      </c>
      <c r="Q51" s="330">
        <f t="shared" si="168"/>
        <v>-15.994272673347311</v>
      </c>
      <c r="R51" s="330">
        <f t="shared" si="168"/>
        <v>-9.7261008535477309</v>
      </c>
      <c r="S51" s="330">
        <f t="shared" si="168"/>
        <v>-3.2698838791541629</v>
      </c>
      <c r="T51" s="330">
        <f t="shared" si="168"/>
        <v>3.3800196044712116</v>
      </c>
      <c r="U51" s="330">
        <f t="shared" si="168"/>
        <v>10.229420192605346</v>
      </c>
      <c r="V51" s="330">
        <f t="shared" si="168"/>
        <v>17.284302798383507</v>
      </c>
      <c r="W51" s="330">
        <f t="shared" si="168"/>
        <v>24.550831882335011</v>
      </c>
      <c r="X51" s="330">
        <f t="shared" si="168"/>
        <v>32.035356838805058</v>
      </c>
      <c r="Y51" s="330">
        <f t="shared" si="168"/>
        <v>39.744417543969206</v>
      </c>
      <c r="Z51" s="330">
        <f t="shared" si="168"/>
        <v>47.684750070288281</v>
      </c>
      <c r="AA51" s="330">
        <f t="shared" si="168"/>
        <v>55.863292572396929</v>
      </c>
      <c r="AB51" s="330">
        <f t="shared" si="168"/>
        <v>64.287191349568843</v>
      </c>
      <c r="AC51" s="330">
        <f t="shared" si="168"/>
        <v>72.963807090055909</v>
      </c>
      <c r="AD51" s="330">
        <f t="shared" si="168"/>
        <v>81.900721302757589</v>
      </c>
      <c r="AE51" s="330">
        <f t="shared" si="168"/>
        <v>91.105742941840305</v>
      </c>
      <c r="AF51" s="330">
        <f t="shared" si="168"/>
        <v>100.58691523009551</v>
      </c>
      <c r="AG51" s="330">
        <f t="shared" si="168"/>
        <v>110.35252268699837</v>
      </c>
      <c r="AH51" s="330">
        <f t="shared" si="168"/>
        <v>120.41109836760832</v>
      </c>
      <c r="AI51" s="330">
        <f t="shared" si="168"/>
        <v>130.77143131863656</v>
      </c>
      <c r="AJ51" s="330">
        <f t="shared" si="168"/>
        <v>141.44257425819566</v>
      </c>
      <c r="AK51" s="330">
        <f t="shared" si="168"/>
        <v>152.43385148594155</v>
      </c>
      <c r="AL51" s="330">
        <f t="shared" si="168"/>
        <v>163.75486703051979</v>
      </c>
      <c r="AM51" s="330">
        <f t="shared" si="168"/>
        <v>175.41551304143539</v>
      </c>
      <c r="AN51" s="330">
        <f t="shared" si="168"/>
        <v>187.42597843267845</v>
      </c>
      <c r="AO51" s="330">
        <f t="shared" si="168"/>
        <v>199.7967577856588</v>
      </c>
      <c r="AP51" s="330">
        <f t="shared" si="168"/>
        <v>212.53866051922856</v>
      </c>
      <c r="AQ51" s="330">
        <f t="shared" si="168"/>
        <v>487.98047561411477</v>
      </c>
      <c r="AR51" s="330">
        <f t="shared" si="168"/>
        <v>501.49836022415894</v>
      </c>
      <c r="AS51" s="330">
        <f t="shared" si="168"/>
        <v>515.42178137250448</v>
      </c>
      <c r="AT51" s="330">
        <f t="shared" si="168"/>
        <v>529.76290515530036</v>
      </c>
      <c r="AU51" s="330">
        <f t="shared" si="168"/>
        <v>544.53426265158009</v>
      </c>
      <c r="AV51" s="330">
        <f t="shared" si="168"/>
        <v>559.74876087274822</v>
      </c>
      <c r="AW51" s="330">
        <f t="shared" si="168"/>
        <v>575.41969404055135</v>
      </c>
    </row>
    <row r="52" spans="3:49" s="76" customFormat="1" ht="14.25" customHeight="1">
      <c r="C52" s="1" t="s">
        <v>424</v>
      </c>
      <c r="D52" s="331">
        <f>IF(AND(C51&lt;0,D51&gt;=0),1,0)</f>
        <v>0</v>
      </c>
      <c r="E52" s="331">
        <f>IF(AND(D51&lt;0,E51&gt;=0),1,0)</f>
        <v>0</v>
      </c>
      <c r="F52" s="331">
        <f t="shared" ref="F52:AW52" si="169">IF(AND(E51&lt;0,F51&gt;=0),1,0)</f>
        <v>0</v>
      </c>
      <c r="G52" s="331">
        <f t="shared" si="169"/>
        <v>0</v>
      </c>
      <c r="H52" s="331">
        <f t="shared" si="169"/>
        <v>0</v>
      </c>
      <c r="I52" s="331">
        <f t="shared" si="169"/>
        <v>0</v>
      </c>
      <c r="J52" s="331">
        <f t="shared" si="169"/>
        <v>0</v>
      </c>
      <c r="K52" s="331">
        <f t="shared" si="169"/>
        <v>0</v>
      </c>
      <c r="L52" s="331">
        <f t="shared" si="169"/>
        <v>0</v>
      </c>
      <c r="M52" s="331">
        <f t="shared" si="169"/>
        <v>0</v>
      </c>
      <c r="N52" s="331">
        <f t="shared" si="169"/>
        <v>0</v>
      </c>
      <c r="O52" s="331">
        <f t="shared" si="169"/>
        <v>0</v>
      </c>
      <c r="P52" s="331">
        <f t="shared" si="169"/>
        <v>0</v>
      </c>
      <c r="Q52" s="331">
        <f t="shared" si="169"/>
        <v>0</v>
      </c>
      <c r="R52" s="331">
        <f t="shared" si="169"/>
        <v>0</v>
      </c>
      <c r="S52" s="331">
        <f t="shared" si="169"/>
        <v>0</v>
      </c>
      <c r="T52" s="331">
        <f t="shared" si="169"/>
        <v>1</v>
      </c>
      <c r="U52" s="331">
        <f t="shared" si="169"/>
        <v>0</v>
      </c>
      <c r="V52" s="331">
        <f t="shared" si="169"/>
        <v>0</v>
      </c>
      <c r="W52" s="331">
        <f t="shared" si="169"/>
        <v>0</v>
      </c>
      <c r="X52" s="331">
        <f t="shared" si="169"/>
        <v>0</v>
      </c>
      <c r="Y52" s="331">
        <f t="shared" si="169"/>
        <v>0</v>
      </c>
      <c r="Z52" s="331">
        <f t="shared" si="169"/>
        <v>0</v>
      </c>
      <c r="AA52" s="331">
        <f t="shared" si="169"/>
        <v>0</v>
      </c>
      <c r="AB52" s="331">
        <f t="shared" si="169"/>
        <v>0</v>
      </c>
      <c r="AC52" s="331">
        <f t="shared" si="169"/>
        <v>0</v>
      </c>
      <c r="AD52" s="331">
        <f t="shared" si="169"/>
        <v>0</v>
      </c>
      <c r="AE52" s="331">
        <f t="shared" si="169"/>
        <v>0</v>
      </c>
      <c r="AF52" s="331">
        <f t="shared" si="169"/>
        <v>0</v>
      </c>
      <c r="AG52" s="331">
        <f t="shared" si="169"/>
        <v>0</v>
      </c>
      <c r="AH52" s="331">
        <f t="shared" si="169"/>
        <v>0</v>
      </c>
      <c r="AI52" s="331">
        <f t="shared" si="169"/>
        <v>0</v>
      </c>
      <c r="AJ52" s="331">
        <f t="shared" si="169"/>
        <v>0</v>
      </c>
      <c r="AK52" s="331">
        <f t="shared" si="169"/>
        <v>0</v>
      </c>
      <c r="AL52" s="331">
        <f t="shared" si="169"/>
        <v>0</v>
      </c>
      <c r="AM52" s="331">
        <f t="shared" si="169"/>
        <v>0</v>
      </c>
      <c r="AN52" s="331">
        <f t="shared" si="169"/>
        <v>0</v>
      </c>
      <c r="AO52" s="331">
        <f t="shared" si="169"/>
        <v>0</v>
      </c>
      <c r="AP52" s="331">
        <f t="shared" si="169"/>
        <v>0</v>
      </c>
      <c r="AQ52" s="331">
        <f t="shared" si="169"/>
        <v>0</v>
      </c>
      <c r="AR52" s="331">
        <f t="shared" si="169"/>
        <v>0</v>
      </c>
      <c r="AS52" s="331">
        <f t="shared" si="169"/>
        <v>0</v>
      </c>
      <c r="AT52" s="331">
        <f t="shared" si="169"/>
        <v>0</v>
      </c>
      <c r="AU52" s="331">
        <f t="shared" si="169"/>
        <v>0</v>
      </c>
      <c r="AV52" s="331">
        <f t="shared" si="169"/>
        <v>0</v>
      </c>
      <c r="AW52" s="331">
        <f t="shared" si="169"/>
        <v>0</v>
      </c>
    </row>
    <row r="53" spans="3:49" s="76" customFormat="1" ht="14.25" customHeight="1">
      <c r="C53" s="1" t="s">
        <v>425</v>
      </c>
      <c r="D53" s="331">
        <f>IF(D52=1,C51/D36,0)*-1</f>
        <v>0</v>
      </c>
      <c r="E53" s="331">
        <f>IF(E52=1,D51/E36,0)*-1</f>
        <v>0</v>
      </c>
      <c r="F53" s="331">
        <f t="shared" ref="F53:AW53" si="170">IF(F52=1,E51/F36,0)*-1</f>
        <v>0</v>
      </c>
      <c r="G53" s="331">
        <f t="shared" si="170"/>
        <v>0</v>
      </c>
      <c r="H53" s="331">
        <f t="shared" si="170"/>
        <v>0</v>
      </c>
      <c r="I53" s="331">
        <f t="shared" si="170"/>
        <v>0</v>
      </c>
      <c r="J53" s="331">
        <f t="shared" si="170"/>
        <v>0</v>
      </c>
      <c r="K53" s="331">
        <f t="shared" si="170"/>
        <v>0</v>
      </c>
      <c r="L53" s="331">
        <f t="shared" si="170"/>
        <v>0</v>
      </c>
      <c r="M53" s="331">
        <f t="shared" si="170"/>
        <v>0</v>
      </c>
      <c r="N53" s="331">
        <f t="shared" si="170"/>
        <v>0</v>
      </c>
      <c r="O53" s="331">
        <f t="shared" si="170"/>
        <v>0</v>
      </c>
      <c r="P53" s="331">
        <f t="shared" si="170"/>
        <v>0</v>
      </c>
      <c r="Q53" s="331">
        <f t="shared" si="170"/>
        <v>0</v>
      </c>
      <c r="R53" s="331">
        <f t="shared" si="170"/>
        <v>0</v>
      </c>
      <c r="S53" s="331">
        <f t="shared" si="170"/>
        <v>0</v>
      </c>
      <c r="T53" s="331">
        <f t="shared" si="170"/>
        <v>0.49171899820890291</v>
      </c>
      <c r="U53" s="331">
        <f t="shared" si="170"/>
        <v>0</v>
      </c>
      <c r="V53" s="331">
        <f t="shared" si="170"/>
        <v>0</v>
      </c>
      <c r="W53" s="331">
        <f t="shared" si="170"/>
        <v>0</v>
      </c>
      <c r="X53" s="331">
        <f t="shared" si="170"/>
        <v>0</v>
      </c>
      <c r="Y53" s="331">
        <f t="shared" si="170"/>
        <v>0</v>
      </c>
      <c r="Z53" s="331">
        <f t="shared" si="170"/>
        <v>0</v>
      </c>
      <c r="AA53" s="331">
        <f t="shared" si="170"/>
        <v>0</v>
      </c>
      <c r="AB53" s="331">
        <f t="shared" si="170"/>
        <v>0</v>
      </c>
      <c r="AC53" s="331">
        <f t="shared" si="170"/>
        <v>0</v>
      </c>
      <c r="AD53" s="331">
        <f t="shared" si="170"/>
        <v>0</v>
      </c>
      <c r="AE53" s="331">
        <f t="shared" si="170"/>
        <v>0</v>
      </c>
      <c r="AF53" s="331">
        <f t="shared" si="170"/>
        <v>0</v>
      </c>
      <c r="AG53" s="331">
        <f t="shared" si="170"/>
        <v>0</v>
      </c>
      <c r="AH53" s="331">
        <f t="shared" si="170"/>
        <v>0</v>
      </c>
      <c r="AI53" s="331">
        <f t="shared" si="170"/>
        <v>0</v>
      </c>
      <c r="AJ53" s="331">
        <f t="shared" si="170"/>
        <v>0</v>
      </c>
      <c r="AK53" s="331">
        <f t="shared" si="170"/>
        <v>0</v>
      </c>
      <c r="AL53" s="331">
        <f t="shared" si="170"/>
        <v>0</v>
      </c>
      <c r="AM53" s="331">
        <f t="shared" si="170"/>
        <v>0</v>
      </c>
      <c r="AN53" s="331">
        <f t="shared" si="170"/>
        <v>0</v>
      </c>
      <c r="AO53" s="331">
        <f t="shared" si="170"/>
        <v>0</v>
      </c>
      <c r="AP53" s="331">
        <f t="shared" si="170"/>
        <v>0</v>
      </c>
      <c r="AQ53" s="331">
        <f t="shared" si="170"/>
        <v>0</v>
      </c>
      <c r="AR53" s="331">
        <f t="shared" si="170"/>
        <v>0</v>
      </c>
      <c r="AS53" s="331">
        <f t="shared" si="170"/>
        <v>0</v>
      </c>
      <c r="AT53" s="331">
        <f t="shared" si="170"/>
        <v>0</v>
      </c>
      <c r="AU53" s="331">
        <f t="shared" si="170"/>
        <v>0</v>
      </c>
      <c r="AV53" s="331">
        <f t="shared" si="170"/>
        <v>0</v>
      </c>
      <c r="AW53" s="331">
        <f t="shared" si="170"/>
        <v>0</v>
      </c>
    </row>
    <row r="54" spans="3:49" s="76" customFormat="1" ht="14.25" customHeight="1">
      <c r="C54" s="1" t="s">
        <v>426</v>
      </c>
      <c r="D54" s="331">
        <f>IF(D52&lt;&gt;1,0,D50*D52-1+D53)</f>
        <v>0</v>
      </c>
      <c r="E54" s="331">
        <f>IF(E52&lt;&gt;1,0,E50*E52-1+E53)</f>
        <v>0</v>
      </c>
      <c r="F54" s="331">
        <f t="shared" ref="F54:AW54" si="171">IF(F52&lt;&gt;1,0,F50*F52-1+F53)</f>
        <v>0</v>
      </c>
      <c r="G54" s="331">
        <f t="shared" si="171"/>
        <v>0</v>
      </c>
      <c r="H54" s="331">
        <f t="shared" si="171"/>
        <v>0</v>
      </c>
      <c r="I54" s="331">
        <f t="shared" si="171"/>
        <v>0</v>
      </c>
      <c r="J54" s="331">
        <f t="shared" si="171"/>
        <v>0</v>
      </c>
      <c r="K54" s="331">
        <f t="shared" si="171"/>
        <v>0</v>
      </c>
      <c r="L54" s="331">
        <f t="shared" si="171"/>
        <v>0</v>
      </c>
      <c r="M54" s="331">
        <f t="shared" si="171"/>
        <v>0</v>
      </c>
      <c r="N54" s="331">
        <f t="shared" si="171"/>
        <v>0</v>
      </c>
      <c r="O54" s="331">
        <f t="shared" si="171"/>
        <v>0</v>
      </c>
      <c r="P54" s="331">
        <f t="shared" si="171"/>
        <v>0</v>
      </c>
      <c r="Q54" s="331">
        <f t="shared" si="171"/>
        <v>0</v>
      </c>
      <c r="R54" s="331">
        <f t="shared" si="171"/>
        <v>0</v>
      </c>
      <c r="S54" s="331">
        <f t="shared" si="171"/>
        <v>0</v>
      </c>
      <c r="T54" s="331">
        <f t="shared" si="171"/>
        <v>15.491718998208903</v>
      </c>
      <c r="U54" s="331">
        <f t="shared" si="171"/>
        <v>0</v>
      </c>
      <c r="V54" s="331">
        <f t="shared" si="171"/>
        <v>0</v>
      </c>
      <c r="W54" s="331">
        <f t="shared" si="171"/>
        <v>0</v>
      </c>
      <c r="X54" s="331">
        <f t="shared" si="171"/>
        <v>0</v>
      </c>
      <c r="Y54" s="331">
        <f t="shared" si="171"/>
        <v>0</v>
      </c>
      <c r="Z54" s="331">
        <f t="shared" si="171"/>
        <v>0</v>
      </c>
      <c r="AA54" s="331">
        <f t="shared" si="171"/>
        <v>0</v>
      </c>
      <c r="AB54" s="331">
        <f t="shared" si="171"/>
        <v>0</v>
      </c>
      <c r="AC54" s="331">
        <f t="shared" si="171"/>
        <v>0</v>
      </c>
      <c r="AD54" s="331">
        <f t="shared" si="171"/>
        <v>0</v>
      </c>
      <c r="AE54" s="331">
        <f t="shared" si="171"/>
        <v>0</v>
      </c>
      <c r="AF54" s="331">
        <f t="shared" si="171"/>
        <v>0</v>
      </c>
      <c r="AG54" s="331">
        <f t="shared" si="171"/>
        <v>0</v>
      </c>
      <c r="AH54" s="331">
        <f t="shared" si="171"/>
        <v>0</v>
      </c>
      <c r="AI54" s="331">
        <f t="shared" si="171"/>
        <v>0</v>
      </c>
      <c r="AJ54" s="331">
        <f t="shared" si="171"/>
        <v>0</v>
      </c>
      <c r="AK54" s="331">
        <f t="shared" si="171"/>
        <v>0</v>
      </c>
      <c r="AL54" s="331">
        <f t="shared" si="171"/>
        <v>0</v>
      </c>
      <c r="AM54" s="331">
        <f t="shared" si="171"/>
        <v>0</v>
      </c>
      <c r="AN54" s="331">
        <f t="shared" si="171"/>
        <v>0</v>
      </c>
      <c r="AO54" s="331">
        <f t="shared" si="171"/>
        <v>0</v>
      </c>
      <c r="AP54" s="331">
        <f t="shared" si="171"/>
        <v>0</v>
      </c>
      <c r="AQ54" s="331">
        <f t="shared" si="171"/>
        <v>0</v>
      </c>
      <c r="AR54" s="331">
        <f t="shared" si="171"/>
        <v>0</v>
      </c>
      <c r="AS54" s="331">
        <f t="shared" si="171"/>
        <v>0</v>
      </c>
      <c r="AT54" s="331">
        <f t="shared" si="171"/>
        <v>0</v>
      </c>
      <c r="AU54" s="331">
        <f t="shared" si="171"/>
        <v>0</v>
      </c>
      <c r="AV54" s="331">
        <f t="shared" si="171"/>
        <v>0</v>
      </c>
      <c r="AW54" s="331">
        <f t="shared" si="171"/>
        <v>0</v>
      </c>
    </row>
    <row r="55" spans="3:49" s="76" customFormat="1" ht="14.25" customHeight="1">
      <c r="C55" s="2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28"/>
      <c r="AG55" s="328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328"/>
      <c r="AV55" s="328"/>
      <c r="AW55" s="328"/>
    </row>
    <row r="56" spans="3:49" ht="14.25" customHeight="1" thickBot="1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9" ht="14.25" customHeight="1" thickBot="1">
      <c r="C57" s="809" t="s">
        <v>427</v>
      </c>
      <c r="D57" s="821"/>
      <c r="E57" s="822"/>
      <c r="F57" s="1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9" ht="14.25" customHeight="1">
      <c r="C58" s="278" t="s">
        <v>428</v>
      </c>
      <c r="D58" s="84"/>
      <c r="E58" s="334">
        <f>'Assumptions &amp; Inputs'!P6*'Assumptions &amp; Inputs'!P4/'Assumptions &amp; Inputs'!X6</f>
        <v>39.200000000000003</v>
      </c>
      <c r="F58" s="4" t="s">
        <v>429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9" ht="14.25" customHeight="1">
      <c r="C59" s="278" t="s">
        <v>430</v>
      </c>
      <c r="D59" s="84"/>
      <c r="E59" s="333">
        <f>E58/SUM(E29:E30)</f>
        <v>9.1839412227761734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9" ht="14.25" customHeight="1">
      <c r="C60" s="278" t="s">
        <v>431</v>
      </c>
      <c r="D60" s="84"/>
      <c r="E60" s="334">
        <f>-SUM(D31:G31)</f>
        <v>47.6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9" ht="14.25" customHeight="1">
      <c r="C61" s="278"/>
      <c r="D61" s="84"/>
      <c r="E61" s="33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9" ht="14.25" customHeight="1">
      <c r="C62" s="336" t="s">
        <v>432</v>
      </c>
      <c r="D62" s="83"/>
      <c r="E62" s="337">
        <f>XNPV('Assumptions &amp; Inputs'!$E$16,D36:AW36,D26:AW26)</f>
        <v>-38.502023689016049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9" ht="14.25" customHeight="1">
      <c r="C63" s="336" t="s">
        <v>433</v>
      </c>
      <c r="D63" s="83"/>
      <c r="E63" s="338">
        <f>IFERROR(XIRR(D36:AW36,D26:AW26),"n.a.")</f>
        <v>7.9365292191505454E-2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9" ht="14.25" customHeight="1">
      <c r="C64" s="322" t="s">
        <v>434</v>
      </c>
      <c r="D64" s="84"/>
      <c r="E64" s="340">
        <f>I47</f>
        <v>5.534598806335482E-2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9" ht="14.25" customHeight="1" thickBot="1">
      <c r="A65" s="1"/>
      <c r="B65" s="1"/>
      <c r="C65" s="339" t="s">
        <v>435</v>
      </c>
      <c r="D65" s="86"/>
      <c r="E65" s="341">
        <f>E54</f>
        <v>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9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9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9" ht="14.25" customHeight="1" thickBot="1">
      <c r="A68" s="1" t="s">
        <v>351</v>
      </c>
      <c r="B68" s="1"/>
      <c r="C68" s="9" t="s">
        <v>436</v>
      </c>
      <c r="D68" s="9"/>
      <c r="E68" s="10"/>
      <c r="F68" s="10"/>
      <c r="G68" s="10"/>
      <c r="H68" s="10"/>
      <c r="I68" s="10"/>
      <c r="J68" s="11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"/>
      <c r="AS68" s="1"/>
    </row>
    <row r="69" spans="1:49" ht="14.25" customHeight="1">
      <c r="A69" s="1"/>
      <c r="B69" s="1"/>
      <c r="C69" s="12" t="s">
        <v>353</v>
      </c>
      <c r="D69" s="13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9" ht="14.25" customHeight="1" thickBot="1">
      <c r="A70" s="1"/>
      <c r="B70" s="1"/>
      <c r="C70" s="12"/>
      <c r="D70" s="13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9" ht="14.25" customHeight="1" thickBot="1">
      <c r="A71" s="1"/>
      <c r="B71" s="1"/>
      <c r="C71" s="812" t="s">
        <v>437</v>
      </c>
      <c r="D71" s="823"/>
      <c r="E71" s="82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9" ht="14.25" customHeight="1">
      <c r="A72" s="1"/>
      <c r="B72" s="1"/>
      <c r="C72" s="98" t="s">
        <v>438</v>
      </c>
      <c r="D72" s="13"/>
      <c r="E72" s="99">
        <f>E73*SUM(E58,E60)</f>
        <v>0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9" ht="14.25" customHeight="1">
      <c r="A73" s="1"/>
      <c r="B73" s="1"/>
      <c r="C73" s="98" t="s">
        <v>439</v>
      </c>
      <c r="D73" s="13"/>
      <c r="E73" s="100">
        <f>'Assumptions &amp; Inputs'!G8</f>
        <v>0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9" ht="14.25" customHeight="1">
      <c r="A74" s="1"/>
      <c r="B74" s="1"/>
      <c r="C74" s="98" t="s">
        <v>440</v>
      </c>
      <c r="D74" s="13"/>
      <c r="E74" s="95" t="e">
        <f>SUM(E84:AW84)/SUM(E85:AW85)</f>
        <v>#DIV/0!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9" ht="14.25" customHeight="1">
      <c r="A75" s="1"/>
      <c r="B75" s="1"/>
      <c r="C75" s="98"/>
      <c r="D75" s="13"/>
      <c r="E75" s="95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9" ht="14.25" customHeight="1">
      <c r="A76" s="1"/>
      <c r="B76" s="1"/>
      <c r="C76" s="101" t="s">
        <v>441</v>
      </c>
      <c r="D76" s="25"/>
      <c r="E76" s="97">
        <f>XNPV('Assumptions &amp; Inputs'!$E$16,D87:AW87,D83:AW83)</f>
        <v>-43.583093108252683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9" ht="14.25" customHeight="1" thickBot="1">
      <c r="A77" s="1"/>
      <c r="B77" s="1"/>
      <c r="C77" s="26" t="s">
        <v>442</v>
      </c>
      <c r="D77" s="27"/>
      <c r="E77" s="28">
        <f>IFERROR(XIRR(D87:AW87,D83:AW83),"n.a.")</f>
        <v>7.3855867981910739E-2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9" ht="14.25" customHeight="1">
      <c r="A78" s="1"/>
      <c r="B78" s="1"/>
      <c r="C78" s="12"/>
      <c r="D78" s="13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9" ht="14.25" customHeight="1">
      <c r="A79" s="1"/>
      <c r="B79" s="1"/>
      <c r="C79" s="12"/>
      <c r="D79" s="13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9" ht="14.25" customHeight="1">
      <c r="A80" s="1"/>
      <c r="B80" s="1"/>
      <c r="C80" s="1"/>
      <c r="D80" s="234">
        <v>0</v>
      </c>
      <c r="E80" s="119">
        <f t="shared" ref="E80:N80" si="172">D80+1</f>
        <v>1</v>
      </c>
      <c r="F80" s="119">
        <f t="shared" si="172"/>
        <v>2</v>
      </c>
      <c r="G80" s="119">
        <f t="shared" si="172"/>
        <v>3</v>
      </c>
      <c r="H80" s="119">
        <f t="shared" si="172"/>
        <v>4</v>
      </c>
      <c r="I80" s="119">
        <f t="shared" si="172"/>
        <v>5</v>
      </c>
      <c r="J80" s="119">
        <f t="shared" si="172"/>
        <v>6</v>
      </c>
      <c r="K80" s="119">
        <f t="shared" si="172"/>
        <v>7</v>
      </c>
      <c r="L80" s="119">
        <f t="shared" si="172"/>
        <v>8</v>
      </c>
      <c r="M80" s="119">
        <f t="shared" si="172"/>
        <v>9</v>
      </c>
      <c r="N80" s="119">
        <f t="shared" si="172"/>
        <v>10</v>
      </c>
      <c r="O80" s="119">
        <f t="shared" ref="O80" si="173">N80+1</f>
        <v>11</v>
      </c>
      <c r="P80" s="119">
        <f t="shared" ref="P80" si="174">O80+1</f>
        <v>12</v>
      </c>
      <c r="Q80" s="119">
        <f t="shared" ref="Q80" si="175">P80+1</f>
        <v>13</v>
      </c>
      <c r="R80" s="119">
        <f t="shared" ref="R80" si="176">Q80+1</f>
        <v>14</v>
      </c>
      <c r="S80" s="119">
        <f t="shared" ref="S80" si="177">R80+1</f>
        <v>15</v>
      </c>
      <c r="T80" s="119">
        <f t="shared" ref="T80" si="178">S80+1</f>
        <v>16</v>
      </c>
      <c r="U80" s="119">
        <f t="shared" ref="U80" si="179">T80+1</f>
        <v>17</v>
      </c>
      <c r="V80" s="119">
        <f t="shared" ref="V80" si="180">U80+1</f>
        <v>18</v>
      </c>
      <c r="W80" s="119">
        <f t="shared" ref="W80" si="181">V80+1</f>
        <v>19</v>
      </c>
      <c r="X80" s="119">
        <f t="shared" ref="X80" si="182">W80+1</f>
        <v>20</v>
      </c>
      <c r="Y80" s="119">
        <f t="shared" ref="Y80" si="183">X80+1</f>
        <v>21</v>
      </c>
      <c r="Z80" s="119">
        <f t="shared" ref="Z80" si="184">Y80+1</f>
        <v>22</v>
      </c>
      <c r="AA80" s="119">
        <f t="shared" ref="AA80" si="185">Z80+1</f>
        <v>23</v>
      </c>
      <c r="AB80" s="119">
        <f t="shared" ref="AB80" si="186">AA80+1</f>
        <v>24</v>
      </c>
      <c r="AC80" s="119">
        <f t="shared" ref="AC80" si="187">AB80+1</f>
        <v>25</v>
      </c>
      <c r="AD80" s="119">
        <f t="shared" ref="AD80" si="188">AC80+1</f>
        <v>26</v>
      </c>
      <c r="AE80" s="119">
        <f t="shared" ref="AE80" si="189">AD80+1</f>
        <v>27</v>
      </c>
      <c r="AF80" s="119">
        <f t="shared" ref="AF80" si="190">AE80+1</f>
        <v>28</v>
      </c>
      <c r="AG80" s="119">
        <f t="shared" ref="AG80" si="191">AF80+1</f>
        <v>29</v>
      </c>
      <c r="AH80" s="119">
        <f t="shared" ref="AH80" si="192">AG80+1</f>
        <v>30</v>
      </c>
      <c r="AI80" s="119">
        <f t="shared" ref="AI80" si="193">AH80+1</f>
        <v>31</v>
      </c>
      <c r="AJ80" s="119">
        <f t="shared" ref="AJ80" si="194">AI80+1</f>
        <v>32</v>
      </c>
      <c r="AK80" s="119">
        <f t="shared" ref="AK80" si="195">AJ80+1</f>
        <v>33</v>
      </c>
      <c r="AL80" s="119">
        <f t="shared" ref="AL80" si="196">AK80+1</f>
        <v>34</v>
      </c>
      <c r="AM80" s="119">
        <f t="shared" ref="AM80" si="197">AL80+1</f>
        <v>35</v>
      </c>
      <c r="AN80" s="119">
        <f t="shared" ref="AN80" si="198">AM80+1</f>
        <v>36</v>
      </c>
      <c r="AO80" s="119">
        <f t="shared" ref="AO80" si="199">AN80+1</f>
        <v>37</v>
      </c>
      <c r="AP80" s="119">
        <f t="shared" ref="AP80" si="200">AO80+1</f>
        <v>38</v>
      </c>
      <c r="AQ80" s="119">
        <f t="shared" ref="AQ80" si="201">AP80+1</f>
        <v>39</v>
      </c>
      <c r="AR80" s="119">
        <f t="shared" ref="AR80" si="202">AQ80+1</f>
        <v>40</v>
      </c>
      <c r="AS80" s="119">
        <f t="shared" ref="AS80" si="203">AR80+1</f>
        <v>41</v>
      </c>
      <c r="AT80" s="119">
        <f t="shared" ref="AT80" si="204">AS80+1</f>
        <v>42</v>
      </c>
      <c r="AU80" s="119">
        <f t="shared" ref="AU80" si="205">AT80+1</f>
        <v>43</v>
      </c>
      <c r="AV80" s="119">
        <f t="shared" ref="AV80" si="206">AU80+1</f>
        <v>44</v>
      </c>
      <c r="AW80" s="119">
        <f t="shared" ref="AW80" si="207">AV80+1</f>
        <v>45</v>
      </c>
    </row>
    <row r="81" spans="2:49" ht="14.25" customHeight="1">
      <c r="B81" s="2"/>
      <c r="C81" s="2"/>
      <c r="D81" s="2"/>
      <c r="E81" s="806" t="s">
        <v>354</v>
      </c>
      <c r="F81" s="819"/>
      <c r="G81" s="819"/>
      <c r="H81" s="819"/>
      <c r="I81" s="819"/>
      <c r="J81" s="819"/>
      <c r="K81" s="819"/>
      <c r="L81" s="819"/>
      <c r="M81" s="819"/>
      <c r="N81" s="819"/>
      <c r="O81" s="819"/>
      <c r="P81" s="819"/>
      <c r="Q81" s="819"/>
      <c r="R81" s="819"/>
      <c r="S81" s="819"/>
      <c r="T81" s="819"/>
      <c r="U81" s="819"/>
      <c r="V81" s="819"/>
      <c r="W81" s="819"/>
      <c r="X81" s="819"/>
      <c r="Y81" s="819"/>
      <c r="Z81" s="819"/>
      <c r="AA81" s="819"/>
      <c r="AB81" s="819"/>
      <c r="AC81" s="819"/>
      <c r="AD81" s="819"/>
      <c r="AE81" s="819"/>
      <c r="AF81" s="819"/>
      <c r="AG81" s="819"/>
      <c r="AH81" s="819"/>
      <c r="AI81" s="819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</row>
    <row r="82" spans="2:49" ht="14.25" customHeight="1">
      <c r="B82" s="2"/>
      <c r="C82" s="2"/>
      <c r="D82" s="3">
        <f>D25</f>
        <v>2026</v>
      </c>
      <c r="E82" s="3">
        <f t="shared" ref="E82:N82" si="208">D82+1</f>
        <v>2027</v>
      </c>
      <c r="F82" s="3">
        <f t="shared" si="208"/>
        <v>2028</v>
      </c>
      <c r="G82" s="3">
        <f t="shared" si="208"/>
        <v>2029</v>
      </c>
      <c r="H82" s="3">
        <f t="shared" si="208"/>
        <v>2030</v>
      </c>
      <c r="I82" s="3">
        <f t="shared" si="208"/>
        <v>2031</v>
      </c>
      <c r="J82" s="3">
        <f t="shared" si="208"/>
        <v>2032</v>
      </c>
      <c r="K82" s="3">
        <f t="shared" si="208"/>
        <v>2033</v>
      </c>
      <c r="L82" s="3">
        <f t="shared" si="208"/>
        <v>2034</v>
      </c>
      <c r="M82" s="3">
        <f t="shared" si="208"/>
        <v>2035</v>
      </c>
      <c r="N82" s="3">
        <f t="shared" si="208"/>
        <v>2036</v>
      </c>
      <c r="O82" s="3">
        <f t="shared" ref="O82" si="209">N82+1</f>
        <v>2037</v>
      </c>
      <c r="P82" s="3">
        <f t="shared" ref="P82" si="210">O82+1</f>
        <v>2038</v>
      </c>
      <c r="Q82" s="3">
        <f t="shared" ref="Q82" si="211">P82+1</f>
        <v>2039</v>
      </c>
      <c r="R82" s="3">
        <f t="shared" ref="R82" si="212">Q82+1</f>
        <v>2040</v>
      </c>
      <c r="S82" s="3">
        <f t="shared" ref="S82" si="213">R82+1</f>
        <v>2041</v>
      </c>
      <c r="T82" s="3">
        <f t="shared" ref="T82" si="214">S82+1</f>
        <v>2042</v>
      </c>
      <c r="U82" s="3">
        <f t="shared" ref="U82" si="215">T82+1</f>
        <v>2043</v>
      </c>
      <c r="V82" s="3">
        <f t="shared" ref="V82" si="216">U82+1</f>
        <v>2044</v>
      </c>
      <c r="W82" s="3">
        <f t="shared" ref="W82" si="217">V82+1</f>
        <v>2045</v>
      </c>
      <c r="X82" s="3">
        <f t="shared" ref="X82" si="218">W82+1</f>
        <v>2046</v>
      </c>
      <c r="Y82" s="3">
        <f t="shared" ref="Y82" si="219">X82+1</f>
        <v>2047</v>
      </c>
      <c r="Z82" s="3">
        <f t="shared" ref="Z82" si="220">Y82+1</f>
        <v>2048</v>
      </c>
      <c r="AA82" s="3">
        <f t="shared" ref="AA82" si="221">Z82+1</f>
        <v>2049</v>
      </c>
      <c r="AB82" s="3">
        <f t="shared" ref="AB82" si="222">AA82+1</f>
        <v>2050</v>
      </c>
      <c r="AC82" s="3">
        <f t="shared" ref="AC82" si="223">AB82+1</f>
        <v>2051</v>
      </c>
      <c r="AD82" s="3">
        <f t="shared" ref="AD82" si="224">AC82+1</f>
        <v>2052</v>
      </c>
      <c r="AE82" s="3">
        <f t="shared" ref="AE82" si="225">AD82+1</f>
        <v>2053</v>
      </c>
      <c r="AF82" s="3">
        <f t="shared" ref="AF82" si="226">AE82+1</f>
        <v>2054</v>
      </c>
      <c r="AG82" s="3">
        <f t="shared" ref="AG82" si="227">AF82+1</f>
        <v>2055</v>
      </c>
      <c r="AH82" s="3">
        <f t="shared" ref="AH82" si="228">AG82+1</f>
        <v>2056</v>
      </c>
      <c r="AI82" s="3">
        <f t="shared" ref="AI82" si="229">AH82+1</f>
        <v>2057</v>
      </c>
      <c r="AJ82" s="3">
        <f t="shared" ref="AJ82" si="230">AI82+1</f>
        <v>2058</v>
      </c>
      <c r="AK82" s="3">
        <f t="shared" ref="AK82" si="231">AJ82+1</f>
        <v>2059</v>
      </c>
      <c r="AL82" s="3">
        <f t="shared" ref="AL82" si="232">AK82+1</f>
        <v>2060</v>
      </c>
      <c r="AM82" s="3">
        <f t="shared" ref="AM82" si="233">AL82+1</f>
        <v>2061</v>
      </c>
      <c r="AN82" s="3">
        <f t="shared" ref="AN82" si="234">AM82+1</f>
        <v>2062</v>
      </c>
      <c r="AO82" s="3">
        <f t="shared" ref="AO82" si="235">AN82+1</f>
        <v>2063</v>
      </c>
      <c r="AP82" s="3">
        <f t="shared" ref="AP82" si="236">AO82+1</f>
        <v>2064</v>
      </c>
      <c r="AQ82" s="3">
        <f t="shared" ref="AQ82" si="237">AP82+1</f>
        <v>2065</v>
      </c>
      <c r="AR82" s="3">
        <f t="shared" ref="AR82" si="238">AQ82+1</f>
        <v>2066</v>
      </c>
      <c r="AS82" s="3">
        <f t="shared" ref="AS82" si="239">AR82+1</f>
        <v>2067</v>
      </c>
      <c r="AT82" s="3">
        <f t="shared" ref="AT82" si="240">AS82+1</f>
        <v>2068</v>
      </c>
      <c r="AU82" s="3">
        <f t="shared" ref="AU82" si="241">AT82+1</f>
        <v>2069</v>
      </c>
      <c r="AV82" s="3">
        <f t="shared" ref="AV82" si="242">AU82+1</f>
        <v>2070</v>
      </c>
      <c r="AW82" s="3">
        <f t="shared" ref="AW82" si="243">AV82+1</f>
        <v>2071</v>
      </c>
    </row>
    <row r="83" spans="2:49" ht="14.25" customHeight="1">
      <c r="B83" s="200"/>
      <c r="C83" s="92"/>
      <c r="D83" s="93">
        <f>D26</f>
        <v>46023</v>
      </c>
      <c r="E83" s="93">
        <f t="shared" ref="E83:AW83" si="244">E26</f>
        <v>46752</v>
      </c>
      <c r="F83" s="93">
        <f t="shared" si="244"/>
        <v>47118</v>
      </c>
      <c r="G83" s="93">
        <f t="shared" si="244"/>
        <v>47483</v>
      </c>
      <c r="H83" s="93">
        <f t="shared" si="244"/>
        <v>47848</v>
      </c>
      <c r="I83" s="93">
        <f t="shared" si="244"/>
        <v>48213</v>
      </c>
      <c r="J83" s="93">
        <f t="shared" si="244"/>
        <v>48579</v>
      </c>
      <c r="K83" s="93">
        <f t="shared" si="244"/>
        <v>48944</v>
      </c>
      <c r="L83" s="93">
        <f t="shared" si="244"/>
        <v>49309</v>
      </c>
      <c r="M83" s="93">
        <f t="shared" si="244"/>
        <v>49674</v>
      </c>
      <c r="N83" s="93">
        <f t="shared" si="244"/>
        <v>50040</v>
      </c>
      <c r="O83" s="93">
        <f t="shared" si="244"/>
        <v>50405</v>
      </c>
      <c r="P83" s="93">
        <f t="shared" si="244"/>
        <v>50770</v>
      </c>
      <c r="Q83" s="93">
        <f t="shared" si="244"/>
        <v>51135</v>
      </c>
      <c r="R83" s="93">
        <f t="shared" si="244"/>
        <v>51501</v>
      </c>
      <c r="S83" s="93">
        <f t="shared" si="244"/>
        <v>51866</v>
      </c>
      <c r="T83" s="93">
        <f t="shared" si="244"/>
        <v>52231</v>
      </c>
      <c r="U83" s="93">
        <f t="shared" si="244"/>
        <v>52596</v>
      </c>
      <c r="V83" s="93">
        <f t="shared" si="244"/>
        <v>52962</v>
      </c>
      <c r="W83" s="93">
        <f t="shared" si="244"/>
        <v>53327</v>
      </c>
      <c r="X83" s="93">
        <f t="shared" si="244"/>
        <v>53692</v>
      </c>
      <c r="Y83" s="93">
        <f t="shared" si="244"/>
        <v>54057</v>
      </c>
      <c r="Z83" s="93">
        <f t="shared" si="244"/>
        <v>54423</v>
      </c>
      <c r="AA83" s="93">
        <f t="shared" si="244"/>
        <v>54788</v>
      </c>
      <c r="AB83" s="93">
        <f t="shared" si="244"/>
        <v>55153</v>
      </c>
      <c r="AC83" s="93">
        <f t="shared" si="244"/>
        <v>55518</v>
      </c>
      <c r="AD83" s="93">
        <f t="shared" si="244"/>
        <v>55884</v>
      </c>
      <c r="AE83" s="93">
        <f t="shared" si="244"/>
        <v>56249</v>
      </c>
      <c r="AF83" s="93">
        <f t="shared" si="244"/>
        <v>56614</v>
      </c>
      <c r="AG83" s="93">
        <f t="shared" si="244"/>
        <v>56979</v>
      </c>
      <c r="AH83" s="93">
        <f t="shared" si="244"/>
        <v>57345</v>
      </c>
      <c r="AI83" s="93">
        <f t="shared" si="244"/>
        <v>57710</v>
      </c>
      <c r="AJ83" s="93">
        <f t="shared" si="244"/>
        <v>58075</v>
      </c>
      <c r="AK83" s="93">
        <f t="shared" si="244"/>
        <v>58440</v>
      </c>
      <c r="AL83" s="93">
        <f t="shared" si="244"/>
        <v>58806</v>
      </c>
      <c r="AM83" s="93">
        <f t="shared" si="244"/>
        <v>59171</v>
      </c>
      <c r="AN83" s="93">
        <f t="shared" si="244"/>
        <v>59536</v>
      </c>
      <c r="AO83" s="93">
        <f t="shared" si="244"/>
        <v>59901</v>
      </c>
      <c r="AP83" s="93">
        <f t="shared" si="244"/>
        <v>60267</v>
      </c>
      <c r="AQ83" s="93">
        <f t="shared" si="244"/>
        <v>60632</v>
      </c>
      <c r="AR83" s="93">
        <f t="shared" si="244"/>
        <v>60997</v>
      </c>
      <c r="AS83" s="93">
        <f t="shared" si="244"/>
        <v>61362</v>
      </c>
      <c r="AT83" s="93">
        <f t="shared" si="244"/>
        <v>61728</v>
      </c>
      <c r="AU83" s="93">
        <f t="shared" si="244"/>
        <v>62093</v>
      </c>
      <c r="AV83" s="93">
        <f t="shared" si="244"/>
        <v>62458</v>
      </c>
      <c r="AW83" s="93">
        <f t="shared" si="244"/>
        <v>62823</v>
      </c>
    </row>
    <row r="84" spans="2:49" ht="14.25" customHeight="1">
      <c r="B84" s="1"/>
      <c r="C84" s="1" t="s">
        <v>443</v>
      </c>
      <c r="D84" s="15">
        <f t="shared" ref="D84:AW84" si="245">D33</f>
        <v>-43.456000000000003</v>
      </c>
      <c r="E84" s="15">
        <f t="shared" si="245"/>
        <v>4.268320000000001</v>
      </c>
      <c r="F84" s="15">
        <f t="shared" si="245"/>
        <v>4.3963696000000008</v>
      </c>
      <c r="G84" s="15">
        <f t="shared" si="245"/>
        <v>4.5282606879999996</v>
      </c>
      <c r="H84" s="15">
        <f t="shared" si="245"/>
        <v>4.66410850864</v>
      </c>
      <c r="I84" s="15">
        <f t="shared" si="245"/>
        <v>4.8040317638991992</v>
      </c>
      <c r="J84" s="15">
        <f t="shared" si="245"/>
        <v>4.9481527168161756</v>
      </c>
      <c r="K84" s="15">
        <f t="shared" si="245"/>
        <v>5.0965972983206607</v>
      </c>
      <c r="L84" s="15">
        <f t="shared" si="245"/>
        <v>5.2494952172702813</v>
      </c>
      <c r="M84" s="15">
        <f t="shared" si="245"/>
        <v>5.4069800737883895</v>
      </c>
      <c r="N84" s="15">
        <f t="shared" si="245"/>
        <v>5.5691894760020419</v>
      </c>
      <c r="O84" s="15">
        <f t="shared" si="245"/>
        <v>5.7362651602821026</v>
      </c>
      <c r="P84" s="15">
        <f t="shared" si="245"/>
        <v>5.9083531150905646</v>
      </c>
      <c r="Q84" s="15">
        <f t="shared" si="245"/>
        <v>6.0856037085432817</v>
      </c>
      <c r="R84" s="15">
        <f t="shared" si="245"/>
        <v>6.2681718197995808</v>
      </c>
      <c r="S84" s="15">
        <f t="shared" si="245"/>
        <v>6.456216974393568</v>
      </c>
      <c r="T84" s="15">
        <f t="shared" si="245"/>
        <v>6.6499034836253745</v>
      </c>
      <c r="U84" s="15">
        <f t="shared" si="245"/>
        <v>6.8494005881341344</v>
      </c>
      <c r="V84" s="15">
        <f t="shared" si="245"/>
        <v>7.0548826057781593</v>
      </c>
      <c r="W84" s="15">
        <f t="shared" si="245"/>
        <v>7.2665290839515038</v>
      </c>
      <c r="X84" s="15">
        <f t="shared" si="245"/>
        <v>7.4845249564700493</v>
      </c>
      <c r="Y84" s="15">
        <f t="shared" si="245"/>
        <v>7.7090607051641484</v>
      </c>
      <c r="Z84" s="15">
        <f t="shared" si="245"/>
        <v>7.9403325263190752</v>
      </c>
      <c r="AA84" s="15">
        <f t="shared" si="245"/>
        <v>8.1785425021086482</v>
      </c>
      <c r="AB84" s="15">
        <f t="shared" si="245"/>
        <v>8.4238987771719067</v>
      </c>
      <c r="AC84" s="15">
        <f t="shared" si="245"/>
        <v>8.6766157404870654</v>
      </c>
      <c r="AD84" s="15">
        <f t="shared" si="245"/>
        <v>8.9369142127016765</v>
      </c>
      <c r="AE84" s="15">
        <f t="shared" si="245"/>
        <v>9.2050216390827231</v>
      </c>
      <c r="AF84" s="15">
        <f t="shared" si="245"/>
        <v>9.4811722882552072</v>
      </c>
      <c r="AG84" s="15">
        <f t="shared" si="245"/>
        <v>9.7656074569028597</v>
      </c>
      <c r="AH84" s="15">
        <f t="shared" si="245"/>
        <v>10.058575680609948</v>
      </c>
      <c r="AI84" s="15">
        <f t="shared" si="245"/>
        <v>10.360332951028248</v>
      </c>
      <c r="AJ84" s="15">
        <f t="shared" si="245"/>
        <v>10.671142939559093</v>
      </c>
      <c r="AK84" s="15">
        <f t="shared" si="245"/>
        <v>10.991277227745869</v>
      </c>
      <c r="AL84" s="15">
        <f t="shared" si="245"/>
        <v>11.321015544578241</v>
      </c>
      <c r="AM84" s="15">
        <f t="shared" si="245"/>
        <v>11.660646010915592</v>
      </c>
      <c r="AN84" s="15">
        <f t="shared" si="245"/>
        <v>12.010465391243059</v>
      </c>
      <c r="AO84" s="15">
        <f t="shared" si="245"/>
        <v>12.370779352980346</v>
      </c>
      <c r="AP84" s="15">
        <f t="shared" si="245"/>
        <v>12.741902733569759</v>
      </c>
      <c r="AQ84" s="15">
        <f t="shared" si="245"/>
        <v>188.0025966684498</v>
      </c>
      <c r="AR84" s="15">
        <f t="shared" si="245"/>
        <v>13.517884610044156</v>
      </c>
      <c r="AS84" s="15">
        <f t="shared" si="245"/>
        <v>13.923421148345483</v>
      </c>
      <c r="AT84" s="15">
        <f t="shared" si="245"/>
        <v>14.341123782795844</v>
      </c>
      <c r="AU84" s="15">
        <f t="shared" si="245"/>
        <v>14.771357496279723</v>
      </c>
      <c r="AV84" s="15">
        <f t="shared" si="245"/>
        <v>15.21449822116811</v>
      </c>
      <c r="AW84" s="15">
        <f t="shared" si="245"/>
        <v>15.670933167803156</v>
      </c>
    </row>
    <row r="85" spans="2:49" ht="14.25" customHeight="1">
      <c r="B85" s="1"/>
      <c r="C85" s="1" t="s">
        <v>444</v>
      </c>
      <c r="D85" s="8"/>
      <c r="E85" s="15">
        <f t="shared" ref="E85:N85" si="246">E96</f>
        <v>0</v>
      </c>
      <c r="F85" s="15">
        <f t="shared" si="246"/>
        <v>0</v>
      </c>
      <c r="G85" s="15">
        <f t="shared" si="246"/>
        <v>0</v>
      </c>
      <c r="H85" s="15">
        <f t="shared" si="246"/>
        <v>0</v>
      </c>
      <c r="I85" s="15">
        <f t="shared" si="246"/>
        <v>0</v>
      </c>
      <c r="J85" s="15">
        <f t="shared" si="246"/>
        <v>0</v>
      </c>
      <c r="K85" s="15">
        <f t="shared" si="246"/>
        <v>0</v>
      </c>
      <c r="L85" s="15">
        <f t="shared" si="246"/>
        <v>0</v>
      </c>
      <c r="M85" s="15">
        <f t="shared" si="246"/>
        <v>0</v>
      </c>
      <c r="N85" s="15">
        <f t="shared" si="246"/>
        <v>0</v>
      </c>
      <c r="O85" s="15">
        <f t="shared" ref="O85:AQ85" si="247">O96</f>
        <v>0</v>
      </c>
      <c r="P85" s="15">
        <f t="shared" si="247"/>
        <v>0</v>
      </c>
      <c r="Q85" s="15">
        <f t="shared" si="247"/>
        <v>0</v>
      </c>
      <c r="R85" s="15">
        <f t="shared" si="247"/>
        <v>0</v>
      </c>
      <c r="S85" s="15">
        <f t="shared" si="247"/>
        <v>0</v>
      </c>
      <c r="T85" s="15">
        <f t="shared" si="247"/>
        <v>0</v>
      </c>
      <c r="U85" s="15">
        <f t="shared" si="247"/>
        <v>0</v>
      </c>
      <c r="V85" s="15">
        <f t="shared" si="247"/>
        <v>0</v>
      </c>
      <c r="W85" s="15">
        <f t="shared" si="247"/>
        <v>0</v>
      </c>
      <c r="X85" s="15">
        <f t="shared" si="247"/>
        <v>0</v>
      </c>
      <c r="Y85" s="15">
        <f>Y96</f>
        <v>0</v>
      </c>
      <c r="Z85" s="15">
        <f t="shared" si="247"/>
        <v>0</v>
      </c>
      <c r="AA85" s="15">
        <f t="shared" si="247"/>
        <v>0</v>
      </c>
      <c r="AB85" s="15">
        <f t="shared" si="247"/>
        <v>0</v>
      </c>
      <c r="AC85" s="15">
        <f t="shared" si="247"/>
        <v>0</v>
      </c>
      <c r="AD85" s="15">
        <f t="shared" si="247"/>
        <v>0</v>
      </c>
      <c r="AE85" s="15">
        <f t="shared" si="247"/>
        <v>0</v>
      </c>
      <c r="AF85" s="15">
        <f t="shared" si="247"/>
        <v>0</v>
      </c>
      <c r="AG85" s="15">
        <f t="shared" si="247"/>
        <v>0</v>
      </c>
      <c r="AH85" s="15">
        <f t="shared" si="247"/>
        <v>0</v>
      </c>
      <c r="AI85" s="15">
        <f t="shared" si="247"/>
        <v>0</v>
      </c>
      <c r="AJ85" s="15">
        <f t="shared" si="247"/>
        <v>0</v>
      </c>
      <c r="AK85" s="15">
        <f t="shared" si="247"/>
        <v>0</v>
      </c>
      <c r="AL85" s="15">
        <f t="shared" si="247"/>
        <v>0</v>
      </c>
      <c r="AM85" s="15">
        <f t="shared" si="247"/>
        <v>0</v>
      </c>
      <c r="AN85" s="15">
        <f t="shared" si="247"/>
        <v>0</v>
      </c>
      <c r="AO85" s="15">
        <f t="shared" si="247"/>
        <v>0</v>
      </c>
      <c r="AP85" s="15">
        <f t="shared" si="247"/>
        <v>0</v>
      </c>
      <c r="AQ85" s="15">
        <f t="shared" si="247"/>
        <v>0</v>
      </c>
      <c r="AR85" s="15">
        <f t="shared" ref="AR85:AW85" si="248">AR96</f>
        <v>0</v>
      </c>
      <c r="AS85" s="15">
        <f t="shared" si="248"/>
        <v>0</v>
      </c>
      <c r="AT85" s="15">
        <f t="shared" si="248"/>
        <v>0</v>
      </c>
      <c r="AU85" s="15">
        <f t="shared" si="248"/>
        <v>0</v>
      </c>
      <c r="AV85" s="15">
        <f t="shared" si="248"/>
        <v>0</v>
      </c>
      <c r="AW85" s="15">
        <f t="shared" si="248"/>
        <v>0</v>
      </c>
    </row>
    <row r="86" spans="2:49" ht="14.25" customHeight="1">
      <c r="B86" s="1"/>
      <c r="C86" s="1" t="s">
        <v>445</v>
      </c>
      <c r="D86" s="1"/>
      <c r="E86" s="29">
        <f>IFERROR(E84/E85,0)</f>
        <v>0</v>
      </c>
      <c r="F86" s="29">
        <f t="shared" ref="F86:N86" si="249">IFERROR(F84/F85,0)</f>
        <v>0</v>
      </c>
      <c r="G86" s="29">
        <f t="shared" si="249"/>
        <v>0</v>
      </c>
      <c r="H86" s="29">
        <f t="shared" si="249"/>
        <v>0</v>
      </c>
      <c r="I86" s="29">
        <f t="shared" si="249"/>
        <v>0</v>
      </c>
      <c r="J86" s="29">
        <f t="shared" si="249"/>
        <v>0</v>
      </c>
      <c r="K86" s="29">
        <f t="shared" si="249"/>
        <v>0</v>
      </c>
      <c r="L86" s="29">
        <f t="shared" si="249"/>
        <v>0</v>
      </c>
      <c r="M86" s="29">
        <f t="shared" si="249"/>
        <v>0</v>
      </c>
      <c r="N86" s="29">
        <f t="shared" si="249"/>
        <v>0</v>
      </c>
      <c r="O86" s="29">
        <f t="shared" ref="O86:AQ86" si="250">IFERROR(O84/O85,0)</f>
        <v>0</v>
      </c>
      <c r="P86" s="29">
        <f t="shared" si="250"/>
        <v>0</v>
      </c>
      <c r="Q86" s="29">
        <f t="shared" si="250"/>
        <v>0</v>
      </c>
      <c r="R86" s="29">
        <f t="shared" si="250"/>
        <v>0</v>
      </c>
      <c r="S86" s="29">
        <f t="shared" si="250"/>
        <v>0</v>
      </c>
      <c r="T86" s="29">
        <f t="shared" si="250"/>
        <v>0</v>
      </c>
      <c r="U86" s="29">
        <f t="shared" si="250"/>
        <v>0</v>
      </c>
      <c r="V86" s="29">
        <f t="shared" si="250"/>
        <v>0</v>
      </c>
      <c r="W86" s="29">
        <f t="shared" si="250"/>
        <v>0</v>
      </c>
      <c r="X86" s="29">
        <f t="shared" si="250"/>
        <v>0</v>
      </c>
      <c r="Y86" s="239">
        <f>IFERROR(Y84/Y85,0)</f>
        <v>0</v>
      </c>
      <c r="Z86" s="239">
        <f t="shared" si="250"/>
        <v>0</v>
      </c>
      <c r="AA86" s="239">
        <f t="shared" si="250"/>
        <v>0</v>
      </c>
      <c r="AB86" s="239">
        <f t="shared" si="250"/>
        <v>0</v>
      </c>
      <c r="AC86" s="239">
        <f t="shared" si="250"/>
        <v>0</v>
      </c>
      <c r="AD86" s="239">
        <f t="shared" si="250"/>
        <v>0</v>
      </c>
      <c r="AE86" s="239">
        <f t="shared" si="250"/>
        <v>0</v>
      </c>
      <c r="AF86" s="239">
        <f t="shared" si="250"/>
        <v>0</v>
      </c>
      <c r="AG86" s="239">
        <f t="shared" si="250"/>
        <v>0</v>
      </c>
      <c r="AH86" s="239">
        <f t="shared" si="250"/>
        <v>0</v>
      </c>
      <c r="AI86" s="239">
        <f t="shared" si="250"/>
        <v>0</v>
      </c>
      <c r="AJ86" s="239">
        <f t="shared" si="250"/>
        <v>0</v>
      </c>
      <c r="AK86" s="239">
        <f t="shared" si="250"/>
        <v>0</v>
      </c>
      <c r="AL86" s="239">
        <f t="shared" si="250"/>
        <v>0</v>
      </c>
      <c r="AM86" s="239">
        <f t="shared" si="250"/>
        <v>0</v>
      </c>
      <c r="AN86" s="239">
        <f t="shared" si="250"/>
        <v>0</v>
      </c>
      <c r="AO86" s="239">
        <f t="shared" si="250"/>
        <v>0</v>
      </c>
      <c r="AP86" s="239">
        <f t="shared" si="250"/>
        <v>0</v>
      </c>
      <c r="AQ86" s="239">
        <f t="shared" si="250"/>
        <v>0</v>
      </c>
      <c r="AR86" s="239">
        <f t="shared" ref="AR86:AW86" si="251">IFERROR(AR84/AR85,0)</f>
        <v>0</v>
      </c>
      <c r="AS86" s="239">
        <f t="shared" si="251"/>
        <v>0</v>
      </c>
      <c r="AT86" s="239">
        <f t="shared" si="251"/>
        <v>0</v>
      </c>
      <c r="AU86" s="239">
        <f t="shared" si="251"/>
        <v>0</v>
      </c>
      <c r="AV86" s="239">
        <f t="shared" si="251"/>
        <v>0</v>
      </c>
      <c r="AW86" s="239">
        <f t="shared" si="251"/>
        <v>0</v>
      </c>
    </row>
    <row r="87" spans="2:49" ht="14.25" customHeight="1">
      <c r="B87" s="2" t="s">
        <v>351</v>
      </c>
      <c r="C87" s="2" t="s">
        <v>446</v>
      </c>
      <c r="D87" s="30">
        <f>-'Assumptions &amp; Inputs'!G7*SUM(E58,E60)</f>
        <v>-86.800000000000011</v>
      </c>
      <c r="E87" s="31">
        <f>SUM(E84,-E85)</f>
        <v>4.268320000000001</v>
      </c>
      <c r="F87" s="31">
        <f t="shared" ref="F87:N87" si="252">SUM(F84,-F85)</f>
        <v>4.3963696000000008</v>
      </c>
      <c r="G87" s="31">
        <f t="shared" si="252"/>
        <v>4.5282606879999996</v>
      </c>
      <c r="H87" s="31">
        <f t="shared" si="252"/>
        <v>4.66410850864</v>
      </c>
      <c r="I87" s="31">
        <f t="shared" si="252"/>
        <v>4.8040317638991992</v>
      </c>
      <c r="J87" s="31">
        <f t="shared" si="252"/>
        <v>4.9481527168161756</v>
      </c>
      <c r="K87" s="31">
        <f t="shared" si="252"/>
        <v>5.0965972983206607</v>
      </c>
      <c r="L87" s="31">
        <f t="shared" si="252"/>
        <v>5.2494952172702813</v>
      </c>
      <c r="M87" s="31">
        <f t="shared" si="252"/>
        <v>5.4069800737883895</v>
      </c>
      <c r="N87" s="31">
        <f t="shared" si="252"/>
        <v>5.5691894760020419</v>
      </c>
      <c r="O87" s="31">
        <f t="shared" ref="O87:AQ87" si="253">SUM(O84,-O85)</f>
        <v>5.7362651602821026</v>
      </c>
      <c r="P87" s="31">
        <f t="shared" si="253"/>
        <v>5.9083531150905646</v>
      </c>
      <c r="Q87" s="31">
        <f t="shared" si="253"/>
        <v>6.0856037085432817</v>
      </c>
      <c r="R87" s="31">
        <f t="shared" si="253"/>
        <v>6.2681718197995808</v>
      </c>
      <c r="S87" s="31">
        <f t="shared" si="253"/>
        <v>6.456216974393568</v>
      </c>
      <c r="T87" s="31">
        <f t="shared" si="253"/>
        <v>6.6499034836253745</v>
      </c>
      <c r="U87" s="31">
        <f t="shared" si="253"/>
        <v>6.8494005881341344</v>
      </c>
      <c r="V87" s="31">
        <f t="shared" si="253"/>
        <v>7.0548826057781593</v>
      </c>
      <c r="W87" s="31">
        <f t="shared" si="253"/>
        <v>7.2665290839515038</v>
      </c>
      <c r="X87" s="31">
        <f t="shared" si="253"/>
        <v>7.4845249564700493</v>
      </c>
      <c r="Y87" s="31">
        <f t="shared" si="253"/>
        <v>7.7090607051641484</v>
      </c>
      <c r="Z87" s="31">
        <f t="shared" si="253"/>
        <v>7.9403325263190752</v>
      </c>
      <c r="AA87" s="31">
        <f t="shared" si="253"/>
        <v>8.1785425021086482</v>
      </c>
      <c r="AB87" s="31">
        <f t="shared" si="253"/>
        <v>8.4238987771719067</v>
      </c>
      <c r="AC87" s="31">
        <f t="shared" si="253"/>
        <v>8.6766157404870654</v>
      </c>
      <c r="AD87" s="31">
        <f t="shared" si="253"/>
        <v>8.9369142127016765</v>
      </c>
      <c r="AE87" s="31">
        <f t="shared" si="253"/>
        <v>9.2050216390827231</v>
      </c>
      <c r="AF87" s="31">
        <f t="shared" si="253"/>
        <v>9.4811722882552072</v>
      </c>
      <c r="AG87" s="31">
        <f t="shared" si="253"/>
        <v>9.7656074569028597</v>
      </c>
      <c r="AH87" s="31">
        <f t="shared" si="253"/>
        <v>10.058575680609948</v>
      </c>
      <c r="AI87" s="31">
        <f t="shared" si="253"/>
        <v>10.360332951028248</v>
      </c>
      <c r="AJ87" s="31">
        <f t="shared" si="253"/>
        <v>10.671142939559093</v>
      </c>
      <c r="AK87" s="31">
        <f t="shared" si="253"/>
        <v>10.991277227745869</v>
      </c>
      <c r="AL87" s="31">
        <f t="shared" si="253"/>
        <v>11.321015544578241</v>
      </c>
      <c r="AM87" s="31">
        <f t="shared" si="253"/>
        <v>11.660646010915592</v>
      </c>
      <c r="AN87" s="31">
        <f t="shared" si="253"/>
        <v>12.010465391243059</v>
      </c>
      <c r="AO87" s="31">
        <f t="shared" si="253"/>
        <v>12.370779352980346</v>
      </c>
      <c r="AP87" s="31">
        <f t="shared" si="253"/>
        <v>12.741902733569759</v>
      </c>
      <c r="AQ87" s="31">
        <f t="shared" si="253"/>
        <v>188.0025966684498</v>
      </c>
      <c r="AR87" s="31">
        <f t="shared" ref="AR87:AW87" si="254">SUM(AR84,-AR85)</f>
        <v>13.517884610044156</v>
      </c>
      <c r="AS87" s="31">
        <f t="shared" si="254"/>
        <v>13.923421148345483</v>
      </c>
      <c r="AT87" s="31">
        <f t="shared" si="254"/>
        <v>14.341123782795844</v>
      </c>
      <c r="AU87" s="31">
        <f t="shared" si="254"/>
        <v>14.771357496279723</v>
      </c>
      <c r="AV87" s="31">
        <f t="shared" si="254"/>
        <v>15.21449822116811</v>
      </c>
      <c r="AW87" s="31">
        <f t="shared" si="254"/>
        <v>15.670933167803156</v>
      </c>
    </row>
    <row r="88" spans="2:49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2:49" ht="14.25" customHeight="1">
      <c r="B89" s="1"/>
      <c r="C89" s="1" t="s">
        <v>447</v>
      </c>
    </row>
    <row r="90" spans="2:49" ht="14.25" customHeight="1">
      <c r="B90" s="1"/>
      <c r="C90" s="1" t="s">
        <v>448</v>
      </c>
      <c r="D90" s="32"/>
      <c r="E90" s="32">
        <f>E72</f>
        <v>0</v>
      </c>
      <c r="F90" s="32">
        <f t="shared" ref="F90:N90" si="255">E92</f>
        <v>0</v>
      </c>
      <c r="G90" s="32">
        <f t="shared" si="255"/>
        <v>0</v>
      </c>
      <c r="H90" s="32">
        <f t="shared" si="255"/>
        <v>0</v>
      </c>
      <c r="I90" s="32">
        <f t="shared" si="255"/>
        <v>0</v>
      </c>
      <c r="J90" s="32">
        <f t="shared" si="255"/>
        <v>0</v>
      </c>
      <c r="K90" s="32">
        <f t="shared" si="255"/>
        <v>0</v>
      </c>
      <c r="L90" s="32">
        <f t="shared" si="255"/>
        <v>0</v>
      </c>
      <c r="M90" s="32">
        <f t="shared" si="255"/>
        <v>0</v>
      </c>
      <c r="N90" s="32">
        <f t="shared" si="255"/>
        <v>0</v>
      </c>
      <c r="O90" s="32">
        <f t="shared" ref="O90" si="256">N92</f>
        <v>0</v>
      </c>
      <c r="P90" s="32">
        <f t="shared" ref="P90" si="257">O92</f>
        <v>0</v>
      </c>
      <c r="Q90" s="32">
        <f t="shared" ref="Q90" si="258">P92</f>
        <v>0</v>
      </c>
      <c r="R90" s="32">
        <f t="shared" ref="R90" si="259">Q92</f>
        <v>0</v>
      </c>
      <c r="S90" s="32">
        <f t="shared" ref="S90" si="260">R92</f>
        <v>0</v>
      </c>
      <c r="T90" s="32">
        <f t="shared" ref="T90" si="261">S92</f>
        <v>0</v>
      </c>
      <c r="U90" s="32">
        <f t="shared" ref="U90" si="262">T92</f>
        <v>0</v>
      </c>
      <c r="V90" s="32">
        <f t="shared" ref="V90" si="263">U92</f>
        <v>0</v>
      </c>
      <c r="W90" s="32">
        <f t="shared" ref="W90" si="264">V92</f>
        <v>0</v>
      </c>
      <c r="X90" s="32">
        <f t="shared" ref="X90" si="265">W92</f>
        <v>0</v>
      </c>
      <c r="Y90" s="32">
        <f>X92</f>
        <v>0</v>
      </c>
      <c r="Z90" s="32">
        <f t="shared" ref="Z90" si="266">Y92</f>
        <v>0</v>
      </c>
      <c r="AA90" s="32">
        <f t="shared" ref="AA90" si="267">Z92</f>
        <v>0</v>
      </c>
      <c r="AB90" s="32">
        <f t="shared" ref="AB90" si="268">AA92</f>
        <v>0</v>
      </c>
      <c r="AC90" s="32">
        <f t="shared" ref="AC90" si="269">AB92</f>
        <v>0</v>
      </c>
      <c r="AD90" s="32">
        <f t="shared" ref="AD90" si="270">AC92</f>
        <v>0</v>
      </c>
      <c r="AE90" s="32">
        <f t="shared" ref="AE90" si="271">AD92</f>
        <v>0</v>
      </c>
      <c r="AF90" s="32">
        <f t="shared" ref="AF90" si="272">AE92</f>
        <v>0</v>
      </c>
      <c r="AG90" s="32">
        <f t="shared" ref="AG90" si="273">AF92</f>
        <v>0</v>
      </c>
      <c r="AH90" s="32">
        <f t="shared" ref="AH90" si="274">AG92</f>
        <v>0</v>
      </c>
      <c r="AI90" s="32">
        <f t="shared" ref="AI90" si="275">AH92</f>
        <v>0</v>
      </c>
      <c r="AJ90" s="32">
        <f t="shared" ref="AJ90" si="276">AI92</f>
        <v>0</v>
      </c>
      <c r="AK90" s="32">
        <f t="shared" ref="AK90" si="277">AJ92</f>
        <v>0</v>
      </c>
      <c r="AL90" s="32">
        <f t="shared" ref="AL90" si="278">AK92</f>
        <v>0</v>
      </c>
      <c r="AM90" s="32">
        <f t="shared" ref="AM90" si="279">AL92</f>
        <v>0</v>
      </c>
      <c r="AN90" s="32">
        <f t="shared" ref="AN90" si="280">AM92</f>
        <v>0</v>
      </c>
      <c r="AO90" s="32">
        <f t="shared" ref="AO90" si="281">AN92</f>
        <v>0</v>
      </c>
      <c r="AP90" s="32">
        <f t="shared" ref="AP90" si="282">AO92</f>
        <v>0</v>
      </c>
      <c r="AQ90" s="32">
        <f t="shared" ref="AQ90" si="283">AP92</f>
        <v>0</v>
      </c>
      <c r="AR90" s="32">
        <f t="shared" ref="AR90" si="284">AQ92</f>
        <v>0</v>
      </c>
      <c r="AS90" s="32">
        <f t="shared" ref="AS90" si="285">AR92</f>
        <v>0</v>
      </c>
      <c r="AT90" s="32">
        <f t="shared" ref="AT90" si="286">AS92</f>
        <v>0</v>
      </c>
      <c r="AU90" s="32">
        <f t="shared" ref="AU90" si="287">AT92</f>
        <v>0</v>
      </c>
      <c r="AV90" s="32">
        <f t="shared" ref="AV90" si="288">AU92</f>
        <v>0</v>
      </c>
      <c r="AW90" s="32">
        <f t="shared" ref="AW90" si="289">AV92</f>
        <v>0</v>
      </c>
    </row>
    <row r="91" spans="2:49" ht="14.25" customHeight="1">
      <c r="B91" s="1"/>
      <c r="C91" s="1" t="s">
        <v>449</v>
      </c>
      <c r="D91" s="33"/>
      <c r="E91" s="34">
        <f>IFERROR(PPMT('Assumptions &amp; Inputs'!$G$10,E80,'Assumptions &amp; Inputs'!$G$9,$E$72), 0)</f>
        <v>0</v>
      </c>
      <c r="F91" s="34">
        <f>IFERROR(PPMT('Assumptions &amp; Inputs'!$G$10,F80,'Assumptions &amp; Inputs'!$G$9,$E$72), 0)</f>
        <v>0</v>
      </c>
      <c r="G91" s="34">
        <f>IFERROR(PPMT('Assumptions &amp; Inputs'!$G$10,G80,'Assumptions &amp; Inputs'!$G$9,$E$72), 0)</f>
        <v>0</v>
      </c>
      <c r="H91" s="34">
        <f>IFERROR(PPMT('Assumptions &amp; Inputs'!$G$10,H80,'Assumptions &amp; Inputs'!$G$9,$E$72), 0)</f>
        <v>0</v>
      </c>
      <c r="I91" s="34">
        <f>IFERROR(PPMT('Assumptions &amp; Inputs'!$G$10,I80,'Assumptions &amp; Inputs'!$G$9,$E$72), 0)</f>
        <v>0</v>
      </c>
      <c r="J91" s="34">
        <f>IFERROR(PPMT('Assumptions &amp; Inputs'!$G$10,J80,'Assumptions &amp; Inputs'!$G$9,$E$72), 0)</f>
        <v>0</v>
      </c>
      <c r="K91" s="34">
        <f>IFERROR(PPMT('Assumptions &amp; Inputs'!$G$10,K80,'Assumptions &amp; Inputs'!$G$9,$E$72), 0)</f>
        <v>0</v>
      </c>
      <c r="L91" s="34">
        <f>IFERROR(PPMT('Assumptions &amp; Inputs'!$G$10,L80,'Assumptions &amp; Inputs'!$G$9,$E$72), 0)</f>
        <v>0</v>
      </c>
      <c r="M91" s="34">
        <f>IFERROR(PPMT('Assumptions &amp; Inputs'!$G$10,M80,'Assumptions &amp; Inputs'!$G$9,$E$72), 0)</f>
        <v>0</v>
      </c>
      <c r="N91" s="34">
        <f>IFERROR(PPMT('Assumptions &amp; Inputs'!$G$10,N80,'Assumptions &amp; Inputs'!$G$9,$E$72), 0)</f>
        <v>0</v>
      </c>
      <c r="O91" s="34">
        <f>IFERROR(PPMT('Assumptions &amp; Inputs'!$G$10,O80,'Assumptions &amp; Inputs'!$G$9,$E$72), 0)</f>
        <v>0</v>
      </c>
      <c r="P91" s="34">
        <f>IFERROR(PPMT('Assumptions &amp; Inputs'!$G$10,P80,'Assumptions &amp; Inputs'!$G$9,$E$72), 0)</f>
        <v>0</v>
      </c>
      <c r="Q91" s="34">
        <f>IFERROR(PPMT('Assumptions &amp; Inputs'!$G$10,Q80,'Assumptions &amp; Inputs'!$G$9,$E$72), 0)</f>
        <v>0</v>
      </c>
      <c r="R91" s="34">
        <f>IFERROR(PPMT('Assumptions &amp; Inputs'!$G$10,R80,'Assumptions &amp; Inputs'!$G$9,$E$72), 0)</f>
        <v>0</v>
      </c>
      <c r="S91" s="34">
        <f>IFERROR(PPMT('Assumptions &amp; Inputs'!$G$10,S80,'Assumptions &amp; Inputs'!$G$9,$E$72), 0)</f>
        <v>0</v>
      </c>
      <c r="T91" s="34">
        <f>IFERROR(PPMT('Assumptions &amp; Inputs'!$G$10,T80,'Assumptions &amp; Inputs'!$G$9,$E$72), 0)</f>
        <v>0</v>
      </c>
      <c r="U91" s="34">
        <f>IFERROR(PPMT('Assumptions &amp; Inputs'!$G$10,U80,'Assumptions &amp; Inputs'!$G$9,$E$72), 0)</f>
        <v>0</v>
      </c>
      <c r="V91" s="34">
        <f>IFERROR(PPMT('Assumptions &amp; Inputs'!$G$10,V80,'Assumptions &amp; Inputs'!$G$9,$E$72), 0)</f>
        <v>0</v>
      </c>
      <c r="W91" s="34">
        <f>IFERROR(PPMT('Assumptions &amp; Inputs'!$G$10,W80,'Assumptions &amp; Inputs'!$G$9,$E$72), 0)</f>
        <v>0</v>
      </c>
      <c r="X91" s="34">
        <f>IFERROR(PPMT('Assumptions &amp; Inputs'!$G$10,X80,'Assumptions &amp; Inputs'!$G$9,$E$72), 0)</f>
        <v>0</v>
      </c>
      <c r="Y91" s="34">
        <f>IFERROR(PPMT('Assumptions &amp; Inputs'!$G$10,Y80,'Assumptions &amp; Inputs'!$G$9,$E$72), 0)</f>
        <v>0</v>
      </c>
      <c r="Z91" s="34">
        <f>IFERROR(PPMT('Assumptions &amp; Inputs'!$G$10,Z80,'Assumptions &amp; Inputs'!$G$9,$E$72), 0)</f>
        <v>0</v>
      </c>
      <c r="AA91" s="34">
        <f>IFERROR(PPMT('Assumptions &amp; Inputs'!$G$10,AA80,'Assumptions &amp; Inputs'!$G$9,$E$72), 0)</f>
        <v>0</v>
      </c>
      <c r="AB91" s="34">
        <f>IFERROR(PPMT('Assumptions &amp; Inputs'!$G$10,AB80,'Assumptions &amp; Inputs'!$G$9,$E$72), 0)</f>
        <v>0</v>
      </c>
      <c r="AC91" s="34">
        <f>IFERROR(PPMT('Assumptions &amp; Inputs'!$G$10,AC80,'Assumptions &amp; Inputs'!$G$9,$E$72), 0)</f>
        <v>0</v>
      </c>
      <c r="AD91" s="34">
        <f>IFERROR(PPMT('Assumptions &amp; Inputs'!$G$10,AD80,'Assumptions &amp; Inputs'!$G$9,$E$72), 0)</f>
        <v>0</v>
      </c>
      <c r="AE91" s="34">
        <f>IFERROR(PPMT('Assumptions &amp; Inputs'!$G$10,AE80,'Assumptions &amp; Inputs'!$G$9,$E$72), 0)</f>
        <v>0</v>
      </c>
      <c r="AF91" s="34">
        <f>IFERROR(PPMT('Assumptions &amp; Inputs'!$G$10,AF80,'Assumptions &amp; Inputs'!$G$9,$E$72), 0)</f>
        <v>0</v>
      </c>
      <c r="AG91" s="34">
        <f>IFERROR(PPMT('Assumptions &amp; Inputs'!$G$10,AG80,'Assumptions &amp; Inputs'!$G$9,$E$72), 0)</f>
        <v>0</v>
      </c>
      <c r="AH91" s="34">
        <f>IFERROR(PPMT('Assumptions &amp; Inputs'!$G$10,AH80,'Assumptions &amp; Inputs'!$G$9,$E$72), 0)</f>
        <v>0</v>
      </c>
      <c r="AI91" s="34">
        <f>IFERROR(PPMT('Assumptions &amp; Inputs'!$G$10,AI80,'Assumptions &amp; Inputs'!$G$9,$E$72), 0)</f>
        <v>0</v>
      </c>
      <c r="AJ91" s="34">
        <f>IFERROR(PPMT('Assumptions &amp; Inputs'!$G$10,AJ80,'Assumptions &amp; Inputs'!$G$9,$E$72), 0)</f>
        <v>0</v>
      </c>
      <c r="AK91" s="34">
        <f>IFERROR(PPMT('Assumptions &amp; Inputs'!$G$10,AK80,'Assumptions &amp; Inputs'!$G$9,$E$72), 0)</f>
        <v>0</v>
      </c>
      <c r="AL91" s="34">
        <f>IFERROR(PPMT('Assumptions &amp; Inputs'!$G$10,AL80,'Assumptions &amp; Inputs'!$G$9,$E$72), 0)</f>
        <v>0</v>
      </c>
      <c r="AM91" s="34">
        <f>IFERROR(PPMT('Assumptions &amp; Inputs'!$G$10,AM80,'Assumptions &amp; Inputs'!$G$9,$E$72), 0)</f>
        <v>0</v>
      </c>
      <c r="AN91" s="34">
        <f>IFERROR(PPMT('Assumptions &amp; Inputs'!$G$10,AN80,'Assumptions &amp; Inputs'!$G$9,$E$72), 0)</f>
        <v>0</v>
      </c>
      <c r="AO91" s="34">
        <f>IFERROR(PPMT('Assumptions &amp; Inputs'!$G$10,AO80,'Assumptions &amp; Inputs'!$G$9,$E$72), 0)</f>
        <v>0</v>
      </c>
      <c r="AP91" s="34">
        <f>IFERROR(PPMT('Assumptions &amp; Inputs'!$G$10,AP80,'Assumptions &amp; Inputs'!$G$9,$E$72), 0)</f>
        <v>0</v>
      </c>
      <c r="AQ91" s="34">
        <f>IFERROR(PPMT('Assumptions &amp; Inputs'!$G$10,AQ80,'Assumptions &amp; Inputs'!$G$9,$E$72), 0)</f>
        <v>0</v>
      </c>
      <c r="AR91" s="34">
        <f>IFERROR(PPMT('Assumptions &amp; Inputs'!$G$10,AR80,'Assumptions &amp; Inputs'!$G$9,$E$72), 0)</f>
        <v>0</v>
      </c>
      <c r="AS91" s="34">
        <f>IFERROR(PPMT('Assumptions &amp; Inputs'!$G$10,AS80,'Assumptions &amp; Inputs'!$G$9,$E$72), 0)</f>
        <v>0</v>
      </c>
      <c r="AT91" s="34">
        <f>IFERROR(PPMT('Assumptions &amp; Inputs'!$G$10,AT80,'Assumptions &amp; Inputs'!$G$9,$E$72), 0)</f>
        <v>0</v>
      </c>
      <c r="AU91" s="34">
        <f>IFERROR(PPMT('Assumptions &amp; Inputs'!$G$10,AU80,'Assumptions &amp; Inputs'!$G$9,$E$72), 0)</f>
        <v>0</v>
      </c>
      <c r="AV91" s="34">
        <f>IFERROR(PPMT('Assumptions &amp; Inputs'!$G$10,AV80,'Assumptions &amp; Inputs'!$G$9,$E$72), 0)</f>
        <v>0</v>
      </c>
      <c r="AW91" s="34">
        <f>IFERROR(PPMT('Assumptions &amp; Inputs'!$G$10,AW80,'Assumptions &amp; Inputs'!$G$9,$E$72), 0)</f>
        <v>0</v>
      </c>
    </row>
    <row r="92" spans="2:49" ht="14.25" customHeight="1">
      <c r="B92" s="1"/>
      <c r="C92" s="1" t="s">
        <v>450</v>
      </c>
      <c r="D92" s="1"/>
      <c r="E92" s="32">
        <f t="shared" ref="E92:N92" si="290">SUM(E90:E91)</f>
        <v>0</v>
      </c>
      <c r="F92" s="32">
        <f t="shared" si="290"/>
        <v>0</v>
      </c>
      <c r="G92" s="32">
        <f t="shared" si="290"/>
        <v>0</v>
      </c>
      <c r="H92" s="32">
        <f t="shared" si="290"/>
        <v>0</v>
      </c>
      <c r="I92" s="32">
        <f t="shared" si="290"/>
        <v>0</v>
      </c>
      <c r="J92" s="32">
        <f t="shared" si="290"/>
        <v>0</v>
      </c>
      <c r="K92" s="32">
        <f t="shared" si="290"/>
        <v>0</v>
      </c>
      <c r="L92" s="32">
        <f t="shared" si="290"/>
        <v>0</v>
      </c>
      <c r="M92" s="32">
        <f t="shared" si="290"/>
        <v>0</v>
      </c>
      <c r="N92" s="32">
        <f t="shared" si="290"/>
        <v>0</v>
      </c>
      <c r="O92" s="32">
        <f t="shared" ref="O92:AO92" si="291">SUM(O90:O91)</f>
        <v>0</v>
      </c>
      <c r="P92" s="32">
        <f t="shared" si="291"/>
        <v>0</v>
      </c>
      <c r="Q92" s="32">
        <f t="shared" si="291"/>
        <v>0</v>
      </c>
      <c r="R92" s="32">
        <f t="shared" si="291"/>
        <v>0</v>
      </c>
      <c r="S92" s="32">
        <f t="shared" si="291"/>
        <v>0</v>
      </c>
      <c r="T92" s="32">
        <f t="shared" si="291"/>
        <v>0</v>
      </c>
      <c r="U92" s="32">
        <f t="shared" si="291"/>
        <v>0</v>
      </c>
      <c r="V92" s="32">
        <f t="shared" si="291"/>
        <v>0</v>
      </c>
      <c r="W92" s="32">
        <f t="shared" si="291"/>
        <v>0</v>
      </c>
      <c r="X92" s="32">
        <f t="shared" si="291"/>
        <v>0</v>
      </c>
      <c r="Y92" s="32">
        <f t="shared" si="291"/>
        <v>0</v>
      </c>
      <c r="Z92" s="32">
        <f t="shared" si="291"/>
        <v>0</v>
      </c>
      <c r="AA92" s="32">
        <f t="shared" si="291"/>
        <v>0</v>
      </c>
      <c r="AB92" s="32">
        <f t="shared" si="291"/>
        <v>0</v>
      </c>
      <c r="AC92" s="32">
        <f t="shared" si="291"/>
        <v>0</v>
      </c>
      <c r="AD92" s="32">
        <f t="shared" si="291"/>
        <v>0</v>
      </c>
      <c r="AE92" s="32">
        <f t="shared" si="291"/>
        <v>0</v>
      </c>
      <c r="AF92" s="32">
        <f t="shared" si="291"/>
        <v>0</v>
      </c>
      <c r="AG92" s="32">
        <f t="shared" si="291"/>
        <v>0</v>
      </c>
      <c r="AH92" s="32">
        <f t="shared" si="291"/>
        <v>0</v>
      </c>
      <c r="AI92" s="32">
        <f t="shared" si="291"/>
        <v>0</v>
      </c>
      <c r="AJ92" s="32">
        <f t="shared" si="291"/>
        <v>0</v>
      </c>
      <c r="AK92" s="32">
        <f t="shared" si="291"/>
        <v>0</v>
      </c>
      <c r="AL92" s="32">
        <f t="shared" si="291"/>
        <v>0</v>
      </c>
      <c r="AM92" s="32">
        <f t="shared" si="291"/>
        <v>0</v>
      </c>
      <c r="AN92" s="32">
        <f t="shared" si="291"/>
        <v>0</v>
      </c>
      <c r="AO92" s="32">
        <f t="shared" si="291"/>
        <v>0</v>
      </c>
      <c r="AP92" s="32">
        <f>SUM(AP90:AP91)</f>
        <v>0</v>
      </c>
      <c r="AQ92" s="32">
        <f>SUM(AQ90:AQ91)</f>
        <v>0</v>
      </c>
      <c r="AR92" s="32">
        <f>SUM(AR90:AR91)</f>
        <v>0</v>
      </c>
      <c r="AS92" s="32">
        <f t="shared" ref="AS92:AW92" si="292">SUM(AS90:AS91)</f>
        <v>0</v>
      </c>
      <c r="AT92" s="32">
        <f t="shared" si="292"/>
        <v>0</v>
      </c>
      <c r="AU92" s="32">
        <f t="shared" si="292"/>
        <v>0</v>
      </c>
      <c r="AV92" s="32">
        <f t="shared" si="292"/>
        <v>0</v>
      </c>
      <c r="AW92" s="32">
        <f t="shared" si="292"/>
        <v>0</v>
      </c>
    </row>
    <row r="93" spans="2:49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2:49" ht="14.25" customHeight="1">
      <c r="B94" s="1"/>
      <c r="C94" s="1" t="s">
        <v>451</v>
      </c>
      <c r="D94" s="1"/>
      <c r="E94" s="8">
        <f>IFERROR(-IPMT('Assumptions &amp; Inputs'!$G$10,E80,'Assumptions &amp; Inputs'!$G$9,$E$72), 0)</f>
        <v>0</v>
      </c>
      <c r="F94" s="8">
        <f>IFERROR(-IPMT('Assumptions &amp; Inputs'!$G$10,F80,'Assumptions &amp; Inputs'!$G$9,$E$72), 0)</f>
        <v>0</v>
      </c>
      <c r="G94" s="8">
        <f>IFERROR(-IPMT('Assumptions &amp; Inputs'!$G$10,G80,'Assumptions &amp; Inputs'!$G$9,$E$72), 0)</f>
        <v>0</v>
      </c>
      <c r="H94" s="8">
        <f>IFERROR(-IPMT('Assumptions &amp; Inputs'!$G$10,H80,'Assumptions &amp; Inputs'!$G$9,$E$72), 0)</f>
        <v>0</v>
      </c>
      <c r="I94" s="8">
        <f>IFERROR(-IPMT('Assumptions &amp; Inputs'!$G$10,I80,'Assumptions &amp; Inputs'!$G$9,$E$72), 0)</f>
        <v>0</v>
      </c>
      <c r="J94" s="8">
        <f>IFERROR(-IPMT('Assumptions &amp; Inputs'!$G$10,J80,'Assumptions &amp; Inputs'!$G$9,$E$72), 0)</f>
        <v>0</v>
      </c>
      <c r="K94" s="8">
        <f>IFERROR(-IPMT('Assumptions &amp; Inputs'!$G$10,K80,'Assumptions &amp; Inputs'!$G$9,$E$72), 0)</f>
        <v>0</v>
      </c>
      <c r="L94" s="8">
        <f>IFERROR(-IPMT('Assumptions &amp; Inputs'!$G$10,L80,'Assumptions &amp; Inputs'!$G$9,$E$72), 0)</f>
        <v>0</v>
      </c>
      <c r="M94" s="8">
        <f>IFERROR(-IPMT('Assumptions &amp; Inputs'!$G$10,M80,'Assumptions &amp; Inputs'!$G$9,$E$72), 0)</f>
        <v>0</v>
      </c>
      <c r="N94" s="8">
        <f>IFERROR(-IPMT('Assumptions &amp; Inputs'!$G$10,N80,'Assumptions &amp; Inputs'!$G$9,$E$72), 0)</f>
        <v>0</v>
      </c>
      <c r="O94" s="8">
        <f>IFERROR(-IPMT('Assumptions &amp; Inputs'!$G$10,O80,'Assumptions &amp; Inputs'!$G$9,$E$72), 0)</f>
        <v>0</v>
      </c>
      <c r="P94" s="8">
        <f>IFERROR(-IPMT('Assumptions &amp; Inputs'!$G$10,P80,'Assumptions &amp; Inputs'!$G$9,$E$72), 0)</f>
        <v>0</v>
      </c>
      <c r="Q94" s="8">
        <f>IFERROR(-IPMT('Assumptions &amp; Inputs'!$G$10,Q80,'Assumptions &amp; Inputs'!$G$9,$E$72), 0)</f>
        <v>0</v>
      </c>
      <c r="R94" s="8">
        <f>IFERROR(-IPMT('Assumptions &amp; Inputs'!$G$10,R80,'Assumptions &amp; Inputs'!$G$9,$E$72), 0)</f>
        <v>0</v>
      </c>
      <c r="S94" s="8">
        <f>IFERROR(-IPMT('Assumptions &amp; Inputs'!$G$10,S80,'Assumptions &amp; Inputs'!$G$9,$E$72), 0)</f>
        <v>0</v>
      </c>
      <c r="T94" s="8">
        <f>IFERROR(-IPMT('Assumptions &amp; Inputs'!$G$10,T80,'Assumptions &amp; Inputs'!$G$9,$E$72), 0)</f>
        <v>0</v>
      </c>
      <c r="U94" s="8">
        <f>IFERROR(-IPMT('Assumptions &amp; Inputs'!$G$10,U80,'Assumptions &amp; Inputs'!$G$9,$E$72), 0)</f>
        <v>0</v>
      </c>
      <c r="V94" s="8">
        <f>IFERROR(-IPMT('Assumptions &amp; Inputs'!$G$10,V80,'Assumptions &amp; Inputs'!$G$9,$E$72), 0)</f>
        <v>0</v>
      </c>
      <c r="W94" s="8">
        <f>IFERROR(-IPMT('Assumptions &amp; Inputs'!$G$10,W80,'Assumptions &amp; Inputs'!$G$9,$E$72), 0)</f>
        <v>0</v>
      </c>
      <c r="X94" s="8">
        <f>IFERROR(-IPMT('Assumptions &amp; Inputs'!$G$10,X80,'Assumptions &amp; Inputs'!$G$9,$E$72), 0)</f>
        <v>0</v>
      </c>
      <c r="Y94" s="8">
        <f>IFERROR(-IPMT('Assumptions &amp; Inputs'!$G$10,Y80,'Assumptions &amp; Inputs'!$G$9,$E$72), 0)</f>
        <v>0</v>
      </c>
      <c r="Z94" s="8">
        <f>IFERROR(-IPMT('Assumptions &amp; Inputs'!$G$10,Z80,'Assumptions &amp; Inputs'!$G$9,$E$72), 0)</f>
        <v>0</v>
      </c>
      <c r="AA94" s="8">
        <f>IFERROR(-IPMT('Assumptions &amp; Inputs'!$G$10,AA80,'Assumptions &amp; Inputs'!$G$9,$E$72), 0)</f>
        <v>0</v>
      </c>
      <c r="AB94" s="8">
        <f>IFERROR(-IPMT('Assumptions &amp; Inputs'!$G$10,AB80,'Assumptions &amp; Inputs'!$G$9,$E$72), 0)</f>
        <v>0</v>
      </c>
      <c r="AC94" s="8">
        <f>IFERROR(-IPMT('Assumptions &amp; Inputs'!$G$10,AC80,'Assumptions &amp; Inputs'!$G$9,$E$72), 0)</f>
        <v>0</v>
      </c>
      <c r="AD94" s="8">
        <f>IFERROR(-IPMT('Assumptions &amp; Inputs'!$G$10,AD80,'Assumptions &amp; Inputs'!$G$9,$E$72), 0)</f>
        <v>0</v>
      </c>
      <c r="AE94" s="8">
        <f>IFERROR(-IPMT('Assumptions &amp; Inputs'!$G$10,AE80,'Assumptions &amp; Inputs'!$G$9,$E$72), 0)</f>
        <v>0</v>
      </c>
      <c r="AF94" s="8">
        <f>IFERROR(-IPMT('Assumptions &amp; Inputs'!$G$10,AF80,'Assumptions &amp; Inputs'!$G$9,$E$72), 0)</f>
        <v>0</v>
      </c>
      <c r="AG94" s="8">
        <f>IFERROR(-IPMT('Assumptions &amp; Inputs'!$G$10,AG80,'Assumptions &amp; Inputs'!$G$9,$E$72), 0)</f>
        <v>0</v>
      </c>
      <c r="AH94" s="8">
        <f>IFERROR(-IPMT('Assumptions &amp; Inputs'!$G$10,AH80,'Assumptions &amp; Inputs'!$G$9,$E$72), 0)</f>
        <v>0</v>
      </c>
      <c r="AI94" s="8">
        <f>IFERROR(-IPMT('Assumptions &amp; Inputs'!$G$10,AI80,'Assumptions &amp; Inputs'!$G$9,$E$72), 0)</f>
        <v>0</v>
      </c>
      <c r="AJ94" s="8">
        <f>IFERROR(-IPMT('Assumptions &amp; Inputs'!$G$10,AJ80,'Assumptions &amp; Inputs'!$G$9,$E$72), 0)</f>
        <v>0</v>
      </c>
      <c r="AK94" s="8">
        <f>IFERROR(-IPMT('Assumptions &amp; Inputs'!$G$10,AK80,'Assumptions &amp; Inputs'!$G$9,$E$72), 0)</f>
        <v>0</v>
      </c>
      <c r="AL94" s="8">
        <f>IFERROR(-IPMT('Assumptions &amp; Inputs'!$G$10,AL80,'Assumptions &amp; Inputs'!$G$9,$E$72), 0)</f>
        <v>0</v>
      </c>
      <c r="AM94" s="8">
        <f>IFERROR(-IPMT('Assumptions &amp; Inputs'!$G$10,AM80,'Assumptions &amp; Inputs'!$G$9,$E$72), 0)</f>
        <v>0</v>
      </c>
      <c r="AN94" s="8">
        <f>IFERROR(-IPMT('Assumptions &amp; Inputs'!$G$10,AN80,'Assumptions &amp; Inputs'!$G$9,$E$72), 0)</f>
        <v>0</v>
      </c>
      <c r="AO94" s="8">
        <f>IFERROR(-IPMT('Assumptions &amp; Inputs'!$G$10,AO80,'Assumptions &amp; Inputs'!$G$9,$E$72), 0)</f>
        <v>0</v>
      </c>
      <c r="AP94" s="8">
        <f>IFERROR(-IPMT('Assumptions &amp; Inputs'!$G$10,AP80,'Assumptions &amp; Inputs'!$G$9,$E$72), 0)</f>
        <v>0</v>
      </c>
      <c r="AQ94" s="8">
        <f>IFERROR(-IPMT('Assumptions &amp; Inputs'!$G$10,AQ80,'Assumptions &amp; Inputs'!$G$9,$E$72), 0)</f>
        <v>0</v>
      </c>
      <c r="AR94" s="8">
        <f>IFERROR(-IPMT('Assumptions &amp; Inputs'!$G$10,AR80,'Assumptions &amp; Inputs'!$G$9,$E$72), 0)</f>
        <v>0</v>
      </c>
      <c r="AS94" s="8">
        <f>IFERROR(-IPMT('Assumptions &amp; Inputs'!$G$10,AS80,'Assumptions &amp; Inputs'!$G$9,$E$72), 0)</f>
        <v>0</v>
      </c>
      <c r="AT94" s="8">
        <f>IFERROR(-IPMT('Assumptions &amp; Inputs'!$G$10,AT80,'Assumptions &amp; Inputs'!$G$9,$E$72), 0)</f>
        <v>0</v>
      </c>
      <c r="AU94" s="8">
        <f>IFERROR(-IPMT('Assumptions &amp; Inputs'!$G$10,AU80,'Assumptions &amp; Inputs'!$G$9,$E$72), 0)</f>
        <v>0</v>
      </c>
      <c r="AV94" s="8">
        <f>IFERROR(-IPMT('Assumptions &amp; Inputs'!$G$10,AV80,'Assumptions &amp; Inputs'!$G$9,$E$72), 0)</f>
        <v>0</v>
      </c>
      <c r="AW94" s="8">
        <f>IFERROR(-IPMT('Assumptions &amp; Inputs'!$G$10,AW80,'Assumptions &amp; Inputs'!$G$9,$E$72), 0)</f>
        <v>0</v>
      </c>
    </row>
    <row r="95" spans="2:49" ht="14.25" customHeight="1">
      <c r="B95" s="1"/>
      <c r="C95" s="1" t="s">
        <v>452</v>
      </c>
      <c r="D95" s="1"/>
      <c r="E95" s="8">
        <f t="shared" ref="E95:N95" si="293">-E91</f>
        <v>0</v>
      </c>
      <c r="F95" s="8">
        <f t="shared" si="293"/>
        <v>0</v>
      </c>
      <c r="G95" s="8">
        <f t="shared" si="293"/>
        <v>0</v>
      </c>
      <c r="H95" s="8">
        <f t="shared" si="293"/>
        <v>0</v>
      </c>
      <c r="I95" s="8">
        <f t="shared" si="293"/>
        <v>0</v>
      </c>
      <c r="J95" s="8">
        <f t="shared" si="293"/>
        <v>0</v>
      </c>
      <c r="K95" s="8">
        <f t="shared" si="293"/>
        <v>0</v>
      </c>
      <c r="L95" s="8">
        <f t="shared" si="293"/>
        <v>0</v>
      </c>
      <c r="M95" s="8">
        <f t="shared" si="293"/>
        <v>0</v>
      </c>
      <c r="N95" s="8">
        <f t="shared" si="293"/>
        <v>0</v>
      </c>
      <c r="O95" s="8">
        <f t="shared" ref="O95:AQ95" si="294">-O91</f>
        <v>0</v>
      </c>
      <c r="P95" s="8">
        <f t="shared" si="294"/>
        <v>0</v>
      </c>
      <c r="Q95" s="8">
        <f t="shared" si="294"/>
        <v>0</v>
      </c>
      <c r="R95" s="8">
        <f t="shared" si="294"/>
        <v>0</v>
      </c>
      <c r="S95" s="8">
        <f t="shared" si="294"/>
        <v>0</v>
      </c>
      <c r="T95" s="8">
        <f t="shared" si="294"/>
        <v>0</v>
      </c>
      <c r="U95" s="8">
        <f t="shared" si="294"/>
        <v>0</v>
      </c>
      <c r="V95" s="8">
        <f t="shared" si="294"/>
        <v>0</v>
      </c>
      <c r="W95" s="8">
        <f t="shared" si="294"/>
        <v>0</v>
      </c>
      <c r="X95" s="8">
        <f t="shared" si="294"/>
        <v>0</v>
      </c>
      <c r="Y95" s="8">
        <f>-Y91</f>
        <v>0</v>
      </c>
      <c r="Z95" s="8">
        <f t="shared" si="294"/>
        <v>0</v>
      </c>
      <c r="AA95" s="8">
        <f t="shared" si="294"/>
        <v>0</v>
      </c>
      <c r="AB95" s="8">
        <f t="shared" si="294"/>
        <v>0</v>
      </c>
      <c r="AC95" s="8">
        <f t="shared" si="294"/>
        <v>0</v>
      </c>
      <c r="AD95" s="8">
        <f t="shared" si="294"/>
        <v>0</v>
      </c>
      <c r="AE95" s="8">
        <f t="shared" si="294"/>
        <v>0</v>
      </c>
      <c r="AF95" s="8">
        <f t="shared" si="294"/>
        <v>0</v>
      </c>
      <c r="AG95" s="8">
        <f t="shared" si="294"/>
        <v>0</v>
      </c>
      <c r="AH95" s="8">
        <f t="shared" si="294"/>
        <v>0</v>
      </c>
      <c r="AI95" s="8">
        <f t="shared" si="294"/>
        <v>0</v>
      </c>
      <c r="AJ95" s="8">
        <f t="shared" si="294"/>
        <v>0</v>
      </c>
      <c r="AK95" s="8">
        <f t="shared" si="294"/>
        <v>0</v>
      </c>
      <c r="AL95" s="8">
        <f t="shared" si="294"/>
        <v>0</v>
      </c>
      <c r="AM95" s="8">
        <f t="shared" si="294"/>
        <v>0</v>
      </c>
      <c r="AN95" s="8">
        <f t="shared" si="294"/>
        <v>0</v>
      </c>
      <c r="AO95" s="8">
        <f t="shared" si="294"/>
        <v>0</v>
      </c>
      <c r="AP95" s="8">
        <f t="shared" si="294"/>
        <v>0</v>
      </c>
      <c r="AQ95" s="8">
        <f t="shared" si="294"/>
        <v>0</v>
      </c>
      <c r="AR95" s="8">
        <f t="shared" ref="AR95:AW95" si="295">-AR91</f>
        <v>0</v>
      </c>
      <c r="AS95" s="8">
        <f t="shared" si="295"/>
        <v>0</v>
      </c>
      <c r="AT95" s="8">
        <f t="shared" si="295"/>
        <v>0</v>
      </c>
      <c r="AU95" s="8">
        <f t="shared" si="295"/>
        <v>0</v>
      </c>
      <c r="AV95" s="8">
        <f t="shared" si="295"/>
        <v>0</v>
      </c>
      <c r="AW95" s="8">
        <f t="shared" si="295"/>
        <v>0</v>
      </c>
    </row>
    <row r="96" spans="2:49" ht="14.25" customHeight="1">
      <c r="B96" s="1" t="s">
        <v>351</v>
      </c>
      <c r="C96" s="2" t="s">
        <v>444</v>
      </c>
      <c r="D96" s="2"/>
      <c r="E96" s="31">
        <f t="shared" ref="E96:N96" si="296">SUM(E94:E95)</f>
        <v>0</v>
      </c>
      <c r="F96" s="31">
        <f t="shared" si="296"/>
        <v>0</v>
      </c>
      <c r="G96" s="31">
        <f t="shared" si="296"/>
        <v>0</v>
      </c>
      <c r="H96" s="31">
        <f t="shared" si="296"/>
        <v>0</v>
      </c>
      <c r="I96" s="31">
        <f t="shared" si="296"/>
        <v>0</v>
      </c>
      <c r="J96" s="31">
        <f t="shared" si="296"/>
        <v>0</v>
      </c>
      <c r="K96" s="31">
        <f t="shared" si="296"/>
        <v>0</v>
      </c>
      <c r="L96" s="31">
        <f t="shared" si="296"/>
        <v>0</v>
      </c>
      <c r="M96" s="31">
        <f t="shared" si="296"/>
        <v>0</v>
      </c>
      <c r="N96" s="31">
        <f t="shared" si="296"/>
        <v>0</v>
      </c>
      <c r="O96" s="31">
        <f t="shared" ref="O96:AP96" si="297">SUM(O94:O95)</f>
        <v>0</v>
      </c>
      <c r="P96" s="31">
        <f t="shared" si="297"/>
        <v>0</v>
      </c>
      <c r="Q96" s="31">
        <f t="shared" si="297"/>
        <v>0</v>
      </c>
      <c r="R96" s="31">
        <f t="shared" si="297"/>
        <v>0</v>
      </c>
      <c r="S96" s="31">
        <f t="shared" si="297"/>
        <v>0</v>
      </c>
      <c r="T96" s="31">
        <f t="shared" si="297"/>
        <v>0</v>
      </c>
      <c r="U96" s="31">
        <f t="shared" si="297"/>
        <v>0</v>
      </c>
      <c r="V96" s="31">
        <f t="shared" si="297"/>
        <v>0</v>
      </c>
      <c r="W96" s="31">
        <f t="shared" si="297"/>
        <v>0</v>
      </c>
      <c r="X96" s="31">
        <f t="shared" si="297"/>
        <v>0</v>
      </c>
      <c r="Y96" s="31">
        <f>SUM(Y94:Y95)</f>
        <v>0</v>
      </c>
      <c r="Z96" s="31">
        <f t="shared" si="297"/>
        <v>0</v>
      </c>
      <c r="AA96" s="31">
        <f t="shared" si="297"/>
        <v>0</v>
      </c>
      <c r="AB96" s="31">
        <f t="shared" si="297"/>
        <v>0</v>
      </c>
      <c r="AC96" s="31">
        <f t="shared" si="297"/>
        <v>0</v>
      </c>
      <c r="AD96" s="31">
        <f t="shared" si="297"/>
        <v>0</v>
      </c>
      <c r="AE96" s="31">
        <f t="shared" si="297"/>
        <v>0</v>
      </c>
      <c r="AF96" s="31">
        <f t="shared" si="297"/>
        <v>0</v>
      </c>
      <c r="AG96" s="31">
        <f t="shared" si="297"/>
        <v>0</v>
      </c>
      <c r="AH96" s="31">
        <f t="shared" si="297"/>
        <v>0</v>
      </c>
      <c r="AI96" s="31">
        <f t="shared" si="297"/>
        <v>0</v>
      </c>
      <c r="AJ96" s="31">
        <f t="shared" si="297"/>
        <v>0</v>
      </c>
      <c r="AK96" s="31">
        <f t="shared" si="297"/>
        <v>0</v>
      </c>
      <c r="AL96" s="31">
        <f t="shared" si="297"/>
        <v>0</v>
      </c>
      <c r="AM96" s="31">
        <f t="shared" si="297"/>
        <v>0</v>
      </c>
      <c r="AN96" s="31">
        <f t="shared" si="297"/>
        <v>0</v>
      </c>
      <c r="AO96" s="31">
        <f t="shared" si="297"/>
        <v>0</v>
      </c>
      <c r="AP96" s="31">
        <f t="shared" si="297"/>
        <v>0</v>
      </c>
      <c r="AQ96" s="31">
        <f>SUM(AQ94:AW95)</f>
        <v>0</v>
      </c>
      <c r="AR96" s="31">
        <f t="shared" ref="AR96:AW96" si="298">SUM(AR94:AR95)</f>
        <v>0</v>
      </c>
      <c r="AS96" s="31">
        <f t="shared" si="298"/>
        <v>0</v>
      </c>
      <c r="AT96" s="31">
        <f t="shared" si="298"/>
        <v>0</v>
      </c>
      <c r="AU96" s="31">
        <f t="shared" si="298"/>
        <v>0</v>
      </c>
      <c r="AV96" s="31">
        <f t="shared" si="298"/>
        <v>0</v>
      </c>
      <c r="AW96" s="31">
        <f t="shared" si="298"/>
        <v>0</v>
      </c>
    </row>
    <row r="99" spans="1:49" ht="14.25" customHeight="1" thickBot="1">
      <c r="A99" s="1" t="s">
        <v>351</v>
      </c>
      <c r="B99" s="1"/>
      <c r="C99" s="9" t="s">
        <v>475</v>
      </c>
      <c r="D99" s="9"/>
      <c r="E99" s="10"/>
      <c r="F99" s="10"/>
      <c r="G99" s="10"/>
      <c r="H99" s="10"/>
      <c r="I99" s="10"/>
      <c r="J99" s="11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spans="1:49" ht="14.25" customHeight="1">
      <c r="A100" s="1"/>
      <c r="B100" s="1"/>
      <c r="C100" s="12" t="s">
        <v>353</v>
      </c>
      <c r="D100" s="13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4.25" customHeight="1">
      <c r="A101" s="1"/>
      <c r="B101" s="1"/>
      <c r="C101" s="1"/>
      <c r="D101" s="43">
        <v>0</v>
      </c>
      <c r="E101" s="90">
        <f t="shared" ref="E101:N101" si="299">D101+1</f>
        <v>1</v>
      </c>
      <c r="F101" s="90">
        <f t="shared" si="299"/>
        <v>2</v>
      </c>
      <c r="G101" s="90">
        <f t="shared" si="299"/>
        <v>3</v>
      </c>
      <c r="H101" s="90">
        <f t="shared" si="299"/>
        <v>4</v>
      </c>
      <c r="I101" s="90">
        <f t="shared" si="299"/>
        <v>5</v>
      </c>
      <c r="J101" s="90">
        <f t="shared" si="299"/>
        <v>6</v>
      </c>
      <c r="K101" s="90">
        <f t="shared" si="299"/>
        <v>7</v>
      </c>
      <c r="L101" s="90">
        <f t="shared" si="299"/>
        <v>8</v>
      </c>
      <c r="M101" s="90">
        <f t="shared" si="299"/>
        <v>9</v>
      </c>
      <c r="N101" s="90">
        <f t="shared" si="299"/>
        <v>10</v>
      </c>
      <c r="O101" s="90">
        <f t="shared" ref="O101" si="300">N101+1</f>
        <v>11</v>
      </c>
      <c r="P101" s="90">
        <f t="shared" ref="P101" si="301">O101+1</f>
        <v>12</v>
      </c>
      <c r="Q101" s="90">
        <f t="shared" ref="Q101" si="302">P101+1</f>
        <v>13</v>
      </c>
      <c r="R101" s="90">
        <f t="shared" ref="R101" si="303">Q101+1</f>
        <v>14</v>
      </c>
      <c r="S101" s="90">
        <f t="shared" ref="S101" si="304">R101+1</f>
        <v>15</v>
      </c>
      <c r="T101" s="90">
        <f t="shared" ref="T101" si="305">S101+1</f>
        <v>16</v>
      </c>
      <c r="U101" s="90">
        <f t="shared" ref="U101" si="306">T101+1</f>
        <v>17</v>
      </c>
      <c r="V101" s="90">
        <f t="shared" ref="V101" si="307">U101+1</f>
        <v>18</v>
      </c>
      <c r="W101" s="90">
        <f t="shared" ref="W101" si="308">V101+1</f>
        <v>19</v>
      </c>
      <c r="X101" s="90">
        <f t="shared" ref="X101" si="309">W101+1</f>
        <v>20</v>
      </c>
      <c r="Y101" s="90">
        <f t="shared" ref="Y101" si="310">X101+1</f>
        <v>21</v>
      </c>
      <c r="Z101" s="90">
        <f t="shared" ref="Z101" si="311">Y101+1</f>
        <v>22</v>
      </c>
      <c r="AA101" s="90">
        <f t="shared" ref="AA101" si="312">Z101+1</f>
        <v>23</v>
      </c>
      <c r="AB101" s="90">
        <f t="shared" ref="AB101" si="313">AA101+1</f>
        <v>24</v>
      </c>
      <c r="AC101" s="90">
        <f t="shared" ref="AC101" si="314">AB101+1</f>
        <v>25</v>
      </c>
      <c r="AD101" s="90">
        <f t="shared" ref="AD101" si="315">AC101+1</f>
        <v>26</v>
      </c>
      <c r="AE101" s="90">
        <f t="shared" ref="AE101" si="316">AD101+1</f>
        <v>27</v>
      </c>
      <c r="AF101" s="90">
        <f t="shared" ref="AF101" si="317">AE101+1</f>
        <v>28</v>
      </c>
      <c r="AG101" s="90">
        <f t="shared" ref="AG101" si="318">AF101+1</f>
        <v>29</v>
      </c>
      <c r="AH101" s="90">
        <f t="shared" ref="AH101" si="319">AG101+1</f>
        <v>30</v>
      </c>
      <c r="AI101" s="90">
        <f t="shared" ref="AI101" si="320">AH101+1</f>
        <v>31</v>
      </c>
      <c r="AJ101" s="90">
        <f t="shared" ref="AJ101" si="321">AI101+1</f>
        <v>32</v>
      </c>
      <c r="AK101" s="90">
        <f t="shared" ref="AK101" si="322">AJ101+1</f>
        <v>33</v>
      </c>
      <c r="AL101" s="90">
        <f t="shared" ref="AL101" si="323">AK101+1</f>
        <v>34</v>
      </c>
      <c r="AM101" s="90">
        <f t="shared" ref="AM101" si="324">AL101+1</f>
        <v>35</v>
      </c>
      <c r="AN101" s="90">
        <f t="shared" ref="AN101" si="325">AM101+1</f>
        <v>36</v>
      </c>
      <c r="AO101" s="90">
        <f t="shared" ref="AO101" si="326">AN101+1</f>
        <v>37</v>
      </c>
      <c r="AP101" s="90">
        <f t="shared" ref="AP101" si="327">AO101+1</f>
        <v>38</v>
      </c>
      <c r="AQ101" s="90">
        <f t="shared" ref="AQ101" si="328">AP101+1</f>
        <v>39</v>
      </c>
      <c r="AR101" s="90">
        <f t="shared" ref="AR101" si="329">AQ101+1</f>
        <v>40</v>
      </c>
      <c r="AS101" s="90">
        <f t="shared" ref="AS101" si="330">AR101+1</f>
        <v>41</v>
      </c>
      <c r="AT101" s="90">
        <f t="shared" ref="AT101" si="331">AS101+1</f>
        <v>42</v>
      </c>
      <c r="AU101" s="90">
        <f t="shared" ref="AU101" si="332">AT101+1</f>
        <v>43</v>
      </c>
      <c r="AV101" s="90">
        <f t="shared" ref="AV101" si="333">AU101+1</f>
        <v>44</v>
      </c>
      <c r="AW101" s="90">
        <f t="shared" ref="AW101" si="334">AV101+1</f>
        <v>45</v>
      </c>
    </row>
    <row r="102" spans="1:49" ht="14.25" customHeight="1">
      <c r="A102" s="44"/>
      <c r="B102" s="44"/>
      <c r="C102" s="45"/>
      <c r="D102" s="2"/>
      <c r="E102" s="806" t="s">
        <v>354</v>
      </c>
      <c r="F102" s="819"/>
      <c r="G102" s="819"/>
      <c r="H102" s="819"/>
      <c r="I102" s="819"/>
      <c r="J102" s="819"/>
      <c r="K102" s="819"/>
      <c r="L102" s="819"/>
      <c r="M102" s="819"/>
      <c r="N102" s="819"/>
      <c r="O102" s="819"/>
      <c r="P102" s="819"/>
      <c r="Q102" s="819"/>
      <c r="R102" s="819"/>
      <c r="S102" s="819"/>
      <c r="T102" s="819"/>
      <c r="U102" s="819"/>
      <c r="V102" s="819"/>
      <c r="W102" s="819"/>
      <c r="X102" s="819"/>
      <c r="Y102" s="819"/>
      <c r="Z102" s="819"/>
      <c r="AA102" s="819"/>
      <c r="AB102" s="819"/>
      <c r="AC102" s="819"/>
      <c r="AD102" s="819"/>
      <c r="AE102" s="819"/>
      <c r="AF102" s="819"/>
      <c r="AG102" s="819"/>
      <c r="AH102" s="819"/>
      <c r="AI102" s="819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</row>
    <row r="103" spans="1:49" ht="14.25" customHeight="1">
      <c r="A103" s="44"/>
      <c r="B103" s="44"/>
      <c r="C103" s="46"/>
      <c r="D103" s="3">
        <f>D82</f>
        <v>2026</v>
      </c>
      <c r="E103" s="3">
        <f t="shared" ref="E103:N103" si="335">D103+1</f>
        <v>2027</v>
      </c>
      <c r="F103" s="3">
        <f t="shared" si="335"/>
        <v>2028</v>
      </c>
      <c r="G103" s="3">
        <f t="shared" si="335"/>
        <v>2029</v>
      </c>
      <c r="H103" s="3">
        <f t="shared" si="335"/>
        <v>2030</v>
      </c>
      <c r="I103" s="3">
        <f t="shared" si="335"/>
        <v>2031</v>
      </c>
      <c r="J103" s="3">
        <f t="shared" si="335"/>
        <v>2032</v>
      </c>
      <c r="K103" s="3">
        <f t="shared" si="335"/>
        <v>2033</v>
      </c>
      <c r="L103" s="3">
        <f t="shared" si="335"/>
        <v>2034</v>
      </c>
      <c r="M103" s="3">
        <f t="shared" si="335"/>
        <v>2035</v>
      </c>
      <c r="N103" s="3">
        <f t="shared" si="335"/>
        <v>2036</v>
      </c>
      <c r="O103" s="3">
        <f t="shared" ref="O103" si="336">N103+1</f>
        <v>2037</v>
      </c>
      <c r="P103" s="3">
        <f t="shared" ref="P103" si="337">O103+1</f>
        <v>2038</v>
      </c>
      <c r="Q103" s="3">
        <f t="shared" ref="Q103" si="338">P103+1</f>
        <v>2039</v>
      </c>
      <c r="R103" s="3">
        <f t="shared" ref="R103" si="339">Q103+1</f>
        <v>2040</v>
      </c>
      <c r="S103" s="3">
        <f t="shared" ref="S103" si="340">R103+1</f>
        <v>2041</v>
      </c>
      <c r="T103" s="3">
        <f t="shared" ref="T103" si="341">S103+1</f>
        <v>2042</v>
      </c>
      <c r="U103" s="3">
        <f t="shared" ref="U103" si="342">T103+1</f>
        <v>2043</v>
      </c>
      <c r="V103" s="3">
        <f t="shared" ref="V103" si="343">U103+1</f>
        <v>2044</v>
      </c>
      <c r="W103" s="3">
        <f t="shared" ref="W103" si="344">V103+1</f>
        <v>2045</v>
      </c>
      <c r="X103" s="3">
        <f t="shared" ref="X103" si="345">W103+1</f>
        <v>2046</v>
      </c>
      <c r="Y103" s="3">
        <f t="shared" ref="Y103" si="346">X103+1</f>
        <v>2047</v>
      </c>
      <c r="Z103" s="3">
        <f t="shared" ref="Z103" si="347">Y103+1</f>
        <v>2048</v>
      </c>
      <c r="AA103" s="3">
        <f t="shared" ref="AA103" si="348">Z103+1</f>
        <v>2049</v>
      </c>
      <c r="AB103" s="3">
        <f t="shared" ref="AB103" si="349">AA103+1</f>
        <v>2050</v>
      </c>
      <c r="AC103" s="3">
        <f t="shared" ref="AC103" si="350">AB103+1</f>
        <v>2051</v>
      </c>
      <c r="AD103" s="3">
        <f t="shared" ref="AD103" si="351">AC103+1</f>
        <v>2052</v>
      </c>
      <c r="AE103" s="3">
        <f t="shared" ref="AE103" si="352">AD103+1</f>
        <v>2053</v>
      </c>
      <c r="AF103" s="3">
        <f t="shared" ref="AF103" si="353">AE103+1</f>
        <v>2054</v>
      </c>
      <c r="AG103" s="3">
        <f t="shared" ref="AG103" si="354">AF103+1</f>
        <v>2055</v>
      </c>
      <c r="AH103" s="3">
        <f t="shared" ref="AH103" si="355">AG103+1</f>
        <v>2056</v>
      </c>
      <c r="AI103" s="3">
        <f t="shared" ref="AI103" si="356">AH103+1</f>
        <v>2057</v>
      </c>
      <c r="AJ103" s="3">
        <f t="shared" ref="AJ103" si="357">AI103+1</f>
        <v>2058</v>
      </c>
      <c r="AK103" s="3">
        <f t="shared" ref="AK103" si="358">AJ103+1</f>
        <v>2059</v>
      </c>
      <c r="AL103" s="3">
        <f t="shared" ref="AL103" si="359">AK103+1</f>
        <v>2060</v>
      </c>
      <c r="AM103" s="3">
        <f t="shared" ref="AM103" si="360">AL103+1</f>
        <v>2061</v>
      </c>
      <c r="AN103" s="3">
        <f t="shared" ref="AN103" si="361">AM103+1</f>
        <v>2062</v>
      </c>
      <c r="AO103" s="3">
        <f t="shared" ref="AO103" si="362">AN103+1</f>
        <v>2063</v>
      </c>
      <c r="AP103" s="3">
        <f t="shared" ref="AP103" si="363">AO103+1</f>
        <v>2064</v>
      </c>
      <c r="AQ103" s="3">
        <f t="shared" ref="AQ103" si="364">AP103+1</f>
        <v>2065</v>
      </c>
      <c r="AR103" s="3">
        <f t="shared" ref="AR103" si="365">AQ103+1</f>
        <v>2066</v>
      </c>
      <c r="AS103" s="3">
        <f t="shared" ref="AS103" si="366">AR103+1</f>
        <v>2067</v>
      </c>
      <c r="AT103" s="3">
        <f t="shared" ref="AT103" si="367">AS103+1</f>
        <v>2068</v>
      </c>
      <c r="AU103" s="3">
        <f t="shared" ref="AU103" si="368">AT103+1</f>
        <v>2069</v>
      </c>
      <c r="AV103" s="3">
        <f t="shared" ref="AV103" si="369">AU103+1</f>
        <v>2070</v>
      </c>
      <c r="AW103" s="3">
        <f t="shared" ref="AW103" si="370">AV103+1</f>
        <v>2071</v>
      </c>
    </row>
    <row r="104" spans="1:49" ht="14.25" customHeight="1">
      <c r="A104" s="44"/>
      <c r="B104" s="44"/>
      <c r="C104" s="44"/>
      <c r="D104" s="93">
        <f>D83</f>
        <v>46023</v>
      </c>
      <c r="E104" s="93">
        <f>E83</f>
        <v>46752</v>
      </c>
      <c r="F104" s="93">
        <f t="shared" ref="F104:N104" si="371">F83</f>
        <v>47118</v>
      </c>
      <c r="G104" s="93">
        <f t="shared" si="371"/>
        <v>47483</v>
      </c>
      <c r="H104" s="93">
        <f t="shared" si="371"/>
        <v>47848</v>
      </c>
      <c r="I104" s="93">
        <f t="shared" si="371"/>
        <v>48213</v>
      </c>
      <c r="J104" s="93">
        <f t="shared" si="371"/>
        <v>48579</v>
      </c>
      <c r="K104" s="93">
        <f t="shared" si="371"/>
        <v>48944</v>
      </c>
      <c r="L104" s="93">
        <f t="shared" si="371"/>
        <v>49309</v>
      </c>
      <c r="M104" s="93">
        <f t="shared" si="371"/>
        <v>49674</v>
      </c>
      <c r="N104" s="93">
        <f t="shared" si="371"/>
        <v>50040</v>
      </c>
      <c r="O104" s="93">
        <f t="shared" ref="O104:AQ104" si="372">O83</f>
        <v>50405</v>
      </c>
      <c r="P104" s="93">
        <f t="shared" si="372"/>
        <v>50770</v>
      </c>
      <c r="Q104" s="93">
        <f t="shared" si="372"/>
        <v>51135</v>
      </c>
      <c r="R104" s="93">
        <f t="shared" si="372"/>
        <v>51501</v>
      </c>
      <c r="S104" s="93">
        <f t="shared" si="372"/>
        <v>51866</v>
      </c>
      <c r="T104" s="93">
        <f t="shared" si="372"/>
        <v>52231</v>
      </c>
      <c r="U104" s="93">
        <f t="shared" si="372"/>
        <v>52596</v>
      </c>
      <c r="V104" s="93">
        <f t="shared" si="372"/>
        <v>52962</v>
      </c>
      <c r="W104" s="93">
        <f t="shared" si="372"/>
        <v>53327</v>
      </c>
      <c r="X104" s="93">
        <f t="shared" si="372"/>
        <v>53692</v>
      </c>
      <c r="Y104" s="93">
        <f t="shared" si="372"/>
        <v>54057</v>
      </c>
      <c r="Z104" s="93">
        <f t="shared" si="372"/>
        <v>54423</v>
      </c>
      <c r="AA104" s="93">
        <f t="shared" si="372"/>
        <v>54788</v>
      </c>
      <c r="AB104" s="93">
        <f t="shared" si="372"/>
        <v>55153</v>
      </c>
      <c r="AC104" s="93">
        <f t="shared" si="372"/>
        <v>55518</v>
      </c>
      <c r="AD104" s="93">
        <f t="shared" si="372"/>
        <v>55884</v>
      </c>
      <c r="AE104" s="93">
        <f t="shared" si="372"/>
        <v>56249</v>
      </c>
      <c r="AF104" s="93">
        <f t="shared" si="372"/>
        <v>56614</v>
      </c>
      <c r="AG104" s="93">
        <f t="shared" si="372"/>
        <v>56979</v>
      </c>
      <c r="AH104" s="93">
        <f t="shared" si="372"/>
        <v>57345</v>
      </c>
      <c r="AI104" s="93">
        <f t="shared" si="372"/>
        <v>57710</v>
      </c>
      <c r="AJ104" s="93">
        <f t="shared" si="372"/>
        <v>58075</v>
      </c>
      <c r="AK104" s="93">
        <f t="shared" si="372"/>
        <v>58440</v>
      </c>
      <c r="AL104" s="93">
        <f t="shared" si="372"/>
        <v>58806</v>
      </c>
      <c r="AM104" s="93">
        <f t="shared" si="372"/>
        <v>59171</v>
      </c>
      <c r="AN104" s="93">
        <f t="shared" si="372"/>
        <v>59536</v>
      </c>
      <c r="AO104" s="93">
        <f t="shared" si="372"/>
        <v>59901</v>
      </c>
      <c r="AP104" s="93">
        <f t="shared" si="372"/>
        <v>60267</v>
      </c>
      <c r="AQ104" s="93">
        <f t="shared" si="372"/>
        <v>60632</v>
      </c>
      <c r="AR104" s="93">
        <f t="shared" ref="AR104:AW104" si="373">AR83</f>
        <v>60997</v>
      </c>
      <c r="AS104" s="93">
        <f t="shared" si="373"/>
        <v>61362</v>
      </c>
      <c r="AT104" s="93">
        <f t="shared" si="373"/>
        <v>61728</v>
      </c>
      <c r="AU104" s="93">
        <f t="shared" si="373"/>
        <v>62093</v>
      </c>
      <c r="AV104" s="93">
        <f t="shared" si="373"/>
        <v>62458</v>
      </c>
      <c r="AW104" s="93">
        <f t="shared" si="373"/>
        <v>62823</v>
      </c>
    </row>
    <row r="105" spans="1:49" ht="14.25" customHeight="1">
      <c r="A105" s="44"/>
      <c r="B105" s="44"/>
      <c r="C105" s="48" t="s">
        <v>366</v>
      </c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166"/>
      <c r="AM105" s="166"/>
      <c r="AN105" s="166"/>
      <c r="AO105" s="166"/>
      <c r="AP105" s="166"/>
      <c r="AQ105" s="166"/>
      <c r="AR105" s="166"/>
      <c r="AS105" s="166"/>
      <c r="AT105" s="166"/>
      <c r="AU105" s="166"/>
      <c r="AV105" s="166"/>
      <c r="AW105" s="166"/>
    </row>
    <row r="106" spans="1:49" ht="14.25" customHeight="1">
      <c r="A106" s="44"/>
      <c r="B106" s="44"/>
      <c r="C106" s="44" t="s">
        <v>4</v>
      </c>
      <c r="D106" s="196">
        <f>IF(YEAR('Assumptions &amp; Inputs'!$G$27)&gt;D$103,0,IF(D$103=YEAR('Assumptions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Inputs'!$G$36)&gt;=D$103,'Assumptions &amp; Inputs'!$G$54*('Assumptions &amp; Inputs'!$G$55*'Assumptions &amp; Inputs'!$G$49+'Assumptions &amp; Inputs'!$G$56*(1-'Assumptions &amp; Inputs'!$G$49))*'Assumptions &amp; Inputs'!$T$28,0)))/$E$3</f>
        <v>0</v>
      </c>
      <c r="E106" s="196">
        <f>IF(YEAR('Assumptions &amp; Inputs'!$G$27)&gt;E$103,0,IF(E$103=YEAR('Assumptions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Inputs'!$G$36)&gt;=E$103,'Assumptions &amp; Inputs'!$G$54*('Assumptions &amp; Inputs'!$G$55*'Assumptions &amp; Inputs'!$G$49+'Assumptions &amp; Inputs'!$G$56*(1-'Assumptions &amp; Inputs'!$G$49))*'Assumptions &amp; Inputs'!$T$28,0)))/$E$3</f>
        <v>0</v>
      </c>
      <c r="F106" s="196">
        <f>IF(YEAR('Assumptions &amp; Inputs'!$G$27)&gt;F$103,0,IF(F$103=YEAR('Assumptions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Inputs'!$G$36)&gt;=F$103,'Assumptions &amp; Inputs'!$G$54*('Assumptions &amp; Inputs'!$G$55*'Assumptions &amp; Inputs'!$G$49+'Assumptions &amp; Inputs'!$G$56*(1-'Assumptions &amp; Inputs'!$G$49))*'Assumptions &amp; Inputs'!$T$28,0)))/$E$3</f>
        <v>0</v>
      </c>
      <c r="G106" s="196">
        <f>IF(YEAR('Assumptions &amp; Inputs'!$G$27)&gt;G$103,0,IF(G$103=YEAR('Assumptions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Inputs'!$G$36)&gt;=G$103,'Assumptions &amp; Inputs'!$G$54*('Assumptions &amp; Inputs'!$G$55*'Assumptions &amp; Inputs'!$G$49+'Assumptions &amp; Inputs'!$G$56*(1-'Assumptions &amp; Inputs'!$G$49))*'Assumptions &amp; Inputs'!$T$28,0)))/$E$3</f>
        <v>0</v>
      </c>
      <c r="H106" s="196">
        <f>IF(YEAR('Assumptions &amp; Inputs'!$G$27)&gt;H$103,0,IF(H$103=YEAR('Assumptions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Inputs'!$G$36)&gt;=H$103,'Assumptions &amp; Inputs'!$G$54*('Assumptions &amp; Inputs'!$G$55*'Assumptions &amp; Inputs'!$G$49+'Assumptions &amp; Inputs'!$G$56*(1-'Assumptions &amp; Inputs'!$G$49))*'Assumptions &amp; Inputs'!$T$28,0)))/$E$3</f>
        <v>0</v>
      </c>
      <c r="I106" s="196">
        <f>IF(YEAR('Assumptions &amp; Inputs'!$G$27)&gt;I$103,0,IF(I$103=YEAR('Assumptions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Inputs'!$G$36)&gt;=I$103,'Assumptions &amp; Inputs'!$G$54*('Assumptions &amp; Inputs'!$G$55*'Assumptions &amp; Inputs'!$G$49+'Assumptions &amp; Inputs'!$G$56*(1-'Assumptions &amp; Inputs'!$G$49))*'Assumptions &amp; Inputs'!$T$28,0)))/$E$3</f>
        <v>0</v>
      </c>
      <c r="J106" s="196">
        <f>IF(YEAR('Assumptions &amp; Inputs'!$G$27)&gt;J$103,0,IF(J$103=YEAR('Assumptions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Inputs'!$G$36)&gt;=J$103,'Assumptions &amp; Inputs'!$G$54*('Assumptions &amp; Inputs'!$G$55*'Assumptions &amp; Inputs'!$G$49+'Assumptions &amp; Inputs'!$G$56*(1-'Assumptions &amp; Inputs'!$G$49))*'Assumptions &amp; Inputs'!$T$28,0)))/$E$3</f>
        <v>0</v>
      </c>
      <c r="K106" s="196">
        <f>IF(YEAR('Assumptions &amp; Inputs'!$G$27)&gt;K$103,0,IF(K$103=YEAR('Assumptions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Inputs'!$G$36)&gt;=K$103,'Assumptions &amp; Inputs'!$G$54*('Assumptions &amp; Inputs'!$G$55*'Assumptions &amp; Inputs'!$G$49+'Assumptions &amp; Inputs'!$G$56*(1-'Assumptions &amp; Inputs'!$G$49))*'Assumptions &amp; Inputs'!$T$28,0)))/$E$3</f>
        <v>0</v>
      </c>
      <c r="L106" s="196">
        <f>IF(YEAR('Assumptions &amp; Inputs'!$G$27)&gt;L$103,0,IF(L$103=YEAR('Assumptions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Inputs'!$G$36)&gt;=L$103,'Assumptions &amp; Inputs'!$G$54*('Assumptions &amp; Inputs'!$G$55*'Assumptions &amp; Inputs'!$G$49+'Assumptions &amp; Inputs'!$G$56*(1-'Assumptions &amp; Inputs'!$G$49))*'Assumptions &amp; Inputs'!$T$28,0)))/$E$3</f>
        <v>0</v>
      </c>
      <c r="M106" s="196">
        <f>IF(YEAR('Assumptions &amp; Inputs'!$G$27)&gt;M$103,0,IF(M$103=YEAR('Assumptions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Inputs'!$G$36)&gt;=M$103,'Assumptions &amp; Inputs'!$G$54*('Assumptions &amp; Inputs'!$G$55*'Assumptions &amp; Inputs'!$G$49+'Assumptions &amp; Inputs'!$G$56*(1-'Assumptions &amp; Inputs'!$G$49))*'Assumptions &amp; Inputs'!$T$28,0)))/$E$3</f>
        <v>0</v>
      </c>
      <c r="N106" s="196">
        <f>IF(YEAR('Assumptions &amp; Inputs'!$G$27)&gt;N$103,0,IF(N$103=YEAR('Assumptions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Inputs'!$G$36)&gt;=N$103,'Assumptions &amp; Inputs'!$G$54*('Assumptions &amp; Inputs'!$G$55*'Assumptions &amp; Inputs'!$G$49+'Assumptions &amp; Inputs'!$G$56*(1-'Assumptions &amp; Inputs'!$G$49))*'Assumptions &amp; Inputs'!$T$28,0)))/$E$3</f>
        <v>0</v>
      </c>
      <c r="O106" s="196">
        <f>IF(YEAR('Assumptions &amp; Inputs'!$G$27)&gt;O$103,0,IF(O$103=YEAR('Assumptions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Inputs'!$G$36)&gt;=O$103,'Assumptions &amp; Inputs'!$G$54*('Assumptions &amp; Inputs'!$G$55*'Assumptions &amp; Inputs'!$G$49+'Assumptions &amp; Inputs'!$G$56*(1-'Assumptions &amp; Inputs'!$G$49))*'Assumptions &amp; Inputs'!$T$28,0)))/$E$3</f>
        <v>0</v>
      </c>
      <c r="P106" s="196">
        <f>IF(YEAR('Assumptions &amp; Inputs'!$G$27)&gt;P$103,0,IF(P$103=YEAR('Assumptions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Inputs'!$G$36)&gt;=P$103,'Assumptions &amp; Inputs'!$G$54*('Assumptions &amp; Inputs'!$G$55*'Assumptions &amp; Inputs'!$G$49+'Assumptions &amp; Inputs'!$G$56*(1-'Assumptions &amp; Inputs'!$G$49))*'Assumptions &amp; Inputs'!$T$28,0)))/$E$3</f>
        <v>0</v>
      </c>
      <c r="Q106" s="196">
        <f>IF(YEAR('Assumptions &amp; Inputs'!$G$27)&gt;Q$103,0,IF(Q$103=YEAR('Assumptions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Inputs'!$G$36)&gt;=Q$103,'Assumptions &amp; Inputs'!$G$54*('Assumptions &amp; Inputs'!$G$55*'Assumptions &amp; Inputs'!$G$49+'Assumptions &amp; Inputs'!$G$56*(1-'Assumptions &amp; Inputs'!$G$49))*'Assumptions &amp; Inputs'!$T$28,0)))/$E$3</f>
        <v>0</v>
      </c>
      <c r="R106" s="196">
        <f>IF(YEAR('Assumptions &amp; Inputs'!$G$27)&gt;R$103,0,IF(R$103=YEAR('Assumptions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Inputs'!$G$36)&gt;=R$103,'Assumptions &amp; Inputs'!$G$54*('Assumptions &amp; Inputs'!$G$55*'Assumptions &amp; Inputs'!$G$49+'Assumptions &amp; Inputs'!$G$56*(1-'Assumptions &amp; Inputs'!$G$49))*'Assumptions &amp; Inputs'!$T$28,0)))/$E$3</f>
        <v>0</v>
      </c>
      <c r="S106" s="196">
        <f>IF(YEAR('Assumptions &amp; Inputs'!$G$27)&gt;S$103,0,IF(S$103=YEAR('Assumptions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Inputs'!$G$36)&gt;=S$103,'Assumptions &amp; Inputs'!$G$54*('Assumptions &amp; Inputs'!$G$55*'Assumptions &amp; Inputs'!$G$49+'Assumptions &amp; Inputs'!$G$56*(1-'Assumptions &amp; Inputs'!$G$49))*'Assumptions &amp; Inputs'!$T$28,0)))/$E$3</f>
        <v>0</v>
      </c>
      <c r="T106" s="196">
        <f>IF(YEAR('Assumptions &amp; Inputs'!$G$27)&gt;T$103,0,IF(T$103=YEAR('Assumptions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Inputs'!$G$36)&gt;=T$103,'Assumptions &amp; Inputs'!$G$54*('Assumptions &amp; Inputs'!$G$55*'Assumptions &amp; Inputs'!$G$49+'Assumptions &amp; Inputs'!$G$56*(1-'Assumptions &amp; Inputs'!$G$49))*'Assumptions &amp; Inputs'!$T$28,0)))/$E$3</f>
        <v>0</v>
      </c>
      <c r="U106" s="196">
        <f>IF(YEAR('Assumptions &amp; Inputs'!$G$27)&gt;U$103,0,IF(U$103=YEAR('Assumptions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Inputs'!$G$36)&gt;=U$103,'Assumptions &amp; Inputs'!$G$54*('Assumptions &amp; Inputs'!$G$55*'Assumptions &amp; Inputs'!$G$49+'Assumptions &amp; Inputs'!$G$56*(1-'Assumptions &amp; Inputs'!$G$49))*'Assumptions &amp; Inputs'!$T$28,0)))/$E$3</f>
        <v>0</v>
      </c>
      <c r="V106" s="196">
        <f>IF(YEAR('Assumptions &amp; Inputs'!$G$27)&gt;V$103,0,IF(V$103=YEAR('Assumptions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Inputs'!$G$36)&gt;=V$103,'Assumptions &amp; Inputs'!$G$54*('Assumptions &amp; Inputs'!$G$55*'Assumptions &amp; Inputs'!$G$49+'Assumptions &amp; Inputs'!$G$56*(1-'Assumptions &amp; Inputs'!$G$49))*'Assumptions &amp; Inputs'!$T$28,0)))/$E$3</f>
        <v>0</v>
      </c>
      <c r="W106" s="196">
        <f>IF(YEAR('Assumptions &amp; Inputs'!$G$27)&gt;W$103,0,IF(W$103=YEAR('Assumptions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Inputs'!$G$36)&gt;=W$103,'Assumptions &amp; Inputs'!$G$54*('Assumptions &amp; Inputs'!$G$55*'Assumptions &amp; Inputs'!$G$49+'Assumptions &amp; Inputs'!$G$56*(1-'Assumptions &amp; Inputs'!$G$49))*'Assumptions &amp; Inputs'!$T$28,0)))/$E$3</f>
        <v>0</v>
      </c>
      <c r="X106" s="196">
        <f>IF(YEAR('Assumptions &amp; Inputs'!$G$27)&gt;X$103,0,IF(X$103=YEAR('Assumptions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Inputs'!$G$36)&gt;=X$103,'Assumptions &amp; Inputs'!$G$54*('Assumptions &amp; Inputs'!$G$55*'Assumptions &amp; Inputs'!$G$49+'Assumptions &amp; Inputs'!$G$56*(1-'Assumptions &amp; Inputs'!$G$49))*'Assumptions &amp; Inputs'!$T$28,0)))/$E$3</f>
        <v>0</v>
      </c>
      <c r="Y106" s="196">
        <f>IF(YEAR('Assumptions &amp; Inputs'!$G$27)&gt;Y$103,0,IF(Y$103=YEAR('Assumptions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Inputs'!$G$36)&gt;=Y$103,'Assumptions &amp; Inputs'!$G$54*('Assumptions &amp; Inputs'!$G$55*'Assumptions &amp; Inputs'!$G$49+'Assumptions &amp; Inputs'!$G$56*(1-'Assumptions &amp; Inputs'!$G$49))*'Assumptions &amp; Inputs'!$T$28,0)))/$E$3</f>
        <v>0</v>
      </c>
      <c r="Z106" s="196">
        <f>IF(YEAR('Assumptions &amp; Inputs'!$G$27)&gt;Z$103,0,IF(Z$103=YEAR('Assumptions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Inputs'!$G$36)&gt;=Z$103,'Assumptions &amp; Inputs'!$G$54*('Assumptions &amp; Inputs'!$G$55*'Assumptions &amp; Inputs'!$G$49+'Assumptions &amp; Inputs'!$G$56*(1-'Assumptions &amp; Inputs'!$G$49))*'Assumptions &amp; Inputs'!$T$28,0)))/$E$3</f>
        <v>0</v>
      </c>
      <c r="AA106" s="196">
        <f>IF(YEAR('Assumptions &amp; Inputs'!$G$27)&gt;AA$103,0,IF(AA$103=YEAR('Assumptions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Inputs'!$G$36)&gt;=AA$103,'Assumptions &amp; Inputs'!$G$54*('Assumptions &amp; Inputs'!$G$55*'Assumptions &amp; Inputs'!$G$49+'Assumptions &amp; Inputs'!$G$56*(1-'Assumptions &amp; Inputs'!$G$49))*'Assumptions &amp; Inputs'!$T$28,0)))/$E$3</f>
        <v>0</v>
      </c>
      <c r="AB106" s="196">
        <f>IF(YEAR('Assumptions &amp; Inputs'!$G$27)&gt;AB$103,0,IF(AB$103=YEAR('Assumptions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Inputs'!$G$36)&gt;=AB$103,'Assumptions &amp; Inputs'!$G$54*('Assumptions &amp; Inputs'!$G$55*'Assumptions &amp; Inputs'!$G$49+'Assumptions &amp; Inputs'!$G$56*(1-'Assumptions &amp; Inputs'!$G$49))*'Assumptions &amp; Inputs'!$T$28,0)))/$E$3</f>
        <v>0</v>
      </c>
      <c r="AC106" s="196">
        <f>IF(YEAR('Assumptions &amp; Inputs'!$G$27)&gt;AC$103,0,IF(AC$103=YEAR('Assumptions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Inputs'!$G$36)&gt;=AC$103,'Assumptions &amp; Inputs'!$G$54*('Assumptions &amp; Inputs'!$G$55*'Assumptions &amp; Inputs'!$G$49+'Assumptions &amp; Inputs'!$G$56*(1-'Assumptions &amp; Inputs'!$G$49))*'Assumptions &amp; Inputs'!$T$28,0)))/$E$3</f>
        <v>0</v>
      </c>
      <c r="AD106" s="196">
        <f>IF(YEAR('Assumptions &amp; Inputs'!$G$27)&gt;AD$103,0,IF(AD$103=YEAR('Assumptions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Inputs'!$G$36)&gt;=AD$103,'Assumptions &amp; Inputs'!$G$54*('Assumptions &amp; Inputs'!$G$55*'Assumptions &amp; Inputs'!$G$49+'Assumptions &amp; Inputs'!$G$56*(1-'Assumptions &amp; Inputs'!$G$49))*'Assumptions &amp; Inputs'!$T$28,0)))/$E$3</f>
        <v>0</v>
      </c>
      <c r="AE106" s="196">
        <f>IF(YEAR('Assumptions &amp; Inputs'!$G$27)&gt;AE$103,0,IF(AE$103=YEAR('Assumptions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Inputs'!$G$36)&gt;=AE$103,'Assumptions &amp; Inputs'!$G$54*('Assumptions &amp; Inputs'!$G$55*'Assumptions &amp; Inputs'!$G$49+'Assumptions &amp; Inputs'!$G$56*(1-'Assumptions &amp; Inputs'!$G$49))*'Assumptions &amp; Inputs'!$T$28,0)))/$E$3</f>
        <v>0</v>
      </c>
      <c r="AF106" s="196">
        <f>IF(YEAR('Assumptions &amp; Inputs'!$G$27)&gt;AF$103,0,IF(AF$103=YEAR('Assumptions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Inputs'!$G$36)&gt;=AF$103,'Assumptions &amp; Inputs'!$G$54*('Assumptions &amp; Inputs'!$G$55*'Assumptions &amp; Inputs'!$G$49+'Assumptions &amp; Inputs'!$G$56*(1-'Assumptions &amp; Inputs'!$G$49))*'Assumptions &amp; Inputs'!$T$28,0)))/$E$3</f>
        <v>0</v>
      </c>
      <c r="AG106" s="196">
        <f>IF(YEAR('Assumptions &amp; Inputs'!$G$27)&gt;AG$103,0,IF(AG$103=YEAR('Assumptions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Inputs'!$G$36)&gt;=AG$103,'Assumptions &amp; Inputs'!$G$54*('Assumptions &amp; Inputs'!$G$55*'Assumptions &amp; Inputs'!$G$49+'Assumptions &amp; Inputs'!$G$56*(1-'Assumptions &amp; Inputs'!$G$49))*'Assumptions &amp; Inputs'!$T$28,0)))/$E$3</f>
        <v>0</v>
      </c>
      <c r="AH106" s="196">
        <f>IF(YEAR('Assumptions &amp; Inputs'!$G$27)&gt;AH$103,0,IF(AH$103=YEAR('Assumptions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Inputs'!$G$36)&gt;=AH$103,'Assumptions &amp; Inputs'!$G$54*('Assumptions &amp; Inputs'!$G$55*'Assumptions &amp; Inputs'!$G$49+'Assumptions &amp; Inputs'!$G$56*(1-'Assumptions &amp; Inputs'!$G$49))*'Assumptions &amp; Inputs'!$T$28,0)))/$E$3</f>
        <v>0</v>
      </c>
      <c r="AI106" s="196">
        <f>IF(YEAR('Assumptions &amp; Inputs'!$G$27)&gt;AI$103,0,IF(AI$103=YEAR('Assumptions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Inputs'!$G$36)&gt;=AI$103,'Assumptions &amp; Inputs'!$G$54*('Assumptions &amp; Inputs'!$G$55*'Assumptions &amp; Inputs'!$G$49+'Assumptions &amp; Inputs'!$G$56*(1-'Assumptions &amp; Inputs'!$G$49))*'Assumptions &amp; Inputs'!$T$28,0)))/$E$3</f>
        <v>0</v>
      </c>
      <c r="AJ106" s="196">
        <f>IF(YEAR('Assumptions &amp; Inputs'!$G$27)&gt;AJ$103,0,IF(AJ$103=YEAR('Assumptions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Inputs'!$G$36)&gt;=AJ$103,'Assumptions &amp; Inputs'!$G$54*('Assumptions &amp; Inputs'!$G$55*'Assumptions &amp; Inputs'!$G$49+'Assumptions &amp; Inputs'!$G$56*(1-'Assumptions &amp; Inputs'!$G$49))*'Assumptions &amp; Inputs'!$T$28,0)))/$E$3</f>
        <v>0</v>
      </c>
      <c r="AK106" s="196">
        <f>IF(YEAR('Assumptions &amp; Inputs'!$G$27)&gt;AK$103,0,IF(AK$103=YEAR('Assumptions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Inputs'!$G$36)&gt;=AK$103,'Assumptions &amp; Inputs'!$G$54*('Assumptions &amp; Inputs'!$G$55*'Assumptions &amp; Inputs'!$G$49+'Assumptions &amp; Inputs'!$G$56*(1-'Assumptions &amp; Inputs'!$G$49))*'Assumptions &amp; Inputs'!$T$28,0)))/$E$3</f>
        <v>0</v>
      </c>
      <c r="AL106" s="196">
        <f>IF(YEAR('Assumptions &amp; Inputs'!$G$27)&gt;AL$103,0,IF(AL$103=YEAR('Assumptions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Inputs'!$G$36)&gt;=AL$103,'Assumptions &amp; Inputs'!$G$54*('Assumptions &amp; Inputs'!$G$55*'Assumptions &amp; Inputs'!$G$49+'Assumptions &amp; Inputs'!$G$56*(1-'Assumptions &amp; Inputs'!$G$49))*'Assumptions &amp; Inputs'!$T$28,0)))/$E$3</f>
        <v>0</v>
      </c>
      <c r="AM106" s="196">
        <f>IF(YEAR('Assumptions &amp; Inputs'!$G$27)&gt;AM$103,0,IF(AM$103=YEAR('Assumptions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Inputs'!$G$36)&gt;=AM$103,'Assumptions &amp; Inputs'!$G$54*('Assumptions &amp; Inputs'!$G$55*'Assumptions &amp; Inputs'!$G$49+'Assumptions &amp; Inputs'!$G$56*(1-'Assumptions &amp; Inputs'!$G$49))*'Assumptions &amp; Inputs'!$T$28,0)))/$E$3</f>
        <v>0</v>
      </c>
      <c r="AN106" s="196">
        <f>IF(YEAR('Assumptions &amp; Inputs'!$G$27)&gt;AN$103,0,IF(AN$103=YEAR('Assumptions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Inputs'!$G$36)&gt;=AN$103,'Assumptions &amp; Inputs'!$G$54*('Assumptions &amp; Inputs'!$G$55*'Assumptions &amp; Inputs'!$G$49+'Assumptions &amp; Inputs'!$G$56*(1-'Assumptions &amp; Inputs'!$G$49))*'Assumptions &amp; Inputs'!$T$28,0)))/$E$3</f>
        <v>0</v>
      </c>
      <c r="AO106" s="196">
        <f>IF(YEAR('Assumptions &amp; Inputs'!$G$27)&gt;AO$103,0,IF(AO$103=YEAR('Assumptions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Inputs'!$G$36)&gt;=AO$103,'Assumptions &amp; Inputs'!$G$54*('Assumptions &amp; Inputs'!$G$55*'Assumptions &amp; Inputs'!$G$49+'Assumptions &amp; Inputs'!$G$56*(1-'Assumptions &amp; Inputs'!$G$49))*'Assumptions &amp; Inputs'!$T$28,0)))/$E$3</f>
        <v>0</v>
      </c>
      <c r="AP106" s="196">
        <f>IF(YEAR('Assumptions &amp; Inputs'!$G$27)&gt;AP$103,0,IF(AP$103=YEAR('Assumptions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Inputs'!$G$36)&gt;=AP$103,'Assumptions &amp; Inputs'!$G$54*('Assumptions &amp; Inputs'!$G$55*'Assumptions &amp; Inputs'!$G$49+'Assumptions &amp; Inputs'!$G$56*(1-'Assumptions &amp; Inputs'!$G$49))*'Assumptions &amp; Inputs'!$T$28,0)))/$E$3</f>
        <v>0</v>
      </c>
      <c r="AQ106" s="196">
        <f>IF(YEAR('Assumptions &amp; Inputs'!$G$27)&gt;AQ$103,0,IF(AQ$103=YEAR('Assumptions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Inputs'!$G$36)&gt;=AQ$103,'Assumptions &amp; Inputs'!$G$54*('Assumptions &amp; Inputs'!$G$55*'Assumptions &amp; Inputs'!$G$49+'Assumptions &amp; Inputs'!$G$56*(1-'Assumptions &amp; Inputs'!$G$49))*'Assumptions &amp; Inputs'!$T$28,0)))/$E$3</f>
        <v>0</v>
      </c>
      <c r="AR106" s="196">
        <f>IF(YEAR('Assumptions &amp; Inputs'!$G$27)&gt;AR$103,0,IF(AR$103=YEAR('Assumptions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Inputs'!$G$36)&gt;=AR$103,'Assumptions &amp; Inputs'!$G$54*('Assumptions &amp; Inputs'!$G$55*'Assumptions &amp; Inputs'!$G$49+'Assumptions &amp; Inputs'!$G$56*(1-'Assumptions &amp; Inputs'!$G$49))*'Assumptions &amp; Inputs'!$T$28,0)))/$E$3</f>
        <v>0</v>
      </c>
      <c r="AS106" s="196">
        <f>IF(YEAR('Assumptions &amp; Inputs'!$G$27)&gt;AS$103,0,IF(AS$103=YEAR('Assumptions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Inputs'!$G$36)&gt;=AS$103,'Assumptions &amp; Inputs'!$G$54*('Assumptions &amp; Inputs'!$G$55*'Assumptions &amp; Inputs'!$G$49+'Assumptions &amp; Inputs'!$G$56*(1-'Assumptions &amp; Inputs'!$G$49))*'Assumptions &amp; Inputs'!$T$28,0)))/$E$3</f>
        <v>0</v>
      </c>
      <c r="AT106" s="196">
        <f>IF(YEAR('Assumptions &amp; Inputs'!$G$27)&gt;AT$103,0,IF(AT$103=YEAR('Assumptions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Inputs'!$G$36)&gt;=AT$103,'Assumptions &amp; Inputs'!$G$54*('Assumptions &amp; Inputs'!$G$55*'Assumptions &amp; Inputs'!$G$49+'Assumptions &amp; Inputs'!$G$56*(1-'Assumptions &amp; Inputs'!$G$49))*'Assumptions &amp; Inputs'!$T$28,0)))/$E$3</f>
        <v>0</v>
      </c>
      <c r="AU106" s="196">
        <f>IF(YEAR('Assumptions &amp; Inputs'!$G$27)&gt;AU$103,0,IF(AU$103=YEAR('Assumptions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Inputs'!$G$36)&gt;=AU$103,'Assumptions &amp; Inputs'!$G$54*('Assumptions &amp; Inputs'!$G$55*'Assumptions &amp; Inputs'!$G$49+'Assumptions &amp; Inputs'!$G$56*(1-'Assumptions &amp; Inputs'!$G$49))*'Assumptions &amp; Inputs'!$T$28,0)))/$E$3</f>
        <v>0</v>
      </c>
      <c r="AV106" s="196">
        <f>IF(YEAR('Assumptions &amp; Inputs'!$G$27)&gt;AV$103,0,IF(AV$103=YEAR('Assumptions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Inputs'!$G$36)&gt;=AV$103,'Assumptions &amp; Inputs'!$G$54*('Assumptions &amp; Inputs'!$G$55*'Assumptions &amp; Inputs'!$G$49+'Assumptions &amp; Inputs'!$G$56*(1-'Assumptions &amp; Inputs'!$G$49))*'Assumptions &amp; Inputs'!$T$28,0)))/$E$3</f>
        <v>0</v>
      </c>
      <c r="AW106" s="196">
        <f>IF(YEAR('Assumptions &amp; Inputs'!$G$27)&gt;AW$103,0,IF(AW$103=YEAR('Assumptions &amp; Inputs'!$G$27),'Assumptions &amp; Inputs'!$G$54*('Assumptions &amp; Inputs'!$G$55*'Assumptions &amp; Inputs'!$G$49+'Assumptions &amp; Inputs'!$G$56*(1-'Assumptions &amp; Inputs'!$G$49))*'Assumptions &amp; Inputs'!$T$28*YEARFRAC('Assumptions &amp; Inputs'!$G$27,DATE(YEAR('Assumptions &amp; Inputs'!$G$27),12,31)),IF(YEAR('Assumptions &amp; Inputs'!$G$36)&gt;=AW$103,'Assumptions &amp; Inputs'!$G$54*('Assumptions &amp; Inputs'!$G$55*'Assumptions &amp; Inputs'!$G$49+'Assumptions &amp; Inputs'!$G$56*(1-'Assumptions &amp; Inputs'!$G$49))*'Assumptions &amp; Inputs'!$T$28,0)))/$E$3</f>
        <v>0</v>
      </c>
    </row>
    <row r="107" spans="1:49" ht="14.25" customHeight="1">
      <c r="A107" s="44"/>
      <c r="B107" s="44"/>
      <c r="C107" s="44" t="s">
        <v>6</v>
      </c>
      <c r="D107" s="196">
        <f>IF(YEAR('Assumptions &amp; Inputs'!$H$27)&gt;D$103,0,IF(D$103=YEAR('Assumptions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Inputs'!$H$36)&gt;=D$103,'Assumptions &amp; Inputs'!$H$54*('Assumptions &amp; Inputs'!$H$55*'Assumptions &amp; Inputs'!$H$49+'Assumptions &amp; Inputs'!$H$56*(1-'Assumptions &amp; Inputs'!$H$49))*'Assumptions &amp; Inputs'!$T$28,0)))/$E$3</f>
        <v>0</v>
      </c>
      <c r="E107" s="196">
        <f>IF(YEAR('Assumptions &amp; Inputs'!$H$27)&gt;E$103,0,IF(E$103=YEAR('Assumptions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Inputs'!$H$36)&gt;=E$103,'Assumptions &amp; Inputs'!$H$54*('Assumptions &amp; Inputs'!$H$55*'Assumptions &amp; Inputs'!$H$49+'Assumptions &amp; Inputs'!$H$56*(1-'Assumptions &amp; Inputs'!$H$49))*'Assumptions &amp; Inputs'!$T$28,0)))/$E$3</f>
        <v>0</v>
      </c>
      <c r="F107" s="196">
        <f>IF(YEAR('Assumptions &amp; Inputs'!$H$27)&gt;F$103,0,IF(F$103=YEAR('Assumptions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Inputs'!$H$36)&gt;=F$103,'Assumptions &amp; Inputs'!$H$54*('Assumptions &amp; Inputs'!$H$55*'Assumptions &amp; Inputs'!$H$49+'Assumptions &amp; Inputs'!$H$56*(1-'Assumptions &amp; Inputs'!$H$49))*'Assumptions &amp; Inputs'!$T$28,0)))/$E$3</f>
        <v>0</v>
      </c>
      <c r="G107" s="196">
        <f>IF(YEAR('Assumptions &amp; Inputs'!$H$27)&gt;G$103,0,IF(G$103=YEAR('Assumptions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Inputs'!$H$36)&gt;=G$103,'Assumptions &amp; Inputs'!$H$54*('Assumptions &amp; Inputs'!$H$55*'Assumptions &amp; Inputs'!$H$49+'Assumptions &amp; Inputs'!$H$56*(1-'Assumptions &amp; Inputs'!$H$49))*'Assumptions &amp; Inputs'!$T$28,0)))/$E$3</f>
        <v>0</v>
      </c>
      <c r="H107" s="196">
        <f>IF(YEAR('Assumptions &amp; Inputs'!$H$27)&gt;H$103,0,IF(H$103=YEAR('Assumptions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Inputs'!$H$36)&gt;=H$103,'Assumptions &amp; Inputs'!$H$54*('Assumptions &amp; Inputs'!$H$55*'Assumptions &amp; Inputs'!$H$49+'Assumptions &amp; Inputs'!$H$56*(1-'Assumptions &amp; Inputs'!$H$49))*'Assumptions &amp; Inputs'!$T$28,0)))/$E$3</f>
        <v>0</v>
      </c>
      <c r="I107" s="196">
        <f>IF(YEAR('Assumptions &amp; Inputs'!$H$27)&gt;I$103,0,IF(I$103=YEAR('Assumptions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Inputs'!$H$36)&gt;=I$103,'Assumptions &amp; Inputs'!$H$54*('Assumptions &amp; Inputs'!$H$55*'Assumptions &amp; Inputs'!$H$49+'Assumptions &amp; Inputs'!$H$56*(1-'Assumptions &amp; Inputs'!$H$49))*'Assumptions &amp; Inputs'!$T$28,0)))/$E$3</f>
        <v>0</v>
      </c>
      <c r="J107" s="196">
        <f>IF(YEAR('Assumptions &amp; Inputs'!$H$27)&gt;J$103,0,IF(J$103=YEAR('Assumptions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Inputs'!$H$36)&gt;=J$103,'Assumptions &amp; Inputs'!$H$54*('Assumptions &amp; Inputs'!$H$55*'Assumptions &amp; Inputs'!$H$49+'Assumptions &amp; Inputs'!$H$56*(1-'Assumptions &amp; Inputs'!$H$49))*'Assumptions &amp; Inputs'!$T$28,0)))/$E$3</f>
        <v>0</v>
      </c>
      <c r="K107" s="196">
        <f>IF(YEAR('Assumptions &amp; Inputs'!$H$27)&gt;K$103,0,IF(K$103=YEAR('Assumptions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Inputs'!$H$36)&gt;=K$103,'Assumptions &amp; Inputs'!$H$54*('Assumptions &amp; Inputs'!$H$55*'Assumptions &amp; Inputs'!$H$49+'Assumptions &amp; Inputs'!$H$56*(1-'Assumptions &amp; Inputs'!$H$49))*'Assumptions &amp; Inputs'!$T$28,0)))/$E$3</f>
        <v>0</v>
      </c>
      <c r="L107" s="196">
        <f>IF(YEAR('Assumptions &amp; Inputs'!$H$27)&gt;L$103,0,IF(L$103=YEAR('Assumptions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Inputs'!$H$36)&gt;=L$103,'Assumptions &amp; Inputs'!$H$54*('Assumptions &amp; Inputs'!$H$55*'Assumptions &amp; Inputs'!$H$49+'Assumptions &amp; Inputs'!$H$56*(1-'Assumptions &amp; Inputs'!$H$49))*'Assumptions &amp; Inputs'!$T$28,0)))/$E$3</f>
        <v>0</v>
      </c>
      <c r="M107" s="196">
        <f>IF(YEAR('Assumptions &amp; Inputs'!$H$27)&gt;M$103,0,IF(M$103=YEAR('Assumptions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Inputs'!$H$36)&gt;=M$103,'Assumptions &amp; Inputs'!$H$54*('Assumptions &amp; Inputs'!$H$55*'Assumptions &amp; Inputs'!$H$49+'Assumptions &amp; Inputs'!$H$56*(1-'Assumptions &amp; Inputs'!$H$49))*'Assumptions &amp; Inputs'!$T$28,0)))/$E$3</f>
        <v>0</v>
      </c>
      <c r="N107" s="196">
        <f>IF(YEAR('Assumptions &amp; Inputs'!$H$27)&gt;N$103,0,IF(N$103=YEAR('Assumptions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Inputs'!$H$36)&gt;=N$103,'Assumptions &amp; Inputs'!$H$54*('Assumptions &amp; Inputs'!$H$55*'Assumptions &amp; Inputs'!$H$49+'Assumptions &amp; Inputs'!$H$56*(1-'Assumptions &amp; Inputs'!$H$49))*'Assumptions &amp; Inputs'!$T$28,0)))/$E$3</f>
        <v>0</v>
      </c>
      <c r="O107" s="196">
        <f>IF(YEAR('Assumptions &amp; Inputs'!$H$27)&gt;O$103,0,IF(O$103=YEAR('Assumptions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Inputs'!$H$36)&gt;=O$103,'Assumptions &amp; Inputs'!$H$54*('Assumptions &amp; Inputs'!$H$55*'Assumptions &amp; Inputs'!$H$49+'Assumptions &amp; Inputs'!$H$56*(1-'Assumptions &amp; Inputs'!$H$49))*'Assumptions &amp; Inputs'!$T$28,0)))/$E$3</f>
        <v>0</v>
      </c>
      <c r="P107" s="196">
        <f>IF(YEAR('Assumptions &amp; Inputs'!$H$27)&gt;P$103,0,IF(P$103=YEAR('Assumptions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Inputs'!$H$36)&gt;=P$103,'Assumptions &amp; Inputs'!$H$54*('Assumptions &amp; Inputs'!$H$55*'Assumptions &amp; Inputs'!$H$49+'Assumptions &amp; Inputs'!$H$56*(1-'Assumptions &amp; Inputs'!$H$49))*'Assumptions &amp; Inputs'!$T$28,0)))/$E$3</f>
        <v>0</v>
      </c>
      <c r="Q107" s="196">
        <f>IF(YEAR('Assumptions &amp; Inputs'!$H$27)&gt;Q$103,0,IF(Q$103=YEAR('Assumptions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Inputs'!$H$36)&gt;=Q$103,'Assumptions &amp; Inputs'!$H$54*('Assumptions &amp; Inputs'!$H$55*'Assumptions &amp; Inputs'!$H$49+'Assumptions &amp; Inputs'!$H$56*(1-'Assumptions &amp; Inputs'!$H$49))*'Assumptions &amp; Inputs'!$T$28,0)))/$E$3</f>
        <v>0</v>
      </c>
      <c r="R107" s="196">
        <f>IF(YEAR('Assumptions &amp; Inputs'!$H$27)&gt;R$103,0,IF(R$103=YEAR('Assumptions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Inputs'!$H$36)&gt;=R$103,'Assumptions &amp; Inputs'!$H$54*('Assumptions &amp; Inputs'!$H$55*'Assumptions &amp; Inputs'!$H$49+'Assumptions &amp; Inputs'!$H$56*(1-'Assumptions &amp; Inputs'!$H$49))*'Assumptions &amp; Inputs'!$T$28,0)))/$E$3</f>
        <v>0</v>
      </c>
      <c r="S107" s="196">
        <f>IF(YEAR('Assumptions &amp; Inputs'!$H$27)&gt;S$103,0,IF(S$103=YEAR('Assumptions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Inputs'!$H$36)&gt;=S$103,'Assumptions &amp; Inputs'!$H$54*('Assumptions &amp; Inputs'!$H$55*'Assumptions &amp; Inputs'!$H$49+'Assumptions &amp; Inputs'!$H$56*(1-'Assumptions &amp; Inputs'!$H$49))*'Assumptions &amp; Inputs'!$T$28,0)))/$E$3</f>
        <v>0</v>
      </c>
      <c r="T107" s="196">
        <f>IF(YEAR('Assumptions &amp; Inputs'!$H$27)&gt;T$103,0,IF(T$103=YEAR('Assumptions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Inputs'!$H$36)&gt;=T$103,'Assumptions &amp; Inputs'!$H$54*('Assumptions &amp; Inputs'!$H$55*'Assumptions &amp; Inputs'!$H$49+'Assumptions &amp; Inputs'!$H$56*(1-'Assumptions &amp; Inputs'!$H$49))*'Assumptions &amp; Inputs'!$T$28,0)))/$E$3</f>
        <v>0</v>
      </c>
      <c r="U107" s="196">
        <f>IF(YEAR('Assumptions &amp; Inputs'!$H$27)&gt;U$103,0,IF(U$103=YEAR('Assumptions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Inputs'!$H$36)&gt;=U$103,'Assumptions &amp; Inputs'!$H$54*('Assumptions &amp; Inputs'!$H$55*'Assumptions &amp; Inputs'!$H$49+'Assumptions &amp; Inputs'!$H$56*(1-'Assumptions &amp; Inputs'!$H$49))*'Assumptions &amp; Inputs'!$T$28,0)))/$E$3</f>
        <v>0</v>
      </c>
      <c r="V107" s="196">
        <f>IF(YEAR('Assumptions &amp; Inputs'!$H$27)&gt;V$103,0,IF(V$103=YEAR('Assumptions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Inputs'!$H$36)&gt;=V$103,'Assumptions &amp; Inputs'!$H$54*('Assumptions &amp; Inputs'!$H$55*'Assumptions &amp; Inputs'!$H$49+'Assumptions &amp; Inputs'!$H$56*(1-'Assumptions &amp; Inputs'!$H$49))*'Assumptions &amp; Inputs'!$T$28,0)))/$E$3</f>
        <v>0</v>
      </c>
      <c r="W107" s="196">
        <f>IF(YEAR('Assumptions &amp; Inputs'!$H$27)&gt;W$103,0,IF(W$103=YEAR('Assumptions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Inputs'!$H$36)&gt;=W$103,'Assumptions &amp; Inputs'!$H$54*('Assumptions &amp; Inputs'!$H$55*'Assumptions &amp; Inputs'!$H$49+'Assumptions &amp; Inputs'!$H$56*(1-'Assumptions &amp; Inputs'!$H$49))*'Assumptions &amp; Inputs'!$T$28,0)))/$E$3</f>
        <v>0</v>
      </c>
      <c r="X107" s="196">
        <f>IF(YEAR('Assumptions &amp; Inputs'!$H$27)&gt;X$103,0,IF(X$103=YEAR('Assumptions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Inputs'!$H$36)&gt;=X$103,'Assumptions &amp; Inputs'!$H$54*('Assumptions &amp; Inputs'!$H$55*'Assumptions &amp; Inputs'!$H$49+'Assumptions &amp; Inputs'!$H$56*(1-'Assumptions &amp; Inputs'!$H$49))*'Assumptions &amp; Inputs'!$T$28,0)))/$E$3</f>
        <v>0</v>
      </c>
      <c r="Y107" s="196">
        <f>IF(YEAR('Assumptions &amp; Inputs'!$H$27)&gt;Y$103,0,IF(Y$103=YEAR('Assumptions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Inputs'!$H$36)&gt;=Y$103,'Assumptions &amp; Inputs'!$H$54*('Assumptions &amp; Inputs'!$H$55*'Assumptions &amp; Inputs'!$H$49+'Assumptions &amp; Inputs'!$H$56*(1-'Assumptions &amp; Inputs'!$H$49))*'Assumptions &amp; Inputs'!$T$28,0)))/$E$3</f>
        <v>0</v>
      </c>
      <c r="Z107" s="196">
        <f>IF(YEAR('Assumptions &amp; Inputs'!$H$27)&gt;Z$103,0,IF(Z$103=YEAR('Assumptions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Inputs'!$H$36)&gt;=Z$103,'Assumptions &amp; Inputs'!$H$54*('Assumptions &amp; Inputs'!$H$55*'Assumptions &amp; Inputs'!$H$49+'Assumptions &amp; Inputs'!$H$56*(1-'Assumptions &amp; Inputs'!$H$49))*'Assumptions &amp; Inputs'!$T$28,0)))/$E$3</f>
        <v>0</v>
      </c>
      <c r="AA107" s="196">
        <f>IF(YEAR('Assumptions &amp; Inputs'!$H$27)&gt;AA$103,0,IF(AA$103=YEAR('Assumptions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Inputs'!$H$36)&gt;=AA$103,'Assumptions &amp; Inputs'!$H$54*('Assumptions &amp; Inputs'!$H$55*'Assumptions &amp; Inputs'!$H$49+'Assumptions &amp; Inputs'!$H$56*(1-'Assumptions &amp; Inputs'!$H$49))*'Assumptions &amp; Inputs'!$T$28,0)))/$E$3</f>
        <v>0</v>
      </c>
      <c r="AB107" s="196">
        <f>IF(YEAR('Assumptions &amp; Inputs'!$H$27)&gt;AB$103,0,IF(AB$103=YEAR('Assumptions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Inputs'!$H$36)&gt;=AB$103,'Assumptions &amp; Inputs'!$H$54*('Assumptions &amp; Inputs'!$H$55*'Assumptions &amp; Inputs'!$H$49+'Assumptions &amp; Inputs'!$H$56*(1-'Assumptions &amp; Inputs'!$H$49))*'Assumptions &amp; Inputs'!$T$28,0)))/$E$3</f>
        <v>0</v>
      </c>
      <c r="AC107" s="196">
        <f>IF(YEAR('Assumptions &amp; Inputs'!$H$27)&gt;AC$103,0,IF(AC$103=YEAR('Assumptions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Inputs'!$H$36)&gt;=AC$103,'Assumptions &amp; Inputs'!$H$54*('Assumptions &amp; Inputs'!$H$55*'Assumptions &amp; Inputs'!$H$49+'Assumptions &amp; Inputs'!$H$56*(1-'Assumptions &amp; Inputs'!$H$49))*'Assumptions &amp; Inputs'!$T$28,0)))/$E$3</f>
        <v>0</v>
      </c>
      <c r="AD107" s="196">
        <f>IF(YEAR('Assumptions &amp; Inputs'!$H$27)&gt;AD$103,0,IF(AD$103=YEAR('Assumptions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Inputs'!$H$36)&gt;=AD$103,'Assumptions &amp; Inputs'!$H$54*('Assumptions &amp; Inputs'!$H$55*'Assumptions &amp; Inputs'!$H$49+'Assumptions &amp; Inputs'!$H$56*(1-'Assumptions &amp; Inputs'!$H$49))*'Assumptions &amp; Inputs'!$T$28,0)))/$E$3</f>
        <v>0</v>
      </c>
      <c r="AE107" s="196">
        <f>IF(YEAR('Assumptions &amp; Inputs'!$H$27)&gt;AE$103,0,IF(AE$103=YEAR('Assumptions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Inputs'!$H$36)&gt;=AE$103,'Assumptions &amp; Inputs'!$H$54*('Assumptions &amp; Inputs'!$H$55*'Assumptions &amp; Inputs'!$H$49+'Assumptions &amp; Inputs'!$H$56*(1-'Assumptions &amp; Inputs'!$H$49))*'Assumptions &amp; Inputs'!$T$28,0)))/$E$3</f>
        <v>0</v>
      </c>
      <c r="AF107" s="196">
        <f>IF(YEAR('Assumptions &amp; Inputs'!$H$27)&gt;AF$103,0,IF(AF$103=YEAR('Assumptions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Inputs'!$H$36)&gt;=AF$103,'Assumptions &amp; Inputs'!$H$54*('Assumptions &amp; Inputs'!$H$55*'Assumptions &amp; Inputs'!$H$49+'Assumptions &amp; Inputs'!$H$56*(1-'Assumptions &amp; Inputs'!$H$49))*'Assumptions &amp; Inputs'!$T$28,0)))/$E$3</f>
        <v>0</v>
      </c>
      <c r="AG107" s="196">
        <f>IF(YEAR('Assumptions &amp; Inputs'!$H$27)&gt;AG$103,0,IF(AG$103=YEAR('Assumptions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Inputs'!$H$36)&gt;=AG$103,'Assumptions &amp; Inputs'!$H$54*('Assumptions &amp; Inputs'!$H$55*'Assumptions &amp; Inputs'!$H$49+'Assumptions &amp; Inputs'!$H$56*(1-'Assumptions &amp; Inputs'!$H$49))*'Assumptions &amp; Inputs'!$T$28,0)))/$E$3</f>
        <v>0</v>
      </c>
      <c r="AH107" s="196">
        <f>IF(YEAR('Assumptions &amp; Inputs'!$H$27)&gt;AH$103,0,IF(AH$103=YEAR('Assumptions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Inputs'!$H$36)&gt;=AH$103,'Assumptions &amp; Inputs'!$H$54*('Assumptions &amp; Inputs'!$H$55*'Assumptions &amp; Inputs'!$H$49+'Assumptions &amp; Inputs'!$H$56*(1-'Assumptions &amp; Inputs'!$H$49))*'Assumptions &amp; Inputs'!$T$28,0)))/$E$3</f>
        <v>0</v>
      </c>
      <c r="AI107" s="196">
        <f>IF(YEAR('Assumptions &amp; Inputs'!$H$27)&gt;AI$103,0,IF(AI$103=YEAR('Assumptions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Inputs'!$H$36)&gt;=AI$103,'Assumptions &amp; Inputs'!$H$54*('Assumptions &amp; Inputs'!$H$55*'Assumptions &amp; Inputs'!$H$49+'Assumptions &amp; Inputs'!$H$56*(1-'Assumptions &amp; Inputs'!$H$49))*'Assumptions &amp; Inputs'!$T$28,0)))/$E$3</f>
        <v>0</v>
      </c>
      <c r="AJ107" s="196">
        <f>IF(YEAR('Assumptions &amp; Inputs'!$H$27)&gt;AJ$103,0,IF(AJ$103=YEAR('Assumptions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Inputs'!$H$36)&gt;=AJ$103,'Assumptions &amp; Inputs'!$H$54*('Assumptions &amp; Inputs'!$H$55*'Assumptions &amp; Inputs'!$H$49+'Assumptions &amp; Inputs'!$H$56*(1-'Assumptions &amp; Inputs'!$H$49))*'Assumptions &amp; Inputs'!$T$28,0)))/$E$3</f>
        <v>0</v>
      </c>
      <c r="AK107" s="196">
        <f>IF(YEAR('Assumptions &amp; Inputs'!$H$27)&gt;AK$103,0,IF(AK$103=YEAR('Assumptions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Inputs'!$H$36)&gt;=AK$103,'Assumptions &amp; Inputs'!$H$54*('Assumptions &amp; Inputs'!$H$55*'Assumptions &amp; Inputs'!$H$49+'Assumptions &amp; Inputs'!$H$56*(1-'Assumptions &amp; Inputs'!$H$49))*'Assumptions &amp; Inputs'!$T$28,0)))/$E$3</f>
        <v>0</v>
      </c>
      <c r="AL107" s="196">
        <f>IF(YEAR('Assumptions &amp; Inputs'!$H$27)&gt;AL$103,0,IF(AL$103=YEAR('Assumptions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Inputs'!$H$36)&gt;=AL$103,'Assumptions &amp; Inputs'!$H$54*('Assumptions &amp; Inputs'!$H$55*'Assumptions &amp; Inputs'!$H$49+'Assumptions &amp; Inputs'!$H$56*(1-'Assumptions &amp; Inputs'!$H$49))*'Assumptions &amp; Inputs'!$T$28,0)))/$E$3</f>
        <v>0</v>
      </c>
      <c r="AM107" s="196">
        <f>IF(YEAR('Assumptions &amp; Inputs'!$H$27)&gt;AM$103,0,IF(AM$103=YEAR('Assumptions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Inputs'!$H$36)&gt;=AM$103,'Assumptions &amp; Inputs'!$H$54*('Assumptions &amp; Inputs'!$H$55*'Assumptions &amp; Inputs'!$H$49+'Assumptions &amp; Inputs'!$H$56*(1-'Assumptions &amp; Inputs'!$H$49))*'Assumptions &amp; Inputs'!$T$28,0)))/$E$3</f>
        <v>0</v>
      </c>
      <c r="AN107" s="196">
        <f>IF(YEAR('Assumptions &amp; Inputs'!$H$27)&gt;AN$103,0,IF(AN$103=YEAR('Assumptions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Inputs'!$H$36)&gt;=AN$103,'Assumptions &amp; Inputs'!$H$54*('Assumptions &amp; Inputs'!$H$55*'Assumptions &amp; Inputs'!$H$49+'Assumptions &amp; Inputs'!$H$56*(1-'Assumptions &amp; Inputs'!$H$49))*'Assumptions &amp; Inputs'!$T$28,0)))/$E$3</f>
        <v>0</v>
      </c>
      <c r="AO107" s="196">
        <f>IF(YEAR('Assumptions &amp; Inputs'!$H$27)&gt;AO$103,0,IF(AO$103=YEAR('Assumptions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Inputs'!$H$36)&gt;=AO$103,'Assumptions &amp; Inputs'!$H$54*('Assumptions &amp; Inputs'!$H$55*'Assumptions &amp; Inputs'!$H$49+'Assumptions &amp; Inputs'!$H$56*(1-'Assumptions &amp; Inputs'!$H$49))*'Assumptions &amp; Inputs'!$T$28,0)))/$E$3</f>
        <v>0</v>
      </c>
      <c r="AP107" s="196">
        <f>IF(YEAR('Assumptions &amp; Inputs'!$H$27)&gt;AP$103,0,IF(AP$103=YEAR('Assumptions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Inputs'!$H$36)&gt;=AP$103,'Assumptions &amp; Inputs'!$H$54*('Assumptions &amp; Inputs'!$H$55*'Assumptions &amp; Inputs'!$H$49+'Assumptions &amp; Inputs'!$H$56*(1-'Assumptions &amp; Inputs'!$H$49))*'Assumptions &amp; Inputs'!$T$28,0)))/$E$3</f>
        <v>0</v>
      </c>
      <c r="AQ107" s="196">
        <f>IF(YEAR('Assumptions &amp; Inputs'!$H$27)&gt;AQ$103,0,IF(AQ$103=YEAR('Assumptions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Inputs'!$H$36)&gt;=AQ$103,'Assumptions &amp; Inputs'!$H$54*('Assumptions &amp; Inputs'!$H$55*'Assumptions &amp; Inputs'!$H$49+'Assumptions &amp; Inputs'!$H$56*(1-'Assumptions &amp; Inputs'!$H$49))*'Assumptions &amp; Inputs'!$T$28,0)))/$E$3</f>
        <v>0</v>
      </c>
      <c r="AR107" s="196">
        <f>IF(YEAR('Assumptions &amp; Inputs'!$H$27)&gt;AR$103,0,IF(AR$103=YEAR('Assumptions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Inputs'!$H$36)&gt;=AR$103,'Assumptions &amp; Inputs'!$H$54*('Assumptions &amp; Inputs'!$H$55*'Assumptions &amp; Inputs'!$H$49+'Assumptions &amp; Inputs'!$H$56*(1-'Assumptions &amp; Inputs'!$H$49))*'Assumptions &amp; Inputs'!$T$28,0)))/$E$3</f>
        <v>0</v>
      </c>
      <c r="AS107" s="196">
        <f>IF(YEAR('Assumptions &amp; Inputs'!$H$27)&gt;AS$103,0,IF(AS$103=YEAR('Assumptions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Inputs'!$H$36)&gt;=AS$103,'Assumptions &amp; Inputs'!$H$54*('Assumptions &amp; Inputs'!$H$55*'Assumptions &amp; Inputs'!$H$49+'Assumptions &amp; Inputs'!$H$56*(1-'Assumptions &amp; Inputs'!$H$49))*'Assumptions &amp; Inputs'!$T$28,0)))/$E$3</f>
        <v>0</v>
      </c>
      <c r="AT107" s="196">
        <f>IF(YEAR('Assumptions &amp; Inputs'!$H$27)&gt;AT$103,0,IF(AT$103=YEAR('Assumptions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Inputs'!$H$36)&gt;=AT$103,'Assumptions &amp; Inputs'!$H$54*('Assumptions &amp; Inputs'!$H$55*'Assumptions &amp; Inputs'!$H$49+'Assumptions &amp; Inputs'!$H$56*(1-'Assumptions &amp; Inputs'!$H$49))*'Assumptions &amp; Inputs'!$T$28,0)))/$E$3</f>
        <v>0</v>
      </c>
      <c r="AU107" s="196">
        <f>IF(YEAR('Assumptions &amp; Inputs'!$H$27)&gt;AU$103,0,IF(AU$103=YEAR('Assumptions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Inputs'!$H$36)&gt;=AU$103,'Assumptions &amp; Inputs'!$H$54*('Assumptions &amp; Inputs'!$H$55*'Assumptions &amp; Inputs'!$H$49+'Assumptions &amp; Inputs'!$H$56*(1-'Assumptions &amp; Inputs'!$H$49))*'Assumptions &amp; Inputs'!$T$28,0)))/$E$3</f>
        <v>0</v>
      </c>
      <c r="AV107" s="196">
        <f>IF(YEAR('Assumptions &amp; Inputs'!$H$27)&gt;AV$103,0,IF(AV$103=YEAR('Assumptions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Inputs'!$H$36)&gt;=AV$103,'Assumptions &amp; Inputs'!$H$54*('Assumptions &amp; Inputs'!$H$55*'Assumptions &amp; Inputs'!$H$49+'Assumptions &amp; Inputs'!$H$56*(1-'Assumptions &amp; Inputs'!$H$49))*'Assumptions &amp; Inputs'!$T$28,0)))/$E$3</f>
        <v>0</v>
      </c>
      <c r="AW107" s="196">
        <f>IF(YEAR('Assumptions &amp; Inputs'!$H$27)&gt;AW$103,0,IF(AW$103=YEAR('Assumptions &amp; Inputs'!$H$27),'Assumptions &amp; Inputs'!$H$54*('Assumptions &amp; Inputs'!$H$55*'Assumptions &amp; Inputs'!$H$49+'Assumptions &amp; Inputs'!$H$56*(1-'Assumptions &amp; Inputs'!$H$49))*'Assumptions &amp; Inputs'!$T$28*YEARFRAC('Assumptions &amp; Inputs'!$H$27,DATE(YEAR('Assumptions &amp; Inputs'!$H$27),12,31)),IF(YEAR('Assumptions &amp; Inputs'!$H$36)&gt;=AW$103,'Assumptions &amp; Inputs'!$H$54*('Assumptions &amp; Inputs'!$H$55*'Assumptions &amp; Inputs'!$H$49+'Assumptions &amp; Inputs'!$H$56*(1-'Assumptions &amp; Inputs'!$H$49))*'Assumptions &amp; Inputs'!$T$28,0)))/$E$3</f>
        <v>0</v>
      </c>
    </row>
    <row r="108" spans="1:49" ht="14.25" customHeight="1">
      <c r="A108" s="44"/>
      <c r="B108" s="44"/>
      <c r="C108" s="44" t="s">
        <v>7</v>
      </c>
      <c r="D108" s="196">
        <f>IF(YEAR('Assumptions &amp; Inputs'!$F$27)&gt;D$103,0,IF(D$103=YEAR('Assumptions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Inputs'!$F$36)&gt;=D$103,'Assumptions &amp; Inputs'!$F$54*('Assumptions &amp; Inputs'!$F$55*'Assumptions &amp; Inputs'!$F$49+'Assumptions &amp; Inputs'!$F$56*(1-'Assumptions &amp; Inputs'!$F$49))*'Assumptions &amp; Inputs'!$T$28,0)))/$E$3</f>
        <v>0</v>
      </c>
      <c r="E108" s="196">
        <f>IF(YEAR('Assumptions &amp; Inputs'!$F$27)&gt;E$103,0,IF(E$103=YEAR('Assumptions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Inputs'!$F$36)&gt;=E$103,'Assumptions &amp; Inputs'!$F$54*('Assumptions &amp; Inputs'!$F$55*'Assumptions &amp; Inputs'!$F$49+'Assumptions &amp; Inputs'!$F$56*(1-'Assumptions &amp; Inputs'!$F$49))*'Assumptions &amp; Inputs'!$T$28,0)))/$E$3</f>
        <v>0</v>
      </c>
      <c r="F108" s="196">
        <f>IF(YEAR('Assumptions &amp; Inputs'!$F$27)&gt;F$103,0,IF(F$103=YEAR('Assumptions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Inputs'!$F$36)&gt;=F$103,'Assumptions &amp; Inputs'!$F$54*('Assumptions &amp; Inputs'!$F$55*'Assumptions &amp; Inputs'!$F$49+'Assumptions &amp; Inputs'!$F$56*(1-'Assumptions &amp; Inputs'!$F$49))*'Assumptions &amp; Inputs'!$T$28,0)))/$E$3</f>
        <v>0</v>
      </c>
      <c r="G108" s="196">
        <f>IF(YEAR('Assumptions &amp; Inputs'!$F$27)&gt;G$103,0,IF(G$103=YEAR('Assumptions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Inputs'!$F$36)&gt;=G$103,'Assumptions &amp; Inputs'!$F$54*('Assumptions &amp; Inputs'!$F$55*'Assumptions &amp; Inputs'!$F$49+'Assumptions &amp; Inputs'!$F$56*(1-'Assumptions &amp; Inputs'!$F$49))*'Assumptions &amp; Inputs'!$T$28,0)))/$E$3</f>
        <v>0</v>
      </c>
      <c r="H108" s="196">
        <f>IF(YEAR('Assumptions &amp; Inputs'!$F$27)&gt;H$103,0,IF(H$103=YEAR('Assumptions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Inputs'!$F$36)&gt;=H$103,'Assumptions &amp; Inputs'!$F$54*('Assumptions &amp; Inputs'!$F$55*'Assumptions &amp; Inputs'!$F$49+'Assumptions &amp; Inputs'!$F$56*(1-'Assumptions &amp; Inputs'!$F$49))*'Assumptions &amp; Inputs'!$T$28,0)))/$E$3</f>
        <v>0</v>
      </c>
      <c r="I108" s="196">
        <f>IF(YEAR('Assumptions &amp; Inputs'!$F$27)&gt;I$103,0,IF(I$103=YEAR('Assumptions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Inputs'!$F$36)&gt;=I$103,'Assumptions &amp; Inputs'!$F$54*('Assumptions &amp; Inputs'!$F$55*'Assumptions &amp; Inputs'!$F$49+'Assumptions &amp; Inputs'!$F$56*(1-'Assumptions &amp; Inputs'!$F$49))*'Assumptions &amp; Inputs'!$T$28,0)))/$E$3</f>
        <v>0</v>
      </c>
      <c r="J108" s="196">
        <f>IF(YEAR('Assumptions &amp; Inputs'!$F$27)&gt;J$103,0,IF(J$103=YEAR('Assumptions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Inputs'!$F$36)&gt;=J$103,'Assumptions &amp; Inputs'!$F$54*('Assumptions &amp; Inputs'!$F$55*'Assumptions &amp; Inputs'!$F$49+'Assumptions &amp; Inputs'!$F$56*(1-'Assumptions &amp; Inputs'!$F$49))*'Assumptions &amp; Inputs'!$T$28,0)))/$E$3</f>
        <v>0</v>
      </c>
      <c r="K108" s="196">
        <f>IF(YEAR('Assumptions &amp; Inputs'!$F$27)&gt;K$103,0,IF(K$103=YEAR('Assumptions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Inputs'!$F$36)&gt;=K$103,'Assumptions &amp; Inputs'!$F$54*('Assumptions &amp; Inputs'!$F$55*'Assumptions &amp; Inputs'!$F$49+'Assumptions &amp; Inputs'!$F$56*(1-'Assumptions &amp; Inputs'!$F$49))*'Assumptions &amp; Inputs'!$T$28,0)))/$E$3</f>
        <v>0</v>
      </c>
      <c r="L108" s="196">
        <f>IF(YEAR('Assumptions &amp; Inputs'!$F$27)&gt;L$103,0,IF(L$103=YEAR('Assumptions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Inputs'!$F$36)&gt;=L$103,'Assumptions &amp; Inputs'!$F$54*('Assumptions &amp; Inputs'!$F$55*'Assumptions &amp; Inputs'!$F$49+'Assumptions &amp; Inputs'!$F$56*(1-'Assumptions &amp; Inputs'!$F$49))*'Assumptions &amp; Inputs'!$T$28,0)))/$E$3</f>
        <v>0</v>
      </c>
      <c r="M108" s="196">
        <f>IF(YEAR('Assumptions &amp; Inputs'!$F$27)&gt;M$103,0,IF(M$103=YEAR('Assumptions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Inputs'!$F$36)&gt;=M$103,'Assumptions &amp; Inputs'!$F$54*('Assumptions &amp; Inputs'!$F$55*'Assumptions &amp; Inputs'!$F$49+'Assumptions &amp; Inputs'!$F$56*(1-'Assumptions &amp; Inputs'!$F$49))*'Assumptions &amp; Inputs'!$T$28,0)))/$E$3</f>
        <v>0</v>
      </c>
      <c r="N108" s="196">
        <f>IF(YEAR('Assumptions &amp; Inputs'!$F$27)&gt;N$103,0,IF(N$103=YEAR('Assumptions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Inputs'!$F$36)&gt;=N$103,'Assumptions &amp; Inputs'!$F$54*('Assumptions &amp; Inputs'!$F$55*'Assumptions &amp; Inputs'!$F$49+'Assumptions &amp; Inputs'!$F$56*(1-'Assumptions &amp; Inputs'!$F$49))*'Assumptions &amp; Inputs'!$T$28,0)))/$E$3</f>
        <v>0</v>
      </c>
      <c r="O108" s="196">
        <f>IF(YEAR('Assumptions &amp; Inputs'!$F$27)&gt;O$103,0,IF(O$103=YEAR('Assumptions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Inputs'!$F$36)&gt;=O$103,'Assumptions &amp; Inputs'!$F$54*('Assumptions &amp; Inputs'!$F$55*'Assumptions &amp; Inputs'!$F$49+'Assumptions &amp; Inputs'!$F$56*(1-'Assumptions &amp; Inputs'!$F$49))*'Assumptions &amp; Inputs'!$T$28,0)))/$E$3</f>
        <v>0</v>
      </c>
      <c r="P108" s="196">
        <f>IF(YEAR('Assumptions &amp; Inputs'!$F$27)&gt;P$103,0,IF(P$103=YEAR('Assumptions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Inputs'!$F$36)&gt;=P$103,'Assumptions &amp; Inputs'!$F$54*('Assumptions &amp; Inputs'!$F$55*'Assumptions &amp; Inputs'!$F$49+'Assumptions &amp; Inputs'!$F$56*(1-'Assumptions &amp; Inputs'!$F$49))*'Assumptions &amp; Inputs'!$T$28,0)))/$E$3</f>
        <v>0</v>
      </c>
      <c r="Q108" s="196">
        <f>IF(YEAR('Assumptions &amp; Inputs'!$F$27)&gt;Q$103,0,IF(Q$103=YEAR('Assumptions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Inputs'!$F$36)&gt;=Q$103,'Assumptions &amp; Inputs'!$F$54*('Assumptions &amp; Inputs'!$F$55*'Assumptions &amp; Inputs'!$F$49+'Assumptions &amp; Inputs'!$F$56*(1-'Assumptions &amp; Inputs'!$F$49))*'Assumptions &amp; Inputs'!$T$28,0)))/$E$3</f>
        <v>0</v>
      </c>
      <c r="R108" s="196">
        <f>IF(YEAR('Assumptions &amp; Inputs'!$F$27)&gt;R$103,0,IF(R$103=YEAR('Assumptions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Inputs'!$F$36)&gt;=R$103,'Assumptions &amp; Inputs'!$F$54*('Assumptions &amp; Inputs'!$F$55*'Assumptions &amp; Inputs'!$F$49+'Assumptions &amp; Inputs'!$F$56*(1-'Assumptions &amp; Inputs'!$F$49))*'Assumptions &amp; Inputs'!$T$28,0)))/$E$3</f>
        <v>0</v>
      </c>
      <c r="S108" s="196">
        <f>IF(YEAR('Assumptions &amp; Inputs'!$F$27)&gt;S$103,0,IF(S$103=YEAR('Assumptions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Inputs'!$F$36)&gt;=S$103,'Assumptions &amp; Inputs'!$F$54*('Assumptions &amp; Inputs'!$F$55*'Assumptions &amp; Inputs'!$F$49+'Assumptions &amp; Inputs'!$F$56*(1-'Assumptions &amp; Inputs'!$F$49))*'Assumptions &amp; Inputs'!$T$28,0)))/$E$3</f>
        <v>0</v>
      </c>
      <c r="T108" s="196">
        <f>IF(YEAR('Assumptions &amp; Inputs'!$F$27)&gt;T$103,0,IF(T$103=YEAR('Assumptions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Inputs'!$F$36)&gt;=T$103,'Assumptions &amp; Inputs'!$F$54*('Assumptions &amp; Inputs'!$F$55*'Assumptions &amp; Inputs'!$F$49+'Assumptions &amp; Inputs'!$F$56*(1-'Assumptions &amp; Inputs'!$F$49))*'Assumptions &amp; Inputs'!$T$28,0)))/$E$3</f>
        <v>0</v>
      </c>
      <c r="U108" s="196">
        <f>IF(YEAR('Assumptions &amp; Inputs'!$F$27)&gt;U$103,0,IF(U$103=YEAR('Assumptions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Inputs'!$F$36)&gt;=U$103,'Assumptions &amp; Inputs'!$F$54*('Assumptions &amp; Inputs'!$F$55*'Assumptions &amp; Inputs'!$F$49+'Assumptions &amp; Inputs'!$F$56*(1-'Assumptions &amp; Inputs'!$F$49))*'Assumptions &amp; Inputs'!$T$28,0)))/$E$3</f>
        <v>0</v>
      </c>
      <c r="V108" s="196">
        <f>IF(YEAR('Assumptions &amp; Inputs'!$F$27)&gt;V$103,0,IF(V$103=YEAR('Assumptions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Inputs'!$F$36)&gt;=V$103,'Assumptions &amp; Inputs'!$F$54*('Assumptions &amp; Inputs'!$F$55*'Assumptions &amp; Inputs'!$F$49+'Assumptions &amp; Inputs'!$F$56*(1-'Assumptions &amp; Inputs'!$F$49))*'Assumptions &amp; Inputs'!$T$28,0)))/$E$3</f>
        <v>0</v>
      </c>
      <c r="W108" s="196">
        <f>IF(YEAR('Assumptions &amp; Inputs'!$F$27)&gt;W$103,0,IF(W$103=YEAR('Assumptions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Inputs'!$F$36)&gt;=W$103,'Assumptions &amp; Inputs'!$F$54*('Assumptions &amp; Inputs'!$F$55*'Assumptions &amp; Inputs'!$F$49+'Assumptions &amp; Inputs'!$F$56*(1-'Assumptions &amp; Inputs'!$F$49))*'Assumptions &amp; Inputs'!$T$28,0)))/$E$3</f>
        <v>0</v>
      </c>
      <c r="X108" s="196">
        <f>IF(YEAR('Assumptions &amp; Inputs'!$F$27)&gt;X$103,0,IF(X$103=YEAR('Assumptions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Inputs'!$F$36)&gt;=X$103,'Assumptions &amp; Inputs'!$F$54*('Assumptions &amp; Inputs'!$F$55*'Assumptions &amp; Inputs'!$F$49+'Assumptions &amp; Inputs'!$F$56*(1-'Assumptions &amp; Inputs'!$F$49))*'Assumptions &amp; Inputs'!$T$28,0)))/$E$3</f>
        <v>0</v>
      </c>
      <c r="Y108" s="196">
        <f>IF(YEAR('Assumptions &amp; Inputs'!$F$27)&gt;Y$103,0,IF(Y$103=YEAR('Assumptions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Inputs'!$F$36)&gt;=Y$103,'Assumptions &amp; Inputs'!$F$54*('Assumptions &amp; Inputs'!$F$55*'Assumptions &amp; Inputs'!$F$49+'Assumptions &amp; Inputs'!$F$56*(1-'Assumptions &amp; Inputs'!$F$49))*'Assumptions &amp; Inputs'!$T$28,0)))/$E$3</f>
        <v>0</v>
      </c>
      <c r="Z108" s="196">
        <f>IF(YEAR('Assumptions &amp; Inputs'!$F$27)&gt;Z$103,0,IF(Z$103=YEAR('Assumptions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Inputs'!$F$36)&gt;=Z$103,'Assumptions &amp; Inputs'!$F$54*('Assumptions &amp; Inputs'!$F$55*'Assumptions &amp; Inputs'!$F$49+'Assumptions &amp; Inputs'!$F$56*(1-'Assumptions &amp; Inputs'!$F$49))*'Assumptions &amp; Inputs'!$T$28,0)))/$E$3</f>
        <v>0</v>
      </c>
      <c r="AA108" s="196">
        <f>IF(YEAR('Assumptions &amp; Inputs'!$F$27)&gt;AA$103,0,IF(AA$103=YEAR('Assumptions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Inputs'!$F$36)&gt;=AA$103,'Assumptions &amp; Inputs'!$F$54*('Assumptions &amp; Inputs'!$F$55*'Assumptions &amp; Inputs'!$F$49+'Assumptions &amp; Inputs'!$F$56*(1-'Assumptions &amp; Inputs'!$F$49))*'Assumptions &amp; Inputs'!$T$28,0)))/$E$3</f>
        <v>0</v>
      </c>
      <c r="AB108" s="196">
        <f>IF(YEAR('Assumptions &amp; Inputs'!$F$27)&gt;AB$103,0,IF(AB$103=YEAR('Assumptions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Inputs'!$F$36)&gt;=AB$103,'Assumptions &amp; Inputs'!$F$54*('Assumptions &amp; Inputs'!$F$55*'Assumptions &amp; Inputs'!$F$49+'Assumptions &amp; Inputs'!$F$56*(1-'Assumptions &amp; Inputs'!$F$49))*'Assumptions &amp; Inputs'!$T$28,0)))/$E$3</f>
        <v>0</v>
      </c>
      <c r="AC108" s="196">
        <f>IF(YEAR('Assumptions &amp; Inputs'!$F$27)&gt;AC$103,0,IF(AC$103=YEAR('Assumptions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Inputs'!$F$36)&gt;=AC$103,'Assumptions &amp; Inputs'!$F$54*('Assumptions &amp; Inputs'!$F$55*'Assumptions &amp; Inputs'!$F$49+'Assumptions &amp; Inputs'!$F$56*(1-'Assumptions &amp; Inputs'!$F$49))*'Assumptions &amp; Inputs'!$T$28,0)))/$E$3</f>
        <v>0</v>
      </c>
      <c r="AD108" s="196">
        <f>IF(YEAR('Assumptions &amp; Inputs'!$F$27)&gt;AD$103,0,IF(AD$103=YEAR('Assumptions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Inputs'!$F$36)&gt;=AD$103,'Assumptions &amp; Inputs'!$F$54*('Assumptions &amp; Inputs'!$F$55*'Assumptions &amp; Inputs'!$F$49+'Assumptions &amp; Inputs'!$F$56*(1-'Assumptions &amp; Inputs'!$F$49))*'Assumptions &amp; Inputs'!$T$28,0)))/$E$3</f>
        <v>0</v>
      </c>
      <c r="AE108" s="196">
        <f>IF(YEAR('Assumptions &amp; Inputs'!$F$27)&gt;AE$103,0,IF(AE$103=YEAR('Assumptions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Inputs'!$F$36)&gt;=AE$103,'Assumptions &amp; Inputs'!$F$54*('Assumptions &amp; Inputs'!$F$55*'Assumptions &amp; Inputs'!$F$49+'Assumptions &amp; Inputs'!$F$56*(1-'Assumptions &amp; Inputs'!$F$49))*'Assumptions &amp; Inputs'!$T$28,0)))/$E$3</f>
        <v>0</v>
      </c>
      <c r="AF108" s="196">
        <f>IF(YEAR('Assumptions &amp; Inputs'!$F$27)&gt;AF$103,0,IF(AF$103=YEAR('Assumptions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Inputs'!$F$36)&gt;=AF$103,'Assumptions &amp; Inputs'!$F$54*('Assumptions &amp; Inputs'!$F$55*'Assumptions &amp; Inputs'!$F$49+'Assumptions &amp; Inputs'!$F$56*(1-'Assumptions &amp; Inputs'!$F$49))*'Assumptions &amp; Inputs'!$T$28,0)))/$E$3</f>
        <v>0</v>
      </c>
      <c r="AG108" s="196">
        <f>IF(YEAR('Assumptions &amp; Inputs'!$F$27)&gt;AG$103,0,IF(AG$103=YEAR('Assumptions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Inputs'!$F$36)&gt;=AG$103,'Assumptions &amp; Inputs'!$F$54*('Assumptions &amp; Inputs'!$F$55*'Assumptions &amp; Inputs'!$F$49+'Assumptions &amp; Inputs'!$F$56*(1-'Assumptions &amp; Inputs'!$F$49))*'Assumptions &amp; Inputs'!$T$28,0)))/$E$3</f>
        <v>0</v>
      </c>
      <c r="AH108" s="196">
        <f>IF(YEAR('Assumptions &amp; Inputs'!$F$27)&gt;AH$103,0,IF(AH$103=YEAR('Assumptions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Inputs'!$F$36)&gt;=AH$103,'Assumptions &amp; Inputs'!$F$54*('Assumptions &amp; Inputs'!$F$55*'Assumptions &amp; Inputs'!$F$49+'Assumptions &amp; Inputs'!$F$56*(1-'Assumptions &amp; Inputs'!$F$49))*'Assumptions &amp; Inputs'!$T$28,0)))/$E$3</f>
        <v>0</v>
      </c>
      <c r="AI108" s="196">
        <f>IF(YEAR('Assumptions &amp; Inputs'!$F$27)&gt;AI$103,0,IF(AI$103=YEAR('Assumptions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Inputs'!$F$36)&gt;=AI$103,'Assumptions &amp; Inputs'!$F$54*('Assumptions &amp; Inputs'!$F$55*'Assumptions &amp; Inputs'!$F$49+'Assumptions &amp; Inputs'!$F$56*(1-'Assumptions &amp; Inputs'!$F$49))*'Assumptions &amp; Inputs'!$T$28,0)))/$E$3</f>
        <v>0</v>
      </c>
      <c r="AJ108" s="196">
        <f>IF(YEAR('Assumptions &amp; Inputs'!$F$27)&gt;AJ$103,0,IF(AJ$103=YEAR('Assumptions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Inputs'!$F$36)&gt;=AJ$103,'Assumptions &amp; Inputs'!$F$54*('Assumptions &amp; Inputs'!$F$55*'Assumptions &amp; Inputs'!$F$49+'Assumptions &amp; Inputs'!$F$56*(1-'Assumptions &amp; Inputs'!$F$49))*'Assumptions &amp; Inputs'!$T$28,0)))/$E$3</f>
        <v>0</v>
      </c>
      <c r="AK108" s="196">
        <f>IF(YEAR('Assumptions &amp; Inputs'!$F$27)&gt;AK$103,0,IF(AK$103=YEAR('Assumptions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Inputs'!$F$36)&gt;=AK$103,'Assumptions &amp; Inputs'!$F$54*('Assumptions &amp; Inputs'!$F$55*'Assumptions &amp; Inputs'!$F$49+'Assumptions &amp; Inputs'!$F$56*(1-'Assumptions &amp; Inputs'!$F$49))*'Assumptions &amp; Inputs'!$T$28,0)))/$E$3</f>
        <v>0</v>
      </c>
      <c r="AL108" s="196">
        <f>IF(YEAR('Assumptions &amp; Inputs'!$F$27)&gt;AL$103,0,IF(AL$103=YEAR('Assumptions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Inputs'!$F$36)&gt;=AL$103,'Assumptions &amp; Inputs'!$F$54*('Assumptions &amp; Inputs'!$F$55*'Assumptions &amp; Inputs'!$F$49+'Assumptions &amp; Inputs'!$F$56*(1-'Assumptions &amp; Inputs'!$F$49))*'Assumptions &amp; Inputs'!$T$28,0)))/$E$3</f>
        <v>0</v>
      </c>
      <c r="AM108" s="196">
        <f>IF(YEAR('Assumptions &amp; Inputs'!$F$27)&gt;AM$103,0,IF(AM$103=YEAR('Assumptions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Inputs'!$F$36)&gt;=AM$103,'Assumptions &amp; Inputs'!$F$54*('Assumptions &amp; Inputs'!$F$55*'Assumptions &amp; Inputs'!$F$49+'Assumptions &amp; Inputs'!$F$56*(1-'Assumptions &amp; Inputs'!$F$49))*'Assumptions &amp; Inputs'!$T$28,0)))/$E$3</f>
        <v>0</v>
      </c>
      <c r="AN108" s="196">
        <f>IF(YEAR('Assumptions &amp; Inputs'!$F$27)&gt;AN$103,0,IF(AN$103=YEAR('Assumptions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Inputs'!$F$36)&gt;=AN$103,'Assumptions &amp; Inputs'!$F$54*('Assumptions &amp; Inputs'!$F$55*'Assumptions &amp; Inputs'!$F$49+'Assumptions &amp; Inputs'!$F$56*(1-'Assumptions &amp; Inputs'!$F$49))*'Assumptions &amp; Inputs'!$T$28,0)))/$E$3</f>
        <v>0</v>
      </c>
      <c r="AO108" s="196">
        <f>IF(YEAR('Assumptions &amp; Inputs'!$F$27)&gt;AO$103,0,IF(AO$103=YEAR('Assumptions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Inputs'!$F$36)&gt;=AO$103,'Assumptions &amp; Inputs'!$F$54*('Assumptions &amp; Inputs'!$F$55*'Assumptions &amp; Inputs'!$F$49+'Assumptions &amp; Inputs'!$F$56*(1-'Assumptions &amp; Inputs'!$F$49))*'Assumptions &amp; Inputs'!$T$28,0)))/$E$3</f>
        <v>0</v>
      </c>
      <c r="AP108" s="196">
        <f>IF(YEAR('Assumptions &amp; Inputs'!$F$27)&gt;AP$103,0,IF(AP$103=YEAR('Assumptions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Inputs'!$F$36)&gt;=AP$103,'Assumptions &amp; Inputs'!$F$54*('Assumptions &amp; Inputs'!$F$55*'Assumptions &amp; Inputs'!$F$49+'Assumptions &amp; Inputs'!$F$56*(1-'Assumptions &amp; Inputs'!$F$49))*'Assumptions &amp; Inputs'!$T$28,0)))/$E$3</f>
        <v>0</v>
      </c>
      <c r="AQ108" s="196">
        <f>IF(YEAR('Assumptions &amp; Inputs'!$F$27)&gt;AQ$103,0,IF(AQ$103=YEAR('Assumptions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Inputs'!$F$36)&gt;=AQ$103,'Assumptions &amp; Inputs'!$F$54*('Assumptions &amp; Inputs'!$F$55*'Assumptions &amp; Inputs'!$F$49+'Assumptions &amp; Inputs'!$F$56*(1-'Assumptions &amp; Inputs'!$F$49))*'Assumptions &amp; Inputs'!$T$28,0)))/$E$3</f>
        <v>0</v>
      </c>
      <c r="AR108" s="196">
        <f>IF(YEAR('Assumptions &amp; Inputs'!$F$27)&gt;AR$103,0,IF(AR$103=YEAR('Assumptions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Inputs'!$F$36)&gt;=AR$103,'Assumptions &amp; Inputs'!$F$54*('Assumptions &amp; Inputs'!$F$55*'Assumptions &amp; Inputs'!$F$49+'Assumptions &amp; Inputs'!$F$56*(1-'Assumptions &amp; Inputs'!$F$49))*'Assumptions &amp; Inputs'!$T$28,0)))/$E$3</f>
        <v>0</v>
      </c>
      <c r="AS108" s="196">
        <f>IF(YEAR('Assumptions &amp; Inputs'!$F$27)&gt;AS$103,0,IF(AS$103=YEAR('Assumptions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Inputs'!$F$36)&gt;=AS$103,'Assumptions &amp; Inputs'!$F$54*('Assumptions &amp; Inputs'!$F$55*'Assumptions &amp; Inputs'!$F$49+'Assumptions &amp; Inputs'!$F$56*(1-'Assumptions &amp; Inputs'!$F$49))*'Assumptions &amp; Inputs'!$T$28,0)))/$E$3</f>
        <v>0</v>
      </c>
      <c r="AT108" s="196">
        <f>IF(YEAR('Assumptions &amp; Inputs'!$F$27)&gt;AT$103,0,IF(AT$103=YEAR('Assumptions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Inputs'!$F$36)&gt;=AT$103,'Assumptions &amp; Inputs'!$F$54*('Assumptions &amp; Inputs'!$F$55*'Assumptions &amp; Inputs'!$F$49+'Assumptions &amp; Inputs'!$F$56*(1-'Assumptions &amp; Inputs'!$F$49))*'Assumptions &amp; Inputs'!$T$28,0)))/$E$3</f>
        <v>0</v>
      </c>
      <c r="AU108" s="196">
        <f>IF(YEAR('Assumptions &amp; Inputs'!$F$27)&gt;AU$103,0,IF(AU$103=YEAR('Assumptions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Inputs'!$F$36)&gt;=AU$103,'Assumptions &amp; Inputs'!$F$54*('Assumptions &amp; Inputs'!$F$55*'Assumptions &amp; Inputs'!$F$49+'Assumptions &amp; Inputs'!$F$56*(1-'Assumptions &amp; Inputs'!$F$49))*'Assumptions &amp; Inputs'!$T$28,0)))/$E$3</f>
        <v>0</v>
      </c>
      <c r="AV108" s="196">
        <f>IF(YEAR('Assumptions &amp; Inputs'!$F$27)&gt;AV$103,0,IF(AV$103=YEAR('Assumptions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Inputs'!$F$36)&gt;=AV$103,'Assumptions &amp; Inputs'!$F$54*('Assumptions &amp; Inputs'!$F$55*'Assumptions &amp; Inputs'!$F$49+'Assumptions &amp; Inputs'!$F$56*(1-'Assumptions &amp; Inputs'!$F$49))*'Assumptions &amp; Inputs'!$T$28,0)))/$E$3</f>
        <v>0</v>
      </c>
      <c r="AW108" s="196">
        <f>IF(YEAR('Assumptions &amp; Inputs'!$F$27)&gt;AW$103,0,IF(AW$103=YEAR('Assumptions &amp; Inputs'!$F$27),'Assumptions &amp; Inputs'!$F$54*('Assumptions &amp; Inputs'!$F$55*'Assumptions &amp; Inputs'!$F$49+'Assumptions &amp; Inputs'!$F$56*(1-'Assumptions &amp; Inputs'!$F$49))*'Assumptions &amp; Inputs'!$T$28*YEARFRAC('Assumptions &amp; Inputs'!$F$27,DATE(YEAR('Assumptions &amp; Inputs'!$F$27),12,31)),IF(YEAR('Assumptions &amp; Inputs'!$F$36)&gt;=AW$103,'Assumptions &amp; Inputs'!$F$54*('Assumptions &amp; Inputs'!$F$55*'Assumptions &amp; Inputs'!$F$49+'Assumptions &amp; Inputs'!$F$56*(1-'Assumptions &amp; Inputs'!$F$49))*'Assumptions &amp; Inputs'!$T$28,0)))/$E$3</f>
        <v>0</v>
      </c>
    </row>
    <row r="109" spans="1:49" ht="14.25" customHeight="1">
      <c r="A109" s="44"/>
      <c r="B109" s="44"/>
      <c r="C109" s="44" t="s">
        <v>9</v>
      </c>
      <c r="D109" s="196">
        <f>IF(YEAR('Assumptions &amp; Inputs'!$I$27)&gt;D$103,0,IF(D$103=YEAR('Assumptions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Inputs'!$I$36)&gt;=D$103,'Assumptions &amp; Inputs'!$I$54*('Assumptions &amp; Inputs'!$I$55*'Assumptions &amp; Inputs'!$I$49+'Assumptions &amp; Inputs'!$I$56*(1-'Assumptions &amp; Inputs'!$I$49))*'Assumptions &amp; Inputs'!$T$28,0)))/$E$3</f>
        <v>0</v>
      </c>
      <c r="E109" s="196">
        <f>IF(YEAR('Assumptions &amp; Inputs'!$I$27)&gt;E$103,0,IF(E$103=YEAR('Assumptions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Inputs'!$I$36)&gt;=E$103,'Assumptions &amp; Inputs'!$I$54*('Assumptions &amp; Inputs'!$I$55*'Assumptions &amp; Inputs'!$I$49+'Assumptions &amp; Inputs'!$I$56*(1-'Assumptions &amp; Inputs'!$I$49))*'Assumptions &amp; Inputs'!$T$28,0)))/$E$3</f>
        <v>0</v>
      </c>
      <c r="F109" s="196">
        <f>IF(YEAR('Assumptions &amp; Inputs'!$I$27)&gt;F$103,0,IF(F$103=YEAR('Assumptions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Inputs'!$I$36)&gt;=F$103,'Assumptions &amp; Inputs'!$I$54*('Assumptions &amp; Inputs'!$I$55*'Assumptions &amp; Inputs'!$I$49+'Assumptions &amp; Inputs'!$I$56*(1-'Assumptions &amp; Inputs'!$I$49))*'Assumptions &amp; Inputs'!$T$28,0)))/$E$3</f>
        <v>0</v>
      </c>
      <c r="G109" s="196">
        <f>IF(YEAR('Assumptions &amp; Inputs'!$I$27)&gt;G$103,0,IF(G$103=YEAR('Assumptions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Inputs'!$I$36)&gt;=G$103,'Assumptions &amp; Inputs'!$I$54*('Assumptions &amp; Inputs'!$I$55*'Assumptions &amp; Inputs'!$I$49+'Assumptions &amp; Inputs'!$I$56*(1-'Assumptions &amp; Inputs'!$I$49))*'Assumptions &amp; Inputs'!$T$28,0)))/$E$3</f>
        <v>0</v>
      </c>
      <c r="H109" s="196">
        <f>IF(YEAR('Assumptions &amp; Inputs'!$I$27)&gt;H$103,0,IF(H$103=YEAR('Assumptions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Inputs'!$I$36)&gt;=H$103,'Assumptions &amp; Inputs'!$I$54*('Assumptions &amp; Inputs'!$I$55*'Assumptions &amp; Inputs'!$I$49+'Assumptions &amp; Inputs'!$I$56*(1-'Assumptions &amp; Inputs'!$I$49))*'Assumptions &amp; Inputs'!$T$28,0)))/$E$3</f>
        <v>0</v>
      </c>
      <c r="I109" s="196">
        <f>IF(YEAR('Assumptions &amp; Inputs'!$I$27)&gt;I$103,0,IF(I$103=YEAR('Assumptions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Inputs'!$I$36)&gt;=I$103,'Assumptions &amp; Inputs'!$I$54*('Assumptions &amp; Inputs'!$I$55*'Assumptions &amp; Inputs'!$I$49+'Assumptions &amp; Inputs'!$I$56*(1-'Assumptions &amp; Inputs'!$I$49))*'Assumptions &amp; Inputs'!$T$28,0)))/$E$3</f>
        <v>0</v>
      </c>
      <c r="J109" s="196">
        <f>IF(YEAR('Assumptions &amp; Inputs'!$I$27)&gt;J$103,0,IF(J$103=YEAR('Assumptions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Inputs'!$I$36)&gt;=J$103,'Assumptions &amp; Inputs'!$I$54*('Assumptions &amp; Inputs'!$I$55*'Assumptions &amp; Inputs'!$I$49+'Assumptions &amp; Inputs'!$I$56*(1-'Assumptions &amp; Inputs'!$I$49))*'Assumptions &amp; Inputs'!$T$28,0)))/$E$3</f>
        <v>0</v>
      </c>
      <c r="K109" s="196">
        <f>IF(YEAR('Assumptions &amp; Inputs'!$I$27)&gt;K$103,0,IF(K$103=YEAR('Assumptions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Inputs'!$I$36)&gt;=K$103,'Assumptions &amp; Inputs'!$I$54*('Assumptions &amp; Inputs'!$I$55*'Assumptions &amp; Inputs'!$I$49+'Assumptions &amp; Inputs'!$I$56*(1-'Assumptions &amp; Inputs'!$I$49))*'Assumptions &amp; Inputs'!$T$28,0)))/$E$3</f>
        <v>0</v>
      </c>
      <c r="L109" s="196">
        <f>IF(YEAR('Assumptions &amp; Inputs'!$I$27)&gt;L$103,0,IF(L$103=YEAR('Assumptions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Inputs'!$I$36)&gt;=L$103,'Assumptions &amp; Inputs'!$I$54*('Assumptions &amp; Inputs'!$I$55*'Assumptions &amp; Inputs'!$I$49+'Assumptions &amp; Inputs'!$I$56*(1-'Assumptions &amp; Inputs'!$I$49))*'Assumptions &amp; Inputs'!$T$28,0)))/$E$3</f>
        <v>0</v>
      </c>
      <c r="M109" s="196">
        <f>IF(YEAR('Assumptions &amp; Inputs'!$I$27)&gt;M$103,0,IF(M$103=YEAR('Assumptions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Inputs'!$I$36)&gt;=M$103,'Assumptions &amp; Inputs'!$I$54*('Assumptions &amp; Inputs'!$I$55*'Assumptions &amp; Inputs'!$I$49+'Assumptions &amp; Inputs'!$I$56*(1-'Assumptions &amp; Inputs'!$I$49))*'Assumptions &amp; Inputs'!$T$28,0)))/$E$3</f>
        <v>0</v>
      </c>
      <c r="N109" s="196">
        <f>IF(YEAR('Assumptions &amp; Inputs'!$I$27)&gt;N$103,0,IF(N$103=YEAR('Assumptions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Inputs'!$I$36)&gt;=N$103,'Assumptions &amp; Inputs'!$I$54*('Assumptions &amp; Inputs'!$I$55*'Assumptions &amp; Inputs'!$I$49+'Assumptions &amp; Inputs'!$I$56*(1-'Assumptions &amp; Inputs'!$I$49))*'Assumptions &amp; Inputs'!$T$28,0)))/$E$3</f>
        <v>0</v>
      </c>
      <c r="O109" s="196">
        <f>IF(YEAR('Assumptions &amp; Inputs'!$I$27)&gt;O$103,0,IF(O$103=YEAR('Assumptions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Inputs'!$I$36)&gt;=O$103,'Assumptions &amp; Inputs'!$I$54*('Assumptions &amp; Inputs'!$I$55*'Assumptions &amp; Inputs'!$I$49+'Assumptions &amp; Inputs'!$I$56*(1-'Assumptions &amp; Inputs'!$I$49))*'Assumptions &amp; Inputs'!$T$28,0)))/$E$3</f>
        <v>0</v>
      </c>
      <c r="P109" s="196">
        <f>IF(YEAR('Assumptions &amp; Inputs'!$I$27)&gt;P$103,0,IF(P$103=YEAR('Assumptions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Inputs'!$I$36)&gt;=P$103,'Assumptions &amp; Inputs'!$I$54*('Assumptions &amp; Inputs'!$I$55*'Assumptions &amp; Inputs'!$I$49+'Assumptions &amp; Inputs'!$I$56*(1-'Assumptions &amp; Inputs'!$I$49))*'Assumptions &amp; Inputs'!$T$28,0)))/$E$3</f>
        <v>0</v>
      </c>
      <c r="Q109" s="196">
        <f>IF(YEAR('Assumptions &amp; Inputs'!$I$27)&gt;Q$103,0,IF(Q$103=YEAR('Assumptions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Inputs'!$I$36)&gt;=Q$103,'Assumptions &amp; Inputs'!$I$54*('Assumptions &amp; Inputs'!$I$55*'Assumptions &amp; Inputs'!$I$49+'Assumptions &amp; Inputs'!$I$56*(1-'Assumptions &amp; Inputs'!$I$49))*'Assumptions &amp; Inputs'!$T$28,0)))/$E$3</f>
        <v>0</v>
      </c>
      <c r="R109" s="196">
        <f>IF(YEAR('Assumptions &amp; Inputs'!$I$27)&gt;R$103,0,IF(R$103=YEAR('Assumptions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Inputs'!$I$36)&gt;=R$103,'Assumptions &amp; Inputs'!$I$54*('Assumptions &amp; Inputs'!$I$55*'Assumptions &amp; Inputs'!$I$49+'Assumptions &amp; Inputs'!$I$56*(1-'Assumptions &amp; Inputs'!$I$49))*'Assumptions &amp; Inputs'!$T$28,0)))/$E$3</f>
        <v>0</v>
      </c>
      <c r="S109" s="196">
        <f>IF(YEAR('Assumptions &amp; Inputs'!$I$27)&gt;S$103,0,IF(S$103=YEAR('Assumptions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Inputs'!$I$36)&gt;=S$103,'Assumptions &amp; Inputs'!$I$54*('Assumptions &amp; Inputs'!$I$55*'Assumptions &amp; Inputs'!$I$49+'Assumptions &amp; Inputs'!$I$56*(1-'Assumptions &amp; Inputs'!$I$49))*'Assumptions &amp; Inputs'!$T$28,0)))/$E$3</f>
        <v>0</v>
      </c>
      <c r="T109" s="196">
        <f>IF(YEAR('Assumptions &amp; Inputs'!$I$27)&gt;T$103,0,IF(T$103=YEAR('Assumptions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Inputs'!$I$36)&gt;=T$103,'Assumptions &amp; Inputs'!$I$54*('Assumptions &amp; Inputs'!$I$55*'Assumptions &amp; Inputs'!$I$49+'Assumptions &amp; Inputs'!$I$56*(1-'Assumptions &amp; Inputs'!$I$49))*'Assumptions &amp; Inputs'!$T$28,0)))/$E$3</f>
        <v>0</v>
      </c>
      <c r="U109" s="196">
        <f>IF(YEAR('Assumptions &amp; Inputs'!$I$27)&gt;U$103,0,IF(U$103=YEAR('Assumptions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Inputs'!$I$36)&gt;=U$103,'Assumptions &amp; Inputs'!$I$54*('Assumptions &amp; Inputs'!$I$55*'Assumptions &amp; Inputs'!$I$49+'Assumptions &amp; Inputs'!$I$56*(1-'Assumptions &amp; Inputs'!$I$49))*'Assumptions &amp; Inputs'!$T$28,0)))/$E$3</f>
        <v>0</v>
      </c>
      <c r="V109" s="196">
        <f>IF(YEAR('Assumptions &amp; Inputs'!$I$27)&gt;V$103,0,IF(V$103=YEAR('Assumptions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Inputs'!$I$36)&gt;=V$103,'Assumptions &amp; Inputs'!$I$54*('Assumptions &amp; Inputs'!$I$55*'Assumptions &amp; Inputs'!$I$49+'Assumptions &amp; Inputs'!$I$56*(1-'Assumptions &amp; Inputs'!$I$49))*'Assumptions &amp; Inputs'!$T$28,0)))/$E$3</f>
        <v>0</v>
      </c>
      <c r="W109" s="196">
        <f>IF(YEAR('Assumptions &amp; Inputs'!$I$27)&gt;W$103,0,IF(W$103=YEAR('Assumptions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Inputs'!$I$36)&gt;=W$103,'Assumptions &amp; Inputs'!$I$54*('Assumptions &amp; Inputs'!$I$55*'Assumptions &amp; Inputs'!$I$49+'Assumptions &amp; Inputs'!$I$56*(1-'Assumptions &amp; Inputs'!$I$49))*'Assumptions &amp; Inputs'!$T$28,0)))/$E$3</f>
        <v>0</v>
      </c>
      <c r="X109" s="196">
        <f>IF(YEAR('Assumptions &amp; Inputs'!$I$27)&gt;X$103,0,IF(X$103=YEAR('Assumptions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Inputs'!$I$36)&gt;=X$103,'Assumptions &amp; Inputs'!$I$54*('Assumptions &amp; Inputs'!$I$55*'Assumptions &amp; Inputs'!$I$49+'Assumptions &amp; Inputs'!$I$56*(1-'Assumptions &amp; Inputs'!$I$49))*'Assumptions &amp; Inputs'!$T$28,0)))/$E$3</f>
        <v>0</v>
      </c>
      <c r="Y109" s="196">
        <f>IF(YEAR('Assumptions &amp; Inputs'!$I$27)&gt;Y$103,0,IF(Y$103=YEAR('Assumptions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Inputs'!$I$36)&gt;=Y$103,'Assumptions &amp; Inputs'!$I$54*('Assumptions &amp; Inputs'!$I$55*'Assumptions &amp; Inputs'!$I$49+'Assumptions &amp; Inputs'!$I$56*(1-'Assumptions &amp; Inputs'!$I$49))*'Assumptions &amp; Inputs'!$T$28,0)))/$E$3</f>
        <v>0</v>
      </c>
      <c r="Z109" s="196">
        <f>IF(YEAR('Assumptions &amp; Inputs'!$I$27)&gt;Z$103,0,IF(Z$103=YEAR('Assumptions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Inputs'!$I$36)&gt;=Z$103,'Assumptions &amp; Inputs'!$I$54*('Assumptions &amp; Inputs'!$I$55*'Assumptions &amp; Inputs'!$I$49+'Assumptions &amp; Inputs'!$I$56*(1-'Assumptions &amp; Inputs'!$I$49))*'Assumptions &amp; Inputs'!$T$28,0)))/$E$3</f>
        <v>0</v>
      </c>
      <c r="AA109" s="196">
        <f>IF(YEAR('Assumptions &amp; Inputs'!$I$27)&gt;AA$103,0,IF(AA$103=YEAR('Assumptions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Inputs'!$I$36)&gt;=AA$103,'Assumptions &amp; Inputs'!$I$54*('Assumptions &amp; Inputs'!$I$55*'Assumptions &amp; Inputs'!$I$49+'Assumptions &amp; Inputs'!$I$56*(1-'Assumptions &amp; Inputs'!$I$49))*'Assumptions &amp; Inputs'!$T$28,0)))/$E$3</f>
        <v>0</v>
      </c>
      <c r="AB109" s="196">
        <f>IF(YEAR('Assumptions &amp; Inputs'!$I$27)&gt;AB$103,0,IF(AB$103=YEAR('Assumptions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Inputs'!$I$36)&gt;=AB$103,'Assumptions &amp; Inputs'!$I$54*('Assumptions &amp; Inputs'!$I$55*'Assumptions &amp; Inputs'!$I$49+'Assumptions &amp; Inputs'!$I$56*(1-'Assumptions &amp; Inputs'!$I$49))*'Assumptions &amp; Inputs'!$T$28,0)))/$E$3</f>
        <v>0</v>
      </c>
      <c r="AC109" s="196">
        <f>IF(YEAR('Assumptions &amp; Inputs'!$I$27)&gt;AC$103,0,IF(AC$103=YEAR('Assumptions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Inputs'!$I$36)&gt;=AC$103,'Assumptions &amp; Inputs'!$I$54*('Assumptions &amp; Inputs'!$I$55*'Assumptions &amp; Inputs'!$I$49+'Assumptions &amp; Inputs'!$I$56*(1-'Assumptions &amp; Inputs'!$I$49))*'Assumptions &amp; Inputs'!$T$28,0)))/$E$3</f>
        <v>0</v>
      </c>
      <c r="AD109" s="196">
        <f>IF(YEAR('Assumptions &amp; Inputs'!$I$27)&gt;AD$103,0,IF(AD$103=YEAR('Assumptions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Inputs'!$I$36)&gt;=AD$103,'Assumptions &amp; Inputs'!$I$54*('Assumptions &amp; Inputs'!$I$55*'Assumptions &amp; Inputs'!$I$49+'Assumptions &amp; Inputs'!$I$56*(1-'Assumptions &amp; Inputs'!$I$49))*'Assumptions &amp; Inputs'!$T$28,0)))/$E$3</f>
        <v>0</v>
      </c>
      <c r="AE109" s="196">
        <f>IF(YEAR('Assumptions &amp; Inputs'!$I$27)&gt;AE$103,0,IF(AE$103=YEAR('Assumptions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Inputs'!$I$36)&gt;=AE$103,'Assumptions &amp; Inputs'!$I$54*('Assumptions &amp; Inputs'!$I$55*'Assumptions &amp; Inputs'!$I$49+'Assumptions &amp; Inputs'!$I$56*(1-'Assumptions &amp; Inputs'!$I$49))*'Assumptions &amp; Inputs'!$T$28,0)))/$E$3</f>
        <v>0</v>
      </c>
      <c r="AF109" s="196">
        <f>IF(YEAR('Assumptions &amp; Inputs'!$I$27)&gt;AF$103,0,IF(AF$103=YEAR('Assumptions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Inputs'!$I$36)&gt;=AF$103,'Assumptions &amp; Inputs'!$I$54*('Assumptions &amp; Inputs'!$I$55*'Assumptions &amp; Inputs'!$I$49+'Assumptions &amp; Inputs'!$I$56*(1-'Assumptions &amp; Inputs'!$I$49))*'Assumptions &amp; Inputs'!$T$28,0)))/$E$3</f>
        <v>0</v>
      </c>
      <c r="AG109" s="196">
        <f>IF(YEAR('Assumptions &amp; Inputs'!$I$27)&gt;AG$103,0,IF(AG$103=YEAR('Assumptions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Inputs'!$I$36)&gt;=AG$103,'Assumptions &amp; Inputs'!$I$54*('Assumptions &amp; Inputs'!$I$55*'Assumptions &amp; Inputs'!$I$49+'Assumptions &amp; Inputs'!$I$56*(1-'Assumptions &amp; Inputs'!$I$49))*'Assumptions &amp; Inputs'!$T$28,0)))/$E$3</f>
        <v>0</v>
      </c>
      <c r="AH109" s="196">
        <f>IF(YEAR('Assumptions &amp; Inputs'!$I$27)&gt;AH$103,0,IF(AH$103=YEAR('Assumptions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Inputs'!$I$36)&gt;=AH$103,'Assumptions &amp; Inputs'!$I$54*('Assumptions &amp; Inputs'!$I$55*'Assumptions &amp; Inputs'!$I$49+'Assumptions &amp; Inputs'!$I$56*(1-'Assumptions &amp; Inputs'!$I$49))*'Assumptions &amp; Inputs'!$T$28,0)))/$E$3</f>
        <v>0</v>
      </c>
      <c r="AI109" s="196">
        <f>IF(YEAR('Assumptions &amp; Inputs'!$I$27)&gt;AI$103,0,IF(AI$103=YEAR('Assumptions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Inputs'!$I$36)&gt;=AI$103,'Assumptions &amp; Inputs'!$I$54*('Assumptions &amp; Inputs'!$I$55*'Assumptions &amp; Inputs'!$I$49+'Assumptions &amp; Inputs'!$I$56*(1-'Assumptions &amp; Inputs'!$I$49))*'Assumptions &amp; Inputs'!$T$28,0)))/$E$3</f>
        <v>0</v>
      </c>
      <c r="AJ109" s="196">
        <f>IF(YEAR('Assumptions &amp; Inputs'!$I$27)&gt;AJ$103,0,IF(AJ$103=YEAR('Assumptions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Inputs'!$I$36)&gt;=AJ$103,'Assumptions &amp; Inputs'!$I$54*('Assumptions &amp; Inputs'!$I$55*'Assumptions &amp; Inputs'!$I$49+'Assumptions &amp; Inputs'!$I$56*(1-'Assumptions &amp; Inputs'!$I$49))*'Assumptions &amp; Inputs'!$T$28,0)))/$E$3</f>
        <v>0</v>
      </c>
      <c r="AK109" s="196">
        <f>IF(YEAR('Assumptions &amp; Inputs'!$I$27)&gt;AK$103,0,IF(AK$103=YEAR('Assumptions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Inputs'!$I$36)&gt;=AK$103,'Assumptions &amp; Inputs'!$I$54*('Assumptions &amp; Inputs'!$I$55*'Assumptions &amp; Inputs'!$I$49+'Assumptions &amp; Inputs'!$I$56*(1-'Assumptions &amp; Inputs'!$I$49))*'Assumptions &amp; Inputs'!$T$28,0)))/$E$3</f>
        <v>0</v>
      </c>
      <c r="AL109" s="196">
        <f>IF(YEAR('Assumptions &amp; Inputs'!$I$27)&gt;AL$103,0,IF(AL$103=YEAR('Assumptions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Inputs'!$I$36)&gt;=AL$103,'Assumptions &amp; Inputs'!$I$54*('Assumptions &amp; Inputs'!$I$55*'Assumptions &amp; Inputs'!$I$49+'Assumptions &amp; Inputs'!$I$56*(1-'Assumptions &amp; Inputs'!$I$49))*'Assumptions &amp; Inputs'!$T$28,0)))/$E$3</f>
        <v>0</v>
      </c>
      <c r="AM109" s="196">
        <f>IF(YEAR('Assumptions &amp; Inputs'!$I$27)&gt;AM$103,0,IF(AM$103=YEAR('Assumptions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Inputs'!$I$36)&gt;=AM$103,'Assumptions &amp; Inputs'!$I$54*('Assumptions &amp; Inputs'!$I$55*'Assumptions &amp; Inputs'!$I$49+'Assumptions &amp; Inputs'!$I$56*(1-'Assumptions &amp; Inputs'!$I$49))*'Assumptions &amp; Inputs'!$T$28,0)))/$E$3</f>
        <v>0</v>
      </c>
      <c r="AN109" s="196">
        <f>IF(YEAR('Assumptions &amp; Inputs'!$I$27)&gt;AN$103,0,IF(AN$103=YEAR('Assumptions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Inputs'!$I$36)&gt;=AN$103,'Assumptions &amp; Inputs'!$I$54*('Assumptions &amp; Inputs'!$I$55*'Assumptions &amp; Inputs'!$I$49+'Assumptions &amp; Inputs'!$I$56*(1-'Assumptions &amp; Inputs'!$I$49))*'Assumptions &amp; Inputs'!$T$28,0)))/$E$3</f>
        <v>0</v>
      </c>
      <c r="AO109" s="196">
        <f>IF(YEAR('Assumptions &amp; Inputs'!$I$27)&gt;AO$103,0,IF(AO$103=YEAR('Assumptions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Inputs'!$I$36)&gt;=AO$103,'Assumptions &amp; Inputs'!$I$54*('Assumptions &amp; Inputs'!$I$55*'Assumptions &amp; Inputs'!$I$49+'Assumptions &amp; Inputs'!$I$56*(1-'Assumptions &amp; Inputs'!$I$49))*'Assumptions &amp; Inputs'!$T$28,0)))/$E$3</f>
        <v>0</v>
      </c>
      <c r="AP109" s="196">
        <f>IF(YEAR('Assumptions &amp; Inputs'!$I$27)&gt;AP$103,0,IF(AP$103=YEAR('Assumptions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Inputs'!$I$36)&gt;=AP$103,'Assumptions &amp; Inputs'!$I$54*('Assumptions &amp; Inputs'!$I$55*'Assumptions &amp; Inputs'!$I$49+'Assumptions &amp; Inputs'!$I$56*(1-'Assumptions &amp; Inputs'!$I$49))*'Assumptions &amp; Inputs'!$T$28,0)))/$E$3</f>
        <v>0</v>
      </c>
      <c r="AQ109" s="196">
        <f>IF(YEAR('Assumptions &amp; Inputs'!$I$27)&gt;AQ$103,0,IF(AQ$103=YEAR('Assumptions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Inputs'!$I$36)&gt;=AQ$103,'Assumptions &amp; Inputs'!$I$54*('Assumptions &amp; Inputs'!$I$55*'Assumptions &amp; Inputs'!$I$49+'Assumptions &amp; Inputs'!$I$56*(1-'Assumptions &amp; Inputs'!$I$49))*'Assumptions &amp; Inputs'!$T$28,0)))/$E$3</f>
        <v>0</v>
      </c>
      <c r="AR109" s="196">
        <f>IF(YEAR('Assumptions &amp; Inputs'!$I$27)&gt;AR$103,0,IF(AR$103=YEAR('Assumptions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Inputs'!$I$36)&gt;=AR$103,'Assumptions &amp; Inputs'!$I$54*('Assumptions &amp; Inputs'!$I$55*'Assumptions &amp; Inputs'!$I$49+'Assumptions &amp; Inputs'!$I$56*(1-'Assumptions &amp; Inputs'!$I$49))*'Assumptions &amp; Inputs'!$T$28,0)))/$E$3</f>
        <v>0</v>
      </c>
      <c r="AS109" s="196">
        <f>IF(YEAR('Assumptions &amp; Inputs'!$I$27)&gt;AS$103,0,IF(AS$103=YEAR('Assumptions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Inputs'!$I$36)&gt;=AS$103,'Assumptions &amp; Inputs'!$I$54*('Assumptions &amp; Inputs'!$I$55*'Assumptions &amp; Inputs'!$I$49+'Assumptions &amp; Inputs'!$I$56*(1-'Assumptions &amp; Inputs'!$I$49))*'Assumptions &amp; Inputs'!$T$28,0)))/$E$3</f>
        <v>0</v>
      </c>
      <c r="AT109" s="196">
        <f>IF(YEAR('Assumptions &amp; Inputs'!$I$27)&gt;AT$103,0,IF(AT$103=YEAR('Assumptions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Inputs'!$I$36)&gt;=AT$103,'Assumptions &amp; Inputs'!$I$54*('Assumptions &amp; Inputs'!$I$55*'Assumptions &amp; Inputs'!$I$49+'Assumptions &amp; Inputs'!$I$56*(1-'Assumptions &amp; Inputs'!$I$49))*'Assumptions &amp; Inputs'!$T$28,0)))/$E$3</f>
        <v>0</v>
      </c>
      <c r="AU109" s="196">
        <f>IF(YEAR('Assumptions &amp; Inputs'!$I$27)&gt;AU$103,0,IF(AU$103=YEAR('Assumptions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Inputs'!$I$36)&gt;=AU$103,'Assumptions &amp; Inputs'!$I$54*('Assumptions &amp; Inputs'!$I$55*'Assumptions &amp; Inputs'!$I$49+'Assumptions &amp; Inputs'!$I$56*(1-'Assumptions &amp; Inputs'!$I$49))*'Assumptions &amp; Inputs'!$T$28,0)))/$E$3</f>
        <v>0</v>
      </c>
      <c r="AV109" s="196">
        <f>IF(YEAR('Assumptions &amp; Inputs'!$I$27)&gt;AV$103,0,IF(AV$103=YEAR('Assumptions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Inputs'!$I$36)&gt;=AV$103,'Assumptions &amp; Inputs'!$I$54*('Assumptions &amp; Inputs'!$I$55*'Assumptions &amp; Inputs'!$I$49+'Assumptions &amp; Inputs'!$I$56*(1-'Assumptions &amp; Inputs'!$I$49))*'Assumptions &amp; Inputs'!$T$28,0)))/$E$3</f>
        <v>0</v>
      </c>
      <c r="AW109" s="196">
        <f>IF(YEAR('Assumptions &amp; Inputs'!$I$27)&gt;AW$103,0,IF(AW$103=YEAR('Assumptions &amp; Inputs'!$I$27),'Assumptions &amp; Inputs'!$I$54*('Assumptions &amp; Inputs'!$I$55*'Assumptions &amp; Inputs'!$I$49+'Assumptions &amp; Inputs'!$I$56*(1-'Assumptions &amp; Inputs'!$I$49))*'Assumptions &amp; Inputs'!$T$28*YEARFRAC('Assumptions &amp; Inputs'!$I$27,DATE(YEAR('Assumptions &amp; Inputs'!$I$27),12,31)),IF(YEAR('Assumptions &amp; Inputs'!$I$36)&gt;=AW$103,'Assumptions &amp; Inputs'!$I$54*('Assumptions &amp; Inputs'!$I$55*'Assumptions &amp; Inputs'!$I$49+'Assumptions &amp; Inputs'!$I$56*(1-'Assumptions &amp; Inputs'!$I$49))*'Assumptions &amp; Inputs'!$T$28,0)))/$E$3</f>
        <v>0</v>
      </c>
    </row>
    <row r="110" spans="1:49" ht="14.25" customHeight="1">
      <c r="A110" s="44"/>
      <c r="B110" s="44"/>
      <c r="C110" s="44" t="s">
        <v>476</v>
      </c>
      <c r="D110" s="196">
        <f>IF(YEAR('Assumptions &amp; Inputs'!$E$27)&gt;D$103,0,IF(D$103=YEAR('Assumptions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Inputs'!$E$36)&gt;=D$103,'Assumptions &amp; Inputs'!$E$54*('Assumptions &amp; Inputs'!$E$55*'Assumptions &amp; Inputs'!$E$49+'Assumptions &amp; Inputs'!$E$56*(1-'Assumptions &amp; Inputs'!$E$49))*'Assumptions &amp; Inputs'!$T$28,0)))/$E$3</f>
        <v>0</v>
      </c>
      <c r="E110" s="196">
        <f>IF(YEAR('Assumptions &amp; Inputs'!$E$27)&gt;E$103,0,IF(E$103=YEAR('Assumptions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Inputs'!$E$36)&gt;=E$103,'Assumptions &amp; Inputs'!$E$54*('Assumptions &amp; Inputs'!$E$55*'Assumptions &amp; Inputs'!$E$49+'Assumptions &amp; Inputs'!$E$56*(1-'Assumptions &amp; Inputs'!$E$49))*'Assumptions &amp; Inputs'!$T$28,0)))/$E$3</f>
        <v>0</v>
      </c>
      <c r="F110" s="196">
        <f>IF(YEAR('Assumptions &amp; Inputs'!$E$27)&gt;F$103,0,IF(F$103=YEAR('Assumptions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Inputs'!$E$36)&gt;=F$103,'Assumptions &amp; Inputs'!$E$54*('Assumptions &amp; Inputs'!$E$55*'Assumptions &amp; Inputs'!$E$49+'Assumptions &amp; Inputs'!$E$56*(1-'Assumptions &amp; Inputs'!$E$49))*'Assumptions &amp; Inputs'!$T$28,0)))/$E$3</f>
        <v>0</v>
      </c>
      <c r="G110" s="196">
        <f>IF(YEAR('Assumptions &amp; Inputs'!$E$27)&gt;G$103,0,IF(G$103=YEAR('Assumptions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Inputs'!$E$36)&gt;=G$103,'Assumptions &amp; Inputs'!$E$54*('Assumptions &amp; Inputs'!$E$55*'Assumptions &amp; Inputs'!$E$49+'Assumptions &amp; Inputs'!$E$56*(1-'Assumptions &amp; Inputs'!$E$49))*'Assumptions &amp; Inputs'!$T$28,0)))/$E$3</f>
        <v>0</v>
      </c>
      <c r="H110" s="196">
        <f>IF(YEAR('Assumptions &amp; Inputs'!$E$27)&gt;H$103,0,IF(H$103=YEAR('Assumptions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Inputs'!$E$36)&gt;=H$103,'Assumptions &amp; Inputs'!$E$54*('Assumptions &amp; Inputs'!$E$55*'Assumptions &amp; Inputs'!$E$49+'Assumptions &amp; Inputs'!$E$56*(1-'Assumptions &amp; Inputs'!$E$49))*'Assumptions &amp; Inputs'!$T$28,0)))/$E$3</f>
        <v>0</v>
      </c>
      <c r="I110" s="196">
        <f>IF(YEAR('Assumptions &amp; Inputs'!$E$27)&gt;I$103,0,IF(I$103=YEAR('Assumptions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Inputs'!$E$36)&gt;=I$103,'Assumptions &amp; Inputs'!$E$54*('Assumptions &amp; Inputs'!$E$55*'Assumptions &amp; Inputs'!$E$49+'Assumptions &amp; Inputs'!$E$56*(1-'Assumptions &amp; Inputs'!$E$49))*'Assumptions &amp; Inputs'!$T$28,0)))/$E$3</f>
        <v>0</v>
      </c>
      <c r="J110" s="196">
        <f>IF(YEAR('Assumptions &amp; Inputs'!$E$27)&gt;J$103,0,IF(J$103=YEAR('Assumptions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Inputs'!$E$36)&gt;=J$103,'Assumptions &amp; Inputs'!$E$54*('Assumptions &amp; Inputs'!$E$55*'Assumptions &amp; Inputs'!$E$49+'Assumptions &amp; Inputs'!$E$56*(1-'Assumptions &amp; Inputs'!$E$49))*'Assumptions &amp; Inputs'!$T$28,0)))/$E$3</f>
        <v>0</v>
      </c>
      <c r="K110" s="196">
        <f>IF(YEAR('Assumptions &amp; Inputs'!$E$27)&gt;K$103,0,IF(K$103=YEAR('Assumptions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Inputs'!$E$36)&gt;=K$103,'Assumptions &amp; Inputs'!$E$54*('Assumptions &amp; Inputs'!$E$55*'Assumptions &amp; Inputs'!$E$49+'Assumptions &amp; Inputs'!$E$56*(1-'Assumptions &amp; Inputs'!$E$49))*'Assumptions &amp; Inputs'!$T$28,0)))/$E$3</f>
        <v>0</v>
      </c>
      <c r="L110" s="196">
        <f>IF(YEAR('Assumptions &amp; Inputs'!$E$27)&gt;L$103,0,IF(L$103=YEAR('Assumptions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Inputs'!$E$36)&gt;=L$103,'Assumptions &amp; Inputs'!$E$54*('Assumptions &amp; Inputs'!$E$55*'Assumptions &amp; Inputs'!$E$49+'Assumptions &amp; Inputs'!$E$56*(1-'Assumptions &amp; Inputs'!$E$49))*'Assumptions &amp; Inputs'!$T$28,0)))/$E$3</f>
        <v>0</v>
      </c>
      <c r="M110" s="196">
        <f>IF(YEAR('Assumptions &amp; Inputs'!$E$27)&gt;M$103,0,IF(M$103=YEAR('Assumptions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Inputs'!$E$36)&gt;=M$103,'Assumptions &amp; Inputs'!$E$54*('Assumptions &amp; Inputs'!$E$55*'Assumptions &amp; Inputs'!$E$49+'Assumptions &amp; Inputs'!$E$56*(1-'Assumptions &amp; Inputs'!$E$49))*'Assumptions &amp; Inputs'!$T$28,0)))/$E$3</f>
        <v>0</v>
      </c>
      <c r="N110" s="196">
        <f>IF(YEAR('Assumptions &amp; Inputs'!$E$27)&gt;N$103,0,IF(N$103=YEAR('Assumptions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Inputs'!$E$36)&gt;=N$103,'Assumptions &amp; Inputs'!$E$54*('Assumptions &amp; Inputs'!$E$55*'Assumptions &amp; Inputs'!$E$49+'Assumptions &amp; Inputs'!$E$56*(1-'Assumptions &amp; Inputs'!$E$49))*'Assumptions &amp; Inputs'!$T$28,0)))/$E$3</f>
        <v>0</v>
      </c>
      <c r="O110" s="196">
        <f>IF(YEAR('Assumptions &amp; Inputs'!$E$27)&gt;O$103,0,IF(O$103=YEAR('Assumptions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Inputs'!$E$36)&gt;=O$103,'Assumptions &amp; Inputs'!$E$54*('Assumptions &amp; Inputs'!$E$55*'Assumptions &amp; Inputs'!$E$49+'Assumptions &amp; Inputs'!$E$56*(1-'Assumptions &amp; Inputs'!$E$49))*'Assumptions &amp; Inputs'!$T$28,0)))/$E$3</f>
        <v>0</v>
      </c>
      <c r="P110" s="196">
        <f>IF(YEAR('Assumptions &amp; Inputs'!$E$27)&gt;P$103,0,IF(P$103=YEAR('Assumptions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Inputs'!$E$36)&gt;=P$103,'Assumptions &amp; Inputs'!$E$54*('Assumptions &amp; Inputs'!$E$55*'Assumptions &amp; Inputs'!$E$49+'Assumptions &amp; Inputs'!$E$56*(1-'Assumptions &amp; Inputs'!$E$49))*'Assumptions &amp; Inputs'!$T$28,0)))/$E$3</f>
        <v>0</v>
      </c>
      <c r="Q110" s="196">
        <f>IF(YEAR('Assumptions &amp; Inputs'!$E$27)&gt;Q$103,0,IF(Q$103=YEAR('Assumptions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Inputs'!$E$36)&gt;=Q$103,'Assumptions &amp; Inputs'!$E$54*('Assumptions &amp; Inputs'!$E$55*'Assumptions &amp; Inputs'!$E$49+'Assumptions &amp; Inputs'!$E$56*(1-'Assumptions &amp; Inputs'!$E$49))*'Assumptions &amp; Inputs'!$T$28,0)))/$E$3</f>
        <v>0</v>
      </c>
      <c r="R110" s="196">
        <f>IF(YEAR('Assumptions &amp; Inputs'!$E$27)&gt;R$103,0,IF(R$103=YEAR('Assumptions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Inputs'!$E$36)&gt;=R$103,'Assumptions &amp; Inputs'!$E$54*('Assumptions &amp; Inputs'!$E$55*'Assumptions &amp; Inputs'!$E$49+'Assumptions &amp; Inputs'!$E$56*(1-'Assumptions &amp; Inputs'!$E$49))*'Assumptions &amp; Inputs'!$T$28,0)))/$E$3</f>
        <v>0</v>
      </c>
      <c r="S110" s="196">
        <f>IF(YEAR('Assumptions &amp; Inputs'!$E$27)&gt;S$103,0,IF(S$103=YEAR('Assumptions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Inputs'!$E$36)&gt;=S$103,'Assumptions &amp; Inputs'!$E$54*('Assumptions &amp; Inputs'!$E$55*'Assumptions &amp; Inputs'!$E$49+'Assumptions &amp; Inputs'!$E$56*(1-'Assumptions &amp; Inputs'!$E$49))*'Assumptions &amp; Inputs'!$T$28,0)))/$E$3</f>
        <v>0</v>
      </c>
      <c r="T110" s="196">
        <f>IF(YEAR('Assumptions &amp; Inputs'!$E$27)&gt;T$103,0,IF(T$103=YEAR('Assumptions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Inputs'!$E$36)&gt;=T$103,'Assumptions &amp; Inputs'!$E$54*('Assumptions &amp; Inputs'!$E$55*'Assumptions &amp; Inputs'!$E$49+'Assumptions &amp; Inputs'!$E$56*(1-'Assumptions &amp; Inputs'!$E$49))*'Assumptions &amp; Inputs'!$T$28,0)))/$E$3</f>
        <v>0</v>
      </c>
      <c r="U110" s="196">
        <f>IF(YEAR('Assumptions &amp; Inputs'!$E$27)&gt;U$103,0,IF(U$103=YEAR('Assumptions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Inputs'!$E$36)&gt;=U$103,'Assumptions &amp; Inputs'!$E$54*('Assumptions &amp; Inputs'!$E$55*'Assumptions &amp; Inputs'!$E$49+'Assumptions &amp; Inputs'!$E$56*(1-'Assumptions &amp; Inputs'!$E$49))*'Assumptions &amp; Inputs'!$T$28,0)))/$E$3</f>
        <v>0</v>
      </c>
      <c r="V110" s="196">
        <f>IF(YEAR('Assumptions &amp; Inputs'!$E$27)&gt;V$103,0,IF(V$103=YEAR('Assumptions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Inputs'!$E$36)&gt;=V$103,'Assumptions &amp; Inputs'!$E$54*('Assumptions &amp; Inputs'!$E$55*'Assumptions &amp; Inputs'!$E$49+'Assumptions &amp; Inputs'!$E$56*(1-'Assumptions &amp; Inputs'!$E$49))*'Assumptions &amp; Inputs'!$T$28,0)))/$E$3</f>
        <v>0</v>
      </c>
      <c r="W110" s="196">
        <f>IF(YEAR('Assumptions &amp; Inputs'!$E$27)&gt;W$103,0,IF(W$103=YEAR('Assumptions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Inputs'!$E$36)&gt;=W$103,'Assumptions &amp; Inputs'!$E$54*('Assumptions &amp; Inputs'!$E$55*'Assumptions &amp; Inputs'!$E$49+'Assumptions &amp; Inputs'!$E$56*(1-'Assumptions &amp; Inputs'!$E$49))*'Assumptions &amp; Inputs'!$T$28,0)))/$E$3</f>
        <v>0</v>
      </c>
      <c r="X110" s="196">
        <f>IF(YEAR('Assumptions &amp; Inputs'!$E$27)&gt;X$103,0,IF(X$103=YEAR('Assumptions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Inputs'!$E$36)&gt;=X$103,'Assumptions &amp; Inputs'!$E$54*('Assumptions &amp; Inputs'!$E$55*'Assumptions &amp; Inputs'!$E$49+'Assumptions &amp; Inputs'!$E$56*(1-'Assumptions &amp; Inputs'!$E$49))*'Assumptions &amp; Inputs'!$T$28,0)))/$E$3</f>
        <v>0</v>
      </c>
      <c r="Y110" s="196">
        <f>IF(YEAR('Assumptions &amp; Inputs'!$E$27)&gt;Y$103,0,IF(Y$103=YEAR('Assumptions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Inputs'!$E$36)&gt;=Y$103,'Assumptions &amp; Inputs'!$E$54*('Assumptions &amp; Inputs'!$E$55*'Assumptions &amp; Inputs'!$E$49+'Assumptions &amp; Inputs'!$E$56*(1-'Assumptions &amp; Inputs'!$E$49))*'Assumptions &amp; Inputs'!$T$28,0)))/$E$3</f>
        <v>0</v>
      </c>
      <c r="Z110" s="196">
        <f>IF(YEAR('Assumptions &amp; Inputs'!$E$27)&gt;Z$103,0,IF(Z$103=YEAR('Assumptions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Inputs'!$E$36)&gt;=Z$103,'Assumptions &amp; Inputs'!$E$54*('Assumptions &amp; Inputs'!$E$55*'Assumptions &amp; Inputs'!$E$49+'Assumptions &amp; Inputs'!$E$56*(1-'Assumptions &amp; Inputs'!$E$49))*'Assumptions &amp; Inputs'!$T$28,0)))/$E$3</f>
        <v>0</v>
      </c>
      <c r="AA110" s="196">
        <f>IF(YEAR('Assumptions &amp; Inputs'!$E$27)&gt;AA$103,0,IF(AA$103=YEAR('Assumptions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Inputs'!$E$36)&gt;=AA$103,'Assumptions &amp; Inputs'!$E$54*('Assumptions &amp; Inputs'!$E$55*'Assumptions &amp; Inputs'!$E$49+'Assumptions &amp; Inputs'!$E$56*(1-'Assumptions &amp; Inputs'!$E$49))*'Assumptions &amp; Inputs'!$T$28,0)))/$E$3</f>
        <v>0</v>
      </c>
      <c r="AB110" s="196">
        <f>IF(YEAR('Assumptions &amp; Inputs'!$E$27)&gt;AB$103,0,IF(AB$103=YEAR('Assumptions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Inputs'!$E$36)&gt;=AB$103,'Assumptions &amp; Inputs'!$E$54*('Assumptions &amp; Inputs'!$E$55*'Assumptions &amp; Inputs'!$E$49+'Assumptions &amp; Inputs'!$E$56*(1-'Assumptions &amp; Inputs'!$E$49))*'Assumptions &amp; Inputs'!$T$28,0)))/$E$3</f>
        <v>0</v>
      </c>
      <c r="AC110" s="196">
        <f>IF(YEAR('Assumptions &amp; Inputs'!$E$27)&gt;AC$103,0,IF(AC$103=YEAR('Assumptions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Inputs'!$E$36)&gt;=AC$103,'Assumptions &amp; Inputs'!$E$54*('Assumptions &amp; Inputs'!$E$55*'Assumptions &amp; Inputs'!$E$49+'Assumptions &amp; Inputs'!$E$56*(1-'Assumptions &amp; Inputs'!$E$49))*'Assumptions &amp; Inputs'!$T$28,0)))/$E$3</f>
        <v>0</v>
      </c>
      <c r="AD110" s="196">
        <f>IF(YEAR('Assumptions &amp; Inputs'!$E$27)&gt;AD$103,0,IF(AD$103=YEAR('Assumptions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Inputs'!$E$36)&gt;=AD$103,'Assumptions &amp; Inputs'!$E$54*('Assumptions &amp; Inputs'!$E$55*'Assumptions &amp; Inputs'!$E$49+'Assumptions &amp; Inputs'!$E$56*(1-'Assumptions &amp; Inputs'!$E$49))*'Assumptions &amp; Inputs'!$T$28,0)))/$E$3</f>
        <v>0</v>
      </c>
      <c r="AE110" s="196">
        <f>IF(YEAR('Assumptions &amp; Inputs'!$E$27)&gt;AE$103,0,IF(AE$103=YEAR('Assumptions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Inputs'!$E$36)&gt;=AE$103,'Assumptions &amp; Inputs'!$E$54*('Assumptions &amp; Inputs'!$E$55*'Assumptions &amp; Inputs'!$E$49+'Assumptions &amp; Inputs'!$E$56*(1-'Assumptions &amp; Inputs'!$E$49))*'Assumptions &amp; Inputs'!$T$28,0)))/$E$3</f>
        <v>0</v>
      </c>
      <c r="AF110" s="196">
        <f>IF(YEAR('Assumptions &amp; Inputs'!$E$27)&gt;AF$103,0,IF(AF$103=YEAR('Assumptions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Inputs'!$E$36)&gt;=AF$103,'Assumptions &amp; Inputs'!$E$54*('Assumptions &amp; Inputs'!$E$55*'Assumptions &amp; Inputs'!$E$49+'Assumptions &amp; Inputs'!$E$56*(1-'Assumptions &amp; Inputs'!$E$49))*'Assumptions &amp; Inputs'!$T$28,0)))/$E$3</f>
        <v>0</v>
      </c>
      <c r="AG110" s="196">
        <f>IF(YEAR('Assumptions &amp; Inputs'!$E$27)&gt;AG$103,0,IF(AG$103=YEAR('Assumptions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Inputs'!$E$36)&gt;=AG$103,'Assumptions &amp; Inputs'!$E$54*('Assumptions &amp; Inputs'!$E$55*'Assumptions &amp; Inputs'!$E$49+'Assumptions &amp; Inputs'!$E$56*(1-'Assumptions &amp; Inputs'!$E$49))*'Assumptions &amp; Inputs'!$T$28,0)))/$E$3</f>
        <v>0</v>
      </c>
      <c r="AH110" s="196">
        <f>IF(YEAR('Assumptions &amp; Inputs'!$E$27)&gt;AH$103,0,IF(AH$103=YEAR('Assumptions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Inputs'!$E$36)&gt;=AH$103,'Assumptions &amp; Inputs'!$E$54*('Assumptions &amp; Inputs'!$E$55*'Assumptions &amp; Inputs'!$E$49+'Assumptions &amp; Inputs'!$E$56*(1-'Assumptions &amp; Inputs'!$E$49))*'Assumptions &amp; Inputs'!$T$28,0)))/$E$3</f>
        <v>0</v>
      </c>
      <c r="AI110" s="196">
        <f>IF(YEAR('Assumptions &amp; Inputs'!$E$27)&gt;AI$103,0,IF(AI$103=YEAR('Assumptions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Inputs'!$E$36)&gt;=AI$103,'Assumptions &amp; Inputs'!$E$54*('Assumptions &amp; Inputs'!$E$55*'Assumptions &amp; Inputs'!$E$49+'Assumptions &amp; Inputs'!$E$56*(1-'Assumptions &amp; Inputs'!$E$49))*'Assumptions &amp; Inputs'!$T$28,0)))/$E$3</f>
        <v>0</v>
      </c>
      <c r="AJ110" s="196">
        <f>IF(YEAR('Assumptions &amp; Inputs'!$E$27)&gt;AJ$103,0,IF(AJ$103=YEAR('Assumptions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Inputs'!$E$36)&gt;=AJ$103,'Assumptions &amp; Inputs'!$E$54*('Assumptions &amp; Inputs'!$E$55*'Assumptions &amp; Inputs'!$E$49+'Assumptions &amp; Inputs'!$E$56*(1-'Assumptions &amp; Inputs'!$E$49))*'Assumptions &amp; Inputs'!$T$28,0)))/$E$3</f>
        <v>0</v>
      </c>
      <c r="AK110" s="196">
        <f>IF(YEAR('Assumptions &amp; Inputs'!$E$27)&gt;AK$103,0,IF(AK$103=YEAR('Assumptions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Inputs'!$E$36)&gt;=AK$103,'Assumptions &amp; Inputs'!$E$54*('Assumptions &amp; Inputs'!$E$55*'Assumptions &amp; Inputs'!$E$49+'Assumptions &amp; Inputs'!$E$56*(1-'Assumptions &amp; Inputs'!$E$49))*'Assumptions &amp; Inputs'!$T$28,0)))/$E$3</f>
        <v>0</v>
      </c>
      <c r="AL110" s="196">
        <f>IF(YEAR('Assumptions &amp; Inputs'!$E$27)&gt;AL$103,0,IF(AL$103=YEAR('Assumptions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Inputs'!$E$36)&gt;=AL$103,'Assumptions &amp; Inputs'!$E$54*('Assumptions &amp; Inputs'!$E$55*'Assumptions &amp; Inputs'!$E$49+'Assumptions &amp; Inputs'!$E$56*(1-'Assumptions &amp; Inputs'!$E$49))*'Assumptions &amp; Inputs'!$T$28,0)))/$E$3</f>
        <v>0</v>
      </c>
      <c r="AM110" s="196">
        <f>IF(YEAR('Assumptions &amp; Inputs'!$E$27)&gt;AM$103,0,IF(AM$103=YEAR('Assumptions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Inputs'!$E$36)&gt;=AM$103,'Assumptions &amp; Inputs'!$E$54*('Assumptions &amp; Inputs'!$E$55*'Assumptions &amp; Inputs'!$E$49+'Assumptions &amp; Inputs'!$E$56*(1-'Assumptions &amp; Inputs'!$E$49))*'Assumptions &amp; Inputs'!$T$28,0)))/$E$3</f>
        <v>0</v>
      </c>
      <c r="AN110" s="196">
        <f>IF(YEAR('Assumptions &amp; Inputs'!$E$27)&gt;AN$103,0,IF(AN$103=YEAR('Assumptions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Inputs'!$E$36)&gt;=AN$103,'Assumptions &amp; Inputs'!$E$54*('Assumptions &amp; Inputs'!$E$55*'Assumptions &amp; Inputs'!$E$49+'Assumptions &amp; Inputs'!$E$56*(1-'Assumptions &amp; Inputs'!$E$49))*'Assumptions &amp; Inputs'!$T$28,0)))/$E$3</f>
        <v>0</v>
      </c>
      <c r="AO110" s="196">
        <f>IF(YEAR('Assumptions &amp; Inputs'!$E$27)&gt;AO$103,0,IF(AO$103=YEAR('Assumptions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Inputs'!$E$36)&gt;=AO$103,'Assumptions &amp; Inputs'!$E$54*('Assumptions &amp; Inputs'!$E$55*'Assumptions &amp; Inputs'!$E$49+'Assumptions &amp; Inputs'!$E$56*(1-'Assumptions &amp; Inputs'!$E$49))*'Assumptions &amp; Inputs'!$T$28,0)))/$E$3</f>
        <v>0</v>
      </c>
      <c r="AP110" s="196">
        <f>IF(YEAR('Assumptions &amp; Inputs'!$E$27)&gt;AP$103,0,IF(AP$103=YEAR('Assumptions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Inputs'!$E$36)&gt;=AP$103,'Assumptions &amp; Inputs'!$E$54*('Assumptions &amp; Inputs'!$E$55*'Assumptions &amp; Inputs'!$E$49+'Assumptions &amp; Inputs'!$E$56*(1-'Assumptions &amp; Inputs'!$E$49))*'Assumptions &amp; Inputs'!$T$28,0)))/$E$3</f>
        <v>0</v>
      </c>
      <c r="AQ110" s="196">
        <f>IF(YEAR('Assumptions &amp; Inputs'!$E$27)&gt;AQ$103,0,IF(AQ$103=YEAR('Assumptions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Inputs'!$E$36)&gt;=AQ$103,'Assumptions &amp; Inputs'!$E$54*('Assumptions &amp; Inputs'!$E$55*'Assumptions &amp; Inputs'!$E$49+'Assumptions &amp; Inputs'!$E$56*(1-'Assumptions &amp; Inputs'!$E$49))*'Assumptions &amp; Inputs'!$T$28,0)))/$E$3</f>
        <v>0</v>
      </c>
      <c r="AR110" s="196">
        <f>IF(YEAR('Assumptions &amp; Inputs'!$E$27)&gt;AR$103,0,IF(AR$103=YEAR('Assumptions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Inputs'!$E$36)&gt;=AR$103,'Assumptions &amp; Inputs'!$E$54*('Assumptions &amp; Inputs'!$E$55*'Assumptions &amp; Inputs'!$E$49+'Assumptions &amp; Inputs'!$E$56*(1-'Assumptions &amp; Inputs'!$E$49))*'Assumptions &amp; Inputs'!$T$28,0)))/$E$3</f>
        <v>0</v>
      </c>
      <c r="AS110" s="196">
        <f>IF(YEAR('Assumptions &amp; Inputs'!$E$27)&gt;AS$103,0,IF(AS$103=YEAR('Assumptions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Inputs'!$E$36)&gt;=AS$103,'Assumptions &amp; Inputs'!$E$54*('Assumptions &amp; Inputs'!$E$55*'Assumptions &amp; Inputs'!$E$49+'Assumptions &amp; Inputs'!$E$56*(1-'Assumptions &amp; Inputs'!$E$49))*'Assumptions &amp; Inputs'!$T$28,0)))/$E$3</f>
        <v>0</v>
      </c>
      <c r="AT110" s="196">
        <f>IF(YEAR('Assumptions &amp; Inputs'!$E$27)&gt;AT$103,0,IF(AT$103=YEAR('Assumptions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Inputs'!$E$36)&gt;=AT$103,'Assumptions &amp; Inputs'!$E$54*('Assumptions &amp; Inputs'!$E$55*'Assumptions &amp; Inputs'!$E$49+'Assumptions &amp; Inputs'!$E$56*(1-'Assumptions &amp; Inputs'!$E$49))*'Assumptions &amp; Inputs'!$T$28,0)))/$E$3</f>
        <v>0</v>
      </c>
      <c r="AU110" s="196">
        <f>IF(YEAR('Assumptions &amp; Inputs'!$E$27)&gt;AU$103,0,IF(AU$103=YEAR('Assumptions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Inputs'!$E$36)&gt;=AU$103,'Assumptions &amp; Inputs'!$E$54*('Assumptions &amp; Inputs'!$E$55*'Assumptions &amp; Inputs'!$E$49+'Assumptions &amp; Inputs'!$E$56*(1-'Assumptions &amp; Inputs'!$E$49))*'Assumptions &amp; Inputs'!$T$28,0)))/$E$3</f>
        <v>0</v>
      </c>
      <c r="AV110" s="196">
        <f>IF(YEAR('Assumptions &amp; Inputs'!$E$27)&gt;AV$103,0,IF(AV$103=YEAR('Assumptions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Inputs'!$E$36)&gt;=AV$103,'Assumptions &amp; Inputs'!$E$54*('Assumptions &amp; Inputs'!$E$55*'Assumptions &amp; Inputs'!$E$49+'Assumptions &amp; Inputs'!$E$56*(1-'Assumptions &amp; Inputs'!$E$49))*'Assumptions &amp; Inputs'!$T$28,0)))/$E$3</f>
        <v>0</v>
      </c>
      <c r="AW110" s="196">
        <f>IF(YEAR('Assumptions &amp; Inputs'!$E$27)&gt;AW$103,0,IF(AW$103=YEAR('Assumptions &amp; Inputs'!$E$27),'Assumptions &amp; Inputs'!$E$54*('Assumptions &amp; Inputs'!$E$55*'Assumptions &amp; Inputs'!$E$49+'Assumptions &amp; Inputs'!$E$56*(1-'Assumptions &amp; Inputs'!$E$49))*'Assumptions &amp; Inputs'!$T$28*YEARFRAC('Assumptions &amp; Inputs'!$E$27,DATE(YEAR('Assumptions &amp; Inputs'!$E$27),12,31)),IF(YEAR('Assumptions &amp; Inputs'!$E$36)&gt;=AW$103,'Assumptions &amp; Inputs'!$E$54*('Assumptions &amp; Inputs'!$E$55*'Assumptions &amp; Inputs'!$E$49+'Assumptions &amp; Inputs'!$E$56*(1-'Assumptions &amp; Inputs'!$E$49))*'Assumptions &amp; Inputs'!$T$28,0)))/$E$3</f>
        <v>0</v>
      </c>
    </row>
    <row r="111" spans="1:49" ht="14.25" customHeight="1">
      <c r="A111" s="44"/>
      <c r="B111" s="44"/>
      <c r="C111" s="44" t="s">
        <v>122</v>
      </c>
      <c r="D111" s="196">
        <f>IF(YEAR('Assumptions &amp; Inputs'!$J$27)&gt;D$103,0,IF(D$103=YEAR('Assumptions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Inputs'!$J$36)&gt;=D$103,'Assumptions &amp; Inputs'!$J$54*('Assumptions &amp; Inputs'!$J$55*'Assumptions &amp; Inputs'!$J$49+'Assumptions &amp; Inputs'!$J$56*(1-'Assumptions &amp; Inputs'!$J$49))*'Assumptions &amp; Inputs'!$T$28,0)))/$E$3</f>
        <v>0</v>
      </c>
      <c r="E111" s="196">
        <f>IF(YEAR('Assumptions &amp; Inputs'!$J$27)&gt;E$103,0,IF(E$103=YEAR('Assumptions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Inputs'!$J$36)&gt;=E$103,'Assumptions &amp; Inputs'!$J$54*('Assumptions &amp; Inputs'!$J$55*'Assumptions &amp; Inputs'!$J$49+'Assumptions &amp; Inputs'!$J$56*(1-'Assumptions &amp; Inputs'!$J$49))*'Assumptions &amp; Inputs'!$T$28,0)))/$E$3</f>
        <v>0</v>
      </c>
      <c r="F111" s="196">
        <f>IF(YEAR('Assumptions &amp; Inputs'!$J$27)&gt;F$103,0,IF(F$103=YEAR('Assumptions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Inputs'!$J$36)&gt;=F$103,'Assumptions &amp; Inputs'!$J$54*('Assumptions &amp; Inputs'!$J$55*'Assumptions &amp; Inputs'!$J$49+'Assumptions &amp; Inputs'!$J$56*(1-'Assumptions &amp; Inputs'!$J$49))*'Assumptions &amp; Inputs'!$T$28,0)))/$E$3</f>
        <v>0</v>
      </c>
      <c r="G111" s="196">
        <f>IF(YEAR('Assumptions &amp; Inputs'!$J$27)&gt;G$103,0,IF(G$103=YEAR('Assumptions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Inputs'!$J$36)&gt;=G$103,'Assumptions &amp; Inputs'!$J$54*('Assumptions &amp; Inputs'!$J$55*'Assumptions &amp; Inputs'!$J$49+'Assumptions &amp; Inputs'!$J$56*(1-'Assumptions &amp; Inputs'!$J$49))*'Assumptions &amp; Inputs'!$T$28,0)))/$E$3</f>
        <v>0</v>
      </c>
      <c r="H111" s="196">
        <f>IF(YEAR('Assumptions &amp; Inputs'!$J$27)&gt;H$103,0,IF(H$103=YEAR('Assumptions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Inputs'!$J$36)&gt;=H$103,'Assumptions &amp; Inputs'!$J$54*('Assumptions &amp; Inputs'!$J$55*'Assumptions &amp; Inputs'!$J$49+'Assumptions &amp; Inputs'!$J$56*(1-'Assumptions &amp; Inputs'!$J$49))*'Assumptions &amp; Inputs'!$T$28,0)))/$E$3</f>
        <v>0</v>
      </c>
      <c r="I111" s="196">
        <f>IF(YEAR('Assumptions &amp; Inputs'!$J$27)&gt;I$103,0,IF(I$103=YEAR('Assumptions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Inputs'!$J$36)&gt;=I$103,'Assumptions &amp; Inputs'!$J$54*('Assumptions &amp; Inputs'!$J$55*'Assumptions &amp; Inputs'!$J$49+'Assumptions &amp; Inputs'!$J$56*(1-'Assumptions &amp; Inputs'!$J$49))*'Assumptions &amp; Inputs'!$T$28,0)))/$E$3</f>
        <v>0</v>
      </c>
      <c r="J111" s="196">
        <f>IF(YEAR('Assumptions &amp; Inputs'!$J$27)&gt;J$103,0,IF(J$103=YEAR('Assumptions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Inputs'!$J$36)&gt;=J$103,'Assumptions &amp; Inputs'!$J$54*('Assumptions &amp; Inputs'!$J$55*'Assumptions &amp; Inputs'!$J$49+'Assumptions &amp; Inputs'!$J$56*(1-'Assumptions &amp; Inputs'!$J$49))*'Assumptions &amp; Inputs'!$T$28,0)))/$E$3</f>
        <v>0</v>
      </c>
      <c r="K111" s="196">
        <f>IF(YEAR('Assumptions &amp; Inputs'!$J$27)&gt;K$103,0,IF(K$103=YEAR('Assumptions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Inputs'!$J$36)&gt;=K$103,'Assumptions &amp; Inputs'!$J$54*('Assumptions &amp; Inputs'!$J$55*'Assumptions &amp; Inputs'!$J$49+'Assumptions &amp; Inputs'!$J$56*(1-'Assumptions &amp; Inputs'!$J$49))*'Assumptions &amp; Inputs'!$T$28,0)))/$E$3</f>
        <v>0</v>
      </c>
      <c r="L111" s="196">
        <f>IF(YEAR('Assumptions &amp; Inputs'!$J$27)&gt;L$103,0,IF(L$103=YEAR('Assumptions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Inputs'!$J$36)&gt;=L$103,'Assumptions &amp; Inputs'!$J$54*('Assumptions &amp; Inputs'!$J$55*'Assumptions &amp; Inputs'!$J$49+'Assumptions &amp; Inputs'!$J$56*(1-'Assumptions &amp; Inputs'!$J$49))*'Assumptions &amp; Inputs'!$T$28,0)))/$E$3</f>
        <v>0</v>
      </c>
      <c r="M111" s="196">
        <f>IF(YEAR('Assumptions &amp; Inputs'!$J$27)&gt;M$103,0,IF(M$103=YEAR('Assumptions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Inputs'!$J$36)&gt;=M$103,'Assumptions &amp; Inputs'!$J$54*('Assumptions &amp; Inputs'!$J$55*'Assumptions &amp; Inputs'!$J$49+'Assumptions &amp; Inputs'!$J$56*(1-'Assumptions &amp; Inputs'!$J$49))*'Assumptions &amp; Inputs'!$T$28,0)))/$E$3</f>
        <v>0</v>
      </c>
      <c r="N111" s="196">
        <f>IF(YEAR('Assumptions &amp; Inputs'!$J$27)&gt;N$103,0,IF(N$103=YEAR('Assumptions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Inputs'!$J$36)&gt;=N$103,'Assumptions &amp; Inputs'!$J$54*('Assumptions &amp; Inputs'!$J$55*'Assumptions &amp; Inputs'!$J$49+'Assumptions &amp; Inputs'!$J$56*(1-'Assumptions &amp; Inputs'!$J$49))*'Assumptions &amp; Inputs'!$T$28,0)))/$E$3</f>
        <v>0</v>
      </c>
      <c r="O111" s="196">
        <f>IF(YEAR('Assumptions &amp; Inputs'!$J$27)&gt;O$103,0,IF(O$103=YEAR('Assumptions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Inputs'!$J$36)&gt;=O$103,'Assumptions &amp; Inputs'!$J$54*('Assumptions &amp; Inputs'!$J$55*'Assumptions &amp; Inputs'!$J$49+'Assumptions &amp; Inputs'!$J$56*(1-'Assumptions &amp; Inputs'!$J$49))*'Assumptions &amp; Inputs'!$T$28,0)))/$E$3</f>
        <v>0</v>
      </c>
      <c r="P111" s="196">
        <f>IF(YEAR('Assumptions &amp; Inputs'!$J$27)&gt;P$103,0,IF(P$103=YEAR('Assumptions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Inputs'!$J$36)&gt;=P$103,'Assumptions &amp; Inputs'!$J$54*('Assumptions &amp; Inputs'!$J$55*'Assumptions &amp; Inputs'!$J$49+'Assumptions &amp; Inputs'!$J$56*(1-'Assumptions &amp; Inputs'!$J$49))*'Assumptions &amp; Inputs'!$T$28,0)))/$E$3</f>
        <v>0</v>
      </c>
      <c r="Q111" s="196">
        <f>IF(YEAR('Assumptions &amp; Inputs'!$J$27)&gt;Q$103,0,IF(Q$103=YEAR('Assumptions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Inputs'!$J$36)&gt;=Q$103,'Assumptions &amp; Inputs'!$J$54*('Assumptions &amp; Inputs'!$J$55*'Assumptions &amp; Inputs'!$J$49+'Assumptions &amp; Inputs'!$J$56*(1-'Assumptions &amp; Inputs'!$J$49))*'Assumptions &amp; Inputs'!$T$28,0)))/$E$3</f>
        <v>0</v>
      </c>
      <c r="R111" s="196">
        <f>IF(YEAR('Assumptions &amp; Inputs'!$J$27)&gt;R$103,0,IF(R$103=YEAR('Assumptions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Inputs'!$J$36)&gt;=R$103,'Assumptions &amp; Inputs'!$J$54*('Assumptions &amp; Inputs'!$J$55*'Assumptions &amp; Inputs'!$J$49+'Assumptions &amp; Inputs'!$J$56*(1-'Assumptions &amp; Inputs'!$J$49))*'Assumptions &amp; Inputs'!$T$28,0)))/$E$3</f>
        <v>0</v>
      </c>
      <c r="S111" s="196">
        <f>IF(YEAR('Assumptions &amp; Inputs'!$J$27)&gt;S$103,0,IF(S$103=YEAR('Assumptions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Inputs'!$J$36)&gt;=S$103,'Assumptions &amp; Inputs'!$J$54*('Assumptions &amp; Inputs'!$J$55*'Assumptions &amp; Inputs'!$J$49+'Assumptions &amp; Inputs'!$J$56*(1-'Assumptions &amp; Inputs'!$J$49))*'Assumptions &amp; Inputs'!$T$28,0)))/$E$3</f>
        <v>0</v>
      </c>
      <c r="T111" s="196">
        <f>IF(YEAR('Assumptions &amp; Inputs'!$J$27)&gt;T$103,0,IF(T$103=YEAR('Assumptions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Inputs'!$J$36)&gt;=T$103,'Assumptions &amp; Inputs'!$J$54*('Assumptions &amp; Inputs'!$J$55*'Assumptions &amp; Inputs'!$J$49+'Assumptions &amp; Inputs'!$J$56*(1-'Assumptions &amp; Inputs'!$J$49))*'Assumptions &amp; Inputs'!$T$28,0)))/$E$3</f>
        <v>0</v>
      </c>
      <c r="U111" s="196">
        <f>IF(YEAR('Assumptions &amp; Inputs'!$J$27)&gt;U$103,0,IF(U$103=YEAR('Assumptions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Inputs'!$J$36)&gt;=U$103,'Assumptions &amp; Inputs'!$J$54*('Assumptions &amp; Inputs'!$J$55*'Assumptions &amp; Inputs'!$J$49+'Assumptions &amp; Inputs'!$J$56*(1-'Assumptions &amp; Inputs'!$J$49))*'Assumptions &amp; Inputs'!$T$28,0)))/$E$3</f>
        <v>0</v>
      </c>
      <c r="V111" s="196">
        <f>IF(YEAR('Assumptions &amp; Inputs'!$J$27)&gt;V$103,0,IF(V$103=YEAR('Assumptions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Inputs'!$J$36)&gt;=V$103,'Assumptions &amp; Inputs'!$J$54*('Assumptions &amp; Inputs'!$J$55*'Assumptions &amp; Inputs'!$J$49+'Assumptions &amp; Inputs'!$J$56*(1-'Assumptions &amp; Inputs'!$J$49))*'Assumptions &amp; Inputs'!$T$28,0)))/$E$3</f>
        <v>0</v>
      </c>
      <c r="W111" s="196">
        <f>IF(YEAR('Assumptions &amp; Inputs'!$J$27)&gt;W$103,0,IF(W$103=YEAR('Assumptions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Inputs'!$J$36)&gt;=W$103,'Assumptions &amp; Inputs'!$J$54*('Assumptions &amp; Inputs'!$J$55*'Assumptions &amp; Inputs'!$J$49+'Assumptions &amp; Inputs'!$J$56*(1-'Assumptions &amp; Inputs'!$J$49))*'Assumptions &amp; Inputs'!$T$28,0)))/$E$3</f>
        <v>0</v>
      </c>
      <c r="X111" s="196">
        <f>IF(YEAR('Assumptions &amp; Inputs'!$J$27)&gt;X$103,0,IF(X$103=YEAR('Assumptions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Inputs'!$J$36)&gt;=X$103,'Assumptions &amp; Inputs'!$J$54*('Assumptions &amp; Inputs'!$J$55*'Assumptions &amp; Inputs'!$J$49+'Assumptions &amp; Inputs'!$J$56*(1-'Assumptions &amp; Inputs'!$J$49))*'Assumptions &amp; Inputs'!$T$28,0)))/$E$3</f>
        <v>0</v>
      </c>
      <c r="Y111" s="196">
        <f>IF(YEAR('Assumptions &amp; Inputs'!$J$27)&gt;Y$103,0,IF(Y$103=YEAR('Assumptions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Inputs'!$J$36)&gt;=Y$103,'Assumptions &amp; Inputs'!$J$54*('Assumptions &amp; Inputs'!$J$55*'Assumptions &amp; Inputs'!$J$49+'Assumptions &amp; Inputs'!$J$56*(1-'Assumptions &amp; Inputs'!$J$49))*'Assumptions &amp; Inputs'!$T$28,0)))/$E$3</f>
        <v>0</v>
      </c>
      <c r="Z111" s="196">
        <f>IF(YEAR('Assumptions &amp; Inputs'!$J$27)&gt;Z$103,0,IF(Z$103=YEAR('Assumptions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Inputs'!$J$36)&gt;=Z$103,'Assumptions &amp; Inputs'!$J$54*('Assumptions &amp; Inputs'!$J$55*'Assumptions &amp; Inputs'!$J$49+'Assumptions &amp; Inputs'!$J$56*(1-'Assumptions &amp; Inputs'!$J$49))*'Assumptions &amp; Inputs'!$T$28,0)))/$E$3</f>
        <v>0</v>
      </c>
      <c r="AA111" s="196">
        <f>IF(YEAR('Assumptions &amp; Inputs'!$J$27)&gt;AA$103,0,IF(AA$103=YEAR('Assumptions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Inputs'!$J$36)&gt;=AA$103,'Assumptions &amp; Inputs'!$J$54*('Assumptions &amp; Inputs'!$J$55*'Assumptions &amp; Inputs'!$J$49+'Assumptions &amp; Inputs'!$J$56*(1-'Assumptions &amp; Inputs'!$J$49))*'Assumptions &amp; Inputs'!$T$28,0)))/$E$3</f>
        <v>0</v>
      </c>
      <c r="AB111" s="196">
        <f>IF(YEAR('Assumptions &amp; Inputs'!$J$27)&gt;AB$103,0,IF(AB$103=YEAR('Assumptions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Inputs'!$J$36)&gt;=AB$103,'Assumptions &amp; Inputs'!$J$54*('Assumptions &amp; Inputs'!$J$55*'Assumptions &amp; Inputs'!$J$49+'Assumptions &amp; Inputs'!$J$56*(1-'Assumptions &amp; Inputs'!$J$49))*'Assumptions &amp; Inputs'!$T$28,0)))/$E$3</f>
        <v>0</v>
      </c>
      <c r="AC111" s="196">
        <f>IF(YEAR('Assumptions &amp; Inputs'!$J$27)&gt;AC$103,0,IF(AC$103=YEAR('Assumptions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Inputs'!$J$36)&gt;=AC$103,'Assumptions &amp; Inputs'!$J$54*('Assumptions &amp; Inputs'!$J$55*'Assumptions &amp; Inputs'!$J$49+'Assumptions &amp; Inputs'!$J$56*(1-'Assumptions &amp; Inputs'!$J$49))*'Assumptions &amp; Inputs'!$T$28,0)))/$E$3</f>
        <v>0</v>
      </c>
      <c r="AD111" s="196">
        <f>IF(YEAR('Assumptions &amp; Inputs'!$J$27)&gt;AD$103,0,IF(AD$103=YEAR('Assumptions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Inputs'!$J$36)&gt;=AD$103,'Assumptions &amp; Inputs'!$J$54*('Assumptions &amp; Inputs'!$J$55*'Assumptions &amp; Inputs'!$J$49+'Assumptions &amp; Inputs'!$J$56*(1-'Assumptions &amp; Inputs'!$J$49))*'Assumptions &amp; Inputs'!$T$28,0)))/$E$3</f>
        <v>0</v>
      </c>
      <c r="AE111" s="196">
        <f>IF(YEAR('Assumptions &amp; Inputs'!$J$27)&gt;AE$103,0,IF(AE$103=YEAR('Assumptions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Inputs'!$J$36)&gt;=AE$103,'Assumptions &amp; Inputs'!$J$54*('Assumptions &amp; Inputs'!$J$55*'Assumptions &amp; Inputs'!$J$49+'Assumptions &amp; Inputs'!$J$56*(1-'Assumptions &amp; Inputs'!$J$49))*'Assumptions &amp; Inputs'!$T$28,0)))/$E$3</f>
        <v>0</v>
      </c>
      <c r="AF111" s="196">
        <f>IF(YEAR('Assumptions &amp; Inputs'!$J$27)&gt;AF$103,0,IF(AF$103=YEAR('Assumptions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Inputs'!$J$36)&gt;=AF$103,'Assumptions &amp; Inputs'!$J$54*('Assumptions &amp; Inputs'!$J$55*'Assumptions &amp; Inputs'!$J$49+'Assumptions &amp; Inputs'!$J$56*(1-'Assumptions &amp; Inputs'!$J$49))*'Assumptions &amp; Inputs'!$T$28,0)))/$E$3</f>
        <v>0</v>
      </c>
      <c r="AG111" s="196">
        <f>IF(YEAR('Assumptions &amp; Inputs'!$J$27)&gt;AG$103,0,IF(AG$103=YEAR('Assumptions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Inputs'!$J$36)&gt;=AG$103,'Assumptions &amp; Inputs'!$J$54*('Assumptions &amp; Inputs'!$J$55*'Assumptions &amp; Inputs'!$J$49+'Assumptions &amp; Inputs'!$J$56*(1-'Assumptions &amp; Inputs'!$J$49))*'Assumptions &amp; Inputs'!$T$28,0)))/$E$3</f>
        <v>0</v>
      </c>
      <c r="AH111" s="196">
        <f>IF(YEAR('Assumptions &amp; Inputs'!$J$27)&gt;AH$103,0,IF(AH$103=YEAR('Assumptions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Inputs'!$J$36)&gt;=AH$103,'Assumptions &amp; Inputs'!$J$54*('Assumptions &amp; Inputs'!$J$55*'Assumptions &amp; Inputs'!$J$49+'Assumptions &amp; Inputs'!$J$56*(1-'Assumptions &amp; Inputs'!$J$49))*'Assumptions &amp; Inputs'!$T$28,0)))/$E$3</f>
        <v>0</v>
      </c>
      <c r="AI111" s="196">
        <f>IF(YEAR('Assumptions &amp; Inputs'!$J$27)&gt;AI$103,0,IF(AI$103=YEAR('Assumptions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Inputs'!$J$36)&gt;=AI$103,'Assumptions &amp; Inputs'!$J$54*('Assumptions &amp; Inputs'!$J$55*'Assumptions &amp; Inputs'!$J$49+'Assumptions &amp; Inputs'!$J$56*(1-'Assumptions &amp; Inputs'!$J$49))*'Assumptions &amp; Inputs'!$T$28,0)))/$E$3</f>
        <v>0</v>
      </c>
      <c r="AJ111" s="196">
        <f>IF(YEAR('Assumptions &amp; Inputs'!$J$27)&gt;AJ$103,0,IF(AJ$103=YEAR('Assumptions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Inputs'!$J$36)&gt;=AJ$103,'Assumptions &amp; Inputs'!$J$54*('Assumptions &amp; Inputs'!$J$55*'Assumptions &amp; Inputs'!$J$49+'Assumptions &amp; Inputs'!$J$56*(1-'Assumptions &amp; Inputs'!$J$49))*'Assumptions &amp; Inputs'!$T$28,0)))/$E$3</f>
        <v>0</v>
      </c>
      <c r="AK111" s="196">
        <f>IF(YEAR('Assumptions &amp; Inputs'!$J$27)&gt;AK$103,0,IF(AK$103=YEAR('Assumptions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Inputs'!$J$36)&gt;=AK$103,'Assumptions &amp; Inputs'!$J$54*('Assumptions &amp; Inputs'!$J$55*'Assumptions &amp; Inputs'!$J$49+'Assumptions &amp; Inputs'!$J$56*(1-'Assumptions &amp; Inputs'!$J$49))*'Assumptions &amp; Inputs'!$T$28,0)))/$E$3</f>
        <v>0</v>
      </c>
      <c r="AL111" s="196">
        <f>IF(YEAR('Assumptions &amp; Inputs'!$J$27)&gt;AL$103,0,IF(AL$103=YEAR('Assumptions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Inputs'!$J$36)&gt;=AL$103,'Assumptions &amp; Inputs'!$J$54*('Assumptions &amp; Inputs'!$J$55*'Assumptions &amp; Inputs'!$J$49+'Assumptions &amp; Inputs'!$J$56*(1-'Assumptions &amp; Inputs'!$J$49))*'Assumptions &amp; Inputs'!$T$28,0)))/$E$3</f>
        <v>0</v>
      </c>
      <c r="AM111" s="196">
        <f>IF(YEAR('Assumptions &amp; Inputs'!$J$27)&gt;AM$103,0,IF(AM$103=YEAR('Assumptions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Inputs'!$J$36)&gt;=AM$103,'Assumptions &amp; Inputs'!$J$54*('Assumptions &amp; Inputs'!$J$55*'Assumptions &amp; Inputs'!$J$49+'Assumptions &amp; Inputs'!$J$56*(1-'Assumptions &amp; Inputs'!$J$49))*'Assumptions &amp; Inputs'!$T$28,0)))/$E$3</f>
        <v>0</v>
      </c>
      <c r="AN111" s="196">
        <f>IF(YEAR('Assumptions &amp; Inputs'!$J$27)&gt;AN$103,0,IF(AN$103=YEAR('Assumptions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Inputs'!$J$36)&gt;=AN$103,'Assumptions &amp; Inputs'!$J$54*('Assumptions &amp; Inputs'!$J$55*'Assumptions &amp; Inputs'!$J$49+'Assumptions &amp; Inputs'!$J$56*(1-'Assumptions &amp; Inputs'!$J$49))*'Assumptions &amp; Inputs'!$T$28,0)))/$E$3</f>
        <v>0</v>
      </c>
      <c r="AO111" s="196">
        <f>IF(YEAR('Assumptions &amp; Inputs'!$J$27)&gt;AO$103,0,IF(AO$103=YEAR('Assumptions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Inputs'!$J$36)&gt;=AO$103,'Assumptions &amp; Inputs'!$J$54*('Assumptions &amp; Inputs'!$J$55*'Assumptions &amp; Inputs'!$J$49+'Assumptions &amp; Inputs'!$J$56*(1-'Assumptions &amp; Inputs'!$J$49))*'Assumptions &amp; Inputs'!$T$28,0)))/$E$3</f>
        <v>0</v>
      </c>
      <c r="AP111" s="196">
        <f>IF(YEAR('Assumptions &amp; Inputs'!$J$27)&gt;AP$103,0,IF(AP$103=YEAR('Assumptions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Inputs'!$J$36)&gt;=AP$103,'Assumptions &amp; Inputs'!$J$54*('Assumptions &amp; Inputs'!$J$55*'Assumptions &amp; Inputs'!$J$49+'Assumptions &amp; Inputs'!$J$56*(1-'Assumptions &amp; Inputs'!$J$49))*'Assumptions &amp; Inputs'!$T$28,0)))/$E$3</f>
        <v>0</v>
      </c>
      <c r="AQ111" s="196">
        <f>IF(YEAR('Assumptions &amp; Inputs'!$J$27)&gt;AQ$103,0,IF(AQ$103=YEAR('Assumptions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Inputs'!$J$36)&gt;=AQ$103,'Assumptions &amp; Inputs'!$J$54*('Assumptions &amp; Inputs'!$J$55*'Assumptions &amp; Inputs'!$J$49+'Assumptions &amp; Inputs'!$J$56*(1-'Assumptions &amp; Inputs'!$J$49))*'Assumptions &amp; Inputs'!$T$28,0)))/$E$3</f>
        <v>0</v>
      </c>
      <c r="AR111" s="196">
        <f>IF(YEAR('Assumptions &amp; Inputs'!$J$27)&gt;AR$103,0,IF(AR$103=YEAR('Assumptions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Inputs'!$J$36)&gt;=AR$103,'Assumptions &amp; Inputs'!$J$54*('Assumptions &amp; Inputs'!$J$55*'Assumptions &amp; Inputs'!$J$49+'Assumptions &amp; Inputs'!$J$56*(1-'Assumptions &amp; Inputs'!$J$49))*'Assumptions &amp; Inputs'!$T$28,0)))/$E$3</f>
        <v>0</v>
      </c>
      <c r="AS111" s="196">
        <f>IF(YEAR('Assumptions &amp; Inputs'!$J$27)&gt;AS$103,0,IF(AS$103=YEAR('Assumptions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Inputs'!$J$36)&gt;=AS$103,'Assumptions &amp; Inputs'!$J$54*('Assumptions &amp; Inputs'!$J$55*'Assumptions &amp; Inputs'!$J$49+'Assumptions &amp; Inputs'!$J$56*(1-'Assumptions &amp; Inputs'!$J$49))*'Assumptions &amp; Inputs'!$T$28,0)))/$E$3</f>
        <v>0</v>
      </c>
      <c r="AT111" s="196">
        <f>IF(YEAR('Assumptions &amp; Inputs'!$J$27)&gt;AT$103,0,IF(AT$103=YEAR('Assumptions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Inputs'!$J$36)&gt;=AT$103,'Assumptions &amp; Inputs'!$J$54*('Assumptions &amp; Inputs'!$J$55*'Assumptions &amp; Inputs'!$J$49+'Assumptions &amp; Inputs'!$J$56*(1-'Assumptions &amp; Inputs'!$J$49))*'Assumptions &amp; Inputs'!$T$28,0)))/$E$3</f>
        <v>0</v>
      </c>
      <c r="AU111" s="196">
        <f>IF(YEAR('Assumptions &amp; Inputs'!$J$27)&gt;AU$103,0,IF(AU$103=YEAR('Assumptions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Inputs'!$J$36)&gt;=AU$103,'Assumptions &amp; Inputs'!$J$54*('Assumptions &amp; Inputs'!$J$55*'Assumptions &amp; Inputs'!$J$49+'Assumptions &amp; Inputs'!$J$56*(1-'Assumptions &amp; Inputs'!$J$49))*'Assumptions &amp; Inputs'!$T$28,0)))/$E$3</f>
        <v>0</v>
      </c>
      <c r="AV111" s="196">
        <f>IF(YEAR('Assumptions &amp; Inputs'!$J$27)&gt;AV$103,0,IF(AV$103=YEAR('Assumptions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Inputs'!$J$36)&gt;=AV$103,'Assumptions &amp; Inputs'!$J$54*('Assumptions &amp; Inputs'!$J$55*'Assumptions &amp; Inputs'!$J$49+'Assumptions &amp; Inputs'!$J$56*(1-'Assumptions &amp; Inputs'!$J$49))*'Assumptions &amp; Inputs'!$T$28,0)))/$E$3</f>
        <v>0</v>
      </c>
      <c r="AW111" s="196">
        <f>IF(YEAR('Assumptions &amp; Inputs'!$J$27)&gt;AW$103,0,IF(AW$103=YEAR('Assumptions &amp; Inputs'!$J$27),'Assumptions &amp; Inputs'!$J$54*('Assumptions &amp; Inputs'!$J$55*'Assumptions &amp; Inputs'!$J$49+'Assumptions &amp; Inputs'!$J$56*(1-'Assumptions &amp; Inputs'!$J$49))*'Assumptions &amp; Inputs'!$T$28*YEARFRAC('Assumptions &amp; Inputs'!$J$27,DATE(YEAR('Assumptions &amp; Inputs'!$J$27),12,31)),IF(YEAR('Assumptions &amp; Inputs'!$J$36)&gt;=AW$103,'Assumptions &amp; Inputs'!$J$54*('Assumptions &amp; Inputs'!$J$55*'Assumptions &amp; Inputs'!$J$49+'Assumptions &amp; Inputs'!$J$56*(1-'Assumptions &amp; Inputs'!$J$49))*'Assumptions &amp; Inputs'!$T$28,0)))/$E$3</f>
        <v>0</v>
      </c>
    </row>
    <row r="112" spans="1:49" ht="14.25" customHeight="1">
      <c r="A112" s="44"/>
      <c r="B112" s="44"/>
      <c r="C112" s="44" t="s">
        <v>357</v>
      </c>
      <c r="D112" s="196">
        <f>IF(YEAR('Assumptions &amp; Inputs'!$K$27)&gt;D$103,0,IF(D$103=YEAR('Assumptions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Inputs'!$K$36)&gt;=D$103,'Assumptions &amp; Inputs'!$K$54*('Assumptions &amp; Inputs'!$K$55*'Assumptions &amp; Inputs'!$K$49+'Assumptions &amp; Inputs'!$K$56*(1-'Assumptions &amp; Inputs'!$K$49))*'Assumptions &amp; Inputs'!$T$28,0)))/$E$3</f>
        <v>0</v>
      </c>
      <c r="E112" s="196">
        <f>IF(YEAR('Assumptions &amp; Inputs'!$K$27)&gt;E$103,0,IF(E$103=YEAR('Assumptions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Inputs'!$K$36)&gt;=E$103,'Assumptions &amp; Inputs'!$K$54*('Assumptions &amp; Inputs'!$K$55*'Assumptions &amp; Inputs'!$K$49+'Assumptions &amp; Inputs'!$K$56*(1-'Assumptions &amp; Inputs'!$K$49))*'Assumptions &amp; Inputs'!$T$28,0)))/$E$3</f>
        <v>0</v>
      </c>
      <c r="F112" s="196">
        <f>IF(YEAR('Assumptions &amp; Inputs'!$K$27)&gt;F$103,0,IF(F$103=YEAR('Assumptions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Inputs'!$K$36)&gt;=F$103,'Assumptions &amp; Inputs'!$K$54*('Assumptions &amp; Inputs'!$K$55*'Assumptions &amp; Inputs'!$K$49+'Assumptions &amp; Inputs'!$K$56*(1-'Assumptions &amp; Inputs'!$K$49))*'Assumptions &amp; Inputs'!$T$28,0)))/$E$3</f>
        <v>0</v>
      </c>
      <c r="G112" s="196">
        <f>IF(YEAR('Assumptions &amp; Inputs'!$K$27)&gt;G$103,0,IF(G$103=YEAR('Assumptions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Inputs'!$K$36)&gt;=G$103,'Assumptions &amp; Inputs'!$K$54*('Assumptions &amp; Inputs'!$K$55*'Assumptions &amp; Inputs'!$K$49+'Assumptions &amp; Inputs'!$K$56*(1-'Assumptions &amp; Inputs'!$K$49))*'Assumptions &amp; Inputs'!$T$28,0)))/$E$3</f>
        <v>0</v>
      </c>
      <c r="H112" s="196">
        <f>IF(YEAR('Assumptions &amp; Inputs'!$K$27)&gt;H$103,0,IF(H$103=YEAR('Assumptions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Inputs'!$K$36)&gt;=H$103,'Assumptions &amp; Inputs'!$K$54*('Assumptions &amp; Inputs'!$K$55*'Assumptions &amp; Inputs'!$K$49+'Assumptions &amp; Inputs'!$K$56*(1-'Assumptions &amp; Inputs'!$K$49))*'Assumptions &amp; Inputs'!$T$28,0)))/$E$3</f>
        <v>0</v>
      </c>
      <c r="I112" s="196">
        <f>IF(YEAR('Assumptions &amp; Inputs'!$K$27)&gt;I$103,0,IF(I$103=YEAR('Assumptions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Inputs'!$K$36)&gt;=I$103,'Assumptions &amp; Inputs'!$K$54*('Assumptions &amp; Inputs'!$K$55*'Assumptions &amp; Inputs'!$K$49+'Assumptions &amp; Inputs'!$K$56*(1-'Assumptions &amp; Inputs'!$K$49))*'Assumptions &amp; Inputs'!$T$28,0)))/$E$3</f>
        <v>0</v>
      </c>
      <c r="J112" s="196">
        <f>IF(YEAR('Assumptions &amp; Inputs'!$K$27)&gt;J$103,0,IF(J$103=YEAR('Assumptions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Inputs'!$K$36)&gt;=J$103,'Assumptions &amp; Inputs'!$K$54*('Assumptions &amp; Inputs'!$K$55*'Assumptions &amp; Inputs'!$K$49+'Assumptions &amp; Inputs'!$K$56*(1-'Assumptions &amp; Inputs'!$K$49))*'Assumptions &amp; Inputs'!$T$28,0)))/$E$3</f>
        <v>0</v>
      </c>
      <c r="K112" s="196">
        <f>IF(YEAR('Assumptions &amp; Inputs'!$K$27)&gt;K$103,0,IF(K$103=YEAR('Assumptions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Inputs'!$K$36)&gt;=K$103,'Assumptions &amp; Inputs'!$K$54*('Assumptions &amp; Inputs'!$K$55*'Assumptions &amp; Inputs'!$K$49+'Assumptions &amp; Inputs'!$K$56*(1-'Assumptions &amp; Inputs'!$K$49))*'Assumptions &amp; Inputs'!$T$28,0)))/$E$3</f>
        <v>0</v>
      </c>
      <c r="L112" s="196">
        <f>IF(YEAR('Assumptions &amp; Inputs'!$K$27)&gt;L$103,0,IF(L$103=YEAR('Assumptions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Inputs'!$K$36)&gt;=L$103,'Assumptions &amp; Inputs'!$K$54*('Assumptions &amp; Inputs'!$K$55*'Assumptions &amp; Inputs'!$K$49+'Assumptions &amp; Inputs'!$K$56*(1-'Assumptions &amp; Inputs'!$K$49))*'Assumptions &amp; Inputs'!$T$28,0)))/$E$3</f>
        <v>0</v>
      </c>
      <c r="M112" s="196">
        <f>IF(YEAR('Assumptions &amp; Inputs'!$K$27)&gt;M$103,0,IF(M$103=YEAR('Assumptions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Inputs'!$K$36)&gt;=M$103,'Assumptions &amp; Inputs'!$K$54*('Assumptions &amp; Inputs'!$K$55*'Assumptions &amp; Inputs'!$K$49+'Assumptions &amp; Inputs'!$K$56*(1-'Assumptions &amp; Inputs'!$K$49))*'Assumptions &amp; Inputs'!$T$28,0)))/$E$3</f>
        <v>0</v>
      </c>
      <c r="N112" s="196">
        <f>IF(YEAR('Assumptions &amp; Inputs'!$K$27)&gt;N$103,0,IF(N$103=YEAR('Assumptions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Inputs'!$K$36)&gt;=N$103,'Assumptions &amp; Inputs'!$K$54*('Assumptions &amp; Inputs'!$K$55*'Assumptions &amp; Inputs'!$K$49+'Assumptions &amp; Inputs'!$K$56*(1-'Assumptions &amp; Inputs'!$K$49))*'Assumptions &amp; Inputs'!$T$28,0)))/$E$3</f>
        <v>0</v>
      </c>
      <c r="O112" s="196">
        <f>IF(YEAR('Assumptions &amp; Inputs'!$K$27)&gt;O$103,0,IF(O$103=YEAR('Assumptions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Inputs'!$K$36)&gt;=O$103,'Assumptions &amp; Inputs'!$K$54*('Assumptions &amp; Inputs'!$K$55*'Assumptions &amp; Inputs'!$K$49+'Assumptions &amp; Inputs'!$K$56*(1-'Assumptions &amp; Inputs'!$K$49))*'Assumptions &amp; Inputs'!$T$28,0)))/$E$3</f>
        <v>0</v>
      </c>
      <c r="P112" s="196">
        <f>IF(YEAR('Assumptions &amp; Inputs'!$K$27)&gt;P$103,0,IF(P$103=YEAR('Assumptions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Inputs'!$K$36)&gt;=P$103,'Assumptions &amp; Inputs'!$K$54*('Assumptions &amp; Inputs'!$K$55*'Assumptions &amp; Inputs'!$K$49+'Assumptions &amp; Inputs'!$K$56*(1-'Assumptions &amp; Inputs'!$K$49))*'Assumptions &amp; Inputs'!$T$28,0)))/$E$3</f>
        <v>0</v>
      </c>
      <c r="Q112" s="196">
        <f>IF(YEAR('Assumptions &amp; Inputs'!$K$27)&gt;Q$103,0,IF(Q$103=YEAR('Assumptions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Inputs'!$K$36)&gt;=Q$103,'Assumptions &amp; Inputs'!$K$54*('Assumptions &amp; Inputs'!$K$55*'Assumptions &amp; Inputs'!$K$49+'Assumptions &amp; Inputs'!$K$56*(1-'Assumptions &amp; Inputs'!$K$49))*'Assumptions &amp; Inputs'!$T$28,0)))/$E$3</f>
        <v>0</v>
      </c>
      <c r="R112" s="196">
        <f>IF(YEAR('Assumptions &amp; Inputs'!$K$27)&gt;R$103,0,IF(R$103=YEAR('Assumptions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Inputs'!$K$36)&gt;=R$103,'Assumptions &amp; Inputs'!$K$54*('Assumptions &amp; Inputs'!$K$55*'Assumptions &amp; Inputs'!$K$49+'Assumptions &amp; Inputs'!$K$56*(1-'Assumptions &amp; Inputs'!$K$49))*'Assumptions &amp; Inputs'!$T$28,0)))/$E$3</f>
        <v>0</v>
      </c>
      <c r="S112" s="196">
        <f>IF(YEAR('Assumptions &amp; Inputs'!$K$27)&gt;S$103,0,IF(S$103=YEAR('Assumptions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Inputs'!$K$36)&gt;=S$103,'Assumptions &amp; Inputs'!$K$54*('Assumptions &amp; Inputs'!$K$55*'Assumptions &amp; Inputs'!$K$49+'Assumptions &amp; Inputs'!$K$56*(1-'Assumptions &amp; Inputs'!$K$49))*'Assumptions &amp; Inputs'!$T$28,0)))/$E$3</f>
        <v>0</v>
      </c>
      <c r="T112" s="196">
        <f>IF(YEAR('Assumptions &amp; Inputs'!$K$27)&gt;T$103,0,IF(T$103=YEAR('Assumptions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Inputs'!$K$36)&gt;=T$103,'Assumptions &amp; Inputs'!$K$54*('Assumptions &amp; Inputs'!$K$55*'Assumptions &amp; Inputs'!$K$49+'Assumptions &amp; Inputs'!$K$56*(1-'Assumptions &amp; Inputs'!$K$49))*'Assumptions &amp; Inputs'!$T$28,0)))/$E$3</f>
        <v>0</v>
      </c>
      <c r="U112" s="196">
        <f>IF(YEAR('Assumptions &amp; Inputs'!$K$27)&gt;U$103,0,IF(U$103=YEAR('Assumptions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Inputs'!$K$36)&gt;=U$103,'Assumptions &amp; Inputs'!$K$54*('Assumptions &amp; Inputs'!$K$55*'Assumptions &amp; Inputs'!$K$49+'Assumptions &amp; Inputs'!$K$56*(1-'Assumptions &amp; Inputs'!$K$49))*'Assumptions &amp; Inputs'!$T$28,0)))/$E$3</f>
        <v>0</v>
      </c>
      <c r="V112" s="196">
        <f>IF(YEAR('Assumptions &amp; Inputs'!$K$27)&gt;V$103,0,IF(V$103=YEAR('Assumptions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Inputs'!$K$36)&gt;=V$103,'Assumptions &amp; Inputs'!$K$54*('Assumptions &amp; Inputs'!$K$55*'Assumptions &amp; Inputs'!$K$49+'Assumptions &amp; Inputs'!$K$56*(1-'Assumptions &amp; Inputs'!$K$49))*'Assumptions &amp; Inputs'!$T$28,0)))/$E$3</f>
        <v>0</v>
      </c>
      <c r="W112" s="196">
        <f>IF(YEAR('Assumptions &amp; Inputs'!$K$27)&gt;W$103,0,IF(W$103=YEAR('Assumptions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Inputs'!$K$36)&gt;=W$103,'Assumptions &amp; Inputs'!$K$54*('Assumptions &amp; Inputs'!$K$55*'Assumptions &amp; Inputs'!$K$49+'Assumptions &amp; Inputs'!$K$56*(1-'Assumptions &amp; Inputs'!$K$49))*'Assumptions &amp; Inputs'!$T$28,0)))/$E$3</f>
        <v>0</v>
      </c>
      <c r="X112" s="196">
        <f>IF(YEAR('Assumptions &amp; Inputs'!$K$27)&gt;X$103,0,IF(X$103=YEAR('Assumptions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Inputs'!$K$36)&gt;=X$103,'Assumptions &amp; Inputs'!$K$54*('Assumptions &amp; Inputs'!$K$55*'Assumptions &amp; Inputs'!$K$49+'Assumptions &amp; Inputs'!$K$56*(1-'Assumptions &amp; Inputs'!$K$49))*'Assumptions &amp; Inputs'!$T$28,0)))/$E$3</f>
        <v>0</v>
      </c>
      <c r="Y112" s="196">
        <f>IF(YEAR('Assumptions &amp; Inputs'!$K$27)&gt;Y$103,0,IF(Y$103=YEAR('Assumptions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Inputs'!$K$36)&gt;=Y$103,'Assumptions &amp; Inputs'!$K$54*('Assumptions &amp; Inputs'!$K$55*'Assumptions &amp; Inputs'!$K$49+'Assumptions &amp; Inputs'!$K$56*(1-'Assumptions &amp; Inputs'!$K$49))*'Assumptions &amp; Inputs'!$T$28,0)))/$E$3</f>
        <v>0</v>
      </c>
      <c r="Z112" s="196">
        <f>IF(YEAR('Assumptions &amp; Inputs'!$K$27)&gt;Z$103,0,IF(Z$103=YEAR('Assumptions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Inputs'!$K$36)&gt;=Z$103,'Assumptions &amp; Inputs'!$K$54*('Assumptions &amp; Inputs'!$K$55*'Assumptions &amp; Inputs'!$K$49+'Assumptions &amp; Inputs'!$K$56*(1-'Assumptions &amp; Inputs'!$K$49))*'Assumptions &amp; Inputs'!$T$28,0)))/$E$3</f>
        <v>0</v>
      </c>
      <c r="AA112" s="196">
        <f>IF(YEAR('Assumptions &amp; Inputs'!$K$27)&gt;AA$103,0,IF(AA$103=YEAR('Assumptions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Inputs'!$K$36)&gt;=AA$103,'Assumptions &amp; Inputs'!$K$54*('Assumptions &amp; Inputs'!$K$55*'Assumptions &amp; Inputs'!$K$49+'Assumptions &amp; Inputs'!$K$56*(1-'Assumptions &amp; Inputs'!$K$49))*'Assumptions &amp; Inputs'!$T$28,0)))/$E$3</f>
        <v>0</v>
      </c>
      <c r="AB112" s="196">
        <f>IF(YEAR('Assumptions &amp; Inputs'!$K$27)&gt;AB$103,0,IF(AB$103=YEAR('Assumptions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Inputs'!$K$36)&gt;=AB$103,'Assumptions &amp; Inputs'!$K$54*('Assumptions &amp; Inputs'!$K$55*'Assumptions &amp; Inputs'!$K$49+'Assumptions &amp; Inputs'!$K$56*(1-'Assumptions &amp; Inputs'!$K$49))*'Assumptions &amp; Inputs'!$T$28,0)))/$E$3</f>
        <v>0</v>
      </c>
      <c r="AC112" s="196">
        <f>IF(YEAR('Assumptions &amp; Inputs'!$K$27)&gt;AC$103,0,IF(AC$103=YEAR('Assumptions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Inputs'!$K$36)&gt;=AC$103,'Assumptions &amp; Inputs'!$K$54*('Assumptions &amp; Inputs'!$K$55*'Assumptions &amp; Inputs'!$K$49+'Assumptions &amp; Inputs'!$K$56*(1-'Assumptions &amp; Inputs'!$K$49))*'Assumptions &amp; Inputs'!$T$28,0)))/$E$3</f>
        <v>0</v>
      </c>
      <c r="AD112" s="196">
        <f>IF(YEAR('Assumptions &amp; Inputs'!$K$27)&gt;AD$103,0,IF(AD$103=YEAR('Assumptions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Inputs'!$K$36)&gt;=AD$103,'Assumptions &amp; Inputs'!$K$54*('Assumptions &amp; Inputs'!$K$55*'Assumptions &amp; Inputs'!$K$49+'Assumptions &amp; Inputs'!$K$56*(1-'Assumptions &amp; Inputs'!$K$49))*'Assumptions &amp; Inputs'!$T$28,0)))/$E$3</f>
        <v>0</v>
      </c>
      <c r="AE112" s="196">
        <f>IF(YEAR('Assumptions &amp; Inputs'!$K$27)&gt;AE$103,0,IF(AE$103=YEAR('Assumptions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Inputs'!$K$36)&gt;=AE$103,'Assumptions &amp; Inputs'!$K$54*('Assumptions &amp; Inputs'!$K$55*'Assumptions &amp; Inputs'!$K$49+'Assumptions &amp; Inputs'!$K$56*(1-'Assumptions &amp; Inputs'!$K$49))*'Assumptions &amp; Inputs'!$T$28,0)))/$E$3</f>
        <v>0</v>
      </c>
      <c r="AF112" s="196">
        <f>IF(YEAR('Assumptions &amp; Inputs'!$K$27)&gt;AF$103,0,IF(AF$103=YEAR('Assumptions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Inputs'!$K$36)&gt;=AF$103,'Assumptions &amp; Inputs'!$K$54*('Assumptions &amp; Inputs'!$K$55*'Assumptions &amp; Inputs'!$K$49+'Assumptions &amp; Inputs'!$K$56*(1-'Assumptions &amp; Inputs'!$K$49))*'Assumptions &amp; Inputs'!$T$28,0)))/$E$3</f>
        <v>0</v>
      </c>
      <c r="AG112" s="196">
        <f>IF(YEAR('Assumptions &amp; Inputs'!$K$27)&gt;AG$103,0,IF(AG$103=YEAR('Assumptions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Inputs'!$K$36)&gt;=AG$103,'Assumptions &amp; Inputs'!$K$54*('Assumptions &amp; Inputs'!$K$55*'Assumptions &amp; Inputs'!$K$49+'Assumptions &amp; Inputs'!$K$56*(1-'Assumptions &amp; Inputs'!$K$49))*'Assumptions &amp; Inputs'!$T$28,0)))/$E$3</f>
        <v>0</v>
      </c>
      <c r="AH112" s="196">
        <f>IF(YEAR('Assumptions &amp; Inputs'!$K$27)&gt;AH$103,0,IF(AH$103=YEAR('Assumptions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Inputs'!$K$36)&gt;=AH$103,'Assumptions &amp; Inputs'!$K$54*('Assumptions &amp; Inputs'!$K$55*'Assumptions &amp; Inputs'!$K$49+'Assumptions &amp; Inputs'!$K$56*(1-'Assumptions &amp; Inputs'!$K$49))*'Assumptions &amp; Inputs'!$T$28,0)))/$E$3</f>
        <v>0</v>
      </c>
      <c r="AI112" s="196">
        <f>IF(YEAR('Assumptions &amp; Inputs'!$K$27)&gt;AI$103,0,IF(AI$103=YEAR('Assumptions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Inputs'!$K$36)&gt;=AI$103,'Assumptions &amp; Inputs'!$K$54*('Assumptions &amp; Inputs'!$K$55*'Assumptions &amp; Inputs'!$K$49+'Assumptions &amp; Inputs'!$K$56*(1-'Assumptions &amp; Inputs'!$K$49))*'Assumptions &amp; Inputs'!$T$28,0)))/$E$3</f>
        <v>0</v>
      </c>
      <c r="AJ112" s="196">
        <f>IF(YEAR('Assumptions &amp; Inputs'!$K$27)&gt;AJ$103,0,IF(AJ$103=YEAR('Assumptions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Inputs'!$K$36)&gt;=AJ$103,'Assumptions &amp; Inputs'!$K$54*('Assumptions &amp; Inputs'!$K$55*'Assumptions &amp; Inputs'!$K$49+'Assumptions &amp; Inputs'!$K$56*(1-'Assumptions &amp; Inputs'!$K$49))*'Assumptions &amp; Inputs'!$T$28,0)))/$E$3</f>
        <v>0</v>
      </c>
      <c r="AK112" s="196">
        <f>IF(YEAR('Assumptions &amp; Inputs'!$K$27)&gt;AK$103,0,IF(AK$103=YEAR('Assumptions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Inputs'!$K$36)&gt;=AK$103,'Assumptions &amp; Inputs'!$K$54*('Assumptions &amp; Inputs'!$K$55*'Assumptions &amp; Inputs'!$K$49+'Assumptions &amp; Inputs'!$K$56*(1-'Assumptions &amp; Inputs'!$K$49))*'Assumptions &amp; Inputs'!$T$28,0)))/$E$3</f>
        <v>0</v>
      </c>
      <c r="AL112" s="196">
        <f>IF(YEAR('Assumptions &amp; Inputs'!$K$27)&gt;AL$103,0,IF(AL$103=YEAR('Assumptions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Inputs'!$K$36)&gt;=AL$103,'Assumptions &amp; Inputs'!$K$54*('Assumptions &amp; Inputs'!$K$55*'Assumptions &amp; Inputs'!$K$49+'Assumptions &amp; Inputs'!$K$56*(1-'Assumptions &amp; Inputs'!$K$49))*'Assumptions &amp; Inputs'!$T$28,0)))/$E$3</f>
        <v>0</v>
      </c>
      <c r="AM112" s="196">
        <f>IF(YEAR('Assumptions &amp; Inputs'!$K$27)&gt;AM$103,0,IF(AM$103=YEAR('Assumptions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Inputs'!$K$36)&gt;=AM$103,'Assumptions &amp; Inputs'!$K$54*('Assumptions &amp; Inputs'!$K$55*'Assumptions &amp; Inputs'!$K$49+'Assumptions &amp; Inputs'!$K$56*(1-'Assumptions &amp; Inputs'!$K$49))*'Assumptions &amp; Inputs'!$T$28,0)))/$E$3</f>
        <v>0</v>
      </c>
      <c r="AN112" s="196">
        <f>IF(YEAR('Assumptions &amp; Inputs'!$K$27)&gt;AN$103,0,IF(AN$103=YEAR('Assumptions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Inputs'!$K$36)&gt;=AN$103,'Assumptions &amp; Inputs'!$K$54*('Assumptions &amp; Inputs'!$K$55*'Assumptions &amp; Inputs'!$K$49+'Assumptions &amp; Inputs'!$K$56*(1-'Assumptions &amp; Inputs'!$K$49))*'Assumptions &amp; Inputs'!$T$28,0)))/$E$3</f>
        <v>0</v>
      </c>
      <c r="AO112" s="196">
        <f>IF(YEAR('Assumptions &amp; Inputs'!$K$27)&gt;AO$103,0,IF(AO$103=YEAR('Assumptions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Inputs'!$K$36)&gt;=AO$103,'Assumptions &amp; Inputs'!$K$54*('Assumptions &amp; Inputs'!$K$55*'Assumptions &amp; Inputs'!$K$49+'Assumptions &amp; Inputs'!$K$56*(1-'Assumptions &amp; Inputs'!$K$49))*'Assumptions &amp; Inputs'!$T$28,0)))/$E$3</f>
        <v>0</v>
      </c>
      <c r="AP112" s="196">
        <f>IF(YEAR('Assumptions &amp; Inputs'!$K$27)&gt;AP$103,0,IF(AP$103=YEAR('Assumptions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Inputs'!$K$36)&gt;=AP$103,'Assumptions &amp; Inputs'!$K$54*('Assumptions &amp; Inputs'!$K$55*'Assumptions &amp; Inputs'!$K$49+'Assumptions &amp; Inputs'!$K$56*(1-'Assumptions &amp; Inputs'!$K$49))*'Assumptions &amp; Inputs'!$T$28,0)))/$E$3</f>
        <v>0</v>
      </c>
      <c r="AQ112" s="196">
        <f>IF(YEAR('Assumptions &amp; Inputs'!$K$27)&gt;AQ$103,0,IF(AQ$103=YEAR('Assumptions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Inputs'!$K$36)&gt;=AQ$103,'Assumptions &amp; Inputs'!$K$54*('Assumptions &amp; Inputs'!$K$55*'Assumptions &amp; Inputs'!$K$49+'Assumptions &amp; Inputs'!$K$56*(1-'Assumptions &amp; Inputs'!$K$49))*'Assumptions &amp; Inputs'!$T$28,0)))/$E$3</f>
        <v>0</v>
      </c>
      <c r="AR112" s="196">
        <f>IF(YEAR('Assumptions &amp; Inputs'!$K$27)&gt;AR$103,0,IF(AR$103=YEAR('Assumptions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Inputs'!$K$36)&gt;=AR$103,'Assumptions &amp; Inputs'!$K$54*('Assumptions &amp; Inputs'!$K$55*'Assumptions &amp; Inputs'!$K$49+'Assumptions &amp; Inputs'!$K$56*(1-'Assumptions &amp; Inputs'!$K$49))*'Assumptions &amp; Inputs'!$T$28,0)))/$E$3</f>
        <v>0</v>
      </c>
      <c r="AS112" s="196">
        <f>IF(YEAR('Assumptions &amp; Inputs'!$K$27)&gt;AS$103,0,IF(AS$103=YEAR('Assumptions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Inputs'!$K$36)&gt;=AS$103,'Assumptions &amp; Inputs'!$K$54*('Assumptions &amp; Inputs'!$K$55*'Assumptions &amp; Inputs'!$K$49+'Assumptions &amp; Inputs'!$K$56*(1-'Assumptions &amp; Inputs'!$K$49))*'Assumptions &amp; Inputs'!$T$28,0)))/$E$3</f>
        <v>0</v>
      </c>
      <c r="AT112" s="196">
        <f>IF(YEAR('Assumptions &amp; Inputs'!$K$27)&gt;AT$103,0,IF(AT$103=YEAR('Assumptions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Inputs'!$K$36)&gt;=AT$103,'Assumptions &amp; Inputs'!$K$54*('Assumptions &amp; Inputs'!$K$55*'Assumptions &amp; Inputs'!$K$49+'Assumptions &amp; Inputs'!$K$56*(1-'Assumptions &amp; Inputs'!$K$49))*'Assumptions &amp; Inputs'!$T$28,0)))/$E$3</f>
        <v>0</v>
      </c>
      <c r="AU112" s="196">
        <f>IF(YEAR('Assumptions &amp; Inputs'!$K$27)&gt;AU$103,0,IF(AU$103=YEAR('Assumptions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Inputs'!$K$36)&gt;=AU$103,'Assumptions &amp; Inputs'!$K$54*('Assumptions &amp; Inputs'!$K$55*'Assumptions &amp; Inputs'!$K$49+'Assumptions &amp; Inputs'!$K$56*(1-'Assumptions &amp; Inputs'!$K$49))*'Assumptions &amp; Inputs'!$T$28,0)))/$E$3</f>
        <v>0</v>
      </c>
      <c r="AV112" s="196">
        <f>IF(YEAR('Assumptions &amp; Inputs'!$K$27)&gt;AV$103,0,IF(AV$103=YEAR('Assumptions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Inputs'!$K$36)&gt;=AV$103,'Assumptions &amp; Inputs'!$K$54*('Assumptions &amp; Inputs'!$K$55*'Assumptions &amp; Inputs'!$K$49+'Assumptions &amp; Inputs'!$K$56*(1-'Assumptions &amp; Inputs'!$K$49))*'Assumptions &amp; Inputs'!$T$28,0)))/$E$3</f>
        <v>0</v>
      </c>
      <c r="AW112" s="196">
        <f>IF(YEAR('Assumptions &amp; Inputs'!$K$27)&gt;AW$103,0,IF(AW$103=YEAR('Assumptions &amp; Inputs'!$K$27),'Assumptions &amp; Inputs'!$K$54*('Assumptions &amp; Inputs'!$K$55*'Assumptions &amp; Inputs'!$K$49+'Assumptions &amp; Inputs'!$K$56*(1-'Assumptions &amp; Inputs'!$K$49))*'Assumptions &amp; Inputs'!$T$28*YEARFRAC('Assumptions &amp; Inputs'!$K$27,DATE(YEAR('Assumptions &amp; Inputs'!$K$27),12,31)),IF(YEAR('Assumptions &amp; Inputs'!$K$36)&gt;=AW$103,'Assumptions &amp; Inputs'!$K$54*('Assumptions &amp; Inputs'!$K$55*'Assumptions &amp; Inputs'!$K$49+'Assumptions &amp; Inputs'!$K$56*(1-'Assumptions &amp; Inputs'!$K$49))*'Assumptions &amp; Inputs'!$T$28,0)))/$E$3</f>
        <v>0</v>
      </c>
    </row>
    <row r="113" spans="3:49" ht="14.25" customHeight="1">
      <c r="C113" s="44" t="s">
        <v>358</v>
      </c>
      <c r="D113" s="196">
        <f>IF(YEAR('Assumptions &amp; Inputs'!$L$27)&gt;D$103,0,IF(D$103=YEAR('Assumptions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Inputs'!$L$36)&gt;=D$103,'Assumptions &amp; Inputs'!$L$54*('Assumptions &amp; Inputs'!$L$55*'Assumptions &amp; Inputs'!$L$49+'Assumptions &amp; Inputs'!$L$56*(1-'Assumptions &amp; Inputs'!$L$49))*'Assumptions &amp; Inputs'!$T$28,0)))/$E$3</f>
        <v>0</v>
      </c>
      <c r="E113" s="196">
        <f>IF(YEAR('Assumptions &amp; Inputs'!$L$27)&gt;E$103,0,IF(E$103=YEAR('Assumptions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Inputs'!$L$36)&gt;=E$103,'Assumptions &amp; Inputs'!$L$54*('Assumptions &amp; Inputs'!$L$55*'Assumptions &amp; Inputs'!$L$49+'Assumptions &amp; Inputs'!$L$56*(1-'Assumptions &amp; Inputs'!$L$49))*'Assumptions &amp; Inputs'!$T$28,0)))/$E$3</f>
        <v>0</v>
      </c>
      <c r="F113" s="196">
        <f>IF(YEAR('Assumptions &amp; Inputs'!$L$27)&gt;F$103,0,IF(F$103=YEAR('Assumptions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Inputs'!$L$36)&gt;=F$103,'Assumptions &amp; Inputs'!$L$54*('Assumptions &amp; Inputs'!$L$55*'Assumptions &amp; Inputs'!$L$49+'Assumptions &amp; Inputs'!$L$56*(1-'Assumptions &amp; Inputs'!$L$49))*'Assumptions &amp; Inputs'!$T$28,0)))/$E$3</f>
        <v>0</v>
      </c>
      <c r="G113" s="196">
        <f>IF(YEAR('Assumptions &amp; Inputs'!$L$27)&gt;G$103,0,IF(G$103=YEAR('Assumptions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Inputs'!$L$36)&gt;=G$103,'Assumptions &amp; Inputs'!$L$54*('Assumptions &amp; Inputs'!$L$55*'Assumptions &amp; Inputs'!$L$49+'Assumptions &amp; Inputs'!$L$56*(1-'Assumptions &amp; Inputs'!$L$49))*'Assumptions &amp; Inputs'!$T$28,0)))/$E$3</f>
        <v>0</v>
      </c>
      <c r="H113" s="196">
        <f>IF(YEAR('Assumptions &amp; Inputs'!$L$27)&gt;H$103,0,IF(H$103=YEAR('Assumptions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Inputs'!$L$36)&gt;=H$103,'Assumptions &amp; Inputs'!$L$54*('Assumptions &amp; Inputs'!$L$55*'Assumptions &amp; Inputs'!$L$49+'Assumptions &amp; Inputs'!$L$56*(1-'Assumptions &amp; Inputs'!$L$49))*'Assumptions &amp; Inputs'!$T$28,0)))/$E$3</f>
        <v>0</v>
      </c>
      <c r="I113" s="196">
        <f>IF(YEAR('Assumptions &amp; Inputs'!$L$27)&gt;I$103,0,IF(I$103=YEAR('Assumptions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Inputs'!$L$36)&gt;=I$103,'Assumptions &amp; Inputs'!$L$54*('Assumptions &amp; Inputs'!$L$55*'Assumptions &amp; Inputs'!$L$49+'Assumptions &amp; Inputs'!$L$56*(1-'Assumptions &amp; Inputs'!$L$49))*'Assumptions &amp; Inputs'!$T$28,0)))/$E$3</f>
        <v>0</v>
      </c>
      <c r="J113" s="196">
        <f>IF(YEAR('Assumptions &amp; Inputs'!$L$27)&gt;J$103,0,IF(J$103=YEAR('Assumptions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Inputs'!$L$36)&gt;=J$103,'Assumptions &amp; Inputs'!$L$54*('Assumptions &amp; Inputs'!$L$55*'Assumptions &amp; Inputs'!$L$49+'Assumptions &amp; Inputs'!$L$56*(1-'Assumptions &amp; Inputs'!$L$49))*'Assumptions &amp; Inputs'!$T$28,0)))/$E$3</f>
        <v>0</v>
      </c>
      <c r="K113" s="196">
        <f>IF(YEAR('Assumptions &amp; Inputs'!$L$27)&gt;K$103,0,IF(K$103=YEAR('Assumptions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Inputs'!$L$36)&gt;=K$103,'Assumptions &amp; Inputs'!$L$54*('Assumptions &amp; Inputs'!$L$55*'Assumptions &amp; Inputs'!$L$49+'Assumptions &amp; Inputs'!$L$56*(1-'Assumptions &amp; Inputs'!$L$49))*'Assumptions &amp; Inputs'!$T$28,0)))/$E$3</f>
        <v>0</v>
      </c>
      <c r="L113" s="196">
        <f>IF(YEAR('Assumptions &amp; Inputs'!$L$27)&gt;L$103,0,IF(L$103=YEAR('Assumptions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Inputs'!$L$36)&gt;=L$103,'Assumptions &amp; Inputs'!$L$54*('Assumptions &amp; Inputs'!$L$55*'Assumptions &amp; Inputs'!$L$49+'Assumptions &amp; Inputs'!$L$56*(1-'Assumptions &amp; Inputs'!$L$49))*'Assumptions &amp; Inputs'!$T$28,0)))/$E$3</f>
        <v>0</v>
      </c>
      <c r="M113" s="196">
        <f>IF(YEAR('Assumptions &amp; Inputs'!$L$27)&gt;M$103,0,IF(M$103=YEAR('Assumptions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Inputs'!$L$36)&gt;=M$103,'Assumptions &amp; Inputs'!$L$54*('Assumptions &amp; Inputs'!$L$55*'Assumptions &amp; Inputs'!$L$49+'Assumptions &amp; Inputs'!$L$56*(1-'Assumptions &amp; Inputs'!$L$49))*'Assumptions &amp; Inputs'!$T$28,0)))/$E$3</f>
        <v>0</v>
      </c>
      <c r="N113" s="196">
        <f>IF(YEAR('Assumptions &amp; Inputs'!$L$27)&gt;N$103,0,IF(N$103=YEAR('Assumptions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Inputs'!$L$36)&gt;=N$103,'Assumptions &amp; Inputs'!$L$54*('Assumptions &amp; Inputs'!$L$55*'Assumptions &amp; Inputs'!$L$49+'Assumptions &amp; Inputs'!$L$56*(1-'Assumptions &amp; Inputs'!$L$49))*'Assumptions &amp; Inputs'!$T$28,0)))/$E$3</f>
        <v>0</v>
      </c>
      <c r="O113" s="196">
        <f>IF(YEAR('Assumptions &amp; Inputs'!$L$27)&gt;O$103,0,IF(O$103=YEAR('Assumptions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Inputs'!$L$36)&gt;=O$103,'Assumptions &amp; Inputs'!$L$54*('Assumptions &amp; Inputs'!$L$55*'Assumptions &amp; Inputs'!$L$49+'Assumptions &amp; Inputs'!$L$56*(1-'Assumptions &amp; Inputs'!$L$49))*'Assumptions &amp; Inputs'!$T$28,0)))/$E$3</f>
        <v>0</v>
      </c>
      <c r="P113" s="196">
        <f>IF(YEAR('Assumptions &amp; Inputs'!$L$27)&gt;P$103,0,IF(P$103=YEAR('Assumptions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Inputs'!$L$36)&gt;=P$103,'Assumptions &amp; Inputs'!$L$54*('Assumptions &amp; Inputs'!$L$55*'Assumptions &amp; Inputs'!$L$49+'Assumptions &amp; Inputs'!$L$56*(1-'Assumptions &amp; Inputs'!$L$49))*'Assumptions &amp; Inputs'!$T$28,0)))/$E$3</f>
        <v>0</v>
      </c>
      <c r="Q113" s="196">
        <f>IF(YEAR('Assumptions &amp; Inputs'!$L$27)&gt;Q$103,0,IF(Q$103=YEAR('Assumptions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Inputs'!$L$36)&gt;=Q$103,'Assumptions &amp; Inputs'!$L$54*('Assumptions &amp; Inputs'!$L$55*'Assumptions &amp; Inputs'!$L$49+'Assumptions &amp; Inputs'!$L$56*(1-'Assumptions &amp; Inputs'!$L$49))*'Assumptions &amp; Inputs'!$T$28,0)))/$E$3</f>
        <v>0</v>
      </c>
      <c r="R113" s="196">
        <f>IF(YEAR('Assumptions &amp; Inputs'!$L$27)&gt;R$103,0,IF(R$103=YEAR('Assumptions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Inputs'!$L$36)&gt;=R$103,'Assumptions &amp; Inputs'!$L$54*('Assumptions &amp; Inputs'!$L$55*'Assumptions &amp; Inputs'!$L$49+'Assumptions &amp; Inputs'!$L$56*(1-'Assumptions &amp; Inputs'!$L$49))*'Assumptions &amp; Inputs'!$T$28,0)))/$E$3</f>
        <v>0</v>
      </c>
      <c r="S113" s="196">
        <f>IF(YEAR('Assumptions &amp; Inputs'!$L$27)&gt;S$103,0,IF(S$103=YEAR('Assumptions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Inputs'!$L$36)&gt;=S$103,'Assumptions &amp; Inputs'!$L$54*('Assumptions &amp; Inputs'!$L$55*'Assumptions &amp; Inputs'!$L$49+'Assumptions &amp; Inputs'!$L$56*(1-'Assumptions &amp; Inputs'!$L$49))*'Assumptions &amp; Inputs'!$T$28,0)))/$E$3</f>
        <v>0</v>
      </c>
      <c r="T113" s="196">
        <f>IF(YEAR('Assumptions &amp; Inputs'!$L$27)&gt;T$103,0,IF(T$103=YEAR('Assumptions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Inputs'!$L$36)&gt;=T$103,'Assumptions &amp; Inputs'!$L$54*('Assumptions &amp; Inputs'!$L$55*'Assumptions &amp; Inputs'!$L$49+'Assumptions &amp; Inputs'!$L$56*(1-'Assumptions &amp; Inputs'!$L$49))*'Assumptions &amp; Inputs'!$T$28,0)))/$E$3</f>
        <v>0</v>
      </c>
      <c r="U113" s="196">
        <f>IF(YEAR('Assumptions &amp; Inputs'!$L$27)&gt;U$103,0,IF(U$103=YEAR('Assumptions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Inputs'!$L$36)&gt;=U$103,'Assumptions &amp; Inputs'!$L$54*('Assumptions &amp; Inputs'!$L$55*'Assumptions &amp; Inputs'!$L$49+'Assumptions &amp; Inputs'!$L$56*(1-'Assumptions &amp; Inputs'!$L$49))*'Assumptions &amp; Inputs'!$T$28,0)))/$E$3</f>
        <v>0</v>
      </c>
      <c r="V113" s="196">
        <f>IF(YEAR('Assumptions &amp; Inputs'!$L$27)&gt;V$103,0,IF(V$103=YEAR('Assumptions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Inputs'!$L$36)&gt;=V$103,'Assumptions &amp; Inputs'!$L$54*('Assumptions &amp; Inputs'!$L$55*'Assumptions &amp; Inputs'!$L$49+'Assumptions &amp; Inputs'!$L$56*(1-'Assumptions &amp; Inputs'!$L$49))*'Assumptions &amp; Inputs'!$T$28,0)))/$E$3</f>
        <v>0</v>
      </c>
      <c r="W113" s="196">
        <f>IF(YEAR('Assumptions &amp; Inputs'!$L$27)&gt;W$103,0,IF(W$103=YEAR('Assumptions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Inputs'!$L$36)&gt;=W$103,'Assumptions &amp; Inputs'!$L$54*('Assumptions &amp; Inputs'!$L$55*'Assumptions &amp; Inputs'!$L$49+'Assumptions &amp; Inputs'!$L$56*(1-'Assumptions &amp; Inputs'!$L$49))*'Assumptions &amp; Inputs'!$T$28,0)))/$E$3</f>
        <v>0</v>
      </c>
      <c r="X113" s="196">
        <f>IF(YEAR('Assumptions &amp; Inputs'!$L$27)&gt;X$103,0,IF(X$103=YEAR('Assumptions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Inputs'!$L$36)&gt;=X$103,'Assumptions &amp; Inputs'!$L$54*('Assumptions &amp; Inputs'!$L$55*'Assumptions &amp; Inputs'!$L$49+'Assumptions &amp; Inputs'!$L$56*(1-'Assumptions &amp; Inputs'!$L$49))*'Assumptions &amp; Inputs'!$T$28,0)))/$E$3</f>
        <v>0</v>
      </c>
      <c r="Y113" s="196">
        <f>IF(YEAR('Assumptions &amp; Inputs'!$L$27)&gt;Y$103,0,IF(Y$103=YEAR('Assumptions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Inputs'!$L$36)&gt;=Y$103,'Assumptions &amp; Inputs'!$L$54*('Assumptions &amp; Inputs'!$L$55*'Assumptions &amp; Inputs'!$L$49+'Assumptions &amp; Inputs'!$L$56*(1-'Assumptions &amp; Inputs'!$L$49))*'Assumptions &amp; Inputs'!$T$28,0)))/$E$3</f>
        <v>0</v>
      </c>
      <c r="Z113" s="196">
        <f>IF(YEAR('Assumptions &amp; Inputs'!$L$27)&gt;Z$103,0,IF(Z$103=YEAR('Assumptions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Inputs'!$L$36)&gt;=Z$103,'Assumptions &amp; Inputs'!$L$54*('Assumptions &amp; Inputs'!$L$55*'Assumptions &amp; Inputs'!$L$49+'Assumptions &amp; Inputs'!$L$56*(1-'Assumptions &amp; Inputs'!$L$49))*'Assumptions &amp; Inputs'!$T$28,0)))/$E$3</f>
        <v>0</v>
      </c>
      <c r="AA113" s="196">
        <f>IF(YEAR('Assumptions &amp; Inputs'!$L$27)&gt;AA$103,0,IF(AA$103=YEAR('Assumptions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Inputs'!$L$36)&gt;=AA$103,'Assumptions &amp; Inputs'!$L$54*('Assumptions &amp; Inputs'!$L$55*'Assumptions &amp; Inputs'!$L$49+'Assumptions &amp; Inputs'!$L$56*(1-'Assumptions &amp; Inputs'!$L$49))*'Assumptions &amp; Inputs'!$T$28,0)))/$E$3</f>
        <v>0</v>
      </c>
      <c r="AB113" s="196">
        <f>IF(YEAR('Assumptions &amp; Inputs'!$L$27)&gt;AB$103,0,IF(AB$103=YEAR('Assumptions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Inputs'!$L$36)&gt;=AB$103,'Assumptions &amp; Inputs'!$L$54*('Assumptions &amp; Inputs'!$L$55*'Assumptions &amp; Inputs'!$L$49+'Assumptions &amp; Inputs'!$L$56*(1-'Assumptions &amp; Inputs'!$L$49))*'Assumptions &amp; Inputs'!$T$28,0)))/$E$3</f>
        <v>0</v>
      </c>
      <c r="AC113" s="196">
        <f>IF(YEAR('Assumptions &amp; Inputs'!$L$27)&gt;AC$103,0,IF(AC$103=YEAR('Assumptions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Inputs'!$L$36)&gt;=AC$103,'Assumptions &amp; Inputs'!$L$54*('Assumptions &amp; Inputs'!$L$55*'Assumptions &amp; Inputs'!$L$49+'Assumptions &amp; Inputs'!$L$56*(1-'Assumptions &amp; Inputs'!$L$49))*'Assumptions &amp; Inputs'!$T$28,0)))/$E$3</f>
        <v>0</v>
      </c>
      <c r="AD113" s="196">
        <f>IF(YEAR('Assumptions &amp; Inputs'!$L$27)&gt;AD$103,0,IF(AD$103=YEAR('Assumptions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Inputs'!$L$36)&gt;=AD$103,'Assumptions &amp; Inputs'!$L$54*('Assumptions &amp; Inputs'!$L$55*'Assumptions &amp; Inputs'!$L$49+'Assumptions &amp; Inputs'!$L$56*(1-'Assumptions &amp; Inputs'!$L$49))*'Assumptions &amp; Inputs'!$T$28,0)))/$E$3</f>
        <v>0</v>
      </c>
      <c r="AE113" s="196">
        <f>IF(YEAR('Assumptions &amp; Inputs'!$L$27)&gt;AE$103,0,IF(AE$103=YEAR('Assumptions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Inputs'!$L$36)&gt;=AE$103,'Assumptions &amp; Inputs'!$L$54*('Assumptions &amp; Inputs'!$L$55*'Assumptions &amp; Inputs'!$L$49+'Assumptions &amp; Inputs'!$L$56*(1-'Assumptions &amp; Inputs'!$L$49))*'Assumptions &amp; Inputs'!$T$28,0)))/$E$3</f>
        <v>0</v>
      </c>
      <c r="AF113" s="196">
        <f>IF(YEAR('Assumptions &amp; Inputs'!$L$27)&gt;AF$103,0,IF(AF$103=YEAR('Assumptions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Inputs'!$L$36)&gt;=AF$103,'Assumptions &amp; Inputs'!$L$54*('Assumptions &amp; Inputs'!$L$55*'Assumptions &amp; Inputs'!$L$49+'Assumptions &amp; Inputs'!$L$56*(1-'Assumptions &amp; Inputs'!$L$49))*'Assumptions &amp; Inputs'!$T$28,0)))/$E$3</f>
        <v>0</v>
      </c>
      <c r="AG113" s="196">
        <f>IF(YEAR('Assumptions &amp; Inputs'!$L$27)&gt;AG$103,0,IF(AG$103=YEAR('Assumptions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Inputs'!$L$36)&gt;=AG$103,'Assumptions &amp; Inputs'!$L$54*('Assumptions &amp; Inputs'!$L$55*'Assumptions &amp; Inputs'!$L$49+'Assumptions &amp; Inputs'!$L$56*(1-'Assumptions &amp; Inputs'!$L$49))*'Assumptions &amp; Inputs'!$T$28,0)))/$E$3</f>
        <v>0</v>
      </c>
      <c r="AH113" s="196">
        <f>IF(YEAR('Assumptions &amp; Inputs'!$L$27)&gt;AH$103,0,IF(AH$103=YEAR('Assumptions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Inputs'!$L$36)&gt;=AH$103,'Assumptions &amp; Inputs'!$L$54*('Assumptions &amp; Inputs'!$L$55*'Assumptions &amp; Inputs'!$L$49+'Assumptions &amp; Inputs'!$L$56*(1-'Assumptions &amp; Inputs'!$L$49))*'Assumptions &amp; Inputs'!$T$28,0)))/$E$3</f>
        <v>0</v>
      </c>
      <c r="AI113" s="196">
        <f>IF(YEAR('Assumptions &amp; Inputs'!$L$27)&gt;AI$103,0,IF(AI$103=YEAR('Assumptions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Inputs'!$L$36)&gt;=AI$103,'Assumptions &amp; Inputs'!$L$54*('Assumptions &amp; Inputs'!$L$55*'Assumptions &amp; Inputs'!$L$49+'Assumptions &amp; Inputs'!$L$56*(1-'Assumptions &amp; Inputs'!$L$49))*'Assumptions &amp; Inputs'!$T$28,0)))/$E$3</f>
        <v>0</v>
      </c>
      <c r="AJ113" s="196">
        <f>IF(YEAR('Assumptions &amp; Inputs'!$L$27)&gt;AJ$103,0,IF(AJ$103=YEAR('Assumptions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Inputs'!$L$36)&gt;=AJ$103,'Assumptions &amp; Inputs'!$L$54*('Assumptions &amp; Inputs'!$L$55*'Assumptions &amp; Inputs'!$L$49+'Assumptions &amp; Inputs'!$L$56*(1-'Assumptions &amp; Inputs'!$L$49))*'Assumptions &amp; Inputs'!$T$28,0)))/$E$3</f>
        <v>0</v>
      </c>
      <c r="AK113" s="196">
        <f>IF(YEAR('Assumptions &amp; Inputs'!$L$27)&gt;AK$103,0,IF(AK$103=YEAR('Assumptions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Inputs'!$L$36)&gt;=AK$103,'Assumptions &amp; Inputs'!$L$54*('Assumptions &amp; Inputs'!$L$55*'Assumptions &amp; Inputs'!$L$49+'Assumptions &amp; Inputs'!$L$56*(1-'Assumptions &amp; Inputs'!$L$49))*'Assumptions &amp; Inputs'!$T$28,0)))/$E$3</f>
        <v>0</v>
      </c>
      <c r="AL113" s="196">
        <f>IF(YEAR('Assumptions &amp; Inputs'!$L$27)&gt;AL$103,0,IF(AL$103=YEAR('Assumptions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Inputs'!$L$36)&gt;=AL$103,'Assumptions &amp; Inputs'!$L$54*('Assumptions &amp; Inputs'!$L$55*'Assumptions &amp; Inputs'!$L$49+'Assumptions &amp; Inputs'!$L$56*(1-'Assumptions &amp; Inputs'!$L$49))*'Assumptions &amp; Inputs'!$T$28,0)))/$E$3</f>
        <v>0</v>
      </c>
      <c r="AM113" s="196">
        <f>IF(YEAR('Assumptions &amp; Inputs'!$L$27)&gt;AM$103,0,IF(AM$103=YEAR('Assumptions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Inputs'!$L$36)&gt;=AM$103,'Assumptions &amp; Inputs'!$L$54*('Assumptions &amp; Inputs'!$L$55*'Assumptions &amp; Inputs'!$L$49+'Assumptions &amp; Inputs'!$L$56*(1-'Assumptions &amp; Inputs'!$L$49))*'Assumptions &amp; Inputs'!$T$28,0)))/$E$3</f>
        <v>0</v>
      </c>
      <c r="AN113" s="196">
        <f>IF(YEAR('Assumptions &amp; Inputs'!$L$27)&gt;AN$103,0,IF(AN$103=YEAR('Assumptions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Inputs'!$L$36)&gt;=AN$103,'Assumptions &amp; Inputs'!$L$54*('Assumptions &amp; Inputs'!$L$55*'Assumptions &amp; Inputs'!$L$49+'Assumptions &amp; Inputs'!$L$56*(1-'Assumptions &amp; Inputs'!$L$49))*'Assumptions &amp; Inputs'!$T$28,0)))/$E$3</f>
        <v>0</v>
      </c>
      <c r="AO113" s="196">
        <f>IF(YEAR('Assumptions &amp; Inputs'!$L$27)&gt;AO$103,0,IF(AO$103=YEAR('Assumptions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Inputs'!$L$36)&gt;=AO$103,'Assumptions &amp; Inputs'!$L$54*('Assumptions &amp; Inputs'!$L$55*'Assumptions &amp; Inputs'!$L$49+'Assumptions &amp; Inputs'!$L$56*(1-'Assumptions &amp; Inputs'!$L$49))*'Assumptions &amp; Inputs'!$T$28,0)))/$E$3</f>
        <v>0</v>
      </c>
      <c r="AP113" s="196">
        <f>IF(YEAR('Assumptions &amp; Inputs'!$L$27)&gt;AP$103,0,IF(AP$103=YEAR('Assumptions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Inputs'!$L$36)&gt;=AP$103,'Assumptions &amp; Inputs'!$L$54*('Assumptions &amp; Inputs'!$L$55*'Assumptions &amp; Inputs'!$L$49+'Assumptions &amp; Inputs'!$L$56*(1-'Assumptions &amp; Inputs'!$L$49))*'Assumptions &amp; Inputs'!$T$28,0)))/$E$3</f>
        <v>0</v>
      </c>
      <c r="AQ113" s="196">
        <f>IF(YEAR('Assumptions &amp; Inputs'!$L$27)&gt;AQ$103,0,IF(AQ$103=YEAR('Assumptions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Inputs'!$L$36)&gt;=AQ$103,'Assumptions &amp; Inputs'!$L$54*('Assumptions &amp; Inputs'!$L$55*'Assumptions &amp; Inputs'!$L$49+'Assumptions &amp; Inputs'!$L$56*(1-'Assumptions &amp; Inputs'!$L$49))*'Assumptions &amp; Inputs'!$T$28,0)))/$E$3</f>
        <v>0</v>
      </c>
      <c r="AR113" s="196">
        <f>IF(YEAR('Assumptions &amp; Inputs'!$L$27)&gt;AR$103,0,IF(AR$103=YEAR('Assumptions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Inputs'!$L$36)&gt;=AR$103,'Assumptions &amp; Inputs'!$L$54*('Assumptions &amp; Inputs'!$L$55*'Assumptions &amp; Inputs'!$L$49+'Assumptions &amp; Inputs'!$L$56*(1-'Assumptions &amp; Inputs'!$L$49))*'Assumptions &amp; Inputs'!$T$28,0)))/$E$3</f>
        <v>0</v>
      </c>
      <c r="AS113" s="196">
        <f>IF(YEAR('Assumptions &amp; Inputs'!$L$27)&gt;AS$103,0,IF(AS$103=YEAR('Assumptions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Inputs'!$L$36)&gt;=AS$103,'Assumptions &amp; Inputs'!$L$54*('Assumptions &amp; Inputs'!$L$55*'Assumptions &amp; Inputs'!$L$49+'Assumptions &amp; Inputs'!$L$56*(1-'Assumptions &amp; Inputs'!$L$49))*'Assumptions &amp; Inputs'!$T$28,0)))/$E$3</f>
        <v>0</v>
      </c>
      <c r="AT113" s="196">
        <f>IF(YEAR('Assumptions &amp; Inputs'!$L$27)&gt;AT$103,0,IF(AT$103=YEAR('Assumptions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Inputs'!$L$36)&gt;=AT$103,'Assumptions &amp; Inputs'!$L$54*('Assumptions &amp; Inputs'!$L$55*'Assumptions &amp; Inputs'!$L$49+'Assumptions &amp; Inputs'!$L$56*(1-'Assumptions &amp; Inputs'!$L$49))*'Assumptions &amp; Inputs'!$T$28,0)))/$E$3</f>
        <v>0</v>
      </c>
      <c r="AU113" s="196">
        <f>IF(YEAR('Assumptions &amp; Inputs'!$L$27)&gt;AU$103,0,IF(AU$103=YEAR('Assumptions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Inputs'!$L$36)&gt;=AU$103,'Assumptions &amp; Inputs'!$L$54*('Assumptions &amp; Inputs'!$L$55*'Assumptions &amp; Inputs'!$L$49+'Assumptions &amp; Inputs'!$L$56*(1-'Assumptions &amp; Inputs'!$L$49))*'Assumptions &amp; Inputs'!$T$28,0)))/$E$3</f>
        <v>0</v>
      </c>
      <c r="AV113" s="196">
        <f>IF(YEAR('Assumptions &amp; Inputs'!$L$27)&gt;AV$103,0,IF(AV$103=YEAR('Assumptions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Inputs'!$L$36)&gt;=AV$103,'Assumptions &amp; Inputs'!$L$54*('Assumptions &amp; Inputs'!$L$55*'Assumptions &amp; Inputs'!$L$49+'Assumptions &amp; Inputs'!$L$56*(1-'Assumptions &amp; Inputs'!$L$49))*'Assumptions &amp; Inputs'!$T$28,0)))/$E$3</f>
        <v>0</v>
      </c>
      <c r="AW113" s="196">
        <f>IF(YEAR('Assumptions &amp; Inputs'!$L$27)&gt;AW$103,0,IF(AW$103=YEAR('Assumptions &amp; Inputs'!$L$27),'Assumptions &amp; Inputs'!$L$54*('Assumptions &amp; Inputs'!$L$55*'Assumptions &amp; Inputs'!$L$49+'Assumptions &amp; Inputs'!$L$56*(1-'Assumptions &amp; Inputs'!$L$49))*'Assumptions &amp; Inputs'!$T$28*YEARFRAC('Assumptions &amp; Inputs'!$L$27,DATE(YEAR('Assumptions &amp; Inputs'!$L$27),12,31)),IF(YEAR('Assumptions &amp; Inputs'!$L$36)&gt;=AW$103,'Assumptions &amp; Inputs'!$L$54*('Assumptions &amp; Inputs'!$L$55*'Assumptions &amp; Inputs'!$L$49+'Assumptions &amp; Inputs'!$L$56*(1-'Assumptions &amp; Inputs'!$L$49))*'Assumptions &amp; Inputs'!$T$28,0)))/$E$3</f>
        <v>0</v>
      </c>
    </row>
    <row r="114" spans="3:49" ht="14.25" customHeight="1">
      <c r="C114" s="48" t="s">
        <v>366</v>
      </c>
      <c r="D114" s="166">
        <f>SUM(D106:D113)</f>
        <v>0</v>
      </c>
      <c r="E114" s="166">
        <f t="shared" ref="E114:N114" si="374">SUM(E106:E113)</f>
        <v>0</v>
      </c>
      <c r="F114" s="166">
        <f t="shared" si="374"/>
        <v>0</v>
      </c>
      <c r="G114" s="166">
        <f t="shared" si="374"/>
        <v>0</v>
      </c>
      <c r="H114" s="166">
        <f t="shared" si="374"/>
        <v>0</v>
      </c>
      <c r="I114" s="166">
        <f t="shared" si="374"/>
        <v>0</v>
      </c>
      <c r="J114" s="166">
        <f t="shared" si="374"/>
        <v>0</v>
      </c>
      <c r="K114" s="166">
        <f t="shared" si="374"/>
        <v>0</v>
      </c>
      <c r="L114" s="166">
        <f t="shared" si="374"/>
        <v>0</v>
      </c>
      <c r="M114" s="166">
        <f t="shared" si="374"/>
        <v>0</v>
      </c>
      <c r="N114" s="166">
        <f t="shared" si="374"/>
        <v>0</v>
      </c>
      <c r="O114" s="166">
        <f t="shared" ref="O114" si="375">SUM(O106:O113)</f>
        <v>0</v>
      </c>
      <c r="P114" s="166">
        <f t="shared" ref="P114" si="376">SUM(P106:P113)</f>
        <v>0</v>
      </c>
      <c r="Q114" s="166">
        <f t="shared" ref="Q114" si="377">SUM(Q106:Q113)</f>
        <v>0</v>
      </c>
      <c r="R114" s="166">
        <f t="shared" ref="R114" si="378">SUM(R106:R113)</f>
        <v>0</v>
      </c>
      <c r="S114" s="166">
        <f t="shared" ref="S114" si="379">SUM(S106:S113)</f>
        <v>0</v>
      </c>
      <c r="T114" s="166">
        <f t="shared" ref="T114" si="380">SUM(T106:T113)</f>
        <v>0</v>
      </c>
      <c r="U114" s="166">
        <f t="shared" ref="U114" si="381">SUM(U106:U113)</f>
        <v>0</v>
      </c>
      <c r="V114" s="166">
        <f t="shared" ref="V114" si="382">SUM(V106:V113)</f>
        <v>0</v>
      </c>
      <c r="W114" s="166">
        <f t="shared" ref="W114" si="383">SUM(W106:W113)</f>
        <v>0</v>
      </c>
      <c r="X114" s="166">
        <f t="shared" ref="X114" si="384">SUM(X106:X113)</f>
        <v>0</v>
      </c>
      <c r="Y114" s="166">
        <f t="shared" ref="Y114" si="385">SUM(Y106:Y113)</f>
        <v>0</v>
      </c>
      <c r="Z114" s="166">
        <f t="shared" ref="Z114" si="386">SUM(Z106:Z113)</f>
        <v>0</v>
      </c>
      <c r="AA114" s="166">
        <f t="shared" ref="AA114" si="387">SUM(AA106:AA113)</f>
        <v>0</v>
      </c>
      <c r="AB114" s="166">
        <f t="shared" ref="AB114" si="388">SUM(AB106:AB113)</f>
        <v>0</v>
      </c>
      <c r="AC114" s="166">
        <f t="shared" ref="AC114" si="389">SUM(AC106:AC113)</f>
        <v>0</v>
      </c>
      <c r="AD114" s="166">
        <f t="shared" ref="AD114" si="390">SUM(AD106:AD113)</f>
        <v>0</v>
      </c>
      <c r="AE114" s="166">
        <f t="shared" ref="AE114" si="391">SUM(AE106:AE113)</f>
        <v>0</v>
      </c>
      <c r="AF114" s="166">
        <f t="shared" ref="AF114" si="392">SUM(AF106:AF113)</f>
        <v>0</v>
      </c>
      <c r="AG114" s="166">
        <f t="shared" ref="AG114" si="393">SUM(AG106:AG113)</f>
        <v>0</v>
      </c>
      <c r="AH114" s="166">
        <f t="shared" ref="AH114" si="394">SUM(AH106:AH113)</f>
        <v>0</v>
      </c>
      <c r="AI114" s="166">
        <f t="shared" ref="AI114" si="395">SUM(AI106:AI113)</f>
        <v>0</v>
      </c>
      <c r="AJ114" s="166">
        <f t="shared" ref="AJ114" si="396">SUM(AJ106:AJ113)</f>
        <v>0</v>
      </c>
      <c r="AK114" s="166">
        <f t="shared" ref="AK114" si="397">SUM(AK106:AK113)</f>
        <v>0</v>
      </c>
      <c r="AL114" s="166">
        <f t="shared" ref="AL114" si="398">SUM(AL106:AL113)</f>
        <v>0</v>
      </c>
      <c r="AM114" s="166">
        <f t="shared" ref="AM114" si="399">SUM(AM106:AM113)</f>
        <v>0</v>
      </c>
      <c r="AN114" s="166">
        <f t="shared" ref="AN114" si="400">SUM(AN106:AN113)</f>
        <v>0</v>
      </c>
      <c r="AO114" s="166">
        <f t="shared" ref="AO114" si="401">SUM(AO106:AO113)</f>
        <v>0</v>
      </c>
      <c r="AP114" s="166">
        <f t="shared" ref="AP114:AQ114" si="402">SUM(AP106:AP113)</f>
        <v>0</v>
      </c>
      <c r="AQ114" s="166">
        <f t="shared" si="402"/>
        <v>0</v>
      </c>
      <c r="AR114" s="166">
        <f t="shared" ref="AR114" si="403">SUM(AR106:AR113)</f>
        <v>0</v>
      </c>
      <c r="AS114" s="166">
        <f t="shared" ref="AS114" si="404">SUM(AS106:AS113)</f>
        <v>0</v>
      </c>
      <c r="AT114" s="166">
        <f t="shared" ref="AT114" si="405">SUM(AT106:AT113)</f>
        <v>0</v>
      </c>
      <c r="AU114" s="166">
        <f t="shared" ref="AU114" si="406">SUM(AU106:AU113)</f>
        <v>0</v>
      </c>
      <c r="AV114" s="166">
        <f t="shared" ref="AV114" si="407">SUM(AV106:AV113)</f>
        <v>0</v>
      </c>
      <c r="AW114" s="166">
        <f t="shared" ref="AW114" si="408">SUM(AW106:AW113)</f>
        <v>0</v>
      </c>
    </row>
    <row r="115" spans="3:49" ht="14.25" customHeight="1">
      <c r="C115" s="44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</row>
    <row r="116" spans="3:49" ht="14.25" customHeight="1">
      <c r="C116" s="44" t="s">
        <v>186</v>
      </c>
      <c r="D116" s="47">
        <f>'Assumptions &amp; Inputs'!$P22*'Assumptions &amp; Inputs'!$P$4/$E$3*(1+'Assumptions &amp; Inputs'!$G$20)^'Real Estate'!D$101</f>
        <v>1.1200000000000001</v>
      </c>
      <c r="E116" s="47">
        <f>'Assumptions &amp; Inputs'!$P22*'Assumptions &amp; Inputs'!$P$4/$E$3*(1+'Assumptions &amp; Inputs'!$G$20)^'Real Estate'!E$101</f>
        <v>1.1536000000000002</v>
      </c>
      <c r="F116" s="47">
        <f>'Assumptions &amp; Inputs'!$P22*'Assumptions &amp; Inputs'!$P$4/$E$3*(1+'Assumptions &amp; Inputs'!$G$20)^'Real Estate'!F$101</f>
        <v>1.1882080000000002</v>
      </c>
      <c r="G116" s="47">
        <f>'Assumptions &amp; Inputs'!$P22*'Assumptions &amp; Inputs'!$P$4/$E$3*(1+'Assumptions &amp; Inputs'!$G$20)^'Real Estate'!G$101</f>
        <v>1.2238542400000001</v>
      </c>
      <c r="H116" s="47">
        <f>'Assumptions &amp; Inputs'!$P22*'Assumptions &amp; Inputs'!$P$4/$E$3*(1+'Assumptions &amp; Inputs'!$G$20)^'Real Estate'!H$101</f>
        <v>1.2605698672000001</v>
      </c>
      <c r="I116" s="47">
        <f>'Assumptions &amp; Inputs'!$P22*'Assumptions &amp; Inputs'!$P$4/$E$3*(1+'Assumptions &amp; Inputs'!$G$20)^'Real Estate'!I$101</f>
        <v>1.2983869632159999</v>
      </c>
      <c r="J116" s="47">
        <f>'Assumptions &amp; Inputs'!$P22*'Assumptions &amp; Inputs'!$P$4/$E$3*(1+'Assumptions &amp; Inputs'!$G$20)^'Real Estate'!J$101</f>
        <v>1.33733857211248</v>
      </c>
      <c r="K116" s="47">
        <f>'Assumptions &amp; Inputs'!$P22*'Assumptions &amp; Inputs'!$P$4/$E$3*(1+'Assumptions &amp; Inputs'!$G$20)^'Real Estate'!K$101</f>
        <v>1.3774587292758544</v>
      </c>
      <c r="L116" s="47">
        <f>'Assumptions &amp; Inputs'!$P22*'Assumptions &amp; Inputs'!$P$4/$E$3*(1+'Assumptions &amp; Inputs'!$G$20)^'Real Estate'!L$101</f>
        <v>1.41878249115413</v>
      </c>
      <c r="M116" s="47">
        <f>'Assumptions &amp; Inputs'!$P22*'Assumptions &amp; Inputs'!$P$4/$E$3*(1+'Assumptions &amp; Inputs'!$G$20)^'Real Estate'!M$101</f>
        <v>1.461345965888754</v>
      </c>
      <c r="N116" s="47">
        <f>'Assumptions &amp; Inputs'!$P22*'Assumptions &amp; Inputs'!$P$4/$E$3*(1+'Assumptions &amp; Inputs'!$G$20)^'Real Estate'!N$101</f>
        <v>1.5051863448654166</v>
      </c>
      <c r="O116" s="47">
        <f>'Assumptions &amp; Inputs'!$P22*'Assumptions &amp; Inputs'!$P$4/$E$3*(1+'Assumptions &amp; Inputs'!$G$20)^'Real Estate'!O$101</f>
        <v>1.5503419352113792</v>
      </c>
      <c r="P116" s="47">
        <f>'Assumptions &amp; Inputs'!$P22*'Assumptions &amp; Inputs'!$P$4/$E$3*(1+'Assumptions &amp; Inputs'!$G$20)^'Real Estate'!P$101</f>
        <v>1.5968521932677202</v>
      </c>
      <c r="Q116" s="47">
        <f>'Assumptions &amp; Inputs'!$P22*'Assumptions &amp; Inputs'!$P$4/$E$3*(1+'Assumptions &amp; Inputs'!$G$20)^'Real Estate'!Q$101</f>
        <v>1.6447577590657518</v>
      </c>
      <c r="R116" s="47">
        <f>'Assumptions &amp; Inputs'!$P22*'Assumptions &amp; Inputs'!$P$4/$E$3*(1+'Assumptions &amp; Inputs'!$G$20)^'Real Estate'!R$101</f>
        <v>1.6941004918377245</v>
      </c>
      <c r="S116" s="47">
        <f>'Assumptions &amp; Inputs'!$P22*'Assumptions &amp; Inputs'!$P$4/$E$3*(1+'Assumptions &amp; Inputs'!$G$20)^'Real Estate'!S$101</f>
        <v>1.7449235065928563</v>
      </c>
      <c r="T116" s="47">
        <f>'Assumptions &amp; Inputs'!$P22*'Assumptions &amp; Inputs'!$P$4/$E$3*(1+'Assumptions &amp; Inputs'!$G$20)^'Real Estate'!T$101</f>
        <v>1.7972712117906418</v>
      </c>
      <c r="U116" s="47">
        <f>'Assumptions &amp; Inputs'!$P22*'Assumptions &amp; Inputs'!$P$4/$E$3*(1+'Assumptions &amp; Inputs'!$G$20)^'Real Estate'!U$101</f>
        <v>1.8511893481443609</v>
      </c>
      <c r="V116" s="47">
        <f>'Assumptions &amp; Inputs'!$P22*'Assumptions &amp; Inputs'!$P$4/$E$3*(1+'Assumptions &amp; Inputs'!$G$20)^'Real Estate'!V$101</f>
        <v>1.9067250285886919</v>
      </c>
      <c r="W116" s="47">
        <f>'Assumptions &amp; Inputs'!$P22*'Assumptions &amp; Inputs'!$P$4/$E$3*(1+'Assumptions &amp; Inputs'!$G$20)^'Real Estate'!W$101</f>
        <v>1.9639267794463524</v>
      </c>
      <c r="X116" s="47">
        <f>'Assumptions &amp; Inputs'!$P22*'Assumptions &amp; Inputs'!$P$4/$E$3*(1+'Assumptions &amp; Inputs'!$G$20)^'Real Estate'!X$101</f>
        <v>2.0228445828297432</v>
      </c>
      <c r="Y116" s="47">
        <f>'Assumptions &amp; Inputs'!$P22*'Assumptions &amp; Inputs'!$P$4/$E$3*(1+'Assumptions &amp; Inputs'!$G$20)^'Real Estate'!Y$101</f>
        <v>2.0835299203146351</v>
      </c>
      <c r="Z116" s="47">
        <f>'Assumptions &amp; Inputs'!$P22*'Assumptions &amp; Inputs'!$P$4/$E$3*(1+'Assumptions &amp; Inputs'!$G$20)^'Real Estate'!Z$101</f>
        <v>2.1460358179240742</v>
      </c>
      <c r="AA116" s="47">
        <f>'Assumptions &amp; Inputs'!$P22*'Assumptions &amp; Inputs'!$P$4/$E$3*(1+'Assumptions &amp; Inputs'!$G$20)^'Real Estate'!AA$101</f>
        <v>2.2104168924617968</v>
      </c>
      <c r="AB116" s="47">
        <f>'Assumptions &amp; Inputs'!$P22*'Assumptions &amp; Inputs'!$P$4/$E$3*(1+'Assumptions &amp; Inputs'!$G$20)^'Real Estate'!AB$101</f>
        <v>2.2767293992356503</v>
      </c>
      <c r="AC116" s="47">
        <f>'Assumptions &amp; Inputs'!$P22*'Assumptions &amp; Inputs'!$P$4/$E$3*(1+'Assumptions &amp; Inputs'!$G$20)^'Real Estate'!AC$101</f>
        <v>2.3450312812127199</v>
      </c>
      <c r="AD116" s="47">
        <f>'Assumptions &amp; Inputs'!$P22*'Assumptions &amp; Inputs'!$P$4/$E$3*(1+'Assumptions &amp; Inputs'!$G$20)^'Real Estate'!AD$101</f>
        <v>2.4153822196491017</v>
      </c>
      <c r="AE116" s="47">
        <f>'Assumptions &amp; Inputs'!$P22*'Assumptions &amp; Inputs'!$P$4/$E$3*(1+'Assumptions &amp; Inputs'!$G$20)^'Real Estate'!AE$101</f>
        <v>2.4878436862385742</v>
      </c>
      <c r="AF116" s="47">
        <f>'Assumptions &amp; Inputs'!$P22*'Assumptions &amp; Inputs'!$P$4/$E$3*(1+'Assumptions &amp; Inputs'!$G$20)^'Real Estate'!AF$101</f>
        <v>2.5624789968257318</v>
      </c>
      <c r="AG116" s="47">
        <f>'Assumptions &amp; Inputs'!$P22*'Assumptions &amp; Inputs'!$P$4/$E$3*(1+'Assumptions &amp; Inputs'!$G$20)^'Real Estate'!AG$101</f>
        <v>2.6393533667305031</v>
      </c>
      <c r="AH116" s="47">
        <f>'Assumptions &amp; Inputs'!$P22*'Assumptions &amp; Inputs'!$P$4/$E$3*(1+'Assumptions &amp; Inputs'!$G$20)^'Real Estate'!AH$101</f>
        <v>2.7185339677324185</v>
      </c>
      <c r="AI116" s="47">
        <f>'Assumptions &amp; Inputs'!$P22*'Assumptions &amp; Inputs'!$P$4/$E$3*(1+'Assumptions &amp; Inputs'!$G$20)^'Real Estate'!AI$101</f>
        <v>2.8000899867643914</v>
      </c>
      <c r="AJ116" s="47">
        <f>'Assumptions &amp; Inputs'!$P22*'Assumptions &amp; Inputs'!$P$4/$E$3*(1+'Assumptions &amp; Inputs'!$G$20)^'Real Estate'!AJ$101</f>
        <v>2.8840926863673224</v>
      </c>
      <c r="AK116" s="47">
        <f>'Assumptions &amp; Inputs'!$P22*'Assumptions &amp; Inputs'!$P$4/$E$3*(1+'Assumptions &amp; Inputs'!$G$20)^'Real Estate'!AK$101</f>
        <v>2.9706154669583427</v>
      </c>
      <c r="AL116" s="47">
        <f>'Assumptions &amp; Inputs'!$P22*'Assumptions &amp; Inputs'!$P$4/$E$3*(1+'Assumptions &amp; Inputs'!$G$20)^'Real Estate'!AL$101</f>
        <v>3.0597339309670923</v>
      </c>
      <c r="AM116" s="47">
        <f>'Assumptions &amp; Inputs'!$P22*'Assumptions &amp; Inputs'!$P$4/$E$3*(1+'Assumptions &amp; Inputs'!$G$20)^'Real Estate'!AM$101</f>
        <v>3.1515259488961056</v>
      </c>
      <c r="AN116" s="47">
        <f>'Assumptions &amp; Inputs'!$P22*'Assumptions &amp; Inputs'!$P$4/$E$3*(1+'Assumptions &amp; Inputs'!$G$20)^'Real Estate'!AN$101</f>
        <v>3.2460717273629887</v>
      </c>
      <c r="AO116" s="47">
        <f>'Assumptions &amp; Inputs'!$P22*'Assumptions &amp; Inputs'!$P$4/$E$3*(1+'Assumptions &amp; Inputs'!$G$20)^'Real Estate'!AO$101</f>
        <v>3.3434538791838775</v>
      </c>
      <c r="AP116" s="47">
        <f>'Assumptions &amp; Inputs'!$P22*'Assumptions &amp; Inputs'!$P$4/$E$3*(1+'Assumptions &amp; Inputs'!$G$20)^'Real Estate'!AP$101</f>
        <v>3.4437574955593941</v>
      </c>
      <c r="AQ116" s="47">
        <f>'Assumptions &amp; Inputs'!$P22*'Assumptions &amp; Inputs'!$P$4/$E$3*(1+'Assumptions &amp; Inputs'!$G$20)^'Real Estate'!AQ$101</f>
        <v>3.5470702204261761</v>
      </c>
      <c r="AR116" s="47">
        <f>'Assumptions &amp; Inputs'!$P22*'Assumptions &amp; Inputs'!$P$4/$E$3*(1+'Assumptions &amp; Inputs'!$G$20)^'Real Estate'!AR$101</f>
        <v>3.6534823270389611</v>
      </c>
      <c r="AS116" s="47">
        <f>'Assumptions &amp; Inputs'!$P22*'Assumptions &amp; Inputs'!$P$4/$E$3*(1+'Assumptions &amp; Inputs'!$G$20)^'Real Estate'!AS$101</f>
        <v>3.7630867968501303</v>
      </c>
      <c r="AT116" s="47">
        <f>'Assumptions &amp; Inputs'!$P22*'Assumptions &amp; Inputs'!$P$4/$E$3*(1+'Assumptions &amp; Inputs'!$G$20)^'Real Estate'!AT$101</f>
        <v>3.8759794007556341</v>
      </c>
      <c r="AU116" s="47">
        <f>'Assumptions &amp; Inputs'!$P22*'Assumptions &amp; Inputs'!$P$4/$E$3*(1+'Assumptions &amp; Inputs'!$G$20)^'Real Estate'!AU$101</f>
        <v>3.9922587827783031</v>
      </c>
      <c r="AV116" s="47">
        <f>'Assumptions &amp; Inputs'!$P22*'Assumptions &amp; Inputs'!$P$4/$E$3*(1+'Assumptions &amp; Inputs'!$G$20)^'Real Estate'!AV$101</f>
        <v>4.1120265462616521</v>
      </c>
      <c r="AW116" s="47">
        <f>'Assumptions &amp; Inputs'!$P22*'Assumptions &amp; Inputs'!$P$4/$E$3*(1+'Assumptions &amp; Inputs'!$G$20)^'Real Estate'!AW$101</f>
        <v>4.235387342649501</v>
      </c>
    </row>
    <row r="117" spans="3:49" ht="14.25" customHeight="1">
      <c r="C117" s="44" t="s">
        <v>174</v>
      </c>
      <c r="D117" s="47">
        <f>'Assumptions &amp; Inputs'!$P17*'Assumptions &amp; Inputs'!$P$4/$E$3*(1+'Assumptions &amp; Inputs'!$G$20)^'Real Estate'!D$101</f>
        <v>2.2400000000000002</v>
      </c>
      <c r="E117" s="47">
        <f>'Assumptions &amp; Inputs'!$P17*'Assumptions &amp; Inputs'!$P$4/$E$3*(1+'Assumptions &amp; Inputs'!$G$20)^'Real Estate'!E$101</f>
        <v>2.3072000000000004</v>
      </c>
      <c r="F117" s="47">
        <f>'Assumptions &amp; Inputs'!$P17*'Assumptions &amp; Inputs'!$P$4/$E$3*(1+'Assumptions &amp; Inputs'!$G$20)^'Real Estate'!F$101</f>
        <v>2.3764160000000003</v>
      </c>
      <c r="G117" s="47">
        <f>'Assumptions &amp; Inputs'!$P17*'Assumptions &amp; Inputs'!$P$4/$E$3*(1+'Assumptions &amp; Inputs'!$G$20)^'Real Estate'!G$101</f>
        <v>2.4477084800000002</v>
      </c>
      <c r="H117" s="47">
        <f>'Assumptions &amp; Inputs'!$P17*'Assumptions &amp; Inputs'!$P$4/$E$3*(1+'Assumptions &amp; Inputs'!$G$20)^'Real Estate'!H$101</f>
        <v>2.5211397344000002</v>
      </c>
      <c r="I117" s="47">
        <f>'Assumptions &amp; Inputs'!$P17*'Assumptions &amp; Inputs'!$P$4/$E$3*(1+'Assumptions &amp; Inputs'!$G$20)^'Real Estate'!I$101</f>
        <v>2.5967739264319998</v>
      </c>
      <c r="J117" s="47">
        <f>'Assumptions &amp; Inputs'!$P17*'Assumptions &amp; Inputs'!$P$4/$E$3*(1+'Assumptions &amp; Inputs'!$G$20)^'Real Estate'!J$101</f>
        <v>2.6746771442249599</v>
      </c>
      <c r="K117" s="47">
        <f>'Assumptions &amp; Inputs'!$P17*'Assumptions &amp; Inputs'!$P$4/$E$3*(1+'Assumptions &amp; Inputs'!$G$20)^'Real Estate'!K$101</f>
        <v>2.7549174585517089</v>
      </c>
      <c r="L117" s="47">
        <f>'Assumptions &amp; Inputs'!$P17*'Assumptions &amp; Inputs'!$P$4/$E$3*(1+'Assumptions &amp; Inputs'!$G$20)^'Real Estate'!L$101</f>
        <v>2.83756498230826</v>
      </c>
      <c r="M117" s="47">
        <f>'Assumptions &amp; Inputs'!$P17*'Assumptions &amp; Inputs'!$P$4/$E$3*(1+'Assumptions &amp; Inputs'!$G$20)^'Real Estate'!M$101</f>
        <v>2.922691931777508</v>
      </c>
      <c r="N117" s="47">
        <f>'Assumptions &amp; Inputs'!$P17*'Assumptions &amp; Inputs'!$P$4/$E$3*(1+'Assumptions &amp; Inputs'!$G$20)^'Real Estate'!N$101</f>
        <v>3.0103726897308332</v>
      </c>
      <c r="O117" s="47">
        <f>'Assumptions &amp; Inputs'!$P17*'Assumptions &amp; Inputs'!$P$4/$E$3*(1+'Assumptions &amp; Inputs'!$G$20)^'Real Estate'!O$101</f>
        <v>3.1006838704227584</v>
      </c>
      <c r="P117" s="47">
        <f>'Assumptions &amp; Inputs'!$P17*'Assumptions &amp; Inputs'!$P$4/$E$3*(1+'Assumptions &amp; Inputs'!$G$20)^'Real Estate'!P$101</f>
        <v>3.1937043865354404</v>
      </c>
      <c r="Q117" s="47">
        <f>'Assumptions &amp; Inputs'!$P17*'Assumptions &amp; Inputs'!$P$4/$E$3*(1+'Assumptions &amp; Inputs'!$G$20)^'Real Estate'!Q$101</f>
        <v>3.2895155181315037</v>
      </c>
      <c r="R117" s="47">
        <f>'Assumptions &amp; Inputs'!$P17*'Assumptions &amp; Inputs'!$P$4/$E$3*(1+'Assumptions &amp; Inputs'!$G$20)^'Real Estate'!R$101</f>
        <v>3.388200983675449</v>
      </c>
      <c r="S117" s="47">
        <f>'Assumptions &amp; Inputs'!$P17*'Assumptions &amp; Inputs'!$P$4/$E$3*(1+'Assumptions &amp; Inputs'!$G$20)^'Real Estate'!S$101</f>
        <v>3.4898470131857127</v>
      </c>
      <c r="T117" s="47">
        <f>'Assumptions &amp; Inputs'!$P17*'Assumptions &amp; Inputs'!$P$4/$E$3*(1+'Assumptions &amp; Inputs'!$G$20)^'Real Estate'!T$101</f>
        <v>3.5945424235812835</v>
      </c>
      <c r="U117" s="47">
        <f>'Assumptions &amp; Inputs'!$P17*'Assumptions &amp; Inputs'!$P$4/$E$3*(1+'Assumptions &amp; Inputs'!$G$20)^'Real Estate'!U$101</f>
        <v>3.7023786962887217</v>
      </c>
      <c r="V117" s="47">
        <f>'Assumptions &amp; Inputs'!$P17*'Assumptions &amp; Inputs'!$P$4/$E$3*(1+'Assumptions &amp; Inputs'!$G$20)^'Real Estate'!V$101</f>
        <v>3.8134500571773837</v>
      </c>
      <c r="W117" s="47">
        <f>'Assumptions &amp; Inputs'!$P17*'Assumptions &amp; Inputs'!$P$4/$E$3*(1+'Assumptions &amp; Inputs'!$G$20)^'Real Estate'!W$101</f>
        <v>3.9278535588927048</v>
      </c>
      <c r="X117" s="47">
        <f>'Assumptions &amp; Inputs'!$P17*'Assumptions &amp; Inputs'!$P$4/$E$3*(1+'Assumptions &amp; Inputs'!$G$20)^'Real Estate'!X$101</f>
        <v>4.0456891656594864</v>
      </c>
      <c r="Y117" s="47">
        <f>'Assumptions &amp; Inputs'!$P17*'Assumptions &amp; Inputs'!$P$4/$E$3*(1+'Assumptions &amp; Inputs'!$G$20)^'Real Estate'!Y$101</f>
        <v>4.1670598406292703</v>
      </c>
      <c r="Z117" s="47">
        <f>'Assumptions &amp; Inputs'!$P17*'Assumptions &amp; Inputs'!$P$4/$E$3*(1+'Assumptions &amp; Inputs'!$G$20)^'Real Estate'!Z$101</f>
        <v>4.2920716358481483</v>
      </c>
      <c r="AA117" s="47">
        <f>'Assumptions &amp; Inputs'!$P17*'Assumptions &amp; Inputs'!$P$4/$E$3*(1+'Assumptions &amp; Inputs'!$G$20)^'Real Estate'!AA$101</f>
        <v>4.4208337849235937</v>
      </c>
      <c r="AB117" s="47">
        <f>'Assumptions &amp; Inputs'!$P17*'Assumptions &amp; Inputs'!$P$4/$E$3*(1+'Assumptions &amp; Inputs'!$G$20)^'Real Estate'!AB$101</f>
        <v>4.5534587984713006</v>
      </c>
      <c r="AC117" s="47">
        <f>'Assumptions &amp; Inputs'!$P17*'Assumptions &amp; Inputs'!$P$4/$E$3*(1+'Assumptions &amp; Inputs'!$G$20)^'Real Estate'!AC$101</f>
        <v>4.6900625624254397</v>
      </c>
      <c r="AD117" s="47">
        <f>'Assumptions &amp; Inputs'!$P17*'Assumptions &amp; Inputs'!$P$4/$E$3*(1+'Assumptions &amp; Inputs'!$G$20)^'Real Estate'!AD$101</f>
        <v>4.8307644392982034</v>
      </c>
      <c r="AE117" s="47">
        <f>'Assumptions &amp; Inputs'!$P17*'Assumptions &amp; Inputs'!$P$4/$E$3*(1+'Assumptions &amp; Inputs'!$G$20)^'Real Estate'!AE$101</f>
        <v>4.9756873724771484</v>
      </c>
      <c r="AF117" s="47">
        <f>'Assumptions &amp; Inputs'!$P17*'Assumptions &amp; Inputs'!$P$4/$E$3*(1+'Assumptions &amp; Inputs'!$G$20)^'Real Estate'!AF$101</f>
        <v>5.1249579936514635</v>
      </c>
      <c r="AG117" s="47">
        <f>'Assumptions &amp; Inputs'!$P17*'Assumptions &amp; Inputs'!$P$4/$E$3*(1+'Assumptions &amp; Inputs'!$G$20)^'Real Estate'!AG$101</f>
        <v>5.2787067334610063</v>
      </c>
      <c r="AH117" s="47">
        <f>'Assumptions &amp; Inputs'!$P17*'Assumptions &amp; Inputs'!$P$4/$E$3*(1+'Assumptions &amp; Inputs'!$G$20)^'Real Estate'!AH$101</f>
        <v>5.437067935464837</v>
      </c>
      <c r="AI117" s="47">
        <f>'Assumptions &amp; Inputs'!$P17*'Assumptions &amp; Inputs'!$P$4/$E$3*(1+'Assumptions &amp; Inputs'!$G$20)^'Real Estate'!AI$101</f>
        <v>5.6001799735287827</v>
      </c>
      <c r="AJ117" s="47">
        <f>'Assumptions &amp; Inputs'!$P17*'Assumptions &amp; Inputs'!$P$4/$E$3*(1+'Assumptions &amp; Inputs'!$G$20)^'Real Estate'!AJ$101</f>
        <v>5.7681853727346448</v>
      </c>
      <c r="AK117" s="47">
        <f>'Assumptions &amp; Inputs'!$P17*'Assumptions &amp; Inputs'!$P$4/$E$3*(1+'Assumptions &amp; Inputs'!$G$20)^'Real Estate'!AK$101</f>
        <v>5.9412309339166853</v>
      </c>
      <c r="AL117" s="47">
        <f>'Assumptions &amp; Inputs'!$P17*'Assumptions &amp; Inputs'!$P$4/$E$3*(1+'Assumptions &amp; Inputs'!$G$20)^'Real Estate'!AL$101</f>
        <v>6.1194678619341847</v>
      </c>
      <c r="AM117" s="47">
        <f>'Assumptions &amp; Inputs'!$P17*'Assumptions &amp; Inputs'!$P$4/$E$3*(1+'Assumptions &amp; Inputs'!$G$20)^'Real Estate'!AM$101</f>
        <v>6.3030518977922112</v>
      </c>
      <c r="AN117" s="47">
        <f>'Assumptions &amp; Inputs'!$P17*'Assumptions &amp; Inputs'!$P$4/$E$3*(1+'Assumptions &amp; Inputs'!$G$20)^'Real Estate'!AN$101</f>
        <v>6.4921434547259773</v>
      </c>
      <c r="AO117" s="47">
        <f>'Assumptions &amp; Inputs'!$P17*'Assumptions &amp; Inputs'!$P$4/$E$3*(1+'Assumptions &amp; Inputs'!$G$20)^'Real Estate'!AO$101</f>
        <v>6.686907758367755</v>
      </c>
      <c r="AP117" s="47">
        <f>'Assumptions &amp; Inputs'!$P17*'Assumptions &amp; Inputs'!$P$4/$E$3*(1+'Assumptions &amp; Inputs'!$G$20)^'Real Estate'!AP$101</f>
        <v>6.8875149911187883</v>
      </c>
      <c r="AQ117" s="47">
        <f>'Assumptions &amp; Inputs'!$P17*'Assumptions &amp; Inputs'!$P$4/$E$3*(1+'Assumptions &amp; Inputs'!$G$20)^'Real Estate'!AQ$101</f>
        <v>7.0941404408523523</v>
      </c>
      <c r="AR117" s="47">
        <f>'Assumptions &amp; Inputs'!$P17*'Assumptions &amp; Inputs'!$P$4/$E$3*(1+'Assumptions &amp; Inputs'!$G$20)^'Real Estate'!AR$101</f>
        <v>7.3069646540779223</v>
      </c>
      <c r="AS117" s="47">
        <f>'Assumptions &amp; Inputs'!$P17*'Assumptions &amp; Inputs'!$P$4/$E$3*(1+'Assumptions &amp; Inputs'!$G$20)^'Real Estate'!AS$101</f>
        <v>7.5261735937002605</v>
      </c>
      <c r="AT117" s="47">
        <f>'Assumptions &amp; Inputs'!$P17*'Assumptions &amp; Inputs'!$P$4/$E$3*(1+'Assumptions &amp; Inputs'!$G$20)^'Real Estate'!AT$101</f>
        <v>7.7519588015112681</v>
      </c>
      <c r="AU117" s="47">
        <f>'Assumptions &amp; Inputs'!$P17*'Assumptions &amp; Inputs'!$P$4/$E$3*(1+'Assumptions &amp; Inputs'!$G$20)^'Real Estate'!AU$101</f>
        <v>7.9845175655566063</v>
      </c>
      <c r="AV117" s="47">
        <f>'Assumptions &amp; Inputs'!$P17*'Assumptions &amp; Inputs'!$P$4/$E$3*(1+'Assumptions &amp; Inputs'!$G$20)^'Real Estate'!AV$101</f>
        <v>8.2240530925233042</v>
      </c>
      <c r="AW117" s="47">
        <f>'Assumptions &amp; Inputs'!$P17*'Assumptions &amp; Inputs'!$P$4/$E$3*(1+'Assumptions &amp; Inputs'!$G$20)^'Real Estate'!AW$101</f>
        <v>8.470774685299002</v>
      </c>
    </row>
    <row r="118" spans="3:49" ht="14.25" customHeight="1">
      <c r="C118" s="44" t="s">
        <v>477</v>
      </c>
      <c r="D118" s="47">
        <f>'Assumptions &amp; Inputs'!$P19*'Assumptions &amp; Inputs'!$P$4/$E$3*(1+'Assumptions &amp; Inputs'!$G$20)^'Real Estate'!D$101</f>
        <v>2.2400000000000002</v>
      </c>
      <c r="E118" s="47">
        <f>'Assumptions &amp; Inputs'!$P19*'Assumptions &amp; Inputs'!$P$4/$E$3*(1+'Assumptions &amp; Inputs'!$G$20)^'Real Estate'!E$101</f>
        <v>2.3072000000000004</v>
      </c>
      <c r="F118" s="47">
        <f>'Assumptions &amp; Inputs'!$P19*'Assumptions &amp; Inputs'!$P$4/$E$3*(1+'Assumptions &amp; Inputs'!$G$20)^'Real Estate'!F$101</f>
        <v>2.3764160000000003</v>
      </c>
      <c r="G118" s="47">
        <f>'Assumptions &amp; Inputs'!$P19*'Assumptions &amp; Inputs'!$P$4/$E$3*(1+'Assumptions &amp; Inputs'!$G$20)^'Real Estate'!G$101</f>
        <v>2.4477084800000002</v>
      </c>
      <c r="H118" s="47">
        <f>'Assumptions &amp; Inputs'!$P19*'Assumptions &amp; Inputs'!$P$4/$E$3*(1+'Assumptions &amp; Inputs'!$G$20)^'Real Estate'!H$101</f>
        <v>2.5211397344000002</v>
      </c>
      <c r="I118" s="47">
        <f>'Assumptions &amp; Inputs'!$P19*'Assumptions &amp; Inputs'!$P$4/$E$3*(1+'Assumptions &amp; Inputs'!$G$20)^'Real Estate'!I$101</f>
        <v>2.5967739264319998</v>
      </c>
      <c r="J118" s="47">
        <f>'Assumptions &amp; Inputs'!$P19*'Assumptions &amp; Inputs'!$P$4/$E$3*(1+'Assumptions &amp; Inputs'!$G$20)^'Real Estate'!J$101</f>
        <v>2.6746771442249599</v>
      </c>
      <c r="K118" s="47">
        <f>'Assumptions &amp; Inputs'!$P19*'Assumptions &amp; Inputs'!$P$4/$E$3*(1+'Assumptions &amp; Inputs'!$G$20)^'Real Estate'!K$101</f>
        <v>2.7549174585517089</v>
      </c>
      <c r="L118" s="47">
        <f>'Assumptions &amp; Inputs'!$P19*'Assumptions &amp; Inputs'!$P$4/$E$3*(1+'Assumptions &amp; Inputs'!$G$20)^'Real Estate'!L$101</f>
        <v>2.83756498230826</v>
      </c>
      <c r="M118" s="47">
        <f>'Assumptions &amp; Inputs'!$P19*'Assumptions &amp; Inputs'!$P$4/$E$3*(1+'Assumptions &amp; Inputs'!$G$20)^'Real Estate'!M$101</f>
        <v>2.922691931777508</v>
      </c>
      <c r="N118" s="47">
        <f>'Assumptions &amp; Inputs'!$P19*'Assumptions &amp; Inputs'!$P$4/$E$3*(1+'Assumptions &amp; Inputs'!$G$20)^'Real Estate'!N$101</f>
        <v>3.0103726897308332</v>
      </c>
      <c r="O118" s="47">
        <f>'Assumptions &amp; Inputs'!$P19*'Assumptions &amp; Inputs'!$P$4/$E$3*(1+'Assumptions &amp; Inputs'!$G$20)^'Real Estate'!O$101</f>
        <v>3.1006838704227584</v>
      </c>
      <c r="P118" s="47">
        <f>'Assumptions &amp; Inputs'!$P19*'Assumptions &amp; Inputs'!$P$4/$E$3*(1+'Assumptions &amp; Inputs'!$G$20)^'Real Estate'!P$101</f>
        <v>3.1937043865354404</v>
      </c>
      <c r="Q118" s="47">
        <f>'Assumptions &amp; Inputs'!$P19*'Assumptions &amp; Inputs'!$P$4/$E$3*(1+'Assumptions &amp; Inputs'!$G$20)^'Real Estate'!Q$101</f>
        <v>3.2895155181315037</v>
      </c>
      <c r="R118" s="47">
        <f>'Assumptions &amp; Inputs'!$P19*'Assumptions &amp; Inputs'!$P$4/$E$3*(1+'Assumptions &amp; Inputs'!$G$20)^'Real Estate'!R$101</f>
        <v>3.388200983675449</v>
      </c>
      <c r="S118" s="47">
        <f>'Assumptions &amp; Inputs'!$P19*'Assumptions &amp; Inputs'!$P$4/$E$3*(1+'Assumptions &amp; Inputs'!$G$20)^'Real Estate'!S$101</f>
        <v>3.4898470131857127</v>
      </c>
      <c r="T118" s="47">
        <f>'Assumptions &amp; Inputs'!$P19*'Assumptions &amp; Inputs'!$P$4/$E$3*(1+'Assumptions &amp; Inputs'!$G$20)^'Real Estate'!T$101</f>
        <v>3.5945424235812835</v>
      </c>
      <c r="U118" s="47">
        <f>'Assumptions &amp; Inputs'!$P19*'Assumptions &amp; Inputs'!$P$4/$E$3*(1+'Assumptions &amp; Inputs'!$G$20)^'Real Estate'!U$101</f>
        <v>3.7023786962887217</v>
      </c>
      <c r="V118" s="47">
        <f>'Assumptions &amp; Inputs'!$P19*'Assumptions &amp; Inputs'!$P$4/$E$3*(1+'Assumptions &amp; Inputs'!$G$20)^'Real Estate'!V$101</f>
        <v>3.8134500571773837</v>
      </c>
      <c r="W118" s="47">
        <f>'Assumptions &amp; Inputs'!$P19*'Assumptions &amp; Inputs'!$P$4/$E$3*(1+'Assumptions &amp; Inputs'!$G$20)^'Real Estate'!W$101</f>
        <v>3.9278535588927048</v>
      </c>
      <c r="X118" s="47">
        <f>'Assumptions &amp; Inputs'!$P19*'Assumptions &amp; Inputs'!$P$4/$E$3*(1+'Assumptions &amp; Inputs'!$G$20)^'Real Estate'!X$101</f>
        <v>4.0456891656594864</v>
      </c>
      <c r="Y118" s="47">
        <f>'Assumptions &amp; Inputs'!$P19*'Assumptions &amp; Inputs'!$P$4/$E$3*(1+'Assumptions &amp; Inputs'!$G$20)^'Real Estate'!Y$101</f>
        <v>4.1670598406292703</v>
      </c>
      <c r="Z118" s="47">
        <f>'Assumptions &amp; Inputs'!$P19*'Assumptions &amp; Inputs'!$P$4/$E$3*(1+'Assumptions &amp; Inputs'!$G$20)^'Real Estate'!Z$101</f>
        <v>4.2920716358481483</v>
      </c>
      <c r="AA118" s="47">
        <f>'Assumptions &amp; Inputs'!$P19*'Assumptions &amp; Inputs'!$P$4/$E$3*(1+'Assumptions &amp; Inputs'!$G$20)^'Real Estate'!AA$101</f>
        <v>4.4208337849235937</v>
      </c>
      <c r="AB118" s="47">
        <f>'Assumptions &amp; Inputs'!$P19*'Assumptions &amp; Inputs'!$P$4/$E$3*(1+'Assumptions &amp; Inputs'!$G$20)^'Real Estate'!AB$101</f>
        <v>4.5534587984713006</v>
      </c>
      <c r="AC118" s="47">
        <f>'Assumptions &amp; Inputs'!$P19*'Assumptions &amp; Inputs'!$P$4/$E$3*(1+'Assumptions &amp; Inputs'!$G$20)^'Real Estate'!AC$101</f>
        <v>4.6900625624254397</v>
      </c>
      <c r="AD118" s="47">
        <f>'Assumptions &amp; Inputs'!$P19*'Assumptions &amp; Inputs'!$P$4/$E$3*(1+'Assumptions &amp; Inputs'!$G$20)^'Real Estate'!AD$101</f>
        <v>4.8307644392982034</v>
      </c>
      <c r="AE118" s="47">
        <f>'Assumptions &amp; Inputs'!$P19*'Assumptions &amp; Inputs'!$P$4/$E$3*(1+'Assumptions &amp; Inputs'!$G$20)^'Real Estate'!AE$101</f>
        <v>4.9756873724771484</v>
      </c>
      <c r="AF118" s="47">
        <f>'Assumptions &amp; Inputs'!$P19*'Assumptions &amp; Inputs'!$P$4/$E$3*(1+'Assumptions &amp; Inputs'!$G$20)^'Real Estate'!AF$101</f>
        <v>5.1249579936514635</v>
      </c>
      <c r="AG118" s="47">
        <f>'Assumptions &amp; Inputs'!$P19*'Assumptions &amp; Inputs'!$P$4/$E$3*(1+'Assumptions &amp; Inputs'!$G$20)^'Real Estate'!AG$101</f>
        <v>5.2787067334610063</v>
      </c>
      <c r="AH118" s="47">
        <f>'Assumptions &amp; Inputs'!$P19*'Assumptions &amp; Inputs'!$P$4/$E$3*(1+'Assumptions &amp; Inputs'!$G$20)^'Real Estate'!AH$101</f>
        <v>5.437067935464837</v>
      </c>
      <c r="AI118" s="47">
        <f>'Assumptions &amp; Inputs'!$P19*'Assumptions &amp; Inputs'!$P$4/$E$3*(1+'Assumptions &amp; Inputs'!$G$20)^'Real Estate'!AI$101</f>
        <v>5.6001799735287827</v>
      </c>
      <c r="AJ118" s="47">
        <f>'Assumptions &amp; Inputs'!$P19*'Assumptions &amp; Inputs'!$P$4/$E$3*(1+'Assumptions &amp; Inputs'!$G$20)^'Real Estate'!AJ$101</f>
        <v>5.7681853727346448</v>
      </c>
      <c r="AK118" s="47">
        <f>'Assumptions &amp; Inputs'!$P19*'Assumptions &amp; Inputs'!$P$4/$E$3*(1+'Assumptions &amp; Inputs'!$G$20)^'Real Estate'!AK$101</f>
        <v>5.9412309339166853</v>
      </c>
      <c r="AL118" s="47">
        <f>'Assumptions &amp; Inputs'!$P19*'Assumptions &amp; Inputs'!$P$4/$E$3*(1+'Assumptions &amp; Inputs'!$G$20)^'Real Estate'!AL$101</f>
        <v>6.1194678619341847</v>
      </c>
      <c r="AM118" s="47">
        <f>'Assumptions &amp; Inputs'!$P19*'Assumptions &amp; Inputs'!$P$4/$E$3*(1+'Assumptions &amp; Inputs'!$G$20)^'Real Estate'!AM$101</f>
        <v>6.3030518977922112</v>
      </c>
      <c r="AN118" s="47">
        <f>'Assumptions &amp; Inputs'!$P19*'Assumptions &amp; Inputs'!$P$4/$E$3*(1+'Assumptions &amp; Inputs'!$G$20)^'Real Estate'!AN$101</f>
        <v>6.4921434547259773</v>
      </c>
      <c r="AO118" s="47">
        <f>'Assumptions &amp; Inputs'!$P19*'Assumptions &amp; Inputs'!$P$4/$E$3*(1+'Assumptions &amp; Inputs'!$G$20)^'Real Estate'!AO$101</f>
        <v>6.686907758367755</v>
      </c>
      <c r="AP118" s="47">
        <f>'Assumptions &amp; Inputs'!$P19*'Assumptions &amp; Inputs'!$P$4/$E$3*(1+'Assumptions &amp; Inputs'!$G$20)^'Real Estate'!AP$101</f>
        <v>6.8875149911187883</v>
      </c>
      <c r="AQ118" s="47">
        <f>'Assumptions &amp; Inputs'!$P19*'Assumptions &amp; Inputs'!$P$4/$E$3*(1+'Assumptions &amp; Inputs'!$G$20)^'Real Estate'!AQ$101</f>
        <v>7.0941404408523523</v>
      </c>
      <c r="AR118" s="47">
        <f>'Assumptions &amp; Inputs'!$P19*'Assumptions &amp; Inputs'!$P$4/$E$3*(1+'Assumptions &amp; Inputs'!$G$20)^'Real Estate'!AR$101</f>
        <v>7.3069646540779223</v>
      </c>
      <c r="AS118" s="47">
        <f>'Assumptions &amp; Inputs'!$P19*'Assumptions &amp; Inputs'!$P$4/$E$3*(1+'Assumptions &amp; Inputs'!$G$20)^'Real Estate'!AS$101</f>
        <v>7.5261735937002605</v>
      </c>
      <c r="AT118" s="47">
        <f>'Assumptions &amp; Inputs'!$P19*'Assumptions &amp; Inputs'!$P$4/$E$3*(1+'Assumptions &amp; Inputs'!$G$20)^'Real Estate'!AT$101</f>
        <v>7.7519588015112681</v>
      </c>
      <c r="AU118" s="47">
        <f>'Assumptions &amp; Inputs'!$P19*'Assumptions &amp; Inputs'!$P$4/$E$3*(1+'Assumptions &amp; Inputs'!$G$20)^'Real Estate'!AU$101</f>
        <v>7.9845175655566063</v>
      </c>
      <c r="AV118" s="47">
        <f>'Assumptions &amp; Inputs'!$P19*'Assumptions &amp; Inputs'!$P$4/$E$3*(1+'Assumptions &amp; Inputs'!$G$20)^'Real Estate'!AV$101</f>
        <v>8.2240530925233042</v>
      </c>
      <c r="AW118" s="47">
        <f>'Assumptions &amp; Inputs'!$P19*'Assumptions &amp; Inputs'!$P$4/$E$3*(1+'Assumptions &amp; Inputs'!$G$20)^'Real Estate'!AW$101</f>
        <v>8.470774685299002</v>
      </c>
    </row>
    <row r="119" spans="3:49" ht="14.25" customHeight="1">
      <c r="C119" s="44" t="s">
        <v>478</v>
      </c>
      <c r="D119" s="47">
        <f>'Assumptions &amp; Inputs'!$P21*'Assumptions &amp; Inputs'!$P$4/$E$3*(1+'Assumptions &amp; Inputs'!$G$20)^'Real Estate'!D$101</f>
        <v>0.28000000000000003</v>
      </c>
      <c r="E119" s="47">
        <f>'Assumptions &amp; Inputs'!$P21*'Assumptions &amp; Inputs'!$P$4/$E$3*(1+'Assumptions &amp; Inputs'!$G$20)^'Real Estate'!E$101</f>
        <v>0.28840000000000005</v>
      </c>
      <c r="F119" s="47">
        <f>'Assumptions &amp; Inputs'!$P21*'Assumptions &amp; Inputs'!$P$4/$E$3*(1+'Assumptions &amp; Inputs'!$G$20)^'Real Estate'!F$101</f>
        <v>0.29705200000000004</v>
      </c>
      <c r="G119" s="47">
        <f>'Assumptions &amp; Inputs'!$P21*'Assumptions &amp; Inputs'!$P$4/$E$3*(1+'Assumptions &amp; Inputs'!$G$20)^'Real Estate'!G$101</f>
        <v>0.30596356000000002</v>
      </c>
      <c r="H119" s="47">
        <f>'Assumptions &amp; Inputs'!$P21*'Assumptions &amp; Inputs'!$P$4/$E$3*(1+'Assumptions &amp; Inputs'!$G$20)^'Real Estate'!H$101</f>
        <v>0.31514246680000002</v>
      </c>
      <c r="I119" s="47">
        <f>'Assumptions &amp; Inputs'!$P21*'Assumptions &amp; Inputs'!$P$4/$E$3*(1+'Assumptions &amp; Inputs'!$G$20)^'Real Estate'!I$101</f>
        <v>0.32459674080399997</v>
      </c>
      <c r="J119" s="47">
        <f>'Assumptions &amp; Inputs'!$P21*'Assumptions &amp; Inputs'!$P$4/$E$3*(1+'Assumptions &amp; Inputs'!$G$20)^'Real Estate'!J$101</f>
        <v>0.33433464302811999</v>
      </c>
      <c r="K119" s="47">
        <f>'Assumptions &amp; Inputs'!$P21*'Assumptions &amp; Inputs'!$P$4/$E$3*(1+'Assumptions &amp; Inputs'!$G$20)^'Real Estate'!K$101</f>
        <v>0.34436468231896361</v>
      </c>
      <c r="L119" s="47">
        <f>'Assumptions &amp; Inputs'!$P21*'Assumptions &amp; Inputs'!$P$4/$E$3*(1+'Assumptions &amp; Inputs'!$G$20)^'Real Estate'!L$101</f>
        <v>0.35469562278853251</v>
      </c>
      <c r="M119" s="47">
        <f>'Assumptions &amp; Inputs'!$P21*'Assumptions &amp; Inputs'!$P$4/$E$3*(1+'Assumptions &amp; Inputs'!$G$20)^'Real Estate'!M$101</f>
        <v>0.3653364914721885</v>
      </c>
      <c r="N119" s="47">
        <f>'Assumptions &amp; Inputs'!$P21*'Assumptions &amp; Inputs'!$P$4/$E$3*(1+'Assumptions &amp; Inputs'!$G$20)^'Real Estate'!N$101</f>
        <v>0.37629658621635415</v>
      </c>
      <c r="O119" s="47">
        <f>'Assumptions &amp; Inputs'!$P21*'Assumptions &amp; Inputs'!$P$4/$E$3*(1+'Assumptions &amp; Inputs'!$G$20)^'Real Estate'!O$101</f>
        <v>0.3875854838028448</v>
      </c>
      <c r="P119" s="47">
        <f>'Assumptions &amp; Inputs'!$P21*'Assumptions &amp; Inputs'!$P$4/$E$3*(1+'Assumptions &amp; Inputs'!$G$20)^'Real Estate'!P$101</f>
        <v>0.39921304831693005</v>
      </c>
      <c r="Q119" s="47">
        <f>'Assumptions &amp; Inputs'!$P21*'Assumptions &amp; Inputs'!$P$4/$E$3*(1+'Assumptions &amp; Inputs'!$G$20)^'Real Estate'!Q$101</f>
        <v>0.41118943976643796</v>
      </c>
      <c r="R119" s="47">
        <f>'Assumptions &amp; Inputs'!$P21*'Assumptions &amp; Inputs'!$P$4/$E$3*(1+'Assumptions &amp; Inputs'!$G$20)^'Real Estate'!R$101</f>
        <v>0.42352512295943112</v>
      </c>
      <c r="S119" s="47">
        <f>'Assumptions &amp; Inputs'!$P21*'Assumptions &amp; Inputs'!$P$4/$E$3*(1+'Assumptions &amp; Inputs'!$G$20)^'Real Estate'!S$101</f>
        <v>0.43623087664821408</v>
      </c>
      <c r="T119" s="47">
        <f>'Assumptions &amp; Inputs'!$P21*'Assumptions &amp; Inputs'!$P$4/$E$3*(1+'Assumptions &amp; Inputs'!$G$20)^'Real Estate'!T$101</f>
        <v>0.44931780294766044</v>
      </c>
      <c r="U119" s="47">
        <f>'Assumptions &amp; Inputs'!$P21*'Assumptions &amp; Inputs'!$P$4/$E$3*(1+'Assumptions &amp; Inputs'!$G$20)^'Real Estate'!U$101</f>
        <v>0.46279733703609022</v>
      </c>
      <c r="V119" s="47">
        <f>'Assumptions &amp; Inputs'!$P21*'Assumptions &amp; Inputs'!$P$4/$E$3*(1+'Assumptions &amp; Inputs'!$G$20)^'Real Estate'!V$101</f>
        <v>0.47668125714717297</v>
      </c>
      <c r="W119" s="47">
        <f>'Assumptions &amp; Inputs'!$P21*'Assumptions &amp; Inputs'!$P$4/$E$3*(1+'Assumptions &amp; Inputs'!$G$20)^'Real Estate'!W$101</f>
        <v>0.4909816948615881</v>
      </c>
      <c r="X119" s="47">
        <f>'Assumptions &amp; Inputs'!$P21*'Assumptions &amp; Inputs'!$P$4/$E$3*(1+'Assumptions &amp; Inputs'!$G$20)^'Real Estate'!X$101</f>
        <v>0.50571114570743581</v>
      </c>
      <c r="Y119" s="47">
        <f>'Assumptions &amp; Inputs'!$P21*'Assumptions &amp; Inputs'!$P$4/$E$3*(1+'Assumptions &amp; Inputs'!$G$20)^'Real Estate'!Y$101</f>
        <v>0.52088248007865878</v>
      </c>
      <c r="Z119" s="47">
        <f>'Assumptions &amp; Inputs'!$P21*'Assumptions &amp; Inputs'!$P$4/$E$3*(1+'Assumptions &amp; Inputs'!$G$20)^'Real Estate'!Z$101</f>
        <v>0.53650895448101854</v>
      </c>
      <c r="AA119" s="47">
        <f>'Assumptions &amp; Inputs'!$P21*'Assumptions &amp; Inputs'!$P$4/$E$3*(1+'Assumptions &amp; Inputs'!$G$20)^'Real Estate'!AA$101</f>
        <v>0.55260422311544921</v>
      </c>
      <c r="AB119" s="47">
        <f>'Assumptions &amp; Inputs'!$P21*'Assumptions &amp; Inputs'!$P$4/$E$3*(1+'Assumptions &amp; Inputs'!$G$20)^'Real Estate'!AB$101</f>
        <v>0.56918234980891258</v>
      </c>
      <c r="AC119" s="47">
        <f>'Assumptions &amp; Inputs'!$P21*'Assumptions &amp; Inputs'!$P$4/$E$3*(1+'Assumptions &amp; Inputs'!$G$20)^'Real Estate'!AC$101</f>
        <v>0.58625782030317997</v>
      </c>
      <c r="AD119" s="47">
        <f>'Assumptions &amp; Inputs'!$P21*'Assumptions &amp; Inputs'!$P$4/$E$3*(1+'Assumptions &amp; Inputs'!$G$20)^'Real Estate'!AD$101</f>
        <v>0.60384555491227543</v>
      </c>
      <c r="AE119" s="47">
        <f>'Assumptions &amp; Inputs'!$P21*'Assumptions &amp; Inputs'!$P$4/$E$3*(1+'Assumptions &amp; Inputs'!$G$20)^'Real Estate'!AE$101</f>
        <v>0.62196092155964355</v>
      </c>
      <c r="AF119" s="47">
        <f>'Assumptions &amp; Inputs'!$P21*'Assumptions &amp; Inputs'!$P$4/$E$3*(1+'Assumptions &amp; Inputs'!$G$20)^'Real Estate'!AF$101</f>
        <v>0.64061974920643294</v>
      </c>
      <c r="AG119" s="47">
        <f>'Assumptions &amp; Inputs'!$P21*'Assumptions &amp; Inputs'!$P$4/$E$3*(1+'Assumptions &amp; Inputs'!$G$20)^'Real Estate'!AG$101</f>
        <v>0.65983834168262578</v>
      </c>
      <c r="AH119" s="47">
        <f>'Assumptions &amp; Inputs'!$P21*'Assumptions &amp; Inputs'!$P$4/$E$3*(1+'Assumptions &amp; Inputs'!$G$20)^'Real Estate'!AH$101</f>
        <v>0.67963349193310463</v>
      </c>
      <c r="AI119" s="47">
        <f>'Assumptions &amp; Inputs'!$P21*'Assumptions &amp; Inputs'!$P$4/$E$3*(1+'Assumptions &amp; Inputs'!$G$20)^'Real Estate'!AI$101</f>
        <v>0.70002249669109784</v>
      </c>
      <c r="AJ119" s="47">
        <f>'Assumptions &amp; Inputs'!$P21*'Assumptions &amp; Inputs'!$P$4/$E$3*(1+'Assumptions &amp; Inputs'!$G$20)^'Real Estate'!AJ$101</f>
        <v>0.7210231715918306</v>
      </c>
      <c r="AK119" s="47">
        <f>'Assumptions &amp; Inputs'!$P21*'Assumptions &amp; Inputs'!$P$4/$E$3*(1+'Assumptions &amp; Inputs'!$G$20)^'Real Estate'!AK$101</f>
        <v>0.74265386673958567</v>
      </c>
      <c r="AL119" s="47">
        <f>'Assumptions &amp; Inputs'!$P21*'Assumptions &amp; Inputs'!$P$4/$E$3*(1+'Assumptions &amp; Inputs'!$G$20)^'Real Estate'!AL$101</f>
        <v>0.76493348274177309</v>
      </c>
      <c r="AM119" s="47">
        <f>'Assumptions &amp; Inputs'!$P21*'Assumptions &amp; Inputs'!$P$4/$E$3*(1+'Assumptions &amp; Inputs'!$G$20)^'Real Estate'!AM$101</f>
        <v>0.7878814872240264</v>
      </c>
      <c r="AN119" s="47">
        <f>'Assumptions &amp; Inputs'!$P21*'Assumptions &amp; Inputs'!$P$4/$E$3*(1+'Assumptions &amp; Inputs'!$G$20)^'Real Estate'!AN$101</f>
        <v>0.81151793184074716</v>
      </c>
      <c r="AO119" s="47">
        <f>'Assumptions &amp; Inputs'!$P21*'Assumptions &amp; Inputs'!$P$4/$E$3*(1+'Assumptions &amp; Inputs'!$G$20)^'Real Estate'!AO$101</f>
        <v>0.83586346979596937</v>
      </c>
      <c r="AP119" s="47">
        <f>'Assumptions &amp; Inputs'!$P21*'Assumptions &amp; Inputs'!$P$4/$E$3*(1+'Assumptions &amp; Inputs'!$G$20)^'Real Estate'!AP$101</f>
        <v>0.86093937388984854</v>
      </c>
      <c r="AQ119" s="47">
        <f>'Assumptions &amp; Inputs'!$P21*'Assumptions &amp; Inputs'!$P$4/$E$3*(1+'Assumptions &amp; Inputs'!$G$20)^'Real Estate'!AQ$101</f>
        <v>0.88676755510654404</v>
      </c>
      <c r="AR119" s="47">
        <f>'Assumptions &amp; Inputs'!$P21*'Assumptions &amp; Inputs'!$P$4/$E$3*(1+'Assumptions &amp; Inputs'!$G$20)^'Real Estate'!AR$101</f>
        <v>0.91337058175974029</v>
      </c>
      <c r="AS119" s="47">
        <f>'Assumptions &amp; Inputs'!$P21*'Assumptions &amp; Inputs'!$P$4/$E$3*(1+'Assumptions &amp; Inputs'!$G$20)^'Real Estate'!AS$101</f>
        <v>0.94077169921253256</v>
      </c>
      <c r="AT119" s="47">
        <f>'Assumptions &amp; Inputs'!$P21*'Assumptions &amp; Inputs'!$P$4/$E$3*(1+'Assumptions &amp; Inputs'!$G$20)^'Real Estate'!AT$101</f>
        <v>0.96899485018890852</v>
      </c>
      <c r="AU119" s="47">
        <f>'Assumptions &amp; Inputs'!$P21*'Assumptions &amp; Inputs'!$P$4/$E$3*(1+'Assumptions &amp; Inputs'!$G$20)^'Real Estate'!AU$101</f>
        <v>0.99806469569457579</v>
      </c>
      <c r="AV119" s="47">
        <f>'Assumptions &amp; Inputs'!$P21*'Assumptions &amp; Inputs'!$P$4/$E$3*(1+'Assumptions &amp; Inputs'!$G$20)^'Real Estate'!AV$101</f>
        <v>1.028006636565413</v>
      </c>
      <c r="AW119" s="47">
        <f>'Assumptions &amp; Inputs'!$P21*'Assumptions &amp; Inputs'!$P$4/$E$3*(1+'Assumptions &amp; Inputs'!$G$20)^'Real Estate'!AW$101</f>
        <v>1.0588468356623753</v>
      </c>
    </row>
    <row r="120" spans="3:49" ht="14.25" customHeight="1">
      <c r="C120" s="44" t="s">
        <v>479</v>
      </c>
      <c r="D120" s="47">
        <f>'Assumptions &amp; Inputs'!$P18*'Assumptions &amp; Inputs'!$P$4/$E$3*(1+'Assumptions &amp; Inputs'!$G$20)^'Real Estate'!D$101</f>
        <v>1.68</v>
      </c>
      <c r="E120" s="47">
        <f>'Assumptions &amp; Inputs'!$P18*'Assumptions &amp; Inputs'!$P$4/$E$3*(1+'Assumptions &amp; Inputs'!$G$20)^'Real Estate'!E$101</f>
        <v>1.7303999999999999</v>
      </c>
      <c r="F120" s="47">
        <f>'Assumptions &amp; Inputs'!$P18*'Assumptions &amp; Inputs'!$P$4/$E$3*(1+'Assumptions &amp; Inputs'!$G$20)^'Real Estate'!F$101</f>
        <v>1.7823119999999999</v>
      </c>
      <c r="G120" s="47">
        <f>'Assumptions &amp; Inputs'!$P18*'Assumptions &amp; Inputs'!$P$4/$E$3*(1+'Assumptions &amp; Inputs'!$G$20)^'Real Estate'!G$101</f>
        <v>1.8357813599999999</v>
      </c>
      <c r="H120" s="47">
        <f>'Assumptions &amp; Inputs'!$P18*'Assumptions &amp; Inputs'!$P$4/$E$3*(1+'Assumptions &amp; Inputs'!$G$20)^'Real Estate'!H$101</f>
        <v>1.8908548007999997</v>
      </c>
      <c r="I120" s="47">
        <f>'Assumptions &amp; Inputs'!$P18*'Assumptions &amp; Inputs'!$P$4/$E$3*(1+'Assumptions &amp; Inputs'!$G$20)^'Real Estate'!I$101</f>
        <v>1.9475804448239997</v>
      </c>
      <c r="J120" s="47">
        <f>'Assumptions &amp; Inputs'!$P18*'Assumptions &amp; Inputs'!$P$4/$E$3*(1+'Assumptions &amp; Inputs'!$G$20)^'Real Estate'!J$101</f>
        <v>2.00600785816872</v>
      </c>
      <c r="K120" s="47">
        <f>'Assumptions &amp; Inputs'!$P18*'Assumptions &amp; Inputs'!$P$4/$E$3*(1+'Assumptions &amp; Inputs'!$G$20)^'Real Estate'!K$101</f>
        <v>2.0661880939137816</v>
      </c>
      <c r="L120" s="47">
        <f>'Assumptions &amp; Inputs'!$P18*'Assumptions &amp; Inputs'!$P$4/$E$3*(1+'Assumptions &amp; Inputs'!$G$20)^'Real Estate'!L$101</f>
        <v>2.1281737367311946</v>
      </c>
      <c r="M120" s="47">
        <f>'Assumptions &amp; Inputs'!$P18*'Assumptions &amp; Inputs'!$P$4/$E$3*(1+'Assumptions &amp; Inputs'!$G$20)^'Real Estate'!M$101</f>
        <v>2.1920189488331308</v>
      </c>
      <c r="N120" s="47">
        <f>'Assumptions &amp; Inputs'!$P18*'Assumptions &amp; Inputs'!$P$4/$E$3*(1+'Assumptions &amp; Inputs'!$G$20)^'Real Estate'!N$101</f>
        <v>2.2577795172981245</v>
      </c>
      <c r="O120" s="47">
        <f>'Assumptions &amp; Inputs'!$P18*'Assumptions &amp; Inputs'!$P$4/$E$3*(1+'Assumptions &amp; Inputs'!$G$20)^'Real Estate'!O$101</f>
        <v>2.3255129028170685</v>
      </c>
      <c r="P120" s="47">
        <f>'Assumptions &amp; Inputs'!$P18*'Assumptions &amp; Inputs'!$P$4/$E$3*(1+'Assumptions &amp; Inputs'!$G$20)^'Real Estate'!P$101</f>
        <v>2.3952782899015799</v>
      </c>
      <c r="Q120" s="47">
        <f>'Assumptions &amp; Inputs'!$P18*'Assumptions &amp; Inputs'!$P$4/$E$3*(1+'Assumptions &amp; Inputs'!$G$20)^'Real Estate'!Q$101</f>
        <v>2.4671366385986273</v>
      </c>
      <c r="R120" s="47">
        <f>'Assumptions &amp; Inputs'!$P18*'Assumptions &amp; Inputs'!$P$4/$E$3*(1+'Assumptions &amp; Inputs'!$G$20)^'Real Estate'!R$101</f>
        <v>2.5411507377565865</v>
      </c>
      <c r="S120" s="47">
        <f>'Assumptions &amp; Inputs'!$P18*'Assumptions &amp; Inputs'!$P$4/$E$3*(1+'Assumptions &amp; Inputs'!$G$20)^'Real Estate'!S$101</f>
        <v>2.6173852598892839</v>
      </c>
      <c r="T120" s="47">
        <f>'Assumptions &amp; Inputs'!$P18*'Assumptions &amp; Inputs'!$P$4/$E$3*(1+'Assumptions &amp; Inputs'!$G$20)^'Real Estate'!T$101</f>
        <v>2.695906817685962</v>
      </c>
      <c r="U120" s="47">
        <f>'Assumptions &amp; Inputs'!$P18*'Assumptions &amp; Inputs'!$P$4/$E$3*(1+'Assumptions &amp; Inputs'!$G$20)^'Real Estate'!U$101</f>
        <v>2.7767840222165412</v>
      </c>
      <c r="V120" s="47">
        <f>'Assumptions &amp; Inputs'!$P18*'Assumptions &amp; Inputs'!$P$4/$E$3*(1+'Assumptions &amp; Inputs'!$G$20)^'Real Estate'!V$101</f>
        <v>2.8600875428830372</v>
      </c>
      <c r="W120" s="47">
        <f>'Assumptions &amp; Inputs'!$P18*'Assumptions &amp; Inputs'!$P$4/$E$3*(1+'Assumptions &amp; Inputs'!$G$20)^'Real Estate'!W$101</f>
        <v>2.9458901691695285</v>
      </c>
      <c r="X120" s="47">
        <f>'Assumptions &amp; Inputs'!$P18*'Assumptions &amp; Inputs'!$P$4/$E$3*(1+'Assumptions &amp; Inputs'!$G$20)^'Real Estate'!X$101</f>
        <v>3.0342668742446142</v>
      </c>
      <c r="Y120" s="47">
        <f>'Assumptions &amp; Inputs'!$P18*'Assumptions &amp; Inputs'!$P$4/$E$3*(1+'Assumptions &amp; Inputs'!$G$20)^'Real Estate'!Y$101</f>
        <v>3.125294880471952</v>
      </c>
      <c r="Z120" s="47">
        <f>'Assumptions &amp; Inputs'!$P18*'Assumptions &amp; Inputs'!$P$4/$E$3*(1+'Assumptions &amp; Inputs'!$G$20)^'Real Estate'!Z$101</f>
        <v>3.219053726886111</v>
      </c>
      <c r="AA120" s="47">
        <f>'Assumptions &amp; Inputs'!$P18*'Assumptions &amp; Inputs'!$P$4/$E$3*(1+'Assumptions &amp; Inputs'!$G$20)^'Real Estate'!AA$101</f>
        <v>3.3156253386926946</v>
      </c>
      <c r="AB120" s="47">
        <f>'Assumptions &amp; Inputs'!$P18*'Assumptions &amp; Inputs'!$P$4/$E$3*(1+'Assumptions &amp; Inputs'!$G$20)^'Real Estate'!AB$101</f>
        <v>3.415094098853475</v>
      </c>
      <c r="AC120" s="47">
        <f>'Assumptions &amp; Inputs'!$P18*'Assumptions &amp; Inputs'!$P$4/$E$3*(1+'Assumptions &amp; Inputs'!$G$20)^'Real Estate'!AC$101</f>
        <v>3.5175469218190791</v>
      </c>
      <c r="AD120" s="47">
        <f>'Assumptions &amp; Inputs'!$P18*'Assumptions &amp; Inputs'!$P$4/$E$3*(1+'Assumptions &amp; Inputs'!$G$20)^'Real Estate'!AD$101</f>
        <v>3.6230733294736521</v>
      </c>
      <c r="AE120" s="47">
        <f>'Assumptions &amp; Inputs'!$P18*'Assumptions &amp; Inputs'!$P$4/$E$3*(1+'Assumptions &amp; Inputs'!$G$20)^'Real Estate'!AE$101</f>
        <v>3.7317655293578613</v>
      </c>
      <c r="AF120" s="47">
        <f>'Assumptions &amp; Inputs'!$P18*'Assumptions &amp; Inputs'!$P$4/$E$3*(1+'Assumptions &amp; Inputs'!$G$20)^'Real Estate'!AF$101</f>
        <v>3.8437184952385968</v>
      </c>
      <c r="AG120" s="47">
        <f>'Assumptions &amp; Inputs'!$P18*'Assumptions &amp; Inputs'!$P$4/$E$3*(1+'Assumptions &amp; Inputs'!$G$20)^'Real Estate'!AG$101</f>
        <v>3.9590300500957545</v>
      </c>
      <c r="AH120" s="47">
        <f>'Assumptions &amp; Inputs'!$P18*'Assumptions &amp; Inputs'!$P$4/$E$3*(1+'Assumptions &amp; Inputs'!$G$20)^'Real Estate'!AH$101</f>
        <v>4.0778009515986273</v>
      </c>
      <c r="AI120" s="47">
        <f>'Assumptions &amp; Inputs'!$P18*'Assumptions &amp; Inputs'!$P$4/$E$3*(1+'Assumptions &amp; Inputs'!$G$20)^'Real Estate'!AI$101</f>
        <v>4.2001349801465864</v>
      </c>
      <c r="AJ120" s="47">
        <f>'Assumptions &amp; Inputs'!$P18*'Assumptions &amp; Inputs'!$P$4/$E$3*(1+'Assumptions &amp; Inputs'!$G$20)^'Real Estate'!AJ$101</f>
        <v>4.3261390295509834</v>
      </c>
      <c r="AK120" s="47">
        <f>'Assumptions &amp; Inputs'!$P18*'Assumptions &amp; Inputs'!$P$4/$E$3*(1+'Assumptions &amp; Inputs'!$G$20)^'Real Estate'!AK$101</f>
        <v>4.4559232004375131</v>
      </c>
      <c r="AL120" s="47">
        <f>'Assumptions &amp; Inputs'!$P18*'Assumptions &amp; Inputs'!$P$4/$E$3*(1+'Assumptions &amp; Inputs'!$G$20)^'Real Estate'!AL$101</f>
        <v>4.5896008964506381</v>
      </c>
      <c r="AM120" s="47">
        <f>'Assumptions &amp; Inputs'!$P18*'Assumptions &amp; Inputs'!$P$4/$E$3*(1+'Assumptions &amp; Inputs'!$G$20)^'Real Estate'!AM$101</f>
        <v>4.7272889233441573</v>
      </c>
      <c r="AN120" s="47">
        <f>'Assumptions &amp; Inputs'!$P18*'Assumptions &amp; Inputs'!$P$4/$E$3*(1+'Assumptions &amp; Inputs'!$G$20)^'Real Estate'!AN$101</f>
        <v>4.8691075910444823</v>
      </c>
      <c r="AO120" s="47">
        <f>'Assumptions &amp; Inputs'!$P18*'Assumptions &amp; Inputs'!$P$4/$E$3*(1+'Assumptions &amp; Inputs'!$G$20)^'Real Estate'!AO$101</f>
        <v>5.015180818775816</v>
      </c>
      <c r="AP120" s="47">
        <f>'Assumptions &amp; Inputs'!$P18*'Assumptions &amp; Inputs'!$P$4/$E$3*(1+'Assumptions &amp; Inputs'!$G$20)^'Real Estate'!AP$101</f>
        <v>5.1656362433390903</v>
      </c>
      <c r="AQ120" s="47">
        <f>'Assumptions &amp; Inputs'!$P18*'Assumptions &amp; Inputs'!$P$4/$E$3*(1+'Assumptions &amp; Inputs'!$G$20)^'Real Estate'!AQ$101</f>
        <v>5.320605330639264</v>
      </c>
      <c r="AR120" s="47">
        <f>'Assumptions &amp; Inputs'!$P18*'Assumptions &amp; Inputs'!$P$4/$E$3*(1+'Assumptions &amp; Inputs'!$G$20)^'Real Estate'!AR$101</f>
        <v>5.4802234905584406</v>
      </c>
      <c r="AS120" s="47">
        <f>'Assumptions &amp; Inputs'!$P18*'Assumptions &amp; Inputs'!$P$4/$E$3*(1+'Assumptions &amp; Inputs'!$G$20)^'Real Estate'!AS$101</f>
        <v>5.6446301952751945</v>
      </c>
      <c r="AT120" s="47">
        <f>'Assumptions &amp; Inputs'!$P18*'Assumptions &amp; Inputs'!$P$4/$E$3*(1+'Assumptions &amp; Inputs'!$G$20)^'Real Estate'!AT$101</f>
        <v>5.8139691011334502</v>
      </c>
      <c r="AU120" s="47">
        <f>'Assumptions &amp; Inputs'!$P18*'Assumptions &amp; Inputs'!$P$4/$E$3*(1+'Assumptions &amp; Inputs'!$G$20)^'Real Estate'!AU$101</f>
        <v>5.9883881741674534</v>
      </c>
      <c r="AV120" s="47">
        <f>'Assumptions &amp; Inputs'!$P18*'Assumptions &amp; Inputs'!$P$4/$E$3*(1+'Assumptions &amp; Inputs'!$G$20)^'Real Estate'!AV$101</f>
        <v>6.1680398193924768</v>
      </c>
      <c r="AW120" s="47">
        <f>'Assumptions &amp; Inputs'!$P18*'Assumptions &amp; Inputs'!$P$4/$E$3*(1+'Assumptions &amp; Inputs'!$G$20)^'Real Estate'!AW$101</f>
        <v>6.3530810139742506</v>
      </c>
    </row>
    <row r="121" spans="3:49" ht="14.25" customHeight="1">
      <c r="C121" s="48" t="s">
        <v>480</v>
      </c>
      <c r="D121" s="290">
        <f>SUM(D116:D118)</f>
        <v>5.6000000000000005</v>
      </c>
      <c r="E121" s="290">
        <f t="shared" ref="E121:AW121" si="409">SUM(E116:E118)</f>
        <v>5.7680000000000007</v>
      </c>
      <c r="F121" s="290">
        <f t="shared" si="409"/>
        <v>5.941040000000001</v>
      </c>
      <c r="G121" s="290">
        <f t="shared" si="409"/>
        <v>6.1192712</v>
      </c>
      <c r="H121" s="290">
        <f t="shared" si="409"/>
        <v>6.3028493360000004</v>
      </c>
      <c r="I121" s="290">
        <f t="shared" si="409"/>
        <v>6.4919348160799988</v>
      </c>
      <c r="J121" s="290">
        <f t="shared" si="409"/>
        <v>6.6866928605623999</v>
      </c>
      <c r="K121" s="290">
        <f t="shared" si="409"/>
        <v>6.8872936463792716</v>
      </c>
      <c r="L121" s="290">
        <f t="shared" si="409"/>
        <v>7.0939124557706501</v>
      </c>
      <c r="M121" s="290">
        <f t="shared" si="409"/>
        <v>7.3067298294437704</v>
      </c>
      <c r="N121" s="290">
        <f t="shared" si="409"/>
        <v>7.5259317243270836</v>
      </c>
      <c r="O121" s="290">
        <f t="shared" si="409"/>
        <v>7.7517096760568958</v>
      </c>
      <c r="P121" s="290">
        <f t="shared" si="409"/>
        <v>7.9842609663386011</v>
      </c>
      <c r="Q121" s="290">
        <f t="shared" si="409"/>
        <v>8.2237887953287583</v>
      </c>
      <c r="R121" s="290">
        <f t="shared" si="409"/>
        <v>8.4705024591886229</v>
      </c>
      <c r="S121" s="290">
        <f t="shared" si="409"/>
        <v>8.724617532964281</v>
      </c>
      <c r="T121" s="290">
        <f t="shared" si="409"/>
        <v>8.9863560589532092</v>
      </c>
      <c r="U121" s="290">
        <f t="shared" si="409"/>
        <v>9.2559467407218037</v>
      </c>
      <c r="V121" s="290">
        <f t="shared" si="409"/>
        <v>9.5336251429434586</v>
      </c>
      <c r="W121" s="290">
        <f t="shared" si="409"/>
        <v>9.8196338972317623</v>
      </c>
      <c r="X121" s="290">
        <f t="shared" si="409"/>
        <v>10.114222914148716</v>
      </c>
      <c r="Y121" s="290">
        <f t="shared" si="409"/>
        <v>10.417649601573174</v>
      </c>
      <c r="Z121" s="290">
        <f t="shared" si="409"/>
        <v>10.730179089620371</v>
      </c>
      <c r="AA121" s="290">
        <f t="shared" si="409"/>
        <v>11.052084462308983</v>
      </c>
      <c r="AB121" s="290">
        <f t="shared" si="409"/>
        <v>11.383646996178252</v>
      </c>
      <c r="AC121" s="290">
        <f t="shared" si="409"/>
        <v>11.725156406063601</v>
      </c>
      <c r="AD121" s="290">
        <f t="shared" si="409"/>
        <v>12.076911098245509</v>
      </c>
      <c r="AE121" s="290">
        <f t="shared" si="409"/>
        <v>12.43921843119287</v>
      </c>
      <c r="AF121" s="290">
        <f t="shared" si="409"/>
        <v>12.812394984128659</v>
      </c>
      <c r="AG121" s="290">
        <f t="shared" si="409"/>
        <v>13.196766833652514</v>
      </c>
      <c r="AH121" s="290">
        <f t="shared" si="409"/>
        <v>13.592669838662092</v>
      </c>
      <c r="AI121" s="290">
        <f t="shared" si="409"/>
        <v>14.000449933821958</v>
      </c>
      <c r="AJ121" s="290">
        <f t="shared" si="409"/>
        <v>14.420463431836613</v>
      </c>
      <c r="AK121" s="290">
        <f t="shared" si="409"/>
        <v>14.853077334791713</v>
      </c>
      <c r="AL121" s="290">
        <f t="shared" si="409"/>
        <v>15.298669654835463</v>
      </c>
      <c r="AM121" s="290">
        <f t="shared" si="409"/>
        <v>15.757629744480528</v>
      </c>
      <c r="AN121" s="290">
        <f t="shared" si="409"/>
        <v>16.230358636814945</v>
      </c>
      <c r="AO121" s="290">
        <f t="shared" si="409"/>
        <v>16.717269395919388</v>
      </c>
      <c r="AP121" s="290">
        <f t="shared" si="409"/>
        <v>17.218787477796972</v>
      </c>
      <c r="AQ121" s="290">
        <f t="shared" si="409"/>
        <v>17.735351102130881</v>
      </c>
      <c r="AR121" s="290">
        <f t="shared" si="409"/>
        <v>18.267411635194804</v>
      </c>
      <c r="AS121" s="290">
        <f t="shared" si="409"/>
        <v>18.815433984250653</v>
      </c>
      <c r="AT121" s="290">
        <f t="shared" si="409"/>
        <v>19.379897003778169</v>
      </c>
      <c r="AU121" s="290">
        <f t="shared" si="409"/>
        <v>19.961293913891517</v>
      </c>
      <c r="AV121" s="290">
        <f t="shared" si="409"/>
        <v>20.560132731308258</v>
      </c>
      <c r="AW121" s="290">
        <f t="shared" si="409"/>
        <v>21.176936713247507</v>
      </c>
    </row>
    <row r="122" spans="3:49" ht="14.25" customHeight="1">
      <c r="C122" s="44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</row>
    <row r="123" spans="3:49" ht="14.25" customHeight="1">
      <c r="C123" s="44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</row>
    <row r="124" spans="3:49" ht="14.25" customHeight="1">
      <c r="C124" s="109" t="s">
        <v>481</v>
      </c>
      <c r="D124" s="108">
        <f>SUM(D114, D121)</f>
        <v>5.6000000000000005</v>
      </c>
      <c r="E124" s="108">
        <f t="shared" ref="E124:AW124" si="410">SUM(E114, E121)</f>
        <v>5.7680000000000007</v>
      </c>
      <c r="F124" s="108">
        <f t="shared" si="410"/>
        <v>5.941040000000001</v>
      </c>
      <c r="G124" s="108">
        <f t="shared" si="410"/>
        <v>6.1192712</v>
      </c>
      <c r="H124" s="108">
        <f t="shared" si="410"/>
        <v>6.3028493360000004</v>
      </c>
      <c r="I124" s="108">
        <f t="shared" si="410"/>
        <v>6.4919348160799988</v>
      </c>
      <c r="J124" s="108">
        <f t="shared" si="410"/>
        <v>6.6866928605623999</v>
      </c>
      <c r="K124" s="108">
        <f t="shared" si="410"/>
        <v>6.8872936463792716</v>
      </c>
      <c r="L124" s="108">
        <f t="shared" si="410"/>
        <v>7.0939124557706501</v>
      </c>
      <c r="M124" s="108">
        <f t="shared" si="410"/>
        <v>7.3067298294437704</v>
      </c>
      <c r="N124" s="108">
        <f t="shared" si="410"/>
        <v>7.5259317243270836</v>
      </c>
      <c r="O124" s="108">
        <f t="shared" si="410"/>
        <v>7.7517096760568958</v>
      </c>
      <c r="P124" s="108">
        <f t="shared" si="410"/>
        <v>7.9842609663386011</v>
      </c>
      <c r="Q124" s="108">
        <f t="shared" si="410"/>
        <v>8.2237887953287583</v>
      </c>
      <c r="R124" s="108">
        <f t="shared" si="410"/>
        <v>8.4705024591886229</v>
      </c>
      <c r="S124" s="108">
        <f t="shared" si="410"/>
        <v>8.724617532964281</v>
      </c>
      <c r="T124" s="108">
        <f t="shared" si="410"/>
        <v>8.9863560589532092</v>
      </c>
      <c r="U124" s="108">
        <f t="shared" si="410"/>
        <v>9.2559467407218037</v>
      </c>
      <c r="V124" s="108">
        <f t="shared" si="410"/>
        <v>9.5336251429434586</v>
      </c>
      <c r="W124" s="108">
        <f t="shared" si="410"/>
        <v>9.8196338972317623</v>
      </c>
      <c r="X124" s="108">
        <f t="shared" si="410"/>
        <v>10.114222914148716</v>
      </c>
      <c r="Y124" s="108">
        <f t="shared" si="410"/>
        <v>10.417649601573174</v>
      </c>
      <c r="Z124" s="108">
        <f t="shared" si="410"/>
        <v>10.730179089620371</v>
      </c>
      <c r="AA124" s="108">
        <f t="shared" si="410"/>
        <v>11.052084462308983</v>
      </c>
      <c r="AB124" s="108">
        <f t="shared" si="410"/>
        <v>11.383646996178252</v>
      </c>
      <c r="AC124" s="108">
        <f t="shared" si="410"/>
        <v>11.725156406063601</v>
      </c>
      <c r="AD124" s="108">
        <f t="shared" si="410"/>
        <v>12.076911098245509</v>
      </c>
      <c r="AE124" s="108">
        <f t="shared" si="410"/>
        <v>12.43921843119287</v>
      </c>
      <c r="AF124" s="108">
        <f t="shared" si="410"/>
        <v>12.812394984128659</v>
      </c>
      <c r="AG124" s="108">
        <f t="shared" si="410"/>
        <v>13.196766833652514</v>
      </c>
      <c r="AH124" s="108">
        <f t="shared" si="410"/>
        <v>13.592669838662092</v>
      </c>
      <c r="AI124" s="108">
        <f t="shared" si="410"/>
        <v>14.000449933821958</v>
      </c>
      <c r="AJ124" s="108">
        <f t="shared" si="410"/>
        <v>14.420463431836613</v>
      </c>
      <c r="AK124" s="108">
        <f t="shared" si="410"/>
        <v>14.853077334791713</v>
      </c>
      <c r="AL124" s="108">
        <f t="shared" si="410"/>
        <v>15.298669654835463</v>
      </c>
      <c r="AM124" s="108">
        <f t="shared" si="410"/>
        <v>15.757629744480528</v>
      </c>
      <c r="AN124" s="108">
        <f t="shared" si="410"/>
        <v>16.230358636814945</v>
      </c>
      <c r="AO124" s="108">
        <f t="shared" si="410"/>
        <v>16.717269395919388</v>
      </c>
      <c r="AP124" s="108">
        <f t="shared" si="410"/>
        <v>17.218787477796972</v>
      </c>
      <c r="AQ124" s="108">
        <f t="shared" si="410"/>
        <v>17.735351102130881</v>
      </c>
      <c r="AR124" s="108">
        <f t="shared" si="410"/>
        <v>18.267411635194804</v>
      </c>
      <c r="AS124" s="108">
        <f t="shared" si="410"/>
        <v>18.815433984250653</v>
      </c>
      <c r="AT124" s="108">
        <f t="shared" si="410"/>
        <v>19.379897003778169</v>
      </c>
      <c r="AU124" s="108">
        <f t="shared" si="410"/>
        <v>19.961293913891517</v>
      </c>
      <c r="AV124" s="108">
        <f t="shared" si="410"/>
        <v>20.560132731308258</v>
      </c>
      <c r="AW124" s="108">
        <f t="shared" si="410"/>
        <v>21.176936713247507</v>
      </c>
    </row>
    <row r="125" spans="3:49" ht="14.25" customHeight="1">
      <c r="C125" s="44"/>
      <c r="D125" s="44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</row>
    <row r="126" spans="3:49" ht="14.25" customHeight="1">
      <c r="C126" s="46" t="s">
        <v>482</v>
      </c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</row>
    <row r="127" spans="3:49" ht="14.25" customHeight="1">
      <c r="C127" s="54" t="s">
        <v>483</v>
      </c>
      <c r="D127" s="170"/>
      <c r="E127" s="171">
        <f t="shared" ref="E127:AW127" si="411">-E94</f>
        <v>0</v>
      </c>
      <c r="F127" s="171">
        <f t="shared" si="411"/>
        <v>0</v>
      </c>
      <c r="G127" s="171">
        <f t="shared" si="411"/>
        <v>0</v>
      </c>
      <c r="H127" s="171">
        <f t="shared" si="411"/>
        <v>0</v>
      </c>
      <c r="I127" s="171">
        <f t="shared" si="411"/>
        <v>0</v>
      </c>
      <c r="J127" s="171">
        <f t="shared" si="411"/>
        <v>0</v>
      </c>
      <c r="K127" s="171">
        <f t="shared" si="411"/>
        <v>0</v>
      </c>
      <c r="L127" s="171">
        <f t="shared" si="411"/>
        <v>0</v>
      </c>
      <c r="M127" s="171">
        <f t="shared" si="411"/>
        <v>0</v>
      </c>
      <c r="N127" s="171">
        <f t="shared" si="411"/>
        <v>0</v>
      </c>
      <c r="O127" s="171">
        <f t="shared" si="411"/>
        <v>0</v>
      </c>
      <c r="P127" s="171">
        <f t="shared" si="411"/>
        <v>0</v>
      </c>
      <c r="Q127" s="171">
        <f t="shared" si="411"/>
        <v>0</v>
      </c>
      <c r="R127" s="171">
        <f t="shared" si="411"/>
        <v>0</v>
      </c>
      <c r="S127" s="171">
        <f t="shared" si="411"/>
        <v>0</v>
      </c>
      <c r="T127" s="171">
        <f t="shared" si="411"/>
        <v>0</v>
      </c>
      <c r="U127" s="171">
        <f t="shared" si="411"/>
        <v>0</v>
      </c>
      <c r="V127" s="171">
        <f t="shared" si="411"/>
        <v>0</v>
      </c>
      <c r="W127" s="171">
        <f t="shared" si="411"/>
        <v>0</v>
      </c>
      <c r="X127" s="171">
        <f t="shared" si="411"/>
        <v>0</v>
      </c>
      <c r="Y127" s="171">
        <f t="shared" si="411"/>
        <v>0</v>
      </c>
      <c r="Z127" s="171">
        <f t="shared" si="411"/>
        <v>0</v>
      </c>
      <c r="AA127" s="171">
        <f t="shared" si="411"/>
        <v>0</v>
      </c>
      <c r="AB127" s="171">
        <f t="shared" si="411"/>
        <v>0</v>
      </c>
      <c r="AC127" s="171">
        <f t="shared" si="411"/>
        <v>0</v>
      </c>
      <c r="AD127" s="171">
        <f t="shared" si="411"/>
        <v>0</v>
      </c>
      <c r="AE127" s="171">
        <f t="shared" si="411"/>
        <v>0</v>
      </c>
      <c r="AF127" s="171">
        <f t="shared" si="411"/>
        <v>0</v>
      </c>
      <c r="AG127" s="171">
        <f t="shared" si="411"/>
        <v>0</v>
      </c>
      <c r="AH127" s="171">
        <f t="shared" si="411"/>
        <v>0</v>
      </c>
      <c r="AI127" s="171">
        <f t="shared" si="411"/>
        <v>0</v>
      </c>
      <c r="AJ127" s="171">
        <f t="shared" si="411"/>
        <v>0</v>
      </c>
      <c r="AK127" s="171">
        <f t="shared" si="411"/>
        <v>0</v>
      </c>
      <c r="AL127" s="171">
        <f t="shared" si="411"/>
        <v>0</v>
      </c>
      <c r="AM127" s="171">
        <f t="shared" si="411"/>
        <v>0</v>
      </c>
      <c r="AN127" s="171">
        <f t="shared" si="411"/>
        <v>0</v>
      </c>
      <c r="AO127" s="171">
        <f t="shared" si="411"/>
        <v>0</v>
      </c>
      <c r="AP127" s="171">
        <f t="shared" si="411"/>
        <v>0</v>
      </c>
      <c r="AQ127" s="171">
        <f t="shared" si="411"/>
        <v>0</v>
      </c>
      <c r="AR127" s="171">
        <f t="shared" si="411"/>
        <v>0</v>
      </c>
      <c r="AS127" s="171">
        <f t="shared" si="411"/>
        <v>0</v>
      </c>
      <c r="AT127" s="171">
        <f t="shared" si="411"/>
        <v>0</v>
      </c>
      <c r="AU127" s="171">
        <f t="shared" si="411"/>
        <v>0</v>
      </c>
      <c r="AV127" s="171">
        <f t="shared" si="411"/>
        <v>0</v>
      </c>
      <c r="AW127" s="171">
        <f t="shared" si="411"/>
        <v>0</v>
      </c>
    </row>
    <row r="128" spans="3:49" ht="14.25" customHeight="1">
      <c r="C128" s="54" t="s">
        <v>484</v>
      </c>
      <c r="D128" s="170">
        <f>IF(D103=YEAR('Assumptions &amp; Inputs'!$P$13), 'Assumptions &amp; Inputs'!$P$12*'Assumptions &amp; Inputs'!$E$63, 0)</f>
        <v>0</v>
      </c>
      <c r="E128" s="170">
        <f>IF(E103=YEAR('Assumptions &amp; Inputs'!$P$13), 'Assumptions &amp; Inputs'!$P$12*'Assumptions &amp; Inputs'!$E$63, 0)</f>
        <v>0</v>
      </c>
      <c r="F128" s="170">
        <f>IF(F103=YEAR('Assumptions &amp; Inputs'!$P$13), 'Assumptions &amp; Inputs'!$P$12*'Assumptions &amp; Inputs'!$E$63, 0)/1000000</f>
        <v>0</v>
      </c>
      <c r="G128" s="170">
        <f>IF(G103=YEAR('Assumptions &amp; Inputs'!$P$13), 'Assumptions &amp; Inputs'!$P$12*'Assumptions &amp; Inputs'!$E$63, 0)</f>
        <v>0</v>
      </c>
      <c r="H128" s="170">
        <f>IF(H103=YEAR('Assumptions &amp; Inputs'!$P$13), 'Assumptions &amp; Inputs'!$P$12*'Assumptions &amp; Inputs'!$E$63, 0)</f>
        <v>0</v>
      </c>
      <c r="I128" s="170">
        <f>IF(I103=YEAR('Assumptions &amp; Inputs'!$P$13), 'Assumptions &amp; Inputs'!$P$12*'Assumptions &amp; Inputs'!$E$63, 0)</f>
        <v>0</v>
      </c>
      <c r="J128" s="170">
        <f>IF(J103=YEAR('Assumptions &amp; Inputs'!$P$13), 'Assumptions &amp; Inputs'!$P$12*'Assumptions &amp; Inputs'!$E$63, 0)</f>
        <v>0</v>
      </c>
      <c r="K128" s="170">
        <f>IF(K103=YEAR('Assumptions &amp; Inputs'!$P$13), 'Assumptions &amp; Inputs'!$P$12*'Assumptions &amp; Inputs'!$E$63, 0)</f>
        <v>0</v>
      </c>
      <c r="L128" s="170">
        <f>IF(L103=YEAR('Assumptions &amp; Inputs'!$P$13), 'Assumptions &amp; Inputs'!$P$12*'Assumptions &amp; Inputs'!$E$63, 0)</f>
        <v>0</v>
      </c>
      <c r="M128" s="170">
        <f>IF(M103=YEAR('Assumptions &amp; Inputs'!$P$13), 'Assumptions &amp; Inputs'!$P$12*'Assumptions &amp; Inputs'!$E$63, 0)</f>
        <v>0</v>
      </c>
      <c r="N128" s="170">
        <f>IF(N103=YEAR('Assumptions &amp; Inputs'!$P$13), 'Assumptions &amp; Inputs'!$P$12*'Assumptions &amp; Inputs'!$E$63, 0)</f>
        <v>0</v>
      </c>
      <c r="O128" s="170">
        <f>IF(O103=YEAR('Assumptions &amp; Inputs'!$P$13), 'Assumptions &amp; Inputs'!$P$12*'Assumptions &amp; Inputs'!$E$63, 0)</f>
        <v>0</v>
      </c>
      <c r="P128" s="170">
        <f>IF(P103=YEAR('Assumptions &amp; Inputs'!$P$13), 'Assumptions &amp; Inputs'!$P$12*'Assumptions &amp; Inputs'!$E$63, 0)</f>
        <v>0</v>
      </c>
      <c r="Q128" s="170">
        <f>IF(Q103=YEAR('Assumptions &amp; Inputs'!$P$13), 'Assumptions &amp; Inputs'!$P$12*'Assumptions &amp; Inputs'!$E$63, 0)</f>
        <v>0</v>
      </c>
      <c r="R128" s="170">
        <f>IF(R103=YEAR('Assumptions &amp; Inputs'!$P$13), 'Assumptions &amp; Inputs'!$P$12*'Assumptions &amp; Inputs'!$E$63, 0)</f>
        <v>0</v>
      </c>
      <c r="S128" s="170">
        <f>IF(S103=YEAR('Assumptions &amp; Inputs'!$P$13), 'Assumptions &amp; Inputs'!$P$12*'Assumptions &amp; Inputs'!$E$63, 0)</f>
        <v>0</v>
      </c>
      <c r="T128" s="170">
        <f>IF(T103=YEAR('Assumptions &amp; Inputs'!$P$13), 'Assumptions &amp; Inputs'!$P$12*'Assumptions &amp; Inputs'!$E$63, 0)</f>
        <v>0</v>
      </c>
      <c r="U128" s="170">
        <f>IF(U103=YEAR('Assumptions &amp; Inputs'!$P$13), 'Assumptions &amp; Inputs'!$P$12*'Assumptions &amp; Inputs'!$E$63, 0)</f>
        <v>0</v>
      </c>
      <c r="V128" s="170">
        <f>IF(V103=YEAR('Assumptions &amp; Inputs'!$P$13), 'Assumptions &amp; Inputs'!$P$12*'Assumptions &amp; Inputs'!$E$63, 0)</f>
        <v>0</v>
      </c>
      <c r="W128" s="170">
        <f>IF(W103=YEAR('Assumptions &amp; Inputs'!$P$13), 'Assumptions &amp; Inputs'!$P$12*'Assumptions &amp; Inputs'!$E$63, 0)</f>
        <v>0</v>
      </c>
      <c r="X128" s="170">
        <f>IF(X103=YEAR('Assumptions &amp; Inputs'!$P$13), 'Assumptions &amp; Inputs'!$P$12*'Assumptions &amp; Inputs'!$E$63, 0)</f>
        <v>0</v>
      </c>
      <c r="Y128" s="170">
        <f>IF(Y103=YEAR('Assumptions &amp; Inputs'!$P$13), 'Assumptions &amp; Inputs'!$P$12*'Assumptions &amp; Inputs'!$E$63, 0)</f>
        <v>0</v>
      </c>
      <c r="Z128" s="170">
        <f>IF(Z103=YEAR('Assumptions &amp; Inputs'!$P$13), 'Assumptions &amp; Inputs'!$P$12*'Assumptions &amp; Inputs'!$E$63, 0)</f>
        <v>0</v>
      </c>
      <c r="AA128" s="170">
        <f>IF(AA103=YEAR('Assumptions &amp; Inputs'!$P$13), 'Assumptions &amp; Inputs'!$P$12*'Assumptions &amp; Inputs'!$E$63, 0)</f>
        <v>0</v>
      </c>
      <c r="AB128" s="170">
        <f>IF(AB103=YEAR('Assumptions &amp; Inputs'!$P$13), 'Assumptions &amp; Inputs'!$P$12*'Assumptions &amp; Inputs'!$E$63, 0)</f>
        <v>0</v>
      </c>
      <c r="AC128" s="170">
        <f>IF(AC103=YEAR('Assumptions &amp; Inputs'!$P$13), 'Assumptions &amp; Inputs'!$P$12*'Assumptions &amp; Inputs'!$E$63, 0)</f>
        <v>0</v>
      </c>
      <c r="AD128" s="170">
        <f>IF(AD103=YEAR('Assumptions &amp; Inputs'!$P$13), 'Assumptions &amp; Inputs'!$P$12*'Assumptions &amp; Inputs'!$E$63, 0)</f>
        <v>0</v>
      </c>
      <c r="AE128" s="170">
        <f>IF(AE103=YEAR('Assumptions &amp; Inputs'!$P$13), 'Assumptions &amp; Inputs'!$P$12*'Assumptions &amp; Inputs'!$E$63, 0)</f>
        <v>0</v>
      </c>
      <c r="AF128" s="170">
        <f>IF(AF103=YEAR('Assumptions &amp; Inputs'!$P$13), 'Assumptions &amp; Inputs'!$P$12*'Assumptions &amp; Inputs'!$E$63, 0)</f>
        <v>0</v>
      </c>
      <c r="AG128" s="170">
        <f>IF(AG103=YEAR('Assumptions &amp; Inputs'!$P$13), 'Assumptions &amp; Inputs'!$P$12*'Assumptions &amp; Inputs'!$E$63, 0)</f>
        <v>0</v>
      </c>
      <c r="AH128" s="170">
        <f>IF(AH103=YEAR('Assumptions &amp; Inputs'!$P$13), 'Assumptions &amp; Inputs'!$P$12*'Assumptions &amp; Inputs'!$E$63, 0)</f>
        <v>0</v>
      </c>
      <c r="AI128" s="170">
        <f>IF(AI103=YEAR('Assumptions &amp; Inputs'!$P$13), 'Assumptions &amp; Inputs'!$P$12*'Assumptions &amp; Inputs'!$E$63, 0)</f>
        <v>0</v>
      </c>
      <c r="AJ128" s="170">
        <f>IF(AJ103=YEAR('Assumptions &amp; Inputs'!$P$13), 'Assumptions &amp; Inputs'!$P$12*'Assumptions &amp; Inputs'!$E$63, 0)</f>
        <v>0</v>
      </c>
      <c r="AK128" s="170">
        <f>IF(AK103=YEAR('Assumptions &amp; Inputs'!$P$13), 'Assumptions &amp; Inputs'!$P$12*'Assumptions &amp; Inputs'!$E$63, 0)</f>
        <v>0</v>
      </c>
      <c r="AL128" s="170">
        <f>IF(AL103=YEAR('Assumptions &amp; Inputs'!$P$13), 'Assumptions &amp; Inputs'!$P$12*'Assumptions &amp; Inputs'!$E$63, 0)</f>
        <v>0</v>
      </c>
      <c r="AM128" s="170">
        <f>IF(AM103=YEAR('Assumptions &amp; Inputs'!$P$13), 'Assumptions &amp; Inputs'!$P$12*'Assumptions &amp; Inputs'!$E$63, 0)</f>
        <v>0</v>
      </c>
      <c r="AN128" s="170">
        <f>IF(AN103=YEAR('Assumptions &amp; Inputs'!$P$13), 'Assumptions &amp; Inputs'!$P$12*'Assumptions &amp; Inputs'!$E$63, 0)</f>
        <v>0</v>
      </c>
      <c r="AO128" s="170">
        <f>IF(AO103=YEAR('Assumptions &amp; Inputs'!$P$13), 'Assumptions &amp; Inputs'!$P$12*'Assumptions &amp; Inputs'!$E$63, 0)</f>
        <v>0</v>
      </c>
      <c r="AP128" s="170">
        <f>IF(AP103=YEAR('Assumptions &amp; Inputs'!$P$13), 'Assumptions &amp; Inputs'!$P$12*'Assumptions &amp; Inputs'!$E$63, 0)</f>
        <v>0</v>
      </c>
      <c r="AQ128" s="170">
        <f>IF(AQ103=YEAR('Assumptions &amp; Inputs'!$P$13), 'Assumptions &amp; Inputs'!$P$12*'Assumptions &amp; Inputs'!$E$63, 0)</f>
        <v>0</v>
      </c>
      <c r="AR128" s="170">
        <f>IF(AR103=YEAR('Assumptions &amp; Inputs'!$P$13), 'Assumptions &amp; Inputs'!$P$12*'Assumptions &amp; Inputs'!$E$63, 0)</f>
        <v>0</v>
      </c>
      <c r="AS128" s="170">
        <f>IF(AS103=YEAR('Assumptions &amp; Inputs'!$P$13), 'Assumptions &amp; Inputs'!$P$12*'Assumptions &amp; Inputs'!$E$63, 0)</f>
        <v>0</v>
      </c>
      <c r="AT128" s="170">
        <f>IF(AT103=YEAR('Assumptions &amp; Inputs'!$P$13), 'Assumptions &amp; Inputs'!$P$12*'Assumptions &amp; Inputs'!$E$63, 0)</f>
        <v>0</v>
      </c>
      <c r="AU128" s="170">
        <f>IF(AU103=YEAR('Assumptions &amp; Inputs'!$P$13), 'Assumptions &amp; Inputs'!$P$12*'Assumptions &amp; Inputs'!$E$63, 0)</f>
        <v>0</v>
      </c>
      <c r="AV128" s="170">
        <f>IF(AV103=YEAR('Assumptions &amp; Inputs'!$P$13), 'Assumptions &amp; Inputs'!$P$12*'Assumptions &amp; Inputs'!$E$63, 0)</f>
        <v>0</v>
      </c>
      <c r="AW128" s="170">
        <f>IF(AW103=YEAR('Assumptions &amp; Inputs'!$P$13), 'Assumptions &amp; Inputs'!$P$12*'Assumptions &amp; Inputs'!$E$63, 0)</f>
        <v>0</v>
      </c>
    </row>
    <row r="129" spans="3:49" ht="14.25" customHeight="1">
      <c r="C129" s="54" t="s">
        <v>485</v>
      </c>
      <c r="D129" s="44"/>
      <c r="E129" s="55"/>
      <c r="F129" s="55"/>
      <c r="G129" s="55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</row>
    <row r="130" spans="3:49" ht="14.25" customHeight="1">
      <c r="C130" s="59" t="s">
        <v>486</v>
      </c>
      <c r="D130" s="60">
        <f t="shared" ref="D130:N130" si="412">SUM(D127:D129)</f>
        <v>0</v>
      </c>
      <c r="E130" s="60">
        <f>SUM(E127:E129)</f>
        <v>0</v>
      </c>
      <c r="F130" s="60">
        <f t="shared" si="412"/>
        <v>0</v>
      </c>
      <c r="G130" s="60">
        <f t="shared" si="412"/>
        <v>0</v>
      </c>
      <c r="H130" s="60">
        <f t="shared" si="412"/>
        <v>0</v>
      </c>
      <c r="I130" s="60">
        <f t="shared" si="412"/>
        <v>0</v>
      </c>
      <c r="J130" s="60">
        <f t="shared" si="412"/>
        <v>0</v>
      </c>
      <c r="K130" s="60">
        <f t="shared" si="412"/>
        <v>0</v>
      </c>
      <c r="L130" s="60">
        <f t="shared" si="412"/>
        <v>0</v>
      </c>
      <c r="M130" s="60">
        <f t="shared" si="412"/>
        <v>0</v>
      </c>
      <c r="N130" s="60">
        <f t="shared" si="412"/>
        <v>0</v>
      </c>
      <c r="O130" s="60">
        <f t="shared" ref="O130" si="413">SUM(O127:O129)</f>
        <v>0</v>
      </c>
      <c r="P130" s="60">
        <f t="shared" ref="P130" si="414">SUM(P127:P129)</f>
        <v>0</v>
      </c>
      <c r="Q130" s="60">
        <f t="shared" ref="Q130" si="415">SUM(Q127:Q129)</f>
        <v>0</v>
      </c>
      <c r="R130" s="60">
        <f t="shared" ref="R130" si="416">SUM(R127:R129)</f>
        <v>0</v>
      </c>
      <c r="S130" s="60">
        <f t="shared" ref="S130" si="417">SUM(S127:S129)</f>
        <v>0</v>
      </c>
      <c r="T130" s="60">
        <f t="shared" ref="T130" si="418">SUM(T127:T129)</f>
        <v>0</v>
      </c>
      <c r="U130" s="60">
        <f t="shared" ref="U130" si="419">SUM(U127:U129)</f>
        <v>0</v>
      </c>
      <c r="V130" s="60">
        <f t="shared" ref="V130" si="420">SUM(V127:V129)</f>
        <v>0</v>
      </c>
      <c r="W130" s="60">
        <f t="shared" ref="W130" si="421">SUM(W127:W129)</f>
        <v>0</v>
      </c>
      <c r="X130" s="60">
        <f t="shared" ref="X130" si="422">SUM(X127:X129)</f>
        <v>0</v>
      </c>
      <c r="Y130" s="60">
        <f t="shared" ref="Y130" si="423">SUM(Y127:Y129)</f>
        <v>0</v>
      </c>
      <c r="Z130" s="60">
        <f t="shared" ref="Z130" si="424">SUM(Z127:Z129)</f>
        <v>0</v>
      </c>
      <c r="AA130" s="60">
        <f t="shared" ref="AA130" si="425">SUM(AA127:AA129)</f>
        <v>0</v>
      </c>
      <c r="AB130" s="60">
        <f t="shared" ref="AB130" si="426">SUM(AB127:AB129)</f>
        <v>0</v>
      </c>
      <c r="AC130" s="60">
        <f t="shared" ref="AC130" si="427">SUM(AC127:AC129)</f>
        <v>0</v>
      </c>
      <c r="AD130" s="60">
        <f t="shared" ref="AD130" si="428">SUM(AD127:AD129)</f>
        <v>0</v>
      </c>
      <c r="AE130" s="60">
        <f t="shared" ref="AE130" si="429">SUM(AE127:AE129)</f>
        <v>0</v>
      </c>
      <c r="AF130" s="60">
        <f t="shared" ref="AF130" si="430">SUM(AF127:AF129)</f>
        <v>0</v>
      </c>
      <c r="AG130" s="60">
        <f t="shared" ref="AG130" si="431">SUM(AG127:AG129)</f>
        <v>0</v>
      </c>
      <c r="AH130" s="60">
        <f t="shared" ref="AH130" si="432">SUM(AH127:AH129)</f>
        <v>0</v>
      </c>
      <c r="AI130" s="60">
        <f t="shared" ref="AI130" si="433">SUM(AI127:AI129)</f>
        <v>0</v>
      </c>
      <c r="AJ130" s="60">
        <f t="shared" ref="AJ130" si="434">SUM(AJ127:AJ129)</f>
        <v>0</v>
      </c>
      <c r="AK130" s="60">
        <f t="shared" ref="AK130" si="435">SUM(AK127:AK129)</f>
        <v>0</v>
      </c>
      <c r="AL130" s="60">
        <f t="shared" ref="AL130" si="436">SUM(AL127:AL129)</f>
        <v>0</v>
      </c>
      <c r="AM130" s="60">
        <f t="shared" ref="AM130" si="437">SUM(AM127:AM129)</f>
        <v>0</v>
      </c>
      <c r="AN130" s="60">
        <f t="shared" ref="AN130" si="438">SUM(AN127:AN129)</f>
        <v>0</v>
      </c>
      <c r="AO130" s="60">
        <f t="shared" ref="AO130" si="439">SUM(AO127:AO129)</f>
        <v>0</v>
      </c>
      <c r="AP130" s="60">
        <f t="shared" ref="AP130" si="440">SUM(AP127:AP129)</f>
        <v>0</v>
      </c>
      <c r="AQ130" s="60">
        <f>SUM(AQ127:AW129)</f>
        <v>0</v>
      </c>
      <c r="AR130" s="60">
        <f t="shared" ref="AR130" si="441">SUM(AR127:AR129)</f>
        <v>0</v>
      </c>
      <c r="AS130" s="60">
        <f t="shared" ref="AS130" si="442">SUM(AS127:AS129)</f>
        <v>0</v>
      </c>
      <c r="AT130" s="60">
        <f t="shared" ref="AT130" si="443">SUM(AT127:AT129)</f>
        <v>0</v>
      </c>
      <c r="AU130" s="60">
        <f t="shared" ref="AU130" si="444">SUM(AU127:AU129)</f>
        <v>0</v>
      </c>
      <c r="AV130" s="60">
        <f t="shared" ref="AV130" si="445">SUM(AV127:AV129)</f>
        <v>0</v>
      </c>
      <c r="AW130" s="60">
        <f t="shared" ref="AW130" si="446">SUM(AW127:AW129)</f>
        <v>0</v>
      </c>
    </row>
    <row r="131" spans="3:49" ht="14.25" customHeight="1">
      <c r="C131" s="44"/>
      <c r="D131" s="44"/>
      <c r="E131" s="52"/>
      <c r="F131" s="52"/>
      <c r="G131" s="52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</row>
    <row r="132" spans="3:49" ht="14.25" customHeight="1">
      <c r="C132" s="44"/>
      <c r="D132" s="44"/>
      <c r="E132" s="52"/>
      <c r="F132" s="52"/>
      <c r="G132" s="52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</row>
    <row r="133" spans="3:49" ht="14.25" customHeight="1">
      <c r="C133" s="109" t="s">
        <v>487</v>
      </c>
      <c r="D133" s="108">
        <f>+SUM(D124,D130)</f>
        <v>5.6000000000000005</v>
      </c>
      <c r="E133" s="108">
        <f>+SUM(E124,E130)</f>
        <v>5.7680000000000007</v>
      </c>
      <c r="F133" s="108">
        <f t="shared" ref="F133:N133" si="447">+SUM(F124,F130)</f>
        <v>5.941040000000001</v>
      </c>
      <c r="G133" s="108">
        <f t="shared" si="447"/>
        <v>6.1192712</v>
      </c>
      <c r="H133" s="108">
        <f t="shared" si="447"/>
        <v>6.3028493360000004</v>
      </c>
      <c r="I133" s="108">
        <f t="shared" si="447"/>
        <v>6.4919348160799988</v>
      </c>
      <c r="J133" s="108">
        <f t="shared" si="447"/>
        <v>6.6866928605623999</v>
      </c>
      <c r="K133" s="108">
        <f t="shared" si="447"/>
        <v>6.8872936463792716</v>
      </c>
      <c r="L133" s="108">
        <f t="shared" si="447"/>
        <v>7.0939124557706501</v>
      </c>
      <c r="M133" s="108">
        <f t="shared" si="447"/>
        <v>7.3067298294437704</v>
      </c>
      <c r="N133" s="108">
        <f t="shared" si="447"/>
        <v>7.5259317243270836</v>
      </c>
      <c r="O133" s="108">
        <f t="shared" ref="O133:AQ133" si="448">+SUM(O124,O130)</f>
        <v>7.7517096760568958</v>
      </c>
      <c r="P133" s="108">
        <f t="shared" si="448"/>
        <v>7.9842609663386011</v>
      </c>
      <c r="Q133" s="108">
        <f t="shared" si="448"/>
        <v>8.2237887953287583</v>
      </c>
      <c r="R133" s="108">
        <f t="shared" si="448"/>
        <v>8.4705024591886229</v>
      </c>
      <c r="S133" s="108">
        <f t="shared" si="448"/>
        <v>8.724617532964281</v>
      </c>
      <c r="T133" s="108">
        <f t="shared" si="448"/>
        <v>8.9863560589532092</v>
      </c>
      <c r="U133" s="108">
        <f t="shared" si="448"/>
        <v>9.2559467407218037</v>
      </c>
      <c r="V133" s="108">
        <f t="shared" si="448"/>
        <v>9.5336251429434586</v>
      </c>
      <c r="W133" s="108">
        <f t="shared" si="448"/>
        <v>9.8196338972317623</v>
      </c>
      <c r="X133" s="108">
        <f t="shared" si="448"/>
        <v>10.114222914148716</v>
      </c>
      <c r="Y133" s="108">
        <f t="shared" si="448"/>
        <v>10.417649601573174</v>
      </c>
      <c r="Z133" s="108">
        <f t="shared" si="448"/>
        <v>10.730179089620371</v>
      </c>
      <c r="AA133" s="108">
        <f t="shared" si="448"/>
        <v>11.052084462308983</v>
      </c>
      <c r="AB133" s="108">
        <f t="shared" si="448"/>
        <v>11.383646996178252</v>
      </c>
      <c r="AC133" s="108">
        <f t="shared" si="448"/>
        <v>11.725156406063601</v>
      </c>
      <c r="AD133" s="108">
        <f t="shared" si="448"/>
        <v>12.076911098245509</v>
      </c>
      <c r="AE133" s="108">
        <f t="shared" si="448"/>
        <v>12.43921843119287</v>
      </c>
      <c r="AF133" s="108">
        <f t="shared" si="448"/>
        <v>12.812394984128659</v>
      </c>
      <c r="AG133" s="108">
        <f t="shared" si="448"/>
        <v>13.196766833652514</v>
      </c>
      <c r="AH133" s="108">
        <f t="shared" si="448"/>
        <v>13.592669838662092</v>
      </c>
      <c r="AI133" s="108">
        <f t="shared" si="448"/>
        <v>14.000449933821958</v>
      </c>
      <c r="AJ133" s="108">
        <f t="shared" si="448"/>
        <v>14.420463431836613</v>
      </c>
      <c r="AK133" s="108">
        <f t="shared" si="448"/>
        <v>14.853077334791713</v>
      </c>
      <c r="AL133" s="108">
        <f t="shared" si="448"/>
        <v>15.298669654835463</v>
      </c>
      <c r="AM133" s="108">
        <f t="shared" si="448"/>
        <v>15.757629744480528</v>
      </c>
      <c r="AN133" s="108">
        <f t="shared" si="448"/>
        <v>16.230358636814945</v>
      </c>
      <c r="AO133" s="108">
        <f t="shared" si="448"/>
        <v>16.717269395919388</v>
      </c>
      <c r="AP133" s="108">
        <f t="shared" si="448"/>
        <v>17.218787477796972</v>
      </c>
      <c r="AQ133" s="108">
        <f t="shared" si="448"/>
        <v>17.735351102130881</v>
      </c>
      <c r="AR133" s="108">
        <f t="shared" ref="AR133:AV133" si="449">+SUM(AR124,AR130)</f>
        <v>18.267411635194804</v>
      </c>
      <c r="AS133" s="108">
        <f t="shared" si="449"/>
        <v>18.815433984250653</v>
      </c>
      <c r="AT133" s="108">
        <f t="shared" si="449"/>
        <v>19.379897003778169</v>
      </c>
      <c r="AU133" s="108">
        <f t="shared" si="449"/>
        <v>19.961293913891517</v>
      </c>
      <c r="AV133" s="108">
        <f t="shared" si="449"/>
        <v>20.560132731308258</v>
      </c>
      <c r="AW133" s="108">
        <f>+SUM(AW124,AW130)</f>
        <v>21.176936713247507</v>
      </c>
    </row>
    <row r="134" spans="3:49" ht="14.25" customHeight="1">
      <c r="C134" s="102" t="s">
        <v>488</v>
      </c>
      <c r="D134" s="104">
        <f>IF(D133&gt;0,-D133*'Assumptions &amp; Inputs'!$G$12,0)</f>
        <v>-1.4560000000000002</v>
      </c>
      <c r="E134" s="104">
        <f>IF(E133&gt;0,-E133*'Assumptions &amp; Inputs'!$G$12,0)</f>
        <v>-1.4996800000000001</v>
      </c>
      <c r="F134" s="104">
        <f>IF(F133&gt;0,-F133*'Assumptions &amp; Inputs'!$G$12,0)</f>
        <v>-1.5446704000000002</v>
      </c>
      <c r="G134" s="104">
        <f>IF(G133&gt;0,-G133*'Assumptions &amp; Inputs'!$G$12,0)</f>
        <v>-1.591010512</v>
      </c>
      <c r="H134" s="104">
        <f>IF(H133&gt;0,-H133*'Assumptions &amp; Inputs'!$G$12,0)</f>
        <v>-1.6387408273600002</v>
      </c>
      <c r="I134" s="104">
        <f>IF(I133&gt;0,-I133*'Assumptions &amp; Inputs'!$G$12,0)</f>
        <v>-1.6879030521807998</v>
      </c>
      <c r="J134" s="104">
        <f>IF(J133&gt;0,-J133*'Assumptions &amp; Inputs'!$G$12,0)</f>
        <v>-1.738540143746224</v>
      </c>
      <c r="K134" s="104">
        <f>IF(K133&gt;0,-K133*'Assumptions &amp; Inputs'!$G$12,0)</f>
        <v>-1.7906963480586107</v>
      </c>
      <c r="L134" s="104">
        <f>IF(L133&gt;0,-L133*'Assumptions &amp; Inputs'!$G$12,0)</f>
        <v>-1.844417238500369</v>
      </c>
      <c r="M134" s="104">
        <f>IF(M133&gt;0,-M133*'Assumptions &amp; Inputs'!$G$12,0)</f>
        <v>-1.8997497556553804</v>
      </c>
      <c r="N134" s="104">
        <f>IF(N133&gt;0,-N133*'Assumptions &amp; Inputs'!$G$12,0)</f>
        <v>-1.9567422483250418</v>
      </c>
      <c r="O134" s="104">
        <f>IF(O133&gt;0,-O133*'Assumptions &amp; Inputs'!$G$12,0)</f>
        <v>-2.0154445157747931</v>
      </c>
      <c r="P134" s="104">
        <f>IF(P133&gt;0,-P133*'Assumptions &amp; Inputs'!$G$12,0)</f>
        <v>-2.0759078512480365</v>
      </c>
      <c r="Q134" s="104">
        <f>IF(Q133&gt;0,-Q133*'Assumptions &amp; Inputs'!$G$12,0)</f>
        <v>-2.138185086785477</v>
      </c>
      <c r="R134" s="104">
        <f>IF(R133&gt;0,-R133*'Assumptions &amp; Inputs'!$G$12,0)</f>
        <v>-2.2023306393890421</v>
      </c>
      <c r="S134" s="104">
        <f>IF(S133&gt;0,-S133*'Assumptions &amp; Inputs'!$G$12,0)</f>
        <v>-2.268400558570713</v>
      </c>
      <c r="T134" s="104">
        <f>IF(T133&gt;0,-T133*'Assumptions &amp; Inputs'!$G$12,0)</f>
        <v>-2.3364525753278347</v>
      </c>
      <c r="U134" s="104">
        <f>IF(U133&gt;0,-U133*'Assumptions &amp; Inputs'!$G$12,0)</f>
        <v>-2.4065461525876692</v>
      </c>
      <c r="V134" s="104">
        <f>IF(V133&gt;0,-V133*'Assumptions &amp; Inputs'!$G$12,0)</f>
        <v>-2.4787425371652994</v>
      </c>
      <c r="W134" s="104">
        <f>IF(W133&gt;0,-W133*'Assumptions &amp; Inputs'!$G$12,0)</f>
        <v>-2.5531048132802581</v>
      </c>
      <c r="X134" s="104">
        <f>IF(X133&gt;0,-X133*'Assumptions &amp; Inputs'!$G$12,0)</f>
        <v>-2.6296979576786663</v>
      </c>
      <c r="Y134" s="104">
        <f>IF(Y133&gt;0,-Y133*'Assumptions &amp; Inputs'!$G$12,0)</f>
        <v>-2.7085888964090254</v>
      </c>
      <c r="Z134" s="104">
        <f>IF(Z133&gt;0,-Z133*'Assumptions &amp; Inputs'!$G$12,0)</f>
        <v>-2.7898465633012965</v>
      </c>
      <c r="AA134" s="104">
        <f>IF(AA133&gt;0,-AA133*'Assumptions &amp; Inputs'!$G$12,0)</f>
        <v>-2.8735419602003356</v>
      </c>
      <c r="AB134" s="104">
        <f>IF(AB133&gt;0,-AB133*'Assumptions &amp; Inputs'!$G$12,0)</f>
        <v>-2.9597482190063453</v>
      </c>
      <c r="AC134" s="104">
        <f>IF(AC133&gt;0,-AC133*'Assumptions &amp; Inputs'!$G$12,0)</f>
        <v>-3.0485406655765361</v>
      </c>
      <c r="AD134" s="104">
        <f>IF(AD133&gt;0,-AD133*'Assumptions &amp; Inputs'!$G$12,0)</f>
        <v>-3.1399968855438325</v>
      </c>
      <c r="AE134" s="104">
        <f>IF(AE133&gt;0,-AE133*'Assumptions &amp; Inputs'!$G$12,0)</f>
        <v>-3.2341967921101462</v>
      </c>
      <c r="AF134" s="104">
        <f>IF(AF133&gt;0,-AF133*'Assumptions &amp; Inputs'!$G$12,0)</f>
        <v>-3.3312226958734512</v>
      </c>
      <c r="AG134" s="104">
        <f>IF(AG133&gt;0,-AG133*'Assumptions &amp; Inputs'!$G$12,0)</f>
        <v>-3.4311593767496538</v>
      </c>
      <c r="AH134" s="104">
        <f>IF(AH133&gt;0,-AH133*'Assumptions &amp; Inputs'!$G$12,0)</f>
        <v>-3.5340941580521439</v>
      </c>
      <c r="AI134" s="104">
        <f>IF(AI133&gt;0,-AI133*'Assumptions &amp; Inputs'!$G$12,0)</f>
        <v>-3.6401169827937094</v>
      </c>
      <c r="AJ134" s="104">
        <f>IF(AJ133&gt;0,-AJ133*'Assumptions &amp; Inputs'!$G$12,0)</f>
        <v>-3.7493204922775192</v>
      </c>
      <c r="AK134" s="104">
        <f>IF(AK133&gt;0,-AK133*'Assumptions &amp; Inputs'!$G$12,0)</f>
        <v>-3.8618001070458456</v>
      </c>
      <c r="AL134" s="104">
        <f>IF(AL133&gt;0,-AL133*'Assumptions &amp; Inputs'!$G$12,0)</f>
        <v>-3.9776541102572205</v>
      </c>
      <c r="AM134" s="104">
        <f>IF(AM133&gt;0,-AM133*'Assumptions &amp; Inputs'!$G$12,0)</f>
        <v>-4.0969837335649375</v>
      </c>
      <c r="AN134" s="104">
        <f>IF(AN133&gt;0,-AN133*'Assumptions &amp; Inputs'!$G$12,0)</f>
        <v>-4.2198932455718854</v>
      </c>
      <c r="AO134" s="104">
        <f>IF(AO133&gt;0,-AO133*'Assumptions &amp; Inputs'!$G$12,0)</f>
        <v>-4.346490042939041</v>
      </c>
      <c r="AP134" s="104">
        <f>IF(AP133&gt;0,-AP133*'Assumptions &amp; Inputs'!$G$12,0)</f>
        <v>-4.4768847442272133</v>
      </c>
      <c r="AQ134" s="104">
        <f>IF(AQ133&gt;0,-AQ133*'Assumptions &amp; Inputs'!$G$12,0)</f>
        <v>-4.6111912865540292</v>
      </c>
      <c r="AR134" s="104">
        <f>IF(AR133&gt;0,-AR133*'Assumptions &amp; Inputs'!$G$12,0)</f>
        <v>-4.7495270251506492</v>
      </c>
      <c r="AS134" s="104">
        <f>IF(AS133&gt;0,-AS133*'Assumptions &amp; Inputs'!$G$12,0)</f>
        <v>-4.8920128359051702</v>
      </c>
      <c r="AT134" s="104">
        <f>IF(AT133&gt;0,-AT133*'Assumptions &amp; Inputs'!$G$12,0)</f>
        <v>-5.0387732209823239</v>
      </c>
      <c r="AU134" s="104">
        <f>IF(AU133&gt;0,-AU133*'Assumptions &amp; Inputs'!$G$12,0)</f>
        <v>-5.1899364176117944</v>
      </c>
      <c r="AV134" s="104">
        <f>IF(AV133&gt;0,-AV133*'Assumptions &amp; Inputs'!$G$12,0)</f>
        <v>-5.3456345101401475</v>
      </c>
      <c r="AW134" s="104">
        <f>IF(AW133&gt;0,-AW133*'Assumptions &amp; Inputs'!$G$12,0)</f>
        <v>-5.5060035454443517</v>
      </c>
    </row>
    <row r="135" spans="3:49" ht="14.25" customHeight="1">
      <c r="C135" s="44"/>
      <c r="D135" s="44"/>
      <c r="E135" s="55"/>
      <c r="F135" s="55"/>
      <c r="G135" s="55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</row>
    <row r="136" spans="3:49" ht="14.25" customHeight="1">
      <c r="C136" s="7" t="s">
        <v>489</v>
      </c>
      <c r="D136" s="72">
        <f>SUM(D133,D134)</f>
        <v>4.1440000000000001</v>
      </c>
      <c r="E136" s="72">
        <f t="shared" ref="E136:N136" si="450">SUM(E133,E134)</f>
        <v>4.268320000000001</v>
      </c>
      <c r="F136" s="72">
        <f t="shared" si="450"/>
        <v>4.3963696000000008</v>
      </c>
      <c r="G136" s="72">
        <f t="shared" si="450"/>
        <v>4.5282606879999996</v>
      </c>
      <c r="H136" s="72">
        <f t="shared" si="450"/>
        <v>4.66410850864</v>
      </c>
      <c r="I136" s="72">
        <f t="shared" si="450"/>
        <v>4.8040317638991992</v>
      </c>
      <c r="J136" s="72">
        <f t="shared" si="450"/>
        <v>4.9481527168161756</v>
      </c>
      <c r="K136" s="72">
        <f t="shared" si="450"/>
        <v>5.0965972983206607</v>
      </c>
      <c r="L136" s="72">
        <f t="shared" si="450"/>
        <v>5.2494952172702813</v>
      </c>
      <c r="M136" s="72">
        <f t="shared" si="450"/>
        <v>5.4069800737883895</v>
      </c>
      <c r="N136" s="72">
        <f t="shared" si="450"/>
        <v>5.5691894760020419</v>
      </c>
      <c r="O136" s="72">
        <f t="shared" ref="O136:AQ136" si="451">SUM(O133,O134)</f>
        <v>5.7362651602821026</v>
      </c>
      <c r="P136" s="72">
        <f t="shared" si="451"/>
        <v>5.9083531150905646</v>
      </c>
      <c r="Q136" s="72">
        <f t="shared" si="451"/>
        <v>6.0856037085432817</v>
      </c>
      <c r="R136" s="72">
        <f t="shared" si="451"/>
        <v>6.2681718197995808</v>
      </c>
      <c r="S136" s="72">
        <f t="shared" si="451"/>
        <v>6.456216974393568</v>
      </c>
      <c r="T136" s="72">
        <f t="shared" si="451"/>
        <v>6.6499034836253745</v>
      </c>
      <c r="U136" s="72">
        <f t="shared" si="451"/>
        <v>6.8494005881341344</v>
      </c>
      <c r="V136" s="72">
        <f t="shared" si="451"/>
        <v>7.0548826057781593</v>
      </c>
      <c r="W136" s="72">
        <f t="shared" si="451"/>
        <v>7.2665290839515038</v>
      </c>
      <c r="X136" s="72">
        <f t="shared" si="451"/>
        <v>7.4845249564700493</v>
      </c>
      <c r="Y136" s="72">
        <f t="shared" si="451"/>
        <v>7.7090607051641484</v>
      </c>
      <c r="Z136" s="72">
        <f t="shared" si="451"/>
        <v>7.9403325263190752</v>
      </c>
      <c r="AA136" s="72">
        <f t="shared" si="451"/>
        <v>8.1785425021086482</v>
      </c>
      <c r="AB136" s="72">
        <f t="shared" si="451"/>
        <v>8.4238987771719067</v>
      </c>
      <c r="AC136" s="72">
        <f t="shared" si="451"/>
        <v>8.6766157404870654</v>
      </c>
      <c r="AD136" s="72">
        <f t="shared" si="451"/>
        <v>8.9369142127016765</v>
      </c>
      <c r="AE136" s="72">
        <f t="shared" si="451"/>
        <v>9.2050216390827231</v>
      </c>
      <c r="AF136" s="72">
        <f t="shared" si="451"/>
        <v>9.4811722882552072</v>
      </c>
      <c r="AG136" s="72">
        <f t="shared" si="451"/>
        <v>9.7656074569028597</v>
      </c>
      <c r="AH136" s="72">
        <f t="shared" si="451"/>
        <v>10.058575680609948</v>
      </c>
      <c r="AI136" s="72">
        <f t="shared" si="451"/>
        <v>10.360332951028248</v>
      </c>
      <c r="AJ136" s="72">
        <f t="shared" si="451"/>
        <v>10.671142939559093</v>
      </c>
      <c r="AK136" s="72">
        <f t="shared" si="451"/>
        <v>10.991277227745869</v>
      </c>
      <c r="AL136" s="72">
        <f t="shared" si="451"/>
        <v>11.321015544578241</v>
      </c>
      <c r="AM136" s="72">
        <f t="shared" si="451"/>
        <v>11.660646010915592</v>
      </c>
      <c r="AN136" s="72">
        <f t="shared" si="451"/>
        <v>12.010465391243059</v>
      </c>
      <c r="AO136" s="72">
        <f t="shared" si="451"/>
        <v>12.370779352980346</v>
      </c>
      <c r="AP136" s="72">
        <f t="shared" si="451"/>
        <v>12.741902733569759</v>
      </c>
      <c r="AQ136" s="72">
        <f t="shared" si="451"/>
        <v>13.124159815576853</v>
      </c>
      <c r="AR136" s="72">
        <f t="shared" ref="AR136:AW136" si="452">SUM(AR133,AR134)</f>
        <v>13.517884610044156</v>
      </c>
      <c r="AS136" s="72">
        <f t="shared" si="452"/>
        <v>13.923421148345483</v>
      </c>
      <c r="AT136" s="72">
        <f t="shared" si="452"/>
        <v>14.341123782795844</v>
      </c>
      <c r="AU136" s="72">
        <f t="shared" si="452"/>
        <v>14.771357496279723</v>
      </c>
      <c r="AV136" s="72">
        <f t="shared" si="452"/>
        <v>15.21449822116811</v>
      </c>
      <c r="AW136" s="72">
        <f t="shared" si="452"/>
        <v>15.670933167803156</v>
      </c>
    </row>
    <row r="137" spans="3:49" ht="14.25" customHeight="1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3:49" ht="14.25" customHeight="1">
      <c r="C138" s="2" t="s">
        <v>490</v>
      </c>
      <c r="D138" s="61">
        <f t="shared" ref="D138:AW138" si="453">D17</f>
        <v>-47.6</v>
      </c>
      <c r="E138" s="61">
        <f t="shared" si="453"/>
        <v>0</v>
      </c>
      <c r="F138" s="61">
        <f t="shared" si="453"/>
        <v>0</v>
      </c>
      <c r="G138" s="61">
        <f t="shared" si="453"/>
        <v>0</v>
      </c>
      <c r="H138" s="61">
        <f t="shared" si="453"/>
        <v>0</v>
      </c>
      <c r="I138" s="61">
        <f t="shared" si="453"/>
        <v>0</v>
      </c>
      <c r="J138" s="61">
        <f t="shared" si="453"/>
        <v>0</v>
      </c>
      <c r="K138" s="61">
        <f t="shared" si="453"/>
        <v>0</v>
      </c>
      <c r="L138" s="61">
        <f t="shared" si="453"/>
        <v>0</v>
      </c>
      <c r="M138" s="61">
        <f t="shared" si="453"/>
        <v>0</v>
      </c>
      <c r="N138" s="61">
        <f t="shared" si="453"/>
        <v>0</v>
      </c>
      <c r="O138" s="61">
        <f t="shared" si="453"/>
        <v>0</v>
      </c>
      <c r="P138" s="61">
        <f t="shared" si="453"/>
        <v>0</v>
      </c>
      <c r="Q138" s="61">
        <f t="shared" si="453"/>
        <v>0</v>
      </c>
      <c r="R138" s="61">
        <f t="shared" si="453"/>
        <v>0</v>
      </c>
      <c r="S138" s="61">
        <f t="shared" si="453"/>
        <v>0</v>
      </c>
      <c r="T138" s="61">
        <f t="shared" si="453"/>
        <v>0</v>
      </c>
      <c r="U138" s="61">
        <f t="shared" si="453"/>
        <v>0</v>
      </c>
      <c r="V138" s="61">
        <f t="shared" si="453"/>
        <v>0</v>
      </c>
      <c r="W138" s="61">
        <f t="shared" si="453"/>
        <v>0</v>
      </c>
      <c r="X138" s="61">
        <f t="shared" si="453"/>
        <v>0</v>
      </c>
      <c r="Y138" s="61">
        <f t="shared" si="453"/>
        <v>0</v>
      </c>
      <c r="Z138" s="61">
        <f t="shared" si="453"/>
        <v>0</v>
      </c>
      <c r="AA138" s="61">
        <f t="shared" si="453"/>
        <v>0</v>
      </c>
      <c r="AB138" s="61">
        <f t="shared" si="453"/>
        <v>0</v>
      </c>
      <c r="AC138" s="61">
        <f t="shared" si="453"/>
        <v>0</v>
      </c>
      <c r="AD138" s="61">
        <f t="shared" si="453"/>
        <v>0</v>
      </c>
      <c r="AE138" s="61">
        <f t="shared" si="453"/>
        <v>0</v>
      </c>
      <c r="AF138" s="61">
        <f t="shared" si="453"/>
        <v>0</v>
      </c>
      <c r="AG138" s="61">
        <f t="shared" si="453"/>
        <v>0</v>
      </c>
      <c r="AH138" s="61">
        <f t="shared" si="453"/>
        <v>0</v>
      </c>
      <c r="AI138" s="61">
        <f t="shared" si="453"/>
        <v>0</v>
      </c>
      <c r="AJ138" s="61">
        <f t="shared" si="453"/>
        <v>0</v>
      </c>
      <c r="AK138" s="61">
        <f t="shared" si="453"/>
        <v>0</v>
      </c>
      <c r="AL138" s="61">
        <f t="shared" si="453"/>
        <v>0</v>
      </c>
      <c r="AM138" s="61">
        <f t="shared" si="453"/>
        <v>0</v>
      </c>
      <c r="AN138" s="61">
        <f t="shared" si="453"/>
        <v>0</v>
      </c>
      <c r="AO138" s="61">
        <f t="shared" si="453"/>
        <v>0</v>
      </c>
      <c r="AP138" s="61">
        <f t="shared" si="453"/>
        <v>0</v>
      </c>
      <c r="AQ138" s="61">
        <f t="shared" si="453"/>
        <v>0</v>
      </c>
      <c r="AR138" s="61">
        <f t="shared" si="453"/>
        <v>0</v>
      </c>
      <c r="AS138" s="61">
        <f t="shared" si="453"/>
        <v>0</v>
      </c>
      <c r="AT138" s="61">
        <f t="shared" si="453"/>
        <v>0</v>
      </c>
      <c r="AU138" s="61">
        <f t="shared" si="453"/>
        <v>0</v>
      </c>
      <c r="AV138" s="61">
        <f t="shared" si="453"/>
        <v>0</v>
      </c>
      <c r="AW138" s="61">
        <f t="shared" si="453"/>
        <v>0</v>
      </c>
    </row>
    <row r="139" spans="3:49" ht="14.25" customHeight="1">
      <c r="C139" s="1" t="s">
        <v>491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</row>
    <row r="140" spans="3:49" ht="14.25" customHeight="1">
      <c r="C140" s="184" t="s">
        <v>459</v>
      </c>
      <c r="D140" s="18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3:49" ht="14.25" customHeight="1">
      <c r="C141" s="1"/>
      <c r="D141" s="17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3:49" ht="14.25" customHeight="1">
      <c r="C142" s="2" t="s">
        <v>492</v>
      </c>
      <c r="D142" s="31"/>
      <c r="E142" s="31">
        <f>SUM(E124,-E139)</f>
        <v>5.7680000000000007</v>
      </c>
      <c r="F142" s="31">
        <f t="shared" ref="F142:N142" si="454">SUM(F124,-F139)</f>
        <v>5.941040000000001</v>
      </c>
      <c r="G142" s="31">
        <f t="shared" si="454"/>
        <v>6.1192712</v>
      </c>
      <c r="H142" s="31">
        <f t="shared" si="454"/>
        <v>6.3028493360000004</v>
      </c>
      <c r="I142" s="31">
        <f t="shared" si="454"/>
        <v>6.4919348160799988</v>
      </c>
      <c r="J142" s="31">
        <f t="shared" si="454"/>
        <v>6.6866928605623999</v>
      </c>
      <c r="K142" s="31">
        <f t="shared" si="454"/>
        <v>6.8872936463792716</v>
      </c>
      <c r="L142" s="31">
        <f t="shared" si="454"/>
        <v>7.0939124557706501</v>
      </c>
      <c r="M142" s="31">
        <f t="shared" si="454"/>
        <v>7.3067298294437704</v>
      </c>
      <c r="N142" s="31">
        <f t="shared" si="454"/>
        <v>7.5259317243270836</v>
      </c>
      <c r="O142" s="31">
        <f t="shared" ref="O142:AQ142" si="455">SUM(O124,-O139)</f>
        <v>7.7517096760568958</v>
      </c>
      <c r="P142" s="31">
        <f t="shared" si="455"/>
        <v>7.9842609663386011</v>
      </c>
      <c r="Q142" s="31">
        <f t="shared" si="455"/>
        <v>8.2237887953287583</v>
      </c>
      <c r="R142" s="31">
        <f t="shared" si="455"/>
        <v>8.4705024591886229</v>
      </c>
      <c r="S142" s="31">
        <f t="shared" si="455"/>
        <v>8.724617532964281</v>
      </c>
      <c r="T142" s="31">
        <f t="shared" si="455"/>
        <v>8.9863560589532092</v>
      </c>
      <c r="U142" s="31">
        <f t="shared" si="455"/>
        <v>9.2559467407218037</v>
      </c>
      <c r="V142" s="31">
        <f t="shared" si="455"/>
        <v>9.5336251429434586</v>
      </c>
      <c r="W142" s="31">
        <f t="shared" si="455"/>
        <v>9.8196338972317623</v>
      </c>
      <c r="X142" s="31">
        <f t="shared" si="455"/>
        <v>10.114222914148716</v>
      </c>
      <c r="Y142" s="31">
        <f t="shared" si="455"/>
        <v>10.417649601573174</v>
      </c>
      <c r="Z142" s="31">
        <f t="shared" si="455"/>
        <v>10.730179089620371</v>
      </c>
      <c r="AA142" s="31">
        <f t="shared" si="455"/>
        <v>11.052084462308983</v>
      </c>
      <c r="AB142" s="31">
        <f t="shared" si="455"/>
        <v>11.383646996178252</v>
      </c>
      <c r="AC142" s="31">
        <f t="shared" si="455"/>
        <v>11.725156406063601</v>
      </c>
      <c r="AD142" s="31">
        <f t="shared" si="455"/>
        <v>12.076911098245509</v>
      </c>
      <c r="AE142" s="31">
        <f t="shared" si="455"/>
        <v>12.43921843119287</v>
      </c>
      <c r="AF142" s="31">
        <f t="shared" si="455"/>
        <v>12.812394984128659</v>
      </c>
      <c r="AG142" s="31">
        <f t="shared" si="455"/>
        <v>13.196766833652514</v>
      </c>
      <c r="AH142" s="31">
        <f t="shared" si="455"/>
        <v>13.592669838662092</v>
      </c>
      <c r="AI142" s="31">
        <f t="shared" si="455"/>
        <v>14.000449933821958</v>
      </c>
      <c r="AJ142" s="31">
        <f t="shared" si="455"/>
        <v>14.420463431836613</v>
      </c>
      <c r="AK142" s="31">
        <f t="shared" si="455"/>
        <v>14.853077334791713</v>
      </c>
      <c r="AL142" s="31">
        <f t="shared" si="455"/>
        <v>15.298669654835463</v>
      </c>
      <c r="AM142" s="31">
        <f t="shared" si="455"/>
        <v>15.757629744480528</v>
      </c>
      <c r="AN142" s="31">
        <f t="shared" si="455"/>
        <v>16.230358636814945</v>
      </c>
      <c r="AO142" s="31">
        <f t="shared" si="455"/>
        <v>16.717269395919388</v>
      </c>
      <c r="AP142" s="31">
        <f t="shared" si="455"/>
        <v>17.218787477796972</v>
      </c>
      <c r="AQ142" s="31">
        <f t="shared" si="455"/>
        <v>17.735351102130881</v>
      </c>
      <c r="AR142" s="31">
        <f t="shared" ref="AR142:AW142" si="456">SUM(AR124,-AR139)</f>
        <v>18.267411635194804</v>
      </c>
      <c r="AS142" s="31">
        <f t="shared" si="456"/>
        <v>18.815433984250653</v>
      </c>
      <c r="AT142" s="31">
        <f t="shared" si="456"/>
        <v>19.379897003778169</v>
      </c>
      <c r="AU142" s="31">
        <f t="shared" si="456"/>
        <v>19.961293913891517</v>
      </c>
      <c r="AV142" s="31">
        <f t="shared" si="456"/>
        <v>20.560132731308258</v>
      </c>
      <c r="AW142" s="31">
        <f t="shared" si="456"/>
        <v>21.176936713247507</v>
      </c>
    </row>
  </sheetData>
  <mergeCells count="6">
    <mergeCell ref="E102:AI102"/>
    <mergeCell ref="E8:P8"/>
    <mergeCell ref="E24:AI24"/>
    <mergeCell ref="C57:E57"/>
    <mergeCell ref="C71:E71"/>
    <mergeCell ref="E81:AI81"/>
  </mergeCells>
  <pageMargins left="0.7" right="0.7" top="0.75" bottom="0.75" header="0" footer="0"/>
  <pageSetup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6">
    <tabColor theme="9" tint="-0.499984740745262"/>
  </sheetPr>
  <dimension ref="A2:AX140"/>
  <sheetViews>
    <sheetView workbookViewId="0">
      <selection activeCell="D13" sqref="D13"/>
    </sheetView>
  </sheetViews>
  <sheetFormatPr baseColWidth="10" defaultColWidth="14.33203125" defaultRowHeight="15" customHeight="1"/>
  <cols>
    <col min="1" max="1" width="3.6640625" customWidth="1"/>
    <col min="2" max="2" width="3.83203125" customWidth="1"/>
    <col min="3" max="3" width="42.83203125" customWidth="1"/>
  </cols>
  <sheetData>
    <row r="2" spans="1:49" ht="15" customHeight="1">
      <c r="C2" s="114" t="s">
        <v>469</v>
      </c>
      <c r="D2" s="116"/>
      <c r="E2" s="117">
        <v>1000</v>
      </c>
      <c r="F2" s="114"/>
    </row>
    <row r="3" spans="1:49" ht="15" customHeight="1">
      <c r="C3" s="114" t="s">
        <v>470</v>
      </c>
      <c r="D3" s="115"/>
      <c r="E3" s="118">
        <v>1000000</v>
      </c>
      <c r="F3" s="114"/>
    </row>
    <row r="4" spans="1:49" ht="14.25" customHeight="1"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49" ht="14.25" customHeight="1" thickBot="1">
      <c r="A5" s="1" t="s">
        <v>351</v>
      </c>
      <c r="C5" s="9" t="s">
        <v>352</v>
      </c>
      <c r="D5" s="9"/>
      <c r="E5" s="10"/>
      <c r="F5" s="10"/>
      <c r="G5" s="10"/>
      <c r="H5" s="10"/>
      <c r="I5" s="10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49" ht="14.25" customHeight="1">
      <c r="C6" s="12" t="s">
        <v>353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14.25" customHeight="1">
      <c r="C7" s="1"/>
      <c r="D7" s="43">
        <v>0</v>
      </c>
      <c r="E7" s="119">
        <f t="shared" ref="E7:X7" si="0">D7+1</f>
        <v>1</v>
      </c>
      <c r="F7" s="119">
        <f t="shared" si="0"/>
        <v>2</v>
      </c>
      <c r="G7" s="119">
        <f t="shared" si="0"/>
        <v>3</v>
      </c>
      <c r="H7" s="119">
        <f t="shared" si="0"/>
        <v>4</v>
      </c>
      <c r="I7" s="119">
        <f t="shared" si="0"/>
        <v>5</v>
      </c>
      <c r="J7" s="119">
        <f t="shared" si="0"/>
        <v>6</v>
      </c>
      <c r="K7" s="119">
        <f t="shared" si="0"/>
        <v>7</v>
      </c>
      <c r="L7" s="119">
        <f t="shared" si="0"/>
        <v>8</v>
      </c>
      <c r="M7" s="119">
        <f t="shared" si="0"/>
        <v>9</v>
      </c>
      <c r="N7" s="119">
        <f t="shared" si="0"/>
        <v>10</v>
      </c>
      <c r="O7" s="119">
        <f t="shared" si="0"/>
        <v>11</v>
      </c>
      <c r="P7" s="119">
        <f t="shared" si="0"/>
        <v>12</v>
      </c>
      <c r="Q7" s="119">
        <f t="shared" si="0"/>
        <v>13</v>
      </c>
      <c r="R7" s="119">
        <f t="shared" si="0"/>
        <v>14</v>
      </c>
      <c r="S7" s="119">
        <f t="shared" si="0"/>
        <v>15</v>
      </c>
      <c r="T7" s="119">
        <f t="shared" si="0"/>
        <v>16</v>
      </c>
      <c r="U7" s="119">
        <f t="shared" si="0"/>
        <v>17</v>
      </c>
      <c r="V7" s="119">
        <f t="shared" si="0"/>
        <v>18</v>
      </c>
      <c r="W7" s="119">
        <f t="shared" si="0"/>
        <v>19</v>
      </c>
      <c r="X7" s="119">
        <f t="shared" si="0"/>
        <v>20</v>
      </c>
      <c r="Y7" s="119">
        <f t="shared" ref="Y7:AW7" si="1">X7+1</f>
        <v>21</v>
      </c>
      <c r="Z7" s="119">
        <f t="shared" si="1"/>
        <v>22</v>
      </c>
      <c r="AA7" s="119">
        <f t="shared" si="1"/>
        <v>23</v>
      </c>
      <c r="AB7" s="119">
        <f t="shared" si="1"/>
        <v>24</v>
      </c>
      <c r="AC7" s="119">
        <f t="shared" si="1"/>
        <v>25</v>
      </c>
      <c r="AD7" s="119">
        <f t="shared" si="1"/>
        <v>26</v>
      </c>
      <c r="AE7" s="119">
        <f t="shared" si="1"/>
        <v>27</v>
      </c>
      <c r="AF7" s="119">
        <f t="shared" si="1"/>
        <v>28</v>
      </c>
      <c r="AG7" s="119">
        <f t="shared" si="1"/>
        <v>29</v>
      </c>
      <c r="AH7" s="119">
        <f t="shared" si="1"/>
        <v>30</v>
      </c>
      <c r="AI7" s="119">
        <f t="shared" si="1"/>
        <v>31</v>
      </c>
      <c r="AJ7" s="119">
        <f t="shared" si="1"/>
        <v>32</v>
      </c>
      <c r="AK7" s="119">
        <f t="shared" si="1"/>
        <v>33</v>
      </c>
      <c r="AL7" s="119">
        <f t="shared" si="1"/>
        <v>34</v>
      </c>
      <c r="AM7" s="119">
        <f t="shared" si="1"/>
        <v>35</v>
      </c>
      <c r="AN7" s="119">
        <f t="shared" si="1"/>
        <v>36</v>
      </c>
      <c r="AO7" s="119">
        <f t="shared" si="1"/>
        <v>37</v>
      </c>
      <c r="AP7" s="119">
        <f t="shared" si="1"/>
        <v>38</v>
      </c>
      <c r="AQ7" s="119">
        <f t="shared" si="1"/>
        <v>39</v>
      </c>
      <c r="AR7" s="119">
        <f t="shared" si="1"/>
        <v>40</v>
      </c>
      <c r="AS7" s="119">
        <f t="shared" si="1"/>
        <v>41</v>
      </c>
      <c r="AT7" s="119">
        <f t="shared" si="1"/>
        <v>42</v>
      </c>
      <c r="AU7" s="119">
        <f t="shared" si="1"/>
        <v>43</v>
      </c>
      <c r="AV7" s="119">
        <f t="shared" si="1"/>
        <v>44</v>
      </c>
      <c r="AW7" s="119">
        <f t="shared" si="1"/>
        <v>45</v>
      </c>
    </row>
    <row r="8" spans="1:49" ht="14.25" customHeight="1" thickBot="1">
      <c r="C8" s="200"/>
      <c r="D8" s="83"/>
      <c r="E8" s="806" t="s">
        <v>354</v>
      </c>
      <c r="F8" s="806"/>
      <c r="G8" s="806"/>
      <c r="H8" s="806"/>
      <c r="I8" s="806"/>
      <c r="J8" s="806"/>
      <c r="K8" s="806"/>
      <c r="L8" s="806"/>
      <c r="M8" s="806"/>
      <c r="N8" s="806"/>
      <c r="O8" s="806"/>
      <c r="P8" s="806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</row>
    <row r="9" spans="1:49" ht="14.25" customHeight="1">
      <c r="A9" s="2"/>
      <c r="B9" s="83"/>
      <c r="C9" s="202"/>
      <c r="D9" s="40">
        <f>YEAR(D10)</f>
        <v>2026</v>
      </c>
      <c r="E9" s="40">
        <f t="shared" ref="E9:X9" si="2">D9+1</f>
        <v>2027</v>
      </c>
      <c r="F9" s="40">
        <f t="shared" si="2"/>
        <v>2028</v>
      </c>
      <c r="G9" s="40">
        <f t="shared" si="2"/>
        <v>2029</v>
      </c>
      <c r="H9" s="40">
        <f t="shared" si="2"/>
        <v>2030</v>
      </c>
      <c r="I9" s="40">
        <f t="shared" si="2"/>
        <v>2031</v>
      </c>
      <c r="J9" s="40">
        <f t="shared" si="2"/>
        <v>2032</v>
      </c>
      <c r="K9" s="40">
        <f t="shared" si="2"/>
        <v>2033</v>
      </c>
      <c r="L9" s="40">
        <f t="shared" si="2"/>
        <v>2034</v>
      </c>
      <c r="M9" s="40">
        <f t="shared" si="2"/>
        <v>2035</v>
      </c>
      <c r="N9" s="40">
        <f t="shared" si="2"/>
        <v>2036</v>
      </c>
      <c r="O9" s="40">
        <f t="shared" si="2"/>
        <v>2037</v>
      </c>
      <c r="P9" s="40">
        <f t="shared" si="2"/>
        <v>2038</v>
      </c>
      <c r="Q9" s="40">
        <f t="shared" si="2"/>
        <v>2039</v>
      </c>
      <c r="R9" s="40">
        <f t="shared" si="2"/>
        <v>2040</v>
      </c>
      <c r="S9" s="40">
        <f t="shared" si="2"/>
        <v>2041</v>
      </c>
      <c r="T9" s="40">
        <f t="shared" si="2"/>
        <v>2042</v>
      </c>
      <c r="U9" s="40">
        <f t="shared" si="2"/>
        <v>2043</v>
      </c>
      <c r="V9" s="40">
        <f t="shared" si="2"/>
        <v>2044</v>
      </c>
      <c r="W9" s="40">
        <f t="shared" si="2"/>
        <v>2045</v>
      </c>
      <c r="X9" s="40">
        <f t="shared" si="2"/>
        <v>2046</v>
      </c>
      <c r="Y9" s="40">
        <f t="shared" ref="Y9" si="3">X9+1</f>
        <v>2047</v>
      </c>
      <c r="Z9" s="40">
        <f t="shared" ref="Z9" si="4">Y9+1</f>
        <v>2048</v>
      </c>
      <c r="AA9" s="40">
        <f t="shared" ref="AA9" si="5">Z9+1</f>
        <v>2049</v>
      </c>
      <c r="AB9" s="40">
        <f t="shared" ref="AB9" si="6">AA9+1</f>
        <v>2050</v>
      </c>
      <c r="AC9" s="40">
        <f t="shared" ref="AC9" si="7">AB9+1</f>
        <v>2051</v>
      </c>
      <c r="AD9" s="40">
        <f t="shared" ref="AD9" si="8">AC9+1</f>
        <v>2052</v>
      </c>
      <c r="AE9" s="40">
        <f t="shared" ref="AE9" si="9">AD9+1</f>
        <v>2053</v>
      </c>
      <c r="AF9" s="40">
        <f t="shared" ref="AF9" si="10">AE9+1</f>
        <v>2054</v>
      </c>
      <c r="AG9" s="40">
        <f t="shared" ref="AG9" si="11">AF9+1</f>
        <v>2055</v>
      </c>
      <c r="AH9" s="40">
        <f t="shared" ref="AH9" si="12">AG9+1</f>
        <v>2056</v>
      </c>
      <c r="AI9" s="40">
        <f t="shared" ref="AI9" si="13">AH9+1</f>
        <v>2057</v>
      </c>
      <c r="AJ9" s="40">
        <f t="shared" ref="AJ9" si="14">AI9+1</f>
        <v>2058</v>
      </c>
      <c r="AK9" s="40">
        <f t="shared" ref="AK9" si="15">AJ9+1</f>
        <v>2059</v>
      </c>
      <c r="AL9" s="40">
        <f t="shared" ref="AL9" si="16">AK9+1</f>
        <v>2060</v>
      </c>
      <c r="AM9" s="40">
        <f t="shared" ref="AM9" si="17">AL9+1</f>
        <v>2061</v>
      </c>
      <c r="AN9" s="40">
        <f t="shared" ref="AN9" si="18">AM9+1</f>
        <v>2062</v>
      </c>
      <c r="AO9" s="40">
        <f t="shared" ref="AO9" si="19">AN9+1</f>
        <v>2063</v>
      </c>
      <c r="AP9" s="40">
        <f t="shared" ref="AP9" si="20">AO9+1</f>
        <v>2064</v>
      </c>
      <c r="AQ9" s="40">
        <f t="shared" ref="AQ9" si="21">AP9+1</f>
        <v>2065</v>
      </c>
      <c r="AR9" s="40">
        <f t="shared" ref="AR9" si="22">AQ9+1</f>
        <v>2066</v>
      </c>
      <c r="AS9" s="40">
        <f t="shared" ref="AS9" si="23">AR9+1</f>
        <v>2067</v>
      </c>
      <c r="AT9" s="40">
        <f t="shared" ref="AT9" si="24">AS9+1</f>
        <v>2068</v>
      </c>
      <c r="AU9" s="40">
        <f t="shared" ref="AU9" si="25">AT9+1</f>
        <v>2069</v>
      </c>
      <c r="AV9" s="40">
        <f t="shared" ref="AV9" si="26">AU9+1</f>
        <v>2070</v>
      </c>
      <c r="AW9" s="41">
        <f t="shared" ref="AW9" si="27">AV9+1</f>
        <v>2071</v>
      </c>
    </row>
    <row r="10" spans="1:49" ht="14.25" customHeight="1">
      <c r="A10" s="2"/>
      <c r="B10" s="83"/>
      <c r="C10" s="94"/>
      <c r="D10" s="142">
        <f>'Assumptions &amp; Inputs'!$E$27</f>
        <v>46023</v>
      </c>
      <c r="E10" s="142">
        <f t="shared" ref="E10:X10" si="28">DATE(E9, 12, 31)</f>
        <v>46752</v>
      </c>
      <c r="F10" s="142">
        <f t="shared" si="28"/>
        <v>47118</v>
      </c>
      <c r="G10" s="142">
        <f t="shared" si="28"/>
        <v>47483</v>
      </c>
      <c r="H10" s="142">
        <f t="shared" si="28"/>
        <v>47848</v>
      </c>
      <c r="I10" s="142">
        <f t="shared" si="28"/>
        <v>48213</v>
      </c>
      <c r="J10" s="142">
        <f t="shared" si="28"/>
        <v>48579</v>
      </c>
      <c r="K10" s="142">
        <f t="shared" si="28"/>
        <v>48944</v>
      </c>
      <c r="L10" s="142">
        <f t="shared" si="28"/>
        <v>49309</v>
      </c>
      <c r="M10" s="142">
        <f t="shared" si="28"/>
        <v>49674</v>
      </c>
      <c r="N10" s="142">
        <f t="shared" si="28"/>
        <v>50040</v>
      </c>
      <c r="O10" s="142">
        <f t="shared" si="28"/>
        <v>50405</v>
      </c>
      <c r="P10" s="142">
        <f t="shared" si="28"/>
        <v>50770</v>
      </c>
      <c r="Q10" s="142">
        <f t="shared" si="28"/>
        <v>51135</v>
      </c>
      <c r="R10" s="142">
        <f t="shared" si="28"/>
        <v>51501</v>
      </c>
      <c r="S10" s="142">
        <f t="shared" si="28"/>
        <v>51866</v>
      </c>
      <c r="T10" s="142">
        <f t="shared" si="28"/>
        <v>52231</v>
      </c>
      <c r="U10" s="142">
        <f t="shared" si="28"/>
        <v>52596</v>
      </c>
      <c r="V10" s="142">
        <f t="shared" si="28"/>
        <v>52962</v>
      </c>
      <c r="W10" s="142">
        <f t="shared" si="28"/>
        <v>53327</v>
      </c>
      <c r="X10" s="142">
        <f t="shared" si="28"/>
        <v>53692</v>
      </c>
      <c r="Y10" s="142">
        <f t="shared" ref="Y10:AW10" si="29">DATE(Y9, 12, 31)</f>
        <v>54057</v>
      </c>
      <c r="Z10" s="142">
        <f t="shared" si="29"/>
        <v>54423</v>
      </c>
      <c r="AA10" s="142">
        <f t="shared" si="29"/>
        <v>54788</v>
      </c>
      <c r="AB10" s="142">
        <f t="shared" si="29"/>
        <v>55153</v>
      </c>
      <c r="AC10" s="142">
        <f t="shared" si="29"/>
        <v>55518</v>
      </c>
      <c r="AD10" s="142">
        <f t="shared" si="29"/>
        <v>55884</v>
      </c>
      <c r="AE10" s="142">
        <f t="shared" si="29"/>
        <v>56249</v>
      </c>
      <c r="AF10" s="142">
        <f t="shared" si="29"/>
        <v>56614</v>
      </c>
      <c r="AG10" s="142">
        <f t="shared" si="29"/>
        <v>56979</v>
      </c>
      <c r="AH10" s="142">
        <f t="shared" si="29"/>
        <v>57345</v>
      </c>
      <c r="AI10" s="142">
        <f t="shared" si="29"/>
        <v>57710</v>
      </c>
      <c r="AJ10" s="142">
        <f t="shared" si="29"/>
        <v>58075</v>
      </c>
      <c r="AK10" s="142">
        <f t="shared" si="29"/>
        <v>58440</v>
      </c>
      <c r="AL10" s="142">
        <f t="shared" si="29"/>
        <v>58806</v>
      </c>
      <c r="AM10" s="142">
        <f t="shared" si="29"/>
        <v>59171</v>
      </c>
      <c r="AN10" s="142">
        <f t="shared" si="29"/>
        <v>59536</v>
      </c>
      <c r="AO10" s="142">
        <f t="shared" si="29"/>
        <v>59901</v>
      </c>
      <c r="AP10" s="142">
        <f t="shared" si="29"/>
        <v>60267</v>
      </c>
      <c r="AQ10" s="142">
        <f t="shared" si="29"/>
        <v>60632</v>
      </c>
      <c r="AR10" s="142">
        <f t="shared" si="29"/>
        <v>60997</v>
      </c>
      <c r="AS10" s="142">
        <f t="shared" si="29"/>
        <v>61362</v>
      </c>
      <c r="AT10" s="142">
        <f t="shared" si="29"/>
        <v>61728</v>
      </c>
      <c r="AU10" s="142">
        <f t="shared" si="29"/>
        <v>62093</v>
      </c>
      <c r="AV10" s="142">
        <f t="shared" si="29"/>
        <v>62458</v>
      </c>
      <c r="AW10" s="107">
        <f t="shared" si="29"/>
        <v>62823</v>
      </c>
    </row>
    <row r="11" spans="1:49" ht="14.25" customHeight="1">
      <c r="B11" s="79"/>
      <c r="C11" s="252" t="s">
        <v>471</v>
      </c>
      <c r="D11" s="186">
        <f>IF(DATEDIF('Assumptions &amp; Inputs'!$E$27,DATE(YEAR('Assumptions &amp; Inputs'!$E$27),12,31),"m")&gt;'Assumptions &amp; Inputs'!$E$28, 'Assumptions &amp; Inputs'!$E$28, DATEDIF('Assumptions &amp; Inputs'!$E$27,DATE(YEAR('Assumptions &amp; Inputs'!$E$27),12,31),"m"))</f>
        <v>1</v>
      </c>
      <c r="E11" s="186">
        <f>IF('Assumptions &amp; Inputs'!$E$28-D12&lt;=12,MIN('Assumptions &amp; Inputs'!$E$28-D12,12), 12)</f>
        <v>0</v>
      </c>
      <c r="F11" s="186">
        <f>IF('Assumptions &amp; Inputs'!$E$28-E12&lt;=12,MIN('Assumptions &amp; Inputs'!$E$28-E12,12), 12)</f>
        <v>0</v>
      </c>
      <c r="G11" s="186">
        <f>IF('Assumptions &amp; Inputs'!$E$28-F12&lt;=12,MIN('Assumptions &amp; Inputs'!$E$28-F12,12), 12)</f>
        <v>0</v>
      </c>
      <c r="H11" s="186">
        <f>IF('Assumptions &amp; Inputs'!$E$28-G12&lt;=12,MIN('Assumptions &amp; Inputs'!$E$28-G12,12), 12)</f>
        <v>0</v>
      </c>
      <c r="I11" s="186">
        <f>IF('Assumptions &amp; Inputs'!$E$28-H12&lt;=12,MIN('Assumptions &amp; Inputs'!$E$28-H12,12), 12)</f>
        <v>0</v>
      </c>
      <c r="J11" s="186">
        <f>IF('Assumptions &amp; Inputs'!$E$28-I12&lt;=12,MIN('Assumptions &amp; Inputs'!$E$28-I12,12), 12)</f>
        <v>0</v>
      </c>
      <c r="K11" s="186">
        <f>IF('Assumptions &amp; Inputs'!$E$28-J12&lt;=12,MIN('Assumptions &amp; Inputs'!$E$28-J12,12), 12)</f>
        <v>0</v>
      </c>
      <c r="L11" s="186">
        <f>IF('Assumptions &amp; Inputs'!$E$28-K12&lt;=12,MIN('Assumptions &amp; Inputs'!$E$28-K12,12), 12)</f>
        <v>0</v>
      </c>
      <c r="M11" s="186">
        <f>IF('Assumptions &amp; Inputs'!$E$28-L12&lt;=12,MIN('Assumptions &amp; Inputs'!$E$28-L12,12), 12)</f>
        <v>0</v>
      </c>
      <c r="N11" s="186">
        <f>IF('Assumptions &amp; Inputs'!$E$28-M12&lt;=12,MIN('Assumptions &amp; Inputs'!$E$28-M12,12), 12)</f>
        <v>0</v>
      </c>
      <c r="O11" s="186">
        <f>IF('Assumptions &amp; Inputs'!$E$28-N12&lt;=12,MIN('Assumptions &amp; Inputs'!$E$28-N12,12), 12)</f>
        <v>0</v>
      </c>
      <c r="P11" s="186">
        <f>IF('Assumptions &amp; Inputs'!$E$28-O12&lt;=12,MIN('Assumptions &amp; Inputs'!$E$28-O12,12), 12)</f>
        <v>0</v>
      </c>
      <c r="Q11" s="186">
        <f>IF('Assumptions &amp; Inputs'!$E$28-P12&lt;=12,MIN('Assumptions &amp; Inputs'!$E$28-P12,12), 12)</f>
        <v>0</v>
      </c>
      <c r="R11" s="186">
        <f>IF('Assumptions &amp; Inputs'!$E$28-Q12&lt;=12,MIN('Assumptions &amp; Inputs'!$E$28-Q12,12), 12)</f>
        <v>0</v>
      </c>
      <c r="S11" s="186">
        <f>IF('Assumptions &amp; Inputs'!$E$28-R12&lt;=12,MIN('Assumptions &amp; Inputs'!$E$28-R12,12), 12)</f>
        <v>0</v>
      </c>
      <c r="T11" s="186">
        <f>IF('Assumptions &amp; Inputs'!$E$28-S12&lt;=12,MIN('Assumptions &amp; Inputs'!$E$28-S12,12), 12)</f>
        <v>0</v>
      </c>
      <c r="U11" s="186">
        <f>IF('Assumptions &amp; Inputs'!$E$28-T12&lt;=12,MIN('Assumptions &amp; Inputs'!$E$28-T12,12), 12)</f>
        <v>0</v>
      </c>
      <c r="V11" s="186">
        <f>IF('Assumptions &amp; Inputs'!$E$28-U12&lt;=12,MIN('Assumptions &amp; Inputs'!$E$28-U12,12), 12)</f>
        <v>0</v>
      </c>
      <c r="W11" s="186">
        <f>IF('Assumptions &amp; Inputs'!$E$28-V12&lt;=12,MIN('Assumptions &amp; Inputs'!$E$28-V12,12), 12)</f>
        <v>0</v>
      </c>
      <c r="X11" s="186">
        <f>IF('Assumptions &amp; Inputs'!$E$28-W12&lt;=12,MIN('Assumptions &amp; Inputs'!$E$28-W12,12), 12)</f>
        <v>0</v>
      </c>
      <c r="Y11" s="186">
        <f>IF('Assumptions &amp; Inputs'!$E$28-X12&lt;=12,MIN('Assumptions &amp; Inputs'!$E$28-X12,12), 12)</f>
        <v>0</v>
      </c>
      <c r="Z11" s="186">
        <f>IF('Assumptions &amp; Inputs'!$E$28-Y12&lt;=12,MIN('Assumptions &amp; Inputs'!$E$28-Y12,12), 12)</f>
        <v>0</v>
      </c>
      <c r="AA11" s="186">
        <f>IF('Assumptions &amp; Inputs'!$E$28-Z12&lt;=12,MIN('Assumptions &amp; Inputs'!$E$28-Z12,12), 12)</f>
        <v>0</v>
      </c>
      <c r="AB11" s="186">
        <f>IF('Assumptions &amp; Inputs'!$E$28-AA12&lt;=12,MIN('Assumptions &amp; Inputs'!$E$28-AA12,12), 12)</f>
        <v>0</v>
      </c>
      <c r="AC11" s="186">
        <f>IF('Assumptions &amp; Inputs'!$E$28-AB12&lt;=12,MIN('Assumptions &amp; Inputs'!$E$28-AB12,12), 12)</f>
        <v>0</v>
      </c>
      <c r="AD11" s="186">
        <f>IF('Assumptions &amp; Inputs'!$E$28-AC12&lt;=12,MIN('Assumptions &amp; Inputs'!$E$28-AC12,12), 12)</f>
        <v>0</v>
      </c>
      <c r="AE11" s="186">
        <f>IF('Assumptions &amp; Inputs'!$E$28-AD12&lt;=12,MIN('Assumptions &amp; Inputs'!$E$28-AD12,12), 12)</f>
        <v>0</v>
      </c>
      <c r="AF11" s="186">
        <f>IF('Assumptions &amp; Inputs'!$E$28-AE12&lt;=12,MIN('Assumptions &amp; Inputs'!$E$28-AE12,12), 12)</f>
        <v>0</v>
      </c>
      <c r="AG11" s="186">
        <f>IF('Assumptions &amp; Inputs'!$E$28-AF12&lt;=12,MIN('Assumptions &amp; Inputs'!$E$28-AF12,12), 12)</f>
        <v>0</v>
      </c>
      <c r="AH11" s="186">
        <f>IF('Assumptions &amp; Inputs'!$E$28-AG12&lt;=12,MIN('Assumptions &amp; Inputs'!$E$28-AG12,12), 12)</f>
        <v>0</v>
      </c>
      <c r="AI11" s="186">
        <f>IF('Assumptions &amp; Inputs'!$E$28-AH12&lt;=12,MIN('Assumptions &amp; Inputs'!$E$28-AH12,12), 12)</f>
        <v>0</v>
      </c>
      <c r="AJ11" s="186">
        <f>IF('Assumptions &amp; Inputs'!$E$28-AI12&lt;=12,MIN('Assumptions &amp; Inputs'!$E$28-AI12,12), 12)</f>
        <v>0</v>
      </c>
      <c r="AK11" s="186">
        <f>IF('Assumptions &amp; Inputs'!$E$28-AJ12&lt;=12,MIN('Assumptions &amp; Inputs'!$E$28-AJ12,12), 12)</f>
        <v>0</v>
      </c>
      <c r="AL11" s="186">
        <f>IF('Assumptions &amp; Inputs'!$E$28-AK12&lt;=12,MIN('Assumptions &amp; Inputs'!$E$28-AK12,12), 12)</f>
        <v>0</v>
      </c>
      <c r="AM11" s="186">
        <f>IF('Assumptions &amp; Inputs'!$E$28-AL12&lt;=12,MIN('Assumptions &amp; Inputs'!$E$28-AL12,12), 12)</f>
        <v>0</v>
      </c>
      <c r="AN11" s="186">
        <f>IF('Assumptions &amp; Inputs'!$E$28-AM12&lt;=12,MIN('Assumptions &amp; Inputs'!$E$28-AM12,12), 12)</f>
        <v>0</v>
      </c>
      <c r="AO11" s="186">
        <f>IF('Assumptions &amp; Inputs'!$E$28-AN12&lt;=12,MIN('Assumptions &amp; Inputs'!$E$28-AN12,12), 12)</f>
        <v>0</v>
      </c>
      <c r="AP11" s="186">
        <f>IF('Assumptions &amp; Inputs'!$E$28-AO12&lt;=12,MIN('Assumptions &amp; Inputs'!$E$28-AO12,12), 12)</f>
        <v>0</v>
      </c>
      <c r="AQ11" s="186">
        <f>IF('Assumptions &amp; Inputs'!$E$28-AP12&lt;=12,MIN('Assumptions &amp; Inputs'!$E$28-AP12,12), 12)</f>
        <v>0</v>
      </c>
      <c r="AR11" s="186">
        <f>IF('Assumptions &amp; Inputs'!$E$28-AQ12&lt;=12,MIN('Assumptions &amp; Inputs'!$E$28-AQ12,12), 12)</f>
        <v>0</v>
      </c>
      <c r="AS11" s="186">
        <f>IF('Assumptions &amp; Inputs'!$E$28-AR12&lt;=12,MIN('Assumptions &amp; Inputs'!$E$28-AR12,12), 12)</f>
        <v>0</v>
      </c>
      <c r="AT11" s="186">
        <f>IF('Assumptions &amp; Inputs'!$E$28-AS12&lt;=12,MIN('Assumptions &amp; Inputs'!$E$28-AS12,12), 12)</f>
        <v>0</v>
      </c>
      <c r="AU11" s="186">
        <f>IF('Assumptions &amp; Inputs'!$E$28-AT12&lt;=12,MIN('Assumptions &amp; Inputs'!$E$28-AT12,12), 12)</f>
        <v>0</v>
      </c>
      <c r="AV11" s="186">
        <f>IF('Assumptions &amp; Inputs'!$E$28-AU12&lt;=12,MIN('Assumptions &amp; Inputs'!$E$28-AU12,12), 12)</f>
        <v>0</v>
      </c>
      <c r="AW11" s="197">
        <f>IF('Assumptions &amp; Inputs'!$E$28-AV12&lt;=12,MIN('Assumptions &amp; Inputs'!$E$28-AV12,12), 12)</f>
        <v>0</v>
      </c>
    </row>
    <row r="12" spans="1:49" ht="14.25" customHeight="1">
      <c r="B12" s="79"/>
      <c r="C12" s="252" t="s">
        <v>472</v>
      </c>
      <c r="D12" s="186">
        <f>D11</f>
        <v>1</v>
      </c>
      <c r="E12" s="186">
        <f>E11+D12</f>
        <v>1</v>
      </c>
      <c r="F12" s="186">
        <f t="shared" ref="F12:X12" si="30">F11+E12</f>
        <v>1</v>
      </c>
      <c r="G12" s="186">
        <f t="shared" si="30"/>
        <v>1</v>
      </c>
      <c r="H12" s="186">
        <f t="shared" si="30"/>
        <v>1</v>
      </c>
      <c r="I12" s="186">
        <f t="shared" si="30"/>
        <v>1</v>
      </c>
      <c r="J12" s="186">
        <f t="shared" si="30"/>
        <v>1</v>
      </c>
      <c r="K12" s="186">
        <f t="shared" si="30"/>
        <v>1</v>
      </c>
      <c r="L12" s="186">
        <f t="shared" si="30"/>
        <v>1</v>
      </c>
      <c r="M12" s="186">
        <f t="shared" si="30"/>
        <v>1</v>
      </c>
      <c r="N12" s="186">
        <f t="shared" si="30"/>
        <v>1</v>
      </c>
      <c r="O12" s="186">
        <f t="shared" si="30"/>
        <v>1</v>
      </c>
      <c r="P12" s="186">
        <f t="shared" si="30"/>
        <v>1</v>
      </c>
      <c r="Q12" s="186">
        <f t="shared" si="30"/>
        <v>1</v>
      </c>
      <c r="R12" s="186">
        <f t="shared" si="30"/>
        <v>1</v>
      </c>
      <c r="S12" s="186">
        <f t="shared" si="30"/>
        <v>1</v>
      </c>
      <c r="T12" s="186">
        <f t="shared" si="30"/>
        <v>1</v>
      </c>
      <c r="U12" s="186">
        <f t="shared" si="30"/>
        <v>1</v>
      </c>
      <c r="V12" s="186">
        <f t="shared" si="30"/>
        <v>1</v>
      </c>
      <c r="W12" s="186">
        <f t="shared" si="30"/>
        <v>1</v>
      </c>
      <c r="X12" s="186">
        <f t="shared" si="30"/>
        <v>1</v>
      </c>
      <c r="Y12" s="186">
        <f t="shared" ref="Y12" si="31">Y11+X12</f>
        <v>1</v>
      </c>
      <c r="Z12" s="186">
        <f t="shared" ref="Z12" si="32">Z11+Y12</f>
        <v>1</v>
      </c>
      <c r="AA12" s="186">
        <f t="shared" ref="AA12" si="33">AA11+Z12</f>
        <v>1</v>
      </c>
      <c r="AB12" s="186">
        <f t="shared" ref="AB12" si="34">AB11+AA12</f>
        <v>1</v>
      </c>
      <c r="AC12" s="186">
        <f t="shared" ref="AC12" si="35">AC11+AB12</f>
        <v>1</v>
      </c>
      <c r="AD12" s="186">
        <f t="shared" ref="AD12" si="36">AD11+AC12</f>
        <v>1</v>
      </c>
      <c r="AE12" s="186">
        <f t="shared" ref="AE12" si="37">AE11+AD12</f>
        <v>1</v>
      </c>
      <c r="AF12" s="186">
        <f t="shared" ref="AF12" si="38">AF11+AE12</f>
        <v>1</v>
      </c>
      <c r="AG12" s="186">
        <f t="shared" ref="AG12" si="39">AG11+AF12</f>
        <v>1</v>
      </c>
      <c r="AH12" s="186">
        <f t="shared" ref="AH12" si="40">AH11+AG12</f>
        <v>1</v>
      </c>
      <c r="AI12" s="186">
        <f t="shared" ref="AI12" si="41">AI11+AH12</f>
        <v>1</v>
      </c>
      <c r="AJ12" s="186">
        <f t="shared" ref="AJ12" si="42">AJ11+AI12</f>
        <v>1</v>
      </c>
      <c r="AK12" s="186">
        <f t="shared" ref="AK12" si="43">AK11+AJ12</f>
        <v>1</v>
      </c>
      <c r="AL12" s="186">
        <f t="shared" ref="AL12" si="44">AL11+AK12</f>
        <v>1</v>
      </c>
      <c r="AM12" s="186">
        <f t="shared" ref="AM12" si="45">AM11+AL12</f>
        <v>1</v>
      </c>
      <c r="AN12" s="186">
        <f t="shared" ref="AN12" si="46">AN11+AM12</f>
        <v>1</v>
      </c>
      <c r="AO12" s="186">
        <f t="shared" ref="AO12" si="47">AO11+AN12</f>
        <v>1</v>
      </c>
      <c r="AP12" s="186">
        <f t="shared" ref="AP12" si="48">AP11+AO12</f>
        <v>1</v>
      </c>
      <c r="AQ12" s="186">
        <f t="shared" ref="AQ12" si="49">AQ11+AP12</f>
        <v>1</v>
      </c>
      <c r="AR12" s="186">
        <f t="shared" ref="AR12" si="50">AR11+AQ12</f>
        <v>1</v>
      </c>
      <c r="AS12" s="186">
        <f t="shared" ref="AS12" si="51">AS11+AR12</f>
        <v>1</v>
      </c>
      <c r="AT12" s="186">
        <f t="shared" ref="AT12" si="52">AT11+AS12</f>
        <v>1</v>
      </c>
      <c r="AU12" s="186">
        <f t="shared" ref="AU12" si="53">AU11+AT12</f>
        <v>1</v>
      </c>
      <c r="AV12" s="186">
        <f t="shared" ref="AV12" si="54">AV11+AU12</f>
        <v>1</v>
      </c>
      <c r="AW12" s="197">
        <f t="shared" ref="AW12" si="55">AW11+AV12</f>
        <v>1</v>
      </c>
    </row>
    <row r="13" spans="1:49" ht="14.25" customHeight="1">
      <c r="B13" s="79"/>
      <c r="C13" s="96" t="s">
        <v>493</v>
      </c>
      <c r="D13" s="187">
        <f>IF(AND(MOD(D9-YEAR('Assumptions &amp; Inputs'!$E$31),'Assumptions &amp; Inputs'!$E$34)=0, D9&lt;YEAR('Assumptions &amp; Inputs'!$E$36), D9&gt;YEAR('Assumptions &amp; Inputs'!$E$31)), (-'Assumptions &amp; Inputs'!$E$38)*'Assumptions &amp; Inputs'!$E$33, -D11/'Assumptions &amp; Inputs'!$E$28*'Assumptions &amp; Inputs'!$E$38)</f>
        <v>-11618.630136986301</v>
      </c>
      <c r="E13" s="187">
        <f>IF(AND(MOD(E9-YEAR('Assumptions &amp; Inputs'!$E$31),'Assumptions &amp; Inputs'!$E$34)=0, E9&lt;YEAR('Assumptions &amp; Inputs'!$E$36), E9&gt;YEAR('Assumptions &amp; Inputs'!$E$31)), (-'Assumptions &amp; Inputs'!$E$38)*'Assumptions &amp; Inputs'!$E$33, -E11/'Assumptions &amp; Inputs'!$E$28*'Assumptions &amp; Inputs'!$E$38)</f>
        <v>0</v>
      </c>
      <c r="F13" s="187">
        <f>IF(AND(MOD(F9-YEAR('Assumptions &amp; Inputs'!$E$31),'Assumptions &amp; Inputs'!$E$34)=0, F9&lt;YEAR('Assumptions &amp; Inputs'!$E$36), F9&gt;YEAR('Assumptions &amp; Inputs'!$E$31)), (-'Assumptions &amp; Inputs'!$E$38)*'Assumptions &amp; Inputs'!$E$33, -F11/'Assumptions &amp; Inputs'!$E$28*'Assumptions &amp; Inputs'!$E$38)</f>
        <v>0</v>
      </c>
      <c r="G13" s="187">
        <f>IF(AND(MOD(G9-YEAR('Assumptions &amp; Inputs'!$E$31),'Assumptions &amp; Inputs'!$E$34)=0, G9&lt;YEAR('Assumptions &amp; Inputs'!$E$36), G9&gt;YEAR('Assumptions &amp; Inputs'!$E$31)), (-'Assumptions &amp; Inputs'!$E$38)*'Assumptions &amp; Inputs'!$E$33, -G11/'Assumptions &amp; Inputs'!$E$28*'Assumptions &amp; Inputs'!$E$38)</f>
        <v>0</v>
      </c>
      <c r="H13" s="187">
        <f>IF(AND(MOD(H9-YEAR('Assumptions &amp; Inputs'!$E$31),'Assumptions &amp; Inputs'!$E$34)=0, H9&lt;YEAR('Assumptions &amp; Inputs'!$E$36), H9&gt;YEAR('Assumptions &amp; Inputs'!$E$31)), (-'Assumptions &amp; Inputs'!$E$38)*'Assumptions &amp; Inputs'!$E$33, -H11/'Assumptions &amp; Inputs'!$E$28*'Assumptions &amp; Inputs'!$E$38)</f>
        <v>0</v>
      </c>
      <c r="I13" s="187">
        <f>IF(AND(MOD(I9-YEAR('Assumptions &amp; Inputs'!$E$31),'Assumptions &amp; Inputs'!$E$34)=0, I9&lt;YEAR('Assumptions &amp; Inputs'!$E$36), I9&gt;YEAR('Assumptions &amp; Inputs'!$E$31)), (-'Assumptions &amp; Inputs'!$E$38)*'Assumptions &amp; Inputs'!$E$33, -I11/'Assumptions &amp; Inputs'!$E$28*'Assumptions &amp; Inputs'!$E$38)</f>
        <v>0</v>
      </c>
      <c r="J13" s="187">
        <f>IF(AND(MOD(J9-YEAR('Assumptions &amp; Inputs'!$E$31),'Assumptions &amp; Inputs'!$E$34)=0, J9&lt;YEAR('Assumptions &amp; Inputs'!$E$36), J9&gt;YEAR('Assumptions &amp; Inputs'!$E$31)), (-'Assumptions &amp; Inputs'!$E$38)*'Assumptions &amp; Inputs'!$E$33, -J11/'Assumptions &amp; Inputs'!$E$28*'Assumptions &amp; Inputs'!$E$38)</f>
        <v>0</v>
      </c>
      <c r="K13" s="187">
        <f>IF(AND(MOD(K9-YEAR('Assumptions &amp; Inputs'!$E$31),'Assumptions &amp; Inputs'!$E$34)=0, K9&lt;YEAR('Assumptions &amp; Inputs'!$E$36), K9&gt;YEAR('Assumptions &amp; Inputs'!$E$31)), (-'Assumptions &amp; Inputs'!$E$38)*'Assumptions &amp; Inputs'!$E$33, -K11/'Assumptions &amp; Inputs'!$E$28*'Assumptions &amp; Inputs'!$E$38)</f>
        <v>0</v>
      </c>
      <c r="L13" s="187">
        <f>IF(AND(MOD(L9-YEAR('Assumptions &amp; Inputs'!$E$31),'Assumptions &amp; Inputs'!$E$34)=0, L9&lt;YEAR('Assumptions &amp; Inputs'!$E$36), L9&gt;YEAR('Assumptions &amp; Inputs'!$E$31)), (-'Assumptions &amp; Inputs'!$E$38)*'Assumptions &amp; Inputs'!$E$33, -L11/'Assumptions &amp; Inputs'!$E$28*'Assumptions &amp; Inputs'!$E$38)</f>
        <v>0</v>
      </c>
      <c r="M13" s="187">
        <f>IF(AND(MOD(M9-YEAR('Assumptions &amp; Inputs'!$E$31),'Assumptions &amp; Inputs'!$E$34)=0, M9&lt;YEAR('Assumptions &amp; Inputs'!$E$36), M9&gt;YEAR('Assumptions &amp; Inputs'!$E$31)), (-'Assumptions &amp; Inputs'!$E$38)*'Assumptions &amp; Inputs'!$E$33, -M11/'Assumptions &amp; Inputs'!$E$28*'Assumptions &amp; Inputs'!$E$38)</f>
        <v>0</v>
      </c>
      <c r="N13" s="187">
        <f>IF(AND(MOD(N9-YEAR('Assumptions &amp; Inputs'!$E$31),'Assumptions &amp; Inputs'!$E$34)=0, N9&lt;YEAR('Assumptions &amp; Inputs'!$E$36), N9&gt;YEAR('Assumptions &amp; Inputs'!$E$31)), (-'Assumptions &amp; Inputs'!$E$38)*'Assumptions &amp; Inputs'!$E$33, -N11/'Assumptions &amp; Inputs'!$E$28*'Assumptions &amp; Inputs'!$E$38)</f>
        <v>0</v>
      </c>
      <c r="O13" s="187">
        <f>IF(AND(MOD(O9-YEAR('Assumptions &amp; Inputs'!$E$31),'Assumptions &amp; Inputs'!$E$34)=0, O9&lt;YEAR('Assumptions &amp; Inputs'!$E$36), O9&gt;YEAR('Assumptions &amp; Inputs'!$E$31)), (-'Assumptions &amp; Inputs'!$E$38)*'Assumptions &amp; Inputs'!$E$33, -O11/'Assumptions &amp; Inputs'!$E$28*'Assumptions &amp; Inputs'!$E$38)</f>
        <v>0</v>
      </c>
      <c r="P13" s="187">
        <f>IF(AND(MOD(P9-YEAR('Assumptions &amp; Inputs'!$E$31),'Assumptions &amp; Inputs'!$E$34)=0, P9&lt;YEAR('Assumptions &amp; Inputs'!$E$36), P9&gt;YEAR('Assumptions &amp; Inputs'!$E$31)), (-'Assumptions &amp; Inputs'!$E$38)*'Assumptions &amp; Inputs'!$E$33, -P11/'Assumptions &amp; Inputs'!$E$28*'Assumptions &amp; Inputs'!$E$38)</f>
        <v>0</v>
      </c>
      <c r="Q13" s="187">
        <f>IF(AND(MOD(Q9-YEAR('Assumptions &amp; Inputs'!$E$31),'Assumptions &amp; Inputs'!$E$34)=0, Q9&lt;YEAR('Assumptions &amp; Inputs'!$E$36), Q9&gt;YEAR('Assumptions &amp; Inputs'!$E$31)), (-'Assumptions &amp; Inputs'!$E$38)*'Assumptions &amp; Inputs'!$E$33, -Q11/'Assumptions &amp; Inputs'!$E$28*'Assumptions &amp; Inputs'!$E$38)</f>
        <v>0</v>
      </c>
      <c r="R13" s="187">
        <f>IF(AND(MOD(R9-YEAR('Assumptions &amp; Inputs'!$E$31),'Assumptions &amp; Inputs'!$E$34)=0, R9&lt;YEAR('Assumptions &amp; Inputs'!$E$36), R9&gt;YEAR('Assumptions &amp; Inputs'!$E$31)), (-'Assumptions &amp; Inputs'!$E$38)*'Assumptions &amp; Inputs'!$E$33, -R11/'Assumptions &amp; Inputs'!$E$28*'Assumptions &amp; Inputs'!$E$38)</f>
        <v>0</v>
      </c>
      <c r="S13" s="187">
        <f>IF(AND(MOD(S9-YEAR('Assumptions &amp; Inputs'!$E$31),'Assumptions &amp; Inputs'!$E$34)=0, S9&lt;YEAR('Assumptions &amp; Inputs'!$E$36), S9&gt;YEAR('Assumptions &amp; Inputs'!$E$31)), (-'Assumptions &amp; Inputs'!$E$38)*'Assumptions &amp; Inputs'!$E$33, -S11/'Assumptions &amp; Inputs'!$E$28*'Assumptions &amp; Inputs'!$E$38)</f>
        <v>0</v>
      </c>
      <c r="T13" s="187">
        <f>IF(AND(MOD(T9-YEAR('Assumptions &amp; Inputs'!$E$31),'Assumptions &amp; Inputs'!$E$34)=0, T9&lt;YEAR('Assumptions &amp; Inputs'!$E$36), T9&gt;YEAR('Assumptions &amp; Inputs'!$E$31)), (-'Assumptions &amp; Inputs'!$E$38)*'Assumptions &amp; Inputs'!$E$33, -T11/'Assumptions &amp; Inputs'!$E$28*'Assumptions &amp; Inputs'!$E$38)</f>
        <v>0</v>
      </c>
      <c r="U13" s="187">
        <f>IF(AND(MOD(U9-YEAR('Assumptions &amp; Inputs'!$E$31),'Assumptions &amp; Inputs'!$E$34)=0, U9&lt;YEAR('Assumptions &amp; Inputs'!$E$36), U9&gt;YEAR('Assumptions &amp; Inputs'!$E$31)), (-'Assumptions &amp; Inputs'!$E$38)*'Assumptions &amp; Inputs'!$E$33, -U11/'Assumptions &amp; Inputs'!$E$28*'Assumptions &amp; Inputs'!$E$38)</f>
        <v>0</v>
      </c>
      <c r="V13" s="187">
        <f>IF(AND(MOD(V9-YEAR('Assumptions &amp; Inputs'!$E$31),'Assumptions &amp; Inputs'!$E$34)=0, V9&lt;YEAR('Assumptions &amp; Inputs'!$E$36), V9&gt;YEAR('Assumptions &amp; Inputs'!$E$31)), (-'Assumptions &amp; Inputs'!$E$38)*'Assumptions &amp; Inputs'!$E$33, -V11/'Assumptions &amp; Inputs'!$E$28*'Assumptions &amp; Inputs'!$E$38)</f>
        <v>0</v>
      </c>
      <c r="W13" s="187">
        <f>IF(AND(MOD(W9-YEAR('Assumptions &amp; Inputs'!$E$31),'Assumptions &amp; Inputs'!$E$34)=0, W9&lt;YEAR('Assumptions &amp; Inputs'!$E$36), W9&gt;YEAR('Assumptions &amp; Inputs'!$E$31)), (-'Assumptions &amp; Inputs'!$E$38)*'Assumptions &amp; Inputs'!$E$33, -W11/'Assumptions &amp; Inputs'!$E$28*'Assumptions &amp; Inputs'!$E$38)</f>
        <v>0</v>
      </c>
      <c r="X13" s="187">
        <f>IF(AND(MOD(X9-YEAR('Assumptions &amp; Inputs'!$E$31),'Assumptions &amp; Inputs'!$E$34)=0, X9&lt;YEAR('Assumptions &amp; Inputs'!$E$36), X9&gt;YEAR('Assumptions &amp; Inputs'!$E$31)), (-'Assumptions &amp; Inputs'!$E$38)*'Assumptions &amp; Inputs'!$E$33, -X11/'Assumptions &amp; Inputs'!$E$28*'Assumptions &amp; Inputs'!$E$38)</f>
        <v>0</v>
      </c>
      <c r="Y13" s="187">
        <f>IF(AND(MOD(Y9-YEAR('Assumptions &amp; Inputs'!$E$31),'Assumptions &amp; Inputs'!$E$34)=0, Y9&lt;YEAR('Assumptions &amp; Inputs'!$E$36), Y9&gt;YEAR('Assumptions &amp; Inputs'!$E$31)), (-'Assumptions &amp; Inputs'!$E$38)*'Assumptions &amp; Inputs'!$E$33, -Y11/'Assumptions &amp; Inputs'!$E$28*'Assumptions &amp; Inputs'!$E$38)</f>
        <v>0</v>
      </c>
      <c r="Z13" s="187">
        <f>IF(AND(MOD(Z9-YEAR('Assumptions &amp; Inputs'!$E$31),'Assumptions &amp; Inputs'!$E$34)=0, Z9&lt;YEAR('Assumptions &amp; Inputs'!$E$36), Z9&gt;YEAR('Assumptions &amp; Inputs'!$E$31)), (-'Assumptions &amp; Inputs'!$E$38)*'Assumptions &amp; Inputs'!$E$33, -Z11/'Assumptions &amp; Inputs'!$E$28*'Assumptions &amp; Inputs'!$E$38)</f>
        <v>0</v>
      </c>
      <c r="AA13" s="187">
        <f>IF(AND(MOD(AA9-YEAR('Assumptions &amp; Inputs'!$E$31),'Assumptions &amp; Inputs'!$E$34)=0, AA9&lt;YEAR('Assumptions &amp; Inputs'!$E$36), AA9&gt;YEAR('Assumptions &amp; Inputs'!$E$31)), (-'Assumptions &amp; Inputs'!$E$38)*'Assumptions &amp; Inputs'!$E$33, -AA11/'Assumptions &amp; Inputs'!$E$28*'Assumptions &amp; Inputs'!$E$38)</f>
        <v>0</v>
      </c>
      <c r="AB13" s="187">
        <f>IF(AND(MOD(AB9-YEAR('Assumptions &amp; Inputs'!$E$31),'Assumptions &amp; Inputs'!$E$34)=0, AB9&lt;YEAR('Assumptions &amp; Inputs'!$E$36), AB9&gt;YEAR('Assumptions &amp; Inputs'!$E$31)), (-'Assumptions &amp; Inputs'!$E$38)*'Assumptions &amp; Inputs'!$E$33, -AB11/'Assumptions &amp; Inputs'!$E$28*'Assumptions &amp; Inputs'!$E$38)</f>
        <v>0</v>
      </c>
      <c r="AC13" s="187">
        <f>IF(AND(MOD(AC9-YEAR('Assumptions &amp; Inputs'!$E$31),'Assumptions &amp; Inputs'!$E$34)=0, AC9&lt;YEAR('Assumptions &amp; Inputs'!$E$36), AC9&gt;YEAR('Assumptions &amp; Inputs'!$E$31)), (-'Assumptions &amp; Inputs'!$E$38)*'Assumptions &amp; Inputs'!$E$33, -AC11/'Assumptions &amp; Inputs'!$E$28*'Assumptions &amp; Inputs'!$E$38)</f>
        <v>0</v>
      </c>
      <c r="AD13" s="187">
        <f>IF(AND(MOD(AD9-YEAR('Assumptions &amp; Inputs'!$E$31),'Assumptions &amp; Inputs'!$E$34)=0, AD9&lt;YEAR('Assumptions &amp; Inputs'!$E$36), AD9&gt;YEAR('Assumptions &amp; Inputs'!$E$31)), (-'Assumptions &amp; Inputs'!$E$38)*'Assumptions &amp; Inputs'!$E$33, -AD11/'Assumptions &amp; Inputs'!$E$28*'Assumptions &amp; Inputs'!$E$38)</f>
        <v>0</v>
      </c>
      <c r="AE13" s="187">
        <f>IF(AND(MOD(AE9-YEAR('Assumptions &amp; Inputs'!$E$31),'Assumptions &amp; Inputs'!$E$34)=0, AE9&lt;YEAR('Assumptions &amp; Inputs'!$E$36), AE9&gt;YEAR('Assumptions &amp; Inputs'!$E$31)), (-'Assumptions &amp; Inputs'!$E$38)*'Assumptions &amp; Inputs'!$E$33, -AE11/'Assumptions &amp; Inputs'!$E$28*'Assumptions &amp; Inputs'!$E$38)</f>
        <v>0</v>
      </c>
      <c r="AF13" s="187">
        <f>IF(AND(MOD(AF9-YEAR('Assumptions &amp; Inputs'!$E$31),'Assumptions &amp; Inputs'!$E$34)=0, AF9&lt;YEAR('Assumptions &amp; Inputs'!$E$36), AF9&gt;YEAR('Assumptions &amp; Inputs'!$E$31)), (-'Assumptions &amp; Inputs'!$E$38)*'Assumptions &amp; Inputs'!$E$33, -AF11/'Assumptions &amp; Inputs'!$E$28*'Assumptions &amp; Inputs'!$E$38)</f>
        <v>0</v>
      </c>
      <c r="AG13" s="187">
        <f>IF(AND(MOD(AG9-YEAR('Assumptions &amp; Inputs'!$E$31),'Assumptions &amp; Inputs'!$E$34)=0, AG9&lt;YEAR('Assumptions &amp; Inputs'!$E$36), AG9&gt;YEAR('Assumptions &amp; Inputs'!$E$31)), (-'Assumptions &amp; Inputs'!$E$38)*'Assumptions &amp; Inputs'!$E$33, -AG11/'Assumptions &amp; Inputs'!$E$28*'Assumptions &amp; Inputs'!$E$38)</f>
        <v>0</v>
      </c>
      <c r="AH13" s="187">
        <f>IF(AND(MOD(AH9-YEAR('Assumptions &amp; Inputs'!$E$31),'Assumptions &amp; Inputs'!$E$34)=0, AH9&lt;YEAR('Assumptions &amp; Inputs'!$E$36), AH9&gt;YEAR('Assumptions &amp; Inputs'!$E$31)), (-'Assumptions &amp; Inputs'!$E$38)*'Assumptions &amp; Inputs'!$E$33, -AH11/'Assumptions &amp; Inputs'!$E$28*'Assumptions &amp; Inputs'!$E$38)</f>
        <v>0</v>
      </c>
      <c r="AI13" s="187">
        <f>IF(AND(MOD(AI9-YEAR('Assumptions &amp; Inputs'!$E$31),'Assumptions &amp; Inputs'!$E$34)=0, AI9&lt;YEAR('Assumptions &amp; Inputs'!$E$36), AI9&gt;YEAR('Assumptions &amp; Inputs'!$E$31)), (-'Assumptions &amp; Inputs'!$E$38)*'Assumptions &amp; Inputs'!$E$33, -AI11/'Assumptions &amp; Inputs'!$E$28*'Assumptions &amp; Inputs'!$E$38)</f>
        <v>0</v>
      </c>
      <c r="AJ13" s="187">
        <f>IF(AND(MOD(AJ9-YEAR('Assumptions &amp; Inputs'!$E$31),'Assumptions &amp; Inputs'!$E$34)=0, AJ9&lt;YEAR('Assumptions &amp; Inputs'!$E$36), AJ9&gt;YEAR('Assumptions &amp; Inputs'!$E$31)), (-'Assumptions &amp; Inputs'!$E$38)*'Assumptions &amp; Inputs'!$E$33, -AJ11/'Assumptions &amp; Inputs'!$E$28*'Assumptions &amp; Inputs'!$E$38)</f>
        <v>0</v>
      </c>
      <c r="AK13" s="187">
        <f>IF(AND(MOD(AK9-YEAR('Assumptions &amp; Inputs'!$E$31),'Assumptions &amp; Inputs'!$E$34)=0, AK9&lt;YEAR('Assumptions &amp; Inputs'!$E$36), AK9&gt;YEAR('Assumptions &amp; Inputs'!$E$31)), (-'Assumptions &amp; Inputs'!$E$38)*'Assumptions &amp; Inputs'!$E$33, -AK11/'Assumptions &amp; Inputs'!$E$28*'Assumptions &amp; Inputs'!$E$38)</f>
        <v>0</v>
      </c>
      <c r="AL13" s="187">
        <f>IF(AND(MOD(AL9-YEAR('Assumptions &amp; Inputs'!$E$31),'Assumptions &amp; Inputs'!$E$34)=0, AL9&lt;YEAR('Assumptions &amp; Inputs'!$E$36), AL9&gt;YEAR('Assumptions &amp; Inputs'!$E$31)), (-'Assumptions &amp; Inputs'!$E$38)*'Assumptions &amp; Inputs'!$E$33, -AL11/'Assumptions &amp; Inputs'!$E$28*'Assumptions &amp; Inputs'!$E$38)</f>
        <v>0</v>
      </c>
      <c r="AM13" s="187">
        <f>IF(AND(MOD(AM9-YEAR('Assumptions &amp; Inputs'!$E$31),'Assumptions &amp; Inputs'!$E$34)=0, AM9&lt;YEAR('Assumptions &amp; Inputs'!$E$36), AM9&gt;YEAR('Assumptions &amp; Inputs'!$E$31)), (-'Assumptions &amp; Inputs'!$E$38)*'Assumptions &amp; Inputs'!$E$33, -AM11/'Assumptions &amp; Inputs'!$E$28*'Assumptions &amp; Inputs'!$E$38)</f>
        <v>0</v>
      </c>
      <c r="AN13" s="187">
        <f>IF(AND(MOD(AN9-YEAR('Assumptions &amp; Inputs'!$E$31),'Assumptions &amp; Inputs'!$E$34)=0, AN9&lt;YEAR('Assumptions &amp; Inputs'!$E$36), AN9&gt;YEAR('Assumptions &amp; Inputs'!$E$31)), (-'Assumptions &amp; Inputs'!$E$38)*'Assumptions &amp; Inputs'!$E$33, -AN11/'Assumptions &amp; Inputs'!$E$28*'Assumptions &amp; Inputs'!$E$38)</f>
        <v>0</v>
      </c>
      <c r="AO13" s="187">
        <f>IF(AND(MOD(AO9-YEAR('Assumptions &amp; Inputs'!$E$31),'Assumptions &amp; Inputs'!$E$34)=0, AO9&lt;YEAR('Assumptions &amp; Inputs'!$E$36), AO9&gt;YEAR('Assumptions &amp; Inputs'!$E$31)), (-'Assumptions &amp; Inputs'!$E$38)*'Assumptions &amp; Inputs'!$E$33, -AO11/'Assumptions &amp; Inputs'!$E$28*'Assumptions &amp; Inputs'!$E$38)</f>
        <v>0</v>
      </c>
      <c r="AP13" s="187">
        <f>IF(AND(MOD(AP9-YEAR('Assumptions &amp; Inputs'!$E$31),'Assumptions &amp; Inputs'!$E$34)=0, AP9&lt;YEAR('Assumptions &amp; Inputs'!$E$36), AP9&gt;YEAR('Assumptions &amp; Inputs'!$E$31)), (-'Assumptions &amp; Inputs'!$E$38)*'Assumptions &amp; Inputs'!$E$33, -AP11/'Assumptions &amp; Inputs'!$E$28*'Assumptions &amp; Inputs'!$E$38)</f>
        <v>0</v>
      </c>
      <c r="AQ13" s="187">
        <f>IF(AND(MOD(AQ9-YEAR('Assumptions &amp; Inputs'!$E$31),'Assumptions &amp; Inputs'!$E$34)=0, AQ9&lt;YEAR('Assumptions &amp; Inputs'!$E$36), AQ9&gt;YEAR('Assumptions &amp; Inputs'!$E$31)), (-'Assumptions &amp; Inputs'!$E$38)*'Assumptions &amp; Inputs'!$E$33, -AQ11/'Assumptions &amp; Inputs'!$E$28*'Assumptions &amp; Inputs'!$E$38)</f>
        <v>0</v>
      </c>
      <c r="AR13" s="187">
        <f>IF(AND(MOD(AR9-YEAR('Assumptions &amp; Inputs'!$E$31),'Assumptions &amp; Inputs'!$E$34)=0, AR9&lt;YEAR('Assumptions &amp; Inputs'!$E$36), AR9&gt;YEAR('Assumptions &amp; Inputs'!$E$31)), (-'Assumptions &amp; Inputs'!$E$38)*'Assumptions &amp; Inputs'!$E$33, -AR11/'Assumptions &amp; Inputs'!$E$28*'Assumptions &amp; Inputs'!$E$38)</f>
        <v>0</v>
      </c>
      <c r="AS13" s="187">
        <f>IF(AND(MOD(AS9-YEAR('Assumptions &amp; Inputs'!$E$31),'Assumptions &amp; Inputs'!$E$34)=0, AS9&lt;YEAR('Assumptions &amp; Inputs'!$E$36), AS9&gt;YEAR('Assumptions &amp; Inputs'!$E$31)), (-'Assumptions &amp; Inputs'!$E$38)*'Assumptions &amp; Inputs'!$E$33, -AS11/'Assumptions &amp; Inputs'!$E$28*'Assumptions &amp; Inputs'!$E$38)</f>
        <v>0</v>
      </c>
      <c r="AT13" s="187">
        <f>IF(AND(MOD(AT9-YEAR('Assumptions &amp; Inputs'!$E$31),'Assumptions &amp; Inputs'!$E$34)=0, AT9&lt;YEAR('Assumptions &amp; Inputs'!$E$36), AT9&gt;YEAR('Assumptions &amp; Inputs'!$E$31)), (-'Assumptions &amp; Inputs'!$E$38)*'Assumptions &amp; Inputs'!$E$33, -AT11/'Assumptions &amp; Inputs'!$E$28*'Assumptions &amp; Inputs'!$E$38)</f>
        <v>0</v>
      </c>
      <c r="AU13" s="187">
        <f>IF(AND(MOD(AU9-YEAR('Assumptions &amp; Inputs'!$E$31),'Assumptions &amp; Inputs'!$E$34)=0, AU9&lt;YEAR('Assumptions &amp; Inputs'!$E$36), AU9&gt;YEAR('Assumptions &amp; Inputs'!$E$31)), (-'Assumptions &amp; Inputs'!$E$38)*'Assumptions &amp; Inputs'!$E$33, -AU11/'Assumptions &amp; Inputs'!$E$28*'Assumptions &amp; Inputs'!$E$38)</f>
        <v>0</v>
      </c>
      <c r="AV13" s="187">
        <f>IF(AND(MOD(AV9-YEAR('Assumptions &amp; Inputs'!$E$31),'Assumptions &amp; Inputs'!$E$34)=0, AV9&lt;YEAR('Assumptions &amp; Inputs'!$E$36), AV9&gt;YEAR('Assumptions &amp; Inputs'!$E$31)), (-'Assumptions &amp; Inputs'!$E$38)*'Assumptions &amp; Inputs'!$E$33, -AV11/'Assumptions &amp; Inputs'!$E$28*'Assumptions &amp; Inputs'!$E$38)</f>
        <v>0</v>
      </c>
      <c r="AW13" s="187">
        <f>IF(AND(MOD(AW9-YEAR('Assumptions &amp; Inputs'!$E$31),'Assumptions &amp; Inputs'!$E$34)=0, AW9&lt;YEAR('Assumptions &amp; Inputs'!$E$36), AW9&gt;YEAR('Assumptions &amp; Inputs'!$E$31)), (-'Assumptions &amp; Inputs'!$E$38)*'Assumptions &amp; Inputs'!$E$33, -AW11/'Assumptions &amp; Inputs'!$E$28*'Assumptions &amp; Inputs'!$E$38)</f>
        <v>0</v>
      </c>
    </row>
    <row r="14" spans="1:49" ht="14.25" customHeight="1">
      <c r="B14" s="79"/>
      <c r="C14" s="94" t="s">
        <v>219</v>
      </c>
      <c r="D14" s="519">
        <f>D$13*'Assumptions &amp; Inputs'!$E39</f>
        <v>-580.93150684931504</v>
      </c>
      <c r="E14" s="519">
        <f>E$13*'Assumptions &amp; Inputs'!$E39</f>
        <v>0</v>
      </c>
      <c r="F14" s="519">
        <f>F$13*'Assumptions &amp; Inputs'!$E39</f>
        <v>0</v>
      </c>
      <c r="G14" s="519">
        <f>G$13*'Assumptions &amp; Inputs'!$E39</f>
        <v>0</v>
      </c>
      <c r="H14" s="519">
        <f>H$13*'Assumptions &amp; Inputs'!$E39</f>
        <v>0</v>
      </c>
      <c r="I14" s="519">
        <f>I$13*'Assumptions &amp; Inputs'!$E39</f>
        <v>0</v>
      </c>
      <c r="J14" s="519">
        <f>J$13*'Assumptions &amp; Inputs'!$E39</f>
        <v>0</v>
      </c>
      <c r="K14" s="519">
        <f>K$13*'Assumptions &amp; Inputs'!$E39</f>
        <v>0</v>
      </c>
      <c r="L14" s="519">
        <f>L$13*'Assumptions &amp; Inputs'!$E39</f>
        <v>0</v>
      </c>
      <c r="M14" s="519">
        <f>M$13*'Assumptions &amp; Inputs'!$E39</f>
        <v>0</v>
      </c>
      <c r="N14" s="519">
        <f>N$13*'Assumptions &amp; Inputs'!$E39</f>
        <v>0</v>
      </c>
      <c r="O14" s="519">
        <f>O$13*'Assumptions &amp; Inputs'!$E39</f>
        <v>0</v>
      </c>
      <c r="P14" s="519">
        <f>P$13*'Assumptions &amp; Inputs'!$E39</f>
        <v>0</v>
      </c>
      <c r="Q14" s="519">
        <f>Q$13*'Assumptions &amp; Inputs'!$E39</f>
        <v>0</v>
      </c>
      <c r="R14" s="519">
        <f>R$13*'Assumptions &amp; Inputs'!$E39</f>
        <v>0</v>
      </c>
      <c r="S14" s="519">
        <f>S$13*'Assumptions &amp; Inputs'!$E39</f>
        <v>0</v>
      </c>
      <c r="T14" s="519">
        <f>T$13*'Assumptions &amp; Inputs'!$E39</f>
        <v>0</v>
      </c>
      <c r="U14" s="519">
        <f>U$13*'Assumptions &amp; Inputs'!$E39</f>
        <v>0</v>
      </c>
      <c r="V14" s="519">
        <f>V$13*'Assumptions &amp; Inputs'!$E39</f>
        <v>0</v>
      </c>
      <c r="W14" s="519">
        <f>W$13*'Assumptions &amp; Inputs'!$E39</f>
        <v>0</v>
      </c>
      <c r="X14" s="519">
        <f>X$13*'Assumptions &amp; Inputs'!$E39</f>
        <v>0</v>
      </c>
      <c r="Y14" s="519">
        <f>Y$13*'Assumptions &amp; Inputs'!$E39</f>
        <v>0</v>
      </c>
      <c r="Z14" s="519">
        <f>Z$13*'Assumptions &amp; Inputs'!$E39</f>
        <v>0</v>
      </c>
      <c r="AA14" s="519">
        <f>AA$13*'Assumptions &amp; Inputs'!$E39</f>
        <v>0</v>
      </c>
      <c r="AB14" s="519">
        <f>AB$13*'Assumptions &amp; Inputs'!$E39</f>
        <v>0</v>
      </c>
      <c r="AC14" s="519">
        <f>AC$13*'Assumptions &amp; Inputs'!$E39</f>
        <v>0</v>
      </c>
      <c r="AD14" s="519">
        <f>AD$13*'Assumptions &amp; Inputs'!$E39</f>
        <v>0</v>
      </c>
      <c r="AE14" s="519">
        <f>AE$13*'Assumptions &amp; Inputs'!$E39</f>
        <v>0</v>
      </c>
      <c r="AF14" s="519">
        <f>AF$13*'Assumptions &amp; Inputs'!$E39</f>
        <v>0</v>
      </c>
      <c r="AG14" s="519">
        <f>AG$13*'Assumptions &amp; Inputs'!$E39</f>
        <v>0</v>
      </c>
      <c r="AH14" s="519">
        <f>AH$13*'Assumptions &amp; Inputs'!$E39</f>
        <v>0</v>
      </c>
      <c r="AI14" s="519">
        <f>AI$13*'Assumptions &amp; Inputs'!$E39</f>
        <v>0</v>
      </c>
      <c r="AJ14" s="519">
        <f>AJ$13*'Assumptions &amp; Inputs'!$E39</f>
        <v>0</v>
      </c>
      <c r="AK14" s="519">
        <f>AK$13*'Assumptions &amp; Inputs'!$E39</f>
        <v>0</v>
      </c>
      <c r="AL14" s="519">
        <f>AL$13*'Assumptions &amp; Inputs'!$E39</f>
        <v>0</v>
      </c>
      <c r="AM14" s="519">
        <f>AM$13*'Assumptions &amp; Inputs'!$E39</f>
        <v>0</v>
      </c>
      <c r="AN14" s="519">
        <f>AN$13*'Assumptions &amp; Inputs'!$E39</f>
        <v>0</v>
      </c>
      <c r="AO14" s="519">
        <f>AO$13*'Assumptions &amp; Inputs'!$E39</f>
        <v>0</v>
      </c>
      <c r="AP14" s="519">
        <f>AP$13*'Assumptions &amp; Inputs'!$E39</f>
        <v>0</v>
      </c>
      <c r="AQ14" s="519">
        <f>AQ$13*'Assumptions &amp; Inputs'!$E39</f>
        <v>0</v>
      </c>
      <c r="AR14" s="519">
        <f>AR$13*'Assumptions &amp; Inputs'!$E39</f>
        <v>0</v>
      </c>
      <c r="AS14" s="519">
        <f>AS$13*'Assumptions &amp; Inputs'!$E39</f>
        <v>0</v>
      </c>
      <c r="AT14" s="519">
        <f>AT$13*'Assumptions &amp; Inputs'!$E39</f>
        <v>0</v>
      </c>
      <c r="AU14" s="519">
        <f>AU$13*'Assumptions &amp; Inputs'!$E39</f>
        <v>0</v>
      </c>
      <c r="AV14" s="519">
        <f>AV$13*'Assumptions &amp; Inputs'!$E39</f>
        <v>0</v>
      </c>
      <c r="AW14" s="520">
        <f>AW$13*'Assumptions &amp; Inputs'!$E39</f>
        <v>0</v>
      </c>
    </row>
    <row r="15" spans="1:49" ht="14.25" customHeight="1">
      <c r="B15" s="79"/>
      <c r="C15" s="94" t="s">
        <v>220</v>
      </c>
      <c r="D15" s="519">
        <f>D$13*'Assumptions &amp; Inputs'!$E40</f>
        <v>-1742.7945205479452</v>
      </c>
      <c r="E15" s="519">
        <f>E$13*'Assumptions &amp; Inputs'!$E40</f>
        <v>0</v>
      </c>
      <c r="F15" s="519">
        <f>F$13*'Assumptions &amp; Inputs'!$E40</f>
        <v>0</v>
      </c>
      <c r="G15" s="519">
        <f>G$13*'Assumptions &amp; Inputs'!$E40</f>
        <v>0</v>
      </c>
      <c r="H15" s="519">
        <f>H$13*'Assumptions &amp; Inputs'!$E40</f>
        <v>0</v>
      </c>
      <c r="I15" s="519">
        <f>I$13*'Assumptions &amp; Inputs'!$E40</f>
        <v>0</v>
      </c>
      <c r="J15" s="519">
        <f>J$13*'Assumptions &amp; Inputs'!$E40</f>
        <v>0</v>
      </c>
      <c r="K15" s="519">
        <f>K$13*'Assumptions &amp; Inputs'!$E40</f>
        <v>0</v>
      </c>
      <c r="L15" s="519">
        <f>L$13*'Assumptions &amp; Inputs'!$E40</f>
        <v>0</v>
      </c>
      <c r="M15" s="519">
        <f>M$13*'Assumptions &amp; Inputs'!$E40</f>
        <v>0</v>
      </c>
      <c r="N15" s="519">
        <f>N$13*'Assumptions &amp; Inputs'!$E40</f>
        <v>0</v>
      </c>
      <c r="O15" s="519">
        <f>O$13*'Assumptions &amp; Inputs'!$E40</f>
        <v>0</v>
      </c>
      <c r="P15" s="519">
        <f>P$13*'Assumptions &amp; Inputs'!$E40</f>
        <v>0</v>
      </c>
      <c r="Q15" s="519">
        <f>Q$13*'Assumptions &amp; Inputs'!$E40</f>
        <v>0</v>
      </c>
      <c r="R15" s="519">
        <f>R$13*'Assumptions &amp; Inputs'!$E40</f>
        <v>0</v>
      </c>
      <c r="S15" s="519">
        <f>S$13*'Assumptions &amp; Inputs'!$E40</f>
        <v>0</v>
      </c>
      <c r="T15" s="519">
        <f>T$13*'Assumptions &amp; Inputs'!$E40</f>
        <v>0</v>
      </c>
      <c r="U15" s="519">
        <f>U$13*'Assumptions &amp; Inputs'!$E40</f>
        <v>0</v>
      </c>
      <c r="V15" s="519">
        <f>V$13*'Assumptions &amp; Inputs'!$E40</f>
        <v>0</v>
      </c>
      <c r="W15" s="519">
        <f>W$13*'Assumptions &amp; Inputs'!$E40</f>
        <v>0</v>
      </c>
      <c r="X15" s="519">
        <f>X$13*'Assumptions &amp; Inputs'!$E40</f>
        <v>0</v>
      </c>
      <c r="Y15" s="519">
        <f>Y$13*'Assumptions &amp; Inputs'!$E40</f>
        <v>0</v>
      </c>
      <c r="Z15" s="519">
        <f>Z$13*'Assumptions &amp; Inputs'!$E40</f>
        <v>0</v>
      </c>
      <c r="AA15" s="519">
        <f>AA$13*'Assumptions &amp; Inputs'!$E40</f>
        <v>0</v>
      </c>
      <c r="AB15" s="519">
        <f>AB$13*'Assumptions &amp; Inputs'!$E40</f>
        <v>0</v>
      </c>
      <c r="AC15" s="519">
        <f>AC$13*'Assumptions &amp; Inputs'!$E40</f>
        <v>0</v>
      </c>
      <c r="AD15" s="519">
        <f>AD$13*'Assumptions &amp; Inputs'!$E40</f>
        <v>0</v>
      </c>
      <c r="AE15" s="519">
        <f>AE$13*'Assumptions &amp; Inputs'!$E40</f>
        <v>0</v>
      </c>
      <c r="AF15" s="519">
        <f>AF$13*'Assumptions &amp; Inputs'!$E40</f>
        <v>0</v>
      </c>
      <c r="AG15" s="519">
        <f>AG$13*'Assumptions &amp; Inputs'!$E40</f>
        <v>0</v>
      </c>
      <c r="AH15" s="519">
        <f>AH$13*'Assumptions &amp; Inputs'!$E40</f>
        <v>0</v>
      </c>
      <c r="AI15" s="519">
        <f>AI$13*'Assumptions &amp; Inputs'!$E40</f>
        <v>0</v>
      </c>
      <c r="AJ15" s="519">
        <f>AJ$13*'Assumptions &amp; Inputs'!$E40</f>
        <v>0</v>
      </c>
      <c r="AK15" s="519">
        <f>AK$13*'Assumptions &amp; Inputs'!$E40</f>
        <v>0</v>
      </c>
      <c r="AL15" s="519">
        <f>AL$13*'Assumptions &amp; Inputs'!$E40</f>
        <v>0</v>
      </c>
      <c r="AM15" s="519">
        <f>AM$13*'Assumptions &amp; Inputs'!$E40</f>
        <v>0</v>
      </c>
      <c r="AN15" s="519">
        <f>AN$13*'Assumptions &amp; Inputs'!$E40</f>
        <v>0</v>
      </c>
      <c r="AO15" s="519">
        <f>AO$13*'Assumptions &amp; Inputs'!$E40</f>
        <v>0</v>
      </c>
      <c r="AP15" s="519">
        <f>AP$13*'Assumptions &amp; Inputs'!$E40</f>
        <v>0</v>
      </c>
      <c r="AQ15" s="519">
        <f>AQ$13*'Assumptions &amp; Inputs'!$E40</f>
        <v>0</v>
      </c>
      <c r="AR15" s="519">
        <f>AR$13*'Assumptions &amp; Inputs'!$E40</f>
        <v>0</v>
      </c>
      <c r="AS15" s="519">
        <f>AS$13*'Assumptions &amp; Inputs'!$E40</f>
        <v>0</v>
      </c>
      <c r="AT15" s="519">
        <f>AT$13*'Assumptions &amp; Inputs'!$E40</f>
        <v>0</v>
      </c>
      <c r="AU15" s="519">
        <f>AU$13*'Assumptions &amp; Inputs'!$E40</f>
        <v>0</v>
      </c>
      <c r="AV15" s="519">
        <f>AV$13*'Assumptions &amp; Inputs'!$E40</f>
        <v>0</v>
      </c>
      <c r="AW15" s="520">
        <f>AW$13*'Assumptions &amp; Inputs'!$E40</f>
        <v>0</v>
      </c>
    </row>
    <row r="16" spans="1:49" ht="14.25" customHeight="1">
      <c r="B16" s="79"/>
      <c r="C16" s="94" t="s">
        <v>221</v>
      </c>
      <c r="D16" s="519">
        <f>D$13*'Assumptions &amp; Inputs'!$E41</f>
        <v>-116.18630136986302</v>
      </c>
      <c r="E16" s="519">
        <f>E$13*'Assumptions &amp; Inputs'!$E41</f>
        <v>0</v>
      </c>
      <c r="F16" s="519">
        <f>F$13*'Assumptions &amp; Inputs'!$E41</f>
        <v>0</v>
      </c>
      <c r="G16" s="519">
        <f>G$13*'Assumptions &amp; Inputs'!$E41</f>
        <v>0</v>
      </c>
      <c r="H16" s="519">
        <f>H$13*'Assumptions &amp; Inputs'!$E41</f>
        <v>0</v>
      </c>
      <c r="I16" s="519">
        <f>I$13*'Assumptions &amp; Inputs'!$E41</f>
        <v>0</v>
      </c>
      <c r="J16" s="519">
        <f>J$13*'Assumptions &amp; Inputs'!$E41</f>
        <v>0</v>
      </c>
      <c r="K16" s="519">
        <f>K$13*'Assumptions &amp; Inputs'!$E41</f>
        <v>0</v>
      </c>
      <c r="L16" s="519">
        <f>L$13*'Assumptions &amp; Inputs'!$E41</f>
        <v>0</v>
      </c>
      <c r="M16" s="519">
        <f>M$13*'Assumptions &amp; Inputs'!$E41</f>
        <v>0</v>
      </c>
      <c r="N16" s="519">
        <f>N$13*'Assumptions &amp; Inputs'!$E41</f>
        <v>0</v>
      </c>
      <c r="O16" s="519">
        <f>O$13*'Assumptions &amp; Inputs'!$E41</f>
        <v>0</v>
      </c>
      <c r="P16" s="519">
        <f>P$13*'Assumptions &amp; Inputs'!$E41</f>
        <v>0</v>
      </c>
      <c r="Q16" s="519">
        <f>Q$13*'Assumptions &amp; Inputs'!$E41</f>
        <v>0</v>
      </c>
      <c r="R16" s="519">
        <f>R$13*'Assumptions &amp; Inputs'!$E41</f>
        <v>0</v>
      </c>
      <c r="S16" s="519">
        <f>S$13*'Assumptions &amp; Inputs'!$E41</f>
        <v>0</v>
      </c>
      <c r="T16" s="519">
        <f>T$13*'Assumptions &amp; Inputs'!$E41</f>
        <v>0</v>
      </c>
      <c r="U16" s="519">
        <f>U$13*'Assumptions &amp; Inputs'!$E41</f>
        <v>0</v>
      </c>
      <c r="V16" s="519">
        <f>V$13*'Assumptions &amp; Inputs'!$E41</f>
        <v>0</v>
      </c>
      <c r="W16" s="519">
        <f>W$13*'Assumptions &amp; Inputs'!$E41</f>
        <v>0</v>
      </c>
      <c r="X16" s="519">
        <f>X$13*'Assumptions &amp; Inputs'!$E41</f>
        <v>0</v>
      </c>
      <c r="Y16" s="519">
        <f>Y$13*'Assumptions &amp; Inputs'!$E41</f>
        <v>0</v>
      </c>
      <c r="Z16" s="519">
        <f>Z$13*'Assumptions &amp; Inputs'!$E41</f>
        <v>0</v>
      </c>
      <c r="AA16" s="519">
        <f>AA$13*'Assumptions &amp; Inputs'!$E41</f>
        <v>0</v>
      </c>
      <c r="AB16" s="519">
        <f>AB$13*'Assumptions &amp; Inputs'!$E41</f>
        <v>0</v>
      </c>
      <c r="AC16" s="519">
        <f>AC$13*'Assumptions &amp; Inputs'!$E41</f>
        <v>0</v>
      </c>
      <c r="AD16" s="519">
        <f>AD$13*'Assumptions &amp; Inputs'!$E41</f>
        <v>0</v>
      </c>
      <c r="AE16" s="519">
        <f>AE$13*'Assumptions &amp; Inputs'!$E41</f>
        <v>0</v>
      </c>
      <c r="AF16" s="519">
        <f>AF$13*'Assumptions &amp; Inputs'!$E41</f>
        <v>0</v>
      </c>
      <c r="AG16" s="519">
        <f>AG$13*'Assumptions &amp; Inputs'!$E41</f>
        <v>0</v>
      </c>
      <c r="AH16" s="519">
        <f>AH$13*'Assumptions &amp; Inputs'!$E41</f>
        <v>0</v>
      </c>
      <c r="AI16" s="519">
        <f>AI$13*'Assumptions &amp; Inputs'!$E41</f>
        <v>0</v>
      </c>
      <c r="AJ16" s="519">
        <f>AJ$13*'Assumptions &amp; Inputs'!$E41</f>
        <v>0</v>
      </c>
      <c r="AK16" s="519">
        <f>AK$13*'Assumptions &amp; Inputs'!$E41</f>
        <v>0</v>
      </c>
      <c r="AL16" s="519">
        <f>AL$13*'Assumptions &amp; Inputs'!$E41</f>
        <v>0</v>
      </c>
      <c r="AM16" s="519">
        <f>AM$13*'Assumptions &amp; Inputs'!$E41</f>
        <v>0</v>
      </c>
      <c r="AN16" s="519">
        <f>AN$13*'Assumptions &amp; Inputs'!$E41</f>
        <v>0</v>
      </c>
      <c r="AO16" s="519">
        <f>AO$13*'Assumptions &amp; Inputs'!$E41</f>
        <v>0</v>
      </c>
      <c r="AP16" s="519">
        <f>AP$13*'Assumptions &amp; Inputs'!$E41</f>
        <v>0</v>
      </c>
      <c r="AQ16" s="519">
        <f>AQ$13*'Assumptions &amp; Inputs'!$E41</f>
        <v>0</v>
      </c>
      <c r="AR16" s="519">
        <f>AR$13*'Assumptions &amp; Inputs'!$E41</f>
        <v>0</v>
      </c>
      <c r="AS16" s="519">
        <f>AS$13*'Assumptions &amp; Inputs'!$E41</f>
        <v>0</v>
      </c>
      <c r="AT16" s="519">
        <f>AT$13*'Assumptions &amp; Inputs'!$E41</f>
        <v>0</v>
      </c>
      <c r="AU16" s="519">
        <f>AU$13*'Assumptions &amp; Inputs'!$E41</f>
        <v>0</v>
      </c>
      <c r="AV16" s="519">
        <f>AV$13*'Assumptions &amp; Inputs'!$E41</f>
        <v>0</v>
      </c>
      <c r="AW16" s="520">
        <f>AW$13*'Assumptions &amp; Inputs'!$E41</f>
        <v>0</v>
      </c>
    </row>
    <row r="17" spans="1:49" ht="14.25" customHeight="1">
      <c r="B17" s="79"/>
      <c r="C17" s="94" t="s">
        <v>222</v>
      </c>
      <c r="D17" s="519">
        <f>D$13*'Assumptions &amp; Inputs'!$E42</f>
        <v>-929.49041095890414</v>
      </c>
      <c r="E17" s="519">
        <f>E$13*'Assumptions &amp; Inputs'!$E42</f>
        <v>0</v>
      </c>
      <c r="F17" s="519">
        <f>F$13*'Assumptions &amp; Inputs'!$E42</f>
        <v>0</v>
      </c>
      <c r="G17" s="519">
        <f>G$13*'Assumptions &amp; Inputs'!$E42</f>
        <v>0</v>
      </c>
      <c r="H17" s="519">
        <f>H$13*'Assumptions &amp; Inputs'!$E42</f>
        <v>0</v>
      </c>
      <c r="I17" s="519">
        <f>I$13*'Assumptions &amp; Inputs'!$E42</f>
        <v>0</v>
      </c>
      <c r="J17" s="519">
        <f>J$13*'Assumptions &amp; Inputs'!$E42</f>
        <v>0</v>
      </c>
      <c r="K17" s="519">
        <f>K$13*'Assumptions &amp; Inputs'!$E42</f>
        <v>0</v>
      </c>
      <c r="L17" s="519">
        <f>L$13*'Assumptions &amp; Inputs'!$E42</f>
        <v>0</v>
      </c>
      <c r="M17" s="519">
        <f>M$13*'Assumptions &amp; Inputs'!$E42</f>
        <v>0</v>
      </c>
      <c r="N17" s="519">
        <f>N$13*'Assumptions &amp; Inputs'!$E42</f>
        <v>0</v>
      </c>
      <c r="O17" s="519">
        <f>O$13*'Assumptions &amp; Inputs'!$E42</f>
        <v>0</v>
      </c>
      <c r="P17" s="519">
        <f>P$13*'Assumptions &amp; Inputs'!$E42</f>
        <v>0</v>
      </c>
      <c r="Q17" s="519">
        <f>Q$13*'Assumptions &amp; Inputs'!$E42</f>
        <v>0</v>
      </c>
      <c r="R17" s="519">
        <f>R$13*'Assumptions &amp; Inputs'!$E42</f>
        <v>0</v>
      </c>
      <c r="S17" s="519">
        <f>S$13*'Assumptions &amp; Inputs'!$E42</f>
        <v>0</v>
      </c>
      <c r="T17" s="519">
        <f>T$13*'Assumptions &amp; Inputs'!$E42</f>
        <v>0</v>
      </c>
      <c r="U17" s="519">
        <f>U$13*'Assumptions &amp; Inputs'!$E42</f>
        <v>0</v>
      </c>
      <c r="V17" s="519">
        <f>V$13*'Assumptions &amp; Inputs'!$E42</f>
        <v>0</v>
      </c>
      <c r="W17" s="519">
        <f>W$13*'Assumptions &amp; Inputs'!$E42</f>
        <v>0</v>
      </c>
      <c r="X17" s="519">
        <f>X$13*'Assumptions &amp; Inputs'!$E42</f>
        <v>0</v>
      </c>
      <c r="Y17" s="519">
        <f>Y$13*'Assumptions &amp; Inputs'!$E42</f>
        <v>0</v>
      </c>
      <c r="Z17" s="519">
        <f>Z$13*'Assumptions &amp; Inputs'!$E42</f>
        <v>0</v>
      </c>
      <c r="AA17" s="519">
        <f>AA$13*'Assumptions &amp; Inputs'!$E42</f>
        <v>0</v>
      </c>
      <c r="AB17" s="519">
        <f>AB$13*'Assumptions &amp; Inputs'!$E42</f>
        <v>0</v>
      </c>
      <c r="AC17" s="519">
        <f>AC$13*'Assumptions &amp; Inputs'!$E42</f>
        <v>0</v>
      </c>
      <c r="AD17" s="519">
        <f>AD$13*'Assumptions &amp; Inputs'!$E42</f>
        <v>0</v>
      </c>
      <c r="AE17" s="519">
        <f>AE$13*'Assumptions &amp; Inputs'!$E42</f>
        <v>0</v>
      </c>
      <c r="AF17" s="519">
        <f>AF$13*'Assumptions &amp; Inputs'!$E42</f>
        <v>0</v>
      </c>
      <c r="AG17" s="519">
        <f>AG$13*'Assumptions &amp; Inputs'!$E42</f>
        <v>0</v>
      </c>
      <c r="AH17" s="519">
        <f>AH$13*'Assumptions &amp; Inputs'!$E42</f>
        <v>0</v>
      </c>
      <c r="AI17" s="519">
        <f>AI$13*'Assumptions &amp; Inputs'!$E42</f>
        <v>0</v>
      </c>
      <c r="AJ17" s="519">
        <f>AJ$13*'Assumptions &amp; Inputs'!$E42</f>
        <v>0</v>
      </c>
      <c r="AK17" s="519">
        <f>AK$13*'Assumptions &amp; Inputs'!$E42</f>
        <v>0</v>
      </c>
      <c r="AL17" s="519">
        <f>AL$13*'Assumptions &amp; Inputs'!$E42</f>
        <v>0</v>
      </c>
      <c r="AM17" s="519">
        <f>AM$13*'Assumptions &amp; Inputs'!$E42</f>
        <v>0</v>
      </c>
      <c r="AN17" s="519">
        <f>AN$13*'Assumptions &amp; Inputs'!$E42</f>
        <v>0</v>
      </c>
      <c r="AO17" s="519">
        <f>AO$13*'Assumptions &amp; Inputs'!$E42</f>
        <v>0</v>
      </c>
      <c r="AP17" s="519">
        <f>AP$13*'Assumptions &amp; Inputs'!$E42</f>
        <v>0</v>
      </c>
      <c r="AQ17" s="519">
        <f>AQ$13*'Assumptions &amp; Inputs'!$E42</f>
        <v>0</v>
      </c>
      <c r="AR17" s="519">
        <f>AR$13*'Assumptions &amp; Inputs'!$E42</f>
        <v>0</v>
      </c>
      <c r="AS17" s="519">
        <f>AS$13*'Assumptions &amp; Inputs'!$E42</f>
        <v>0</v>
      </c>
      <c r="AT17" s="519">
        <f>AT$13*'Assumptions &amp; Inputs'!$E42</f>
        <v>0</v>
      </c>
      <c r="AU17" s="519">
        <f>AU$13*'Assumptions &amp; Inputs'!$E42</f>
        <v>0</v>
      </c>
      <c r="AV17" s="519">
        <f>AV$13*'Assumptions &amp; Inputs'!$E42</f>
        <v>0</v>
      </c>
      <c r="AW17" s="520">
        <f>AW$13*'Assumptions &amp; Inputs'!$E42</f>
        <v>0</v>
      </c>
    </row>
    <row r="18" spans="1:49" ht="14.25" customHeight="1">
      <c r="B18" s="79"/>
      <c r="C18" s="94" t="s">
        <v>223</v>
      </c>
      <c r="D18" s="519">
        <f>D$13*'Assumptions &amp; Inputs'!$E43</f>
        <v>-1161.8630136986301</v>
      </c>
      <c r="E18" s="519">
        <f>E$13*'Assumptions &amp; Inputs'!$E43</f>
        <v>0</v>
      </c>
      <c r="F18" s="519">
        <f>F$13*'Assumptions &amp; Inputs'!$E43</f>
        <v>0</v>
      </c>
      <c r="G18" s="519">
        <f>G$13*'Assumptions &amp; Inputs'!$E43</f>
        <v>0</v>
      </c>
      <c r="H18" s="519">
        <f>H$13*'Assumptions &amp; Inputs'!$E43</f>
        <v>0</v>
      </c>
      <c r="I18" s="519">
        <f>I$13*'Assumptions &amp; Inputs'!$E43</f>
        <v>0</v>
      </c>
      <c r="J18" s="519">
        <f>J$13*'Assumptions &amp; Inputs'!$E43</f>
        <v>0</v>
      </c>
      <c r="K18" s="519">
        <f>K$13*'Assumptions &amp; Inputs'!$E43</f>
        <v>0</v>
      </c>
      <c r="L18" s="519">
        <f>L$13*'Assumptions &amp; Inputs'!$E43</f>
        <v>0</v>
      </c>
      <c r="M18" s="519">
        <f>M$13*'Assumptions &amp; Inputs'!$E43</f>
        <v>0</v>
      </c>
      <c r="N18" s="519">
        <f>N$13*'Assumptions &amp; Inputs'!$E43</f>
        <v>0</v>
      </c>
      <c r="O18" s="519">
        <f>O$13*'Assumptions &amp; Inputs'!$E43</f>
        <v>0</v>
      </c>
      <c r="P18" s="519">
        <f>P$13*'Assumptions &amp; Inputs'!$E43</f>
        <v>0</v>
      </c>
      <c r="Q18" s="519">
        <f>Q$13*'Assumptions &amp; Inputs'!$E43</f>
        <v>0</v>
      </c>
      <c r="R18" s="519">
        <f>R$13*'Assumptions &amp; Inputs'!$E43</f>
        <v>0</v>
      </c>
      <c r="S18" s="519">
        <f>S$13*'Assumptions &amp; Inputs'!$E43</f>
        <v>0</v>
      </c>
      <c r="T18" s="519">
        <f>T$13*'Assumptions &amp; Inputs'!$E43</f>
        <v>0</v>
      </c>
      <c r="U18" s="519">
        <f>U$13*'Assumptions &amp; Inputs'!$E43</f>
        <v>0</v>
      </c>
      <c r="V18" s="519">
        <f>V$13*'Assumptions &amp; Inputs'!$E43</f>
        <v>0</v>
      </c>
      <c r="W18" s="519">
        <f>W$13*'Assumptions &amp; Inputs'!$E43</f>
        <v>0</v>
      </c>
      <c r="X18" s="519">
        <f>X$13*'Assumptions &amp; Inputs'!$E43</f>
        <v>0</v>
      </c>
      <c r="Y18" s="519">
        <f>Y$13*'Assumptions &amp; Inputs'!$E43</f>
        <v>0</v>
      </c>
      <c r="Z18" s="519">
        <f>Z$13*'Assumptions &amp; Inputs'!$E43</f>
        <v>0</v>
      </c>
      <c r="AA18" s="519">
        <f>AA$13*'Assumptions &amp; Inputs'!$E43</f>
        <v>0</v>
      </c>
      <c r="AB18" s="519">
        <f>AB$13*'Assumptions &amp; Inputs'!$E43</f>
        <v>0</v>
      </c>
      <c r="AC18" s="519">
        <f>AC$13*'Assumptions &amp; Inputs'!$E43</f>
        <v>0</v>
      </c>
      <c r="AD18" s="519">
        <f>AD$13*'Assumptions &amp; Inputs'!$E43</f>
        <v>0</v>
      </c>
      <c r="AE18" s="519">
        <f>AE$13*'Assumptions &amp; Inputs'!$E43</f>
        <v>0</v>
      </c>
      <c r="AF18" s="519">
        <f>AF$13*'Assumptions &amp; Inputs'!$E43</f>
        <v>0</v>
      </c>
      <c r="AG18" s="519">
        <f>AG$13*'Assumptions &amp; Inputs'!$E43</f>
        <v>0</v>
      </c>
      <c r="AH18" s="519">
        <f>AH$13*'Assumptions &amp; Inputs'!$E43</f>
        <v>0</v>
      </c>
      <c r="AI18" s="519">
        <f>AI$13*'Assumptions &amp; Inputs'!$E43</f>
        <v>0</v>
      </c>
      <c r="AJ18" s="519">
        <f>AJ$13*'Assumptions &amp; Inputs'!$E43</f>
        <v>0</v>
      </c>
      <c r="AK18" s="519">
        <f>AK$13*'Assumptions &amp; Inputs'!$E43</f>
        <v>0</v>
      </c>
      <c r="AL18" s="519">
        <f>AL$13*'Assumptions &amp; Inputs'!$E43</f>
        <v>0</v>
      </c>
      <c r="AM18" s="519">
        <f>AM$13*'Assumptions &amp; Inputs'!$E43</f>
        <v>0</v>
      </c>
      <c r="AN18" s="519">
        <f>AN$13*'Assumptions &amp; Inputs'!$E43</f>
        <v>0</v>
      </c>
      <c r="AO18" s="519">
        <f>AO$13*'Assumptions &amp; Inputs'!$E43</f>
        <v>0</v>
      </c>
      <c r="AP18" s="519">
        <f>AP$13*'Assumptions &amp; Inputs'!$E43</f>
        <v>0</v>
      </c>
      <c r="AQ18" s="519">
        <f>AQ$13*'Assumptions &amp; Inputs'!$E43</f>
        <v>0</v>
      </c>
      <c r="AR18" s="519">
        <f>AR$13*'Assumptions &amp; Inputs'!$E43</f>
        <v>0</v>
      </c>
      <c r="AS18" s="519">
        <f>AS$13*'Assumptions &amp; Inputs'!$E43</f>
        <v>0</v>
      </c>
      <c r="AT18" s="519">
        <f>AT$13*'Assumptions &amp; Inputs'!$E43</f>
        <v>0</v>
      </c>
      <c r="AU18" s="519">
        <f>AU$13*'Assumptions &amp; Inputs'!$E43</f>
        <v>0</v>
      </c>
      <c r="AV18" s="519">
        <f>AV$13*'Assumptions &amp; Inputs'!$E43</f>
        <v>0</v>
      </c>
      <c r="AW18" s="520">
        <f>AW$13*'Assumptions &amp; Inputs'!$E43</f>
        <v>0</v>
      </c>
    </row>
    <row r="19" spans="1:49" ht="14.25" customHeight="1">
      <c r="B19" s="79"/>
      <c r="C19" s="94" t="s">
        <v>224</v>
      </c>
      <c r="D19" s="519">
        <f>D$13*'Assumptions &amp; Inputs'!$E44</f>
        <v>-1742.7945205479452</v>
      </c>
      <c r="E19" s="519">
        <f>E$13*'Assumptions &amp; Inputs'!$E44</f>
        <v>0</v>
      </c>
      <c r="F19" s="519">
        <f>F$13*'Assumptions &amp; Inputs'!$E44</f>
        <v>0</v>
      </c>
      <c r="G19" s="519">
        <f>G$13*'Assumptions &amp; Inputs'!$E44</f>
        <v>0</v>
      </c>
      <c r="H19" s="519">
        <f>H$13*'Assumptions &amp; Inputs'!$E44</f>
        <v>0</v>
      </c>
      <c r="I19" s="519">
        <f>I$13*'Assumptions &amp; Inputs'!$E44</f>
        <v>0</v>
      </c>
      <c r="J19" s="519">
        <f>J$13*'Assumptions &amp; Inputs'!$E44</f>
        <v>0</v>
      </c>
      <c r="K19" s="519">
        <f>K$13*'Assumptions &amp; Inputs'!$E44</f>
        <v>0</v>
      </c>
      <c r="L19" s="519">
        <f>L$13*'Assumptions &amp; Inputs'!$E44</f>
        <v>0</v>
      </c>
      <c r="M19" s="519">
        <f>M$13*'Assumptions &amp; Inputs'!$E44</f>
        <v>0</v>
      </c>
      <c r="N19" s="519">
        <f>N$13*'Assumptions &amp; Inputs'!$E44</f>
        <v>0</v>
      </c>
      <c r="O19" s="519">
        <f>O$13*'Assumptions &amp; Inputs'!$E44</f>
        <v>0</v>
      </c>
      <c r="P19" s="519">
        <f>P$13*'Assumptions &amp; Inputs'!$E44</f>
        <v>0</v>
      </c>
      <c r="Q19" s="519">
        <f>Q$13*'Assumptions &amp; Inputs'!$E44</f>
        <v>0</v>
      </c>
      <c r="R19" s="519">
        <f>R$13*'Assumptions &amp; Inputs'!$E44</f>
        <v>0</v>
      </c>
      <c r="S19" s="519">
        <f>S$13*'Assumptions &amp; Inputs'!$E44</f>
        <v>0</v>
      </c>
      <c r="T19" s="519">
        <f>T$13*'Assumptions &amp; Inputs'!$E44</f>
        <v>0</v>
      </c>
      <c r="U19" s="519">
        <f>U$13*'Assumptions &amp; Inputs'!$E44</f>
        <v>0</v>
      </c>
      <c r="V19" s="519">
        <f>V$13*'Assumptions &amp; Inputs'!$E44</f>
        <v>0</v>
      </c>
      <c r="W19" s="519">
        <f>W$13*'Assumptions &amp; Inputs'!$E44</f>
        <v>0</v>
      </c>
      <c r="X19" s="519">
        <f>X$13*'Assumptions &amp; Inputs'!$E44</f>
        <v>0</v>
      </c>
      <c r="Y19" s="519">
        <f>Y$13*'Assumptions &amp; Inputs'!$E44</f>
        <v>0</v>
      </c>
      <c r="Z19" s="519">
        <f>Z$13*'Assumptions &amp; Inputs'!$E44</f>
        <v>0</v>
      </c>
      <c r="AA19" s="519">
        <f>AA$13*'Assumptions &amp; Inputs'!$E44</f>
        <v>0</v>
      </c>
      <c r="AB19" s="519">
        <f>AB$13*'Assumptions &amp; Inputs'!$E44</f>
        <v>0</v>
      </c>
      <c r="AC19" s="519">
        <f>AC$13*'Assumptions &amp; Inputs'!$E44</f>
        <v>0</v>
      </c>
      <c r="AD19" s="519">
        <f>AD$13*'Assumptions &amp; Inputs'!$E44</f>
        <v>0</v>
      </c>
      <c r="AE19" s="519">
        <f>AE$13*'Assumptions &amp; Inputs'!$E44</f>
        <v>0</v>
      </c>
      <c r="AF19" s="519">
        <f>AF$13*'Assumptions &amp; Inputs'!$E44</f>
        <v>0</v>
      </c>
      <c r="AG19" s="519">
        <f>AG$13*'Assumptions &amp; Inputs'!$E44</f>
        <v>0</v>
      </c>
      <c r="AH19" s="519">
        <f>AH$13*'Assumptions &amp; Inputs'!$E44</f>
        <v>0</v>
      </c>
      <c r="AI19" s="519">
        <f>AI$13*'Assumptions &amp; Inputs'!$E44</f>
        <v>0</v>
      </c>
      <c r="AJ19" s="519">
        <f>AJ$13*'Assumptions &amp; Inputs'!$E44</f>
        <v>0</v>
      </c>
      <c r="AK19" s="519">
        <f>AK$13*'Assumptions &amp; Inputs'!$E44</f>
        <v>0</v>
      </c>
      <c r="AL19" s="519">
        <f>AL$13*'Assumptions &amp; Inputs'!$E44</f>
        <v>0</v>
      </c>
      <c r="AM19" s="519">
        <f>AM$13*'Assumptions &amp; Inputs'!$E44</f>
        <v>0</v>
      </c>
      <c r="AN19" s="519">
        <f>AN$13*'Assumptions &amp; Inputs'!$E44</f>
        <v>0</v>
      </c>
      <c r="AO19" s="519">
        <f>AO$13*'Assumptions &amp; Inputs'!$E44</f>
        <v>0</v>
      </c>
      <c r="AP19" s="519">
        <f>AP$13*'Assumptions &amp; Inputs'!$E44</f>
        <v>0</v>
      </c>
      <c r="AQ19" s="519">
        <f>AQ$13*'Assumptions &amp; Inputs'!$E44</f>
        <v>0</v>
      </c>
      <c r="AR19" s="519">
        <f>AR$13*'Assumptions &amp; Inputs'!$E44</f>
        <v>0</v>
      </c>
      <c r="AS19" s="519">
        <f>AS$13*'Assumptions &amp; Inputs'!$E44</f>
        <v>0</v>
      </c>
      <c r="AT19" s="519">
        <f>AT$13*'Assumptions &amp; Inputs'!$E44</f>
        <v>0</v>
      </c>
      <c r="AU19" s="519">
        <f>AU$13*'Assumptions &amp; Inputs'!$E44</f>
        <v>0</v>
      </c>
      <c r="AV19" s="519">
        <f>AV$13*'Assumptions &amp; Inputs'!$E44</f>
        <v>0</v>
      </c>
      <c r="AW19" s="520">
        <f>AW$13*'Assumptions &amp; Inputs'!$E44</f>
        <v>0</v>
      </c>
    </row>
    <row r="20" spans="1:49" ht="14.25" customHeight="1">
      <c r="B20" s="84" t="s">
        <v>351</v>
      </c>
      <c r="C20" s="94" t="s">
        <v>225</v>
      </c>
      <c r="D20" s="519">
        <f>D$13*'Assumptions &amp; Inputs'!$E45</f>
        <v>-2323.7260273972602</v>
      </c>
      <c r="E20" s="519">
        <f>E$13*'Assumptions &amp; Inputs'!$E45</f>
        <v>0</v>
      </c>
      <c r="F20" s="519">
        <f>F$13*'Assumptions &amp; Inputs'!$E45</f>
        <v>0</v>
      </c>
      <c r="G20" s="519">
        <f>G$13*'Assumptions &amp; Inputs'!$E45</f>
        <v>0</v>
      </c>
      <c r="H20" s="519">
        <f>H$13*'Assumptions &amp; Inputs'!$E45</f>
        <v>0</v>
      </c>
      <c r="I20" s="519">
        <f>I$13*'Assumptions &amp; Inputs'!$E45</f>
        <v>0</v>
      </c>
      <c r="J20" s="519">
        <f>J$13*'Assumptions &amp; Inputs'!$E45</f>
        <v>0</v>
      </c>
      <c r="K20" s="519">
        <f>K$13*'Assumptions &amp; Inputs'!$E45</f>
        <v>0</v>
      </c>
      <c r="L20" s="519">
        <f>L$13*'Assumptions &amp; Inputs'!$E45</f>
        <v>0</v>
      </c>
      <c r="M20" s="519">
        <f>M$13*'Assumptions &amp; Inputs'!$E45</f>
        <v>0</v>
      </c>
      <c r="N20" s="519">
        <f>N$13*'Assumptions &amp; Inputs'!$E45</f>
        <v>0</v>
      </c>
      <c r="O20" s="519">
        <f>O$13*'Assumptions &amp; Inputs'!$E45</f>
        <v>0</v>
      </c>
      <c r="P20" s="519">
        <f>P$13*'Assumptions &amp; Inputs'!$E45</f>
        <v>0</v>
      </c>
      <c r="Q20" s="519">
        <f>Q$13*'Assumptions &amp; Inputs'!$E45</f>
        <v>0</v>
      </c>
      <c r="R20" s="519">
        <f>R$13*'Assumptions &amp; Inputs'!$E45</f>
        <v>0</v>
      </c>
      <c r="S20" s="519">
        <f>S$13*'Assumptions &amp; Inputs'!$E45</f>
        <v>0</v>
      </c>
      <c r="T20" s="519">
        <f>T$13*'Assumptions &amp; Inputs'!$E45</f>
        <v>0</v>
      </c>
      <c r="U20" s="519">
        <f>U$13*'Assumptions &amp; Inputs'!$E45</f>
        <v>0</v>
      </c>
      <c r="V20" s="519">
        <f>V$13*'Assumptions &amp; Inputs'!$E45</f>
        <v>0</v>
      </c>
      <c r="W20" s="519">
        <f>W$13*'Assumptions &amp; Inputs'!$E45</f>
        <v>0</v>
      </c>
      <c r="X20" s="519">
        <f>X$13*'Assumptions &amp; Inputs'!$E45</f>
        <v>0</v>
      </c>
      <c r="Y20" s="519">
        <f>Y$13*'Assumptions &amp; Inputs'!$E45</f>
        <v>0</v>
      </c>
      <c r="Z20" s="519">
        <f>Z$13*'Assumptions &amp; Inputs'!$E45</f>
        <v>0</v>
      </c>
      <c r="AA20" s="519">
        <f>AA$13*'Assumptions &amp; Inputs'!$E45</f>
        <v>0</v>
      </c>
      <c r="AB20" s="519">
        <f>AB$13*'Assumptions &amp; Inputs'!$E45</f>
        <v>0</v>
      </c>
      <c r="AC20" s="519">
        <f>AC$13*'Assumptions &amp; Inputs'!$E45</f>
        <v>0</v>
      </c>
      <c r="AD20" s="519">
        <f>AD$13*'Assumptions &amp; Inputs'!$E45</f>
        <v>0</v>
      </c>
      <c r="AE20" s="519">
        <f>AE$13*'Assumptions &amp; Inputs'!$E45</f>
        <v>0</v>
      </c>
      <c r="AF20" s="519">
        <f>AF$13*'Assumptions &amp; Inputs'!$E45</f>
        <v>0</v>
      </c>
      <c r="AG20" s="519">
        <f>AG$13*'Assumptions &amp; Inputs'!$E45</f>
        <v>0</v>
      </c>
      <c r="AH20" s="519">
        <f>AH$13*'Assumptions &amp; Inputs'!$E45</f>
        <v>0</v>
      </c>
      <c r="AI20" s="519">
        <f>AI$13*'Assumptions &amp; Inputs'!$E45</f>
        <v>0</v>
      </c>
      <c r="AJ20" s="519">
        <f>AJ$13*'Assumptions &amp; Inputs'!$E45</f>
        <v>0</v>
      </c>
      <c r="AK20" s="519">
        <f>AK$13*'Assumptions &amp; Inputs'!$E45</f>
        <v>0</v>
      </c>
      <c r="AL20" s="519">
        <f>AL$13*'Assumptions &amp; Inputs'!$E45</f>
        <v>0</v>
      </c>
      <c r="AM20" s="519">
        <f>AM$13*'Assumptions &amp; Inputs'!$E45</f>
        <v>0</v>
      </c>
      <c r="AN20" s="519">
        <f>AN$13*'Assumptions &amp; Inputs'!$E45</f>
        <v>0</v>
      </c>
      <c r="AO20" s="519">
        <f>AO$13*'Assumptions &amp; Inputs'!$E45</f>
        <v>0</v>
      </c>
      <c r="AP20" s="519">
        <f>AP$13*'Assumptions &amp; Inputs'!$E45</f>
        <v>0</v>
      </c>
      <c r="AQ20" s="519">
        <f>AQ$13*'Assumptions &amp; Inputs'!$E45</f>
        <v>0</v>
      </c>
      <c r="AR20" s="519">
        <f>AR$13*'Assumptions &amp; Inputs'!$E45</f>
        <v>0</v>
      </c>
      <c r="AS20" s="519">
        <f>AS$13*'Assumptions &amp; Inputs'!$E45</f>
        <v>0</v>
      </c>
      <c r="AT20" s="519">
        <f>AT$13*'Assumptions &amp; Inputs'!$E45</f>
        <v>0</v>
      </c>
      <c r="AU20" s="519">
        <f>AU$13*'Assumptions &amp; Inputs'!$E45</f>
        <v>0</v>
      </c>
      <c r="AV20" s="519">
        <f>AV$13*'Assumptions &amp; Inputs'!$E45</f>
        <v>0</v>
      </c>
      <c r="AW20" s="520">
        <f>AW$13*'Assumptions &amp; Inputs'!$E45</f>
        <v>0</v>
      </c>
    </row>
    <row r="21" spans="1:49" ht="14.25" customHeight="1">
      <c r="A21" s="4"/>
      <c r="B21" s="221"/>
      <c r="C21" s="94" t="s">
        <v>226</v>
      </c>
      <c r="D21" s="519">
        <f>D$13*'Assumptions &amp; Inputs'!$E46</f>
        <v>-2323.7260273972602</v>
      </c>
      <c r="E21" s="519">
        <f>E$13*'Assumptions &amp; Inputs'!$E46</f>
        <v>0</v>
      </c>
      <c r="F21" s="519">
        <f>F$13*'Assumptions &amp; Inputs'!$E46</f>
        <v>0</v>
      </c>
      <c r="G21" s="519">
        <f>G$13*'Assumptions &amp; Inputs'!$E46</f>
        <v>0</v>
      </c>
      <c r="H21" s="519">
        <f>H$13*'Assumptions &amp; Inputs'!$E46</f>
        <v>0</v>
      </c>
      <c r="I21" s="519">
        <f>I$13*'Assumptions &amp; Inputs'!$E46</f>
        <v>0</v>
      </c>
      <c r="J21" s="519">
        <f>J$13*'Assumptions &amp; Inputs'!$E46</f>
        <v>0</v>
      </c>
      <c r="K21" s="519">
        <f>K$13*'Assumptions &amp; Inputs'!$E46</f>
        <v>0</v>
      </c>
      <c r="L21" s="519">
        <f>L$13*'Assumptions &amp; Inputs'!$E46</f>
        <v>0</v>
      </c>
      <c r="M21" s="519">
        <f>M$13*'Assumptions &amp; Inputs'!$E46</f>
        <v>0</v>
      </c>
      <c r="N21" s="519">
        <f>N$13*'Assumptions &amp; Inputs'!$E46</f>
        <v>0</v>
      </c>
      <c r="O21" s="519">
        <f>O$13*'Assumptions &amp; Inputs'!$E46</f>
        <v>0</v>
      </c>
      <c r="P21" s="519">
        <f>P$13*'Assumptions &amp; Inputs'!$E46</f>
        <v>0</v>
      </c>
      <c r="Q21" s="519">
        <f>Q$13*'Assumptions &amp; Inputs'!$E46</f>
        <v>0</v>
      </c>
      <c r="R21" s="519">
        <f>R$13*'Assumptions &amp; Inputs'!$E46</f>
        <v>0</v>
      </c>
      <c r="S21" s="519">
        <f>S$13*'Assumptions &amp; Inputs'!$E46</f>
        <v>0</v>
      </c>
      <c r="T21" s="519">
        <f>T$13*'Assumptions &amp; Inputs'!$E46</f>
        <v>0</v>
      </c>
      <c r="U21" s="519">
        <f>U$13*'Assumptions &amp; Inputs'!$E46</f>
        <v>0</v>
      </c>
      <c r="V21" s="519">
        <f>V$13*'Assumptions &amp; Inputs'!$E46</f>
        <v>0</v>
      </c>
      <c r="W21" s="519">
        <f>W$13*'Assumptions &amp; Inputs'!$E46</f>
        <v>0</v>
      </c>
      <c r="X21" s="519">
        <f>X$13*'Assumptions &amp; Inputs'!$E46</f>
        <v>0</v>
      </c>
      <c r="Y21" s="519">
        <f>Y$13*'Assumptions &amp; Inputs'!$E46</f>
        <v>0</v>
      </c>
      <c r="Z21" s="519">
        <f>Z$13*'Assumptions &amp; Inputs'!$E46</f>
        <v>0</v>
      </c>
      <c r="AA21" s="519">
        <f>AA$13*'Assumptions &amp; Inputs'!$E46</f>
        <v>0</v>
      </c>
      <c r="AB21" s="519">
        <f>AB$13*'Assumptions &amp; Inputs'!$E46</f>
        <v>0</v>
      </c>
      <c r="AC21" s="519">
        <f>AC$13*'Assumptions &amp; Inputs'!$E46</f>
        <v>0</v>
      </c>
      <c r="AD21" s="519">
        <f>AD$13*'Assumptions &amp; Inputs'!$E46</f>
        <v>0</v>
      </c>
      <c r="AE21" s="519">
        <f>AE$13*'Assumptions &amp; Inputs'!$E46</f>
        <v>0</v>
      </c>
      <c r="AF21" s="519">
        <f>AF$13*'Assumptions &amp; Inputs'!$E46</f>
        <v>0</v>
      </c>
      <c r="AG21" s="519">
        <f>AG$13*'Assumptions &amp; Inputs'!$E46</f>
        <v>0</v>
      </c>
      <c r="AH21" s="519">
        <f>AH$13*'Assumptions &amp; Inputs'!$E46</f>
        <v>0</v>
      </c>
      <c r="AI21" s="519">
        <f>AI$13*'Assumptions &amp; Inputs'!$E46</f>
        <v>0</v>
      </c>
      <c r="AJ21" s="519">
        <f>AJ$13*'Assumptions &amp; Inputs'!$E46</f>
        <v>0</v>
      </c>
      <c r="AK21" s="519">
        <f>AK$13*'Assumptions &amp; Inputs'!$E46</f>
        <v>0</v>
      </c>
      <c r="AL21" s="519">
        <f>AL$13*'Assumptions &amp; Inputs'!$E46</f>
        <v>0</v>
      </c>
      <c r="AM21" s="519">
        <f>AM$13*'Assumptions &amp; Inputs'!$E46</f>
        <v>0</v>
      </c>
      <c r="AN21" s="519">
        <f>AN$13*'Assumptions &amp; Inputs'!$E46</f>
        <v>0</v>
      </c>
      <c r="AO21" s="519">
        <f>AO$13*'Assumptions &amp; Inputs'!$E46</f>
        <v>0</v>
      </c>
      <c r="AP21" s="519">
        <f>AP$13*'Assumptions &amp; Inputs'!$E46</f>
        <v>0</v>
      </c>
      <c r="AQ21" s="519">
        <f>AQ$13*'Assumptions &amp; Inputs'!$E46</f>
        <v>0</v>
      </c>
      <c r="AR21" s="519">
        <f>AR$13*'Assumptions &amp; Inputs'!$E46</f>
        <v>0</v>
      </c>
      <c r="AS21" s="519">
        <f>AS$13*'Assumptions &amp; Inputs'!$E46</f>
        <v>0</v>
      </c>
      <c r="AT21" s="519">
        <f>AT$13*'Assumptions &amp; Inputs'!$E46</f>
        <v>0</v>
      </c>
      <c r="AU21" s="519">
        <f>AU$13*'Assumptions &amp; Inputs'!$E46</f>
        <v>0</v>
      </c>
      <c r="AV21" s="519">
        <f>AV$13*'Assumptions &amp; Inputs'!$E46</f>
        <v>0</v>
      </c>
      <c r="AW21" s="520">
        <f>AW$13*'Assumptions &amp; Inputs'!$E46</f>
        <v>0</v>
      </c>
    </row>
    <row r="22" spans="1:49" ht="14.25" customHeight="1">
      <c r="B22" s="79"/>
      <c r="C22" s="94" t="s">
        <v>227</v>
      </c>
      <c r="D22" s="519">
        <f>D$13*'Assumptions &amp; Inputs'!$E47</f>
        <v>-697.11780821917807</v>
      </c>
      <c r="E22" s="519">
        <f>E$13*'Assumptions &amp; Inputs'!$E47</f>
        <v>0</v>
      </c>
      <c r="F22" s="519">
        <f>F$13*'Assumptions &amp; Inputs'!$E47</f>
        <v>0</v>
      </c>
      <c r="G22" s="519">
        <f>G$13*'Assumptions &amp; Inputs'!$E47</f>
        <v>0</v>
      </c>
      <c r="H22" s="519">
        <f>H$13*'Assumptions &amp; Inputs'!$E47</f>
        <v>0</v>
      </c>
      <c r="I22" s="519">
        <f>I$13*'Assumptions &amp; Inputs'!$E47</f>
        <v>0</v>
      </c>
      <c r="J22" s="519">
        <f>J$13*'Assumptions &amp; Inputs'!$E47</f>
        <v>0</v>
      </c>
      <c r="K22" s="519">
        <f>K$13*'Assumptions &amp; Inputs'!$E47</f>
        <v>0</v>
      </c>
      <c r="L22" s="519">
        <f>L$13*'Assumptions &amp; Inputs'!$E47</f>
        <v>0</v>
      </c>
      <c r="M22" s="519">
        <f>M$13*'Assumptions &amp; Inputs'!$E47</f>
        <v>0</v>
      </c>
      <c r="N22" s="519">
        <f>N$13*'Assumptions &amp; Inputs'!$E47</f>
        <v>0</v>
      </c>
      <c r="O22" s="519">
        <f>O$13*'Assumptions &amp; Inputs'!$E47</f>
        <v>0</v>
      </c>
      <c r="P22" s="519">
        <f>P$13*'Assumptions &amp; Inputs'!$E47</f>
        <v>0</v>
      </c>
      <c r="Q22" s="519">
        <f>Q$13*'Assumptions &amp; Inputs'!$E47</f>
        <v>0</v>
      </c>
      <c r="R22" s="519">
        <f>R$13*'Assumptions &amp; Inputs'!$E47</f>
        <v>0</v>
      </c>
      <c r="S22" s="519">
        <f>S$13*'Assumptions &amp; Inputs'!$E47</f>
        <v>0</v>
      </c>
      <c r="T22" s="519">
        <f>T$13*'Assumptions &amp; Inputs'!$E47</f>
        <v>0</v>
      </c>
      <c r="U22" s="519">
        <f>U$13*'Assumptions &amp; Inputs'!$E47</f>
        <v>0</v>
      </c>
      <c r="V22" s="519">
        <f>V$13*'Assumptions &amp; Inputs'!$E47</f>
        <v>0</v>
      </c>
      <c r="W22" s="519">
        <f>W$13*'Assumptions &amp; Inputs'!$E47</f>
        <v>0</v>
      </c>
      <c r="X22" s="519">
        <f>X$13*'Assumptions &amp; Inputs'!$E47</f>
        <v>0</v>
      </c>
      <c r="Y22" s="519">
        <f>Y$13*'Assumptions &amp; Inputs'!$E47</f>
        <v>0</v>
      </c>
      <c r="Z22" s="519">
        <f>Z$13*'Assumptions &amp; Inputs'!$E47</f>
        <v>0</v>
      </c>
      <c r="AA22" s="519">
        <f>AA$13*'Assumptions &amp; Inputs'!$E47</f>
        <v>0</v>
      </c>
      <c r="AB22" s="519">
        <f>AB$13*'Assumptions &amp; Inputs'!$E47</f>
        <v>0</v>
      </c>
      <c r="AC22" s="519">
        <f>AC$13*'Assumptions &amp; Inputs'!$E47</f>
        <v>0</v>
      </c>
      <c r="AD22" s="519">
        <f>AD$13*'Assumptions &amp; Inputs'!$E47</f>
        <v>0</v>
      </c>
      <c r="AE22" s="519">
        <f>AE$13*'Assumptions &amp; Inputs'!$E47</f>
        <v>0</v>
      </c>
      <c r="AF22" s="519">
        <f>AF$13*'Assumptions &amp; Inputs'!$E47</f>
        <v>0</v>
      </c>
      <c r="AG22" s="519">
        <f>AG$13*'Assumptions &amp; Inputs'!$E47</f>
        <v>0</v>
      </c>
      <c r="AH22" s="519">
        <f>AH$13*'Assumptions &amp; Inputs'!$E47</f>
        <v>0</v>
      </c>
      <c r="AI22" s="519">
        <f>AI$13*'Assumptions &amp; Inputs'!$E47</f>
        <v>0</v>
      </c>
      <c r="AJ22" s="519">
        <f>AJ$13*'Assumptions &amp; Inputs'!$E47</f>
        <v>0</v>
      </c>
      <c r="AK22" s="519">
        <f>AK$13*'Assumptions &amp; Inputs'!$E47</f>
        <v>0</v>
      </c>
      <c r="AL22" s="519">
        <f>AL$13*'Assumptions &amp; Inputs'!$E47</f>
        <v>0</v>
      </c>
      <c r="AM22" s="519">
        <f>AM$13*'Assumptions &amp; Inputs'!$E47</f>
        <v>0</v>
      </c>
      <c r="AN22" s="519">
        <f>AN$13*'Assumptions &amp; Inputs'!$E47</f>
        <v>0</v>
      </c>
      <c r="AO22" s="519">
        <f>AO$13*'Assumptions &amp; Inputs'!$E47</f>
        <v>0</v>
      </c>
      <c r="AP22" s="519">
        <f>AP$13*'Assumptions &amp; Inputs'!$E47</f>
        <v>0</v>
      </c>
      <c r="AQ22" s="519">
        <f>AQ$13*'Assumptions &amp; Inputs'!$E47</f>
        <v>0</v>
      </c>
      <c r="AR22" s="519">
        <f>AR$13*'Assumptions &amp; Inputs'!$E47</f>
        <v>0</v>
      </c>
      <c r="AS22" s="519">
        <f>AS$13*'Assumptions &amp; Inputs'!$E47</f>
        <v>0</v>
      </c>
      <c r="AT22" s="519">
        <f>AT$13*'Assumptions &amp; Inputs'!$E47</f>
        <v>0</v>
      </c>
      <c r="AU22" s="519">
        <f>AU$13*'Assumptions &amp; Inputs'!$E47</f>
        <v>0</v>
      </c>
      <c r="AV22" s="519">
        <f>AV$13*'Assumptions &amp; Inputs'!$E47</f>
        <v>0</v>
      </c>
      <c r="AW22" s="520">
        <f>AW$13*'Assumptions &amp; Inputs'!$E47</f>
        <v>0</v>
      </c>
    </row>
    <row r="23" spans="1:49" ht="14.25" customHeight="1">
      <c r="B23" s="79"/>
      <c r="C23" s="96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98"/>
    </row>
    <row r="24" spans="1:49" ht="14.25" customHeight="1">
      <c r="B24" s="79"/>
      <c r="C24" s="150" t="s">
        <v>359</v>
      </c>
      <c r="D24" s="517">
        <f>SUM(D14:D22)</f>
        <v>-11618.630136986301</v>
      </c>
      <c r="E24" s="517">
        <f t="shared" ref="E24:X24" si="56">SUM(E14:E22)</f>
        <v>0</v>
      </c>
      <c r="F24" s="517">
        <f t="shared" si="56"/>
        <v>0</v>
      </c>
      <c r="G24" s="517">
        <f t="shared" si="56"/>
        <v>0</v>
      </c>
      <c r="H24" s="517">
        <f t="shared" si="56"/>
        <v>0</v>
      </c>
      <c r="I24" s="517">
        <f t="shared" si="56"/>
        <v>0</v>
      </c>
      <c r="J24" s="517">
        <f t="shared" si="56"/>
        <v>0</v>
      </c>
      <c r="K24" s="517">
        <f t="shared" si="56"/>
        <v>0</v>
      </c>
      <c r="L24" s="517">
        <f t="shared" si="56"/>
        <v>0</v>
      </c>
      <c r="M24" s="517">
        <f t="shared" si="56"/>
        <v>0</v>
      </c>
      <c r="N24" s="517">
        <f t="shared" si="56"/>
        <v>0</v>
      </c>
      <c r="O24" s="517">
        <f t="shared" si="56"/>
        <v>0</v>
      </c>
      <c r="P24" s="517">
        <f t="shared" si="56"/>
        <v>0</v>
      </c>
      <c r="Q24" s="517">
        <f t="shared" si="56"/>
        <v>0</v>
      </c>
      <c r="R24" s="517">
        <f t="shared" si="56"/>
        <v>0</v>
      </c>
      <c r="S24" s="517">
        <f t="shared" si="56"/>
        <v>0</v>
      </c>
      <c r="T24" s="517">
        <f t="shared" si="56"/>
        <v>0</v>
      </c>
      <c r="U24" s="517">
        <f t="shared" si="56"/>
        <v>0</v>
      </c>
      <c r="V24" s="517">
        <f t="shared" si="56"/>
        <v>0</v>
      </c>
      <c r="W24" s="517">
        <f t="shared" si="56"/>
        <v>0</v>
      </c>
      <c r="X24" s="517">
        <f t="shared" si="56"/>
        <v>0</v>
      </c>
      <c r="Y24" s="517">
        <f t="shared" ref="Y24:AW24" si="57">SUM(Y14:Y22)</f>
        <v>0</v>
      </c>
      <c r="Z24" s="517">
        <f t="shared" si="57"/>
        <v>0</v>
      </c>
      <c r="AA24" s="517">
        <f t="shared" si="57"/>
        <v>0</v>
      </c>
      <c r="AB24" s="517">
        <f t="shared" si="57"/>
        <v>0</v>
      </c>
      <c r="AC24" s="517">
        <f t="shared" si="57"/>
        <v>0</v>
      </c>
      <c r="AD24" s="517">
        <f t="shared" si="57"/>
        <v>0</v>
      </c>
      <c r="AE24" s="517">
        <f t="shared" si="57"/>
        <v>0</v>
      </c>
      <c r="AF24" s="517">
        <f t="shared" si="57"/>
        <v>0</v>
      </c>
      <c r="AG24" s="517">
        <f t="shared" si="57"/>
        <v>0</v>
      </c>
      <c r="AH24" s="517">
        <f t="shared" si="57"/>
        <v>0</v>
      </c>
      <c r="AI24" s="517">
        <f t="shared" si="57"/>
        <v>0</v>
      </c>
      <c r="AJ24" s="517">
        <f t="shared" si="57"/>
        <v>0</v>
      </c>
      <c r="AK24" s="517">
        <f t="shared" si="57"/>
        <v>0</v>
      </c>
      <c r="AL24" s="517">
        <f t="shared" si="57"/>
        <v>0</v>
      </c>
      <c r="AM24" s="517">
        <f t="shared" si="57"/>
        <v>0</v>
      </c>
      <c r="AN24" s="517">
        <f t="shared" si="57"/>
        <v>0</v>
      </c>
      <c r="AO24" s="517">
        <f t="shared" si="57"/>
        <v>0</v>
      </c>
      <c r="AP24" s="517">
        <f t="shared" si="57"/>
        <v>0</v>
      </c>
      <c r="AQ24" s="517">
        <f t="shared" si="57"/>
        <v>0</v>
      </c>
      <c r="AR24" s="517">
        <f t="shared" si="57"/>
        <v>0</v>
      </c>
      <c r="AS24" s="517">
        <f t="shared" si="57"/>
        <v>0</v>
      </c>
      <c r="AT24" s="517">
        <f t="shared" si="57"/>
        <v>0</v>
      </c>
      <c r="AU24" s="517">
        <f t="shared" si="57"/>
        <v>0</v>
      </c>
      <c r="AV24" s="517">
        <f t="shared" si="57"/>
        <v>0</v>
      </c>
      <c r="AW24" s="521">
        <f t="shared" si="57"/>
        <v>0</v>
      </c>
    </row>
    <row r="25" spans="1:49" ht="14.25" customHeight="1" thickBot="1">
      <c r="B25" s="79"/>
      <c r="C25" s="151" t="s">
        <v>360</v>
      </c>
      <c r="D25" s="176">
        <f>SUM(D24:AW24)</f>
        <v>-11618.630136986301</v>
      </c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9"/>
    </row>
    <row r="26" spans="1:49" ht="14.25" customHeight="1">
      <c r="C26" s="79"/>
      <c r="D26" s="143"/>
      <c r="E26" s="144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</row>
    <row r="27" spans="1:49" ht="14.25" customHeight="1">
      <c r="D27" s="5"/>
      <c r="E27" s="6"/>
    </row>
    <row r="28" spans="1:49" ht="14.25" customHeight="1" thickBot="1">
      <c r="A28" s="1" t="s">
        <v>351</v>
      </c>
      <c r="C28" s="9" t="s">
        <v>402</v>
      </c>
      <c r="D28" s="9"/>
      <c r="E28" s="10"/>
      <c r="F28" s="10"/>
      <c r="G28" s="10"/>
      <c r="H28" s="10"/>
      <c r="I28" s="10"/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ht="14.25" customHeight="1">
      <c r="C29" s="12" t="s">
        <v>353</v>
      </c>
    </row>
    <row r="30" spans="1:49" ht="14.25" customHeight="1">
      <c r="D30" s="90">
        <v>0</v>
      </c>
      <c r="E30" s="90">
        <f t="shared" ref="E30:X30" si="58">D30+1</f>
        <v>1</v>
      </c>
      <c r="F30" s="90">
        <f t="shared" si="58"/>
        <v>2</v>
      </c>
      <c r="G30" s="90">
        <f t="shared" si="58"/>
        <v>3</v>
      </c>
      <c r="H30" s="90">
        <f t="shared" si="58"/>
        <v>4</v>
      </c>
      <c r="I30" s="90">
        <f t="shared" si="58"/>
        <v>5</v>
      </c>
      <c r="J30" s="90">
        <f t="shared" si="58"/>
        <v>6</v>
      </c>
      <c r="K30" s="90">
        <f t="shared" si="58"/>
        <v>7</v>
      </c>
      <c r="L30" s="90">
        <f t="shared" si="58"/>
        <v>8</v>
      </c>
      <c r="M30" s="90">
        <f t="shared" si="58"/>
        <v>9</v>
      </c>
      <c r="N30" s="90">
        <f t="shared" si="58"/>
        <v>10</v>
      </c>
      <c r="O30" s="90">
        <f t="shared" si="58"/>
        <v>11</v>
      </c>
      <c r="P30" s="90">
        <f t="shared" si="58"/>
        <v>12</v>
      </c>
      <c r="Q30" s="90">
        <f t="shared" si="58"/>
        <v>13</v>
      </c>
      <c r="R30" s="90">
        <f t="shared" si="58"/>
        <v>14</v>
      </c>
      <c r="S30" s="90">
        <f t="shared" si="58"/>
        <v>15</v>
      </c>
      <c r="T30" s="90">
        <f t="shared" si="58"/>
        <v>16</v>
      </c>
      <c r="U30" s="90">
        <f t="shared" si="58"/>
        <v>17</v>
      </c>
      <c r="V30" s="90">
        <f t="shared" si="58"/>
        <v>18</v>
      </c>
      <c r="W30" s="90">
        <f t="shared" si="58"/>
        <v>19</v>
      </c>
      <c r="X30" s="90">
        <f t="shared" si="58"/>
        <v>20</v>
      </c>
      <c r="Y30" s="90">
        <f t="shared" ref="Y30" si="59">X30+1</f>
        <v>21</v>
      </c>
      <c r="Z30" s="90">
        <f t="shared" ref="Z30" si="60">Y30+1</f>
        <v>22</v>
      </c>
      <c r="AA30" s="90">
        <f t="shared" ref="AA30" si="61">Z30+1</f>
        <v>23</v>
      </c>
      <c r="AB30" s="90">
        <f t="shared" ref="AB30" si="62">AA30+1</f>
        <v>24</v>
      </c>
      <c r="AC30" s="90">
        <f t="shared" ref="AC30" si="63">AB30+1</f>
        <v>25</v>
      </c>
      <c r="AD30" s="90">
        <f t="shared" ref="AD30" si="64">AC30+1</f>
        <v>26</v>
      </c>
      <c r="AE30" s="90">
        <f t="shared" ref="AE30" si="65">AD30+1</f>
        <v>27</v>
      </c>
      <c r="AF30" s="90">
        <f t="shared" ref="AF30" si="66">AE30+1</f>
        <v>28</v>
      </c>
      <c r="AG30" s="90">
        <f t="shared" ref="AG30" si="67">AF30+1</f>
        <v>29</v>
      </c>
      <c r="AH30" s="90">
        <f t="shared" ref="AH30" si="68">AG30+1</f>
        <v>30</v>
      </c>
      <c r="AI30" s="90">
        <f t="shared" ref="AI30" si="69">AH30+1</f>
        <v>31</v>
      </c>
      <c r="AJ30" s="90">
        <f t="shared" ref="AJ30" si="70">AI30+1</f>
        <v>32</v>
      </c>
      <c r="AK30" s="90">
        <f t="shared" ref="AK30" si="71">AJ30+1</f>
        <v>33</v>
      </c>
      <c r="AL30" s="90">
        <f t="shared" ref="AL30" si="72">AK30+1</f>
        <v>34</v>
      </c>
      <c r="AM30" s="90">
        <f t="shared" ref="AM30" si="73">AL30+1</f>
        <v>35</v>
      </c>
      <c r="AN30" s="90">
        <f t="shared" ref="AN30" si="74">AM30+1</f>
        <v>36</v>
      </c>
      <c r="AO30" s="90">
        <f t="shared" ref="AO30" si="75">AN30+1</f>
        <v>37</v>
      </c>
      <c r="AP30" s="90">
        <f t="shared" ref="AP30" si="76">AO30+1</f>
        <v>38</v>
      </c>
      <c r="AQ30" s="90">
        <f t="shared" ref="AQ30" si="77">AP30+1</f>
        <v>39</v>
      </c>
      <c r="AR30" s="90">
        <f t="shared" ref="AR30" si="78">AQ30+1</f>
        <v>40</v>
      </c>
      <c r="AS30" s="90">
        <f t="shared" ref="AS30" si="79">AR30+1</f>
        <v>41</v>
      </c>
      <c r="AT30" s="90">
        <f t="shared" ref="AT30" si="80">AS30+1</f>
        <v>42</v>
      </c>
      <c r="AU30" s="90">
        <f t="shared" ref="AU30" si="81">AT30+1</f>
        <v>43</v>
      </c>
      <c r="AV30" s="90">
        <f t="shared" ref="AV30" si="82">AU30+1</f>
        <v>44</v>
      </c>
      <c r="AW30" s="90">
        <f t="shared" ref="AW30" si="83">AV30+1</f>
        <v>45</v>
      </c>
    </row>
    <row r="31" spans="1:49" ht="14.25" customHeight="1">
      <c r="C31" s="2"/>
      <c r="D31" s="2"/>
      <c r="E31" s="806" t="s">
        <v>354</v>
      </c>
      <c r="F31" s="819"/>
      <c r="G31" s="819"/>
      <c r="H31" s="819"/>
      <c r="I31" s="819"/>
      <c r="J31" s="819"/>
      <c r="K31" s="819"/>
      <c r="L31" s="819"/>
      <c r="M31" s="819"/>
      <c r="N31" s="819"/>
      <c r="O31" s="819"/>
      <c r="P31" s="8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</row>
    <row r="32" spans="1:49" ht="14.25" customHeight="1">
      <c r="C32" s="2"/>
      <c r="D32" s="3">
        <f>D9</f>
        <v>2026</v>
      </c>
      <c r="E32" s="91">
        <f t="shared" ref="E32:X32" si="84">D32+1</f>
        <v>2027</v>
      </c>
      <c r="F32" s="91">
        <f t="shared" si="84"/>
        <v>2028</v>
      </c>
      <c r="G32" s="91">
        <f t="shared" si="84"/>
        <v>2029</v>
      </c>
      <c r="H32" s="91">
        <f t="shared" si="84"/>
        <v>2030</v>
      </c>
      <c r="I32" s="91">
        <f t="shared" si="84"/>
        <v>2031</v>
      </c>
      <c r="J32" s="91">
        <f t="shared" si="84"/>
        <v>2032</v>
      </c>
      <c r="K32" s="91">
        <f t="shared" si="84"/>
        <v>2033</v>
      </c>
      <c r="L32" s="91">
        <f t="shared" si="84"/>
        <v>2034</v>
      </c>
      <c r="M32" s="91">
        <f t="shared" si="84"/>
        <v>2035</v>
      </c>
      <c r="N32" s="91">
        <f t="shared" si="84"/>
        <v>2036</v>
      </c>
      <c r="O32" s="91">
        <f t="shared" si="84"/>
        <v>2037</v>
      </c>
      <c r="P32" s="91">
        <f t="shared" si="84"/>
        <v>2038</v>
      </c>
      <c r="Q32" s="91">
        <f t="shared" si="84"/>
        <v>2039</v>
      </c>
      <c r="R32" s="91">
        <f t="shared" si="84"/>
        <v>2040</v>
      </c>
      <c r="S32" s="91">
        <f t="shared" si="84"/>
        <v>2041</v>
      </c>
      <c r="T32" s="91">
        <f t="shared" si="84"/>
        <v>2042</v>
      </c>
      <c r="U32" s="91">
        <f t="shared" si="84"/>
        <v>2043</v>
      </c>
      <c r="V32" s="91">
        <f t="shared" si="84"/>
        <v>2044</v>
      </c>
      <c r="W32" s="91">
        <f t="shared" si="84"/>
        <v>2045</v>
      </c>
      <c r="X32" s="91">
        <f t="shared" si="84"/>
        <v>2046</v>
      </c>
      <c r="Y32" s="91">
        <f t="shared" ref="Y32" si="85">X32+1</f>
        <v>2047</v>
      </c>
      <c r="Z32" s="91">
        <f t="shared" ref="Z32" si="86">Y32+1</f>
        <v>2048</v>
      </c>
      <c r="AA32" s="91">
        <f t="shared" ref="AA32" si="87">Z32+1</f>
        <v>2049</v>
      </c>
      <c r="AB32" s="91">
        <f t="shared" ref="AB32" si="88">AA32+1</f>
        <v>2050</v>
      </c>
      <c r="AC32" s="91">
        <f t="shared" ref="AC32" si="89">AB32+1</f>
        <v>2051</v>
      </c>
      <c r="AD32" s="91">
        <f t="shared" ref="AD32" si="90">AC32+1</f>
        <v>2052</v>
      </c>
      <c r="AE32" s="91">
        <f t="shared" ref="AE32" si="91">AD32+1</f>
        <v>2053</v>
      </c>
      <c r="AF32" s="91">
        <f t="shared" ref="AF32" si="92">AE32+1</f>
        <v>2054</v>
      </c>
      <c r="AG32" s="91">
        <f t="shared" ref="AG32" si="93">AF32+1</f>
        <v>2055</v>
      </c>
      <c r="AH32" s="91">
        <f t="shared" ref="AH32" si="94">AG32+1</f>
        <v>2056</v>
      </c>
      <c r="AI32" s="91">
        <f t="shared" ref="AI32" si="95">AH32+1</f>
        <v>2057</v>
      </c>
      <c r="AJ32" s="91">
        <f t="shared" ref="AJ32" si="96">AI32+1</f>
        <v>2058</v>
      </c>
      <c r="AK32" s="91">
        <f t="shared" ref="AK32" si="97">AJ32+1</f>
        <v>2059</v>
      </c>
      <c r="AL32" s="91">
        <f t="shared" ref="AL32" si="98">AK32+1</f>
        <v>2060</v>
      </c>
      <c r="AM32" s="91">
        <f t="shared" ref="AM32" si="99">AL32+1</f>
        <v>2061</v>
      </c>
      <c r="AN32" s="91">
        <f t="shared" ref="AN32" si="100">AM32+1</f>
        <v>2062</v>
      </c>
      <c r="AO32" s="91">
        <f t="shared" ref="AO32" si="101">AN32+1</f>
        <v>2063</v>
      </c>
      <c r="AP32" s="91">
        <f t="shared" ref="AP32" si="102">AO32+1</f>
        <v>2064</v>
      </c>
      <c r="AQ32" s="91">
        <f t="shared" ref="AQ32" si="103">AP32+1</f>
        <v>2065</v>
      </c>
      <c r="AR32" s="91">
        <f t="shared" ref="AR32" si="104">AQ32+1</f>
        <v>2066</v>
      </c>
      <c r="AS32" s="91">
        <f t="shared" ref="AS32" si="105">AR32+1</f>
        <v>2067</v>
      </c>
      <c r="AT32" s="91">
        <f t="shared" ref="AT32" si="106">AS32+1</f>
        <v>2068</v>
      </c>
      <c r="AU32" s="91">
        <f t="shared" ref="AU32" si="107">AT32+1</f>
        <v>2069</v>
      </c>
      <c r="AV32" s="91">
        <f t="shared" ref="AV32" si="108">AU32+1</f>
        <v>2070</v>
      </c>
      <c r="AW32" s="91">
        <f t="shared" ref="AW32" si="109">AV32+1</f>
        <v>2071</v>
      </c>
    </row>
    <row r="33" spans="2:49" ht="14.25" customHeight="1">
      <c r="C33" s="92"/>
      <c r="D33" s="93">
        <f>D10</f>
        <v>46023</v>
      </c>
      <c r="E33" s="93">
        <v>46387</v>
      </c>
      <c r="F33" s="93">
        <f t="shared" ref="F33:X33" si="110">EDATE(E33,12)</f>
        <v>46752</v>
      </c>
      <c r="G33" s="93">
        <f t="shared" si="110"/>
        <v>47118</v>
      </c>
      <c r="H33" s="93">
        <f t="shared" si="110"/>
        <v>47483</v>
      </c>
      <c r="I33" s="93">
        <f t="shared" si="110"/>
        <v>47848</v>
      </c>
      <c r="J33" s="93">
        <f t="shared" si="110"/>
        <v>48213</v>
      </c>
      <c r="K33" s="93">
        <f t="shared" si="110"/>
        <v>48579</v>
      </c>
      <c r="L33" s="93">
        <f t="shared" si="110"/>
        <v>48944</v>
      </c>
      <c r="M33" s="93">
        <f t="shared" si="110"/>
        <v>49309</v>
      </c>
      <c r="N33" s="93">
        <f t="shared" si="110"/>
        <v>49674</v>
      </c>
      <c r="O33" s="93">
        <f t="shared" si="110"/>
        <v>50040</v>
      </c>
      <c r="P33" s="93">
        <f t="shared" si="110"/>
        <v>50405</v>
      </c>
      <c r="Q33" s="93">
        <f t="shared" si="110"/>
        <v>50770</v>
      </c>
      <c r="R33" s="93">
        <f t="shared" si="110"/>
        <v>51135</v>
      </c>
      <c r="S33" s="93">
        <f t="shared" si="110"/>
        <v>51501</v>
      </c>
      <c r="T33" s="93">
        <f t="shared" si="110"/>
        <v>51866</v>
      </c>
      <c r="U33" s="93">
        <f t="shared" si="110"/>
        <v>52231</v>
      </c>
      <c r="V33" s="93">
        <f t="shared" si="110"/>
        <v>52596</v>
      </c>
      <c r="W33" s="93">
        <f t="shared" si="110"/>
        <v>52962</v>
      </c>
      <c r="X33" s="93">
        <f t="shared" si="110"/>
        <v>53327</v>
      </c>
      <c r="Y33" s="93">
        <f t="shared" ref="Y33" si="111">EDATE(X33,12)</f>
        <v>53692</v>
      </c>
      <c r="Z33" s="93">
        <f t="shared" ref="Z33" si="112">EDATE(Y33,12)</f>
        <v>54057</v>
      </c>
      <c r="AA33" s="93">
        <f t="shared" ref="AA33" si="113">EDATE(Z33,12)</f>
        <v>54423</v>
      </c>
      <c r="AB33" s="93">
        <f t="shared" ref="AB33" si="114">EDATE(AA33,12)</f>
        <v>54788</v>
      </c>
      <c r="AC33" s="93">
        <f t="shared" ref="AC33" si="115">EDATE(AB33,12)</f>
        <v>55153</v>
      </c>
      <c r="AD33" s="93">
        <f t="shared" ref="AD33" si="116">EDATE(AC33,12)</f>
        <v>55518</v>
      </c>
      <c r="AE33" s="93">
        <f t="shared" ref="AE33" si="117">EDATE(AD33,12)</f>
        <v>55884</v>
      </c>
      <c r="AF33" s="93">
        <f t="shared" ref="AF33" si="118">EDATE(AE33,12)</f>
        <v>56249</v>
      </c>
      <c r="AG33" s="93">
        <f t="shared" ref="AG33" si="119">EDATE(AF33,12)</f>
        <v>56614</v>
      </c>
      <c r="AH33" s="93">
        <f t="shared" ref="AH33" si="120">EDATE(AG33,12)</f>
        <v>56979</v>
      </c>
      <c r="AI33" s="93">
        <f t="shared" ref="AI33" si="121">EDATE(AH33,12)</f>
        <v>57345</v>
      </c>
      <c r="AJ33" s="93">
        <f t="shared" ref="AJ33" si="122">EDATE(AI33,12)</f>
        <v>57710</v>
      </c>
      <c r="AK33" s="93">
        <f t="shared" ref="AK33" si="123">EDATE(AJ33,12)</f>
        <v>58075</v>
      </c>
      <c r="AL33" s="93">
        <f t="shared" ref="AL33" si="124">EDATE(AK33,12)</f>
        <v>58440</v>
      </c>
      <c r="AM33" s="93">
        <f t="shared" ref="AM33" si="125">EDATE(AL33,12)</f>
        <v>58806</v>
      </c>
      <c r="AN33" s="93">
        <f t="shared" ref="AN33" si="126">EDATE(AM33,12)</f>
        <v>59171</v>
      </c>
      <c r="AO33" s="93">
        <f t="shared" ref="AO33" si="127">EDATE(AN33,12)</f>
        <v>59536</v>
      </c>
      <c r="AP33" s="93">
        <f t="shared" ref="AP33" si="128">EDATE(AO33,12)</f>
        <v>59901</v>
      </c>
      <c r="AQ33" s="93">
        <f t="shared" ref="AQ33" si="129">EDATE(AP33,12)</f>
        <v>60267</v>
      </c>
      <c r="AR33" s="93">
        <f t="shared" ref="AR33" si="130">EDATE(AQ33,12)</f>
        <v>60632</v>
      </c>
      <c r="AS33" s="93">
        <f t="shared" ref="AS33" si="131">EDATE(AR33,12)</f>
        <v>60997</v>
      </c>
      <c r="AT33" s="93">
        <f t="shared" ref="AT33" si="132">EDATE(AS33,12)</f>
        <v>61362</v>
      </c>
      <c r="AU33" s="93">
        <f t="shared" ref="AU33" si="133">EDATE(AT33,12)</f>
        <v>61728</v>
      </c>
      <c r="AV33" s="93">
        <f t="shared" ref="AV33" si="134">EDATE(AU33,12)</f>
        <v>62093</v>
      </c>
      <c r="AW33" s="93">
        <f t="shared" ref="AW33" si="135">EDATE(AV33,12)</f>
        <v>62458</v>
      </c>
    </row>
    <row r="34" spans="2:49" ht="14.25" customHeight="1">
      <c r="C34" s="1" t="s">
        <v>403</v>
      </c>
      <c r="D34" s="15" t="e">
        <f t="shared" ref="D34:X34" si="136">D124</f>
        <v>#N/A</v>
      </c>
      <c r="E34" s="15">
        <f>E124</f>
        <v>8862.6910684931499</v>
      </c>
      <c r="F34" s="15">
        <f>F124</f>
        <v>10789.164512876712</v>
      </c>
      <c r="G34" s="15">
        <f t="shared" si="136"/>
        <v>11006.180423605481</v>
      </c>
      <c r="H34" s="15">
        <f t="shared" si="136"/>
        <v>11227.573631162959</v>
      </c>
      <c r="I34" s="15">
        <f t="shared" si="136"/>
        <v>11453.43279084415</v>
      </c>
      <c r="J34" s="15">
        <f t="shared" si="136"/>
        <v>11683.848364330703</v>
      </c>
      <c r="K34" s="15">
        <f t="shared" si="136"/>
        <v>11918.912656817076</v>
      </c>
      <c r="L34" s="15">
        <f t="shared" si="136"/>
        <v>12158.719854909164</v>
      </c>
      <c r="M34" s="15">
        <f t="shared" si="136"/>
        <v>12403.366065311773</v>
      </c>
      <c r="N34" s="15">
        <f t="shared" si="136"/>
        <v>12652.949354321565</v>
      </c>
      <c r="O34" s="15">
        <f t="shared" si="136"/>
        <v>12907.56978814266</v>
      </c>
      <c r="P34" s="15">
        <f t="shared" si="136"/>
        <v>13167.329474042217</v>
      </c>
      <c r="Q34" s="15">
        <f t="shared" si="136"/>
        <v>13432.332602363869</v>
      </c>
      <c r="R34" s="15">
        <f t="shared" si="136"/>
        <v>13702.685489417174</v>
      </c>
      <c r="S34" s="15">
        <f t="shared" si="136"/>
        <v>13978.496621261729</v>
      </c>
      <c r="T34" s="15">
        <f t="shared" si="136"/>
        <v>14259.876698404856</v>
      </c>
      <c r="U34" s="15">
        <f t="shared" si="136"/>
        <v>14546.938681432388</v>
      </c>
      <c r="V34" s="15">
        <f t="shared" si="136"/>
        <v>14839.797837592252</v>
      </c>
      <c r="W34" s="15">
        <f t="shared" si="136"/>
        <v>15138.571788351248</v>
      </c>
      <c r="X34" s="15">
        <f t="shared" si="136"/>
        <v>15443.380557945638</v>
      </c>
      <c r="Y34" s="15">
        <f t="shared" ref="Y34:AW34" si="137">Y124</f>
        <v>15754.346622946741</v>
      </c>
      <c r="Z34" s="15">
        <f t="shared" si="137"/>
        <v>16071.59496286313</v>
      </c>
      <c r="AA34" s="15">
        <f t="shared" si="137"/>
        <v>16395.253111801569</v>
      </c>
      <c r="AB34" s="15">
        <f t="shared" si="137"/>
        <v>16725.451211209212</v>
      </c>
      <c r="AC34" s="15">
        <f t="shared" si="137"/>
        <v>17062.322063720159</v>
      </c>
      <c r="AD34" s="15">
        <f t="shared" si="137"/>
        <v>17406.001188129922</v>
      </c>
      <c r="AE34" s="15">
        <f t="shared" si="137"/>
        <v>17756.62687552195</v>
      </c>
      <c r="AF34" s="15">
        <f t="shared" si="137"/>
        <v>18114.340246570693</v>
      </c>
      <c r="AG34" s="15">
        <f t="shared" si="137"/>
        <v>18479.285310046565</v>
      </c>
      <c r="AH34" s="15">
        <f t="shared" si="137"/>
        <v>18851.609022548284</v>
      </c>
      <c r="AI34" s="15">
        <f t="shared" si="137"/>
        <v>19231.461349489065</v>
      </c>
      <c r="AJ34" s="15">
        <f t="shared" si="137"/>
        <v>19618.995327363351</v>
      </c>
      <c r="AK34" s="15">
        <f t="shared" si="137"/>
        <v>20014.367127321668</v>
      </c>
      <c r="AL34" s="15">
        <f t="shared" si="137"/>
        <v>20417.736120081478</v>
      </c>
      <c r="AM34" s="15">
        <f t="shared" si="137"/>
        <v>20829.264942202881</v>
      </c>
      <c r="AN34" s="15">
        <f t="shared" si="137"/>
        <v>21249.119563758304</v>
      </c>
      <c r="AO34" s="15">
        <f t="shared" si="137"/>
        <v>21677.46935742618</v>
      </c>
      <c r="AP34" s="15">
        <f t="shared" si="137"/>
        <v>22114.487169039199</v>
      </c>
      <c r="AQ34" s="15">
        <f t="shared" si="137"/>
        <v>22560.349389618412</v>
      </c>
      <c r="AR34" s="15">
        <f t="shared" si="137"/>
        <v>23015.236028925152</v>
      </c>
      <c r="AS34" s="15">
        <f t="shared" si="137"/>
        <v>23479.330790563472</v>
      </c>
      <c r="AT34" s="15">
        <f t="shared" si="137"/>
        <v>23952.821148666346</v>
      </c>
      <c r="AU34" s="15">
        <f t="shared" si="137"/>
        <v>24435.898426200027</v>
      </c>
      <c r="AV34" s="15">
        <f t="shared" si="137"/>
        <v>24928.757874921186</v>
      </c>
      <c r="AW34" s="15">
        <f t="shared" si="137"/>
        <v>25431.598757022697</v>
      </c>
    </row>
    <row r="35" spans="2:49" ht="14.25" customHeight="1">
      <c r="C35" s="4" t="str">
        <f>"   Less: Taxes @ "&amp;TEXT('Assumptions &amp; Inputs'!E12,"0.0%")</f>
        <v xml:space="preserve">   Less: Taxes @ 26.0%</v>
      </c>
      <c r="D35" s="16" t="e">
        <f t="shared" ref="D35:X35" si="138">D128</f>
        <v>#N/A</v>
      </c>
      <c r="E35" s="16">
        <f t="shared" si="138"/>
        <v>-2304.2996778082193</v>
      </c>
      <c r="F35" s="16">
        <f t="shared" si="138"/>
        <v>-2805.1827733479454</v>
      </c>
      <c r="G35" s="16">
        <f t="shared" si="138"/>
        <v>-2861.6069101374251</v>
      </c>
      <c r="H35" s="16">
        <f t="shared" si="138"/>
        <v>-2919.1691441023695</v>
      </c>
      <c r="I35" s="16">
        <f t="shared" si="138"/>
        <v>-2977.8925256194793</v>
      </c>
      <c r="J35" s="16">
        <f t="shared" si="138"/>
        <v>-3037.8005747259826</v>
      </c>
      <c r="K35" s="16">
        <f t="shared" si="138"/>
        <v>-3098.9172907724396</v>
      </c>
      <c r="L35" s="16">
        <f t="shared" si="138"/>
        <v>-3161.2671622763828</v>
      </c>
      <c r="M35" s="16">
        <f t="shared" si="138"/>
        <v>-3224.875176981061</v>
      </c>
      <c r="N35" s="16">
        <f t="shared" si="138"/>
        <v>-3289.7668321236069</v>
      </c>
      <c r="O35" s="16">
        <f t="shared" si="138"/>
        <v>-3355.9681449170916</v>
      </c>
      <c r="P35" s="16">
        <f t="shared" si="138"/>
        <v>-3423.5056632509763</v>
      </c>
      <c r="Q35" s="16">
        <f t="shared" si="138"/>
        <v>-3492.4064766146062</v>
      </c>
      <c r="R35" s="16">
        <f t="shared" si="138"/>
        <v>-3562.6982272484652</v>
      </c>
      <c r="S35" s="16">
        <f t="shared" si="138"/>
        <v>-3634.4091215280496</v>
      </c>
      <c r="T35" s="16">
        <f t="shared" si="138"/>
        <v>-3707.5679415852628</v>
      </c>
      <c r="U35" s="16">
        <f t="shared" si="138"/>
        <v>-3782.204057172421</v>
      </c>
      <c r="V35" s="16">
        <f t="shared" si="138"/>
        <v>-3858.3474377739858</v>
      </c>
      <c r="W35" s="16">
        <f t="shared" si="138"/>
        <v>-3936.0286649713248</v>
      </c>
      <c r="X35" s="16">
        <f t="shared" si="138"/>
        <v>-4015.2789450658661</v>
      </c>
      <c r="Y35" s="16">
        <f t="shared" ref="Y35:AW35" si="139">Y128</f>
        <v>-4096.1301219661527</v>
      </c>
      <c r="Z35" s="16">
        <f t="shared" si="139"/>
        <v>-4178.6146903444142</v>
      </c>
      <c r="AA35" s="16">
        <f t="shared" si="139"/>
        <v>-4262.7658090684081</v>
      </c>
      <c r="AB35" s="16">
        <f t="shared" si="139"/>
        <v>-4348.6173149143951</v>
      </c>
      <c r="AC35" s="16">
        <f t="shared" si="139"/>
        <v>-4436.2037365672413</v>
      </c>
      <c r="AD35" s="16">
        <f t="shared" si="139"/>
        <v>-4525.5603089137794</v>
      </c>
      <c r="AE35" s="16">
        <f t="shared" si="139"/>
        <v>-4616.7229876357069</v>
      </c>
      <c r="AF35" s="16">
        <f t="shared" si="139"/>
        <v>-4709.7284641083806</v>
      </c>
      <c r="AG35" s="16">
        <f t="shared" si="139"/>
        <v>-4804.6141806121068</v>
      </c>
      <c r="AH35" s="16">
        <f t="shared" si="139"/>
        <v>-4901.4183458625539</v>
      </c>
      <c r="AI35" s="16">
        <f t="shared" si="139"/>
        <v>-5000.1799508671575</v>
      </c>
      <c r="AJ35" s="16">
        <f t="shared" si="139"/>
        <v>-5100.9387851144711</v>
      </c>
      <c r="AK35" s="16">
        <f t="shared" si="139"/>
        <v>-5203.7354531036335</v>
      </c>
      <c r="AL35" s="16">
        <f t="shared" si="139"/>
        <v>-5308.611391221184</v>
      </c>
      <c r="AM35" s="16">
        <f t="shared" si="139"/>
        <v>-5415.6088849727494</v>
      </c>
      <c r="AN35" s="16">
        <f t="shared" si="139"/>
        <v>-5524.7710865771596</v>
      </c>
      <c r="AO35" s="16">
        <f t="shared" si="139"/>
        <v>-5636.1420329308066</v>
      </c>
      <c r="AP35" s="16">
        <f t="shared" si="139"/>
        <v>-5749.7666639501922</v>
      </c>
      <c r="AQ35" s="16">
        <f t="shared" si="139"/>
        <v>-5865.6908413007877</v>
      </c>
      <c r="AR35" s="16">
        <f t="shared" si="139"/>
        <v>-5983.9613675205401</v>
      </c>
      <c r="AS35" s="16">
        <f t="shared" si="139"/>
        <v>-6104.6260055465027</v>
      </c>
      <c r="AT35" s="16">
        <f t="shared" si="139"/>
        <v>-6227.7334986532505</v>
      </c>
      <c r="AU35" s="16">
        <f t="shared" si="139"/>
        <v>-6353.3335908120071</v>
      </c>
      <c r="AV35" s="16">
        <f t="shared" si="139"/>
        <v>-6481.4770474795087</v>
      </c>
      <c r="AW35" s="16">
        <f t="shared" si="139"/>
        <v>-6612.215676825901</v>
      </c>
    </row>
    <row r="36" spans="2:49" ht="14.25" customHeight="1">
      <c r="C36" s="1" t="s">
        <v>404</v>
      </c>
      <c r="D36" s="8" t="e">
        <f t="shared" ref="D36:X36" si="140">SUM(D34:D35)</f>
        <v>#N/A</v>
      </c>
      <c r="E36" s="8">
        <f t="shared" si="140"/>
        <v>6558.3913906849302</v>
      </c>
      <c r="F36" s="8">
        <f t="shared" si="140"/>
        <v>7983.9817395287664</v>
      </c>
      <c r="G36" s="8">
        <f t="shared" si="140"/>
        <v>8144.5735134680563</v>
      </c>
      <c r="H36" s="8">
        <f t="shared" si="140"/>
        <v>8308.4044870605903</v>
      </c>
      <c r="I36" s="8">
        <f t="shared" si="140"/>
        <v>8475.5402652246703</v>
      </c>
      <c r="J36" s="8">
        <f t="shared" si="140"/>
        <v>8646.0477896047196</v>
      </c>
      <c r="K36" s="8">
        <f t="shared" si="140"/>
        <v>8819.9953660446372</v>
      </c>
      <c r="L36" s="8">
        <f t="shared" si="140"/>
        <v>8997.4526926327817</v>
      </c>
      <c r="M36" s="8">
        <f t="shared" si="140"/>
        <v>9178.4908883307126</v>
      </c>
      <c r="N36" s="8">
        <f t="shared" si="140"/>
        <v>9363.182522197958</v>
      </c>
      <c r="O36" s="8">
        <f t="shared" si="140"/>
        <v>9551.6016432255692</v>
      </c>
      <c r="P36" s="8">
        <f t="shared" si="140"/>
        <v>9743.8238107912402</v>
      </c>
      <c r="Q36" s="8">
        <f t="shared" si="140"/>
        <v>9939.9261257492635</v>
      </c>
      <c r="R36" s="8">
        <f t="shared" si="140"/>
        <v>10139.987262168708</v>
      </c>
      <c r="S36" s="8">
        <f t="shared" si="140"/>
        <v>10344.08749973368</v>
      </c>
      <c r="T36" s="8">
        <f t="shared" si="140"/>
        <v>10552.308756819593</v>
      </c>
      <c r="U36" s="8">
        <f t="shared" si="140"/>
        <v>10764.734624259967</v>
      </c>
      <c r="V36" s="8">
        <f t="shared" si="140"/>
        <v>10981.450399818266</v>
      </c>
      <c r="W36" s="8">
        <f t="shared" si="140"/>
        <v>11202.543123379923</v>
      </c>
      <c r="X36" s="8">
        <f t="shared" si="140"/>
        <v>11428.101612879773</v>
      </c>
      <c r="Y36" s="8">
        <f t="shared" ref="Y36:AW36" si="141">SUM(Y34:Y35)</f>
        <v>11658.216500980589</v>
      </c>
      <c r="Z36" s="8">
        <f t="shared" si="141"/>
        <v>11892.980272518715</v>
      </c>
      <c r="AA36" s="8">
        <f t="shared" si="141"/>
        <v>12132.48730273316</v>
      </c>
      <c r="AB36" s="8">
        <f t="shared" si="141"/>
        <v>12376.833896294818</v>
      </c>
      <c r="AC36" s="8">
        <f t="shared" si="141"/>
        <v>12626.118327152919</v>
      </c>
      <c r="AD36" s="8">
        <f t="shared" si="141"/>
        <v>12880.440879216141</v>
      </c>
      <c r="AE36" s="8">
        <f t="shared" si="141"/>
        <v>13139.903887886243</v>
      </c>
      <c r="AF36" s="8">
        <f t="shared" si="141"/>
        <v>13404.611782462312</v>
      </c>
      <c r="AG36" s="8">
        <f t="shared" si="141"/>
        <v>13674.671129434459</v>
      </c>
      <c r="AH36" s="8">
        <f t="shared" si="141"/>
        <v>13950.19067668573</v>
      </c>
      <c r="AI36" s="8">
        <f t="shared" si="141"/>
        <v>14231.281398621908</v>
      </c>
      <c r="AJ36" s="8">
        <f t="shared" si="141"/>
        <v>14518.05654224888</v>
      </c>
      <c r="AK36" s="8">
        <f t="shared" si="141"/>
        <v>14810.631674218035</v>
      </c>
      <c r="AL36" s="8">
        <f t="shared" si="141"/>
        <v>15109.124728860294</v>
      </c>
      <c r="AM36" s="8">
        <f t="shared" si="141"/>
        <v>15413.656057230131</v>
      </c>
      <c r="AN36" s="8">
        <f t="shared" si="141"/>
        <v>15724.348477181145</v>
      </c>
      <c r="AO36" s="8">
        <f t="shared" si="141"/>
        <v>16041.327324495374</v>
      </c>
      <c r="AP36" s="8">
        <f t="shared" si="141"/>
        <v>16364.720505089008</v>
      </c>
      <c r="AQ36" s="8">
        <f t="shared" si="141"/>
        <v>16694.658548317624</v>
      </c>
      <c r="AR36" s="8">
        <f t="shared" si="141"/>
        <v>17031.274661404612</v>
      </c>
      <c r="AS36" s="8">
        <f t="shared" si="141"/>
        <v>17374.704785016969</v>
      </c>
      <c r="AT36" s="8">
        <f t="shared" si="141"/>
        <v>17725.087650013094</v>
      </c>
      <c r="AU36" s="8">
        <f t="shared" si="141"/>
        <v>18082.564835388021</v>
      </c>
      <c r="AV36" s="8">
        <f t="shared" si="141"/>
        <v>18447.280827441678</v>
      </c>
      <c r="AW36" s="8">
        <f t="shared" si="141"/>
        <v>18819.383080196796</v>
      </c>
    </row>
    <row r="37" spans="2:49" ht="14.25" customHeight="1">
      <c r="C37" s="17" t="s">
        <v>405</v>
      </c>
      <c r="D37" s="15">
        <f t="shared" ref="D37:X37" si="142">-D135</f>
        <v>0</v>
      </c>
      <c r="E37" s="15">
        <f t="shared" si="142"/>
        <v>0</v>
      </c>
      <c r="F37" s="15">
        <f t="shared" si="142"/>
        <v>1103.7698630136986</v>
      </c>
      <c r="G37" s="15">
        <f t="shared" si="142"/>
        <v>1103.7698630136986</v>
      </c>
      <c r="H37" s="15">
        <f t="shared" si="142"/>
        <v>1103.7698630136986</v>
      </c>
      <c r="I37" s="15">
        <f t="shared" si="142"/>
        <v>1103.7698630136986</v>
      </c>
      <c r="J37" s="15">
        <f t="shared" si="142"/>
        <v>1103.7698630136986</v>
      </c>
      <c r="K37" s="15">
        <f t="shared" si="142"/>
        <v>1103.7698630136986</v>
      </c>
      <c r="L37" s="15">
        <f t="shared" si="142"/>
        <v>1103.7698630136986</v>
      </c>
      <c r="M37" s="15">
        <f t="shared" si="142"/>
        <v>1103.7698630136986</v>
      </c>
      <c r="N37" s="15">
        <f t="shared" si="142"/>
        <v>1103.7698630136986</v>
      </c>
      <c r="O37" s="15">
        <f t="shared" si="142"/>
        <v>0</v>
      </c>
      <c r="P37" s="15">
        <f t="shared" si="142"/>
        <v>0</v>
      </c>
      <c r="Q37" s="15">
        <f t="shared" si="142"/>
        <v>0</v>
      </c>
      <c r="R37" s="15">
        <f t="shared" si="142"/>
        <v>0</v>
      </c>
      <c r="S37" s="15">
        <f t="shared" si="142"/>
        <v>0</v>
      </c>
      <c r="T37" s="15">
        <f t="shared" si="142"/>
        <v>0</v>
      </c>
      <c r="U37" s="15">
        <f t="shared" si="142"/>
        <v>0</v>
      </c>
      <c r="V37" s="15">
        <f t="shared" si="142"/>
        <v>0</v>
      </c>
      <c r="W37" s="15">
        <f t="shared" si="142"/>
        <v>0</v>
      </c>
      <c r="X37" s="15">
        <f t="shared" si="142"/>
        <v>0</v>
      </c>
      <c r="Y37" s="15">
        <f t="shared" ref="Y37:AW37" si="143">-Y135</f>
        <v>0</v>
      </c>
      <c r="Z37" s="15">
        <f t="shared" si="143"/>
        <v>0</v>
      </c>
      <c r="AA37" s="15">
        <f t="shared" si="143"/>
        <v>0</v>
      </c>
      <c r="AB37" s="15">
        <f t="shared" si="143"/>
        <v>0</v>
      </c>
      <c r="AC37" s="15">
        <f t="shared" si="143"/>
        <v>0</v>
      </c>
      <c r="AD37" s="15">
        <f t="shared" si="143"/>
        <v>0</v>
      </c>
      <c r="AE37" s="15">
        <f t="shared" si="143"/>
        <v>0</v>
      </c>
      <c r="AF37" s="15">
        <f t="shared" si="143"/>
        <v>0</v>
      </c>
      <c r="AG37" s="15">
        <f t="shared" si="143"/>
        <v>0</v>
      </c>
      <c r="AH37" s="15">
        <f t="shared" si="143"/>
        <v>0</v>
      </c>
      <c r="AI37" s="15">
        <f t="shared" si="143"/>
        <v>0</v>
      </c>
      <c r="AJ37" s="15">
        <f t="shared" si="143"/>
        <v>0</v>
      </c>
      <c r="AK37" s="15">
        <f t="shared" si="143"/>
        <v>0</v>
      </c>
      <c r="AL37" s="15">
        <f t="shared" si="143"/>
        <v>0</v>
      </c>
      <c r="AM37" s="15">
        <f t="shared" si="143"/>
        <v>0</v>
      </c>
      <c r="AN37" s="15">
        <f t="shared" si="143"/>
        <v>0</v>
      </c>
      <c r="AO37" s="15">
        <f t="shared" si="143"/>
        <v>0</v>
      </c>
      <c r="AP37" s="15">
        <f t="shared" si="143"/>
        <v>0</v>
      </c>
      <c r="AQ37" s="15">
        <f t="shared" si="143"/>
        <v>0</v>
      </c>
      <c r="AR37" s="15">
        <f t="shared" si="143"/>
        <v>0</v>
      </c>
      <c r="AS37" s="15">
        <f t="shared" si="143"/>
        <v>0</v>
      </c>
      <c r="AT37" s="15">
        <f t="shared" si="143"/>
        <v>0</v>
      </c>
      <c r="AU37" s="15">
        <f t="shared" si="143"/>
        <v>0</v>
      </c>
      <c r="AV37" s="15">
        <f t="shared" si="143"/>
        <v>0</v>
      </c>
      <c r="AW37" s="15">
        <f t="shared" si="143"/>
        <v>0</v>
      </c>
    </row>
    <row r="38" spans="2:49" ht="14.25" customHeight="1">
      <c r="C38" s="17" t="s">
        <v>406</v>
      </c>
      <c r="D38" s="18">
        <f t="shared" ref="D38:X38" si="144">D132</f>
        <v>-11618.630136986301</v>
      </c>
      <c r="E38" s="18">
        <f t="shared" si="144"/>
        <v>0</v>
      </c>
      <c r="F38" s="18">
        <f t="shared" si="144"/>
        <v>0</v>
      </c>
      <c r="G38" s="18">
        <f t="shared" si="144"/>
        <v>0</v>
      </c>
      <c r="H38" s="18">
        <f t="shared" si="144"/>
        <v>0</v>
      </c>
      <c r="I38" s="18">
        <f t="shared" si="144"/>
        <v>0</v>
      </c>
      <c r="J38" s="18">
        <f t="shared" si="144"/>
        <v>0</v>
      </c>
      <c r="K38" s="18">
        <f t="shared" si="144"/>
        <v>0</v>
      </c>
      <c r="L38" s="18">
        <f t="shared" si="144"/>
        <v>0</v>
      </c>
      <c r="M38" s="18">
        <f t="shared" si="144"/>
        <v>0</v>
      </c>
      <c r="N38" s="18">
        <f t="shared" si="144"/>
        <v>0</v>
      </c>
      <c r="O38" s="18">
        <f t="shared" si="144"/>
        <v>0</v>
      </c>
      <c r="P38" s="18">
        <f t="shared" si="144"/>
        <v>0</v>
      </c>
      <c r="Q38" s="18">
        <f t="shared" si="144"/>
        <v>0</v>
      </c>
      <c r="R38" s="18">
        <f t="shared" si="144"/>
        <v>0</v>
      </c>
      <c r="S38" s="18">
        <f t="shared" si="144"/>
        <v>0</v>
      </c>
      <c r="T38" s="18">
        <f t="shared" si="144"/>
        <v>0</v>
      </c>
      <c r="U38" s="18">
        <f t="shared" si="144"/>
        <v>0</v>
      </c>
      <c r="V38" s="18">
        <f t="shared" si="144"/>
        <v>0</v>
      </c>
      <c r="W38" s="18">
        <f t="shared" si="144"/>
        <v>0</v>
      </c>
      <c r="X38" s="18">
        <f t="shared" si="144"/>
        <v>0</v>
      </c>
      <c r="Y38" s="18">
        <f t="shared" ref="Y38:AW38" si="145">Y132</f>
        <v>0</v>
      </c>
      <c r="Z38" s="18">
        <f t="shared" si="145"/>
        <v>0</v>
      </c>
      <c r="AA38" s="18">
        <f t="shared" si="145"/>
        <v>0</v>
      </c>
      <c r="AB38" s="18">
        <f t="shared" si="145"/>
        <v>0</v>
      </c>
      <c r="AC38" s="18">
        <f t="shared" si="145"/>
        <v>0</v>
      </c>
      <c r="AD38" s="18">
        <f t="shared" si="145"/>
        <v>0</v>
      </c>
      <c r="AE38" s="18">
        <f t="shared" si="145"/>
        <v>0</v>
      </c>
      <c r="AF38" s="18">
        <f t="shared" si="145"/>
        <v>0</v>
      </c>
      <c r="AG38" s="18">
        <f t="shared" si="145"/>
        <v>0</v>
      </c>
      <c r="AH38" s="18">
        <f t="shared" si="145"/>
        <v>0</v>
      </c>
      <c r="AI38" s="18">
        <f t="shared" si="145"/>
        <v>0</v>
      </c>
      <c r="AJ38" s="18">
        <f t="shared" si="145"/>
        <v>0</v>
      </c>
      <c r="AK38" s="18">
        <f t="shared" si="145"/>
        <v>0</v>
      </c>
      <c r="AL38" s="18">
        <f t="shared" si="145"/>
        <v>0</v>
      </c>
      <c r="AM38" s="18">
        <f t="shared" si="145"/>
        <v>0</v>
      </c>
      <c r="AN38" s="18">
        <f t="shared" si="145"/>
        <v>0</v>
      </c>
      <c r="AO38" s="18">
        <f t="shared" si="145"/>
        <v>0</v>
      </c>
      <c r="AP38" s="18">
        <f t="shared" si="145"/>
        <v>0</v>
      </c>
      <c r="AQ38" s="18">
        <f t="shared" si="145"/>
        <v>0</v>
      </c>
      <c r="AR38" s="18">
        <f t="shared" si="145"/>
        <v>0</v>
      </c>
      <c r="AS38" s="18">
        <f t="shared" si="145"/>
        <v>0</v>
      </c>
      <c r="AT38" s="18">
        <f t="shared" si="145"/>
        <v>0</v>
      </c>
      <c r="AU38" s="18">
        <f t="shared" si="145"/>
        <v>0</v>
      </c>
      <c r="AV38" s="18">
        <f t="shared" si="145"/>
        <v>0</v>
      </c>
      <c r="AW38" s="18">
        <f t="shared" si="145"/>
        <v>0</v>
      </c>
    </row>
    <row r="39" spans="2:49" ht="14.25" customHeight="1">
      <c r="C39" s="17" t="s">
        <v>407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</row>
    <row r="40" spans="2:49" ht="14.25" customHeight="1">
      <c r="C40" s="20" t="s">
        <v>408</v>
      </c>
      <c r="D40" s="21" t="e">
        <f>SUM(D36:D39)</f>
        <v>#N/A</v>
      </c>
      <c r="E40" s="21">
        <f t="shared" ref="E40:X40" si="146">SUM(E36:E39)</f>
        <v>6558.3913906849302</v>
      </c>
      <c r="F40" s="21">
        <f t="shared" si="146"/>
        <v>9087.7516025424648</v>
      </c>
      <c r="G40" s="21">
        <f t="shared" si="146"/>
        <v>9248.3433764817546</v>
      </c>
      <c r="H40" s="21">
        <f t="shared" si="146"/>
        <v>9412.1743500742887</v>
      </c>
      <c r="I40" s="21">
        <f t="shared" si="146"/>
        <v>9579.3101282383686</v>
      </c>
      <c r="J40" s="21">
        <f t="shared" si="146"/>
        <v>9749.8176526184179</v>
      </c>
      <c r="K40" s="21">
        <f t="shared" si="146"/>
        <v>9923.7652290583355</v>
      </c>
      <c r="L40" s="21">
        <f t="shared" si="146"/>
        <v>10101.22255564648</v>
      </c>
      <c r="M40" s="21">
        <f t="shared" si="146"/>
        <v>10282.260751344411</v>
      </c>
      <c r="N40" s="21">
        <f t="shared" si="146"/>
        <v>10466.952385211656</v>
      </c>
      <c r="O40" s="21">
        <f t="shared" si="146"/>
        <v>9551.6016432255692</v>
      </c>
      <c r="P40" s="21">
        <f t="shared" si="146"/>
        <v>9743.8238107912402</v>
      </c>
      <c r="Q40" s="21">
        <f t="shared" si="146"/>
        <v>9939.9261257492635</v>
      </c>
      <c r="R40" s="21">
        <f t="shared" si="146"/>
        <v>10139.987262168708</v>
      </c>
      <c r="S40" s="21">
        <f t="shared" si="146"/>
        <v>10344.08749973368</v>
      </c>
      <c r="T40" s="21">
        <f t="shared" si="146"/>
        <v>10552.308756819593</v>
      </c>
      <c r="U40" s="21">
        <f t="shared" si="146"/>
        <v>10764.734624259967</v>
      </c>
      <c r="V40" s="21">
        <f t="shared" si="146"/>
        <v>10981.450399818266</v>
      </c>
      <c r="W40" s="21">
        <f t="shared" si="146"/>
        <v>11202.543123379923</v>
      </c>
      <c r="X40" s="21">
        <f t="shared" si="146"/>
        <v>11428.101612879773</v>
      </c>
      <c r="Y40" s="21">
        <f t="shared" ref="Y40:AW40" si="147">SUM(Y36:Y39)</f>
        <v>11658.216500980589</v>
      </c>
      <c r="Z40" s="21">
        <f t="shared" si="147"/>
        <v>11892.980272518715</v>
      </c>
      <c r="AA40" s="21">
        <f t="shared" si="147"/>
        <v>12132.48730273316</v>
      </c>
      <c r="AB40" s="21">
        <f t="shared" si="147"/>
        <v>12376.833896294818</v>
      </c>
      <c r="AC40" s="21">
        <f t="shared" si="147"/>
        <v>12626.118327152919</v>
      </c>
      <c r="AD40" s="21">
        <f t="shared" si="147"/>
        <v>12880.440879216141</v>
      </c>
      <c r="AE40" s="21">
        <f t="shared" si="147"/>
        <v>13139.903887886243</v>
      </c>
      <c r="AF40" s="21">
        <f t="shared" si="147"/>
        <v>13404.611782462312</v>
      </c>
      <c r="AG40" s="21">
        <f t="shared" si="147"/>
        <v>13674.671129434459</v>
      </c>
      <c r="AH40" s="21">
        <f t="shared" si="147"/>
        <v>13950.19067668573</v>
      </c>
      <c r="AI40" s="21">
        <f t="shared" si="147"/>
        <v>14231.281398621908</v>
      </c>
      <c r="AJ40" s="21">
        <f t="shared" si="147"/>
        <v>14518.05654224888</v>
      </c>
      <c r="AK40" s="21">
        <f t="shared" si="147"/>
        <v>14810.631674218035</v>
      </c>
      <c r="AL40" s="21">
        <f t="shared" si="147"/>
        <v>15109.124728860294</v>
      </c>
      <c r="AM40" s="21">
        <f t="shared" si="147"/>
        <v>15413.656057230131</v>
      </c>
      <c r="AN40" s="21">
        <f t="shared" si="147"/>
        <v>15724.348477181145</v>
      </c>
      <c r="AO40" s="21">
        <f t="shared" si="147"/>
        <v>16041.327324495374</v>
      </c>
      <c r="AP40" s="21">
        <f t="shared" si="147"/>
        <v>16364.720505089008</v>
      </c>
      <c r="AQ40" s="21">
        <f t="shared" si="147"/>
        <v>16694.658548317624</v>
      </c>
      <c r="AR40" s="21">
        <f t="shared" si="147"/>
        <v>17031.274661404612</v>
      </c>
      <c r="AS40" s="21">
        <f t="shared" si="147"/>
        <v>17374.704785016969</v>
      </c>
      <c r="AT40" s="21">
        <f t="shared" si="147"/>
        <v>17725.087650013094</v>
      </c>
      <c r="AU40" s="21">
        <f t="shared" si="147"/>
        <v>18082.564835388021</v>
      </c>
      <c r="AV40" s="21">
        <f t="shared" si="147"/>
        <v>18447.280827441678</v>
      </c>
      <c r="AW40" s="21">
        <f t="shared" si="147"/>
        <v>18819.383080196796</v>
      </c>
    </row>
    <row r="41" spans="2:49" ht="14.25" customHeight="1">
      <c r="C41" s="1" t="s">
        <v>494</v>
      </c>
      <c r="D41" s="15">
        <f>-E65</f>
        <v>0</v>
      </c>
    </row>
    <row r="42" spans="2:49" ht="14.25" customHeight="1">
      <c r="C42" s="1" t="s">
        <v>217</v>
      </c>
      <c r="D42" s="1">
        <f>IF(AND(MOD(D32-YEAR('Assumptions &amp; Inputs'!$E$31),'Assumptions &amp; Inputs'!$E$34)=0, D32&lt;=YEAR('Assumptions &amp; Inputs'!$E$36), D9&gt;YEAR('Assumptions &amp; Inputs'!$E$31)),'Assumptions &amp; Inputs'!$E$37*'Assumptions &amp; Inputs'!$E$38*IF(D32-'Assumptions &amp; Inputs'!$E$34&gt;YEAR('Assumptions &amp; Inputs'!$E$31), 'Assumptions &amp; Inputs'!$E$33, 1), 0)</f>
        <v>0</v>
      </c>
      <c r="E42" s="1">
        <f>IF(AND(MOD(E32-YEAR('Assumptions &amp; Inputs'!$E$31),'Assumptions &amp; Inputs'!$E$34)=0, E32&lt;=YEAR('Assumptions &amp; Inputs'!$E$36), E9&gt;YEAR('Assumptions &amp; Inputs'!$E$31)),'Assumptions &amp; Inputs'!$E$37*'Assumptions &amp; Inputs'!$E$38*IF(E32-'Assumptions &amp; Inputs'!$E$34&gt;YEAR('Assumptions &amp; Inputs'!$E$31), 'Assumptions &amp; Inputs'!$E$33, 1), 0)</f>
        <v>0</v>
      </c>
      <c r="F42" s="1">
        <f>IF(AND(MOD(F32-YEAR('Assumptions &amp; Inputs'!$E$31),'Assumptions &amp; Inputs'!$E$34)=0, F32&lt;=YEAR('Assumptions &amp; Inputs'!$E$36), F9&gt;YEAR('Assumptions &amp; Inputs'!$E$31)),'Assumptions &amp; Inputs'!$E$37*'Assumptions &amp; Inputs'!$E$38*IF(F32-'Assumptions &amp; Inputs'!$E$34&gt;YEAR('Assumptions &amp; Inputs'!$E$31), 'Assumptions &amp; Inputs'!$E$33, 1), 0)</f>
        <v>0</v>
      </c>
      <c r="G42" s="1">
        <f>IF(AND(MOD(G32-YEAR('Assumptions &amp; Inputs'!$E$31),'Assumptions &amp; Inputs'!$E$34)=0, G32&lt;=YEAR('Assumptions &amp; Inputs'!$E$36), G9&gt;YEAR('Assumptions &amp; Inputs'!$E$31)),'Assumptions &amp; Inputs'!$E$37*'Assumptions &amp; Inputs'!$E$38*IF(G32-'Assumptions &amp; Inputs'!$E$34&gt;YEAR('Assumptions &amp; Inputs'!$E$31), 'Assumptions &amp; Inputs'!$E$33, 1), 0)</f>
        <v>0</v>
      </c>
      <c r="H42" s="1">
        <f>IF(AND(MOD(H32-YEAR('Assumptions &amp; Inputs'!$E$31),'Assumptions &amp; Inputs'!$E$34)=0, H32&lt;=YEAR('Assumptions &amp; Inputs'!$E$36), H9&gt;YEAR('Assumptions &amp; Inputs'!$E$31)),'Assumptions &amp; Inputs'!$E$37*'Assumptions &amp; Inputs'!$E$38*IF(H32-'Assumptions &amp; Inputs'!$E$34&gt;YEAR('Assumptions &amp; Inputs'!$E$31), 'Assumptions &amp; Inputs'!$E$33, 1), 0)</f>
        <v>0</v>
      </c>
      <c r="I42" s="1">
        <f>IF(AND(MOD(I32-YEAR('Assumptions &amp; Inputs'!$E$31),'Assumptions &amp; Inputs'!$E$34)=0, I32&lt;=YEAR('Assumptions &amp; Inputs'!$E$36), I9&gt;YEAR('Assumptions &amp; Inputs'!$E$31)),'Assumptions &amp; Inputs'!$E$37*'Assumptions &amp; Inputs'!$E$38*IF(I32-'Assumptions &amp; Inputs'!$E$34&gt;YEAR('Assumptions &amp; Inputs'!$E$31), 'Assumptions &amp; Inputs'!$E$33, 1), 0)</f>
        <v>0</v>
      </c>
      <c r="J42" s="1">
        <f>IF(AND(MOD(J32-YEAR('Assumptions &amp; Inputs'!$E$31),'Assumptions &amp; Inputs'!$E$34)=0, J32&lt;=YEAR('Assumptions &amp; Inputs'!$E$36), J9&gt;YEAR('Assumptions &amp; Inputs'!$E$31)),'Assumptions &amp; Inputs'!$E$37*'Assumptions &amp; Inputs'!$E$38*IF(J32-'Assumptions &amp; Inputs'!$E$34&gt;YEAR('Assumptions &amp; Inputs'!$E$31), 'Assumptions &amp; Inputs'!$E$33, 1), 0)</f>
        <v>0</v>
      </c>
      <c r="K42" s="1">
        <f>IF(AND(MOD(K32-YEAR('Assumptions &amp; Inputs'!$E$31),'Assumptions &amp; Inputs'!$E$34)=0, K32&lt;=YEAR('Assumptions &amp; Inputs'!$E$36), K9&gt;YEAR('Assumptions &amp; Inputs'!$E$31)),'Assumptions &amp; Inputs'!$E$37*'Assumptions &amp; Inputs'!$E$38*IF(K32-'Assumptions &amp; Inputs'!$E$34&gt;YEAR('Assumptions &amp; Inputs'!$E$31), 'Assumptions &amp; Inputs'!$E$33, 1), 0)</f>
        <v>0</v>
      </c>
      <c r="L42" s="1">
        <f>IF(AND(MOD(L32-YEAR('Assumptions &amp; Inputs'!$E$31),'Assumptions &amp; Inputs'!$E$34)=0, L32&lt;=YEAR('Assumptions &amp; Inputs'!$E$36), L9&gt;YEAR('Assumptions &amp; Inputs'!$E$31)),'Assumptions &amp; Inputs'!$E$37*'Assumptions &amp; Inputs'!$E$38*IF(L32-'Assumptions &amp; Inputs'!$E$34&gt;YEAR('Assumptions &amp; Inputs'!$E$31), 'Assumptions &amp; Inputs'!$E$33, 1), 0)</f>
        <v>0</v>
      </c>
      <c r="M42" s="1">
        <f>IF(AND(MOD(M32-YEAR('Assumptions &amp; Inputs'!$E$31),'Assumptions &amp; Inputs'!$E$34)=0, M32&lt;=YEAR('Assumptions &amp; Inputs'!$E$36), M9&gt;YEAR('Assumptions &amp; Inputs'!$E$31)),'Assumptions &amp; Inputs'!$E$37*'Assumptions &amp; Inputs'!$E$38*IF(M32-'Assumptions &amp; Inputs'!$E$34&gt;YEAR('Assumptions &amp; Inputs'!$E$31), 'Assumptions &amp; Inputs'!$E$33, 1), 0)</f>
        <v>0</v>
      </c>
      <c r="N42" s="1">
        <f>IF(AND(MOD(N32-YEAR('Assumptions &amp; Inputs'!$E$31),'Assumptions &amp; Inputs'!$E$34)=0, N32&lt;=YEAR('Assumptions &amp; Inputs'!$E$36), N9&gt;YEAR('Assumptions &amp; Inputs'!$E$31)),'Assumptions &amp; Inputs'!$E$37*'Assumptions &amp; Inputs'!$E$38*IF(N32-'Assumptions &amp; Inputs'!$E$34&gt;YEAR('Assumptions &amp; Inputs'!$E$31), 'Assumptions &amp; Inputs'!$E$33, 1), 0)</f>
        <v>580.93150684931504</v>
      </c>
      <c r="O42" s="1">
        <f>IF(AND(MOD(O32-YEAR('Assumptions &amp; Inputs'!$E$31),'Assumptions &amp; Inputs'!$E$34)=0, O32&lt;=YEAR('Assumptions &amp; Inputs'!$E$36), O9&gt;YEAR('Assumptions &amp; Inputs'!$E$31)),'Assumptions &amp; Inputs'!$E$37*'Assumptions &amp; Inputs'!$E$38*IF(O32-'Assumptions &amp; Inputs'!$E$34&gt;YEAR('Assumptions &amp; Inputs'!$E$31), 'Assumptions &amp; Inputs'!$E$33, 1), 0)</f>
        <v>0</v>
      </c>
      <c r="P42" s="1">
        <f>IF(AND(MOD(P32-YEAR('Assumptions &amp; Inputs'!$E$31),'Assumptions &amp; Inputs'!$E$34)=0, P32&lt;=YEAR('Assumptions &amp; Inputs'!$E$36), P9&gt;YEAR('Assumptions &amp; Inputs'!$E$31)),'Assumptions &amp; Inputs'!$E$37*'Assumptions &amp; Inputs'!$E$38*IF(P32-'Assumptions &amp; Inputs'!$E$34&gt;YEAR('Assumptions &amp; Inputs'!$E$31), 'Assumptions &amp; Inputs'!$E$33, 1), 0)</f>
        <v>0</v>
      </c>
      <c r="Q42" s="1">
        <f>IF(AND(MOD(Q32-YEAR('Assumptions &amp; Inputs'!$E$31),'Assumptions &amp; Inputs'!$E$34)=0, Q32&lt;=YEAR('Assumptions &amp; Inputs'!$E$36), Q9&gt;YEAR('Assumptions &amp; Inputs'!$E$31)),'Assumptions &amp; Inputs'!$E$37*'Assumptions &amp; Inputs'!$E$38*IF(Q32-'Assumptions &amp; Inputs'!$E$34&gt;YEAR('Assumptions &amp; Inputs'!$E$31), 'Assumptions &amp; Inputs'!$E$33, 1), 0)</f>
        <v>0</v>
      </c>
      <c r="R42" s="1">
        <f>IF(AND(MOD(R32-YEAR('Assumptions &amp; Inputs'!$E$31),'Assumptions &amp; Inputs'!$E$34)=0, R32&lt;=YEAR('Assumptions &amp; Inputs'!$E$36), R9&gt;YEAR('Assumptions &amp; Inputs'!$E$31)),'Assumptions &amp; Inputs'!$E$37*'Assumptions &amp; Inputs'!$E$38*IF(R32-'Assumptions &amp; Inputs'!$E$34&gt;YEAR('Assumptions &amp; Inputs'!$E$31), 'Assumptions &amp; Inputs'!$E$33, 1), 0)</f>
        <v>0</v>
      </c>
      <c r="S42" s="1">
        <f>IF(AND(MOD(S32-YEAR('Assumptions &amp; Inputs'!$E$31),'Assumptions &amp; Inputs'!$E$34)=0, S32&lt;=YEAR('Assumptions &amp; Inputs'!$E$36), S9&gt;YEAR('Assumptions &amp; Inputs'!$E$31)),'Assumptions &amp; Inputs'!$E$37*'Assumptions &amp; Inputs'!$E$38*IF(S32-'Assumptions &amp; Inputs'!$E$34&gt;YEAR('Assumptions &amp; Inputs'!$E$31), 'Assumptions &amp; Inputs'!$E$33, 1), 0)</f>
        <v>0</v>
      </c>
      <c r="T42" s="1">
        <f>IF(AND(MOD(T32-YEAR('Assumptions &amp; Inputs'!$E$31),'Assumptions &amp; Inputs'!$E$34)=0, T32&lt;=YEAR('Assumptions &amp; Inputs'!$E$36), T9&gt;YEAR('Assumptions &amp; Inputs'!$E$31)),'Assumptions &amp; Inputs'!$E$37*'Assumptions &amp; Inputs'!$E$38*IF(T32-'Assumptions &amp; Inputs'!$E$34&gt;YEAR('Assumptions &amp; Inputs'!$E$31), 'Assumptions &amp; Inputs'!$E$33, 1), 0)</f>
        <v>0</v>
      </c>
      <c r="U42" s="1">
        <f>IF(AND(MOD(U32-YEAR('Assumptions &amp; Inputs'!$E$31),'Assumptions &amp; Inputs'!$E$34)=0, U32&lt;=YEAR('Assumptions &amp; Inputs'!$E$36), U9&gt;YEAR('Assumptions &amp; Inputs'!$E$31)),'Assumptions &amp; Inputs'!$E$37*'Assumptions &amp; Inputs'!$E$38*IF(U32-'Assumptions &amp; Inputs'!$E$34&gt;YEAR('Assumptions &amp; Inputs'!$E$31), 'Assumptions &amp; Inputs'!$E$33, 1), 0)</f>
        <v>0</v>
      </c>
      <c r="V42" s="1">
        <f>IF(AND(MOD(V32-YEAR('Assumptions &amp; Inputs'!$E$31),'Assumptions &amp; Inputs'!$E$34)=0, V32&lt;=YEAR('Assumptions &amp; Inputs'!$E$36), V9&gt;YEAR('Assumptions &amp; Inputs'!$E$31)),'Assumptions &amp; Inputs'!$E$37*'Assumptions &amp; Inputs'!$E$38*IF(V32-'Assumptions &amp; Inputs'!$E$34&gt;YEAR('Assumptions &amp; Inputs'!$E$31), 'Assumptions &amp; Inputs'!$E$33, 1), 0)</f>
        <v>0</v>
      </c>
      <c r="W42" s="1">
        <f>IF(AND(MOD(W32-YEAR('Assumptions &amp; Inputs'!$E$31),'Assumptions &amp; Inputs'!$E$34)=0, W32&lt;=YEAR('Assumptions &amp; Inputs'!$E$36), W9&gt;YEAR('Assumptions &amp; Inputs'!$E$31)),'Assumptions &amp; Inputs'!$E$37*'Assumptions &amp; Inputs'!$E$38*IF(W32-'Assumptions &amp; Inputs'!$E$34&gt;YEAR('Assumptions &amp; Inputs'!$E$31), 'Assumptions &amp; Inputs'!$E$33, 1), 0)</f>
        <v>0</v>
      </c>
      <c r="X42" s="1">
        <f>IF(AND(MOD(X32-YEAR('Assumptions &amp; Inputs'!$E$31),'Assumptions &amp; Inputs'!$E$34)=0, X32&lt;=YEAR('Assumptions &amp; Inputs'!$E$36), X9&gt;YEAR('Assumptions &amp; Inputs'!$E$31)),'Assumptions &amp; Inputs'!$E$37*'Assumptions &amp; Inputs'!$E$38*IF(X32-'Assumptions &amp; Inputs'!$E$34&gt;YEAR('Assumptions &amp; Inputs'!$E$31), 'Assumptions &amp; Inputs'!$E$33, 1), 0)</f>
        <v>0</v>
      </c>
      <c r="Y42" s="1">
        <f>IF(AND(MOD(Y32-YEAR('Assumptions &amp; Inputs'!$E$31),'Assumptions &amp; Inputs'!$E$34)=0, Y32&lt;=YEAR('Assumptions &amp; Inputs'!$E$36), Y9&gt;YEAR('Assumptions &amp; Inputs'!$E$31)),'Assumptions &amp; Inputs'!$E$37*'Assumptions &amp; Inputs'!$E$38*IF(Y32-'Assumptions &amp; Inputs'!$E$34&gt;YEAR('Assumptions &amp; Inputs'!$E$31), 'Assumptions &amp; Inputs'!$E$33, 1), 0)</f>
        <v>0</v>
      </c>
      <c r="Z42" s="1">
        <f>IF(AND(MOD(Z32-YEAR('Assumptions &amp; Inputs'!$E$31),'Assumptions &amp; Inputs'!$E$34)=0, Z32&lt;=YEAR('Assumptions &amp; Inputs'!$E$36), Z9&gt;YEAR('Assumptions &amp; Inputs'!$E$31)),'Assumptions &amp; Inputs'!$E$37*'Assumptions &amp; Inputs'!$E$38*IF(Z32-'Assumptions &amp; Inputs'!$E$34&gt;YEAR('Assumptions &amp; Inputs'!$E$31), 'Assumptions &amp; Inputs'!$E$33, 1), 0)</f>
        <v>0</v>
      </c>
      <c r="AA42" s="1">
        <f>IF(AND(MOD(AA32-YEAR('Assumptions &amp; Inputs'!$E$31),'Assumptions &amp; Inputs'!$E$34)=0, AA32&lt;=YEAR('Assumptions &amp; Inputs'!$E$36), AA9&gt;YEAR('Assumptions &amp; Inputs'!$E$31)),'Assumptions &amp; Inputs'!$E$37*'Assumptions &amp; Inputs'!$E$38*IF(AA32-'Assumptions &amp; Inputs'!$E$34&gt;YEAR('Assumptions &amp; Inputs'!$E$31), 'Assumptions &amp; Inputs'!$E$33, 1), 0)</f>
        <v>0</v>
      </c>
      <c r="AB42" s="1">
        <f>IF(AND(MOD(AB32-YEAR('Assumptions &amp; Inputs'!$E$31),'Assumptions &amp; Inputs'!$E$34)=0, AB32&lt;=YEAR('Assumptions &amp; Inputs'!$E$36), AB9&gt;YEAR('Assumptions &amp; Inputs'!$E$31)),'Assumptions &amp; Inputs'!$E$37*'Assumptions &amp; Inputs'!$E$38*IF(AB32-'Assumptions &amp; Inputs'!$E$34&gt;YEAR('Assumptions &amp; Inputs'!$E$31), 'Assumptions &amp; Inputs'!$E$33, 1), 0)</f>
        <v>0</v>
      </c>
      <c r="AC42" s="1">
        <f>IF(AND(MOD(AC32-YEAR('Assumptions &amp; Inputs'!$E$31),'Assumptions &amp; Inputs'!$E$34)=0, AC32&lt;=YEAR('Assumptions &amp; Inputs'!$E$36), AC9&gt;YEAR('Assumptions &amp; Inputs'!$E$31)),'Assumptions &amp; Inputs'!$E$37*'Assumptions &amp; Inputs'!$E$38*IF(AC32-'Assumptions &amp; Inputs'!$E$34&gt;YEAR('Assumptions &amp; Inputs'!$E$31), 'Assumptions &amp; Inputs'!$E$33, 1), 0)</f>
        <v>0</v>
      </c>
      <c r="AD42" s="1">
        <f>IF(AND(MOD(AD32-YEAR('Assumptions &amp; Inputs'!$E$31),'Assumptions &amp; Inputs'!$E$34)=0, AD32&lt;=YEAR('Assumptions &amp; Inputs'!$E$36), AD9&gt;YEAR('Assumptions &amp; Inputs'!$E$31)),'Assumptions &amp; Inputs'!$E$37*'Assumptions &amp; Inputs'!$E$38*IF(AD32-'Assumptions &amp; Inputs'!$E$34&gt;YEAR('Assumptions &amp; Inputs'!$E$31), 'Assumptions &amp; Inputs'!$E$33, 1), 0)</f>
        <v>0</v>
      </c>
      <c r="AE42" s="1">
        <f>IF(AND(MOD(AE32-YEAR('Assumptions &amp; Inputs'!$E$31),'Assumptions &amp; Inputs'!$E$34)=0, AE32&lt;=YEAR('Assumptions &amp; Inputs'!$E$36), AE9&gt;YEAR('Assumptions &amp; Inputs'!$E$31)),'Assumptions &amp; Inputs'!$E$37*'Assumptions &amp; Inputs'!$E$38*IF(AE32-'Assumptions &amp; Inputs'!$E$34&gt;YEAR('Assumptions &amp; Inputs'!$E$31), 'Assumptions &amp; Inputs'!$E$33, 1), 0)</f>
        <v>0</v>
      </c>
      <c r="AF42" s="1">
        <f>IF(AND(MOD(AF32-YEAR('Assumptions &amp; Inputs'!$E$31),'Assumptions &amp; Inputs'!$E$34)=0, AF32&lt;=YEAR('Assumptions &amp; Inputs'!$E$36), AF9&gt;YEAR('Assumptions &amp; Inputs'!$E$31)),'Assumptions &amp; Inputs'!$E$37*'Assumptions &amp; Inputs'!$E$38*IF(AF32-'Assumptions &amp; Inputs'!$E$34&gt;YEAR('Assumptions &amp; Inputs'!$E$31), 'Assumptions &amp; Inputs'!$E$33, 1), 0)</f>
        <v>0</v>
      </c>
      <c r="AG42" s="1">
        <f>IF(AND(MOD(AG32-YEAR('Assumptions &amp; Inputs'!$E$31),'Assumptions &amp; Inputs'!$E$34)=0, AG32&lt;=YEAR('Assumptions &amp; Inputs'!$E$36), AG9&gt;YEAR('Assumptions &amp; Inputs'!$E$31)),'Assumptions &amp; Inputs'!$E$37*'Assumptions &amp; Inputs'!$E$38*IF(AG32-'Assumptions &amp; Inputs'!$E$34&gt;YEAR('Assumptions &amp; Inputs'!$E$31), 'Assumptions &amp; Inputs'!$E$33, 1), 0)</f>
        <v>0</v>
      </c>
      <c r="AH42" s="1">
        <f>IF(AND(MOD(AH32-YEAR('Assumptions &amp; Inputs'!$E$31),'Assumptions &amp; Inputs'!$E$34)=0, AH32&lt;=YEAR('Assumptions &amp; Inputs'!$E$36), AH9&gt;YEAR('Assumptions &amp; Inputs'!$E$31)),'Assumptions &amp; Inputs'!$E$37*'Assumptions &amp; Inputs'!$E$38*IF(AH32-'Assumptions &amp; Inputs'!$E$34&gt;YEAR('Assumptions &amp; Inputs'!$E$31), 'Assumptions &amp; Inputs'!$E$33, 1), 0)</f>
        <v>0</v>
      </c>
      <c r="AI42" s="1">
        <f>IF(AND(MOD(AI32-YEAR('Assumptions &amp; Inputs'!$E$31),'Assumptions &amp; Inputs'!$E$34)=0, AI32&lt;=YEAR('Assumptions &amp; Inputs'!$E$36), AI9&gt;YEAR('Assumptions &amp; Inputs'!$E$31)),'Assumptions &amp; Inputs'!$E$37*'Assumptions &amp; Inputs'!$E$38*IF(AI32-'Assumptions &amp; Inputs'!$E$34&gt;YEAR('Assumptions &amp; Inputs'!$E$31), 'Assumptions &amp; Inputs'!$E$33, 1), 0)</f>
        <v>0</v>
      </c>
      <c r="AJ42" s="1">
        <f>IF(AND(MOD(AJ32-YEAR('Assumptions &amp; Inputs'!$E$31),'Assumptions &amp; Inputs'!$E$34)=0, AJ32&lt;=YEAR('Assumptions &amp; Inputs'!$E$36), AJ9&gt;YEAR('Assumptions &amp; Inputs'!$E$31)),'Assumptions &amp; Inputs'!$E$37*'Assumptions &amp; Inputs'!$E$38*IF(AJ32-'Assumptions &amp; Inputs'!$E$34&gt;YEAR('Assumptions &amp; Inputs'!$E$31), 'Assumptions &amp; Inputs'!$E$33, 1), 0)</f>
        <v>0</v>
      </c>
      <c r="AK42" s="1">
        <f>IF(AND(MOD(AK32-YEAR('Assumptions &amp; Inputs'!$E$31),'Assumptions &amp; Inputs'!$E$34)=0, AK32&lt;=YEAR('Assumptions &amp; Inputs'!$E$36), AK9&gt;YEAR('Assumptions &amp; Inputs'!$E$31)),'Assumptions &amp; Inputs'!$E$37*'Assumptions &amp; Inputs'!$E$38*IF(AK32-'Assumptions &amp; Inputs'!$E$34&gt;YEAR('Assumptions &amp; Inputs'!$E$31), 'Assumptions &amp; Inputs'!$E$33, 1), 0)</f>
        <v>0</v>
      </c>
      <c r="AL42" s="1">
        <f>IF(AND(MOD(AL32-YEAR('Assumptions &amp; Inputs'!$E$31),'Assumptions &amp; Inputs'!$E$34)=0, AL32&lt;=YEAR('Assumptions &amp; Inputs'!$E$36), AL9&gt;YEAR('Assumptions &amp; Inputs'!$E$31)),'Assumptions &amp; Inputs'!$E$37*'Assumptions &amp; Inputs'!$E$38*IF(AL32-'Assumptions &amp; Inputs'!$E$34&gt;YEAR('Assumptions &amp; Inputs'!$E$31), 'Assumptions &amp; Inputs'!$E$33, 1), 0)</f>
        <v>0</v>
      </c>
      <c r="AM42" s="1">
        <f>IF(AND(MOD(AM32-YEAR('Assumptions &amp; Inputs'!$E$31),'Assumptions &amp; Inputs'!$E$34)=0, AM32&lt;=YEAR('Assumptions &amp; Inputs'!$E$36), AM9&gt;YEAR('Assumptions &amp; Inputs'!$E$31)),'Assumptions &amp; Inputs'!$E$37*'Assumptions &amp; Inputs'!$E$38*IF(AM32-'Assumptions &amp; Inputs'!$E$34&gt;YEAR('Assumptions &amp; Inputs'!$E$31), 'Assumptions &amp; Inputs'!$E$33, 1), 0)</f>
        <v>0</v>
      </c>
      <c r="AN42" s="1">
        <f>IF(AND(MOD(AN32-YEAR('Assumptions &amp; Inputs'!$E$31),'Assumptions &amp; Inputs'!$E$34)=0, AN32&lt;=YEAR('Assumptions &amp; Inputs'!$E$36), AN9&gt;YEAR('Assumptions &amp; Inputs'!$E$31)),'Assumptions &amp; Inputs'!$E$37*'Assumptions &amp; Inputs'!$E$38*IF(AN32-'Assumptions &amp; Inputs'!$E$34&gt;YEAR('Assumptions &amp; Inputs'!$E$31), 'Assumptions &amp; Inputs'!$E$33, 1), 0)</f>
        <v>0</v>
      </c>
      <c r="AO42" s="1">
        <f>IF(AND(MOD(AO32-YEAR('Assumptions &amp; Inputs'!$E$31),'Assumptions &amp; Inputs'!$E$34)=0, AO32&lt;=YEAR('Assumptions &amp; Inputs'!$E$36), AO9&gt;YEAR('Assumptions &amp; Inputs'!$E$31)),'Assumptions &amp; Inputs'!$E$37*'Assumptions &amp; Inputs'!$E$38*IF(AO32-'Assumptions &amp; Inputs'!$E$34&gt;YEAR('Assumptions &amp; Inputs'!$E$31), 'Assumptions &amp; Inputs'!$E$33, 1), 0)</f>
        <v>0</v>
      </c>
      <c r="AP42" s="1">
        <f>IF(AND(MOD(AP32-YEAR('Assumptions &amp; Inputs'!$E$31),'Assumptions &amp; Inputs'!$E$34)=0, AP32&lt;=YEAR('Assumptions &amp; Inputs'!$E$36), AP9&gt;YEAR('Assumptions &amp; Inputs'!$E$31)),'Assumptions &amp; Inputs'!$E$37*'Assumptions &amp; Inputs'!$E$38*IF(AP32-'Assumptions &amp; Inputs'!$E$34&gt;YEAR('Assumptions &amp; Inputs'!$E$31), 'Assumptions &amp; Inputs'!$E$33, 1), 0)</f>
        <v>0</v>
      </c>
      <c r="AQ42" s="1">
        <f>IF(AND(MOD(AQ32-YEAR('Assumptions &amp; Inputs'!$E$31),'Assumptions &amp; Inputs'!$E$34)=0, AQ32&lt;=YEAR('Assumptions &amp; Inputs'!$E$36), AQ9&gt;YEAR('Assumptions &amp; Inputs'!$E$31)),'Assumptions &amp; Inputs'!$E$37*'Assumptions &amp; Inputs'!$E$38*IF(AQ32-'Assumptions &amp; Inputs'!$E$34&gt;YEAR('Assumptions &amp; Inputs'!$E$31), 'Assumptions &amp; Inputs'!$E$33, 1), 0)</f>
        <v>0</v>
      </c>
      <c r="AR42" s="1">
        <f>IF(AND(MOD(AR32-YEAR('Assumptions &amp; Inputs'!$E$31),'Assumptions &amp; Inputs'!$E$34)=0, AR32&lt;=YEAR('Assumptions &amp; Inputs'!$E$36), AR9&gt;YEAR('Assumptions &amp; Inputs'!$E$31)),'Assumptions &amp; Inputs'!$E$37*'Assumptions &amp; Inputs'!$E$38*IF(AR32-'Assumptions &amp; Inputs'!$E$34&gt;YEAR('Assumptions &amp; Inputs'!$E$31), 'Assumptions &amp; Inputs'!$E$33, 1), 0)</f>
        <v>0</v>
      </c>
      <c r="AS42" s="1">
        <f>IF(AND(MOD(AS32-YEAR('Assumptions &amp; Inputs'!$E$31),'Assumptions &amp; Inputs'!$E$34)=0, AS32&lt;=YEAR('Assumptions &amp; Inputs'!$E$36), AS9&gt;YEAR('Assumptions &amp; Inputs'!$E$31)),'Assumptions &amp; Inputs'!$E$37*'Assumptions &amp; Inputs'!$E$38*IF(AS32-'Assumptions &amp; Inputs'!$E$34&gt;YEAR('Assumptions &amp; Inputs'!$E$31), 'Assumptions &amp; Inputs'!$E$33, 1), 0)</f>
        <v>0</v>
      </c>
      <c r="AT42" s="1">
        <f>IF(AND(MOD(AT32-YEAR('Assumptions &amp; Inputs'!$E$31),'Assumptions &amp; Inputs'!$E$34)=0, AT32&lt;=YEAR('Assumptions &amp; Inputs'!$E$36), AT9&gt;YEAR('Assumptions &amp; Inputs'!$E$31)),'Assumptions &amp; Inputs'!$E$37*'Assumptions &amp; Inputs'!$E$38*IF(AT32-'Assumptions &amp; Inputs'!$E$34&gt;YEAR('Assumptions &amp; Inputs'!$E$31), 'Assumptions &amp; Inputs'!$E$33, 1), 0)</f>
        <v>0</v>
      </c>
      <c r="AU42" s="1">
        <f>IF(AND(MOD(AU32-YEAR('Assumptions &amp; Inputs'!$E$31),'Assumptions &amp; Inputs'!$E$34)=0, AU32&lt;=YEAR('Assumptions &amp; Inputs'!$E$36), AU9&gt;YEAR('Assumptions &amp; Inputs'!$E$31)),'Assumptions &amp; Inputs'!$E$37*'Assumptions &amp; Inputs'!$E$38*IF(AU32-'Assumptions &amp; Inputs'!$E$34&gt;YEAR('Assumptions &amp; Inputs'!$E$31), 'Assumptions &amp; Inputs'!$E$33, 1), 0)</f>
        <v>0</v>
      </c>
      <c r="AV42" s="1">
        <f>IF(AND(MOD(AV32-YEAR('Assumptions &amp; Inputs'!$E$31),'Assumptions &amp; Inputs'!$E$34)=0, AV32&lt;=YEAR('Assumptions &amp; Inputs'!$E$36), AV9&gt;YEAR('Assumptions &amp; Inputs'!$E$31)),'Assumptions &amp; Inputs'!$E$37*'Assumptions &amp; Inputs'!$E$38*IF(AV32-'Assumptions &amp; Inputs'!$E$34&gt;YEAR('Assumptions &amp; Inputs'!$E$31), 'Assumptions &amp; Inputs'!$E$33, 1), 0)</f>
        <v>0</v>
      </c>
      <c r="AW42" s="1">
        <f>IF(AND(MOD(AW32-YEAR('Assumptions &amp; Inputs'!$E$31),'Assumptions &amp; Inputs'!$E$34)=0, AW32&lt;=YEAR('Assumptions &amp; Inputs'!$E$36), AW9&gt;YEAR('Assumptions &amp; Inputs'!$E$31)),'Assumptions &amp; Inputs'!$E$37*'Assumptions &amp; Inputs'!$E$38*IF(AW32-'Assumptions &amp; Inputs'!$E$34&gt;YEAR('Assumptions &amp; Inputs'!$E$31), 'Assumptions &amp; Inputs'!$E$33, 1), 0)</f>
        <v>0</v>
      </c>
    </row>
    <row r="43" spans="2:49" ht="14.25" customHeight="1">
      <c r="C43" s="22" t="s">
        <v>411</v>
      </c>
      <c r="D43" s="21" t="e">
        <f t="shared" ref="D43:X43" si="148">SUM(D40:D42)</f>
        <v>#N/A</v>
      </c>
      <c r="E43" s="21">
        <f t="shared" si="148"/>
        <v>6558.3913906849302</v>
      </c>
      <c r="F43" s="21">
        <f t="shared" si="148"/>
        <v>9087.7516025424648</v>
      </c>
      <c r="G43" s="21">
        <f t="shared" si="148"/>
        <v>9248.3433764817546</v>
      </c>
      <c r="H43" s="21">
        <f t="shared" si="148"/>
        <v>9412.1743500742887</v>
      </c>
      <c r="I43" s="21">
        <f t="shared" si="148"/>
        <v>9579.3101282383686</v>
      </c>
      <c r="J43" s="21">
        <f t="shared" si="148"/>
        <v>9749.8176526184179</v>
      </c>
      <c r="K43" s="21">
        <f t="shared" si="148"/>
        <v>9923.7652290583355</v>
      </c>
      <c r="L43" s="21">
        <f t="shared" si="148"/>
        <v>10101.22255564648</v>
      </c>
      <c r="M43" s="21">
        <f t="shared" si="148"/>
        <v>10282.260751344411</v>
      </c>
      <c r="N43" s="21">
        <f t="shared" si="148"/>
        <v>11047.883892060971</v>
      </c>
      <c r="O43" s="21">
        <f t="shared" si="148"/>
        <v>9551.6016432255692</v>
      </c>
      <c r="P43" s="21">
        <f t="shared" si="148"/>
        <v>9743.8238107912402</v>
      </c>
      <c r="Q43" s="21">
        <f t="shared" si="148"/>
        <v>9939.9261257492635</v>
      </c>
      <c r="R43" s="21">
        <f t="shared" si="148"/>
        <v>10139.987262168708</v>
      </c>
      <c r="S43" s="21">
        <f t="shared" si="148"/>
        <v>10344.08749973368</v>
      </c>
      <c r="T43" s="21">
        <f t="shared" si="148"/>
        <v>10552.308756819593</v>
      </c>
      <c r="U43" s="21">
        <f t="shared" si="148"/>
        <v>10764.734624259967</v>
      </c>
      <c r="V43" s="21">
        <f t="shared" si="148"/>
        <v>10981.450399818266</v>
      </c>
      <c r="W43" s="21">
        <f t="shared" si="148"/>
        <v>11202.543123379923</v>
      </c>
      <c r="X43" s="21">
        <f t="shared" si="148"/>
        <v>11428.101612879773</v>
      </c>
      <c r="Y43" s="21">
        <f t="shared" ref="Y43:AW43" si="149">SUM(Y40:Y42)</f>
        <v>11658.216500980589</v>
      </c>
      <c r="Z43" s="21">
        <f t="shared" si="149"/>
        <v>11892.980272518715</v>
      </c>
      <c r="AA43" s="21">
        <f t="shared" si="149"/>
        <v>12132.48730273316</v>
      </c>
      <c r="AB43" s="21">
        <f t="shared" si="149"/>
        <v>12376.833896294818</v>
      </c>
      <c r="AC43" s="21">
        <f t="shared" si="149"/>
        <v>12626.118327152919</v>
      </c>
      <c r="AD43" s="21">
        <f t="shared" si="149"/>
        <v>12880.440879216141</v>
      </c>
      <c r="AE43" s="21">
        <f t="shared" si="149"/>
        <v>13139.903887886243</v>
      </c>
      <c r="AF43" s="21">
        <f t="shared" si="149"/>
        <v>13404.611782462312</v>
      </c>
      <c r="AG43" s="21">
        <f t="shared" si="149"/>
        <v>13674.671129434459</v>
      </c>
      <c r="AH43" s="21">
        <f t="shared" si="149"/>
        <v>13950.19067668573</v>
      </c>
      <c r="AI43" s="21">
        <f t="shared" si="149"/>
        <v>14231.281398621908</v>
      </c>
      <c r="AJ43" s="21">
        <f t="shared" si="149"/>
        <v>14518.05654224888</v>
      </c>
      <c r="AK43" s="21">
        <f t="shared" si="149"/>
        <v>14810.631674218035</v>
      </c>
      <c r="AL43" s="21">
        <f t="shared" si="149"/>
        <v>15109.124728860294</v>
      </c>
      <c r="AM43" s="21">
        <f t="shared" si="149"/>
        <v>15413.656057230131</v>
      </c>
      <c r="AN43" s="21">
        <f t="shared" si="149"/>
        <v>15724.348477181145</v>
      </c>
      <c r="AO43" s="21">
        <f t="shared" si="149"/>
        <v>16041.327324495374</v>
      </c>
      <c r="AP43" s="21">
        <f t="shared" si="149"/>
        <v>16364.720505089008</v>
      </c>
      <c r="AQ43" s="21">
        <f t="shared" si="149"/>
        <v>16694.658548317624</v>
      </c>
      <c r="AR43" s="21">
        <f t="shared" si="149"/>
        <v>17031.274661404612</v>
      </c>
      <c r="AS43" s="21">
        <f t="shared" si="149"/>
        <v>17374.704785016969</v>
      </c>
      <c r="AT43" s="21">
        <f t="shared" si="149"/>
        <v>17725.087650013094</v>
      </c>
      <c r="AU43" s="21">
        <f t="shared" si="149"/>
        <v>18082.564835388021</v>
      </c>
      <c r="AV43" s="21">
        <f t="shared" si="149"/>
        <v>18447.280827441678</v>
      </c>
      <c r="AW43" s="21">
        <f t="shared" si="149"/>
        <v>18819.383080196796</v>
      </c>
    </row>
    <row r="44" spans="2:49" ht="14.25" customHeight="1">
      <c r="C44" s="4" t="s">
        <v>412</v>
      </c>
      <c r="D44" s="23" t="e">
        <f>D43</f>
        <v>#N/A</v>
      </c>
      <c r="E44" s="23" t="e">
        <f>E43+D44</f>
        <v>#N/A</v>
      </c>
      <c r="F44" s="23" t="e">
        <f t="shared" ref="F44:AW44" si="150">F43+E44</f>
        <v>#N/A</v>
      </c>
      <c r="G44" s="23" t="e">
        <f t="shared" si="150"/>
        <v>#N/A</v>
      </c>
      <c r="H44" s="23" t="e">
        <f t="shared" si="150"/>
        <v>#N/A</v>
      </c>
      <c r="I44" s="23" t="e">
        <f t="shared" si="150"/>
        <v>#N/A</v>
      </c>
      <c r="J44" s="23" t="e">
        <f t="shared" si="150"/>
        <v>#N/A</v>
      </c>
      <c r="K44" s="23" t="e">
        <f t="shared" si="150"/>
        <v>#N/A</v>
      </c>
      <c r="L44" s="23" t="e">
        <f t="shared" si="150"/>
        <v>#N/A</v>
      </c>
      <c r="M44" s="23" t="e">
        <f t="shared" si="150"/>
        <v>#N/A</v>
      </c>
      <c r="N44" s="23" t="e">
        <f t="shared" si="150"/>
        <v>#N/A</v>
      </c>
      <c r="O44" s="23" t="e">
        <f t="shared" si="150"/>
        <v>#N/A</v>
      </c>
      <c r="P44" s="23" t="e">
        <f t="shared" si="150"/>
        <v>#N/A</v>
      </c>
      <c r="Q44" s="23" t="e">
        <f t="shared" si="150"/>
        <v>#N/A</v>
      </c>
      <c r="R44" s="23" t="e">
        <f t="shared" si="150"/>
        <v>#N/A</v>
      </c>
      <c r="S44" s="23" t="e">
        <f t="shared" si="150"/>
        <v>#N/A</v>
      </c>
      <c r="T44" s="23" t="e">
        <f t="shared" si="150"/>
        <v>#N/A</v>
      </c>
      <c r="U44" s="23" t="e">
        <f t="shared" si="150"/>
        <v>#N/A</v>
      </c>
      <c r="V44" s="23" t="e">
        <f t="shared" si="150"/>
        <v>#N/A</v>
      </c>
      <c r="W44" s="23" t="e">
        <f t="shared" si="150"/>
        <v>#N/A</v>
      </c>
      <c r="X44" s="23" t="e">
        <f t="shared" si="150"/>
        <v>#N/A</v>
      </c>
      <c r="Y44" s="23" t="e">
        <f t="shared" si="150"/>
        <v>#N/A</v>
      </c>
      <c r="Z44" s="23" t="e">
        <f t="shared" si="150"/>
        <v>#N/A</v>
      </c>
      <c r="AA44" s="23" t="e">
        <f t="shared" si="150"/>
        <v>#N/A</v>
      </c>
      <c r="AB44" s="23" t="e">
        <f t="shared" si="150"/>
        <v>#N/A</v>
      </c>
      <c r="AC44" s="23" t="e">
        <f t="shared" si="150"/>
        <v>#N/A</v>
      </c>
      <c r="AD44" s="23" t="e">
        <f t="shared" si="150"/>
        <v>#N/A</v>
      </c>
      <c r="AE44" s="23" t="e">
        <f t="shared" si="150"/>
        <v>#N/A</v>
      </c>
      <c r="AF44" s="23" t="e">
        <f t="shared" si="150"/>
        <v>#N/A</v>
      </c>
      <c r="AG44" s="23" t="e">
        <f t="shared" si="150"/>
        <v>#N/A</v>
      </c>
      <c r="AH44" s="23" t="e">
        <f t="shared" si="150"/>
        <v>#N/A</v>
      </c>
      <c r="AI44" s="23" t="e">
        <f t="shared" si="150"/>
        <v>#N/A</v>
      </c>
      <c r="AJ44" s="23" t="e">
        <f t="shared" si="150"/>
        <v>#N/A</v>
      </c>
      <c r="AK44" s="23" t="e">
        <f t="shared" si="150"/>
        <v>#N/A</v>
      </c>
      <c r="AL44" s="23" t="e">
        <f t="shared" si="150"/>
        <v>#N/A</v>
      </c>
      <c r="AM44" s="23" t="e">
        <f t="shared" si="150"/>
        <v>#N/A</v>
      </c>
      <c r="AN44" s="23" t="e">
        <f t="shared" si="150"/>
        <v>#N/A</v>
      </c>
      <c r="AO44" s="23" t="e">
        <f t="shared" si="150"/>
        <v>#N/A</v>
      </c>
      <c r="AP44" s="23" t="e">
        <f t="shared" si="150"/>
        <v>#N/A</v>
      </c>
      <c r="AQ44" s="23" t="e">
        <f t="shared" si="150"/>
        <v>#N/A</v>
      </c>
      <c r="AR44" s="23" t="e">
        <f t="shared" si="150"/>
        <v>#N/A</v>
      </c>
      <c r="AS44" s="23" t="e">
        <f t="shared" si="150"/>
        <v>#N/A</v>
      </c>
      <c r="AT44" s="23" t="e">
        <f t="shared" si="150"/>
        <v>#N/A</v>
      </c>
      <c r="AU44" s="23" t="e">
        <f t="shared" si="150"/>
        <v>#N/A</v>
      </c>
      <c r="AV44" s="23" t="e">
        <f t="shared" si="150"/>
        <v>#N/A</v>
      </c>
      <c r="AW44" s="23" t="e">
        <f t="shared" si="150"/>
        <v>#N/A</v>
      </c>
    </row>
    <row r="45" spans="2:49" s="342" customFormat="1" ht="14.25" customHeight="1">
      <c r="B45" s="375"/>
      <c r="C45" s="375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7"/>
      <c r="S45" s="397"/>
      <c r="T45" s="397"/>
      <c r="U45" s="397"/>
      <c r="V45" s="397"/>
      <c r="W45" s="397"/>
      <c r="X45" s="397"/>
      <c r="Y45" s="397"/>
      <c r="Z45" s="397"/>
      <c r="AA45" s="397"/>
      <c r="AB45" s="397"/>
      <c r="AC45" s="397"/>
      <c r="AD45" s="397"/>
      <c r="AE45" s="397"/>
      <c r="AF45" s="397"/>
      <c r="AG45" s="397"/>
      <c r="AH45" s="397"/>
      <c r="AI45" s="397"/>
      <c r="AJ45" s="397"/>
      <c r="AK45" s="397"/>
      <c r="AL45" s="397"/>
      <c r="AM45" s="397"/>
      <c r="AN45" s="397"/>
      <c r="AO45" s="397"/>
      <c r="AP45" s="397"/>
      <c r="AQ45" s="397"/>
      <c r="AR45" s="397"/>
      <c r="AS45" s="397"/>
      <c r="AT45" s="397"/>
      <c r="AU45" s="397"/>
      <c r="AV45" s="397"/>
      <c r="AW45" s="397"/>
    </row>
    <row r="46" spans="2:49" s="342" customFormat="1" ht="14.25" customHeight="1">
      <c r="B46" s="375"/>
      <c r="C46" s="357" t="s">
        <v>413</v>
      </c>
      <c r="D46" s="397"/>
      <c r="E46" s="397"/>
      <c r="F46" s="397"/>
      <c r="G46" s="397"/>
      <c r="H46" s="397"/>
      <c r="I46" s="397"/>
      <c r="J46" s="397"/>
      <c r="K46" s="397"/>
      <c r="L46" s="397"/>
      <c r="M46" s="397"/>
      <c r="N46" s="397"/>
      <c r="O46" s="397"/>
      <c r="P46" s="397"/>
      <c r="Q46" s="397"/>
      <c r="R46" s="397"/>
      <c r="S46" s="397"/>
      <c r="T46" s="397"/>
      <c r="U46" s="397"/>
      <c r="V46" s="397"/>
      <c r="W46" s="397"/>
      <c r="X46" s="397"/>
      <c r="Y46" s="397"/>
      <c r="Z46" s="397"/>
      <c r="AA46" s="397"/>
      <c r="AB46" s="397"/>
      <c r="AC46" s="397"/>
      <c r="AD46" s="397"/>
      <c r="AE46" s="397"/>
      <c r="AF46" s="397"/>
      <c r="AG46" s="397"/>
      <c r="AH46" s="397"/>
      <c r="AI46" s="397"/>
      <c r="AJ46" s="397"/>
      <c r="AK46" s="397"/>
      <c r="AL46" s="397"/>
      <c r="AM46" s="397"/>
      <c r="AN46" s="397"/>
      <c r="AO46" s="397"/>
      <c r="AP46" s="397"/>
      <c r="AQ46" s="397"/>
      <c r="AR46" s="397"/>
      <c r="AS46" s="397"/>
      <c r="AT46" s="397"/>
      <c r="AU46" s="397"/>
      <c r="AV46" s="397"/>
      <c r="AW46" s="397"/>
    </row>
    <row r="47" spans="2:49" s="342" customFormat="1" ht="14.25" customHeight="1">
      <c r="B47" s="375"/>
      <c r="C47" s="342" t="s">
        <v>414</v>
      </c>
      <c r="D47" s="388" t="e">
        <f>D36</f>
        <v>#N/A</v>
      </c>
      <c r="E47" s="388">
        <f>E36</f>
        <v>6558.3913906849302</v>
      </c>
      <c r="F47" s="388">
        <f>F36</f>
        <v>7983.9817395287664</v>
      </c>
      <c r="G47" s="388">
        <f>G36</f>
        <v>8144.5735134680563</v>
      </c>
      <c r="H47" s="388">
        <f>H36</f>
        <v>8308.4044870605903</v>
      </c>
      <c r="I47" s="388">
        <f t="shared" ref="I47:AW47" si="151">I36</f>
        <v>8475.5402652246703</v>
      </c>
      <c r="J47" s="388">
        <f t="shared" si="151"/>
        <v>8646.0477896047196</v>
      </c>
      <c r="K47" s="388">
        <f t="shared" si="151"/>
        <v>8819.9953660446372</v>
      </c>
      <c r="L47" s="388">
        <f t="shared" si="151"/>
        <v>8997.4526926327817</v>
      </c>
      <c r="M47" s="388">
        <f t="shared" si="151"/>
        <v>9178.4908883307126</v>
      </c>
      <c r="N47" s="388">
        <f t="shared" si="151"/>
        <v>9363.182522197958</v>
      </c>
      <c r="O47" s="388">
        <f t="shared" si="151"/>
        <v>9551.6016432255692</v>
      </c>
      <c r="P47" s="388">
        <f t="shared" si="151"/>
        <v>9743.8238107912402</v>
      </c>
      <c r="Q47" s="388">
        <f t="shared" si="151"/>
        <v>9939.9261257492635</v>
      </c>
      <c r="R47" s="388">
        <f t="shared" si="151"/>
        <v>10139.987262168708</v>
      </c>
      <c r="S47" s="388">
        <f t="shared" si="151"/>
        <v>10344.08749973368</v>
      </c>
      <c r="T47" s="388">
        <f t="shared" si="151"/>
        <v>10552.308756819593</v>
      </c>
      <c r="U47" s="388">
        <f t="shared" si="151"/>
        <v>10764.734624259967</v>
      </c>
      <c r="V47" s="388">
        <f t="shared" si="151"/>
        <v>10981.450399818266</v>
      </c>
      <c r="W47" s="388">
        <f t="shared" si="151"/>
        <v>11202.543123379923</v>
      </c>
      <c r="X47" s="388">
        <f t="shared" si="151"/>
        <v>11428.101612879773</v>
      </c>
      <c r="Y47" s="388">
        <f t="shared" si="151"/>
        <v>11658.216500980589</v>
      </c>
      <c r="Z47" s="388">
        <f t="shared" si="151"/>
        <v>11892.980272518715</v>
      </c>
      <c r="AA47" s="388">
        <f t="shared" si="151"/>
        <v>12132.48730273316</v>
      </c>
      <c r="AB47" s="388">
        <f t="shared" si="151"/>
        <v>12376.833896294818</v>
      </c>
      <c r="AC47" s="388">
        <f t="shared" si="151"/>
        <v>12626.118327152919</v>
      </c>
      <c r="AD47" s="388">
        <f t="shared" si="151"/>
        <v>12880.440879216141</v>
      </c>
      <c r="AE47" s="388">
        <f t="shared" si="151"/>
        <v>13139.903887886243</v>
      </c>
      <c r="AF47" s="388">
        <f t="shared" si="151"/>
        <v>13404.611782462312</v>
      </c>
      <c r="AG47" s="388">
        <f t="shared" si="151"/>
        <v>13674.671129434459</v>
      </c>
      <c r="AH47" s="388">
        <f t="shared" si="151"/>
        <v>13950.19067668573</v>
      </c>
      <c r="AI47" s="388">
        <f t="shared" si="151"/>
        <v>14231.281398621908</v>
      </c>
      <c r="AJ47" s="388">
        <f t="shared" si="151"/>
        <v>14518.05654224888</v>
      </c>
      <c r="AK47" s="388">
        <f t="shared" si="151"/>
        <v>14810.631674218035</v>
      </c>
      <c r="AL47" s="388">
        <f t="shared" si="151"/>
        <v>15109.124728860294</v>
      </c>
      <c r="AM47" s="388">
        <f t="shared" si="151"/>
        <v>15413.656057230131</v>
      </c>
      <c r="AN47" s="388">
        <f t="shared" si="151"/>
        <v>15724.348477181145</v>
      </c>
      <c r="AO47" s="388">
        <f t="shared" si="151"/>
        <v>16041.327324495374</v>
      </c>
      <c r="AP47" s="388">
        <f t="shared" si="151"/>
        <v>16364.720505089008</v>
      </c>
      <c r="AQ47" s="388">
        <f t="shared" si="151"/>
        <v>16694.658548317624</v>
      </c>
      <c r="AR47" s="388">
        <f t="shared" si="151"/>
        <v>17031.274661404612</v>
      </c>
      <c r="AS47" s="388">
        <f t="shared" si="151"/>
        <v>17374.704785016969</v>
      </c>
      <c r="AT47" s="388">
        <f t="shared" si="151"/>
        <v>17725.087650013094</v>
      </c>
      <c r="AU47" s="388">
        <f t="shared" si="151"/>
        <v>18082.564835388021</v>
      </c>
      <c r="AV47" s="388">
        <f t="shared" si="151"/>
        <v>18447.280827441678</v>
      </c>
      <c r="AW47" s="388">
        <f t="shared" si="151"/>
        <v>18819.383080196796</v>
      </c>
    </row>
    <row r="48" spans="2:49" s="342" customFormat="1" ht="14.25" customHeight="1">
      <c r="B48" s="375"/>
      <c r="C48" s="342" t="s">
        <v>415</v>
      </c>
      <c r="D48" s="397"/>
      <c r="E48" s="397"/>
      <c r="F48" s="397"/>
      <c r="G48" s="397"/>
      <c r="H48" s="397"/>
      <c r="I48" s="397"/>
      <c r="J48" s="397"/>
      <c r="K48" s="397"/>
      <c r="L48" s="397"/>
      <c r="M48" s="397"/>
      <c r="N48" s="397"/>
      <c r="O48" s="397"/>
      <c r="P48" s="397"/>
      <c r="Q48" s="397"/>
      <c r="R48" s="397"/>
      <c r="S48" s="397"/>
      <c r="T48" s="397"/>
      <c r="U48" s="397"/>
      <c r="V48" s="397"/>
      <c r="W48" s="397"/>
      <c r="X48" s="397"/>
      <c r="Y48" s="397"/>
      <c r="Z48" s="397"/>
      <c r="AA48" s="397"/>
      <c r="AB48" s="397"/>
      <c r="AC48" s="397"/>
      <c r="AD48" s="397"/>
      <c r="AE48" s="397"/>
      <c r="AF48" s="397"/>
      <c r="AG48" s="397"/>
      <c r="AH48" s="397"/>
      <c r="AI48" s="397"/>
      <c r="AJ48" s="397"/>
      <c r="AK48" s="397"/>
      <c r="AL48" s="397"/>
      <c r="AM48" s="397"/>
      <c r="AN48" s="397"/>
      <c r="AO48" s="397"/>
      <c r="AP48" s="397"/>
      <c r="AQ48" s="397"/>
      <c r="AR48" s="397"/>
      <c r="AS48" s="397"/>
      <c r="AT48" s="397"/>
      <c r="AU48" s="397"/>
      <c r="AV48" s="397"/>
      <c r="AW48" s="397"/>
    </row>
    <row r="49" spans="2:49" s="342" customFormat="1" ht="14.25" customHeight="1">
      <c r="B49" s="375"/>
      <c r="C49" s="342" t="s">
        <v>416</v>
      </c>
      <c r="D49" s="388">
        <f>-D24</f>
        <v>11618.630136986301</v>
      </c>
      <c r="E49" s="388">
        <f t="shared" ref="E49:AW49" si="152">-E24</f>
        <v>0</v>
      </c>
      <c r="F49" s="388">
        <f t="shared" si="152"/>
        <v>0</v>
      </c>
      <c r="G49" s="388">
        <f t="shared" si="152"/>
        <v>0</v>
      </c>
      <c r="H49" s="388">
        <f t="shared" si="152"/>
        <v>0</v>
      </c>
      <c r="I49" s="388">
        <f t="shared" si="152"/>
        <v>0</v>
      </c>
      <c r="J49" s="388">
        <f t="shared" si="152"/>
        <v>0</v>
      </c>
      <c r="K49" s="388">
        <f t="shared" si="152"/>
        <v>0</v>
      </c>
      <c r="L49" s="388">
        <f t="shared" si="152"/>
        <v>0</v>
      </c>
      <c r="M49" s="388">
        <f t="shared" si="152"/>
        <v>0</v>
      </c>
      <c r="N49" s="388">
        <f t="shared" si="152"/>
        <v>0</v>
      </c>
      <c r="O49" s="388">
        <f t="shared" si="152"/>
        <v>0</v>
      </c>
      <c r="P49" s="388">
        <f t="shared" si="152"/>
        <v>0</v>
      </c>
      <c r="Q49" s="388">
        <f t="shared" si="152"/>
        <v>0</v>
      </c>
      <c r="R49" s="388">
        <f t="shared" si="152"/>
        <v>0</v>
      </c>
      <c r="S49" s="388">
        <f t="shared" si="152"/>
        <v>0</v>
      </c>
      <c r="T49" s="388">
        <f t="shared" si="152"/>
        <v>0</v>
      </c>
      <c r="U49" s="388">
        <f t="shared" si="152"/>
        <v>0</v>
      </c>
      <c r="V49" s="388">
        <f t="shared" si="152"/>
        <v>0</v>
      </c>
      <c r="W49" s="388">
        <f t="shared" si="152"/>
        <v>0</v>
      </c>
      <c r="X49" s="388">
        <f t="shared" si="152"/>
        <v>0</v>
      </c>
      <c r="Y49" s="388">
        <f t="shared" si="152"/>
        <v>0</v>
      </c>
      <c r="Z49" s="388">
        <f t="shared" si="152"/>
        <v>0</v>
      </c>
      <c r="AA49" s="388">
        <f t="shared" si="152"/>
        <v>0</v>
      </c>
      <c r="AB49" s="388">
        <f t="shared" si="152"/>
        <v>0</v>
      </c>
      <c r="AC49" s="388">
        <f t="shared" si="152"/>
        <v>0</v>
      </c>
      <c r="AD49" s="388">
        <f t="shared" si="152"/>
        <v>0</v>
      </c>
      <c r="AE49" s="388">
        <f t="shared" si="152"/>
        <v>0</v>
      </c>
      <c r="AF49" s="388">
        <f t="shared" si="152"/>
        <v>0</v>
      </c>
      <c r="AG49" s="388">
        <f t="shared" si="152"/>
        <v>0</v>
      </c>
      <c r="AH49" s="388">
        <f t="shared" si="152"/>
        <v>0</v>
      </c>
      <c r="AI49" s="388">
        <f t="shared" si="152"/>
        <v>0</v>
      </c>
      <c r="AJ49" s="388">
        <f t="shared" si="152"/>
        <v>0</v>
      </c>
      <c r="AK49" s="388">
        <f t="shared" si="152"/>
        <v>0</v>
      </c>
      <c r="AL49" s="388">
        <f t="shared" si="152"/>
        <v>0</v>
      </c>
      <c r="AM49" s="388">
        <f t="shared" si="152"/>
        <v>0</v>
      </c>
      <c r="AN49" s="388">
        <f t="shared" si="152"/>
        <v>0</v>
      </c>
      <c r="AO49" s="388">
        <f t="shared" si="152"/>
        <v>0</v>
      </c>
      <c r="AP49" s="388">
        <f t="shared" si="152"/>
        <v>0</v>
      </c>
      <c r="AQ49" s="388">
        <f t="shared" si="152"/>
        <v>0</v>
      </c>
      <c r="AR49" s="388">
        <f t="shared" si="152"/>
        <v>0</v>
      </c>
      <c r="AS49" s="388">
        <f t="shared" si="152"/>
        <v>0</v>
      </c>
      <c r="AT49" s="388">
        <f t="shared" si="152"/>
        <v>0</v>
      </c>
      <c r="AU49" s="388">
        <f t="shared" si="152"/>
        <v>0</v>
      </c>
      <c r="AV49" s="388">
        <f t="shared" si="152"/>
        <v>0</v>
      </c>
      <c r="AW49" s="388">
        <f t="shared" si="152"/>
        <v>0</v>
      </c>
    </row>
    <row r="50" spans="2:49" s="342" customFormat="1" ht="14.25" customHeight="1">
      <c r="B50" s="375"/>
      <c r="C50" s="342" t="s">
        <v>417</v>
      </c>
      <c r="D50" s="398">
        <f>D135</f>
        <v>0</v>
      </c>
      <c r="E50" s="398">
        <f t="shared" ref="E50:AW50" si="153">E135</f>
        <v>0</v>
      </c>
      <c r="F50" s="398">
        <f t="shared" si="153"/>
        <v>-1103.7698630136986</v>
      </c>
      <c r="G50" s="398">
        <f t="shared" si="153"/>
        <v>-1103.7698630136986</v>
      </c>
      <c r="H50" s="398">
        <f t="shared" si="153"/>
        <v>-1103.7698630136986</v>
      </c>
      <c r="I50" s="398">
        <f t="shared" si="153"/>
        <v>-1103.7698630136986</v>
      </c>
      <c r="J50" s="398">
        <f t="shared" si="153"/>
        <v>-1103.7698630136986</v>
      </c>
      <c r="K50" s="398">
        <f t="shared" si="153"/>
        <v>-1103.7698630136986</v>
      </c>
      <c r="L50" s="398">
        <f t="shared" si="153"/>
        <v>-1103.7698630136986</v>
      </c>
      <c r="M50" s="398">
        <f t="shared" si="153"/>
        <v>-1103.7698630136986</v>
      </c>
      <c r="N50" s="398">
        <f t="shared" si="153"/>
        <v>-1103.7698630136986</v>
      </c>
      <c r="O50" s="398">
        <f t="shared" si="153"/>
        <v>0</v>
      </c>
      <c r="P50" s="398">
        <f t="shared" si="153"/>
        <v>0</v>
      </c>
      <c r="Q50" s="398">
        <f t="shared" si="153"/>
        <v>0</v>
      </c>
      <c r="R50" s="398">
        <f t="shared" si="153"/>
        <v>0</v>
      </c>
      <c r="S50" s="398">
        <f t="shared" si="153"/>
        <v>0</v>
      </c>
      <c r="T50" s="398">
        <f t="shared" si="153"/>
        <v>0</v>
      </c>
      <c r="U50" s="398">
        <f t="shared" si="153"/>
        <v>0</v>
      </c>
      <c r="V50" s="398">
        <f t="shared" si="153"/>
        <v>0</v>
      </c>
      <c r="W50" s="398">
        <f t="shared" si="153"/>
        <v>0</v>
      </c>
      <c r="X50" s="398">
        <f t="shared" si="153"/>
        <v>0</v>
      </c>
      <c r="Y50" s="398">
        <f t="shared" si="153"/>
        <v>0</v>
      </c>
      <c r="Z50" s="398">
        <f t="shared" si="153"/>
        <v>0</v>
      </c>
      <c r="AA50" s="398">
        <f t="shared" si="153"/>
        <v>0</v>
      </c>
      <c r="AB50" s="398">
        <f t="shared" si="153"/>
        <v>0</v>
      </c>
      <c r="AC50" s="398">
        <f t="shared" si="153"/>
        <v>0</v>
      </c>
      <c r="AD50" s="398">
        <f t="shared" si="153"/>
        <v>0</v>
      </c>
      <c r="AE50" s="398">
        <f t="shared" si="153"/>
        <v>0</v>
      </c>
      <c r="AF50" s="398">
        <f t="shared" si="153"/>
        <v>0</v>
      </c>
      <c r="AG50" s="398">
        <f t="shared" si="153"/>
        <v>0</v>
      </c>
      <c r="AH50" s="398">
        <f t="shared" si="153"/>
        <v>0</v>
      </c>
      <c r="AI50" s="398">
        <f t="shared" si="153"/>
        <v>0</v>
      </c>
      <c r="AJ50" s="398">
        <f t="shared" si="153"/>
        <v>0</v>
      </c>
      <c r="AK50" s="398">
        <f t="shared" si="153"/>
        <v>0</v>
      </c>
      <c r="AL50" s="398">
        <f t="shared" si="153"/>
        <v>0</v>
      </c>
      <c r="AM50" s="398">
        <f t="shared" si="153"/>
        <v>0</v>
      </c>
      <c r="AN50" s="398">
        <f t="shared" si="153"/>
        <v>0</v>
      </c>
      <c r="AO50" s="398">
        <f t="shared" si="153"/>
        <v>0</v>
      </c>
      <c r="AP50" s="398">
        <f t="shared" si="153"/>
        <v>0</v>
      </c>
      <c r="AQ50" s="398">
        <f t="shared" si="153"/>
        <v>0</v>
      </c>
      <c r="AR50" s="398">
        <f t="shared" si="153"/>
        <v>0</v>
      </c>
      <c r="AS50" s="398">
        <f t="shared" si="153"/>
        <v>0</v>
      </c>
      <c r="AT50" s="398">
        <f t="shared" si="153"/>
        <v>0</v>
      </c>
      <c r="AU50" s="398">
        <f t="shared" si="153"/>
        <v>0</v>
      </c>
      <c r="AV50" s="398">
        <f t="shared" si="153"/>
        <v>0</v>
      </c>
      <c r="AW50" s="398">
        <f t="shared" si="153"/>
        <v>0</v>
      </c>
    </row>
    <row r="51" spans="2:49" s="342" customFormat="1" ht="14.25" customHeight="1">
      <c r="B51" s="375"/>
      <c r="C51" s="342" t="s">
        <v>418</v>
      </c>
      <c r="D51" s="390">
        <f>SUM(E64,D49:D50)</f>
        <v>11618.630136986301</v>
      </c>
      <c r="E51" s="390">
        <f>SUM(D51,E49:E50)</f>
        <v>11618.630136986301</v>
      </c>
      <c r="F51" s="390">
        <f>SUM(E51,F49:F50)</f>
        <v>10514.860273972603</v>
      </c>
      <c r="G51" s="390">
        <f t="shared" ref="G51:AW51" si="154">SUM(F51,G49:G50)</f>
        <v>9411.0904109589046</v>
      </c>
      <c r="H51" s="390">
        <f t="shared" si="154"/>
        <v>8307.3205479452063</v>
      </c>
      <c r="I51" s="390">
        <f t="shared" si="154"/>
        <v>7203.5506849315079</v>
      </c>
      <c r="J51" s="390">
        <f t="shared" si="154"/>
        <v>6099.7808219178096</v>
      </c>
      <c r="K51" s="390">
        <f t="shared" si="154"/>
        <v>4996.0109589041112</v>
      </c>
      <c r="L51" s="390">
        <f t="shared" si="154"/>
        <v>3892.2410958904129</v>
      </c>
      <c r="M51" s="390">
        <f t="shared" si="154"/>
        <v>2788.4712328767146</v>
      </c>
      <c r="N51" s="390">
        <f t="shared" si="154"/>
        <v>1684.701369863016</v>
      </c>
      <c r="O51" s="390">
        <f t="shared" si="154"/>
        <v>1684.701369863016</v>
      </c>
      <c r="P51" s="390">
        <f t="shared" si="154"/>
        <v>1684.701369863016</v>
      </c>
      <c r="Q51" s="390">
        <f t="shared" si="154"/>
        <v>1684.701369863016</v>
      </c>
      <c r="R51" s="390">
        <f t="shared" si="154"/>
        <v>1684.701369863016</v>
      </c>
      <c r="S51" s="390">
        <f t="shared" si="154"/>
        <v>1684.701369863016</v>
      </c>
      <c r="T51" s="390">
        <f t="shared" si="154"/>
        <v>1684.701369863016</v>
      </c>
      <c r="U51" s="390">
        <f t="shared" si="154"/>
        <v>1684.701369863016</v>
      </c>
      <c r="V51" s="390">
        <f t="shared" si="154"/>
        <v>1684.701369863016</v>
      </c>
      <c r="W51" s="390">
        <f t="shared" si="154"/>
        <v>1684.701369863016</v>
      </c>
      <c r="X51" s="390">
        <f t="shared" si="154"/>
        <v>1684.701369863016</v>
      </c>
      <c r="Y51" s="390">
        <f t="shared" si="154"/>
        <v>1684.701369863016</v>
      </c>
      <c r="Z51" s="390">
        <f t="shared" si="154"/>
        <v>1684.701369863016</v>
      </c>
      <c r="AA51" s="390">
        <f t="shared" si="154"/>
        <v>1684.701369863016</v>
      </c>
      <c r="AB51" s="390">
        <f t="shared" si="154"/>
        <v>1684.701369863016</v>
      </c>
      <c r="AC51" s="390">
        <f t="shared" si="154"/>
        <v>1684.701369863016</v>
      </c>
      <c r="AD51" s="390">
        <f t="shared" si="154"/>
        <v>1684.701369863016</v>
      </c>
      <c r="AE51" s="390">
        <f t="shared" si="154"/>
        <v>1684.701369863016</v>
      </c>
      <c r="AF51" s="390">
        <f t="shared" si="154"/>
        <v>1684.701369863016</v>
      </c>
      <c r="AG51" s="390">
        <f t="shared" si="154"/>
        <v>1684.701369863016</v>
      </c>
      <c r="AH51" s="390">
        <f t="shared" si="154"/>
        <v>1684.701369863016</v>
      </c>
      <c r="AI51" s="390">
        <f t="shared" si="154"/>
        <v>1684.701369863016</v>
      </c>
      <c r="AJ51" s="390">
        <f t="shared" si="154"/>
        <v>1684.701369863016</v>
      </c>
      <c r="AK51" s="390">
        <f t="shared" si="154"/>
        <v>1684.701369863016</v>
      </c>
      <c r="AL51" s="390">
        <f t="shared" si="154"/>
        <v>1684.701369863016</v>
      </c>
      <c r="AM51" s="390">
        <f t="shared" si="154"/>
        <v>1684.701369863016</v>
      </c>
      <c r="AN51" s="390">
        <f t="shared" si="154"/>
        <v>1684.701369863016</v>
      </c>
      <c r="AO51" s="390">
        <f t="shared" si="154"/>
        <v>1684.701369863016</v>
      </c>
      <c r="AP51" s="390">
        <f t="shared" si="154"/>
        <v>1684.701369863016</v>
      </c>
      <c r="AQ51" s="390">
        <f t="shared" si="154"/>
        <v>1684.701369863016</v>
      </c>
      <c r="AR51" s="390">
        <f t="shared" si="154"/>
        <v>1684.701369863016</v>
      </c>
      <c r="AS51" s="390">
        <f t="shared" si="154"/>
        <v>1684.701369863016</v>
      </c>
      <c r="AT51" s="390">
        <f t="shared" si="154"/>
        <v>1684.701369863016</v>
      </c>
      <c r="AU51" s="390">
        <f t="shared" si="154"/>
        <v>1684.701369863016</v>
      </c>
      <c r="AV51" s="390">
        <f t="shared" si="154"/>
        <v>1684.701369863016</v>
      </c>
      <c r="AW51" s="390">
        <f t="shared" si="154"/>
        <v>1684.701369863016</v>
      </c>
    </row>
    <row r="52" spans="2:49" s="342" customFormat="1" ht="14.25" customHeight="1">
      <c r="B52" s="375"/>
      <c r="C52" s="399" t="s">
        <v>419</v>
      </c>
      <c r="D52" s="400"/>
      <c r="E52" s="400"/>
      <c r="F52" s="400"/>
      <c r="G52" s="400"/>
      <c r="H52" s="400"/>
      <c r="I52" s="400"/>
      <c r="J52" s="400"/>
      <c r="K52" s="400"/>
      <c r="L52" s="400"/>
      <c r="M52" s="400"/>
      <c r="N52" s="400"/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  <c r="AA52" s="400"/>
      <c r="AB52" s="400"/>
      <c r="AC52" s="400"/>
      <c r="AD52" s="400"/>
      <c r="AE52" s="400"/>
      <c r="AF52" s="400"/>
      <c r="AG52" s="400"/>
      <c r="AH52" s="400"/>
      <c r="AI52" s="400"/>
      <c r="AJ52" s="400"/>
      <c r="AK52" s="400"/>
      <c r="AL52" s="400"/>
      <c r="AM52" s="400"/>
      <c r="AN52" s="400"/>
      <c r="AO52" s="400"/>
      <c r="AP52" s="400"/>
      <c r="AQ52" s="400"/>
      <c r="AR52" s="400"/>
      <c r="AS52" s="400"/>
      <c r="AT52" s="400"/>
      <c r="AU52" s="400"/>
      <c r="AV52" s="400"/>
      <c r="AW52" s="400"/>
    </row>
    <row r="53" spans="2:49" s="342" customFormat="1" ht="14.25" customHeight="1">
      <c r="B53" s="375"/>
      <c r="C53" s="342" t="s">
        <v>420</v>
      </c>
      <c r="D53" s="390">
        <f>SUM(D51:D52)</f>
        <v>11618.630136986301</v>
      </c>
      <c r="E53" s="390">
        <f>SUM(E51:E52)</f>
        <v>11618.630136986301</v>
      </c>
      <c r="F53" s="390">
        <f>SUM(F51:F52)</f>
        <v>10514.860273972603</v>
      </c>
      <c r="G53" s="390">
        <f>SUM(G51:G52)</f>
        <v>9411.0904109589046</v>
      </c>
      <c r="H53" s="390">
        <f t="shared" ref="H53:AW53" si="155">SUM(H51:H52)</f>
        <v>8307.3205479452063</v>
      </c>
      <c r="I53" s="390">
        <f>SUM(I51:I52)</f>
        <v>7203.5506849315079</v>
      </c>
      <c r="J53" s="390">
        <f>SUM(J51:J52)</f>
        <v>6099.7808219178096</v>
      </c>
      <c r="K53" s="390">
        <f>SUM(K51:K52)</f>
        <v>4996.0109589041112</v>
      </c>
      <c r="L53" s="390">
        <f t="shared" si="155"/>
        <v>3892.2410958904129</v>
      </c>
      <c r="M53" s="390">
        <f t="shared" si="155"/>
        <v>2788.4712328767146</v>
      </c>
      <c r="N53" s="390">
        <f t="shared" si="155"/>
        <v>1684.701369863016</v>
      </c>
      <c r="O53" s="390">
        <f t="shared" si="155"/>
        <v>1684.701369863016</v>
      </c>
      <c r="P53" s="390">
        <f t="shared" si="155"/>
        <v>1684.701369863016</v>
      </c>
      <c r="Q53" s="390">
        <f t="shared" si="155"/>
        <v>1684.701369863016</v>
      </c>
      <c r="R53" s="390">
        <f t="shared" si="155"/>
        <v>1684.701369863016</v>
      </c>
      <c r="S53" s="390">
        <f t="shared" si="155"/>
        <v>1684.701369863016</v>
      </c>
      <c r="T53" s="390">
        <f t="shared" si="155"/>
        <v>1684.701369863016</v>
      </c>
      <c r="U53" s="390">
        <f t="shared" si="155"/>
        <v>1684.701369863016</v>
      </c>
      <c r="V53" s="390">
        <f t="shared" si="155"/>
        <v>1684.701369863016</v>
      </c>
      <c r="W53" s="390">
        <f t="shared" si="155"/>
        <v>1684.701369863016</v>
      </c>
      <c r="X53" s="390">
        <f t="shared" si="155"/>
        <v>1684.701369863016</v>
      </c>
      <c r="Y53" s="390">
        <f t="shared" si="155"/>
        <v>1684.701369863016</v>
      </c>
      <c r="Z53" s="390">
        <f t="shared" si="155"/>
        <v>1684.701369863016</v>
      </c>
      <c r="AA53" s="390">
        <f t="shared" si="155"/>
        <v>1684.701369863016</v>
      </c>
      <c r="AB53" s="390">
        <f t="shared" si="155"/>
        <v>1684.701369863016</v>
      </c>
      <c r="AC53" s="390">
        <f t="shared" si="155"/>
        <v>1684.701369863016</v>
      </c>
      <c r="AD53" s="390">
        <f t="shared" si="155"/>
        <v>1684.701369863016</v>
      </c>
      <c r="AE53" s="390">
        <f t="shared" si="155"/>
        <v>1684.701369863016</v>
      </c>
      <c r="AF53" s="390">
        <f t="shared" si="155"/>
        <v>1684.701369863016</v>
      </c>
      <c r="AG53" s="390">
        <f t="shared" si="155"/>
        <v>1684.701369863016</v>
      </c>
      <c r="AH53" s="390">
        <f t="shared" si="155"/>
        <v>1684.701369863016</v>
      </c>
      <c r="AI53" s="390">
        <f t="shared" si="155"/>
        <v>1684.701369863016</v>
      </c>
      <c r="AJ53" s="390">
        <f t="shared" si="155"/>
        <v>1684.701369863016</v>
      </c>
      <c r="AK53" s="390">
        <f t="shared" si="155"/>
        <v>1684.701369863016</v>
      </c>
      <c r="AL53" s="390">
        <f t="shared" si="155"/>
        <v>1684.701369863016</v>
      </c>
      <c r="AM53" s="390">
        <f t="shared" si="155"/>
        <v>1684.701369863016</v>
      </c>
      <c r="AN53" s="390">
        <f t="shared" si="155"/>
        <v>1684.701369863016</v>
      </c>
      <c r="AO53" s="390">
        <f t="shared" si="155"/>
        <v>1684.701369863016</v>
      </c>
      <c r="AP53" s="390">
        <f t="shared" si="155"/>
        <v>1684.701369863016</v>
      </c>
      <c r="AQ53" s="390">
        <f t="shared" si="155"/>
        <v>1684.701369863016</v>
      </c>
      <c r="AR53" s="390">
        <f t="shared" si="155"/>
        <v>1684.701369863016</v>
      </c>
      <c r="AS53" s="390">
        <f t="shared" si="155"/>
        <v>1684.701369863016</v>
      </c>
      <c r="AT53" s="390">
        <f t="shared" si="155"/>
        <v>1684.701369863016</v>
      </c>
      <c r="AU53" s="390">
        <f t="shared" si="155"/>
        <v>1684.701369863016</v>
      </c>
      <c r="AV53" s="390">
        <f t="shared" si="155"/>
        <v>1684.701369863016</v>
      </c>
      <c r="AW53" s="390">
        <f t="shared" si="155"/>
        <v>1684.701369863016</v>
      </c>
    </row>
    <row r="54" spans="2:49" s="357" customFormat="1" ht="14.25" customHeight="1">
      <c r="B54" s="357" t="s">
        <v>351</v>
      </c>
      <c r="C54" s="357" t="s">
        <v>421</v>
      </c>
      <c r="D54" s="401" t="str">
        <f>IFERROR(D47/D53,"n.a.")</f>
        <v>n.a.</v>
      </c>
      <c r="E54" s="401">
        <f t="shared" ref="E54:AW54" si="156">IFERROR(E47/E53,"n.a.")</f>
        <v>0.56447199999999986</v>
      </c>
      <c r="F54" s="401">
        <f t="shared" si="156"/>
        <v>0.75930459668508277</v>
      </c>
      <c r="G54" s="401">
        <f t="shared" si="156"/>
        <v>0.8654229380246915</v>
      </c>
      <c r="H54" s="401">
        <f t="shared" si="156"/>
        <v>1.0001304799916084</v>
      </c>
      <c r="I54" s="401">
        <f t="shared" si="156"/>
        <v>1.1765781398545483</v>
      </c>
      <c r="J54" s="401">
        <f t="shared" si="156"/>
        <v>1.4174358131914562</v>
      </c>
      <c r="K54" s="401">
        <f t="shared" si="156"/>
        <v>1.7654075298464371</v>
      </c>
      <c r="L54" s="401">
        <f t="shared" si="156"/>
        <v>2.3116380694229499</v>
      </c>
      <c r="M54" s="401">
        <f t="shared" si="156"/>
        <v>3.2915852887826857</v>
      </c>
      <c r="N54" s="401">
        <f t="shared" si="156"/>
        <v>5.5577698752386508</v>
      </c>
      <c r="O54" s="401">
        <f t="shared" si="156"/>
        <v>5.6696111335163311</v>
      </c>
      <c r="P54" s="401">
        <f t="shared" si="156"/>
        <v>5.7837097927827505</v>
      </c>
      <c r="Q54" s="401">
        <f t="shared" si="156"/>
        <v>5.9001116183323843</v>
      </c>
      <c r="R54" s="401">
        <f t="shared" si="156"/>
        <v>6.0188633092838266</v>
      </c>
      <c r="S54" s="401">
        <f t="shared" si="156"/>
        <v>6.1400125178118437</v>
      </c>
      <c r="T54" s="401">
        <f t="shared" si="156"/>
        <v>6.2636078687806895</v>
      </c>
      <c r="U54" s="401">
        <f t="shared" si="156"/>
        <v>6.3896989797872923</v>
      </c>
      <c r="V54" s="401">
        <f t="shared" si="156"/>
        <v>6.5183364816229563</v>
      </c>
      <c r="W54" s="401">
        <f t="shared" si="156"/>
        <v>6.6495720391625301</v>
      </c>
      <c r="X54" s="401">
        <f t="shared" si="156"/>
        <v>6.7834583726901094</v>
      </c>
      <c r="Y54" s="401">
        <f t="shared" si="156"/>
        <v>6.9200492796705717</v>
      </c>
      <c r="Z54" s="401">
        <f t="shared" si="156"/>
        <v>7.0593996569764403</v>
      </c>
      <c r="AA54" s="401">
        <f t="shared" si="156"/>
        <v>7.2015655235798013</v>
      </c>
      <c r="AB54" s="401">
        <f t="shared" si="156"/>
        <v>7.3466040437191458</v>
      </c>
      <c r="AC54" s="401">
        <f t="shared" si="156"/>
        <v>7.4945735505513094</v>
      </c>
      <c r="AD54" s="401">
        <f t="shared" si="156"/>
        <v>7.6455335702988458</v>
      </c>
      <c r="AE54" s="401">
        <f t="shared" si="156"/>
        <v>7.7995448469034345</v>
      </c>
      <c r="AF54" s="401">
        <f t="shared" si="156"/>
        <v>7.956669367196068</v>
      </c>
      <c r="AG54" s="401">
        <f t="shared" si="156"/>
        <v>8.1169703865951952</v>
      </c>
      <c r="AH54" s="401">
        <f t="shared" si="156"/>
        <v>8.2805124553439562</v>
      </c>
      <c r="AI54" s="401">
        <f t="shared" si="156"/>
        <v>8.4473614452982027</v>
      </c>
      <c r="AJ54" s="401">
        <f t="shared" si="156"/>
        <v>8.6175845772769524</v>
      </c>
      <c r="AK54" s="401">
        <f t="shared" si="156"/>
        <v>8.7912504489874639</v>
      </c>
      <c r="AL54" s="401">
        <f t="shared" si="156"/>
        <v>8.9684290635371333</v>
      </c>
      <c r="AM54" s="401">
        <f t="shared" si="156"/>
        <v>9.1491918585448904</v>
      </c>
      <c r="AN54" s="401">
        <f t="shared" si="156"/>
        <v>9.3336117358649151</v>
      </c>
      <c r="AO54" s="401">
        <f t="shared" si="156"/>
        <v>9.5217630919358154</v>
      </c>
      <c r="AP54" s="401">
        <f t="shared" si="156"/>
        <v>9.713721848768742</v>
      </c>
      <c r="AQ54" s="401">
        <f t="shared" si="156"/>
        <v>9.9095654855881534</v>
      </c>
      <c r="AR54" s="401">
        <f t="shared" si="156"/>
        <v>10.109373071139268</v>
      </c>
      <c r="AS54" s="401">
        <f t="shared" si="156"/>
        <v>10.313225296676595</v>
      </c>
      <c r="AT54" s="401">
        <f t="shared" si="156"/>
        <v>10.521204509648099</v>
      </c>
      <c r="AU54" s="401">
        <f t="shared" si="156"/>
        <v>10.733394748090175</v>
      </c>
      <c r="AV54" s="401">
        <f t="shared" si="156"/>
        <v>10.949881775748564</v>
      </c>
      <c r="AW54" s="401">
        <f t="shared" si="156"/>
        <v>11.170753117941022</v>
      </c>
    </row>
    <row r="55" spans="2:49" s="357" customFormat="1" ht="14.25" customHeight="1">
      <c r="D55" s="401"/>
      <c r="E55" s="401"/>
      <c r="F55" s="401"/>
      <c r="G55" s="401"/>
      <c r="H55" s="401"/>
      <c r="I55" s="401"/>
      <c r="J55" s="401"/>
      <c r="K55" s="401"/>
      <c r="L55" s="401"/>
      <c r="M55" s="401"/>
      <c r="N55" s="401"/>
      <c r="O55" s="401"/>
      <c r="P55" s="401"/>
      <c r="Q55" s="401"/>
      <c r="R55" s="401"/>
      <c r="S55" s="401"/>
      <c r="T55" s="401"/>
      <c r="U55" s="401"/>
      <c r="V55" s="401"/>
      <c r="W55" s="401"/>
      <c r="X55" s="401"/>
      <c r="Y55" s="401"/>
      <c r="Z55" s="401"/>
      <c r="AA55" s="401"/>
      <c r="AB55" s="401"/>
      <c r="AC55" s="401"/>
      <c r="AD55" s="401"/>
      <c r="AE55" s="401"/>
      <c r="AF55" s="401"/>
      <c r="AG55" s="401"/>
      <c r="AH55" s="401"/>
      <c r="AI55" s="401"/>
      <c r="AJ55" s="401"/>
      <c r="AK55" s="401"/>
      <c r="AL55" s="401"/>
      <c r="AM55" s="401"/>
      <c r="AN55" s="401"/>
      <c r="AO55" s="401"/>
      <c r="AP55" s="401"/>
      <c r="AQ55" s="401"/>
      <c r="AR55" s="401"/>
      <c r="AS55" s="401"/>
      <c r="AT55" s="401"/>
      <c r="AU55" s="401"/>
      <c r="AV55" s="401"/>
      <c r="AW55" s="401"/>
    </row>
    <row r="56" spans="2:49" s="357" customFormat="1" ht="14.25" customHeight="1">
      <c r="D56" s="401"/>
      <c r="E56" s="401"/>
      <c r="F56" s="401"/>
      <c r="G56" s="401"/>
      <c r="H56" s="401"/>
      <c r="I56" s="401"/>
      <c r="J56" s="401"/>
      <c r="K56" s="401"/>
      <c r="L56" s="401"/>
      <c r="M56" s="401"/>
      <c r="N56" s="401"/>
      <c r="O56" s="401"/>
      <c r="P56" s="401"/>
      <c r="Q56" s="401"/>
      <c r="R56" s="401"/>
      <c r="S56" s="401"/>
      <c r="T56" s="401"/>
      <c r="U56" s="401"/>
      <c r="V56" s="401"/>
      <c r="W56" s="401"/>
      <c r="X56" s="401"/>
      <c r="Y56" s="401"/>
      <c r="Z56" s="401"/>
      <c r="AA56" s="401"/>
      <c r="AB56" s="401"/>
      <c r="AC56" s="401"/>
      <c r="AD56" s="401"/>
      <c r="AE56" s="401"/>
      <c r="AF56" s="401"/>
      <c r="AG56" s="401"/>
      <c r="AH56" s="401"/>
      <c r="AI56" s="401"/>
      <c r="AJ56" s="401"/>
      <c r="AK56" s="401"/>
      <c r="AL56" s="401"/>
      <c r="AM56" s="401"/>
      <c r="AN56" s="401"/>
      <c r="AO56" s="401"/>
      <c r="AP56" s="401"/>
      <c r="AQ56" s="401"/>
      <c r="AR56" s="401"/>
      <c r="AS56" s="401"/>
      <c r="AT56" s="401"/>
      <c r="AU56" s="401"/>
      <c r="AV56" s="401"/>
      <c r="AW56" s="401"/>
    </row>
    <row r="57" spans="2:49" s="357" customFormat="1" ht="14.25" customHeight="1">
      <c r="C57" s="357" t="s">
        <v>422</v>
      </c>
      <c r="D57" s="329">
        <f>D30</f>
        <v>0</v>
      </c>
      <c r="E57" s="329">
        <f t="shared" ref="E57:AW57" si="157">E30</f>
        <v>1</v>
      </c>
      <c r="F57" s="329">
        <f t="shared" si="157"/>
        <v>2</v>
      </c>
      <c r="G57" s="329">
        <f t="shared" si="157"/>
        <v>3</v>
      </c>
      <c r="H57" s="329">
        <f t="shared" si="157"/>
        <v>4</v>
      </c>
      <c r="I57" s="329">
        <f t="shared" si="157"/>
        <v>5</v>
      </c>
      <c r="J57" s="329">
        <f t="shared" si="157"/>
        <v>6</v>
      </c>
      <c r="K57" s="329">
        <f t="shared" si="157"/>
        <v>7</v>
      </c>
      <c r="L57" s="329">
        <f t="shared" si="157"/>
        <v>8</v>
      </c>
      <c r="M57" s="329">
        <f t="shared" si="157"/>
        <v>9</v>
      </c>
      <c r="N57" s="329">
        <f t="shared" si="157"/>
        <v>10</v>
      </c>
      <c r="O57" s="329">
        <f t="shared" si="157"/>
        <v>11</v>
      </c>
      <c r="P57" s="329">
        <f t="shared" si="157"/>
        <v>12</v>
      </c>
      <c r="Q57" s="329">
        <f t="shared" si="157"/>
        <v>13</v>
      </c>
      <c r="R57" s="329">
        <f t="shared" si="157"/>
        <v>14</v>
      </c>
      <c r="S57" s="329">
        <f t="shared" si="157"/>
        <v>15</v>
      </c>
      <c r="T57" s="329">
        <f t="shared" si="157"/>
        <v>16</v>
      </c>
      <c r="U57" s="329">
        <f t="shared" si="157"/>
        <v>17</v>
      </c>
      <c r="V57" s="329">
        <f t="shared" si="157"/>
        <v>18</v>
      </c>
      <c r="W57" s="329">
        <f t="shared" si="157"/>
        <v>19</v>
      </c>
      <c r="X57" s="329">
        <f t="shared" si="157"/>
        <v>20</v>
      </c>
      <c r="Y57" s="329">
        <f t="shared" si="157"/>
        <v>21</v>
      </c>
      <c r="Z57" s="329">
        <f t="shared" si="157"/>
        <v>22</v>
      </c>
      <c r="AA57" s="329">
        <f t="shared" si="157"/>
        <v>23</v>
      </c>
      <c r="AB57" s="329">
        <f t="shared" si="157"/>
        <v>24</v>
      </c>
      <c r="AC57" s="329">
        <f t="shared" si="157"/>
        <v>25</v>
      </c>
      <c r="AD57" s="329">
        <f t="shared" si="157"/>
        <v>26</v>
      </c>
      <c r="AE57" s="329">
        <f t="shared" si="157"/>
        <v>27</v>
      </c>
      <c r="AF57" s="329">
        <f t="shared" si="157"/>
        <v>28</v>
      </c>
      <c r="AG57" s="329">
        <f t="shared" si="157"/>
        <v>29</v>
      </c>
      <c r="AH57" s="329">
        <f t="shared" si="157"/>
        <v>30</v>
      </c>
      <c r="AI57" s="329">
        <f t="shared" si="157"/>
        <v>31</v>
      </c>
      <c r="AJ57" s="329">
        <f t="shared" si="157"/>
        <v>32</v>
      </c>
      <c r="AK57" s="329">
        <f t="shared" si="157"/>
        <v>33</v>
      </c>
      <c r="AL57" s="329">
        <f t="shared" si="157"/>
        <v>34</v>
      </c>
      <c r="AM57" s="329">
        <f t="shared" si="157"/>
        <v>35</v>
      </c>
      <c r="AN57" s="329">
        <f t="shared" si="157"/>
        <v>36</v>
      </c>
      <c r="AO57" s="329">
        <f t="shared" si="157"/>
        <v>37</v>
      </c>
      <c r="AP57" s="329">
        <f t="shared" si="157"/>
        <v>38</v>
      </c>
      <c r="AQ57" s="329">
        <f t="shared" si="157"/>
        <v>39</v>
      </c>
      <c r="AR57" s="329">
        <f t="shared" si="157"/>
        <v>40</v>
      </c>
      <c r="AS57" s="329">
        <f t="shared" si="157"/>
        <v>41</v>
      </c>
      <c r="AT57" s="329">
        <f t="shared" si="157"/>
        <v>42</v>
      </c>
      <c r="AU57" s="329">
        <f t="shared" si="157"/>
        <v>43</v>
      </c>
      <c r="AV57" s="329">
        <f t="shared" si="157"/>
        <v>44</v>
      </c>
      <c r="AW57" s="329">
        <f t="shared" si="157"/>
        <v>45</v>
      </c>
    </row>
    <row r="58" spans="2:49" s="357" customFormat="1" ht="14.25" customHeight="1">
      <c r="C58" s="342" t="s">
        <v>423</v>
      </c>
      <c r="D58" s="402" t="e">
        <f>D44</f>
        <v>#N/A</v>
      </c>
      <c r="E58" s="402" t="e">
        <f>E44</f>
        <v>#N/A</v>
      </c>
      <c r="F58" s="402" t="e">
        <f t="shared" ref="F58:AW58" si="158">F44</f>
        <v>#N/A</v>
      </c>
      <c r="G58" s="402" t="e">
        <f t="shared" si="158"/>
        <v>#N/A</v>
      </c>
      <c r="H58" s="402" t="e">
        <f t="shared" si="158"/>
        <v>#N/A</v>
      </c>
      <c r="I58" s="402" t="e">
        <f t="shared" si="158"/>
        <v>#N/A</v>
      </c>
      <c r="J58" s="402" t="e">
        <f t="shared" si="158"/>
        <v>#N/A</v>
      </c>
      <c r="K58" s="402" t="e">
        <f t="shared" si="158"/>
        <v>#N/A</v>
      </c>
      <c r="L58" s="402" t="e">
        <f t="shared" si="158"/>
        <v>#N/A</v>
      </c>
      <c r="M58" s="402" t="e">
        <f t="shared" si="158"/>
        <v>#N/A</v>
      </c>
      <c r="N58" s="402" t="e">
        <f t="shared" si="158"/>
        <v>#N/A</v>
      </c>
      <c r="O58" s="402" t="e">
        <f t="shared" si="158"/>
        <v>#N/A</v>
      </c>
      <c r="P58" s="402" t="e">
        <f t="shared" si="158"/>
        <v>#N/A</v>
      </c>
      <c r="Q58" s="402" t="e">
        <f t="shared" si="158"/>
        <v>#N/A</v>
      </c>
      <c r="R58" s="402" t="e">
        <f t="shared" si="158"/>
        <v>#N/A</v>
      </c>
      <c r="S58" s="402" t="e">
        <f t="shared" si="158"/>
        <v>#N/A</v>
      </c>
      <c r="T58" s="402" t="e">
        <f t="shared" si="158"/>
        <v>#N/A</v>
      </c>
      <c r="U58" s="402" t="e">
        <f t="shared" si="158"/>
        <v>#N/A</v>
      </c>
      <c r="V58" s="402" t="e">
        <f t="shared" si="158"/>
        <v>#N/A</v>
      </c>
      <c r="W58" s="402" t="e">
        <f t="shared" si="158"/>
        <v>#N/A</v>
      </c>
      <c r="X58" s="402" t="e">
        <f t="shared" si="158"/>
        <v>#N/A</v>
      </c>
      <c r="Y58" s="402" t="e">
        <f t="shared" si="158"/>
        <v>#N/A</v>
      </c>
      <c r="Z58" s="402" t="e">
        <f t="shared" si="158"/>
        <v>#N/A</v>
      </c>
      <c r="AA58" s="402" t="e">
        <f t="shared" si="158"/>
        <v>#N/A</v>
      </c>
      <c r="AB58" s="402" t="e">
        <f t="shared" si="158"/>
        <v>#N/A</v>
      </c>
      <c r="AC58" s="402" t="e">
        <f t="shared" si="158"/>
        <v>#N/A</v>
      </c>
      <c r="AD58" s="402" t="e">
        <f t="shared" si="158"/>
        <v>#N/A</v>
      </c>
      <c r="AE58" s="402" t="e">
        <f t="shared" si="158"/>
        <v>#N/A</v>
      </c>
      <c r="AF58" s="402" t="e">
        <f t="shared" si="158"/>
        <v>#N/A</v>
      </c>
      <c r="AG58" s="402" t="e">
        <f t="shared" si="158"/>
        <v>#N/A</v>
      </c>
      <c r="AH58" s="402" t="e">
        <f t="shared" si="158"/>
        <v>#N/A</v>
      </c>
      <c r="AI58" s="402" t="e">
        <f t="shared" si="158"/>
        <v>#N/A</v>
      </c>
      <c r="AJ58" s="402" t="e">
        <f t="shared" si="158"/>
        <v>#N/A</v>
      </c>
      <c r="AK58" s="402" t="e">
        <f t="shared" si="158"/>
        <v>#N/A</v>
      </c>
      <c r="AL58" s="402" t="e">
        <f t="shared" si="158"/>
        <v>#N/A</v>
      </c>
      <c r="AM58" s="402" t="e">
        <f t="shared" si="158"/>
        <v>#N/A</v>
      </c>
      <c r="AN58" s="402" t="e">
        <f t="shared" si="158"/>
        <v>#N/A</v>
      </c>
      <c r="AO58" s="402" t="e">
        <f t="shared" si="158"/>
        <v>#N/A</v>
      </c>
      <c r="AP58" s="402" t="e">
        <f t="shared" si="158"/>
        <v>#N/A</v>
      </c>
      <c r="AQ58" s="402" t="e">
        <f t="shared" si="158"/>
        <v>#N/A</v>
      </c>
      <c r="AR58" s="402" t="e">
        <f t="shared" si="158"/>
        <v>#N/A</v>
      </c>
      <c r="AS58" s="402" t="e">
        <f t="shared" si="158"/>
        <v>#N/A</v>
      </c>
      <c r="AT58" s="402" t="e">
        <f t="shared" si="158"/>
        <v>#N/A</v>
      </c>
      <c r="AU58" s="402" t="e">
        <f t="shared" si="158"/>
        <v>#N/A</v>
      </c>
      <c r="AV58" s="402" t="e">
        <f t="shared" si="158"/>
        <v>#N/A</v>
      </c>
      <c r="AW58" s="402" t="e">
        <f t="shared" si="158"/>
        <v>#N/A</v>
      </c>
    </row>
    <row r="59" spans="2:49" s="357" customFormat="1" ht="14.25" customHeight="1">
      <c r="C59" s="342" t="s">
        <v>424</v>
      </c>
      <c r="D59" s="403" t="e">
        <f>IF(AND(C58&lt;0,D58&gt;=0),1,0)</f>
        <v>#N/A</v>
      </c>
      <c r="E59" s="403" t="e">
        <f>IF(AND(D58&lt;0,E58&gt;=0),1,0)</f>
        <v>#N/A</v>
      </c>
      <c r="F59" s="403" t="e">
        <f t="shared" ref="F59:AW59" si="159">IF(AND(E58&lt;0,F58&gt;=0),1,0)</f>
        <v>#N/A</v>
      </c>
      <c r="G59" s="403" t="e">
        <f>IF(AND(F58&lt;0,G58&gt;=0),1,0)</f>
        <v>#N/A</v>
      </c>
      <c r="H59" s="403" t="e">
        <f t="shared" si="159"/>
        <v>#N/A</v>
      </c>
      <c r="I59" s="403" t="e">
        <f t="shared" si="159"/>
        <v>#N/A</v>
      </c>
      <c r="J59" s="403" t="e">
        <f t="shared" si="159"/>
        <v>#N/A</v>
      </c>
      <c r="K59" s="403" t="e">
        <f t="shared" si="159"/>
        <v>#N/A</v>
      </c>
      <c r="L59" s="403" t="e">
        <f t="shared" si="159"/>
        <v>#N/A</v>
      </c>
      <c r="M59" s="403" t="e">
        <f t="shared" si="159"/>
        <v>#N/A</v>
      </c>
      <c r="N59" s="403" t="e">
        <f t="shared" si="159"/>
        <v>#N/A</v>
      </c>
      <c r="O59" s="403" t="e">
        <f t="shared" si="159"/>
        <v>#N/A</v>
      </c>
      <c r="P59" s="403" t="e">
        <f t="shared" si="159"/>
        <v>#N/A</v>
      </c>
      <c r="Q59" s="403" t="e">
        <f t="shared" si="159"/>
        <v>#N/A</v>
      </c>
      <c r="R59" s="403" t="e">
        <f t="shared" si="159"/>
        <v>#N/A</v>
      </c>
      <c r="S59" s="403" t="e">
        <f t="shared" si="159"/>
        <v>#N/A</v>
      </c>
      <c r="T59" s="403" t="e">
        <f t="shared" si="159"/>
        <v>#N/A</v>
      </c>
      <c r="U59" s="403" t="e">
        <f t="shared" si="159"/>
        <v>#N/A</v>
      </c>
      <c r="V59" s="403" t="e">
        <f t="shared" si="159"/>
        <v>#N/A</v>
      </c>
      <c r="W59" s="403" t="e">
        <f t="shared" si="159"/>
        <v>#N/A</v>
      </c>
      <c r="X59" s="403" t="e">
        <f t="shared" si="159"/>
        <v>#N/A</v>
      </c>
      <c r="Y59" s="403" t="e">
        <f t="shared" si="159"/>
        <v>#N/A</v>
      </c>
      <c r="Z59" s="403" t="e">
        <f t="shared" si="159"/>
        <v>#N/A</v>
      </c>
      <c r="AA59" s="403" t="e">
        <f t="shared" si="159"/>
        <v>#N/A</v>
      </c>
      <c r="AB59" s="403" t="e">
        <f t="shared" si="159"/>
        <v>#N/A</v>
      </c>
      <c r="AC59" s="403" t="e">
        <f t="shared" si="159"/>
        <v>#N/A</v>
      </c>
      <c r="AD59" s="403" t="e">
        <f t="shared" si="159"/>
        <v>#N/A</v>
      </c>
      <c r="AE59" s="403" t="e">
        <f t="shared" si="159"/>
        <v>#N/A</v>
      </c>
      <c r="AF59" s="403" t="e">
        <f t="shared" si="159"/>
        <v>#N/A</v>
      </c>
      <c r="AG59" s="403" t="e">
        <f t="shared" si="159"/>
        <v>#N/A</v>
      </c>
      <c r="AH59" s="403" t="e">
        <f t="shared" si="159"/>
        <v>#N/A</v>
      </c>
      <c r="AI59" s="403" t="e">
        <f t="shared" si="159"/>
        <v>#N/A</v>
      </c>
      <c r="AJ59" s="403" t="e">
        <f t="shared" si="159"/>
        <v>#N/A</v>
      </c>
      <c r="AK59" s="403" t="e">
        <f t="shared" si="159"/>
        <v>#N/A</v>
      </c>
      <c r="AL59" s="403" t="e">
        <f t="shared" si="159"/>
        <v>#N/A</v>
      </c>
      <c r="AM59" s="403" t="e">
        <f t="shared" si="159"/>
        <v>#N/A</v>
      </c>
      <c r="AN59" s="403" t="e">
        <f t="shared" si="159"/>
        <v>#N/A</v>
      </c>
      <c r="AO59" s="403" t="e">
        <f t="shared" si="159"/>
        <v>#N/A</v>
      </c>
      <c r="AP59" s="403" t="e">
        <f t="shared" si="159"/>
        <v>#N/A</v>
      </c>
      <c r="AQ59" s="403" t="e">
        <f t="shared" si="159"/>
        <v>#N/A</v>
      </c>
      <c r="AR59" s="403" t="e">
        <f t="shared" si="159"/>
        <v>#N/A</v>
      </c>
      <c r="AS59" s="403" t="e">
        <f t="shared" si="159"/>
        <v>#N/A</v>
      </c>
      <c r="AT59" s="403" t="e">
        <f t="shared" si="159"/>
        <v>#N/A</v>
      </c>
      <c r="AU59" s="403" t="e">
        <f t="shared" si="159"/>
        <v>#N/A</v>
      </c>
      <c r="AV59" s="403" t="e">
        <f t="shared" si="159"/>
        <v>#N/A</v>
      </c>
      <c r="AW59" s="403" t="e">
        <f t="shared" si="159"/>
        <v>#N/A</v>
      </c>
    </row>
    <row r="60" spans="2:49" s="357" customFormat="1" ht="14.25" customHeight="1">
      <c r="C60" s="342" t="s">
        <v>425</v>
      </c>
      <c r="D60" s="403" t="e">
        <f>IF(D59=1,C58/D43,0)*-1</f>
        <v>#N/A</v>
      </c>
      <c r="E60" s="403" t="e">
        <f>IF(E59=1,D58/E43,0)*-1</f>
        <v>#N/A</v>
      </c>
      <c r="F60" s="403" t="e">
        <f t="shared" ref="F60:AW60" si="160">IF(F59=1,E58/F43,0)*-1</f>
        <v>#N/A</v>
      </c>
      <c r="G60" s="403" t="e">
        <f>IF(G59=1,F58/G43,0)*-1</f>
        <v>#N/A</v>
      </c>
      <c r="H60" s="403" t="e">
        <f t="shared" si="160"/>
        <v>#N/A</v>
      </c>
      <c r="I60" s="403" t="e">
        <f t="shared" si="160"/>
        <v>#N/A</v>
      </c>
      <c r="J60" s="403" t="e">
        <f t="shared" si="160"/>
        <v>#N/A</v>
      </c>
      <c r="K60" s="403" t="e">
        <f t="shared" si="160"/>
        <v>#N/A</v>
      </c>
      <c r="L60" s="403" t="e">
        <f t="shared" si="160"/>
        <v>#N/A</v>
      </c>
      <c r="M60" s="403" t="e">
        <f t="shared" si="160"/>
        <v>#N/A</v>
      </c>
      <c r="N60" s="403" t="e">
        <f t="shared" si="160"/>
        <v>#N/A</v>
      </c>
      <c r="O60" s="403" t="e">
        <f t="shared" si="160"/>
        <v>#N/A</v>
      </c>
      <c r="P60" s="403" t="e">
        <f t="shared" si="160"/>
        <v>#N/A</v>
      </c>
      <c r="Q60" s="403" t="e">
        <f t="shared" si="160"/>
        <v>#N/A</v>
      </c>
      <c r="R60" s="403" t="e">
        <f t="shared" si="160"/>
        <v>#N/A</v>
      </c>
      <c r="S60" s="403" t="e">
        <f t="shared" si="160"/>
        <v>#N/A</v>
      </c>
      <c r="T60" s="403" t="e">
        <f t="shared" si="160"/>
        <v>#N/A</v>
      </c>
      <c r="U60" s="403" t="e">
        <f t="shared" si="160"/>
        <v>#N/A</v>
      </c>
      <c r="V60" s="403" t="e">
        <f t="shared" si="160"/>
        <v>#N/A</v>
      </c>
      <c r="W60" s="403" t="e">
        <f t="shared" si="160"/>
        <v>#N/A</v>
      </c>
      <c r="X60" s="403" t="e">
        <f t="shared" si="160"/>
        <v>#N/A</v>
      </c>
      <c r="Y60" s="403" t="e">
        <f t="shared" si="160"/>
        <v>#N/A</v>
      </c>
      <c r="Z60" s="403" t="e">
        <f t="shared" si="160"/>
        <v>#N/A</v>
      </c>
      <c r="AA60" s="403" t="e">
        <f t="shared" si="160"/>
        <v>#N/A</v>
      </c>
      <c r="AB60" s="403" t="e">
        <f t="shared" si="160"/>
        <v>#N/A</v>
      </c>
      <c r="AC60" s="403" t="e">
        <f t="shared" si="160"/>
        <v>#N/A</v>
      </c>
      <c r="AD60" s="403" t="e">
        <f t="shared" si="160"/>
        <v>#N/A</v>
      </c>
      <c r="AE60" s="403" t="e">
        <f t="shared" si="160"/>
        <v>#N/A</v>
      </c>
      <c r="AF60" s="403" t="e">
        <f t="shared" si="160"/>
        <v>#N/A</v>
      </c>
      <c r="AG60" s="403" t="e">
        <f t="shared" si="160"/>
        <v>#N/A</v>
      </c>
      <c r="AH60" s="403" t="e">
        <f t="shared" si="160"/>
        <v>#N/A</v>
      </c>
      <c r="AI60" s="403" t="e">
        <f t="shared" si="160"/>
        <v>#N/A</v>
      </c>
      <c r="AJ60" s="403" t="e">
        <f t="shared" si="160"/>
        <v>#N/A</v>
      </c>
      <c r="AK60" s="403" t="e">
        <f t="shared" si="160"/>
        <v>#N/A</v>
      </c>
      <c r="AL60" s="403" t="e">
        <f t="shared" si="160"/>
        <v>#N/A</v>
      </c>
      <c r="AM60" s="403" t="e">
        <f t="shared" si="160"/>
        <v>#N/A</v>
      </c>
      <c r="AN60" s="403" t="e">
        <f t="shared" si="160"/>
        <v>#N/A</v>
      </c>
      <c r="AO60" s="403" t="e">
        <f t="shared" si="160"/>
        <v>#N/A</v>
      </c>
      <c r="AP60" s="403" t="e">
        <f t="shared" si="160"/>
        <v>#N/A</v>
      </c>
      <c r="AQ60" s="403" t="e">
        <f t="shared" si="160"/>
        <v>#N/A</v>
      </c>
      <c r="AR60" s="403" t="e">
        <f t="shared" si="160"/>
        <v>#N/A</v>
      </c>
      <c r="AS60" s="403" t="e">
        <f t="shared" si="160"/>
        <v>#N/A</v>
      </c>
      <c r="AT60" s="403" t="e">
        <f t="shared" si="160"/>
        <v>#N/A</v>
      </c>
      <c r="AU60" s="403" t="e">
        <f t="shared" si="160"/>
        <v>#N/A</v>
      </c>
      <c r="AV60" s="403" t="e">
        <f t="shared" si="160"/>
        <v>#N/A</v>
      </c>
      <c r="AW60" s="403" t="e">
        <f t="shared" si="160"/>
        <v>#N/A</v>
      </c>
    </row>
    <row r="61" spans="2:49" s="357" customFormat="1" ht="14.25" customHeight="1">
      <c r="C61" s="342" t="s">
        <v>426</v>
      </c>
      <c r="D61" s="403" t="e">
        <f>IF(D59&lt;&gt;1,0,D57*D59-1+D60)</f>
        <v>#N/A</v>
      </c>
      <c r="E61" s="403" t="e">
        <f>IF(E59&lt;&gt;1,0,E57*E59-1+E60)</f>
        <v>#N/A</v>
      </c>
      <c r="F61" s="403" t="e">
        <f t="shared" ref="F61:AW61" si="161">IF(F59&lt;&gt;1,0,F57*F59-1+F60)</f>
        <v>#N/A</v>
      </c>
      <c r="G61" s="403" t="e">
        <f>IF(G59&lt;&gt;1,0,G57*G59-1+G60)</f>
        <v>#N/A</v>
      </c>
      <c r="H61" s="403" t="e">
        <f t="shared" si="161"/>
        <v>#N/A</v>
      </c>
      <c r="I61" s="403" t="e">
        <f t="shared" si="161"/>
        <v>#N/A</v>
      </c>
      <c r="J61" s="403" t="e">
        <f t="shared" si="161"/>
        <v>#N/A</v>
      </c>
      <c r="K61" s="403" t="e">
        <f t="shared" si="161"/>
        <v>#N/A</v>
      </c>
      <c r="L61" s="403" t="e">
        <f t="shared" si="161"/>
        <v>#N/A</v>
      </c>
      <c r="M61" s="403" t="e">
        <f t="shared" si="161"/>
        <v>#N/A</v>
      </c>
      <c r="N61" s="403" t="e">
        <f t="shared" si="161"/>
        <v>#N/A</v>
      </c>
      <c r="O61" s="403" t="e">
        <f t="shared" si="161"/>
        <v>#N/A</v>
      </c>
      <c r="P61" s="403" t="e">
        <f t="shared" si="161"/>
        <v>#N/A</v>
      </c>
      <c r="Q61" s="403" t="e">
        <f t="shared" si="161"/>
        <v>#N/A</v>
      </c>
      <c r="R61" s="403" t="e">
        <f t="shared" si="161"/>
        <v>#N/A</v>
      </c>
      <c r="S61" s="403" t="e">
        <f t="shared" si="161"/>
        <v>#N/A</v>
      </c>
      <c r="T61" s="403" t="e">
        <f t="shared" si="161"/>
        <v>#N/A</v>
      </c>
      <c r="U61" s="403" t="e">
        <f t="shared" si="161"/>
        <v>#N/A</v>
      </c>
      <c r="V61" s="403" t="e">
        <f t="shared" si="161"/>
        <v>#N/A</v>
      </c>
      <c r="W61" s="403" t="e">
        <f t="shared" si="161"/>
        <v>#N/A</v>
      </c>
      <c r="X61" s="403" t="e">
        <f t="shared" si="161"/>
        <v>#N/A</v>
      </c>
      <c r="Y61" s="403" t="e">
        <f t="shared" si="161"/>
        <v>#N/A</v>
      </c>
      <c r="Z61" s="403" t="e">
        <f t="shared" si="161"/>
        <v>#N/A</v>
      </c>
      <c r="AA61" s="403" t="e">
        <f t="shared" si="161"/>
        <v>#N/A</v>
      </c>
      <c r="AB61" s="403" t="e">
        <f t="shared" si="161"/>
        <v>#N/A</v>
      </c>
      <c r="AC61" s="403" t="e">
        <f t="shared" si="161"/>
        <v>#N/A</v>
      </c>
      <c r="AD61" s="403" t="e">
        <f t="shared" si="161"/>
        <v>#N/A</v>
      </c>
      <c r="AE61" s="403" t="e">
        <f t="shared" si="161"/>
        <v>#N/A</v>
      </c>
      <c r="AF61" s="403" t="e">
        <f t="shared" si="161"/>
        <v>#N/A</v>
      </c>
      <c r="AG61" s="403" t="e">
        <f t="shared" si="161"/>
        <v>#N/A</v>
      </c>
      <c r="AH61" s="403" t="e">
        <f t="shared" si="161"/>
        <v>#N/A</v>
      </c>
      <c r="AI61" s="403" t="e">
        <f t="shared" si="161"/>
        <v>#N/A</v>
      </c>
      <c r="AJ61" s="403" t="e">
        <f t="shared" si="161"/>
        <v>#N/A</v>
      </c>
      <c r="AK61" s="403" t="e">
        <f t="shared" si="161"/>
        <v>#N/A</v>
      </c>
      <c r="AL61" s="403" t="e">
        <f t="shared" si="161"/>
        <v>#N/A</v>
      </c>
      <c r="AM61" s="403" t="e">
        <f t="shared" si="161"/>
        <v>#N/A</v>
      </c>
      <c r="AN61" s="403" t="e">
        <f t="shared" si="161"/>
        <v>#N/A</v>
      </c>
      <c r="AO61" s="403" t="e">
        <f t="shared" si="161"/>
        <v>#N/A</v>
      </c>
      <c r="AP61" s="403" t="e">
        <f t="shared" si="161"/>
        <v>#N/A</v>
      </c>
      <c r="AQ61" s="403" t="e">
        <f t="shared" si="161"/>
        <v>#N/A</v>
      </c>
      <c r="AR61" s="403" t="e">
        <f t="shared" si="161"/>
        <v>#N/A</v>
      </c>
      <c r="AS61" s="403" t="e">
        <f t="shared" si="161"/>
        <v>#N/A</v>
      </c>
      <c r="AT61" s="403" t="e">
        <f t="shared" si="161"/>
        <v>#N/A</v>
      </c>
      <c r="AU61" s="403" t="e">
        <f t="shared" si="161"/>
        <v>#N/A</v>
      </c>
      <c r="AV61" s="403" t="e">
        <f t="shared" si="161"/>
        <v>#N/A</v>
      </c>
      <c r="AW61" s="403" t="e">
        <f t="shared" si="161"/>
        <v>#N/A</v>
      </c>
    </row>
    <row r="62" spans="2:49" ht="14.25" customHeight="1"/>
    <row r="63" spans="2:49" ht="14.25" customHeight="1" thickBot="1"/>
    <row r="64" spans="2:49" ht="14.25" customHeight="1">
      <c r="C64" s="825" t="s">
        <v>427</v>
      </c>
      <c r="D64" s="826"/>
      <c r="E64" s="827"/>
    </row>
    <row r="65" spans="1:6" ht="14.25" customHeight="1">
      <c r="A65" s="2"/>
      <c r="B65" s="2"/>
      <c r="C65" s="278" t="s">
        <v>494</v>
      </c>
      <c r="D65" s="79"/>
      <c r="E65" s="334">
        <f>'Assumptions &amp; Inputs'!E5</f>
        <v>0</v>
      </c>
      <c r="F65" s="4" t="s">
        <v>429</v>
      </c>
    </row>
    <row r="66" spans="1:6" ht="14.25" customHeight="1">
      <c r="A66" s="2"/>
      <c r="B66" s="2"/>
      <c r="C66" s="278" t="s">
        <v>430</v>
      </c>
      <c r="D66" s="79"/>
      <c r="E66" s="333">
        <f>E65/SUM(E36:E37)</f>
        <v>0</v>
      </c>
    </row>
    <row r="67" spans="1:6" ht="14.25" customHeight="1">
      <c r="A67" s="200"/>
      <c r="B67" s="200"/>
      <c r="C67" s="278" t="s">
        <v>431</v>
      </c>
      <c r="D67" s="79"/>
      <c r="E67" s="334">
        <f>-(-'Assumptions &amp; Inputs'!E64*'Assumptions &amp; Inputs'!$E$63)</f>
        <v>11618.630136986301</v>
      </c>
    </row>
    <row r="68" spans="1:6" ht="14.25" customHeight="1">
      <c r="C68" s="278"/>
      <c r="D68" s="79"/>
      <c r="E68" s="335"/>
    </row>
    <row r="69" spans="1:6" ht="14.25" customHeight="1">
      <c r="C69" s="336" t="s">
        <v>432</v>
      </c>
      <c r="D69" s="83"/>
      <c r="E69" s="337" t="e">
        <f>XNPV('Assumptions &amp; Inputs'!$E$16,D43:AW43,D33:AW33)</f>
        <v>#N/A</v>
      </c>
    </row>
    <row r="70" spans="1:6" ht="14.25" customHeight="1">
      <c r="C70" s="336" t="s">
        <v>433</v>
      </c>
      <c r="D70" s="83"/>
      <c r="E70" s="338" t="str">
        <f>IFERROR(XIRR(D43:AW43,D33:AW33),"n.a.")</f>
        <v>n.a.</v>
      </c>
    </row>
    <row r="71" spans="1:6">
      <c r="A71" s="1"/>
      <c r="B71" s="1"/>
      <c r="C71" s="322" t="s">
        <v>434</v>
      </c>
      <c r="D71" s="84"/>
      <c r="E71" s="340">
        <f>I54</f>
        <v>1.1765781398545483</v>
      </c>
      <c r="F71" s="1"/>
    </row>
    <row r="72" spans="1:6" ht="16" thickBot="1">
      <c r="A72" s="1"/>
      <c r="B72" s="1"/>
      <c r="C72" s="339" t="s">
        <v>435</v>
      </c>
      <c r="D72" s="86"/>
      <c r="E72" s="341" t="e">
        <f>F61</f>
        <v>#N/A</v>
      </c>
      <c r="F72" s="1"/>
    </row>
    <row r="73" spans="1:6" ht="14.25" customHeight="1">
      <c r="A73" s="2"/>
      <c r="B73" s="2"/>
    </row>
    <row r="74" spans="1:6" ht="14.25" customHeight="1"/>
    <row r="75" spans="1:6" ht="14.25" customHeight="1" thickBot="1">
      <c r="A75" t="s">
        <v>351</v>
      </c>
      <c r="C75" s="9" t="s">
        <v>436</v>
      </c>
      <c r="D75" s="9"/>
      <c r="E75" s="10"/>
      <c r="F75" s="10"/>
    </row>
    <row r="76" spans="1:6" ht="14.25" customHeight="1">
      <c r="C76" s="12" t="s">
        <v>353</v>
      </c>
      <c r="D76" s="13"/>
      <c r="E76" s="14"/>
      <c r="F76" s="14"/>
    </row>
    <row r="77" spans="1:6" ht="14.25" customHeight="1" thickBot="1">
      <c r="C77" s="12"/>
      <c r="D77" s="13"/>
      <c r="E77" s="14"/>
      <c r="F77" s="14"/>
    </row>
    <row r="78" spans="1:6" ht="14.25" customHeight="1" thickBot="1">
      <c r="C78" s="812" t="s">
        <v>437</v>
      </c>
      <c r="D78" s="823"/>
      <c r="E78" s="824"/>
      <c r="F78" s="14"/>
    </row>
    <row r="79" spans="1:6" ht="14.25" customHeight="1">
      <c r="C79" s="98" t="s">
        <v>438</v>
      </c>
      <c r="D79" s="13"/>
      <c r="E79" s="99">
        <f>E80*SUM(E65,E67)</f>
        <v>0</v>
      </c>
      <c r="F79" s="14"/>
    </row>
    <row r="80" spans="1:6" ht="14.25" customHeight="1">
      <c r="C80" s="98" t="s">
        <v>439</v>
      </c>
      <c r="D80" s="13"/>
      <c r="E80" s="100">
        <f>'Assumptions &amp; Inputs'!E8</f>
        <v>0</v>
      </c>
      <c r="F80" s="14"/>
    </row>
    <row r="81" spans="3:49" ht="14.25" customHeight="1">
      <c r="C81" s="98" t="s">
        <v>440</v>
      </c>
      <c r="D81" s="13"/>
      <c r="E81" s="95" t="e">
        <f>SUM(E91:AW91)/SUM(E92:AW92)</f>
        <v>#DIV/0!</v>
      </c>
      <c r="F81" s="14"/>
      <c r="G81" s="14"/>
      <c r="H81" s="14"/>
      <c r="I81" s="14"/>
      <c r="J81" s="14"/>
      <c r="K81" s="14"/>
      <c r="L81" s="14"/>
      <c r="M81" s="14"/>
      <c r="N81" s="14"/>
    </row>
    <row r="82" spans="3:49" ht="14.25" customHeight="1">
      <c r="C82" s="98"/>
      <c r="D82" s="13"/>
      <c r="E82" s="95"/>
      <c r="F82" s="14"/>
      <c r="G82" s="14"/>
      <c r="H82" s="14"/>
      <c r="I82" s="14"/>
      <c r="J82" s="14"/>
      <c r="K82" s="14"/>
      <c r="L82" s="14"/>
      <c r="M82" s="14"/>
      <c r="N82" s="14"/>
    </row>
    <row r="83" spans="3:49" ht="14.25" customHeight="1">
      <c r="C83" s="101" t="s">
        <v>441</v>
      </c>
      <c r="D83" s="25"/>
      <c r="E83" s="97">
        <f>XNPV('Assumptions &amp; Inputs'!$E$16,D94:AW94,D90:AW90)</f>
        <v>69654.829630827764</v>
      </c>
      <c r="F83" s="14"/>
      <c r="G83" s="14"/>
      <c r="H83" s="14"/>
      <c r="I83" s="14"/>
      <c r="J83" s="14"/>
      <c r="K83" s="14"/>
      <c r="L83" s="14"/>
      <c r="M83" s="14"/>
      <c r="N83" s="14"/>
    </row>
    <row r="84" spans="3:49" ht="14.25" customHeight="1" thickBot="1">
      <c r="C84" s="26" t="s">
        <v>442</v>
      </c>
      <c r="D84" s="27"/>
      <c r="E84" s="28">
        <f>IFERROR(XIRR(D94:AW94,D90:AW90),"n.a.")</f>
        <v>0.70417388677597059</v>
      </c>
      <c r="F84" s="14"/>
      <c r="G84" s="14"/>
      <c r="H84" s="14"/>
      <c r="I84" s="14"/>
      <c r="J84" s="14"/>
      <c r="K84" s="14"/>
      <c r="L84" s="14"/>
      <c r="M84" s="14"/>
      <c r="N84" s="14"/>
    </row>
    <row r="85" spans="3:49" ht="14.25" customHeight="1">
      <c r="C85" s="12"/>
      <c r="D85" s="13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3:49" ht="14.25" customHeight="1">
      <c r="C86" s="12"/>
      <c r="D86" s="13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3:49" ht="14.25" customHeight="1">
      <c r="D87" s="90">
        <v>0</v>
      </c>
      <c r="E87" s="90">
        <f t="shared" ref="E87:X87" si="162">D87+1</f>
        <v>1</v>
      </c>
      <c r="F87" s="90">
        <f t="shared" si="162"/>
        <v>2</v>
      </c>
      <c r="G87" s="90">
        <f t="shared" si="162"/>
        <v>3</v>
      </c>
      <c r="H87" s="90">
        <f t="shared" si="162"/>
        <v>4</v>
      </c>
      <c r="I87" s="90">
        <f t="shared" si="162"/>
        <v>5</v>
      </c>
      <c r="J87" s="90">
        <f t="shared" si="162"/>
        <v>6</v>
      </c>
      <c r="K87" s="90">
        <f t="shared" si="162"/>
        <v>7</v>
      </c>
      <c r="L87" s="90">
        <f t="shared" si="162"/>
        <v>8</v>
      </c>
      <c r="M87" s="90">
        <f t="shared" si="162"/>
        <v>9</v>
      </c>
      <c r="N87" s="90">
        <f t="shared" si="162"/>
        <v>10</v>
      </c>
      <c r="O87" s="90">
        <f t="shared" si="162"/>
        <v>11</v>
      </c>
      <c r="P87" s="90">
        <f t="shared" si="162"/>
        <v>12</v>
      </c>
      <c r="Q87" s="90">
        <f t="shared" si="162"/>
        <v>13</v>
      </c>
      <c r="R87" s="90">
        <f t="shared" si="162"/>
        <v>14</v>
      </c>
      <c r="S87" s="90">
        <f t="shared" si="162"/>
        <v>15</v>
      </c>
      <c r="T87" s="90">
        <f t="shared" si="162"/>
        <v>16</v>
      </c>
      <c r="U87" s="90">
        <f t="shared" si="162"/>
        <v>17</v>
      </c>
      <c r="V87" s="90">
        <f t="shared" si="162"/>
        <v>18</v>
      </c>
      <c r="W87" s="90">
        <f t="shared" si="162"/>
        <v>19</v>
      </c>
      <c r="X87" s="90">
        <f t="shared" si="162"/>
        <v>20</v>
      </c>
      <c r="Y87" s="90">
        <f t="shared" ref="Y87" si="163">X87+1</f>
        <v>21</v>
      </c>
      <c r="Z87" s="90">
        <f t="shared" ref="Z87" si="164">Y87+1</f>
        <v>22</v>
      </c>
      <c r="AA87" s="90">
        <f t="shared" ref="AA87" si="165">Z87+1</f>
        <v>23</v>
      </c>
      <c r="AB87" s="90">
        <f t="shared" ref="AB87" si="166">AA87+1</f>
        <v>24</v>
      </c>
      <c r="AC87" s="90">
        <f t="shared" ref="AC87" si="167">AB87+1</f>
        <v>25</v>
      </c>
      <c r="AD87" s="90">
        <f t="shared" ref="AD87" si="168">AC87+1</f>
        <v>26</v>
      </c>
      <c r="AE87" s="90">
        <f t="shared" ref="AE87" si="169">AD87+1</f>
        <v>27</v>
      </c>
      <c r="AF87" s="90">
        <f t="shared" ref="AF87" si="170">AE87+1</f>
        <v>28</v>
      </c>
      <c r="AG87" s="90">
        <f t="shared" ref="AG87" si="171">AF87+1</f>
        <v>29</v>
      </c>
      <c r="AH87" s="90">
        <f t="shared" ref="AH87" si="172">AG87+1</f>
        <v>30</v>
      </c>
      <c r="AI87" s="90">
        <f t="shared" ref="AI87" si="173">AH87+1</f>
        <v>31</v>
      </c>
      <c r="AJ87" s="90">
        <f t="shared" ref="AJ87" si="174">AI87+1</f>
        <v>32</v>
      </c>
      <c r="AK87" s="90">
        <f t="shared" ref="AK87" si="175">AJ87+1</f>
        <v>33</v>
      </c>
      <c r="AL87" s="90">
        <f t="shared" ref="AL87" si="176">AK87+1</f>
        <v>34</v>
      </c>
      <c r="AM87" s="90">
        <f t="shared" ref="AM87" si="177">AL87+1</f>
        <v>35</v>
      </c>
      <c r="AN87" s="90">
        <f t="shared" ref="AN87" si="178">AM87+1</f>
        <v>36</v>
      </c>
      <c r="AO87" s="90">
        <f t="shared" ref="AO87" si="179">AN87+1</f>
        <v>37</v>
      </c>
      <c r="AP87" s="90">
        <f t="shared" ref="AP87" si="180">AO87+1</f>
        <v>38</v>
      </c>
      <c r="AQ87" s="90">
        <f t="shared" ref="AQ87" si="181">AP87+1</f>
        <v>39</v>
      </c>
      <c r="AR87" s="90">
        <f t="shared" ref="AR87" si="182">AQ87+1</f>
        <v>40</v>
      </c>
      <c r="AS87" s="90">
        <f t="shared" ref="AS87" si="183">AR87+1</f>
        <v>41</v>
      </c>
      <c r="AT87" s="90">
        <f t="shared" ref="AT87" si="184">AS87+1</f>
        <v>42</v>
      </c>
      <c r="AU87" s="90">
        <f t="shared" ref="AU87" si="185">AT87+1</f>
        <v>43</v>
      </c>
      <c r="AV87" s="90">
        <f t="shared" ref="AV87" si="186">AU87+1</f>
        <v>44</v>
      </c>
      <c r="AW87" s="90">
        <f t="shared" ref="AW87" si="187">AV87+1</f>
        <v>45</v>
      </c>
    </row>
    <row r="88" spans="3:49" ht="14.25" customHeight="1">
      <c r="C88" s="2"/>
      <c r="D88" s="2"/>
      <c r="E88" s="806" t="s">
        <v>354</v>
      </c>
      <c r="F88" s="819"/>
      <c r="G88" s="819"/>
      <c r="H88" s="819"/>
      <c r="I88" s="819"/>
      <c r="J88" s="819"/>
      <c r="K88" s="819"/>
      <c r="L88" s="819"/>
      <c r="M88" s="819"/>
      <c r="N88" s="819"/>
      <c r="O88" s="819"/>
      <c r="P88" s="819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</row>
    <row r="89" spans="3:49" ht="14.25" customHeight="1">
      <c r="C89" s="2"/>
      <c r="D89" s="3">
        <v>2025</v>
      </c>
      <c r="E89" s="91">
        <f t="shared" ref="E89:X89" si="188">D89+1</f>
        <v>2026</v>
      </c>
      <c r="F89" s="91">
        <f t="shared" si="188"/>
        <v>2027</v>
      </c>
      <c r="G89" s="91">
        <f t="shared" si="188"/>
        <v>2028</v>
      </c>
      <c r="H89" s="91">
        <f t="shared" si="188"/>
        <v>2029</v>
      </c>
      <c r="I89" s="91">
        <f t="shared" si="188"/>
        <v>2030</v>
      </c>
      <c r="J89" s="91">
        <f t="shared" si="188"/>
        <v>2031</v>
      </c>
      <c r="K89" s="91">
        <f t="shared" si="188"/>
        <v>2032</v>
      </c>
      <c r="L89" s="91">
        <f t="shared" si="188"/>
        <v>2033</v>
      </c>
      <c r="M89" s="91">
        <f t="shared" si="188"/>
        <v>2034</v>
      </c>
      <c r="N89" s="91">
        <f t="shared" si="188"/>
        <v>2035</v>
      </c>
      <c r="O89" s="91">
        <f t="shared" si="188"/>
        <v>2036</v>
      </c>
      <c r="P89" s="91">
        <f t="shared" si="188"/>
        <v>2037</v>
      </c>
      <c r="Q89" s="91">
        <f t="shared" si="188"/>
        <v>2038</v>
      </c>
      <c r="R89" s="91">
        <f t="shared" si="188"/>
        <v>2039</v>
      </c>
      <c r="S89" s="91">
        <f t="shared" si="188"/>
        <v>2040</v>
      </c>
      <c r="T89" s="91">
        <f t="shared" si="188"/>
        <v>2041</v>
      </c>
      <c r="U89" s="91">
        <f t="shared" si="188"/>
        <v>2042</v>
      </c>
      <c r="V89" s="91">
        <f t="shared" si="188"/>
        <v>2043</v>
      </c>
      <c r="W89" s="91">
        <f t="shared" si="188"/>
        <v>2044</v>
      </c>
      <c r="X89" s="91">
        <f t="shared" si="188"/>
        <v>2045</v>
      </c>
      <c r="Y89" s="91">
        <f t="shared" ref="Y89" si="189">X89+1</f>
        <v>2046</v>
      </c>
      <c r="Z89" s="91">
        <f t="shared" ref="Z89" si="190">Y89+1</f>
        <v>2047</v>
      </c>
      <c r="AA89" s="91">
        <f t="shared" ref="AA89" si="191">Z89+1</f>
        <v>2048</v>
      </c>
      <c r="AB89" s="91">
        <f t="shared" ref="AB89" si="192">AA89+1</f>
        <v>2049</v>
      </c>
      <c r="AC89" s="91">
        <f t="shared" ref="AC89" si="193">AB89+1</f>
        <v>2050</v>
      </c>
      <c r="AD89" s="91">
        <f t="shared" ref="AD89" si="194">AC89+1</f>
        <v>2051</v>
      </c>
      <c r="AE89" s="91">
        <f t="shared" ref="AE89" si="195">AD89+1</f>
        <v>2052</v>
      </c>
      <c r="AF89" s="91">
        <f t="shared" ref="AF89" si="196">AE89+1</f>
        <v>2053</v>
      </c>
      <c r="AG89" s="91">
        <f t="shared" ref="AG89" si="197">AF89+1</f>
        <v>2054</v>
      </c>
      <c r="AH89" s="91">
        <f t="shared" ref="AH89" si="198">AG89+1</f>
        <v>2055</v>
      </c>
      <c r="AI89" s="91">
        <f t="shared" ref="AI89" si="199">AH89+1</f>
        <v>2056</v>
      </c>
      <c r="AJ89" s="91">
        <f t="shared" ref="AJ89" si="200">AI89+1</f>
        <v>2057</v>
      </c>
      <c r="AK89" s="91">
        <f t="shared" ref="AK89" si="201">AJ89+1</f>
        <v>2058</v>
      </c>
      <c r="AL89" s="91">
        <f t="shared" ref="AL89" si="202">AK89+1</f>
        <v>2059</v>
      </c>
      <c r="AM89" s="91">
        <f t="shared" ref="AM89" si="203">AL89+1</f>
        <v>2060</v>
      </c>
      <c r="AN89" s="91">
        <f t="shared" ref="AN89" si="204">AM89+1</f>
        <v>2061</v>
      </c>
      <c r="AO89" s="91">
        <f t="shared" ref="AO89" si="205">AN89+1</f>
        <v>2062</v>
      </c>
      <c r="AP89" s="91">
        <f t="shared" ref="AP89" si="206">AO89+1</f>
        <v>2063</v>
      </c>
      <c r="AQ89" s="91">
        <f t="shared" ref="AQ89" si="207">AP89+1</f>
        <v>2064</v>
      </c>
      <c r="AR89" s="91">
        <f t="shared" ref="AR89" si="208">AQ89+1</f>
        <v>2065</v>
      </c>
      <c r="AS89" s="91">
        <f t="shared" ref="AS89" si="209">AR89+1</f>
        <v>2066</v>
      </c>
      <c r="AT89" s="91">
        <f t="shared" ref="AT89" si="210">AS89+1</f>
        <v>2067</v>
      </c>
      <c r="AU89" s="91">
        <f t="shared" ref="AU89" si="211">AT89+1</f>
        <v>2068</v>
      </c>
      <c r="AV89" s="91">
        <f t="shared" ref="AV89" si="212">AU89+1</f>
        <v>2069</v>
      </c>
      <c r="AW89" s="91">
        <f t="shared" ref="AW89" si="213">AV89+1</f>
        <v>2070</v>
      </c>
    </row>
    <row r="90" spans="3:49" ht="14.25" customHeight="1">
      <c r="C90" s="92"/>
      <c r="D90" s="93">
        <f>D33</f>
        <v>46023</v>
      </c>
      <c r="E90" s="93">
        <v>46387</v>
      </c>
      <c r="F90" s="93">
        <f t="shared" ref="F90:X90" si="214">EDATE(E90,12)</f>
        <v>46752</v>
      </c>
      <c r="G90" s="93">
        <f t="shared" si="214"/>
        <v>47118</v>
      </c>
      <c r="H90" s="93">
        <f t="shared" si="214"/>
        <v>47483</v>
      </c>
      <c r="I90" s="93">
        <f t="shared" si="214"/>
        <v>47848</v>
      </c>
      <c r="J90" s="93">
        <f t="shared" si="214"/>
        <v>48213</v>
      </c>
      <c r="K90" s="93">
        <f t="shared" si="214"/>
        <v>48579</v>
      </c>
      <c r="L90" s="93">
        <f t="shared" si="214"/>
        <v>48944</v>
      </c>
      <c r="M90" s="93">
        <f t="shared" si="214"/>
        <v>49309</v>
      </c>
      <c r="N90" s="93">
        <f t="shared" si="214"/>
        <v>49674</v>
      </c>
      <c r="O90" s="93">
        <f t="shared" si="214"/>
        <v>50040</v>
      </c>
      <c r="P90" s="93">
        <f t="shared" si="214"/>
        <v>50405</v>
      </c>
      <c r="Q90" s="93">
        <f t="shared" si="214"/>
        <v>50770</v>
      </c>
      <c r="R90" s="93">
        <f t="shared" si="214"/>
        <v>51135</v>
      </c>
      <c r="S90" s="93">
        <f t="shared" si="214"/>
        <v>51501</v>
      </c>
      <c r="T90" s="93">
        <f t="shared" si="214"/>
        <v>51866</v>
      </c>
      <c r="U90" s="93">
        <f t="shared" si="214"/>
        <v>52231</v>
      </c>
      <c r="V90" s="93">
        <f t="shared" si="214"/>
        <v>52596</v>
      </c>
      <c r="W90" s="93">
        <f t="shared" si="214"/>
        <v>52962</v>
      </c>
      <c r="X90" s="93">
        <f t="shared" si="214"/>
        <v>53327</v>
      </c>
      <c r="Y90" s="93">
        <f t="shared" ref="Y90" si="215">EDATE(X90,12)</f>
        <v>53692</v>
      </c>
      <c r="Z90" s="93">
        <f t="shared" ref="Z90" si="216">EDATE(Y90,12)</f>
        <v>54057</v>
      </c>
      <c r="AA90" s="93">
        <f t="shared" ref="AA90" si="217">EDATE(Z90,12)</f>
        <v>54423</v>
      </c>
      <c r="AB90" s="93">
        <f t="shared" ref="AB90" si="218">EDATE(AA90,12)</f>
        <v>54788</v>
      </c>
      <c r="AC90" s="93">
        <f t="shared" ref="AC90" si="219">EDATE(AB90,12)</f>
        <v>55153</v>
      </c>
      <c r="AD90" s="93">
        <f t="shared" ref="AD90" si="220">EDATE(AC90,12)</f>
        <v>55518</v>
      </c>
      <c r="AE90" s="93">
        <f t="shared" ref="AE90" si="221">EDATE(AD90,12)</f>
        <v>55884</v>
      </c>
      <c r="AF90" s="93">
        <f t="shared" ref="AF90" si="222">EDATE(AE90,12)</f>
        <v>56249</v>
      </c>
      <c r="AG90" s="93">
        <f t="shared" ref="AG90" si="223">EDATE(AF90,12)</f>
        <v>56614</v>
      </c>
      <c r="AH90" s="93">
        <f t="shared" ref="AH90" si="224">EDATE(AG90,12)</f>
        <v>56979</v>
      </c>
      <c r="AI90" s="93">
        <f t="shared" ref="AI90" si="225">EDATE(AH90,12)</f>
        <v>57345</v>
      </c>
      <c r="AJ90" s="93">
        <f t="shared" ref="AJ90" si="226">EDATE(AI90,12)</f>
        <v>57710</v>
      </c>
      <c r="AK90" s="93">
        <f t="shared" ref="AK90" si="227">EDATE(AJ90,12)</f>
        <v>58075</v>
      </c>
      <c r="AL90" s="93">
        <f t="shared" ref="AL90" si="228">EDATE(AK90,12)</f>
        <v>58440</v>
      </c>
      <c r="AM90" s="93">
        <f t="shared" ref="AM90" si="229">EDATE(AL90,12)</f>
        <v>58806</v>
      </c>
      <c r="AN90" s="93">
        <f t="shared" ref="AN90" si="230">EDATE(AM90,12)</f>
        <v>59171</v>
      </c>
      <c r="AO90" s="93">
        <f t="shared" ref="AO90" si="231">EDATE(AN90,12)</f>
        <v>59536</v>
      </c>
      <c r="AP90" s="93">
        <f t="shared" ref="AP90" si="232">EDATE(AO90,12)</f>
        <v>59901</v>
      </c>
      <c r="AQ90" s="93">
        <f t="shared" ref="AQ90" si="233">EDATE(AP90,12)</f>
        <v>60267</v>
      </c>
      <c r="AR90" s="93">
        <f t="shared" ref="AR90" si="234">EDATE(AQ90,12)</f>
        <v>60632</v>
      </c>
      <c r="AS90" s="93">
        <f t="shared" ref="AS90" si="235">EDATE(AR90,12)</f>
        <v>60997</v>
      </c>
      <c r="AT90" s="93">
        <f t="shared" ref="AT90" si="236">EDATE(AS90,12)</f>
        <v>61362</v>
      </c>
      <c r="AU90" s="93">
        <f t="shared" ref="AU90" si="237">EDATE(AT90,12)</f>
        <v>61728</v>
      </c>
      <c r="AV90" s="93">
        <f t="shared" ref="AV90" si="238">EDATE(AU90,12)</f>
        <v>62093</v>
      </c>
      <c r="AW90" s="93">
        <f t="shared" ref="AW90" si="239">EDATE(AV90,12)</f>
        <v>62458</v>
      </c>
    </row>
    <row r="91" spans="3:49" ht="14.25" customHeight="1">
      <c r="C91" s="1" t="s">
        <v>443</v>
      </c>
      <c r="D91" s="15" t="e">
        <f>D40</f>
        <v>#N/A</v>
      </c>
      <c r="E91" s="15">
        <f>E40</f>
        <v>6558.3913906849302</v>
      </c>
      <c r="F91" s="15">
        <f t="shared" ref="F91:X91" si="240">F40</f>
        <v>9087.7516025424648</v>
      </c>
      <c r="G91" s="15">
        <f t="shared" si="240"/>
        <v>9248.3433764817546</v>
      </c>
      <c r="H91" s="15">
        <f t="shared" si="240"/>
        <v>9412.1743500742887</v>
      </c>
      <c r="I91" s="15">
        <f t="shared" si="240"/>
        <v>9579.3101282383686</v>
      </c>
      <c r="J91" s="15">
        <f t="shared" si="240"/>
        <v>9749.8176526184179</v>
      </c>
      <c r="K91" s="15">
        <f t="shared" si="240"/>
        <v>9923.7652290583355</v>
      </c>
      <c r="L91" s="15">
        <f t="shared" si="240"/>
        <v>10101.22255564648</v>
      </c>
      <c r="M91" s="15">
        <f t="shared" si="240"/>
        <v>10282.260751344411</v>
      </c>
      <c r="N91" s="15">
        <f t="shared" si="240"/>
        <v>10466.952385211656</v>
      </c>
      <c r="O91" s="15">
        <f t="shared" si="240"/>
        <v>9551.6016432255692</v>
      </c>
      <c r="P91" s="15">
        <f t="shared" si="240"/>
        <v>9743.8238107912402</v>
      </c>
      <c r="Q91" s="15">
        <f t="shared" si="240"/>
        <v>9939.9261257492635</v>
      </c>
      <c r="R91" s="15">
        <f t="shared" si="240"/>
        <v>10139.987262168708</v>
      </c>
      <c r="S91" s="15">
        <f t="shared" si="240"/>
        <v>10344.08749973368</v>
      </c>
      <c r="T91" s="15">
        <f t="shared" si="240"/>
        <v>10552.308756819593</v>
      </c>
      <c r="U91" s="15">
        <f t="shared" si="240"/>
        <v>10764.734624259967</v>
      </c>
      <c r="V91" s="15">
        <f t="shared" si="240"/>
        <v>10981.450399818266</v>
      </c>
      <c r="W91" s="15">
        <f t="shared" si="240"/>
        <v>11202.543123379923</v>
      </c>
      <c r="X91" s="15">
        <f t="shared" si="240"/>
        <v>11428.101612879773</v>
      </c>
      <c r="Y91" s="15">
        <f t="shared" ref="Y91:AW91" si="241">Y40</f>
        <v>11658.216500980589</v>
      </c>
      <c r="Z91" s="15">
        <f t="shared" si="241"/>
        <v>11892.980272518715</v>
      </c>
      <c r="AA91" s="15">
        <f t="shared" si="241"/>
        <v>12132.48730273316</v>
      </c>
      <c r="AB91" s="15">
        <f t="shared" si="241"/>
        <v>12376.833896294818</v>
      </c>
      <c r="AC91" s="15">
        <f t="shared" si="241"/>
        <v>12626.118327152919</v>
      </c>
      <c r="AD91" s="15">
        <f t="shared" si="241"/>
        <v>12880.440879216141</v>
      </c>
      <c r="AE91" s="15">
        <f t="shared" si="241"/>
        <v>13139.903887886243</v>
      </c>
      <c r="AF91" s="15">
        <f t="shared" si="241"/>
        <v>13404.611782462312</v>
      </c>
      <c r="AG91" s="15">
        <f t="shared" si="241"/>
        <v>13674.671129434459</v>
      </c>
      <c r="AH91" s="15">
        <f t="shared" si="241"/>
        <v>13950.19067668573</v>
      </c>
      <c r="AI91" s="15">
        <f t="shared" si="241"/>
        <v>14231.281398621908</v>
      </c>
      <c r="AJ91" s="15">
        <f t="shared" si="241"/>
        <v>14518.05654224888</v>
      </c>
      <c r="AK91" s="15">
        <f t="shared" si="241"/>
        <v>14810.631674218035</v>
      </c>
      <c r="AL91" s="15">
        <f t="shared" si="241"/>
        <v>15109.124728860294</v>
      </c>
      <c r="AM91" s="15">
        <f t="shared" si="241"/>
        <v>15413.656057230131</v>
      </c>
      <c r="AN91" s="15">
        <f t="shared" si="241"/>
        <v>15724.348477181145</v>
      </c>
      <c r="AO91" s="15">
        <f t="shared" si="241"/>
        <v>16041.327324495374</v>
      </c>
      <c r="AP91" s="15">
        <f t="shared" si="241"/>
        <v>16364.720505089008</v>
      </c>
      <c r="AQ91" s="15">
        <f t="shared" si="241"/>
        <v>16694.658548317624</v>
      </c>
      <c r="AR91" s="15">
        <f t="shared" si="241"/>
        <v>17031.274661404612</v>
      </c>
      <c r="AS91" s="15">
        <f t="shared" si="241"/>
        <v>17374.704785016969</v>
      </c>
      <c r="AT91" s="15">
        <f t="shared" si="241"/>
        <v>17725.087650013094</v>
      </c>
      <c r="AU91" s="15">
        <f t="shared" si="241"/>
        <v>18082.564835388021</v>
      </c>
      <c r="AV91" s="15">
        <f t="shared" si="241"/>
        <v>18447.280827441678</v>
      </c>
      <c r="AW91" s="15">
        <f t="shared" si="241"/>
        <v>18819.383080196796</v>
      </c>
    </row>
    <row r="92" spans="3:49" ht="14.25" customHeight="1">
      <c r="C92" s="1" t="s">
        <v>444</v>
      </c>
      <c r="D92" s="8"/>
      <c r="E92" s="15">
        <f t="shared" ref="E92:X92" si="242">E103</f>
        <v>0</v>
      </c>
      <c r="F92" s="15">
        <f t="shared" si="242"/>
        <v>0</v>
      </c>
      <c r="G92" s="15">
        <f t="shared" si="242"/>
        <v>0</v>
      </c>
      <c r="H92" s="15">
        <f t="shared" si="242"/>
        <v>0</v>
      </c>
      <c r="I92" s="15">
        <f t="shared" si="242"/>
        <v>0</v>
      </c>
      <c r="J92" s="15">
        <f t="shared" si="242"/>
        <v>0</v>
      </c>
      <c r="K92" s="15">
        <f t="shared" si="242"/>
        <v>0</v>
      </c>
      <c r="L92" s="15">
        <f t="shared" si="242"/>
        <v>0</v>
      </c>
      <c r="M92" s="15">
        <f t="shared" si="242"/>
        <v>0</v>
      </c>
      <c r="N92" s="15">
        <f t="shared" si="242"/>
        <v>0</v>
      </c>
      <c r="O92" s="15">
        <f t="shared" si="242"/>
        <v>0</v>
      </c>
      <c r="P92" s="15">
        <f t="shared" si="242"/>
        <v>0</v>
      </c>
      <c r="Q92" s="15">
        <f t="shared" si="242"/>
        <v>0</v>
      </c>
      <c r="R92" s="15">
        <f t="shared" si="242"/>
        <v>0</v>
      </c>
      <c r="S92" s="15">
        <f t="shared" si="242"/>
        <v>0</v>
      </c>
      <c r="T92" s="15">
        <f t="shared" si="242"/>
        <v>0</v>
      </c>
      <c r="U92" s="15">
        <f t="shared" si="242"/>
        <v>0</v>
      </c>
      <c r="V92" s="15">
        <f t="shared" si="242"/>
        <v>0</v>
      </c>
      <c r="W92" s="15">
        <f t="shared" si="242"/>
        <v>0</v>
      </c>
      <c r="X92" s="15">
        <f t="shared" si="242"/>
        <v>0</v>
      </c>
      <c r="Y92" s="15">
        <f t="shared" ref="Y92:AW92" si="243">Y103</f>
        <v>0</v>
      </c>
      <c r="Z92" s="15">
        <f t="shared" si="243"/>
        <v>0</v>
      </c>
      <c r="AA92" s="15">
        <f t="shared" si="243"/>
        <v>0</v>
      </c>
      <c r="AB92" s="15">
        <f t="shared" si="243"/>
        <v>0</v>
      </c>
      <c r="AC92" s="15">
        <f t="shared" si="243"/>
        <v>0</v>
      </c>
      <c r="AD92" s="15">
        <f t="shared" si="243"/>
        <v>0</v>
      </c>
      <c r="AE92" s="15">
        <f t="shared" si="243"/>
        <v>0</v>
      </c>
      <c r="AF92" s="15">
        <f t="shared" si="243"/>
        <v>0</v>
      </c>
      <c r="AG92" s="15">
        <f t="shared" si="243"/>
        <v>0</v>
      </c>
      <c r="AH92" s="15">
        <f t="shared" si="243"/>
        <v>0</v>
      </c>
      <c r="AI92" s="15">
        <f t="shared" si="243"/>
        <v>0</v>
      </c>
      <c r="AJ92" s="15">
        <f t="shared" si="243"/>
        <v>0</v>
      </c>
      <c r="AK92" s="15">
        <f t="shared" si="243"/>
        <v>0</v>
      </c>
      <c r="AL92" s="15">
        <f t="shared" si="243"/>
        <v>0</v>
      </c>
      <c r="AM92" s="15">
        <f t="shared" si="243"/>
        <v>0</v>
      </c>
      <c r="AN92" s="15">
        <f t="shared" si="243"/>
        <v>0</v>
      </c>
      <c r="AO92" s="15">
        <f t="shared" si="243"/>
        <v>0</v>
      </c>
      <c r="AP92" s="15">
        <f t="shared" si="243"/>
        <v>0</v>
      </c>
      <c r="AQ92" s="15">
        <f t="shared" si="243"/>
        <v>0</v>
      </c>
      <c r="AR92" s="15">
        <f t="shared" si="243"/>
        <v>0</v>
      </c>
      <c r="AS92" s="15">
        <f t="shared" si="243"/>
        <v>0</v>
      </c>
      <c r="AT92" s="15">
        <f t="shared" si="243"/>
        <v>0</v>
      </c>
      <c r="AU92" s="15">
        <f t="shared" si="243"/>
        <v>0</v>
      </c>
      <c r="AV92" s="15">
        <f t="shared" si="243"/>
        <v>0</v>
      </c>
      <c r="AW92" s="15">
        <f t="shared" si="243"/>
        <v>0</v>
      </c>
    </row>
    <row r="93" spans="3:49" ht="14.25" customHeight="1">
      <c r="C93" s="1" t="s">
        <v>445</v>
      </c>
      <c r="E93" s="29">
        <f t="shared" ref="E93:AW93" si="244">IFERROR(E91/E92,0)</f>
        <v>0</v>
      </c>
      <c r="F93" s="29">
        <f t="shared" si="244"/>
        <v>0</v>
      </c>
      <c r="G93" s="29">
        <f t="shared" si="244"/>
        <v>0</v>
      </c>
      <c r="H93" s="29">
        <f t="shared" si="244"/>
        <v>0</v>
      </c>
      <c r="I93" s="29">
        <f t="shared" si="244"/>
        <v>0</v>
      </c>
      <c r="J93" s="29">
        <f t="shared" si="244"/>
        <v>0</v>
      </c>
      <c r="K93" s="29">
        <f t="shared" si="244"/>
        <v>0</v>
      </c>
      <c r="L93" s="29">
        <f t="shared" si="244"/>
        <v>0</v>
      </c>
      <c r="M93" s="29">
        <f t="shared" si="244"/>
        <v>0</v>
      </c>
      <c r="N93" s="29">
        <f t="shared" si="244"/>
        <v>0</v>
      </c>
      <c r="O93" s="29">
        <f t="shared" si="244"/>
        <v>0</v>
      </c>
      <c r="P93" s="29">
        <f t="shared" si="244"/>
        <v>0</v>
      </c>
      <c r="Q93" s="29">
        <f t="shared" si="244"/>
        <v>0</v>
      </c>
      <c r="R93" s="29">
        <f t="shared" si="244"/>
        <v>0</v>
      </c>
      <c r="S93" s="29">
        <f t="shared" si="244"/>
        <v>0</v>
      </c>
      <c r="T93" s="29">
        <f t="shared" si="244"/>
        <v>0</v>
      </c>
      <c r="U93" s="29">
        <f t="shared" si="244"/>
        <v>0</v>
      </c>
      <c r="V93" s="29">
        <f t="shared" si="244"/>
        <v>0</v>
      </c>
      <c r="W93" s="29">
        <f t="shared" si="244"/>
        <v>0</v>
      </c>
      <c r="X93" s="29">
        <f t="shared" si="244"/>
        <v>0</v>
      </c>
      <c r="Y93" s="29">
        <f t="shared" si="244"/>
        <v>0</v>
      </c>
      <c r="Z93" s="29">
        <f t="shared" si="244"/>
        <v>0</v>
      </c>
      <c r="AA93" s="29">
        <f t="shared" si="244"/>
        <v>0</v>
      </c>
      <c r="AB93" s="29">
        <f t="shared" si="244"/>
        <v>0</v>
      </c>
      <c r="AC93" s="29">
        <f t="shared" si="244"/>
        <v>0</v>
      </c>
      <c r="AD93" s="29">
        <f t="shared" si="244"/>
        <v>0</v>
      </c>
      <c r="AE93" s="29">
        <f t="shared" si="244"/>
        <v>0</v>
      </c>
      <c r="AF93" s="29">
        <f t="shared" si="244"/>
        <v>0</v>
      </c>
      <c r="AG93" s="29">
        <f t="shared" si="244"/>
        <v>0</v>
      </c>
      <c r="AH93" s="29">
        <f t="shared" si="244"/>
        <v>0</v>
      </c>
      <c r="AI93" s="29">
        <f t="shared" si="244"/>
        <v>0</v>
      </c>
      <c r="AJ93" s="29">
        <f t="shared" si="244"/>
        <v>0</v>
      </c>
      <c r="AK93" s="29">
        <f t="shared" si="244"/>
        <v>0</v>
      </c>
      <c r="AL93" s="29">
        <f t="shared" si="244"/>
        <v>0</v>
      </c>
      <c r="AM93" s="29">
        <f t="shared" si="244"/>
        <v>0</v>
      </c>
      <c r="AN93" s="29">
        <f t="shared" si="244"/>
        <v>0</v>
      </c>
      <c r="AO93" s="29">
        <f t="shared" si="244"/>
        <v>0</v>
      </c>
      <c r="AP93" s="29">
        <f t="shared" si="244"/>
        <v>0</v>
      </c>
      <c r="AQ93" s="29">
        <f t="shared" si="244"/>
        <v>0</v>
      </c>
      <c r="AR93" s="29">
        <f t="shared" si="244"/>
        <v>0</v>
      </c>
      <c r="AS93" s="29">
        <f t="shared" si="244"/>
        <v>0</v>
      </c>
      <c r="AT93" s="29">
        <f t="shared" si="244"/>
        <v>0</v>
      </c>
      <c r="AU93" s="29">
        <f t="shared" si="244"/>
        <v>0</v>
      </c>
      <c r="AV93" s="29">
        <f t="shared" si="244"/>
        <v>0</v>
      </c>
      <c r="AW93" s="29">
        <f t="shared" si="244"/>
        <v>0</v>
      </c>
    </row>
    <row r="94" spans="3:49" ht="14.25" customHeight="1">
      <c r="C94" s="2" t="s">
        <v>446</v>
      </c>
      <c r="D94" s="30">
        <f>-'Assumptions &amp; Inputs'!$E$7*SUM(E65,E67)</f>
        <v>-11618.630136986301</v>
      </c>
      <c r="E94" s="31">
        <f>SUM(E91,-E92)</f>
        <v>6558.3913906849302</v>
      </c>
      <c r="F94" s="31">
        <f t="shared" ref="F94:X94" si="245">SUM(F91,-F92)</f>
        <v>9087.7516025424648</v>
      </c>
      <c r="G94" s="31">
        <f t="shared" si="245"/>
        <v>9248.3433764817546</v>
      </c>
      <c r="H94" s="31">
        <f t="shared" si="245"/>
        <v>9412.1743500742887</v>
      </c>
      <c r="I94" s="31">
        <f t="shared" si="245"/>
        <v>9579.3101282383686</v>
      </c>
      <c r="J94" s="31">
        <f t="shared" si="245"/>
        <v>9749.8176526184179</v>
      </c>
      <c r="K94" s="31">
        <f t="shared" si="245"/>
        <v>9923.7652290583355</v>
      </c>
      <c r="L94" s="31">
        <f t="shared" si="245"/>
        <v>10101.22255564648</v>
      </c>
      <c r="M94" s="31">
        <f t="shared" si="245"/>
        <v>10282.260751344411</v>
      </c>
      <c r="N94" s="31">
        <f t="shared" si="245"/>
        <v>10466.952385211656</v>
      </c>
      <c r="O94" s="31">
        <f t="shared" si="245"/>
        <v>9551.6016432255692</v>
      </c>
      <c r="P94" s="31">
        <f t="shared" si="245"/>
        <v>9743.8238107912402</v>
      </c>
      <c r="Q94" s="31">
        <f t="shared" si="245"/>
        <v>9939.9261257492635</v>
      </c>
      <c r="R94" s="31">
        <f t="shared" si="245"/>
        <v>10139.987262168708</v>
      </c>
      <c r="S94" s="31">
        <f t="shared" si="245"/>
        <v>10344.08749973368</v>
      </c>
      <c r="T94" s="31">
        <f t="shared" si="245"/>
        <v>10552.308756819593</v>
      </c>
      <c r="U94" s="31">
        <f t="shared" si="245"/>
        <v>10764.734624259967</v>
      </c>
      <c r="V94" s="31">
        <f t="shared" si="245"/>
        <v>10981.450399818266</v>
      </c>
      <c r="W94" s="31">
        <f t="shared" si="245"/>
        <v>11202.543123379923</v>
      </c>
      <c r="X94" s="31">
        <f t="shared" si="245"/>
        <v>11428.101612879773</v>
      </c>
      <c r="Y94" s="31">
        <f t="shared" ref="Y94:AW94" si="246">SUM(Y91,-Y92)</f>
        <v>11658.216500980589</v>
      </c>
      <c r="Z94" s="31">
        <f t="shared" si="246"/>
        <v>11892.980272518715</v>
      </c>
      <c r="AA94" s="31">
        <f t="shared" si="246"/>
        <v>12132.48730273316</v>
      </c>
      <c r="AB94" s="31">
        <f t="shared" si="246"/>
        <v>12376.833896294818</v>
      </c>
      <c r="AC94" s="31">
        <f t="shared" si="246"/>
        <v>12626.118327152919</v>
      </c>
      <c r="AD94" s="31">
        <f t="shared" si="246"/>
        <v>12880.440879216141</v>
      </c>
      <c r="AE94" s="31">
        <f t="shared" si="246"/>
        <v>13139.903887886243</v>
      </c>
      <c r="AF94" s="31">
        <f t="shared" si="246"/>
        <v>13404.611782462312</v>
      </c>
      <c r="AG94" s="31">
        <f t="shared" si="246"/>
        <v>13674.671129434459</v>
      </c>
      <c r="AH94" s="31">
        <f t="shared" si="246"/>
        <v>13950.19067668573</v>
      </c>
      <c r="AI94" s="31">
        <f t="shared" si="246"/>
        <v>14231.281398621908</v>
      </c>
      <c r="AJ94" s="31">
        <f t="shared" si="246"/>
        <v>14518.05654224888</v>
      </c>
      <c r="AK94" s="31">
        <f t="shared" si="246"/>
        <v>14810.631674218035</v>
      </c>
      <c r="AL94" s="31">
        <f t="shared" si="246"/>
        <v>15109.124728860294</v>
      </c>
      <c r="AM94" s="31">
        <f t="shared" si="246"/>
        <v>15413.656057230131</v>
      </c>
      <c r="AN94" s="31">
        <f t="shared" si="246"/>
        <v>15724.348477181145</v>
      </c>
      <c r="AO94" s="31">
        <f t="shared" si="246"/>
        <v>16041.327324495374</v>
      </c>
      <c r="AP94" s="31">
        <f t="shared" si="246"/>
        <v>16364.720505089008</v>
      </c>
      <c r="AQ94" s="31">
        <f t="shared" si="246"/>
        <v>16694.658548317624</v>
      </c>
      <c r="AR94" s="31">
        <f t="shared" si="246"/>
        <v>17031.274661404612</v>
      </c>
      <c r="AS94" s="31">
        <f t="shared" si="246"/>
        <v>17374.704785016969</v>
      </c>
      <c r="AT94" s="31">
        <f t="shared" si="246"/>
        <v>17725.087650013094</v>
      </c>
      <c r="AU94" s="31">
        <f t="shared" si="246"/>
        <v>18082.564835388021</v>
      </c>
      <c r="AV94" s="31">
        <f t="shared" si="246"/>
        <v>18447.280827441678</v>
      </c>
      <c r="AW94" s="31">
        <f t="shared" si="246"/>
        <v>18819.383080196796</v>
      </c>
    </row>
    <row r="95" spans="3:49" ht="14.25" customHeight="1"/>
    <row r="96" spans="3:49" ht="14.25" customHeight="1">
      <c r="C96" s="1" t="s">
        <v>447</v>
      </c>
      <c r="D96" s="90">
        <v>0</v>
      </c>
      <c r="E96" s="90">
        <f t="shared" ref="E96:X96" si="247">D96+1</f>
        <v>1</v>
      </c>
      <c r="F96" s="90">
        <f t="shared" si="247"/>
        <v>2</v>
      </c>
      <c r="G96" s="90">
        <f t="shared" si="247"/>
        <v>3</v>
      </c>
      <c r="H96" s="90">
        <f t="shared" si="247"/>
        <v>4</v>
      </c>
      <c r="I96" s="90">
        <f t="shared" si="247"/>
        <v>5</v>
      </c>
      <c r="J96" s="90">
        <f t="shared" si="247"/>
        <v>6</v>
      </c>
      <c r="K96" s="90">
        <f t="shared" si="247"/>
        <v>7</v>
      </c>
      <c r="L96" s="90">
        <f t="shared" si="247"/>
        <v>8</v>
      </c>
      <c r="M96" s="90">
        <f t="shared" si="247"/>
        <v>9</v>
      </c>
      <c r="N96" s="90">
        <f t="shared" si="247"/>
        <v>10</v>
      </c>
      <c r="O96" s="90">
        <f t="shared" si="247"/>
        <v>11</v>
      </c>
      <c r="P96" s="90">
        <f t="shared" si="247"/>
        <v>12</v>
      </c>
      <c r="Q96" s="90">
        <f t="shared" si="247"/>
        <v>13</v>
      </c>
      <c r="R96" s="90">
        <f t="shared" si="247"/>
        <v>14</v>
      </c>
      <c r="S96" s="90">
        <f t="shared" si="247"/>
        <v>15</v>
      </c>
      <c r="T96" s="90">
        <f t="shared" si="247"/>
        <v>16</v>
      </c>
      <c r="U96" s="90">
        <f t="shared" si="247"/>
        <v>17</v>
      </c>
      <c r="V96" s="90">
        <f t="shared" si="247"/>
        <v>18</v>
      </c>
      <c r="W96" s="90">
        <f t="shared" si="247"/>
        <v>19</v>
      </c>
      <c r="X96" s="90">
        <f t="shared" si="247"/>
        <v>20</v>
      </c>
      <c r="Y96" s="90">
        <f t="shared" ref="Y96" si="248">X96+1</f>
        <v>21</v>
      </c>
      <c r="Z96" s="90">
        <f t="shared" ref="Z96" si="249">Y96+1</f>
        <v>22</v>
      </c>
      <c r="AA96" s="90">
        <f t="shared" ref="AA96" si="250">Z96+1</f>
        <v>23</v>
      </c>
      <c r="AB96" s="90">
        <f t="shared" ref="AB96" si="251">AA96+1</f>
        <v>24</v>
      </c>
      <c r="AC96" s="90">
        <f t="shared" ref="AC96" si="252">AB96+1</f>
        <v>25</v>
      </c>
      <c r="AD96" s="90">
        <f t="shared" ref="AD96" si="253">AC96+1</f>
        <v>26</v>
      </c>
      <c r="AE96" s="90">
        <f t="shared" ref="AE96" si="254">AD96+1</f>
        <v>27</v>
      </c>
      <c r="AF96" s="90">
        <f t="shared" ref="AF96" si="255">AE96+1</f>
        <v>28</v>
      </c>
      <c r="AG96" s="90">
        <f t="shared" ref="AG96" si="256">AF96+1</f>
        <v>29</v>
      </c>
      <c r="AH96" s="90">
        <f t="shared" ref="AH96" si="257">AG96+1</f>
        <v>30</v>
      </c>
      <c r="AI96" s="90">
        <f t="shared" ref="AI96" si="258">AH96+1</f>
        <v>31</v>
      </c>
      <c r="AJ96" s="90">
        <f t="shared" ref="AJ96" si="259">AI96+1</f>
        <v>32</v>
      </c>
      <c r="AK96" s="90">
        <f t="shared" ref="AK96" si="260">AJ96+1</f>
        <v>33</v>
      </c>
      <c r="AL96" s="90">
        <f t="shared" ref="AL96" si="261">AK96+1</f>
        <v>34</v>
      </c>
      <c r="AM96" s="90">
        <f t="shared" ref="AM96" si="262">AL96+1</f>
        <v>35</v>
      </c>
      <c r="AN96" s="90">
        <f t="shared" ref="AN96" si="263">AM96+1</f>
        <v>36</v>
      </c>
      <c r="AO96" s="90">
        <f t="shared" ref="AO96" si="264">AN96+1</f>
        <v>37</v>
      </c>
      <c r="AP96" s="90">
        <f t="shared" ref="AP96" si="265">AO96+1</f>
        <v>38</v>
      </c>
      <c r="AQ96" s="90">
        <f t="shared" ref="AQ96" si="266">AP96+1</f>
        <v>39</v>
      </c>
      <c r="AR96" s="90">
        <f t="shared" ref="AR96" si="267">AQ96+1</f>
        <v>40</v>
      </c>
      <c r="AS96" s="90">
        <f t="shared" ref="AS96" si="268">AR96+1</f>
        <v>41</v>
      </c>
      <c r="AT96" s="90">
        <f t="shared" ref="AT96" si="269">AS96+1</f>
        <v>42</v>
      </c>
      <c r="AU96" s="90">
        <f t="shared" ref="AU96" si="270">AT96+1</f>
        <v>43</v>
      </c>
      <c r="AV96" s="90">
        <f t="shared" ref="AV96" si="271">AU96+1</f>
        <v>44</v>
      </c>
      <c r="AW96" s="90">
        <f t="shared" ref="AW96" si="272">AV96+1</f>
        <v>45</v>
      </c>
    </row>
    <row r="97" spans="1:50" ht="14.25" customHeight="1">
      <c r="A97" s="2"/>
      <c r="B97" s="2"/>
      <c r="C97" s="1" t="s">
        <v>448</v>
      </c>
      <c r="D97" s="501">
        <f>IF(D89&lt;=YEAR('Assumptions &amp; Inputs'!$E$29), $E$79, IF(ISNUMBER(C99), C99, 0))</f>
        <v>0</v>
      </c>
      <c r="E97" s="501">
        <f>IF(E89&lt;=YEAR('Assumptions &amp; Inputs'!$E$29), $E$79, IF(ISNUMBER(D99), D99, 0))</f>
        <v>0</v>
      </c>
      <c r="F97" s="501">
        <f>IF(F89&lt;=YEAR('Assumptions &amp; Inputs'!$E$29), $E$79, IF(ISNUMBER(E99), E99, 0))</f>
        <v>0</v>
      </c>
      <c r="G97" s="501">
        <f>IF(G89&lt;=YEAR('Assumptions &amp; Inputs'!$E$29), $E$79, IF(ISNUMBER(F99), F99, 0))</f>
        <v>0</v>
      </c>
      <c r="H97" s="501">
        <f>IF(H89&lt;=YEAR('Assumptions &amp; Inputs'!$E$29), $E$79, IF(ISNUMBER(G99), G99, 0))</f>
        <v>0</v>
      </c>
      <c r="I97" s="501">
        <f>IF(I89&lt;=YEAR('Assumptions &amp; Inputs'!$E$29), $E$79, IF(ISNUMBER(H99), H99, 0))</f>
        <v>0</v>
      </c>
      <c r="J97" s="501">
        <f>IF(J89&lt;=YEAR('Assumptions &amp; Inputs'!$E$29), $E$79, IF(ISNUMBER(I99), I99, 0))</f>
        <v>0</v>
      </c>
      <c r="K97" s="501">
        <f>IF(K89&lt;=YEAR('Assumptions &amp; Inputs'!$E$29), $E$79, IF(ISNUMBER(J99), J99, 0))</f>
        <v>0</v>
      </c>
      <c r="L97" s="501">
        <f>IF(L89&lt;=YEAR('Assumptions &amp; Inputs'!$E$29), $E$79, IF(ISNUMBER(K99), K99, 0))</f>
        <v>0</v>
      </c>
      <c r="M97" s="501">
        <f>IF(M89&lt;=YEAR('Assumptions &amp; Inputs'!$E$29), $E$79, IF(ISNUMBER(L99), L99, 0))</f>
        <v>0</v>
      </c>
      <c r="N97" s="501">
        <f>IF(N89&lt;=YEAR('Assumptions &amp; Inputs'!$E$29), $E$79, IF(ISNUMBER(M99), M99, 0))</f>
        <v>0</v>
      </c>
      <c r="O97" s="501">
        <f>IF(O89&lt;=YEAR('Assumptions &amp; Inputs'!$E$29), $E$79, IF(ISNUMBER(N99), N99, 0))</f>
        <v>0</v>
      </c>
      <c r="P97" s="501">
        <f>IF(P89&lt;=YEAR('Assumptions &amp; Inputs'!$E$29), $E$79, IF(ISNUMBER(O99), O99, 0))</f>
        <v>0</v>
      </c>
      <c r="Q97" s="501">
        <f>IF(Q89&lt;=YEAR('Assumptions &amp; Inputs'!$E$29), $E$79, IF(ISNUMBER(P99), P99, 0))</f>
        <v>0</v>
      </c>
      <c r="R97" s="501">
        <f>IF(R89&lt;=YEAR('Assumptions &amp; Inputs'!$E$29), $E$79, IF(ISNUMBER(Q99), Q99, 0))</f>
        <v>0</v>
      </c>
      <c r="S97" s="501">
        <f>IF(S89&lt;=YEAR('Assumptions &amp; Inputs'!$E$29), $E$79, IF(ISNUMBER(R99), R99, 0))</f>
        <v>0</v>
      </c>
      <c r="T97" s="501">
        <f>IF(T89&lt;=YEAR('Assumptions &amp; Inputs'!$E$29), $E$79, IF(ISNUMBER(S99), S99, 0))</f>
        <v>0</v>
      </c>
      <c r="U97" s="501">
        <f>IF(U89&lt;=YEAR('Assumptions &amp; Inputs'!$E$29), $E$79, IF(ISNUMBER(T99), T99, 0))</f>
        <v>0</v>
      </c>
      <c r="V97" s="501">
        <f>IF(V89&lt;=YEAR('Assumptions &amp; Inputs'!$E$29), $E$79, IF(ISNUMBER(U99), U99, 0))</f>
        <v>0</v>
      </c>
      <c r="W97" s="501">
        <f>IF(W89&lt;=YEAR('Assumptions &amp; Inputs'!$E$29), $E$79, IF(ISNUMBER(V99), V99, 0))</f>
        <v>0</v>
      </c>
      <c r="X97" s="501">
        <f>IF(X89&lt;=YEAR('Assumptions &amp; Inputs'!$E$29), $E$79, IF(ISNUMBER(W99), W99, 0))</f>
        <v>0</v>
      </c>
      <c r="Y97" s="501">
        <f>IF(Y89&lt;=YEAR('Assumptions &amp; Inputs'!$E$29), $E$79, IF(ISNUMBER(X99), X99, 0))</f>
        <v>0</v>
      </c>
      <c r="Z97" s="501">
        <f>IF(Z89&lt;=YEAR('Assumptions &amp; Inputs'!$E$29), $E$79, IF(ISNUMBER(Y99), Y99, 0))</f>
        <v>0</v>
      </c>
      <c r="AA97" s="501">
        <f>IF(AA89&lt;=YEAR('Assumptions &amp; Inputs'!$E$29), $E$79, IF(ISNUMBER(Z99), Z99, 0))</f>
        <v>0</v>
      </c>
      <c r="AB97" s="501">
        <f>IF(AB89&lt;=YEAR('Assumptions &amp; Inputs'!$E$29), $E$79, IF(ISNUMBER(AA99), AA99, 0))</f>
        <v>0</v>
      </c>
      <c r="AC97" s="501">
        <f>IF(AC89&lt;=YEAR('Assumptions &amp; Inputs'!$E$29), $E$79, IF(ISNUMBER(AB99), AB99, 0))</f>
        <v>0</v>
      </c>
      <c r="AD97" s="501">
        <f>IF(AD89&lt;=YEAR('Assumptions &amp; Inputs'!$E$29), $E$79, IF(ISNUMBER(AC99), AC99, 0))</f>
        <v>0</v>
      </c>
      <c r="AE97" s="501">
        <f>IF(AE89&lt;=YEAR('Assumptions &amp; Inputs'!$E$29), $E$79, IF(ISNUMBER(AD99), AD99, 0))</f>
        <v>0</v>
      </c>
      <c r="AF97" s="501">
        <f>IF(AF89&lt;=YEAR('Assumptions &amp; Inputs'!$E$29), $E$79, IF(ISNUMBER(AE99), AE99, 0))</f>
        <v>0</v>
      </c>
      <c r="AG97" s="501">
        <f>IF(AG89&lt;=YEAR('Assumptions &amp; Inputs'!$E$29), $E$79, IF(ISNUMBER(AF99), AF99, 0))</f>
        <v>0</v>
      </c>
      <c r="AH97" s="501">
        <f>IF(AH89&lt;=YEAR('Assumptions &amp; Inputs'!$E$29), $E$79, IF(ISNUMBER(AG99), AG99, 0))</f>
        <v>0</v>
      </c>
      <c r="AI97" s="501">
        <f>IF(AI89&lt;=YEAR('Assumptions &amp; Inputs'!$E$29), $E$79, IF(ISNUMBER(AH99), AH99, 0))</f>
        <v>0</v>
      </c>
      <c r="AJ97" s="501">
        <f>IF(AJ89&lt;=YEAR('Assumptions &amp; Inputs'!$E$29), $E$79, IF(ISNUMBER(AI99), AI99, 0))</f>
        <v>0</v>
      </c>
      <c r="AK97" s="501">
        <f>IF(AK89&lt;=YEAR('Assumptions &amp; Inputs'!$E$29), $E$79, IF(ISNUMBER(AJ99), AJ99, 0))</f>
        <v>0</v>
      </c>
      <c r="AL97" s="501">
        <f>IF(AL89&lt;=YEAR('Assumptions &amp; Inputs'!$E$29), $E$79, IF(ISNUMBER(AK99), AK99, 0))</f>
        <v>0</v>
      </c>
      <c r="AM97" s="501">
        <f>IF(AM89&lt;=YEAR('Assumptions &amp; Inputs'!$E$29), $E$79, IF(ISNUMBER(AL99), AL99, 0))</f>
        <v>0</v>
      </c>
      <c r="AN97" s="501">
        <f>IF(AN89&lt;=YEAR('Assumptions &amp; Inputs'!$E$29), $E$79, IF(ISNUMBER(AM99), AM99, 0))</f>
        <v>0</v>
      </c>
      <c r="AO97" s="501">
        <f>IF(AO89&lt;=YEAR('Assumptions &amp; Inputs'!$E$29), $E$79, IF(ISNUMBER(AN99), AN99, 0))</f>
        <v>0</v>
      </c>
      <c r="AP97" s="501">
        <f>IF(AP89&lt;=YEAR('Assumptions &amp; Inputs'!$E$29), $E$79, IF(ISNUMBER(AO99), AO99, 0))</f>
        <v>0</v>
      </c>
      <c r="AQ97" s="501">
        <f>IF(AQ89&lt;=YEAR('Assumptions &amp; Inputs'!$E$29), $E$79, IF(ISNUMBER(AP99), AP99, 0))</f>
        <v>0</v>
      </c>
      <c r="AR97" s="501">
        <f>IF(AR89&lt;=YEAR('Assumptions &amp; Inputs'!$E$29), $E$79, IF(ISNUMBER(AQ99), AQ99, 0))</f>
        <v>0</v>
      </c>
      <c r="AS97" s="501">
        <f>IF(AS89&lt;=YEAR('Assumptions &amp; Inputs'!$E$29), $E$79, IF(ISNUMBER(AR99), AR99, 0))</f>
        <v>0</v>
      </c>
      <c r="AT97" s="501">
        <f>IF(AT89&lt;=YEAR('Assumptions &amp; Inputs'!$E$29), $E$79, IF(ISNUMBER(AS99), AS99, 0))</f>
        <v>0</v>
      </c>
      <c r="AU97" s="501">
        <f>IF(AU89&lt;=YEAR('Assumptions &amp; Inputs'!$E$29), $E$79, IF(ISNUMBER(AT99), AT99, 0))</f>
        <v>0</v>
      </c>
      <c r="AV97" s="501">
        <f>IF(AV89&lt;=YEAR('Assumptions &amp; Inputs'!$E$29), $E$79, IF(ISNUMBER(AU99), AU99, 0))</f>
        <v>0</v>
      </c>
      <c r="AW97" s="501">
        <f>IF(AW89&lt;=YEAR('Assumptions &amp; Inputs'!$E$29), $E$79, IF(ISNUMBER(AV99), AV99, 0))</f>
        <v>0</v>
      </c>
    </row>
    <row r="98" spans="1:50" ht="14.25" customHeight="1">
      <c r="C98" s="1" t="s">
        <v>449</v>
      </c>
      <c r="D98" s="501"/>
      <c r="E98" s="501">
        <f>IFERROR(PPMT('Assumptions &amp; Inputs'!$E$10,E89-YEAR('Assumptions &amp; Inputs'!$E$29),'Assumptions &amp; Inputs'!$E$9,$E$79), 0)</f>
        <v>0</v>
      </c>
      <c r="F98" s="501">
        <f>IFERROR(PPMT('Assumptions &amp; Inputs'!$E$10,F89-YEAR('Assumptions &amp; Inputs'!$E$29),'Assumptions &amp; Inputs'!$E$9,$E$79), 0)</f>
        <v>0</v>
      </c>
      <c r="G98" s="501">
        <f>IFERROR(PPMT('Assumptions &amp; Inputs'!$E$10,G89-YEAR('Assumptions &amp; Inputs'!$E$29),'Assumptions &amp; Inputs'!$E$9,$E$79), 0)</f>
        <v>0</v>
      </c>
      <c r="H98" s="501">
        <f>IFERROR(PPMT('Assumptions &amp; Inputs'!$E$10,H89-YEAR('Assumptions &amp; Inputs'!$E$29),'Assumptions &amp; Inputs'!$E$9,$E$79), 0)</f>
        <v>0</v>
      </c>
      <c r="I98" s="501">
        <f>IFERROR(PPMT('Assumptions &amp; Inputs'!$E$10,I89-YEAR('Assumptions &amp; Inputs'!$E$29),'Assumptions &amp; Inputs'!$E$9,$E$79), 0)</f>
        <v>0</v>
      </c>
      <c r="J98" s="501">
        <f>IFERROR(PPMT('Assumptions &amp; Inputs'!$E$10,J89-YEAR('Assumptions &amp; Inputs'!$E$29),'Assumptions &amp; Inputs'!$E$9,$E$79), 0)</f>
        <v>0</v>
      </c>
      <c r="K98" s="501">
        <f>IFERROR(PPMT('Assumptions &amp; Inputs'!$E$10,K89-YEAR('Assumptions &amp; Inputs'!$E$29),'Assumptions &amp; Inputs'!$E$9,$E$79), 0)</f>
        <v>0</v>
      </c>
      <c r="L98" s="501">
        <f>IFERROR(PPMT('Assumptions &amp; Inputs'!$E$10,L89-YEAR('Assumptions &amp; Inputs'!$E$29),'Assumptions &amp; Inputs'!$E$9,$E$79), 0)</f>
        <v>0</v>
      </c>
      <c r="M98" s="501">
        <f>IFERROR(PPMT('Assumptions &amp; Inputs'!$E$10,M89-YEAR('Assumptions &amp; Inputs'!$E$29),'Assumptions &amp; Inputs'!$E$9,$E$79), 0)</f>
        <v>0</v>
      </c>
      <c r="N98" s="501">
        <f>IFERROR(PPMT('Assumptions &amp; Inputs'!$E$10,N89-YEAR('Assumptions &amp; Inputs'!$E$29),'Assumptions &amp; Inputs'!$E$9,$E$79), 0)</f>
        <v>0</v>
      </c>
      <c r="O98" s="501">
        <f>IFERROR(PPMT('Assumptions &amp; Inputs'!$E$10,O89-YEAR('Assumptions &amp; Inputs'!$E$29),'Assumptions &amp; Inputs'!$E$9,$E$79), 0)</f>
        <v>0</v>
      </c>
      <c r="P98" s="501">
        <f>IFERROR(PPMT('Assumptions &amp; Inputs'!$E$10,P89-YEAR('Assumptions &amp; Inputs'!$E$29),'Assumptions &amp; Inputs'!$E$9,$E$79), 0)</f>
        <v>0</v>
      </c>
      <c r="Q98" s="501">
        <f>IFERROR(PPMT('Assumptions &amp; Inputs'!$E$10,Q89-YEAR('Assumptions &amp; Inputs'!$E$29),'Assumptions &amp; Inputs'!$E$9,$E$79), 0)</f>
        <v>0</v>
      </c>
      <c r="R98" s="501">
        <f>IFERROR(PPMT('Assumptions &amp; Inputs'!$E$10,R89-YEAR('Assumptions &amp; Inputs'!$E$29),'Assumptions &amp; Inputs'!$E$9,$E$79), 0)</f>
        <v>0</v>
      </c>
      <c r="S98" s="501">
        <f>IFERROR(PPMT('Assumptions &amp; Inputs'!$E$10,S89-YEAR('Assumptions &amp; Inputs'!$E$29),'Assumptions &amp; Inputs'!$E$9,$E$79), 0)</f>
        <v>0</v>
      </c>
      <c r="T98" s="501">
        <f>IFERROR(PPMT('Assumptions &amp; Inputs'!$E$10,T89-YEAR('Assumptions &amp; Inputs'!$E$29),'Assumptions &amp; Inputs'!$E$9,$E$79), 0)</f>
        <v>0</v>
      </c>
      <c r="U98" s="501">
        <f>IFERROR(PPMT('Assumptions &amp; Inputs'!$E$10,U89-YEAR('Assumptions &amp; Inputs'!$E$29),'Assumptions &amp; Inputs'!$E$9,$E$79), 0)</f>
        <v>0</v>
      </c>
      <c r="V98" s="501">
        <f>IFERROR(PPMT('Assumptions &amp; Inputs'!$E$10,V89-YEAR('Assumptions &amp; Inputs'!$E$29),'Assumptions &amp; Inputs'!$E$9,$E$79), 0)</f>
        <v>0</v>
      </c>
      <c r="W98" s="501">
        <f>IFERROR(PPMT('Assumptions &amp; Inputs'!$E$10,W89-YEAR('Assumptions &amp; Inputs'!$E$29),'Assumptions &amp; Inputs'!$E$9,$E$79), 0)</f>
        <v>0</v>
      </c>
      <c r="X98" s="501">
        <f>IFERROR(PPMT('Assumptions &amp; Inputs'!$E$10,X89-YEAR('Assumptions &amp; Inputs'!$E$29),'Assumptions &amp; Inputs'!$E$9,$E$79), 0)</f>
        <v>0</v>
      </c>
      <c r="Y98" s="501">
        <f>IFERROR(PPMT('Assumptions &amp; Inputs'!$E$10,Y89-YEAR('Assumptions &amp; Inputs'!$E$29),'Assumptions &amp; Inputs'!$E$9,$E$79), 0)</f>
        <v>0</v>
      </c>
      <c r="Z98" s="501">
        <f>IFERROR(PPMT('Assumptions &amp; Inputs'!$E$10,Z89-YEAR('Assumptions &amp; Inputs'!$E$29),'Assumptions &amp; Inputs'!$E$9,$E$79), 0)</f>
        <v>0</v>
      </c>
      <c r="AA98" s="501">
        <f>IFERROR(PPMT('Assumptions &amp; Inputs'!$E$10,AA89-YEAR('Assumptions &amp; Inputs'!$E$29),'Assumptions &amp; Inputs'!$E$9,$E$79), 0)</f>
        <v>0</v>
      </c>
      <c r="AB98" s="501">
        <f>IFERROR(PPMT('Assumptions &amp; Inputs'!$E$10,AB89-YEAR('Assumptions &amp; Inputs'!$E$29),'Assumptions &amp; Inputs'!$E$9,$E$79), 0)</f>
        <v>0</v>
      </c>
      <c r="AC98" s="501">
        <f>IFERROR(PPMT('Assumptions &amp; Inputs'!$E$10,AC89-YEAR('Assumptions &amp; Inputs'!$E$29),'Assumptions &amp; Inputs'!$E$9,$E$79), 0)</f>
        <v>0</v>
      </c>
      <c r="AD98" s="501">
        <f>IFERROR(PPMT('Assumptions &amp; Inputs'!$E$10,AD89-YEAR('Assumptions &amp; Inputs'!$E$29),'Assumptions &amp; Inputs'!$E$9,$E$79), 0)</f>
        <v>0</v>
      </c>
      <c r="AE98" s="501">
        <f>IFERROR(PPMT('Assumptions &amp; Inputs'!$E$10,AE89-YEAR('Assumptions &amp; Inputs'!$E$29),'Assumptions &amp; Inputs'!$E$9,$E$79), 0)</f>
        <v>0</v>
      </c>
      <c r="AF98" s="501">
        <f>IFERROR(PPMT('Assumptions &amp; Inputs'!$E$10,AF89-YEAR('Assumptions &amp; Inputs'!$E$29),'Assumptions &amp; Inputs'!$E$9,$E$79), 0)</f>
        <v>0</v>
      </c>
      <c r="AG98" s="501">
        <f>IFERROR(PPMT('Assumptions &amp; Inputs'!$E$10,AG89-YEAR('Assumptions &amp; Inputs'!$E$29),'Assumptions &amp; Inputs'!$E$9,$E$79), 0)</f>
        <v>0</v>
      </c>
      <c r="AH98" s="501">
        <f>IFERROR(PPMT('Assumptions &amp; Inputs'!$E$10,AH89-YEAR('Assumptions &amp; Inputs'!$E$29),'Assumptions &amp; Inputs'!$E$9,$E$79), 0)</f>
        <v>0</v>
      </c>
      <c r="AI98" s="501">
        <f>IFERROR(PPMT('Assumptions &amp; Inputs'!$E$10,AI89-YEAR('Assumptions &amp; Inputs'!$E$29),'Assumptions &amp; Inputs'!$E$9,$E$79), 0)</f>
        <v>0</v>
      </c>
      <c r="AJ98" s="501">
        <f>IFERROR(PPMT('Assumptions &amp; Inputs'!$E$10,AJ89-YEAR('Assumptions &amp; Inputs'!$E$29),'Assumptions &amp; Inputs'!$E$9,$E$79), 0)</f>
        <v>0</v>
      </c>
      <c r="AK98" s="501">
        <f>IFERROR(PPMT('Assumptions &amp; Inputs'!$E$10,AK89-YEAR('Assumptions &amp; Inputs'!$E$29),'Assumptions &amp; Inputs'!$E$9,$E$79), 0)</f>
        <v>0</v>
      </c>
      <c r="AL98" s="501">
        <f>IFERROR(PPMT('Assumptions &amp; Inputs'!$E$10,AL89-YEAR('Assumptions &amp; Inputs'!$E$29),'Assumptions &amp; Inputs'!$E$9,$E$79), 0)</f>
        <v>0</v>
      </c>
      <c r="AM98" s="501">
        <f>IFERROR(PPMT('Assumptions &amp; Inputs'!$E$10,AM89-YEAR('Assumptions &amp; Inputs'!$E$29),'Assumptions &amp; Inputs'!$E$9,$E$79), 0)</f>
        <v>0</v>
      </c>
      <c r="AN98" s="501">
        <f>IFERROR(PPMT('Assumptions &amp; Inputs'!$E$10,AN89-YEAR('Assumptions &amp; Inputs'!$E$29),'Assumptions &amp; Inputs'!$E$9,$E$79), 0)</f>
        <v>0</v>
      </c>
      <c r="AO98" s="501">
        <f>IFERROR(PPMT('Assumptions &amp; Inputs'!$E$10,AO89-YEAR('Assumptions &amp; Inputs'!$E$29),'Assumptions &amp; Inputs'!$E$9,$E$79), 0)</f>
        <v>0</v>
      </c>
      <c r="AP98" s="501">
        <f>IFERROR(PPMT('Assumptions &amp; Inputs'!$E$10,AP89-YEAR('Assumptions &amp; Inputs'!$E$29),'Assumptions &amp; Inputs'!$E$9,$E$79), 0)</f>
        <v>0</v>
      </c>
      <c r="AQ98" s="501">
        <f>IFERROR(PPMT('Assumptions &amp; Inputs'!$E$10,AQ89-YEAR('Assumptions &amp; Inputs'!$E$29),'Assumptions &amp; Inputs'!$E$9,$E$79), 0)</f>
        <v>0</v>
      </c>
      <c r="AR98" s="501">
        <f>IFERROR(PPMT('Assumptions &amp; Inputs'!$E$10,AR89-YEAR('Assumptions &amp; Inputs'!$E$29),'Assumptions &amp; Inputs'!$E$9,$E$79), 0)</f>
        <v>0</v>
      </c>
      <c r="AS98" s="501">
        <f>IFERROR(PPMT('Assumptions &amp; Inputs'!$E$10,AS89-YEAR('Assumptions &amp; Inputs'!$E$29),'Assumptions &amp; Inputs'!$E$9,$E$79), 0)</f>
        <v>0</v>
      </c>
      <c r="AT98" s="501">
        <f>IFERROR(PPMT('Assumptions &amp; Inputs'!$E$10,AT89-YEAR('Assumptions &amp; Inputs'!$E$29),'Assumptions &amp; Inputs'!$E$9,$E$79), 0)</f>
        <v>0</v>
      </c>
      <c r="AU98" s="501">
        <f>IFERROR(PPMT('Assumptions &amp; Inputs'!$E$10,AU89-YEAR('Assumptions &amp; Inputs'!$E$29),'Assumptions &amp; Inputs'!$E$9,$E$79), 0)</f>
        <v>0</v>
      </c>
      <c r="AV98" s="501">
        <f>IFERROR(PPMT('Assumptions &amp; Inputs'!$E$10,AV89-YEAR('Assumptions &amp; Inputs'!$E$29),'Assumptions &amp; Inputs'!$E$9,$E$79), 0)</f>
        <v>0</v>
      </c>
      <c r="AW98" s="501">
        <f>IFERROR(PPMT('Assumptions &amp; Inputs'!$E$10,AW89-YEAR('Assumptions &amp; Inputs'!$E$29),'Assumptions &amp; Inputs'!$E$9,$E$79), 0)</f>
        <v>0</v>
      </c>
    </row>
    <row r="99" spans="1:50" ht="14.25" customHeight="1">
      <c r="C99" s="1" t="s">
        <v>450</v>
      </c>
      <c r="D99" s="501">
        <f>D97</f>
        <v>0</v>
      </c>
      <c r="E99" s="501">
        <f>SUM(E97:E98)</f>
        <v>0</v>
      </c>
      <c r="F99" s="501">
        <f t="shared" ref="F99:AW99" si="273">SUM(F97:F98)</f>
        <v>0</v>
      </c>
      <c r="G99" s="501">
        <f t="shared" si="273"/>
        <v>0</v>
      </c>
      <c r="H99" s="501">
        <f t="shared" si="273"/>
        <v>0</v>
      </c>
      <c r="I99" s="501">
        <f t="shared" si="273"/>
        <v>0</v>
      </c>
      <c r="J99" s="501">
        <f t="shared" si="273"/>
        <v>0</v>
      </c>
      <c r="K99" s="501">
        <f t="shared" si="273"/>
        <v>0</v>
      </c>
      <c r="L99" s="501">
        <f t="shared" si="273"/>
        <v>0</v>
      </c>
      <c r="M99" s="501">
        <f t="shared" si="273"/>
        <v>0</v>
      </c>
      <c r="N99" s="501">
        <f t="shared" si="273"/>
        <v>0</v>
      </c>
      <c r="O99" s="501">
        <f t="shared" si="273"/>
        <v>0</v>
      </c>
      <c r="P99" s="501">
        <f t="shared" si="273"/>
        <v>0</v>
      </c>
      <c r="Q99" s="501">
        <f t="shared" si="273"/>
        <v>0</v>
      </c>
      <c r="R99" s="501">
        <f t="shared" si="273"/>
        <v>0</v>
      </c>
      <c r="S99" s="501">
        <f t="shared" si="273"/>
        <v>0</v>
      </c>
      <c r="T99" s="501">
        <f t="shared" si="273"/>
        <v>0</v>
      </c>
      <c r="U99" s="501">
        <f t="shared" si="273"/>
        <v>0</v>
      </c>
      <c r="V99" s="501">
        <f t="shared" si="273"/>
        <v>0</v>
      </c>
      <c r="W99" s="501">
        <f t="shared" si="273"/>
        <v>0</v>
      </c>
      <c r="X99" s="501">
        <f t="shared" si="273"/>
        <v>0</v>
      </c>
      <c r="Y99" s="501">
        <f t="shared" si="273"/>
        <v>0</v>
      </c>
      <c r="Z99" s="501">
        <f t="shared" si="273"/>
        <v>0</v>
      </c>
      <c r="AA99" s="501">
        <f t="shared" si="273"/>
        <v>0</v>
      </c>
      <c r="AB99" s="501">
        <f t="shared" si="273"/>
        <v>0</v>
      </c>
      <c r="AC99" s="501">
        <f t="shared" si="273"/>
        <v>0</v>
      </c>
      <c r="AD99" s="501">
        <f t="shared" si="273"/>
        <v>0</v>
      </c>
      <c r="AE99" s="501">
        <f t="shared" si="273"/>
        <v>0</v>
      </c>
      <c r="AF99" s="501">
        <f t="shared" si="273"/>
        <v>0</v>
      </c>
      <c r="AG99" s="501">
        <f t="shared" si="273"/>
        <v>0</v>
      </c>
      <c r="AH99" s="501">
        <f t="shared" si="273"/>
        <v>0</v>
      </c>
      <c r="AI99" s="501">
        <f t="shared" si="273"/>
        <v>0</v>
      </c>
      <c r="AJ99" s="501">
        <f t="shared" si="273"/>
        <v>0</v>
      </c>
      <c r="AK99" s="501">
        <f t="shared" si="273"/>
        <v>0</v>
      </c>
      <c r="AL99" s="501">
        <f t="shared" si="273"/>
        <v>0</v>
      </c>
      <c r="AM99" s="501">
        <f t="shared" si="273"/>
        <v>0</v>
      </c>
      <c r="AN99" s="501">
        <f t="shared" si="273"/>
        <v>0</v>
      </c>
      <c r="AO99" s="501">
        <f t="shared" si="273"/>
        <v>0</v>
      </c>
      <c r="AP99" s="501">
        <f t="shared" si="273"/>
        <v>0</v>
      </c>
      <c r="AQ99" s="501">
        <f t="shared" si="273"/>
        <v>0</v>
      </c>
      <c r="AR99" s="501">
        <f t="shared" si="273"/>
        <v>0</v>
      </c>
      <c r="AS99" s="501">
        <f t="shared" si="273"/>
        <v>0</v>
      </c>
      <c r="AT99" s="501">
        <f t="shared" si="273"/>
        <v>0</v>
      </c>
      <c r="AU99" s="501">
        <f t="shared" si="273"/>
        <v>0</v>
      </c>
      <c r="AV99" s="501">
        <f t="shared" si="273"/>
        <v>0</v>
      </c>
      <c r="AW99" s="501">
        <f t="shared" si="273"/>
        <v>0</v>
      </c>
    </row>
    <row r="100" spans="1:50" ht="14.25" customHeight="1">
      <c r="A100" s="201"/>
      <c r="B100" s="20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50" ht="14.25" customHeight="1">
      <c r="C101" s="1" t="s">
        <v>451</v>
      </c>
      <c r="D101" s="1"/>
      <c r="E101" s="8">
        <f>IFERROR(-IPMT('Assumptions &amp; Inputs'!$E$10,E89-YEAR('Assumptions &amp; Inputs'!$E$29),'Assumptions &amp; Inputs'!$E$9,$E$79), 0)</f>
        <v>0</v>
      </c>
      <c r="F101" s="8">
        <f>IFERROR(-IPMT('Assumptions &amp; Inputs'!$E$10,F89-YEAR('Assumptions &amp; Inputs'!$E$29),'Assumptions &amp; Inputs'!$E$9,$E$79), 0)</f>
        <v>0</v>
      </c>
      <c r="G101" s="8">
        <f>IFERROR(-IPMT('Assumptions &amp; Inputs'!$E$10,G89-YEAR('Assumptions &amp; Inputs'!$E$29),'Assumptions &amp; Inputs'!$E$9,$E$79), 0)</f>
        <v>0</v>
      </c>
      <c r="H101" s="8">
        <f>IFERROR(-IPMT('Assumptions &amp; Inputs'!$E$10,H89-YEAR('Assumptions &amp; Inputs'!$E$29),'Assumptions &amp; Inputs'!$E$9,$E$79), 0)</f>
        <v>0</v>
      </c>
      <c r="I101" s="8">
        <f>IFERROR(-IPMT('Assumptions &amp; Inputs'!$E$10,I89-YEAR('Assumptions &amp; Inputs'!$E$29),'Assumptions &amp; Inputs'!$E$9,$E$79), 0)</f>
        <v>0</v>
      </c>
      <c r="J101" s="8">
        <f>IFERROR(-IPMT('Assumptions &amp; Inputs'!$E$10,J89-YEAR('Assumptions &amp; Inputs'!$E$29),'Assumptions &amp; Inputs'!$E$9,$E$79), 0)</f>
        <v>0</v>
      </c>
      <c r="K101" s="8">
        <f>IFERROR(-IPMT('Assumptions &amp; Inputs'!$E$10,K89-YEAR('Assumptions &amp; Inputs'!$E$29),'Assumptions &amp; Inputs'!$E$9,$E$79), 0)</f>
        <v>0</v>
      </c>
      <c r="L101" s="8">
        <f>IFERROR(-IPMT('Assumptions &amp; Inputs'!$E$10,L89-YEAR('Assumptions &amp; Inputs'!$E$29),'Assumptions &amp; Inputs'!$E$9,$E$79), 0)</f>
        <v>0</v>
      </c>
      <c r="M101" s="8">
        <f>IFERROR(-IPMT('Assumptions &amp; Inputs'!$E$10,M89-YEAR('Assumptions &amp; Inputs'!$E$29),'Assumptions &amp; Inputs'!$E$9,$E$79), 0)</f>
        <v>0</v>
      </c>
      <c r="N101" s="8">
        <f>IFERROR(-IPMT('Assumptions &amp; Inputs'!$E$10,N89-YEAR('Assumptions &amp; Inputs'!$E$29),'Assumptions &amp; Inputs'!$E$9,$E$79), 0)</f>
        <v>0</v>
      </c>
      <c r="O101" s="8">
        <f>IFERROR(-IPMT('Assumptions &amp; Inputs'!$E$10,O89-YEAR('Assumptions &amp; Inputs'!$E$29),'Assumptions &amp; Inputs'!$E$9,$E$79), 0)</f>
        <v>0</v>
      </c>
      <c r="P101" s="8">
        <f>IFERROR(-IPMT('Assumptions &amp; Inputs'!$E$10,P89-YEAR('Assumptions &amp; Inputs'!$E$29),'Assumptions &amp; Inputs'!$E$9,$E$79), 0)</f>
        <v>0</v>
      </c>
      <c r="Q101" s="8">
        <f>IFERROR(-IPMT('Assumptions &amp; Inputs'!$E$10,Q89-YEAR('Assumptions &amp; Inputs'!$E$29),'Assumptions &amp; Inputs'!$E$9,$E$79), 0)</f>
        <v>0</v>
      </c>
      <c r="R101" s="8">
        <f>IFERROR(-IPMT('Assumptions &amp; Inputs'!$E$10,R89-YEAR('Assumptions &amp; Inputs'!$E$29),'Assumptions &amp; Inputs'!$E$9,$E$79), 0)</f>
        <v>0</v>
      </c>
      <c r="S101" s="8">
        <f>IFERROR(-IPMT('Assumptions &amp; Inputs'!$E$10,S89-YEAR('Assumptions &amp; Inputs'!$E$29),'Assumptions &amp; Inputs'!$E$9,$E$79), 0)</f>
        <v>0</v>
      </c>
      <c r="T101" s="8">
        <f>IFERROR(-IPMT('Assumptions &amp; Inputs'!$E$10,T89-YEAR('Assumptions &amp; Inputs'!$E$29),'Assumptions &amp; Inputs'!$E$9,$E$79), 0)</f>
        <v>0</v>
      </c>
      <c r="U101" s="8">
        <f>IFERROR(-IPMT('Assumptions &amp; Inputs'!$E$10,U89-YEAR('Assumptions &amp; Inputs'!$E$29),'Assumptions &amp; Inputs'!$E$9,$E$79), 0)</f>
        <v>0</v>
      </c>
      <c r="V101" s="8">
        <f>IFERROR(-IPMT('Assumptions &amp; Inputs'!$E$10,V89-YEAR('Assumptions &amp; Inputs'!$E$29),'Assumptions &amp; Inputs'!$E$9,$E$79), 0)</f>
        <v>0</v>
      </c>
      <c r="W101" s="8">
        <f>IFERROR(-IPMT('Assumptions &amp; Inputs'!$E$10,W89-YEAR('Assumptions &amp; Inputs'!$E$29),'Assumptions &amp; Inputs'!$E$9,$E$79), 0)</f>
        <v>0</v>
      </c>
      <c r="X101" s="8">
        <f>IFERROR(-IPMT('Assumptions &amp; Inputs'!$E$10,X89-YEAR('Assumptions &amp; Inputs'!$E$29),'Assumptions &amp; Inputs'!$E$9,$E$79), 0)</f>
        <v>0</v>
      </c>
      <c r="Y101" s="8">
        <f>IFERROR(-IPMT('Assumptions &amp; Inputs'!$E$10,Y89-YEAR('Assumptions &amp; Inputs'!$E$29),'Assumptions &amp; Inputs'!$E$9,$E$79), 0)</f>
        <v>0</v>
      </c>
      <c r="Z101" s="8">
        <f>IFERROR(-IPMT('Assumptions &amp; Inputs'!$E$10,Z89-YEAR('Assumptions &amp; Inputs'!$E$29),'Assumptions &amp; Inputs'!$E$9,$E$79), 0)</f>
        <v>0</v>
      </c>
      <c r="AA101" s="8">
        <f>IFERROR(-IPMT('Assumptions &amp; Inputs'!$E$10,AA89-YEAR('Assumptions &amp; Inputs'!$E$29),'Assumptions &amp; Inputs'!$E$9,$E$79), 0)</f>
        <v>0</v>
      </c>
      <c r="AB101" s="8">
        <f>IFERROR(-IPMT('Assumptions &amp; Inputs'!$E$10,AB89-YEAR('Assumptions &amp; Inputs'!$E$29),'Assumptions &amp; Inputs'!$E$9,$E$79), 0)</f>
        <v>0</v>
      </c>
      <c r="AC101" s="8">
        <f>IFERROR(-IPMT('Assumptions &amp; Inputs'!$E$10,AC89-YEAR('Assumptions &amp; Inputs'!$E$29),'Assumptions &amp; Inputs'!$E$9,$E$79), 0)</f>
        <v>0</v>
      </c>
      <c r="AD101" s="8">
        <f>IFERROR(-IPMT('Assumptions &amp; Inputs'!$E$10,AD89-YEAR('Assumptions &amp; Inputs'!$E$29),'Assumptions &amp; Inputs'!$E$9,$E$79), 0)</f>
        <v>0</v>
      </c>
      <c r="AE101" s="8">
        <f>IFERROR(-IPMT('Assumptions &amp; Inputs'!$E$10,AE89-YEAR('Assumptions &amp; Inputs'!$E$29),'Assumptions &amp; Inputs'!$E$9,$E$79), 0)</f>
        <v>0</v>
      </c>
      <c r="AF101" s="8">
        <f>IFERROR(-IPMT('Assumptions &amp; Inputs'!$E$10,AF89-YEAR('Assumptions &amp; Inputs'!$E$29),'Assumptions &amp; Inputs'!$E$9,$E$79), 0)</f>
        <v>0</v>
      </c>
      <c r="AG101" s="8">
        <f>IFERROR(-IPMT('Assumptions &amp; Inputs'!$E$10,AG89-YEAR('Assumptions &amp; Inputs'!$E$29),'Assumptions &amp; Inputs'!$E$9,$E$79), 0)</f>
        <v>0</v>
      </c>
      <c r="AH101" s="8">
        <f>IFERROR(-IPMT('Assumptions &amp; Inputs'!$E$10,AH89-YEAR('Assumptions &amp; Inputs'!$E$29),'Assumptions &amp; Inputs'!$E$9,$E$79), 0)</f>
        <v>0</v>
      </c>
      <c r="AI101" s="8">
        <f>IFERROR(-IPMT('Assumptions &amp; Inputs'!$E$10,AI89-YEAR('Assumptions &amp; Inputs'!$E$29),'Assumptions &amp; Inputs'!$E$9,$E$79), 0)</f>
        <v>0</v>
      </c>
      <c r="AJ101" s="8">
        <f>IFERROR(-IPMT('Assumptions &amp; Inputs'!$E$10,AJ89-YEAR('Assumptions &amp; Inputs'!$E$29),'Assumptions &amp; Inputs'!$E$9,$E$79), 0)</f>
        <v>0</v>
      </c>
      <c r="AK101" s="8">
        <f>IFERROR(-IPMT('Assumptions &amp; Inputs'!$E$10,AK89-YEAR('Assumptions &amp; Inputs'!$E$29),'Assumptions &amp; Inputs'!$E$9,$E$79), 0)</f>
        <v>0</v>
      </c>
      <c r="AL101" s="8">
        <f>IFERROR(-IPMT('Assumptions &amp; Inputs'!$E$10,AL89-YEAR('Assumptions &amp; Inputs'!$E$29),'Assumptions &amp; Inputs'!$E$9,$E$79), 0)</f>
        <v>0</v>
      </c>
      <c r="AM101" s="8">
        <f>IFERROR(-IPMT('Assumptions &amp; Inputs'!$E$10,AM89-YEAR('Assumptions &amp; Inputs'!$E$29),'Assumptions &amp; Inputs'!$E$9,$E$79), 0)</f>
        <v>0</v>
      </c>
      <c r="AN101" s="8">
        <f>IFERROR(-IPMT('Assumptions &amp; Inputs'!$E$10,AN89-YEAR('Assumptions &amp; Inputs'!$E$29),'Assumptions &amp; Inputs'!$E$9,$E$79), 0)</f>
        <v>0</v>
      </c>
      <c r="AO101" s="8">
        <f>IFERROR(-IPMT('Assumptions &amp; Inputs'!$E$10,AO89-YEAR('Assumptions &amp; Inputs'!$E$29),'Assumptions &amp; Inputs'!$E$9,$E$79), 0)</f>
        <v>0</v>
      </c>
      <c r="AP101" s="8">
        <f>IFERROR(-IPMT('Assumptions &amp; Inputs'!$E$10,AP89-YEAR('Assumptions &amp; Inputs'!$E$29),'Assumptions &amp; Inputs'!$E$9,$E$79), 0)</f>
        <v>0</v>
      </c>
      <c r="AQ101" s="8">
        <f>IFERROR(-IPMT('Assumptions &amp; Inputs'!$E$10,AQ89-YEAR('Assumptions &amp; Inputs'!$E$29),'Assumptions &amp; Inputs'!$E$9,$E$79), 0)</f>
        <v>0</v>
      </c>
      <c r="AR101" s="8">
        <f>IFERROR(-IPMT('Assumptions &amp; Inputs'!$E$10,AR89-YEAR('Assumptions &amp; Inputs'!$E$29),'Assumptions &amp; Inputs'!$E$9,$E$79), 0)</f>
        <v>0</v>
      </c>
      <c r="AS101" s="8">
        <f>IFERROR(-IPMT('Assumptions &amp; Inputs'!$E$10,AS89-YEAR('Assumptions &amp; Inputs'!$E$29),'Assumptions &amp; Inputs'!$E$9,$E$79), 0)</f>
        <v>0</v>
      </c>
      <c r="AT101" s="8">
        <f>IFERROR(-IPMT('Assumptions &amp; Inputs'!$E$10,AT89-YEAR('Assumptions &amp; Inputs'!$E$29),'Assumptions &amp; Inputs'!$E$9,$E$79), 0)</f>
        <v>0</v>
      </c>
      <c r="AU101" s="8">
        <f>IFERROR(-IPMT('Assumptions &amp; Inputs'!$E$10,AU89-YEAR('Assumptions &amp; Inputs'!$E$29),'Assumptions &amp; Inputs'!$E$9,$E$79), 0)</f>
        <v>0</v>
      </c>
      <c r="AV101" s="8">
        <f>IFERROR(-IPMT('Assumptions &amp; Inputs'!$E$10,AV89-YEAR('Assumptions &amp; Inputs'!$E$29),'Assumptions &amp; Inputs'!$E$9,$E$79), 0)</f>
        <v>0</v>
      </c>
      <c r="AW101" s="8">
        <f>IFERROR(-IPMT('Assumptions &amp; Inputs'!$E$10,AW89-YEAR('Assumptions &amp; Inputs'!$E$29),'Assumptions &amp; Inputs'!$E$9,$E$79), 0)</f>
        <v>0</v>
      </c>
    </row>
    <row r="102" spans="1:50" ht="14.25" customHeight="1">
      <c r="A102" s="84"/>
      <c r="B102" s="84"/>
      <c r="C102" s="1" t="s">
        <v>452</v>
      </c>
      <c r="D102" s="1"/>
      <c r="E102" s="8">
        <f t="shared" ref="E102:AW102" si="274">-E98</f>
        <v>0</v>
      </c>
      <c r="F102" s="8">
        <f t="shared" si="274"/>
        <v>0</v>
      </c>
      <c r="G102" s="8">
        <f t="shared" si="274"/>
        <v>0</v>
      </c>
      <c r="H102" s="8">
        <f t="shared" si="274"/>
        <v>0</v>
      </c>
      <c r="I102" s="8">
        <f t="shared" si="274"/>
        <v>0</v>
      </c>
      <c r="J102" s="8">
        <f t="shared" si="274"/>
        <v>0</v>
      </c>
      <c r="K102" s="8">
        <f t="shared" si="274"/>
        <v>0</v>
      </c>
      <c r="L102" s="8">
        <f t="shared" si="274"/>
        <v>0</v>
      </c>
      <c r="M102" s="8">
        <f t="shared" si="274"/>
        <v>0</v>
      </c>
      <c r="N102" s="8">
        <f t="shared" si="274"/>
        <v>0</v>
      </c>
      <c r="O102" s="8">
        <f t="shared" si="274"/>
        <v>0</v>
      </c>
      <c r="P102" s="8">
        <f t="shared" si="274"/>
        <v>0</v>
      </c>
      <c r="Q102" s="8">
        <f t="shared" si="274"/>
        <v>0</v>
      </c>
      <c r="R102" s="8">
        <f t="shared" si="274"/>
        <v>0</v>
      </c>
      <c r="S102" s="8">
        <f t="shared" si="274"/>
        <v>0</v>
      </c>
      <c r="T102" s="8">
        <f t="shared" si="274"/>
        <v>0</v>
      </c>
      <c r="U102" s="8">
        <f t="shared" si="274"/>
        <v>0</v>
      </c>
      <c r="V102" s="8">
        <f t="shared" si="274"/>
        <v>0</v>
      </c>
      <c r="W102" s="8">
        <f t="shared" si="274"/>
        <v>0</v>
      </c>
      <c r="X102" s="8">
        <f t="shared" si="274"/>
        <v>0</v>
      </c>
      <c r="Y102" s="8">
        <f t="shared" si="274"/>
        <v>0</v>
      </c>
      <c r="Z102" s="8">
        <f t="shared" si="274"/>
        <v>0</v>
      </c>
      <c r="AA102" s="8">
        <f t="shared" si="274"/>
        <v>0</v>
      </c>
      <c r="AB102" s="8">
        <f t="shared" si="274"/>
        <v>0</v>
      </c>
      <c r="AC102" s="8">
        <f t="shared" si="274"/>
        <v>0</v>
      </c>
      <c r="AD102" s="8">
        <f t="shared" si="274"/>
        <v>0</v>
      </c>
      <c r="AE102" s="8">
        <f t="shared" si="274"/>
        <v>0</v>
      </c>
      <c r="AF102" s="8">
        <f t="shared" si="274"/>
        <v>0</v>
      </c>
      <c r="AG102" s="8">
        <f t="shared" si="274"/>
        <v>0</v>
      </c>
      <c r="AH102" s="8">
        <f t="shared" si="274"/>
        <v>0</v>
      </c>
      <c r="AI102" s="8">
        <f t="shared" si="274"/>
        <v>0</v>
      </c>
      <c r="AJ102" s="8">
        <f t="shared" si="274"/>
        <v>0</v>
      </c>
      <c r="AK102" s="8">
        <f t="shared" si="274"/>
        <v>0</v>
      </c>
      <c r="AL102" s="8">
        <f t="shared" si="274"/>
        <v>0</v>
      </c>
      <c r="AM102" s="8">
        <f t="shared" si="274"/>
        <v>0</v>
      </c>
      <c r="AN102" s="8">
        <f t="shared" si="274"/>
        <v>0</v>
      </c>
      <c r="AO102" s="8">
        <f t="shared" si="274"/>
        <v>0</v>
      </c>
      <c r="AP102" s="8">
        <f t="shared" si="274"/>
        <v>0</v>
      </c>
      <c r="AQ102" s="8">
        <f t="shared" si="274"/>
        <v>0</v>
      </c>
      <c r="AR102" s="8">
        <f t="shared" si="274"/>
        <v>0</v>
      </c>
      <c r="AS102" s="8">
        <f t="shared" si="274"/>
        <v>0</v>
      </c>
      <c r="AT102" s="8">
        <f t="shared" si="274"/>
        <v>0</v>
      </c>
      <c r="AU102" s="8">
        <f t="shared" si="274"/>
        <v>0</v>
      </c>
      <c r="AV102" s="8">
        <f t="shared" si="274"/>
        <v>0</v>
      </c>
      <c r="AW102" s="8">
        <f t="shared" si="274"/>
        <v>0</v>
      </c>
    </row>
    <row r="103" spans="1:50" ht="14.25" customHeight="1">
      <c r="A103" s="84"/>
      <c r="B103" s="84"/>
      <c r="C103" s="2" t="s">
        <v>444</v>
      </c>
      <c r="D103" s="2"/>
      <c r="E103" s="31">
        <f t="shared" ref="E103:AW103" si="275">SUM(E101:E102)</f>
        <v>0</v>
      </c>
      <c r="F103" s="31">
        <f t="shared" si="275"/>
        <v>0</v>
      </c>
      <c r="G103" s="31">
        <f t="shared" si="275"/>
        <v>0</v>
      </c>
      <c r="H103" s="31">
        <f t="shared" si="275"/>
        <v>0</v>
      </c>
      <c r="I103" s="31">
        <f t="shared" si="275"/>
        <v>0</v>
      </c>
      <c r="J103" s="31">
        <f t="shared" si="275"/>
        <v>0</v>
      </c>
      <c r="K103" s="31">
        <f t="shared" si="275"/>
        <v>0</v>
      </c>
      <c r="L103" s="31">
        <f t="shared" si="275"/>
        <v>0</v>
      </c>
      <c r="M103" s="31">
        <f t="shared" si="275"/>
        <v>0</v>
      </c>
      <c r="N103" s="31">
        <f t="shared" si="275"/>
        <v>0</v>
      </c>
      <c r="O103" s="31">
        <f t="shared" si="275"/>
        <v>0</v>
      </c>
      <c r="P103" s="31">
        <f t="shared" si="275"/>
        <v>0</v>
      </c>
      <c r="Q103" s="31">
        <f t="shared" si="275"/>
        <v>0</v>
      </c>
      <c r="R103" s="31">
        <f t="shared" si="275"/>
        <v>0</v>
      </c>
      <c r="S103" s="31">
        <f t="shared" si="275"/>
        <v>0</v>
      </c>
      <c r="T103" s="31">
        <f t="shared" si="275"/>
        <v>0</v>
      </c>
      <c r="U103" s="31">
        <f t="shared" si="275"/>
        <v>0</v>
      </c>
      <c r="V103" s="31">
        <f t="shared" si="275"/>
        <v>0</v>
      </c>
      <c r="W103" s="31">
        <f t="shared" si="275"/>
        <v>0</v>
      </c>
      <c r="X103" s="31">
        <f t="shared" si="275"/>
        <v>0</v>
      </c>
      <c r="Y103" s="31">
        <f t="shared" si="275"/>
        <v>0</v>
      </c>
      <c r="Z103" s="31">
        <f t="shared" si="275"/>
        <v>0</v>
      </c>
      <c r="AA103" s="31">
        <f t="shared" si="275"/>
        <v>0</v>
      </c>
      <c r="AB103" s="31">
        <f t="shared" si="275"/>
        <v>0</v>
      </c>
      <c r="AC103" s="31">
        <f t="shared" si="275"/>
        <v>0</v>
      </c>
      <c r="AD103" s="31">
        <f t="shared" si="275"/>
        <v>0</v>
      </c>
      <c r="AE103" s="31">
        <f t="shared" si="275"/>
        <v>0</v>
      </c>
      <c r="AF103" s="31">
        <f t="shared" si="275"/>
        <v>0</v>
      </c>
      <c r="AG103" s="31">
        <f t="shared" si="275"/>
        <v>0</v>
      </c>
      <c r="AH103" s="31">
        <f t="shared" si="275"/>
        <v>0</v>
      </c>
      <c r="AI103" s="31">
        <f t="shared" si="275"/>
        <v>0</v>
      </c>
      <c r="AJ103" s="31">
        <f t="shared" si="275"/>
        <v>0</v>
      </c>
      <c r="AK103" s="31">
        <f t="shared" si="275"/>
        <v>0</v>
      </c>
      <c r="AL103" s="31">
        <f t="shared" si="275"/>
        <v>0</v>
      </c>
      <c r="AM103" s="31">
        <f t="shared" si="275"/>
        <v>0</v>
      </c>
      <c r="AN103" s="31">
        <f t="shared" si="275"/>
        <v>0</v>
      </c>
      <c r="AO103" s="31">
        <f t="shared" si="275"/>
        <v>0</v>
      </c>
      <c r="AP103" s="31">
        <f t="shared" si="275"/>
        <v>0</v>
      </c>
      <c r="AQ103" s="31">
        <f t="shared" si="275"/>
        <v>0</v>
      </c>
      <c r="AR103" s="31">
        <f t="shared" si="275"/>
        <v>0</v>
      </c>
      <c r="AS103" s="31">
        <f t="shared" si="275"/>
        <v>0</v>
      </c>
      <c r="AT103" s="31">
        <f t="shared" si="275"/>
        <v>0</v>
      </c>
      <c r="AU103" s="31">
        <f t="shared" si="275"/>
        <v>0</v>
      </c>
      <c r="AV103" s="31">
        <f t="shared" si="275"/>
        <v>0</v>
      </c>
      <c r="AW103" s="31">
        <f t="shared" si="275"/>
        <v>0</v>
      </c>
    </row>
    <row r="104" spans="1:50" ht="14.25" customHeight="1"/>
    <row r="105" spans="1:50" ht="14.25" customHeight="1">
      <c r="A105" s="2"/>
      <c r="B105" s="2"/>
      <c r="D105" s="5"/>
      <c r="E105" s="6"/>
    </row>
    <row r="106" spans="1:50" ht="14.25" customHeight="1" thickBot="1">
      <c r="A106" t="s">
        <v>351</v>
      </c>
      <c r="C106" s="9" t="s">
        <v>475</v>
      </c>
      <c r="D106" s="9"/>
      <c r="E106" s="10"/>
      <c r="F106" s="10"/>
      <c r="G106" s="10"/>
      <c r="H106" s="10"/>
      <c r="I106" s="10"/>
      <c r="J106" s="1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50" ht="14.25" customHeight="1">
      <c r="C107" s="12" t="s">
        <v>353</v>
      </c>
      <c r="D107" s="13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50" ht="14.25" customHeight="1">
      <c r="D108" s="90">
        <v>0</v>
      </c>
      <c r="E108" s="90">
        <f t="shared" ref="E108:X108" si="276">D108+1</f>
        <v>1</v>
      </c>
      <c r="F108" s="90">
        <f t="shared" si="276"/>
        <v>2</v>
      </c>
      <c r="G108" s="90">
        <f t="shared" si="276"/>
        <v>3</v>
      </c>
      <c r="H108" s="90">
        <f t="shared" si="276"/>
        <v>4</v>
      </c>
      <c r="I108" s="90">
        <f t="shared" si="276"/>
        <v>5</v>
      </c>
      <c r="J108" s="90">
        <f t="shared" si="276"/>
        <v>6</v>
      </c>
      <c r="K108" s="90">
        <f t="shared" si="276"/>
        <v>7</v>
      </c>
      <c r="L108" s="90">
        <f t="shared" si="276"/>
        <v>8</v>
      </c>
      <c r="M108" s="90">
        <f t="shared" si="276"/>
        <v>9</v>
      </c>
      <c r="N108" s="90">
        <f t="shared" si="276"/>
        <v>10</v>
      </c>
      <c r="O108" s="90">
        <f t="shared" si="276"/>
        <v>11</v>
      </c>
      <c r="P108" s="90">
        <f t="shared" si="276"/>
        <v>12</v>
      </c>
      <c r="Q108" s="90">
        <f t="shared" si="276"/>
        <v>13</v>
      </c>
      <c r="R108" s="90">
        <f t="shared" si="276"/>
        <v>14</v>
      </c>
      <c r="S108" s="90">
        <f t="shared" si="276"/>
        <v>15</v>
      </c>
      <c r="T108" s="90">
        <f t="shared" si="276"/>
        <v>16</v>
      </c>
      <c r="U108" s="90">
        <f t="shared" si="276"/>
        <v>17</v>
      </c>
      <c r="V108" s="90">
        <f t="shared" si="276"/>
        <v>18</v>
      </c>
      <c r="W108" s="90">
        <f t="shared" si="276"/>
        <v>19</v>
      </c>
      <c r="X108" s="90">
        <f t="shared" si="276"/>
        <v>20</v>
      </c>
      <c r="Y108" s="90">
        <f t="shared" ref="Y108" si="277">X108+1</f>
        <v>21</v>
      </c>
      <c r="Z108" s="90">
        <f t="shared" ref="Z108" si="278">Y108+1</f>
        <v>22</v>
      </c>
      <c r="AA108" s="90">
        <f t="shared" ref="AA108" si="279">Z108+1</f>
        <v>23</v>
      </c>
      <c r="AB108" s="90">
        <f t="shared" ref="AB108" si="280">AA108+1</f>
        <v>24</v>
      </c>
      <c r="AC108" s="90">
        <f t="shared" ref="AC108" si="281">AB108+1</f>
        <v>25</v>
      </c>
      <c r="AD108" s="90">
        <f t="shared" ref="AD108" si="282">AC108+1</f>
        <v>26</v>
      </c>
      <c r="AE108" s="90">
        <f t="shared" ref="AE108" si="283">AD108+1</f>
        <v>27</v>
      </c>
      <c r="AF108" s="90">
        <f t="shared" ref="AF108" si="284">AE108+1</f>
        <v>28</v>
      </c>
      <c r="AG108" s="90">
        <f t="shared" ref="AG108" si="285">AF108+1</f>
        <v>29</v>
      </c>
      <c r="AH108" s="90">
        <f t="shared" ref="AH108" si="286">AG108+1</f>
        <v>30</v>
      </c>
      <c r="AI108" s="90">
        <f t="shared" ref="AI108" si="287">AH108+1</f>
        <v>31</v>
      </c>
      <c r="AJ108" s="90">
        <f t="shared" ref="AJ108" si="288">AI108+1</f>
        <v>32</v>
      </c>
      <c r="AK108" s="90">
        <f t="shared" ref="AK108" si="289">AJ108+1</f>
        <v>33</v>
      </c>
      <c r="AL108" s="90">
        <f t="shared" ref="AL108" si="290">AK108+1</f>
        <v>34</v>
      </c>
      <c r="AM108" s="90">
        <f t="shared" ref="AM108" si="291">AL108+1</f>
        <v>35</v>
      </c>
      <c r="AN108" s="90">
        <f t="shared" ref="AN108" si="292">AM108+1</f>
        <v>36</v>
      </c>
      <c r="AO108" s="90">
        <f t="shared" ref="AO108" si="293">AN108+1</f>
        <v>37</v>
      </c>
      <c r="AP108" s="90">
        <f t="shared" ref="AP108" si="294">AO108+1</f>
        <v>38</v>
      </c>
      <c r="AQ108" s="90">
        <f t="shared" ref="AQ108" si="295">AP108+1</f>
        <v>39</v>
      </c>
      <c r="AR108" s="90">
        <f t="shared" ref="AR108" si="296">AQ108+1</f>
        <v>40</v>
      </c>
      <c r="AS108" s="90">
        <f t="shared" ref="AS108" si="297">AR108+1</f>
        <v>41</v>
      </c>
      <c r="AT108" s="90">
        <f t="shared" ref="AT108" si="298">AS108+1</f>
        <v>42</v>
      </c>
      <c r="AU108" s="90">
        <f t="shared" ref="AU108" si="299">AT108+1</f>
        <v>43</v>
      </c>
      <c r="AV108" s="90">
        <f t="shared" ref="AV108" si="300">AU108+1</f>
        <v>44</v>
      </c>
      <c r="AW108" s="90">
        <f t="shared" ref="AW108" si="301">AV108+1</f>
        <v>45</v>
      </c>
      <c r="AX108" s="119">
        <f>AW108+1</f>
        <v>46</v>
      </c>
    </row>
    <row r="109" spans="1:50" ht="14.25" customHeight="1">
      <c r="C109" s="2"/>
      <c r="D109" s="2"/>
      <c r="E109" s="806" t="s">
        <v>354</v>
      </c>
      <c r="F109" s="819"/>
      <c r="G109" s="819"/>
      <c r="H109" s="819"/>
      <c r="I109" s="819"/>
      <c r="J109" s="819"/>
      <c r="K109" s="819"/>
      <c r="L109" s="819"/>
      <c r="M109" s="819"/>
      <c r="N109" s="819"/>
      <c r="O109" s="819"/>
      <c r="P109" s="819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</row>
    <row r="110" spans="1:50" ht="14.25" customHeight="1">
      <c r="C110" s="2"/>
      <c r="D110" s="3">
        <f>D89</f>
        <v>2025</v>
      </c>
      <c r="E110" s="91">
        <f t="shared" ref="E110:X110" si="302">D110+1</f>
        <v>2026</v>
      </c>
      <c r="F110" s="91">
        <f t="shared" si="302"/>
        <v>2027</v>
      </c>
      <c r="G110" s="91">
        <f t="shared" si="302"/>
        <v>2028</v>
      </c>
      <c r="H110" s="91">
        <f t="shared" si="302"/>
        <v>2029</v>
      </c>
      <c r="I110" s="91">
        <f t="shared" si="302"/>
        <v>2030</v>
      </c>
      <c r="J110" s="91">
        <f t="shared" si="302"/>
        <v>2031</v>
      </c>
      <c r="K110" s="91">
        <f t="shared" si="302"/>
        <v>2032</v>
      </c>
      <c r="L110" s="91">
        <f t="shared" si="302"/>
        <v>2033</v>
      </c>
      <c r="M110" s="91">
        <f t="shared" si="302"/>
        <v>2034</v>
      </c>
      <c r="N110" s="91">
        <f t="shared" si="302"/>
        <v>2035</v>
      </c>
      <c r="O110" s="91">
        <f t="shared" si="302"/>
        <v>2036</v>
      </c>
      <c r="P110" s="91">
        <f t="shared" si="302"/>
        <v>2037</v>
      </c>
      <c r="Q110" s="91">
        <f t="shared" si="302"/>
        <v>2038</v>
      </c>
      <c r="R110" s="91">
        <f t="shared" si="302"/>
        <v>2039</v>
      </c>
      <c r="S110" s="91">
        <f t="shared" si="302"/>
        <v>2040</v>
      </c>
      <c r="T110" s="91">
        <f t="shared" si="302"/>
        <v>2041</v>
      </c>
      <c r="U110" s="91">
        <f t="shared" si="302"/>
        <v>2042</v>
      </c>
      <c r="V110" s="91">
        <f t="shared" si="302"/>
        <v>2043</v>
      </c>
      <c r="W110" s="91">
        <f t="shared" si="302"/>
        <v>2044</v>
      </c>
      <c r="X110" s="91">
        <f t="shared" si="302"/>
        <v>2045</v>
      </c>
      <c r="Y110" s="91">
        <f t="shared" ref="Y110" si="303">X110+1</f>
        <v>2046</v>
      </c>
      <c r="Z110" s="91">
        <f t="shared" ref="Z110" si="304">Y110+1</f>
        <v>2047</v>
      </c>
      <c r="AA110" s="91">
        <f t="shared" ref="AA110" si="305">Z110+1</f>
        <v>2048</v>
      </c>
      <c r="AB110" s="91">
        <f t="shared" ref="AB110" si="306">AA110+1</f>
        <v>2049</v>
      </c>
      <c r="AC110" s="91">
        <f t="shared" ref="AC110" si="307">AB110+1</f>
        <v>2050</v>
      </c>
      <c r="AD110" s="91">
        <f t="shared" ref="AD110" si="308">AC110+1</f>
        <v>2051</v>
      </c>
      <c r="AE110" s="91">
        <f t="shared" ref="AE110" si="309">AD110+1</f>
        <v>2052</v>
      </c>
      <c r="AF110" s="91">
        <f t="shared" ref="AF110" si="310">AE110+1</f>
        <v>2053</v>
      </c>
      <c r="AG110" s="91">
        <f t="shared" ref="AG110" si="311">AF110+1</f>
        <v>2054</v>
      </c>
      <c r="AH110" s="91">
        <f t="shared" ref="AH110" si="312">AG110+1</f>
        <v>2055</v>
      </c>
      <c r="AI110" s="91">
        <f t="shared" ref="AI110" si="313">AH110+1</f>
        <v>2056</v>
      </c>
      <c r="AJ110" s="91">
        <f t="shared" ref="AJ110" si="314">AI110+1</f>
        <v>2057</v>
      </c>
      <c r="AK110" s="91">
        <f t="shared" ref="AK110" si="315">AJ110+1</f>
        <v>2058</v>
      </c>
      <c r="AL110" s="91">
        <f t="shared" ref="AL110" si="316">AK110+1</f>
        <v>2059</v>
      </c>
      <c r="AM110" s="91">
        <f t="shared" ref="AM110" si="317">AL110+1</f>
        <v>2060</v>
      </c>
      <c r="AN110" s="91">
        <f t="shared" ref="AN110" si="318">AM110+1</f>
        <v>2061</v>
      </c>
      <c r="AO110" s="91">
        <f t="shared" ref="AO110" si="319">AN110+1</f>
        <v>2062</v>
      </c>
      <c r="AP110" s="91">
        <f t="shared" ref="AP110" si="320">AO110+1</f>
        <v>2063</v>
      </c>
      <c r="AQ110" s="91">
        <f t="shared" ref="AQ110" si="321">AP110+1</f>
        <v>2064</v>
      </c>
      <c r="AR110" s="91">
        <f t="shared" ref="AR110" si="322">AQ110+1</f>
        <v>2065</v>
      </c>
      <c r="AS110" s="91">
        <f t="shared" ref="AS110" si="323">AR110+1</f>
        <v>2066</v>
      </c>
      <c r="AT110" s="91">
        <f t="shared" ref="AT110" si="324">AS110+1</f>
        <v>2067</v>
      </c>
      <c r="AU110" s="91">
        <f t="shared" ref="AU110" si="325">AT110+1</f>
        <v>2068</v>
      </c>
      <c r="AV110" s="91">
        <f t="shared" ref="AV110" si="326">AU110+1</f>
        <v>2069</v>
      </c>
      <c r="AW110" s="91">
        <f t="shared" ref="AW110" si="327">AV110+1</f>
        <v>2070</v>
      </c>
    </row>
    <row r="111" spans="1:50" ht="14.25" customHeight="1">
      <c r="C111" s="2"/>
      <c r="D111" s="155">
        <f>D90</f>
        <v>46023</v>
      </c>
      <c r="E111" s="155">
        <f t="shared" ref="E111:X111" si="328">E90</f>
        <v>46387</v>
      </c>
      <c r="F111" s="155">
        <f t="shared" si="328"/>
        <v>46752</v>
      </c>
      <c r="G111" s="155">
        <f t="shared" si="328"/>
        <v>47118</v>
      </c>
      <c r="H111" s="155">
        <f t="shared" si="328"/>
        <v>47483</v>
      </c>
      <c r="I111" s="155">
        <f t="shared" si="328"/>
        <v>47848</v>
      </c>
      <c r="J111" s="155">
        <f t="shared" si="328"/>
        <v>48213</v>
      </c>
      <c r="K111" s="155">
        <f t="shared" si="328"/>
        <v>48579</v>
      </c>
      <c r="L111" s="155">
        <f t="shared" si="328"/>
        <v>48944</v>
      </c>
      <c r="M111" s="155">
        <f t="shared" si="328"/>
        <v>49309</v>
      </c>
      <c r="N111" s="155">
        <f t="shared" si="328"/>
        <v>49674</v>
      </c>
      <c r="O111" s="155">
        <f t="shared" si="328"/>
        <v>50040</v>
      </c>
      <c r="P111" s="155">
        <f t="shared" si="328"/>
        <v>50405</v>
      </c>
      <c r="Q111" s="155">
        <f t="shared" si="328"/>
        <v>50770</v>
      </c>
      <c r="R111" s="155">
        <f t="shared" si="328"/>
        <v>51135</v>
      </c>
      <c r="S111" s="155">
        <f t="shared" si="328"/>
        <v>51501</v>
      </c>
      <c r="T111" s="155">
        <f t="shared" si="328"/>
        <v>51866</v>
      </c>
      <c r="U111" s="155">
        <f t="shared" si="328"/>
        <v>52231</v>
      </c>
      <c r="V111" s="155">
        <f t="shared" si="328"/>
        <v>52596</v>
      </c>
      <c r="W111" s="155">
        <f t="shared" si="328"/>
        <v>52962</v>
      </c>
      <c r="X111" s="155">
        <f t="shared" si="328"/>
        <v>53327</v>
      </c>
      <c r="Y111" s="155">
        <f t="shared" ref="Y111:AW111" si="329">Y90</f>
        <v>53692</v>
      </c>
      <c r="Z111" s="155">
        <f t="shared" si="329"/>
        <v>54057</v>
      </c>
      <c r="AA111" s="155">
        <f t="shared" si="329"/>
        <v>54423</v>
      </c>
      <c r="AB111" s="155">
        <f t="shared" si="329"/>
        <v>54788</v>
      </c>
      <c r="AC111" s="155">
        <f t="shared" si="329"/>
        <v>55153</v>
      </c>
      <c r="AD111" s="155">
        <f t="shared" si="329"/>
        <v>55518</v>
      </c>
      <c r="AE111" s="155">
        <f t="shared" si="329"/>
        <v>55884</v>
      </c>
      <c r="AF111" s="155">
        <f t="shared" si="329"/>
        <v>56249</v>
      </c>
      <c r="AG111" s="155">
        <f t="shared" si="329"/>
        <v>56614</v>
      </c>
      <c r="AH111" s="155">
        <f t="shared" si="329"/>
        <v>56979</v>
      </c>
      <c r="AI111" s="155">
        <f t="shared" si="329"/>
        <v>57345</v>
      </c>
      <c r="AJ111" s="155">
        <f t="shared" si="329"/>
        <v>57710</v>
      </c>
      <c r="AK111" s="155">
        <f t="shared" si="329"/>
        <v>58075</v>
      </c>
      <c r="AL111" s="155">
        <f t="shared" si="329"/>
        <v>58440</v>
      </c>
      <c r="AM111" s="155">
        <f t="shared" si="329"/>
        <v>58806</v>
      </c>
      <c r="AN111" s="155">
        <f t="shared" si="329"/>
        <v>59171</v>
      </c>
      <c r="AO111" s="155">
        <f t="shared" si="329"/>
        <v>59536</v>
      </c>
      <c r="AP111" s="155">
        <f t="shared" si="329"/>
        <v>59901</v>
      </c>
      <c r="AQ111" s="155">
        <f t="shared" si="329"/>
        <v>60267</v>
      </c>
      <c r="AR111" s="155">
        <f t="shared" si="329"/>
        <v>60632</v>
      </c>
      <c r="AS111" s="155">
        <f t="shared" si="329"/>
        <v>60997</v>
      </c>
      <c r="AT111" s="155">
        <f t="shared" si="329"/>
        <v>61362</v>
      </c>
      <c r="AU111" s="155">
        <f t="shared" si="329"/>
        <v>61728</v>
      </c>
      <c r="AV111" s="155">
        <f t="shared" si="329"/>
        <v>62093</v>
      </c>
      <c r="AW111" s="155">
        <f t="shared" si="329"/>
        <v>62458</v>
      </c>
    </row>
    <row r="112" spans="1:50" ht="14.25" customHeight="1">
      <c r="C112" s="1" t="s">
        <v>495</v>
      </c>
      <c r="D112" s="15">
        <f>IF(YEAR('Assumptions &amp; Inputs'!$E$31)&gt;D110, 0, IF(D110=YEAR('Assumptions &amp; Inputs'!$E$31),'Assumptions &amp; Inputs'!$E$65*YEARFRAC('Assumptions &amp; Inputs'!$E$31,'Assumptions &amp; Inputs'!$E$32), IF(YEAR('Assumptions &amp; Inputs'!$E$36)&gt;=D110, 'Assumptions &amp; Inputs'!$E$65*(1+'Assumptions &amp; Inputs'!$E$21)^(D108-ROUNDUP('Assumptions &amp; Inputs'!$E$28/12, 0)), 0)))</f>
        <v>0</v>
      </c>
      <c r="E112" s="15">
        <f>IF(YEAR('Assumptions &amp; Inputs'!$E$31)&gt;E110, 0, IF(E110=YEAR('Assumptions &amp; Inputs'!$E$31),'Assumptions &amp; Inputs'!$E$65*YEARFRAC('Assumptions &amp; Inputs'!$E$31,'Assumptions &amp; Inputs'!$E$32), IF(YEAR('Assumptions &amp; Inputs'!$E$36)&gt;=E110, 'Assumptions &amp; Inputs'!$E$65*(1+'Assumptions &amp; Inputs'!$E$21)^(E108-ROUNDUP('Assumptions &amp; Inputs'!$E$28/12, 0)), 0)))</f>
        <v>22.574999999999999</v>
      </c>
      <c r="F112" s="15">
        <f>IF(YEAR('Assumptions &amp; Inputs'!$E$31)&gt;F110, 0, IF(F110=YEAR('Assumptions &amp; Inputs'!$E$31),'Assumptions &amp; Inputs'!$E$65*YEARFRAC('Assumptions &amp; Inputs'!$E$31,'Assumptions &amp; Inputs'!$E$32), IF(YEAR('Assumptions &amp; Inputs'!$E$36)&gt;=F110, 'Assumptions &amp; Inputs'!$E$65*(1+'Assumptions &amp; Inputs'!$E$21)^(F108-ROUNDUP('Assumptions &amp; Inputs'!$E$28/12, 0)), 0)))</f>
        <v>27.54</v>
      </c>
      <c r="G112" s="15">
        <f>IF(YEAR('Assumptions &amp; Inputs'!$E$31)&gt;G110, 0, IF(G110=YEAR('Assumptions &amp; Inputs'!$E$31),'Assumptions &amp; Inputs'!$E$65*YEARFRAC('Assumptions &amp; Inputs'!$E$31,'Assumptions &amp; Inputs'!$E$32), IF(YEAR('Assumptions &amp; Inputs'!$E$36)&gt;=G110, 'Assumptions &amp; Inputs'!$E$65*(1+'Assumptions &amp; Inputs'!$E$21)^(G108-ROUNDUP('Assumptions &amp; Inputs'!$E$28/12, 0)), 0)))</f>
        <v>28.090800000000002</v>
      </c>
      <c r="H112" s="15">
        <f>IF(YEAR('Assumptions &amp; Inputs'!$E$31)&gt;H110, 0, IF(H110=YEAR('Assumptions &amp; Inputs'!$E$31),'Assumptions &amp; Inputs'!$E$65*YEARFRAC('Assumptions &amp; Inputs'!$E$31,'Assumptions &amp; Inputs'!$E$32), IF(YEAR('Assumptions &amp; Inputs'!$E$36)&gt;=H110, 'Assumptions &amp; Inputs'!$E$65*(1+'Assumptions &amp; Inputs'!$E$21)^(H108-ROUNDUP('Assumptions &amp; Inputs'!$E$28/12, 0)), 0)))</f>
        <v>28.652615999999998</v>
      </c>
      <c r="I112" s="15">
        <f>IF(YEAR('Assumptions &amp; Inputs'!$E$31)&gt;I110, 0, IF(I110=YEAR('Assumptions &amp; Inputs'!$E$31),'Assumptions &amp; Inputs'!$E$65*YEARFRAC('Assumptions &amp; Inputs'!$E$31,'Assumptions &amp; Inputs'!$E$32), IF(YEAR('Assumptions &amp; Inputs'!$E$36)&gt;=I110, 'Assumptions &amp; Inputs'!$E$65*(1+'Assumptions &amp; Inputs'!$E$21)^(I108-ROUNDUP('Assumptions &amp; Inputs'!$E$28/12, 0)), 0)))</f>
        <v>29.22566832</v>
      </c>
      <c r="J112" s="15">
        <f>IF(YEAR('Assumptions &amp; Inputs'!$E$31)&gt;J110, 0, IF(J110=YEAR('Assumptions &amp; Inputs'!$E$31),'Assumptions &amp; Inputs'!$E$65*YEARFRAC('Assumptions &amp; Inputs'!$E$31,'Assumptions &amp; Inputs'!$E$32), IF(YEAR('Assumptions &amp; Inputs'!$E$36)&gt;=J110, 'Assumptions &amp; Inputs'!$E$65*(1+'Assumptions &amp; Inputs'!$E$21)^(J108-ROUNDUP('Assumptions &amp; Inputs'!$E$28/12, 0)), 0)))</f>
        <v>29.8101816864</v>
      </c>
      <c r="K112" s="15">
        <f>IF(YEAR('Assumptions &amp; Inputs'!$E$31)&gt;K110, 0, IF(K110=YEAR('Assumptions &amp; Inputs'!$E$31),'Assumptions &amp; Inputs'!$E$65*YEARFRAC('Assumptions &amp; Inputs'!$E$31,'Assumptions &amp; Inputs'!$E$32), IF(YEAR('Assumptions &amp; Inputs'!$E$36)&gt;=K110, 'Assumptions &amp; Inputs'!$E$65*(1+'Assumptions &amp; Inputs'!$E$21)^(K108-ROUNDUP('Assumptions &amp; Inputs'!$E$28/12, 0)), 0)))</f>
        <v>30.406385320128003</v>
      </c>
      <c r="L112" s="15">
        <f>IF(YEAR('Assumptions &amp; Inputs'!$E$31)&gt;L110, 0, IF(L110=YEAR('Assumptions &amp; Inputs'!$E$31),'Assumptions &amp; Inputs'!$E$65*YEARFRAC('Assumptions &amp; Inputs'!$E$31,'Assumptions &amp; Inputs'!$E$32), IF(YEAR('Assumptions &amp; Inputs'!$E$36)&gt;=L110, 'Assumptions &amp; Inputs'!$E$65*(1+'Assumptions &amp; Inputs'!$E$21)^(L108-ROUNDUP('Assumptions &amp; Inputs'!$E$28/12, 0)), 0)))</f>
        <v>31.014513026530555</v>
      </c>
      <c r="M112" s="15">
        <f>IF(YEAR('Assumptions &amp; Inputs'!$E$31)&gt;M110, 0, IF(M110=YEAR('Assumptions &amp; Inputs'!$E$31),'Assumptions &amp; Inputs'!$E$65*YEARFRAC('Assumptions &amp; Inputs'!$E$31,'Assumptions &amp; Inputs'!$E$32), IF(YEAR('Assumptions &amp; Inputs'!$E$36)&gt;=M110, 'Assumptions &amp; Inputs'!$E$65*(1+'Assumptions &amp; Inputs'!$E$21)^(M108-ROUNDUP('Assumptions &amp; Inputs'!$E$28/12, 0)), 0)))</f>
        <v>31.634803287061168</v>
      </c>
      <c r="N112" s="15">
        <f>IF(YEAR('Assumptions &amp; Inputs'!$E$31)&gt;N110, 0, IF(N110=YEAR('Assumptions &amp; Inputs'!$E$31),'Assumptions &amp; Inputs'!$E$65*YEARFRAC('Assumptions &amp; Inputs'!$E$31,'Assumptions &amp; Inputs'!$E$32), IF(YEAR('Assumptions &amp; Inputs'!$E$36)&gt;=N110, 'Assumptions &amp; Inputs'!$E$65*(1+'Assumptions &amp; Inputs'!$E$21)^(N108-ROUNDUP('Assumptions &amp; Inputs'!$E$28/12, 0)), 0)))</f>
        <v>32.267499352802389</v>
      </c>
      <c r="O112" s="15">
        <f>IF(YEAR('Assumptions &amp; Inputs'!$E$31)&gt;O110, 0, IF(O110=YEAR('Assumptions &amp; Inputs'!$E$31),'Assumptions &amp; Inputs'!$E$65*YEARFRAC('Assumptions &amp; Inputs'!$E$31,'Assumptions &amp; Inputs'!$E$32), IF(YEAR('Assumptions &amp; Inputs'!$E$36)&gt;=O110, 'Assumptions &amp; Inputs'!$E$65*(1+'Assumptions &amp; Inputs'!$E$21)^(O108-ROUNDUP('Assumptions &amp; Inputs'!$E$28/12, 0)), 0)))</f>
        <v>32.91284933985844</v>
      </c>
      <c r="P112" s="15">
        <f>IF(YEAR('Assumptions &amp; Inputs'!$E$31)&gt;P110, 0, IF(P110=YEAR('Assumptions &amp; Inputs'!$E$31),'Assumptions &amp; Inputs'!$E$65*YEARFRAC('Assumptions &amp; Inputs'!$E$31,'Assumptions &amp; Inputs'!$E$32), IF(YEAR('Assumptions &amp; Inputs'!$E$36)&gt;=P110, 'Assumptions &amp; Inputs'!$E$65*(1+'Assumptions &amp; Inputs'!$E$21)^(P108-ROUNDUP('Assumptions &amp; Inputs'!$E$28/12, 0)), 0)))</f>
        <v>33.571106326655602</v>
      </c>
      <c r="Q112" s="15">
        <f>IF(YEAR('Assumptions &amp; Inputs'!$E$31)&gt;Q110, 0, IF(Q110=YEAR('Assumptions &amp; Inputs'!$E$31),'Assumptions &amp; Inputs'!$E$65*YEARFRAC('Assumptions &amp; Inputs'!$E$31,'Assumptions &amp; Inputs'!$E$32), IF(YEAR('Assumptions &amp; Inputs'!$E$36)&gt;=Q110, 'Assumptions &amp; Inputs'!$E$65*(1+'Assumptions &amp; Inputs'!$E$21)^(Q108-ROUNDUP('Assumptions &amp; Inputs'!$E$28/12, 0)), 0)))</f>
        <v>34.242528453188726</v>
      </c>
      <c r="R112" s="15">
        <f>IF(YEAR('Assumptions &amp; Inputs'!$E$31)&gt;R110, 0, IF(R110=YEAR('Assumptions &amp; Inputs'!$E$31),'Assumptions &amp; Inputs'!$E$65*YEARFRAC('Assumptions &amp; Inputs'!$E$31,'Assumptions &amp; Inputs'!$E$32), IF(YEAR('Assumptions &amp; Inputs'!$E$36)&gt;=R110, 'Assumptions &amp; Inputs'!$E$65*(1+'Assumptions &amp; Inputs'!$E$21)^(R108-ROUNDUP('Assumptions &amp; Inputs'!$E$28/12, 0)), 0)))</f>
        <v>34.927379022252495</v>
      </c>
      <c r="S112" s="15">
        <f>IF(YEAR('Assumptions &amp; Inputs'!$E$31)&gt;S110, 0, IF(S110=YEAR('Assumptions &amp; Inputs'!$E$31),'Assumptions &amp; Inputs'!$E$65*YEARFRAC('Assumptions &amp; Inputs'!$E$31,'Assumptions &amp; Inputs'!$E$32), IF(YEAR('Assumptions &amp; Inputs'!$E$36)&gt;=S110, 'Assumptions &amp; Inputs'!$E$65*(1+'Assumptions &amp; Inputs'!$E$21)^(S108-ROUNDUP('Assumptions &amp; Inputs'!$E$28/12, 0)), 0)))</f>
        <v>35.625926602697547</v>
      </c>
      <c r="T112" s="15">
        <f>IF(YEAR('Assumptions &amp; Inputs'!$E$31)&gt;T110, 0, IF(T110=YEAR('Assumptions &amp; Inputs'!$E$31),'Assumptions &amp; Inputs'!$E$65*YEARFRAC('Assumptions &amp; Inputs'!$E$31,'Assumptions &amp; Inputs'!$E$32), IF(YEAR('Assumptions &amp; Inputs'!$E$36)&gt;=T110, 'Assumptions &amp; Inputs'!$E$65*(1+'Assumptions &amp; Inputs'!$E$21)^(T108-ROUNDUP('Assumptions &amp; Inputs'!$E$28/12, 0)), 0)))</f>
        <v>36.338445134751488</v>
      </c>
      <c r="U112" s="15">
        <f>IF(YEAR('Assumptions &amp; Inputs'!$E$31)&gt;U110, 0, IF(U110=YEAR('Assumptions &amp; Inputs'!$E$31),'Assumptions &amp; Inputs'!$E$65*YEARFRAC('Assumptions &amp; Inputs'!$E$31,'Assumptions &amp; Inputs'!$E$32), IF(YEAR('Assumptions &amp; Inputs'!$E$36)&gt;=U110, 'Assumptions &amp; Inputs'!$E$65*(1+'Assumptions &amp; Inputs'!$E$21)^(U108-ROUNDUP('Assumptions &amp; Inputs'!$E$28/12, 0)), 0)))</f>
        <v>37.065214037446523</v>
      </c>
      <c r="V112" s="15">
        <f>IF(YEAR('Assumptions &amp; Inputs'!$E$31)&gt;V110, 0, IF(V110=YEAR('Assumptions &amp; Inputs'!$E$31),'Assumptions &amp; Inputs'!$E$65*YEARFRAC('Assumptions &amp; Inputs'!$E$31,'Assumptions &amp; Inputs'!$E$32), IF(YEAR('Assumptions &amp; Inputs'!$E$36)&gt;=V110, 'Assumptions &amp; Inputs'!$E$65*(1+'Assumptions &amp; Inputs'!$E$21)^(V108-ROUNDUP('Assumptions &amp; Inputs'!$E$28/12, 0)), 0)))</f>
        <v>37.806518318195458</v>
      </c>
      <c r="W112" s="15">
        <f>IF(YEAR('Assumptions &amp; Inputs'!$E$31)&gt;W110, 0, IF(W110=YEAR('Assumptions &amp; Inputs'!$E$31),'Assumptions &amp; Inputs'!$E$65*YEARFRAC('Assumptions &amp; Inputs'!$E$31,'Assumptions &amp; Inputs'!$E$32), IF(YEAR('Assumptions &amp; Inputs'!$E$36)&gt;=W110, 'Assumptions &amp; Inputs'!$E$65*(1+'Assumptions &amp; Inputs'!$E$21)^(W108-ROUNDUP('Assumptions &amp; Inputs'!$E$28/12, 0)), 0)))</f>
        <v>38.562648684559363</v>
      </c>
      <c r="X112" s="15">
        <f>IF(YEAR('Assumptions &amp; Inputs'!$E$31)&gt;X110, 0, IF(X110=YEAR('Assumptions &amp; Inputs'!$E$31),'Assumptions &amp; Inputs'!$E$65*YEARFRAC('Assumptions &amp; Inputs'!$E$31,'Assumptions &amp; Inputs'!$E$32), IF(YEAR('Assumptions &amp; Inputs'!$E$36)&gt;=X110, 'Assumptions &amp; Inputs'!$E$65*(1+'Assumptions &amp; Inputs'!$E$21)^(X108-ROUNDUP('Assumptions &amp; Inputs'!$E$28/12, 0)), 0)))</f>
        <v>39.333901658250547</v>
      </c>
      <c r="Y112" s="15">
        <f>IF(YEAR('Assumptions &amp; Inputs'!$E$31)&gt;Y110, 0, IF(Y110=YEAR('Assumptions &amp; Inputs'!$E$31),'Assumptions &amp; Inputs'!$E$65*YEARFRAC('Assumptions &amp; Inputs'!$E$31,'Assumptions &amp; Inputs'!$E$32), IF(YEAR('Assumptions &amp; Inputs'!$E$36)&gt;=Y110, 'Assumptions &amp; Inputs'!$E$65*(1+'Assumptions &amp; Inputs'!$E$21)^(Y108-ROUNDUP('Assumptions &amp; Inputs'!$E$28/12, 0)), 0)))</f>
        <v>40.120579691415564</v>
      </c>
      <c r="Z112" s="15">
        <f>IF(YEAR('Assumptions &amp; Inputs'!$E$31)&gt;Z110, 0, IF(Z110=YEAR('Assumptions &amp; Inputs'!$E$31),'Assumptions &amp; Inputs'!$E$65*YEARFRAC('Assumptions &amp; Inputs'!$E$31,'Assumptions &amp; Inputs'!$E$32), IF(YEAR('Assumptions &amp; Inputs'!$E$36)&gt;=Z110, 'Assumptions &amp; Inputs'!$E$65*(1+'Assumptions &amp; Inputs'!$E$21)^(Z108-ROUNDUP('Assumptions &amp; Inputs'!$E$28/12, 0)), 0)))</f>
        <v>40.922991285243874</v>
      </c>
      <c r="AA112" s="15">
        <f>IF(YEAR('Assumptions &amp; Inputs'!$E$31)&gt;AA110, 0, IF(AA110=YEAR('Assumptions &amp; Inputs'!$E$31),'Assumptions &amp; Inputs'!$E$65*YEARFRAC('Assumptions &amp; Inputs'!$E$31,'Assumptions &amp; Inputs'!$E$32), IF(YEAR('Assumptions &amp; Inputs'!$E$36)&gt;=AA110, 'Assumptions &amp; Inputs'!$E$65*(1+'Assumptions &amp; Inputs'!$E$21)^(AA108-ROUNDUP('Assumptions &amp; Inputs'!$E$28/12, 0)), 0)))</f>
        <v>41.741451110948752</v>
      </c>
      <c r="AB112" s="15">
        <f>IF(YEAR('Assumptions &amp; Inputs'!$E$31)&gt;AB110, 0, IF(AB110=YEAR('Assumptions &amp; Inputs'!$E$31),'Assumptions &amp; Inputs'!$E$65*YEARFRAC('Assumptions &amp; Inputs'!$E$31,'Assumptions &amp; Inputs'!$E$32), IF(YEAR('Assumptions &amp; Inputs'!$E$36)&gt;=AB110, 'Assumptions &amp; Inputs'!$E$65*(1+'Assumptions &amp; Inputs'!$E$21)^(AB108-ROUNDUP('Assumptions &amp; Inputs'!$E$28/12, 0)), 0)))</f>
        <v>42.576280133167721</v>
      </c>
      <c r="AC112" s="15">
        <f>IF(YEAR('Assumptions &amp; Inputs'!$E$31)&gt;AC110, 0, IF(AC110=YEAR('Assumptions &amp; Inputs'!$E$31),'Assumptions &amp; Inputs'!$E$65*YEARFRAC('Assumptions &amp; Inputs'!$E$31,'Assumptions &amp; Inputs'!$E$32), IF(YEAR('Assumptions &amp; Inputs'!$E$36)&gt;=AC110, 'Assumptions &amp; Inputs'!$E$65*(1+'Assumptions &amp; Inputs'!$E$21)^(AC108-ROUNDUP('Assumptions &amp; Inputs'!$E$28/12, 0)), 0)))</f>
        <v>43.427805735831079</v>
      </c>
      <c r="AD112" s="15">
        <f>IF(YEAR('Assumptions &amp; Inputs'!$E$31)&gt;AD110, 0, IF(AD110=YEAR('Assumptions &amp; Inputs'!$E$31),'Assumptions &amp; Inputs'!$E$65*YEARFRAC('Assumptions &amp; Inputs'!$E$31,'Assumptions &amp; Inputs'!$E$32), IF(YEAR('Assumptions &amp; Inputs'!$E$36)&gt;=AD110, 'Assumptions &amp; Inputs'!$E$65*(1+'Assumptions &amp; Inputs'!$E$21)^(AD108-ROUNDUP('Assumptions &amp; Inputs'!$E$28/12, 0)), 0)))</f>
        <v>44.296361850547697</v>
      </c>
      <c r="AE112" s="15">
        <f>IF(YEAR('Assumptions &amp; Inputs'!$E$31)&gt;AE110, 0, IF(AE110=YEAR('Assumptions &amp; Inputs'!$E$31),'Assumptions &amp; Inputs'!$E$65*YEARFRAC('Assumptions &amp; Inputs'!$E$31,'Assumptions &amp; Inputs'!$E$32), IF(YEAR('Assumptions &amp; Inputs'!$E$36)&gt;=AE110, 'Assumptions &amp; Inputs'!$E$65*(1+'Assumptions &amp; Inputs'!$E$21)^(AE108-ROUNDUP('Assumptions &amp; Inputs'!$E$28/12, 0)), 0)))</f>
        <v>45.182289087558658</v>
      </c>
      <c r="AF112" s="15">
        <f>IF(YEAR('Assumptions &amp; Inputs'!$E$31)&gt;AF110, 0, IF(AF110=YEAR('Assumptions &amp; Inputs'!$E$31),'Assumptions &amp; Inputs'!$E$65*YEARFRAC('Assumptions &amp; Inputs'!$E$31,'Assumptions &amp; Inputs'!$E$32), IF(YEAR('Assumptions &amp; Inputs'!$E$36)&gt;=AF110, 'Assumptions &amp; Inputs'!$E$65*(1+'Assumptions &amp; Inputs'!$E$21)^(AF108-ROUNDUP('Assumptions &amp; Inputs'!$E$28/12, 0)), 0)))</f>
        <v>46.085934869309824</v>
      </c>
      <c r="AG112" s="15">
        <f>IF(YEAR('Assumptions &amp; Inputs'!$E$31)&gt;AG110, 0, IF(AG110=YEAR('Assumptions &amp; Inputs'!$E$31),'Assumptions &amp; Inputs'!$E$65*YEARFRAC('Assumptions &amp; Inputs'!$E$31,'Assumptions &amp; Inputs'!$E$32), IF(YEAR('Assumptions &amp; Inputs'!$E$36)&gt;=AG110, 'Assumptions &amp; Inputs'!$E$65*(1+'Assumptions &amp; Inputs'!$E$21)^(AG108-ROUNDUP('Assumptions &amp; Inputs'!$E$28/12, 0)), 0)))</f>
        <v>47.007653566696028</v>
      </c>
      <c r="AH112" s="15">
        <f>IF(YEAR('Assumptions &amp; Inputs'!$E$31)&gt;AH110, 0, IF(AH110=YEAR('Assumptions &amp; Inputs'!$E$31),'Assumptions &amp; Inputs'!$E$65*YEARFRAC('Assumptions &amp; Inputs'!$E$31,'Assumptions &amp; Inputs'!$E$32), IF(YEAR('Assumptions &amp; Inputs'!$E$36)&gt;=AH110, 'Assumptions &amp; Inputs'!$E$65*(1+'Assumptions &amp; Inputs'!$E$21)^(AH108-ROUNDUP('Assumptions &amp; Inputs'!$E$28/12, 0)), 0)))</f>
        <v>47.947806638029938</v>
      </c>
      <c r="AI112" s="15">
        <f>IF(YEAR('Assumptions &amp; Inputs'!$E$31)&gt;AI110, 0, IF(AI110=YEAR('Assumptions &amp; Inputs'!$E$31),'Assumptions &amp; Inputs'!$E$65*YEARFRAC('Assumptions &amp; Inputs'!$E$31,'Assumptions &amp; Inputs'!$E$32), IF(YEAR('Assumptions &amp; Inputs'!$E$36)&gt;=AI110, 'Assumptions &amp; Inputs'!$E$65*(1+'Assumptions &amp; Inputs'!$E$21)^(AI108-ROUNDUP('Assumptions &amp; Inputs'!$E$28/12, 0)), 0)))</f>
        <v>48.906762770790543</v>
      </c>
      <c r="AJ112" s="15">
        <f>IF(YEAR('Assumptions &amp; Inputs'!$E$31)&gt;AJ110, 0, IF(AJ110=YEAR('Assumptions &amp; Inputs'!$E$31),'Assumptions &amp; Inputs'!$E$65*YEARFRAC('Assumptions &amp; Inputs'!$E$31,'Assumptions &amp; Inputs'!$E$32), IF(YEAR('Assumptions &amp; Inputs'!$E$36)&gt;=AJ110, 'Assumptions &amp; Inputs'!$E$65*(1+'Assumptions &amp; Inputs'!$E$21)^(AJ108-ROUNDUP('Assumptions &amp; Inputs'!$E$28/12, 0)), 0)))</f>
        <v>49.884898026206344</v>
      </c>
      <c r="AK112" s="15">
        <f>IF(YEAR('Assumptions &amp; Inputs'!$E$31)&gt;AK110, 0, IF(AK110=YEAR('Assumptions &amp; Inputs'!$E$31),'Assumptions &amp; Inputs'!$E$65*YEARFRAC('Assumptions &amp; Inputs'!$E$31,'Assumptions &amp; Inputs'!$E$32), IF(YEAR('Assumptions &amp; Inputs'!$E$36)&gt;=AK110, 'Assumptions &amp; Inputs'!$E$65*(1+'Assumptions &amp; Inputs'!$E$21)^(AK108-ROUNDUP('Assumptions &amp; Inputs'!$E$28/12, 0)), 0)))</f>
        <v>50.882595986730479</v>
      </c>
      <c r="AL112" s="15">
        <f>IF(YEAR('Assumptions &amp; Inputs'!$E$31)&gt;AL110, 0, IF(AL110=YEAR('Assumptions &amp; Inputs'!$E$31),'Assumptions &amp; Inputs'!$E$65*YEARFRAC('Assumptions &amp; Inputs'!$E$31,'Assumptions &amp; Inputs'!$E$32), IF(YEAR('Assumptions &amp; Inputs'!$E$36)&gt;=AL110, 'Assumptions &amp; Inputs'!$E$65*(1+'Assumptions &amp; Inputs'!$E$21)^(AL108-ROUNDUP('Assumptions &amp; Inputs'!$E$28/12, 0)), 0)))</f>
        <v>51.900247906465097</v>
      </c>
      <c r="AM112" s="15">
        <f>IF(YEAR('Assumptions &amp; Inputs'!$E$31)&gt;AM110, 0, IF(AM110=YEAR('Assumptions &amp; Inputs'!$E$31),'Assumptions &amp; Inputs'!$E$65*YEARFRAC('Assumptions &amp; Inputs'!$E$31,'Assumptions &amp; Inputs'!$E$32), IF(YEAR('Assumptions &amp; Inputs'!$E$36)&gt;=AM110, 'Assumptions &amp; Inputs'!$E$65*(1+'Assumptions &amp; Inputs'!$E$21)^(AM108-ROUNDUP('Assumptions &amp; Inputs'!$E$28/12, 0)), 0)))</f>
        <v>52.938252864594389</v>
      </c>
      <c r="AN112" s="15">
        <f>IF(YEAR('Assumptions &amp; Inputs'!$E$31)&gt;AN110, 0, IF(AN110=YEAR('Assumptions &amp; Inputs'!$E$31),'Assumptions &amp; Inputs'!$E$65*YEARFRAC('Assumptions &amp; Inputs'!$E$31,'Assumptions &amp; Inputs'!$E$32), IF(YEAR('Assumptions &amp; Inputs'!$E$36)&gt;=AN110, 'Assumptions &amp; Inputs'!$E$65*(1+'Assumptions &amp; Inputs'!$E$21)^(AN108-ROUNDUP('Assumptions &amp; Inputs'!$E$28/12, 0)), 0)))</f>
        <v>53.997017921886275</v>
      </c>
      <c r="AO112" s="15">
        <f>IF(YEAR('Assumptions &amp; Inputs'!$E$31)&gt;AO110, 0, IF(AO110=YEAR('Assumptions &amp; Inputs'!$E$31),'Assumptions &amp; Inputs'!$E$65*YEARFRAC('Assumptions &amp; Inputs'!$E$31,'Assumptions &amp; Inputs'!$E$32), IF(YEAR('Assumptions &amp; Inputs'!$E$36)&gt;=AO110, 'Assumptions &amp; Inputs'!$E$65*(1+'Assumptions &amp; Inputs'!$E$21)^(AO108-ROUNDUP('Assumptions &amp; Inputs'!$E$28/12, 0)), 0)))</f>
        <v>55.076958280324</v>
      </c>
      <c r="AP112" s="15">
        <f>IF(YEAR('Assumptions &amp; Inputs'!$E$31)&gt;AP110, 0, IF(AP110=YEAR('Assumptions &amp; Inputs'!$E$31),'Assumptions &amp; Inputs'!$E$65*YEARFRAC('Assumptions &amp; Inputs'!$E$31,'Assumptions &amp; Inputs'!$E$32), IF(YEAR('Assumptions &amp; Inputs'!$E$36)&gt;=AP110, 'Assumptions &amp; Inputs'!$E$65*(1+'Assumptions &amp; Inputs'!$E$21)^(AP108-ROUNDUP('Assumptions &amp; Inputs'!$E$28/12, 0)), 0)))</f>
        <v>56.178497445930489</v>
      </c>
      <c r="AQ112" s="15">
        <f>IF(YEAR('Assumptions &amp; Inputs'!$E$31)&gt;AQ110, 0, IF(AQ110=YEAR('Assumptions &amp; Inputs'!$E$31),'Assumptions &amp; Inputs'!$E$65*YEARFRAC('Assumptions &amp; Inputs'!$E$31,'Assumptions &amp; Inputs'!$E$32), IF(YEAR('Assumptions &amp; Inputs'!$E$36)&gt;=AQ110, 'Assumptions &amp; Inputs'!$E$65*(1+'Assumptions &amp; Inputs'!$E$21)^(AQ108-ROUNDUP('Assumptions &amp; Inputs'!$E$28/12, 0)), 0)))</f>
        <v>57.302067394849104</v>
      </c>
      <c r="AR112" s="15">
        <f>IF(YEAR('Assumptions &amp; Inputs'!$E$31)&gt;AR110, 0, IF(AR110=YEAR('Assumptions &amp; Inputs'!$E$31),'Assumptions &amp; Inputs'!$E$65*YEARFRAC('Assumptions &amp; Inputs'!$E$31,'Assumptions &amp; Inputs'!$E$32), IF(YEAR('Assumptions &amp; Inputs'!$E$36)&gt;=AR110, 'Assumptions &amp; Inputs'!$E$65*(1+'Assumptions &amp; Inputs'!$E$21)^(AR108-ROUNDUP('Assumptions &amp; Inputs'!$E$28/12, 0)), 0)))</f>
        <v>58.448108742746065</v>
      </c>
      <c r="AS112" s="15">
        <f>IF(YEAR('Assumptions &amp; Inputs'!$E$31)&gt;AS110, 0, IF(AS110=YEAR('Assumptions &amp; Inputs'!$E$31),'Assumptions &amp; Inputs'!$E$65*YEARFRAC('Assumptions &amp; Inputs'!$E$31,'Assumptions &amp; Inputs'!$E$32), IF(YEAR('Assumptions &amp; Inputs'!$E$36)&gt;=AS110, 'Assumptions &amp; Inputs'!$E$65*(1+'Assumptions &amp; Inputs'!$E$21)^(AS108-ROUNDUP('Assumptions &amp; Inputs'!$E$28/12, 0)), 0)))</f>
        <v>59.617070917600998</v>
      </c>
      <c r="AT112" s="15">
        <f>IF(YEAR('Assumptions &amp; Inputs'!$E$31)&gt;AT110, 0, IF(AT110=YEAR('Assumptions &amp; Inputs'!$E$31),'Assumptions &amp; Inputs'!$E$65*YEARFRAC('Assumptions &amp; Inputs'!$E$31,'Assumptions &amp; Inputs'!$E$32), IF(YEAR('Assumptions &amp; Inputs'!$E$36)&gt;=AT110, 'Assumptions &amp; Inputs'!$E$65*(1+'Assumptions &amp; Inputs'!$E$21)^(AT108-ROUNDUP('Assumptions &amp; Inputs'!$E$28/12, 0)), 0)))</f>
        <v>60.809412335953013</v>
      </c>
      <c r="AU112" s="15">
        <f>IF(YEAR('Assumptions &amp; Inputs'!$E$31)&gt;AU110, 0, IF(AU110=YEAR('Assumptions &amp; Inputs'!$E$31),'Assumptions &amp; Inputs'!$E$65*YEARFRAC('Assumptions &amp; Inputs'!$E$31,'Assumptions &amp; Inputs'!$E$32), IF(YEAR('Assumptions &amp; Inputs'!$E$36)&gt;=AU110, 'Assumptions &amp; Inputs'!$E$65*(1+'Assumptions &amp; Inputs'!$E$21)^(AU108-ROUNDUP('Assumptions &amp; Inputs'!$E$28/12, 0)), 0)))</f>
        <v>62.025600582672077</v>
      </c>
      <c r="AV112" s="15">
        <f>IF(YEAR('Assumptions &amp; Inputs'!$E$31)&gt;AV110, 0, IF(AV110=YEAR('Assumptions &amp; Inputs'!$E$31),'Assumptions &amp; Inputs'!$E$65*YEARFRAC('Assumptions &amp; Inputs'!$E$31,'Assumptions &amp; Inputs'!$E$32), IF(YEAR('Assumptions &amp; Inputs'!$E$36)&gt;=AV110, 'Assumptions &amp; Inputs'!$E$65*(1+'Assumptions &amp; Inputs'!$E$21)^(AV108-ROUNDUP('Assumptions &amp; Inputs'!$E$28/12, 0)), 0)))</f>
        <v>63.266112594325513</v>
      </c>
      <c r="AW112" s="15">
        <f>IF(YEAR('Assumptions &amp; Inputs'!$E$31)&gt;AW110, 0, IF(AW110=YEAR('Assumptions &amp; Inputs'!$E$31),'Assumptions &amp; Inputs'!$E$65*YEARFRAC('Assumptions &amp; Inputs'!$E$31,'Assumptions &amp; Inputs'!$E$32), IF(YEAR('Assumptions &amp; Inputs'!$E$36)&gt;=AW110, 'Assumptions &amp; Inputs'!$E$65*(1+'Assumptions &amp; Inputs'!$E$21)^(AW108-ROUNDUP('Assumptions &amp; Inputs'!$E$28/12, 0)), 0)))</f>
        <v>64.531434846212036</v>
      </c>
    </row>
    <row r="113" spans="3:49" ht="14.25" customHeight="1">
      <c r="C113" s="1" t="s">
        <v>496</v>
      </c>
      <c r="D113" s="35">
        <f>'Assumptions &amp; Inputs'!$E$63</f>
        <v>387.28767123287673</v>
      </c>
      <c r="E113" s="35">
        <f>'Assumptions &amp; Inputs'!$E$63</f>
        <v>387.28767123287673</v>
      </c>
      <c r="F113" s="35">
        <f>'Assumptions &amp; Inputs'!$E$63</f>
        <v>387.28767123287673</v>
      </c>
      <c r="G113" s="35">
        <f>'Assumptions &amp; Inputs'!$E$63</f>
        <v>387.28767123287673</v>
      </c>
      <c r="H113" s="35">
        <f>'Assumptions &amp; Inputs'!$E$63</f>
        <v>387.28767123287673</v>
      </c>
      <c r="I113" s="35">
        <f>'Assumptions &amp; Inputs'!$E$63</f>
        <v>387.28767123287673</v>
      </c>
      <c r="J113" s="35">
        <f>'Assumptions &amp; Inputs'!$E$63</f>
        <v>387.28767123287673</v>
      </c>
      <c r="K113" s="35">
        <f>'Assumptions &amp; Inputs'!$E$63</f>
        <v>387.28767123287673</v>
      </c>
      <c r="L113" s="35">
        <f>'Assumptions &amp; Inputs'!$E$63</f>
        <v>387.28767123287673</v>
      </c>
      <c r="M113" s="35">
        <f>'Assumptions &amp; Inputs'!$E$63</f>
        <v>387.28767123287673</v>
      </c>
      <c r="N113" s="35">
        <f>'Assumptions &amp; Inputs'!$E$63</f>
        <v>387.28767123287673</v>
      </c>
      <c r="O113" s="35">
        <f>'Assumptions &amp; Inputs'!$E$63</f>
        <v>387.28767123287673</v>
      </c>
      <c r="P113" s="35">
        <f>'Assumptions &amp; Inputs'!$E$63</f>
        <v>387.28767123287673</v>
      </c>
      <c r="Q113" s="35">
        <f>'Assumptions &amp; Inputs'!$E$63</f>
        <v>387.28767123287673</v>
      </c>
      <c r="R113" s="35">
        <f>'Assumptions &amp; Inputs'!$E$63</f>
        <v>387.28767123287673</v>
      </c>
      <c r="S113" s="35">
        <f>'Assumptions &amp; Inputs'!$E$63</f>
        <v>387.28767123287673</v>
      </c>
      <c r="T113" s="35">
        <f>'Assumptions &amp; Inputs'!$E$63</f>
        <v>387.28767123287673</v>
      </c>
      <c r="U113" s="35">
        <f>'Assumptions &amp; Inputs'!$E$63</f>
        <v>387.28767123287673</v>
      </c>
      <c r="V113" s="35">
        <f>'Assumptions &amp; Inputs'!$E$63</f>
        <v>387.28767123287673</v>
      </c>
      <c r="W113" s="35">
        <f>'Assumptions &amp; Inputs'!$E$63</f>
        <v>387.28767123287673</v>
      </c>
      <c r="X113" s="35">
        <f>'Assumptions &amp; Inputs'!$E$63</f>
        <v>387.28767123287673</v>
      </c>
      <c r="Y113" s="35">
        <f>'Assumptions &amp; Inputs'!$E$63</f>
        <v>387.28767123287673</v>
      </c>
      <c r="Z113" s="35">
        <f>'Assumptions &amp; Inputs'!$E$63</f>
        <v>387.28767123287673</v>
      </c>
      <c r="AA113" s="35">
        <f>'Assumptions &amp; Inputs'!$E$63</f>
        <v>387.28767123287673</v>
      </c>
      <c r="AB113" s="35">
        <f>'Assumptions &amp; Inputs'!$E$63</f>
        <v>387.28767123287673</v>
      </c>
      <c r="AC113" s="35">
        <f>'Assumptions &amp; Inputs'!$E$63</f>
        <v>387.28767123287673</v>
      </c>
      <c r="AD113" s="35">
        <f>'Assumptions &amp; Inputs'!$E$63</f>
        <v>387.28767123287673</v>
      </c>
      <c r="AE113" s="35">
        <f>'Assumptions &amp; Inputs'!$E$63</f>
        <v>387.28767123287673</v>
      </c>
      <c r="AF113" s="35">
        <f>'Assumptions &amp; Inputs'!$E$63</f>
        <v>387.28767123287673</v>
      </c>
      <c r="AG113" s="35">
        <f>'Assumptions &amp; Inputs'!$E$63</f>
        <v>387.28767123287673</v>
      </c>
      <c r="AH113" s="35">
        <f>'Assumptions &amp; Inputs'!$E$63</f>
        <v>387.28767123287673</v>
      </c>
      <c r="AI113" s="35">
        <f>'Assumptions &amp; Inputs'!$E$63</f>
        <v>387.28767123287673</v>
      </c>
      <c r="AJ113" s="35">
        <f>'Assumptions &amp; Inputs'!$E$63</f>
        <v>387.28767123287673</v>
      </c>
      <c r="AK113" s="35">
        <f>'Assumptions &amp; Inputs'!$E$63</f>
        <v>387.28767123287673</v>
      </c>
      <c r="AL113" s="35">
        <f>'Assumptions &amp; Inputs'!$E$63</f>
        <v>387.28767123287673</v>
      </c>
      <c r="AM113" s="35">
        <f>'Assumptions &amp; Inputs'!$E$63</f>
        <v>387.28767123287673</v>
      </c>
      <c r="AN113" s="35">
        <f>'Assumptions &amp; Inputs'!$E$63</f>
        <v>387.28767123287673</v>
      </c>
      <c r="AO113" s="35">
        <f>'Assumptions &amp; Inputs'!$E$63</f>
        <v>387.28767123287673</v>
      </c>
      <c r="AP113" s="35">
        <f>'Assumptions &amp; Inputs'!$E$63</f>
        <v>387.28767123287673</v>
      </c>
      <c r="AQ113" s="35">
        <f>'Assumptions &amp; Inputs'!$E$63</f>
        <v>387.28767123287673</v>
      </c>
      <c r="AR113" s="35">
        <f>'Assumptions &amp; Inputs'!$E$63</f>
        <v>387.28767123287673</v>
      </c>
      <c r="AS113" s="35">
        <f>'Assumptions &amp; Inputs'!$E$63</f>
        <v>387.28767123287673</v>
      </c>
      <c r="AT113" s="35">
        <f>'Assumptions &amp; Inputs'!$E$63</f>
        <v>387.28767123287673</v>
      </c>
      <c r="AU113" s="35">
        <f>'Assumptions &amp; Inputs'!$E$63</f>
        <v>387.28767123287673</v>
      </c>
      <c r="AV113" s="35">
        <f>'Assumptions &amp; Inputs'!$E$63</f>
        <v>387.28767123287673</v>
      </c>
      <c r="AW113" s="35">
        <f>'Assumptions &amp; Inputs'!$E$63</f>
        <v>387.28767123287673</v>
      </c>
    </row>
    <row r="114" spans="3:49" ht="14.25" customHeight="1">
      <c r="C114" s="1" t="s">
        <v>497</v>
      </c>
      <c r="D114" s="36">
        <f>'Assumptions &amp; Inputs'!$E$72/365</f>
        <v>1</v>
      </c>
      <c r="E114" s="36">
        <f>'Assumptions &amp; Inputs'!$E$72/365</f>
        <v>1</v>
      </c>
      <c r="F114" s="36">
        <f>'Assumptions &amp; Inputs'!$E$72/365</f>
        <v>1</v>
      </c>
      <c r="G114" s="36">
        <f>'Assumptions &amp; Inputs'!$E$72/365</f>
        <v>1</v>
      </c>
      <c r="H114" s="36">
        <f>'Assumptions &amp; Inputs'!$E$72/365</f>
        <v>1</v>
      </c>
      <c r="I114" s="36">
        <f>'Assumptions &amp; Inputs'!$E$72/365</f>
        <v>1</v>
      </c>
      <c r="J114" s="36">
        <f>'Assumptions &amp; Inputs'!$E$72/365</f>
        <v>1</v>
      </c>
      <c r="K114" s="36">
        <f>'Assumptions &amp; Inputs'!$E$72/365</f>
        <v>1</v>
      </c>
      <c r="L114" s="36">
        <f>'Assumptions &amp; Inputs'!$E$72/365</f>
        <v>1</v>
      </c>
      <c r="M114" s="36">
        <f>'Assumptions &amp; Inputs'!$E$72/365</f>
        <v>1</v>
      </c>
      <c r="N114" s="36">
        <f>'Assumptions &amp; Inputs'!$E$72/365</f>
        <v>1</v>
      </c>
      <c r="O114" s="36">
        <f>'Assumptions &amp; Inputs'!$E$72/365</f>
        <v>1</v>
      </c>
      <c r="P114" s="36">
        <f>'Assumptions &amp; Inputs'!$E$72/365</f>
        <v>1</v>
      </c>
      <c r="Q114" s="36">
        <f>'Assumptions &amp; Inputs'!$E$72/365</f>
        <v>1</v>
      </c>
      <c r="R114" s="36">
        <f>'Assumptions &amp; Inputs'!$E$72/365</f>
        <v>1</v>
      </c>
      <c r="S114" s="36">
        <f>'Assumptions &amp; Inputs'!$E$72/365</f>
        <v>1</v>
      </c>
      <c r="T114" s="36">
        <f>'Assumptions &amp; Inputs'!$E$72/365</f>
        <v>1</v>
      </c>
      <c r="U114" s="36">
        <f>'Assumptions &amp; Inputs'!$E$72/365</f>
        <v>1</v>
      </c>
      <c r="V114" s="36">
        <f>'Assumptions &amp; Inputs'!$E$72/365</f>
        <v>1</v>
      </c>
      <c r="W114" s="36">
        <f>'Assumptions &amp; Inputs'!$E$72/365</f>
        <v>1</v>
      </c>
      <c r="X114" s="36">
        <f>'Assumptions &amp; Inputs'!$E$72/365</f>
        <v>1</v>
      </c>
      <c r="Y114" s="36">
        <f>'Assumptions &amp; Inputs'!$E$72/365</f>
        <v>1</v>
      </c>
      <c r="Z114" s="36">
        <f>'Assumptions &amp; Inputs'!$E$72/365</f>
        <v>1</v>
      </c>
      <c r="AA114" s="36">
        <f>'Assumptions &amp; Inputs'!$E$72/365</f>
        <v>1</v>
      </c>
      <c r="AB114" s="36">
        <f>'Assumptions &amp; Inputs'!$E$72/365</f>
        <v>1</v>
      </c>
      <c r="AC114" s="36">
        <f>'Assumptions &amp; Inputs'!$E$72/365</f>
        <v>1</v>
      </c>
      <c r="AD114" s="36">
        <f>'Assumptions &amp; Inputs'!$E$72/365</f>
        <v>1</v>
      </c>
      <c r="AE114" s="36">
        <f>'Assumptions &amp; Inputs'!$E$72/365</f>
        <v>1</v>
      </c>
      <c r="AF114" s="36">
        <f>'Assumptions &amp; Inputs'!$E$72/365</f>
        <v>1</v>
      </c>
      <c r="AG114" s="36">
        <f>'Assumptions &amp; Inputs'!$E$72/365</f>
        <v>1</v>
      </c>
      <c r="AH114" s="36">
        <f>'Assumptions &amp; Inputs'!$E$72/365</f>
        <v>1</v>
      </c>
      <c r="AI114" s="36">
        <f>'Assumptions &amp; Inputs'!$E$72/365</f>
        <v>1</v>
      </c>
      <c r="AJ114" s="36">
        <f>'Assumptions &amp; Inputs'!$E$72/365</f>
        <v>1</v>
      </c>
      <c r="AK114" s="36">
        <f>'Assumptions &amp; Inputs'!$E$72/365</f>
        <v>1</v>
      </c>
      <c r="AL114" s="36">
        <f>'Assumptions &amp; Inputs'!$E$72/365</f>
        <v>1</v>
      </c>
      <c r="AM114" s="36">
        <f>'Assumptions &amp; Inputs'!$E$72/365</f>
        <v>1</v>
      </c>
      <c r="AN114" s="36">
        <f>'Assumptions &amp; Inputs'!$E$72/365</f>
        <v>1</v>
      </c>
      <c r="AO114" s="36">
        <f>'Assumptions &amp; Inputs'!$E$72/365</f>
        <v>1</v>
      </c>
      <c r="AP114" s="36">
        <f>'Assumptions &amp; Inputs'!$E$72/365</f>
        <v>1</v>
      </c>
      <c r="AQ114" s="36">
        <f>'Assumptions &amp; Inputs'!$E$72/365</f>
        <v>1</v>
      </c>
      <c r="AR114" s="36">
        <f>'Assumptions &amp; Inputs'!$E$72/365</f>
        <v>1</v>
      </c>
      <c r="AS114" s="36">
        <f>'Assumptions &amp; Inputs'!$E$72/365</f>
        <v>1</v>
      </c>
      <c r="AT114" s="36">
        <f>'Assumptions &amp; Inputs'!$E$72/365</f>
        <v>1</v>
      </c>
      <c r="AU114" s="36">
        <f>'Assumptions &amp; Inputs'!$E$72/365</f>
        <v>1</v>
      </c>
      <c r="AV114" s="36">
        <f>'Assumptions &amp; Inputs'!$E$72/365</f>
        <v>1</v>
      </c>
      <c r="AW114" s="36">
        <f>'Assumptions &amp; Inputs'!$E$72/365</f>
        <v>1</v>
      </c>
    </row>
    <row r="115" spans="3:49" ht="14.25" customHeight="1">
      <c r="C115" s="2" t="s">
        <v>498</v>
      </c>
      <c r="D115" s="31">
        <f t="shared" ref="D115:X115" si="330">D112*D113*D114</f>
        <v>0</v>
      </c>
      <c r="E115" s="31">
        <f>E112*E113*E114</f>
        <v>8743.0191780821915</v>
      </c>
      <c r="F115" s="31">
        <f t="shared" si="330"/>
        <v>10665.902465753425</v>
      </c>
      <c r="G115" s="31">
        <f t="shared" si="330"/>
        <v>10879.220515068495</v>
      </c>
      <c r="H115" s="31">
        <f t="shared" si="330"/>
        <v>11096.804925369863</v>
      </c>
      <c r="I115" s="31">
        <f t="shared" si="330"/>
        <v>11318.741023877261</v>
      </c>
      <c r="J115" s="31">
        <f t="shared" si="330"/>
        <v>11545.115844354807</v>
      </c>
      <c r="K115" s="31">
        <f t="shared" si="330"/>
        <v>11776.018161241904</v>
      </c>
      <c r="L115" s="31">
        <f t="shared" si="330"/>
        <v>12011.538524466738</v>
      </c>
      <c r="M115" s="31">
        <f t="shared" si="330"/>
        <v>12251.769294956073</v>
      </c>
      <c r="N115" s="31">
        <f t="shared" si="330"/>
        <v>12496.804680855194</v>
      </c>
      <c r="O115" s="31">
        <f t="shared" si="330"/>
        <v>12746.740774472299</v>
      </c>
      <c r="P115" s="31">
        <f t="shared" si="330"/>
        <v>13001.675589961744</v>
      </c>
      <c r="Q115" s="31">
        <f t="shared" si="330"/>
        <v>13261.709101760982</v>
      </c>
      <c r="R115" s="31">
        <f t="shared" si="330"/>
        <v>13526.943283796199</v>
      </c>
      <c r="S115" s="31">
        <f t="shared" si="330"/>
        <v>13797.482149472125</v>
      </c>
      <c r="T115" s="31">
        <f t="shared" si="330"/>
        <v>14073.431792461564</v>
      </c>
      <c r="U115" s="31">
        <f t="shared" si="330"/>
        <v>14354.900428310797</v>
      </c>
      <c r="V115" s="31">
        <f t="shared" si="330"/>
        <v>14641.998436877015</v>
      </c>
      <c r="W115" s="31">
        <f t="shared" si="330"/>
        <v>14934.838405614553</v>
      </c>
      <c r="X115" s="31">
        <f t="shared" si="330"/>
        <v>15233.535173726843</v>
      </c>
      <c r="Y115" s="31">
        <f t="shared" ref="Y115:AW115" si="331">Y112*Y113*Y114</f>
        <v>15538.205877201382</v>
      </c>
      <c r="Z115" s="31">
        <f t="shared" si="331"/>
        <v>15848.96999474541</v>
      </c>
      <c r="AA115" s="31">
        <f t="shared" si="331"/>
        <v>16165.949394640318</v>
      </c>
      <c r="AB115" s="31">
        <f t="shared" si="331"/>
        <v>16489.268382533122</v>
      </c>
      <c r="AC115" s="31">
        <f t="shared" si="331"/>
        <v>16819.053750183786</v>
      </c>
      <c r="AD115" s="31">
        <f t="shared" si="331"/>
        <v>17155.434825187458</v>
      </c>
      <c r="AE115" s="31">
        <f t="shared" si="331"/>
        <v>17498.543521691212</v>
      </c>
      <c r="AF115" s="31">
        <f t="shared" si="331"/>
        <v>17848.514392125035</v>
      </c>
      <c r="AG115" s="31">
        <f t="shared" si="331"/>
        <v>18205.484679967536</v>
      </c>
      <c r="AH115" s="31">
        <f t="shared" si="331"/>
        <v>18569.594373566884</v>
      </c>
      <c r="AI115" s="31">
        <f t="shared" si="331"/>
        <v>18940.986261038222</v>
      </c>
      <c r="AJ115" s="31">
        <f t="shared" si="331"/>
        <v>19319.805986258983</v>
      </c>
      <c r="AK115" s="31">
        <f t="shared" si="331"/>
        <v>19706.202105984168</v>
      </c>
      <c r="AL115" s="31">
        <f t="shared" si="331"/>
        <v>20100.326148103853</v>
      </c>
      <c r="AM115" s="31">
        <f t="shared" si="331"/>
        <v>20502.332671065928</v>
      </c>
      <c r="AN115" s="31">
        <f t="shared" si="331"/>
        <v>20912.379324487243</v>
      </c>
      <c r="AO115" s="31">
        <f t="shared" si="331"/>
        <v>21330.626910976989</v>
      </c>
      <c r="AP115" s="31">
        <f t="shared" si="331"/>
        <v>21757.239449196531</v>
      </c>
      <c r="AQ115" s="31">
        <f t="shared" si="331"/>
        <v>22192.384238180464</v>
      </c>
      <c r="AR115" s="31">
        <f t="shared" si="331"/>
        <v>22636.231922944065</v>
      </c>
      <c r="AS115" s="31">
        <f t="shared" si="331"/>
        <v>23088.956561402953</v>
      </c>
      <c r="AT115" s="31">
        <f t="shared" si="331"/>
        <v>23550.735692631009</v>
      </c>
      <c r="AU115" s="31">
        <f t="shared" si="331"/>
        <v>24021.750406483632</v>
      </c>
      <c r="AV115" s="31">
        <f t="shared" si="331"/>
        <v>24502.185414613301</v>
      </c>
      <c r="AW115" s="31">
        <f t="shared" si="331"/>
        <v>24992.229122905574</v>
      </c>
    </row>
    <row r="116" spans="3:49" ht="14.25" customHeight="1"/>
    <row r="117" spans="3:49" ht="14.25" customHeight="1">
      <c r="C117" s="1" t="s">
        <v>499</v>
      </c>
      <c r="D117" s="16">
        <f>'Assumptions &amp; Inputs'!$E$67*(1+'Assumptions &amp; Inputs'!$E$20)^D108</f>
        <v>0</v>
      </c>
      <c r="E117" s="16">
        <f>'Assumptions &amp; Inputs'!$E$67*(1+'Assumptions &amp; Inputs'!$E$20)^E108</f>
        <v>0</v>
      </c>
      <c r="F117" s="16">
        <f>'Assumptions &amp; Inputs'!$E$67*(1+'Assumptions &amp; Inputs'!$E$20)^F108</f>
        <v>0</v>
      </c>
      <c r="G117" s="16">
        <f>'Assumptions &amp; Inputs'!$E$67*(1+'Assumptions &amp; Inputs'!$E$20)^G108</f>
        <v>0</v>
      </c>
      <c r="H117" s="16">
        <f>'Assumptions &amp; Inputs'!$E$67*(1+'Assumptions &amp; Inputs'!$E$20)^H108</f>
        <v>0</v>
      </c>
      <c r="I117" s="16">
        <f>'Assumptions &amp; Inputs'!$E$67*(1+'Assumptions &amp; Inputs'!$E$20)^I108</f>
        <v>0</v>
      </c>
      <c r="J117" s="16">
        <f>'Assumptions &amp; Inputs'!$E$67*(1+'Assumptions &amp; Inputs'!$E$20)^J108</f>
        <v>0</v>
      </c>
      <c r="K117" s="16">
        <f>'Assumptions &amp; Inputs'!$E$67*(1+'Assumptions &amp; Inputs'!$E$20)^K108</f>
        <v>0</v>
      </c>
      <c r="L117" s="16">
        <f>'Assumptions &amp; Inputs'!$E$67*(1+'Assumptions &amp; Inputs'!$E$20)^L108</f>
        <v>0</v>
      </c>
      <c r="M117" s="16">
        <f>'Assumptions &amp; Inputs'!$E$67*(1+'Assumptions &amp; Inputs'!$E$20)^M108</f>
        <v>0</v>
      </c>
      <c r="N117" s="16">
        <f>'Assumptions &amp; Inputs'!$E$67*(1+'Assumptions &amp; Inputs'!$E$20)^N108</f>
        <v>0</v>
      </c>
      <c r="O117" s="16">
        <f>'Assumptions &amp; Inputs'!$E$67*(1+'Assumptions &amp; Inputs'!$E$20)^O108</f>
        <v>0</v>
      </c>
      <c r="P117" s="16">
        <f>'Assumptions &amp; Inputs'!$E$67*(1+'Assumptions &amp; Inputs'!$E$20)^P108</f>
        <v>0</v>
      </c>
      <c r="Q117" s="16">
        <f>'Assumptions &amp; Inputs'!$E$67*(1+'Assumptions &amp; Inputs'!$E$20)^Q108</f>
        <v>0</v>
      </c>
      <c r="R117" s="16">
        <f>'Assumptions &amp; Inputs'!$E$67*(1+'Assumptions &amp; Inputs'!$E$20)^R108</f>
        <v>0</v>
      </c>
      <c r="S117" s="16">
        <f>'Assumptions &amp; Inputs'!$E$67*(1+'Assumptions &amp; Inputs'!$E$20)^S108</f>
        <v>0</v>
      </c>
      <c r="T117" s="16">
        <f>'Assumptions &amp; Inputs'!$E$67*(1+'Assumptions &amp; Inputs'!$E$20)^T108</f>
        <v>0</v>
      </c>
      <c r="U117" s="16">
        <f>'Assumptions &amp; Inputs'!$E$67*(1+'Assumptions &amp; Inputs'!$E$20)^U108</f>
        <v>0</v>
      </c>
      <c r="V117" s="16">
        <f>'Assumptions &amp; Inputs'!$E$67*(1+'Assumptions &amp; Inputs'!$E$20)^V108</f>
        <v>0</v>
      </c>
      <c r="W117" s="16">
        <f>'Assumptions &amp; Inputs'!$E$67*(1+'Assumptions &amp; Inputs'!$E$20)^W108</f>
        <v>0</v>
      </c>
      <c r="X117" s="16">
        <f>'Assumptions &amp; Inputs'!$E$67*(1+'Assumptions &amp; Inputs'!$E$20)^X108</f>
        <v>0</v>
      </c>
      <c r="Y117" s="16">
        <f>'Assumptions &amp; Inputs'!$E$67*(1+'Assumptions &amp; Inputs'!$E$20)^Y108</f>
        <v>0</v>
      </c>
      <c r="Z117" s="16">
        <f>'Assumptions &amp; Inputs'!$E$67*(1+'Assumptions &amp; Inputs'!$E$20)^Z108</f>
        <v>0</v>
      </c>
      <c r="AA117" s="16">
        <f>'Assumptions &amp; Inputs'!$E$67*(1+'Assumptions &amp; Inputs'!$E$20)^AA108</f>
        <v>0</v>
      </c>
      <c r="AB117" s="16">
        <f>'Assumptions &amp; Inputs'!$E$67*(1+'Assumptions &amp; Inputs'!$E$20)^AB108</f>
        <v>0</v>
      </c>
      <c r="AC117" s="16">
        <f>'Assumptions &amp; Inputs'!$E$67*(1+'Assumptions &amp; Inputs'!$E$20)^AC108</f>
        <v>0</v>
      </c>
      <c r="AD117" s="16">
        <f>'Assumptions &amp; Inputs'!$E$67*(1+'Assumptions &amp; Inputs'!$E$20)^AD108</f>
        <v>0</v>
      </c>
      <c r="AE117" s="16">
        <f>'Assumptions &amp; Inputs'!$E$67*(1+'Assumptions &amp; Inputs'!$E$20)^AE108</f>
        <v>0</v>
      </c>
      <c r="AF117" s="16">
        <f>'Assumptions &amp; Inputs'!$E$67*(1+'Assumptions &amp; Inputs'!$E$20)^AF108</f>
        <v>0</v>
      </c>
      <c r="AG117" s="16">
        <f>'Assumptions &amp; Inputs'!$E$67*(1+'Assumptions &amp; Inputs'!$E$20)^AG108</f>
        <v>0</v>
      </c>
      <c r="AH117" s="16">
        <f>'Assumptions &amp; Inputs'!$E$67*(1+'Assumptions &amp; Inputs'!$E$20)^AH108</f>
        <v>0</v>
      </c>
      <c r="AI117" s="16">
        <f>'Assumptions &amp; Inputs'!$E$67*(1+'Assumptions &amp; Inputs'!$E$20)^AI108</f>
        <v>0</v>
      </c>
      <c r="AJ117" s="16">
        <f>'Assumptions &amp; Inputs'!$E$67*(1+'Assumptions &amp; Inputs'!$E$20)^AJ108</f>
        <v>0</v>
      </c>
      <c r="AK117" s="16">
        <f>'Assumptions &amp; Inputs'!$E$67*(1+'Assumptions &amp; Inputs'!$E$20)^AK108</f>
        <v>0</v>
      </c>
      <c r="AL117" s="16">
        <f>'Assumptions &amp; Inputs'!$E$67*(1+'Assumptions &amp; Inputs'!$E$20)^AL108</f>
        <v>0</v>
      </c>
      <c r="AM117" s="16">
        <f>'Assumptions &amp; Inputs'!$E$67*(1+'Assumptions &amp; Inputs'!$E$20)^AM108</f>
        <v>0</v>
      </c>
      <c r="AN117" s="16">
        <f>'Assumptions &amp; Inputs'!$E$67*(1+'Assumptions &amp; Inputs'!$E$20)^AN108</f>
        <v>0</v>
      </c>
      <c r="AO117" s="16">
        <f>'Assumptions &amp; Inputs'!$E$67*(1+'Assumptions &amp; Inputs'!$E$20)^AO108</f>
        <v>0</v>
      </c>
      <c r="AP117" s="16">
        <f>'Assumptions &amp; Inputs'!$E$67*(1+'Assumptions &amp; Inputs'!$E$20)^AP108</f>
        <v>0</v>
      </c>
      <c r="AQ117" s="16">
        <f>'Assumptions &amp; Inputs'!$E$67*(1+'Assumptions &amp; Inputs'!$E$20)^AQ108</f>
        <v>0</v>
      </c>
      <c r="AR117" s="16">
        <f>'Assumptions &amp; Inputs'!$E$67*(1+'Assumptions &amp; Inputs'!$E$20)^AR108</f>
        <v>0</v>
      </c>
      <c r="AS117" s="16">
        <f>'Assumptions &amp; Inputs'!$E$67*(1+'Assumptions &amp; Inputs'!$E$20)^AS108</f>
        <v>0</v>
      </c>
      <c r="AT117" s="16">
        <f>'Assumptions &amp; Inputs'!$E$67*(1+'Assumptions &amp; Inputs'!$E$20)^AT108</f>
        <v>0</v>
      </c>
      <c r="AU117" s="16">
        <f>'Assumptions &amp; Inputs'!$E$67*(1+'Assumptions &amp; Inputs'!$E$20)^AU108</f>
        <v>0</v>
      </c>
      <c r="AV117" s="16">
        <f>'Assumptions &amp; Inputs'!$E$67*(1+'Assumptions &amp; Inputs'!$E$20)^AV108</f>
        <v>0</v>
      </c>
      <c r="AW117" s="16">
        <f>'Assumptions &amp; Inputs'!$E$67*(1+'Assumptions &amp; Inputs'!$E$20)^AW108</f>
        <v>0</v>
      </c>
    </row>
    <row r="118" spans="3:49" ht="14.25" customHeight="1">
      <c r="C118" s="1" t="s">
        <v>500</v>
      </c>
      <c r="D118" s="37">
        <f>IF(YEAR('Assumptions &amp; Inputs'!$E$31)&gt;D110,0,IF(D110=YEAR('Assumptions &amp; Inputs'!$E$31),D113*D117*YEARFRAC('Assumptions &amp; Inputs'!$E$31,'Assumptions &amp; Inputs'!$E$32),IF(YEAR('Assumptions &amp; Inputs'!$E$36)&gt;=D110,D117*D113,0)))</f>
        <v>0</v>
      </c>
      <c r="E118" s="37">
        <f>IF(YEAR('Assumptions &amp; Inputs'!$E$31)&gt;E110,0,IF(E110=YEAR('Assumptions &amp; Inputs'!$E$31),E113*E117*YEARFRAC('Assumptions &amp; Inputs'!$E$31,'Assumptions &amp; Inputs'!$E$32),IF(YEAR('Assumptions &amp; Inputs'!$E$36)&gt;=E110,E117*E113,0)))</f>
        <v>0</v>
      </c>
      <c r="F118" s="37">
        <f>IF(YEAR('Assumptions &amp; Inputs'!$E$31)&gt;F110,0,IF(F110=YEAR('Assumptions &amp; Inputs'!$E$31),F113*F117*YEARFRAC('Assumptions &amp; Inputs'!$E$31,'Assumptions &amp; Inputs'!$E$32),IF(YEAR('Assumptions &amp; Inputs'!$E$36)&gt;=F110,F117*F113,0)))</f>
        <v>0</v>
      </c>
      <c r="G118" s="37">
        <f>IF(YEAR('Assumptions &amp; Inputs'!$E$31)&gt;G110,0,IF(G110=YEAR('Assumptions &amp; Inputs'!$E$31),G113*G117*YEARFRAC('Assumptions &amp; Inputs'!$E$31,'Assumptions &amp; Inputs'!$E$32),IF(YEAR('Assumptions &amp; Inputs'!$E$36)&gt;=G110,G117*G113,0)))</f>
        <v>0</v>
      </c>
      <c r="H118" s="37">
        <f>IF(YEAR('Assumptions &amp; Inputs'!$E$31)&gt;H110,0,IF(H110=YEAR('Assumptions &amp; Inputs'!$E$31),H113*H117*YEARFRAC('Assumptions &amp; Inputs'!$E$31,'Assumptions &amp; Inputs'!$E$32),IF(YEAR('Assumptions &amp; Inputs'!$E$36)&gt;=H110,H117*H113,0)))</f>
        <v>0</v>
      </c>
      <c r="I118" s="37">
        <f>IF(YEAR('Assumptions &amp; Inputs'!$E$31)&gt;I110,0,IF(I110=YEAR('Assumptions &amp; Inputs'!$E$31),I113*I117*YEARFRAC('Assumptions &amp; Inputs'!$E$31,'Assumptions &amp; Inputs'!$E$32),IF(YEAR('Assumptions &amp; Inputs'!$E$36)&gt;=I110,I117*I113,0)))</f>
        <v>0</v>
      </c>
      <c r="J118" s="37">
        <f>IF(YEAR('Assumptions &amp; Inputs'!$E$31)&gt;J110,0,IF(J110=YEAR('Assumptions &amp; Inputs'!$E$31),J113*J117*YEARFRAC('Assumptions &amp; Inputs'!$E$31,'Assumptions &amp; Inputs'!$E$32),IF(YEAR('Assumptions &amp; Inputs'!$E$36)&gt;=J110,J117*J113,0)))</f>
        <v>0</v>
      </c>
      <c r="K118" s="37">
        <f>IF(YEAR('Assumptions &amp; Inputs'!$E$31)&gt;K110,0,IF(K110=YEAR('Assumptions &amp; Inputs'!$E$31),K113*K117*YEARFRAC('Assumptions &amp; Inputs'!$E$31,'Assumptions &amp; Inputs'!$E$32),IF(YEAR('Assumptions &amp; Inputs'!$E$36)&gt;=K110,K117*K113,0)))</f>
        <v>0</v>
      </c>
      <c r="L118" s="37">
        <f>IF(YEAR('Assumptions &amp; Inputs'!$E$31)&gt;L110,0,IF(L110=YEAR('Assumptions &amp; Inputs'!$E$31),L113*L117*YEARFRAC('Assumptions &amp; Inputs'!$E$31,'Assumptions &amp; Inputs'!$E$32),IF(YEAR('Assumptions &amp; Inputs'!$E$36)&gt;=L110,L117*L113,0)))</f>
        <v>0</v>
      </c>
      <c r="M118" s="37">
        <f>IF(YEAR('Assumptions &amp; Inputs'!$E$31)&gt;M110,0,IF(M110=YEAR('Assumptions &amp; Inputs'!$E$31),M113*M117*YEARFRAC('Assumptions &amp; Inputs'!$E$31,'Assumptions &amp; Inputs'!$E$32),IF(YEAR('Assumptions &amp; Inputs'!$E$36)&gt;=M110,M117*M113,0)))</f>
        <v>0</v>
      </c>
      <c r="N118" s="37">
        <f>IF(YEAR('Assumptions &amp; Inputs'!$E$31)&gt;N110,0,IF(N110=YEAR('Assumptions &amp; Inputs'!$E$31),N113*N117*YEARFRAC('Assumptions &amp; Inputs'!$E$31,'Assumptions &amp; Inputs'!$E$32),IF(YEAR('Assumptions &amp; Inputs'!$E$36)&gt;=N110,N117*N113,0)))</f>
        <v>0</v>
      </c>
      <c r="O118" s="37">
        <f>IF(YEAR('Assumptions &amp; Inputs'!$E$31)&gt;O110,0,IF(O110=YEAR('Assumptions &amp; Inputs'!$E$31),O113*O117*YEARFRAC('Assumptions &amp; Inputs'!$E$31,'Assumptions &amp; Inputs'!$E$32),IF(YEAR('Assumptions &amp; Inputs'!$E$36)&gt;=O110,O117*O113,0)))</f>
        <v>0</v>
      </c>
      <c r="P118" s="37">
        <f>IF(YEAR('Assumptions &amp; Inputs'!$E$31)&gt;P110,0,IF(P110=YEAR('Assumptions &amp; Inputs'!$E$31),P113*P117*YEARFRAC('Assumptions &amp; Inputs'!$E$31,'Assumptions &amp; Inputs'!$E$32),IF(YEAR('Assumptions &amp; Inputs'!$E$36)&gt;=P110,P117*P113,0)))</f>
        <v>0</v>
      </c>
      <c r="Q118" s="37">
        <f>IF(YEAR('Assumptions &amp; Inputs'!$E$31)&gt;Q110,0,IF(Q110=YEAR('Assumptions &amp; Inputs'!$E$31),Q113*Q117*YEARFRAC('Assumptions &amp; Inputs'!$E$31,'Assumptions &amp; Inputs'!$E$32),IF(YEAR('Assumptions &amp; Inputs'!$E$36)&gt;=Q110,Q117*Q113,0)))</f>
        <v>0</v>
      </c>
      <c r="R118" s="37">
        <f>IF(YEAR('Assumptions &amp; Inputs'!$E$31)&gt;R110,0,IF(R110=YEAR('Assumptions &amp; Inputs'!$E$31),R113*R117*YEARFRAC('Assumptions &amp; Inputs'!$E$31,'Assumptions &amp; Inputs'!$E$32),IF(YEAR('Assumptions &amp; Inputs'!$E$36)&gt;=R110,R117*R113,0)))</f>
        <v>0</v>
      </c>
      <c r="S118" s="37">
        <f>IF(YEAR('Assumptions &amp; Inputs'!$E$31)&gt;S110,0,IF(S110=YEAR('Assumptions &amp; Inputs'!$E$31),S113*S117*YEARFRAC('Assumptions &amp; Inputs'!$E$31,'Assumptions &amp; Inputs'!$E$32),IF(YEAR('Assumptions &amp; Inputs'!$E$36)&gt;=S110,S117*S113,0)))</f>
        <v>0</v>
      </c>
      <c r="T118" s="37">
        <f>IF(YEAR('Assumptions &amp; Inputs'!$E$31)&gt;T110,0,IF(T110=YEAR('Assumptions &amp; Inputs'!$E$31),T113*T117*YEARFRAC('Assumptions &amp; Inputs'!$E$31,'Assumptions &amp; Inputs'!$E$32),IF(YEAR('Assumptions &amp; Inputs'!$E$36)&gt;=T110,T117*T113,0)))</f>
        <v>0</v>
      </c>
      <c r="U118" s="37">
        <f>IF(YEAR('Assumptions &amp; Inputs'!$E$31)&gt;U110,0,IF(U110=YEAR('Assumptions &amp; Inputs'!$E$31),U113*U117*YEARFRAC('Assumptions &amp; Inputs'!$E$31,'Assumptions &amp; Inputs'!$E$32),IF(YEAR('Assumptions &amp; Inputs'!$E$36)&gt;=U110,U117*U113,0)))</f>
        <v>0</v>
      </c>
      <c r="V118" s="37">
        <f>IF(YEAR('Assumptions &amp; Inputs'!$E$31)&gt;V110,0,IF(V110=YEAR('Assumptions &amp; Inputs'!$E$31),V113*V117*YEARFRAC('Assumptions &amp; Inputs'!$E$31,'Assumptions &amp; Inputs'!$E$32),IF(YEAR('Assumptions &amp; Inputs'!$E$36)&gt;=V110,V117*V113,0)))</f>
        <v>0</v>
      </c>
      <c r="W118" s="37">
        <f>IF(YEAR('Assumptions &amp; Inputs'!$E$31)&gt;W110,0,IF(W110=YEAR('Assumptions &amp; Inputs'!$E$31),W113*W117*YEARFRAC('Assumptions &amp; Inputs'!$E$31,'Assumptions &amp; Inputs'!$E$32),IF(YEAR('Assumptions &amp; Inputs'!$E$36)&gt;=W110,W117*W113,0)))</f>
        <v>0</v>
      </c>
      <c r="X118" s="37">
        <f>IF(YEAR('Assumptions &amp; Inputs'!$E$31)&gt;X110,0,IF(X110=YEAR('Assumptions &amp; Inputs'!$E$31),X113*X117*YEARFRAC('Assumptions &amp; Inputs'!$E$31,'Assumptions &amp; Inputs'!$E$32),IF(YEAR('Assumptions &amp; Inputs'!$E$36)&gt;=X110,X117*X113,0)))</f>
        <v>0</v>
      </c>
      <c r="Y118" s="37">
        <f>IF(YEAR('Assumptions &amp; Inputs'!$E$31)&gt;Y110,0,IF(Y110=YEAR('Assumptions &amp; Inputs'!$E$31),Y113*Y117*YEARFRAC('Assumptions &amp; Inputs'!$E$31,'Assumptions &amp; Inputs'!$E$32),IF(YEAR('Assumptions &amp; Inputs'!$E$36)&gt;=Y110,Y117*Y113,0)))</f>
        <v>0</v>
      </c>
      <c r="Z118" s="37">
        <f>IF(YEAR('Assumptions &amp; Inputs'!$E$31)&gt;Z110,0,IF(Z110=YEAR('Assumptions &amp; Inputs'!$E$31),Z113*Z117*YEARFRAC('Assumptions &amp; Inputs'!$E$31,'Assumptions &amp; Inputs'!$E$32),IF(YEAR('Assumptions &amp; Inputs'!$E$36)&gt;=Z110,Z117*Z113,0)))</f>
        <v>0</v>
      </c>
      <c r="AA118" s="37">
        <f>IF(YEAR('Assumptions &amp; Inputs'!$E$31)&gt;AA110,0,IF(AA110=YEAR('Assumptions &amp; Inputs'!$E$31),AA113*AA117*YEARFRAC('Assumptions &amp; Inputs'!$E$31,'Assumptions &amp; Inputs'!$E$32),IF(YEAR('Assumptions &amp; Inputs'!$E$36)&gt;=AA110,AA117*AA113,0)))</f>
        <v>0</v>
      </c>
      <c r="AB118" s="37">
        <f>IF(YEAR('Assumptions &amp; Inputs'!$E$31)&gt;AB110,0,IF(AB110=YEAR('Assumptions &amp; Inputs'!$E$31),AB113*AB117*YEARFRAC('Assumptions &amp; Inputs'!$E$31,'Assumptions &amp; Inputs'!$E$32),IF(YEAR('Assumptions &amp; Inputs'!$E$36)&gt;=AB110,AB117*AB113,0)))</f>
        <v>0</v>
      </c>
      <c r="AC118" s="37">
        <f>IF(YEAR('Assumptions &amp; Inputs'!$E$31)&gt;AC110,0,IF(AC110=YEAR('Assumptions &amp; Inputs'!$E$31),AC113*AC117*YEARFRAC('Assumptions &amp; Inputs'!$E$31,'Assumptions &amp; Inputs'!$E$32),IF(YEAR('Assumptions &amp; Inputs'!$E$36)&gt;=AC110,AC117*AC113,0)))</f>
        <v>0</v>
      </c>
      <c r="AD118" s="37">
        <f>IF(YEAR('Assumptions &amp; Inputs'!$E$31)&gt;AD110,0,IF(AD110=YEAR('Assumptions &amp; Inputs'!$E$31),AD113*AD117*YEARFRAC('Assumptions &amp; Inputs'!$E$31,'Assumptions &amp; Inputs'!$E$32),IF(YEAR('Assumptions &amp; Inputs'!$E$36)&gt;=AD110,AD117*AD113,0)))</f>
        <v>0</v>
      </c>
      <c r="AE118" s="37">
        <f>IF(YEAR('Assumptions &amp; Inputs'!$E$31)&gt;AE110,0,IF(AE110=YEAR('Assumptions &amp; Inputs'!$E$31),AE113*AE117*YEARFRAC('Assumptions &amp; Inputs'!$E$31,'Assumptions &amp; Inputs'!$E$32),IF(YEAR('Assumptions &amp; Inputs'!$E$36)&gt;=AE110,AE117*AE113,0)))</f>
        <v>0</v>
      </c>
      <c r="AF118" s="37">
        <f>IF(YEAR('Assumptions &amp; Inputs'!$E$31)&gt;AF110,0,IF(AF110=YEAR('Assumptions &amp; Inputs'!$E$31),AF113*AF117*YEARFRAC('Assumptions &amp; Inputs'!$E$31,'Assumptions &amp; Inputs'!$E$32),IF(YEAR('Assumptions &amp; Inputs'!$E$36)&gt;=AF110,AF117*AF113,0)))</f>
        <v>0</v>
      </c>
      <c r="AG118" s="37">
        <f>IF(YEAR('Assumptions &amp; Inputs'!$E$31)&gt;AG110,0,IF(AG110=YEAR('Assumptions &amp; Inputs'!$E$31),AG113*AG117*YEARFRAC('Assumptions &amp; Inputs'!$E$31,'Assumptions &amp; Inputs'!$E$32),IF(YEAR('Assumptions &amp; Inputs'!$E$36)&gt;=AG110,AG117*AG113,0)))</f>
        <v>0</v>
      </c>
      <c r="AH118" s="37">
        <f>IF(YEAR('Assumptions &amp; Inputs'!$E$31)&gt;AH110,0,IF(AH110=YEAR('Assumptions &amp; Inputs'!$E$31),AH113*AH117*YEARFRAC('Assumptions &amp; Inputs'!$E$31,'Assumptions &amp; Inputs'!$E$32),IF(YEAR('Assumptions &amp; Inputs'!$E$36)&gt;=AH110,AH117*AH113,0)))</f>
        <v>0</v>
      </c>
      <c r="AI118" s="37">
        <f>IF(YEAR('Assumptions &amp; Inputs'!$E$31)&gt;AI110,0,IF(AI110=YEAR('Assumptions &amp; Inputs'!$E$31),AI113*AI117*YEARFRAC('Assumptions &amp; Inputs'!$E$31,'Assumptions &amp; Inputs'!$E$32),IF(YEAR('Assumptions &amp; Inputs'!$E$36)&gt;=AI110,AI117*AI113,0)))</f>
        <v>0</v>
      </c>
      <c r="AJ118" s="37">
        <f>IF(YEAR('Assumptions &amp; Inputs'!$E$31)&gt;AJ110,0,IF(AJ110=YEAR('Assumptions &amp; Inputs'!$E$31),AJ113*AJ117*YEARFRAC('Assumptions &amp; Inputs'!$E$31,'Assumptions &amp; Inputs'!$E$32),IF(YEAR('Assumptions &amp; Inputs'!$E$36)&gt;=AJ110,AJ117*AJ113,0)))</f>
        <v>0</v>
      </c>
      <c r="AK118" s="37">
        <f>IF(YEAR('Assumptions &amp; Inputs'!$E$31)&gt;AK110,0,IF(AK110=YEAR('Assumptions &amp; Inputs'!$E$31),AK113*AK117*YEARFRAC('Assumptions &amp; Inputs'!$E$31,'Assumptions &amp; Inputs'!$E$32),IF(YEAR('Assumptions &amp; Inputs'!$E$36)&gt;=AK110,AK117*AK113,0)))</f>
        <v>0</v>
      </c>
      <c r="AL118" s="37">
        <f>IF(YEAR('Assumptions &amp; Inputs'!$E$31)&gt;AL110,0,IF(AL110=YEAR('Assumptions &amp; Inputs'!$E$31),AL113*AL117*YEARFRAC('Assumptions &amp; Inputs'!$E$31,'Assumptions &amp; Inputs'!$E$32),IF(YEAR('Assumptions &amp; Inputs'!$E$36)&gt;=AL110,AL117*AL113,0)))</f>
        <v>0</v>
      </c>
      <c r="AM118" s="37">
        <f>IF(YEAR('Assumptions &amp; Inputs'!$E$31)&gt;AM110,0,IF(AM110=YEAR('Assumptions &amp; Inputs'!$E$31),AM113*AM117*YEARFRAC('Assumptions &amp; Inputs'!$E$31,'Assumptions &amp; Inputs'!$E$32),IF(YEAR('Assumptions &amp; Inputs'!$E$36)&gt;=AM110,AM117*AM113,0)))</f>
        <v>0</v>
      </c>
      <c r="AN118" s="37">
        <f>IF(YEAR('Assumptions &amp; Inputs'!$E$31)&gt;AN110,0,IF(AN110=YEAR('Assumptions &amp; Inputs'!$E$31),AN113*AN117*YEARFRAC('Assumptions &amp; Inputs'!$E$31,'Assumptions &amp; Inputs'!$E$32),IF(YEAR('Assumptions &amp; Inputs'!$E$36)&gt;=AN110,AN117*AN113,0)))</f>
        <v>0</v>
      </c>
      <c r="AO118" s="37">
        <f>IF(YEAR('Assumptions &amp; Inputs'!$E$31)&gt;AO110,0,IF(AO110=YEAR('Assumptions &amp; Inputs'!$E$31),AO113*AO117*YEARFRAC('Assumptions &amp; Inputs'!$E$31,'Assumptions &amp; Inputs'!$E$32),IF(YEAR('Assumptions &amp; Inputs'!$E$36)&gt;=AO110,AO117*AO113,0)))</f>
        <v>0</v>
      </c>
      <c r="AP118" s="37">
        <f>IF(YEAR('Assumptions &amp; Inputs'!$E$31)&gt;AP110,0,IF(AP110=YEAR('Assumptions &amp; Inputs'!$E$31),AP113*AP117*YEARFRAC('Assumptions &amp; Inputs'!$E$31,'Assumptions &amp; Inputs'!$E$32),IF(YEAR('Assumptions &amp; Inputs'!$E$36)&gt;=AP110,AP117*AP113,0)))</f>
        <v>0</v>
      </c>
      <c r="AQ118" s="37">
        <f>IF(YEAR('Assumptions &amp; Inputs'!$E$31)&gt;AQ110,0,IF(AQ110=YEAR('Assumptions &amp; Inputs'!$E$31),AQ113*AQ117*YEARFRAC('Assumptions &amp; Inputs'!$E$31,'Assumptions &amp; Inputs'!$E$32),IF(YEAR('Assumptions &amp; Inputs'!$E$36)&gt;=AQ110,AQ117*AQ113,0)))</f>
        <v>0</v>
      </c>
      <c r="AR118" s="37">
        <f>IF(YEAR('Assumptions &amp; Inputs'!$E$31)&gt;AR110,0,IF(AR110=YEAR('Assumptions &amp; Inputs'!$E$31),AR113*AR117*YEARFRAC('Assumptions &amp; Inputs'!$E$31,'Assumptions &amp; Inputs'!$E$32),IF(YEAR('Assumptions &amp; Inputs'!$E$36)&gt;=AR110,AR117*AR113,0)))</f>
        <v>0</v>
      </c>
      <c r="AS118" s="37">
        <f>IF(YEAR('Assumptions &amp; Inputs'!$E$31)&gt;AS110,0,IF(AS110=YEAR('Assumptions &amp; Inputs'!$E$31),AS113*AS117*YEARFRAC('Assumptions &amp; Inputs'!$E$31,'Assumptions &amp; Inputs'!$E$32),IF(YEAR('Assumptions &amp; Inputs'!$E$36)&gt;=AS110,AS117*AS113,0)))</f>
        <v>0</v>
      </c>
      <c r="AT118" s="37">
        <f>IF(YEAR('Assumptions &amp; Inputs'!$E$31)&gt;AT110,0,IF(AT110=YEAR('Assumptions &amp; Inputs'!$E$31),AT113*AT117*YEARFRAC('Assumptions &amp; Inputs'!$E$31,'Assumptions &amp; Inputs'!$E$32),IF(YEAR('Assumptions &amp; Inputs'!$E$36)&gt;=AT110,AT117*AT113,0)))</f>
        <v>0</v>
      </c>
      <c r="AU118" s="37">
        <f>IF(YEAR('Assumptions &amp; Inputs'!$E$31)&gt;AU110,0,IF(AU110=YEAR('Assumptions &amp; Inputs'!$E$31),AU113*AU117*YEARFRAC('Assumptions &amp; Inputs'!$E$31,'Assumptions &amp; Inputs'!$E$32),IF(YEAR('Assumptions &amp; Inputs'!$E$36)&gt;=AU110,AU117*AU113,0)))</f>
        <v>0</v>
      </c>
      <c r="AV118" s="37">
        <f>IF(YEAR('Assumptions &amp; Inputs'!$E$31)&gt;AV110,0,IF(AV110=YEAR('Assumptions &amp; Inputs'!$E$31),AV113*AV117*YEARFRAC('Assumptions &amp; Inputs'!$E$31,'Assumptions &amp; Inputs'!$E$32),IF(YEAR('Assumptions &amp; Inputs'!$E$36)&gt;=AV110,AV117*AV113,0)))</f>
        <v>0</v>
      </c>
      <c r="AW118" s="37">
        <f>IF(YEAR('Assumptions &amp; Inputs'!$E$31)&gt;AW110,0,IF(AW110=YEAR('Assumptions &amp; Inputs'!$E$31),AW113*AW117*YEARFRAC('Assumptions &amp; Inputs'!$E$31,'Assumptions &amp; Inputs'!$E$32),IF(YEAR('Assumptions &amp; Inputs'!$E$36)&gt;=AW110,AW117*AW113,0)))</f>
        <v>0</v>
      </c>
    </row>
    <row r="119" spans="3:49" ht="14.25" customHeight="1">
      <c r="C119" s="1" t="s">
        <v>501</v>
      </c>
      <c r="D119" s="18">
        <f>-'Assumptions &amp; Inputs'!$E$66*'Assumptions &amp; Inputs'!$E$64*(1+'Assumptions &amp; Inputs'!$E$20)^D108</f>
        <v>-0.3</v>
      </c>
      <c r="E119" s="18">
        <f>-'Assumptions &amp; Inputs'!$E$66*'Assumptions &amp; Inputs'!$E$64*(1+'Assumptions &amp; Inputs'!$E$20)^E108</f>
        <v>-0.309</v>
      </c>
      <c r="F119" s="18">
        <f>-'Assumptions &amp; Inputs'!$E$66*'Assumptions &amp; Inputs'!$E$64*(1+'Assumptions &amp; Inputs'!$E$20)^F108</f>
        <v>-0.31827</v>
      </c>
      <c r="G119" s="18">
        <f>-'Assumptions &amp; Inputs'!$E$66*'Assumptions &amp; Inputs'!$E$64*(1+'Assumptions &amp; Inputs'!$E$20)^G108</f>
        <v>-0.3278181</v>
      </c>
      <c r="H119" s="18">
        <f>-'Assumptions &amp; Inputs'!$E$66*'Assumptions &amp; Inputs'!$E$64*(1+'Assumptions &amp; Inputs'!$E$20)^H108</f>
        <v>-0.33765264299999997</v>
      </c>
      <c r="I119" s="18">
        <f>-'Assumptions &amp; Inputs'!$E$66*'Assumptions &amp; Inputs'!$E$64*(1+'Assumptions &amp; Inputs'!$E$20)^I108</f>
        <v>-0.34778222228999994</v>
      </c>
      <c r="J119" s="18">
        <f>-'Assumptions &amp; Inputs'!$E$66*'Assumptions &amp; Inputs'!$E$64*(1+'Assumptions &amp; Inputs'!$E$20)^J108</f>
        <v>-0.35821568895869998</v>
      </c>
      <c r="K119" s="18">
        <f>-'Assumptions &amp; Inputs'!$E$66*'Assumptions &amp; Inputs'!$E$64*(1+'Assumptions &amp; Inputs'!$E$20)^K108</f>
        <v>-0.36896215962746098</v>
      </c>
      <c r="L119" s="18">
        <f>-'Assumptions &amp; Inputs'!$E$66*'Assumptions &amp; Inputs'!$E$64*(1+'Assumptions &amp; Inputs'!$E$20)^L108</f>
        <v>-0.38003102441628478</v>
      </c>
      <c r="M119" s="18">
        <f>-'Assumptions &amp; Inputs'!$E$66*'Assumptions &amp; Inputs'!$E$64*(1+'Assumptions &amp; Inputs'!$E$20)^M108</f>
        <v>-0.39143195514877333</v>
      </c>
      <c r="N119" s="18">
        <f>-'Assumptions &amp; Inputs'!$E$66*'Assumptions &amp; Inputs'!$E$64*(1+'Assumptions &amp; Inputs'!$E$20)^N108</f>
        <v>-0.4031749138032365</v>
      </c>
      <c r="O119" s="18">
        <f>-'Assumptions &amp; Inputs'!$E$66*'Assumptions &amp; Inputs'!$E$64*(1+'Assumptions &amp; Inputs'!$E$20)^O108</f>
        <v>-0.41527016121733362</v>
      </c>
      <c r="P119" s="18">
        <f>-'Assumptions &amp; Inputs'!$E$66*'Assumptions &amp; Inputs'!$E$64*(1+'Assumptions &amp; Inputs'!$E$20)^P108</f>
        <v>-0.42772826605385356</v>
      </c>
      <c r="Q119" s="18">
        <f>-'Assumptions &amp; Inputs'!$E$66*'Assumptions &amp; Inputs'!$E$64*(1+'Assumptions &amp; Inputs'!$E$20)^Q108</f>
        <v>-0.44056011403546919</v>
      </c>
      <c r="R119" s="18">
        <f>-'Assumptions &amp; Inputs'!$E$66*'Assumptions &amp; Inputs'!$E$64*(1+'Assumptions &amp; Inputs'!$E$20)^R108</f>
        <v>-0.45377691745653326</v>
      </c>
      <c r="S119" s="18">
        <f>-'Assumptions &amp; Inputs'!$E$66*'Assumptions &amp; Inputs'!$E$64*(1+'Assumptions &amp; Inputs'!$E$20)^S108</f>
        <v>-0.46739022498022931</v>
      </c>
      <c r="T119" s="18">
        <f>-'Assumptions &amp; Inputs'!$E$66*'Assumptions &amp; Inputs'!$E$64*(1+'Assumptions &amp; Inputs'!$E$20)^T108</f>
        <v>-0.48141193172963609</v>
      </c>
      <c r="U119" s="18">
        <f>-'Assumptions &amp; Inputs'!$E$66*'Assumptions &amp; Inputs'!$E$64*(1+'Assumptions &amp; Inputs'!$E$20)^U108</f>
        <v>-0.49585428968152517</v>
      </c>
      <c r="V119" s="18">
        <f>-'Assumptions &amp; Inputs'!$E$66*'Assumptions &amp; Inputs'!$E$64*(1+'Assumptions &amp; Inputs'!$E$20)^V108</f>
        <v>-0.5107299183719709</v>
      </c>
      <c r="W119" s="18">
        <f>-'Assumptions &amp; Inputs'!$E$66*'Assumptions &amp; Inputs'!$E$64*(1+'Assumptions &amp; Inputs'!$E$20)^W108</f>
        <v>-0.52605181592313011</v>
      </c>
      <c r="X119" s="18">
        <f>-'Assumptions &amp; Inputs'!$E$66*'Assumptions &amp; Inputs'!$E$64*(1+'Assumptions &amp; Inputs'!$E$20)^X108</f>
        <v>-0.54183337040082391</v>
      </c>
      <c r="Y119" s="18">
        <f>-'Assumptions &amp; Inputs'!$E$66*'Assumptions &amp; Inputs'!$E$64*(1+'Assumptions &amp; Inputs'!$E$20)^Y108</f>
        <v>-0.55808837151284862</v>
      </c>
      <c r="Z119" s="18">
        <f>-'Assumptions &amp; Inputs'!$E$66*'Assumptions &amp; Inputs'!$E$64*(1+'Assumptions &amp; Inputs'!$E$20)^Z108</f>
        <v>-0.57483102265823416</v>
      </c>
      <c r="AA119" s="18">
        <f>-'Assumptions &amp; Inputs'!$E$66*'Assumptions &amp; Inputs'!$E$64*(1+'Assumptions &amp; Inputs'!$E$20)^AA108</f>
        <v>-0.59207595333798113</v>
      </c>
      <c r="AB119" s="18">
        <f>-'Assumptions &amp; Inputs'!$E$66*'Assumptions &amp; Inputs'!$E$64*(1+'Assumptions &amp; Inputs'!$E$20)^AB108</f>
        <v>-0.60983823193812048</v>
      </c>
      <c r="AC119" s="18">
        <f>-'Assumptions &amp; Inputs'!$E$66*'Assumptions &amp; Inputs'!$E$64*(1+'Assumptions &amp; Inputs'!$E$20)^AC108</f>
        <v>-0.62813337889626408</v>
      </c>
      <c r="AD119" s="18">
        <f>-'Assumptions &amp; Inputs'!$E$66*'Assumptions &amp; Inputs'!$E$64*(1+'Assumptions &amp; Inputs'!$E$20)^AD108</f>
        <v>-0.6469773802631521</v>
      </c>
      <c r="AE119" s="18">
        <f>-'Assumptions &amp; Inputs'!$E$66*'Assumptions &amp; Inputs'!$E$64*(1+'Assumptions &amp; Inputs'!$E$20)^AE108</f>
        <v>-0.66638670167104663</v>
      </c>
      <c r="AF119" s="18">
        <f>-'Assumptions &amp; Inputs'!$E$66*'Assumptions &amp; Inputs'!$E$64*(1+'Assumptions &amp; Inputs'!$E$20)^AF108</f>
        <v>-0.68637830272117806</v>
      </c>
      <c r="AG119" s="18">
        <f>-'Assumptions &amp; Inputs'!$E$66*'Assumptions &amp; Inputs'!$E$64*(1+'Assumptions &amp; Inputs'!$E$20)^AG108</f>
        <v>-0.70696965180281335</v>
      </c>
      <c r="AH119" s="18">
        <f>-'Assumptions &amp; Inputs'!$E$66*'Assumptions &amp; Inputs'!$E$64*(1+'Assumptions &amp; Inputs'!$E$20)^AH108</f>
        <v>-0.72817874135689775</v>
      </c>
      <c r="AI119" s="18">
        <f>-'Assumptions &amp; Inputs'!$E$66*'Assumptions &amp; Inputs'!$E$64*(1+'Assumptions &amp; Inputs'!$E$20)^AI108</f>
        <v>-0.75002410359760474</v>
      </c>
      <c r="AJ119" s="18">
        <f>-'Assumptions &amp; Inputs'!$E$66*'Assumptions &amp; Inputs'!$E$64*(1+'Assumptions &amp; Inputs'!$E$20)^AJ108</f>
        <v>-0.7725248267055328</v>
      </c>
      <c r="AK119" s="18">
        <f>-'Assumptions &amp; Inputs'!$E$66*'Assumptions &amp; Inputs'!$E$64*(1+'Assumptions &amp; Inputs'!$E$20)^AK108</f>
        <v>-0.79570057150669882</v>
      </c>
      <c r="AL119" s="18">
        <f>-'Assumptions &amp; Inputs'!$E$66*'Assumptions &amp; Inputs'!$E$64*(1+'Assumptions &amp; Inputs'!$E$20)^AL108</f>
        <v>-0.81957158865189961</v>
      </c>
      <c r="AM119" s="18">
        <f>-'Assumptions &amp; Inputs'!$E$66*'Assumptions &amp; Inputs'!$E$64*(1+'Assumptions &amp; Inputs'!$E$20)^AM108</f>
        <v>-0.84415873631145677</v>
      </c>
      <c r="AN119" s="18">
        <f>-'Assumptions &amp; Inputs'!$E$66*'Assumptions &amp; Inputs'!$E$64*(1+'Assumptions &amp; Inputs'!$E$20)^AN108</f>
        <v>-0.86948349840080041</v>
      </c>
      <c r="AO119" s="18">
        <f>-'Assumptions &amp; Inputs'!$E$66*'Assumptions &amp; Inputs'!$E$64*(1+'Assumptions &amp; Inputs'!$E$20)^AO108</f>
        <v>-0.89556800335282427</v>
      </c>
      <c r="AP119" s="18">
        <f>-'Assumptions &amp; Inputs'!$E$66*'Assumptions &amp; Inputs'!$E$64*(1+'Assumptions &amp; Inputs'!$E$20)^AP108</f>
        <v>-0.92243504345340899</v>
      </c>
      <c r="AQ119" s="18">
        <f>-'Assumptions &amp; Inputs'!$E$66*'Assumptions &amp; Inputs'!$E$64*(1+'Assumptions &amp; Inputs'!$E$20)^AQ108</f>
        <v>-0.95010809475701141</v>
      </c>
      <c r="AR119" s="18">
        <f>-'Assumptions &amp; Inputs'!$E$66*'Assumptions &amp; Inputs'!$E$64*(1+'Assumptions &amp; Inputs'!$E$20)^AR108</f>
        <v>-0.97861133759972152</v>
      </c>
      <c r="AS119" s="18">
        <f>-'Assumptions &amp; Inputs'!$E$66*'Assumptions &amp; Inputs'!$E$64*(1+'Assumptions &amp; Inputs'!$E$20)^AS108</f>
        <v>-1.0079696777277132</v>
      </c>
      <c r="AT119" s="18">
        <f>-'Assumptions &amp; Inputs'!$E$66*'Assumptions &amp; Inputs'!$E$64*(1+'Assumptions &amp; Inputs'!$E$20)^AT108</f>
        <v>-1.0382087680595447</v>
      </c>
      <c r="AU119" s="18">
        <f>-'Assumptions &amp; Inputs'!$E$66*'Assumptions &amp; Inputs'!$E$64*(1+'Assumptions &amp; Inputs'!$E$20)^AU108</f>
        <v>-1.0693550311013311</v>
      </c>
      <c r="AV119" s="18">
        <f>-'Assumptions &amp; Inputs'!$E$66*'Assumptions &amp; Inputs'!$E$64*(1+'Assumptions &amp; Inputs'!$E$20)^AV108</f>
        <v>-1.1014356820343709</v>
      </c>
      <c r="AW119" s="18">
        <f>-'Assumptions &amp; Inputs'!$E$66*'Assumptions &amp; Inputs'!$E$64*(1+'Assumptions &amp; Inputs'!$E$20)^AW108</f>
        <v>-1.1344787524954019</v>
      </c>
    </row>
    <row r="120" spans="3:49" ht="14.25" customHeight="1">
      <c r="C120" s="1" t="s">
        <v>502</v>
      </c>
      <c r="D120" s="31">
        <f t="shared" ref="D120:AW120" si="332">D119*D113</f>
        <v>-116.18630136986302</v>
      </c>
      <c r="E120" s="31">
        <f t="shared" si="332"/>
        <v>-119.67189041095891</v>
      </c>
      <c r="F120" s="31">
        <f t="shared" si="332"/>
        <v>-123.26204712328767</v>
      </c>
      <c r="G120" s="31">
        <f t="shared" si="332"/>
        <v>-126.9599085369863</v>
      </c>
      <c r="H120" s="31">
        <f t="shared" si="332"/>
        <v>-130.76870579309588</v>
      </c>
      <c r="I120" s="31">
        <f t="shared" si="332"/>
        <v>-134.69176696688876</v>
      </c>
      <c r="J120" s="31">
        <f t="shared" si="332"/>
        <v>-138.73251997589543</v>
      </c>
      <c r="K120" s="31">
        <f t="shared" si="332"/>
        <v>-142.8944955751723</v>
      </c>
      <c r="L120" s="31">
        <f t="shared" si="332"/>
        <v>-147.18133044242745</v>
      </c>
      <c r="M120" s="31">
        <f t="shared" si="332"/>
        <v>-151.59677035570027</v>
      </c>
      <c r="N120" s="31">
        <f t="shared" si="332"/>
        <v>-156.14467346637127</v>
      </c>
      <c r="O120" s="31">
        <f t="shared" si="332"/>
        <v>-160.82901367036243</v>
      </c>
      <c r="P120" s="31">
        <f t="shared" si="332"/>
        <v>-165.65388408047326</v>
      </c>
      <c r="Q120" s="31">
        <f t="shared" si="332"/>
        <v>-170.62350060288747</v>
      </c>
      <c r="R120" s="31">
        <f t="shared" si="332"/>
        <v>-175.74220562097409</v>
      </c>
      <c r="S120" s="31">
        <f t="shared" si="332"/>
        <v>-181.01447178960333</v>
      </c>
      <c r="T120" s="31">
        <f t="shared" si="332"/>
        <v>-186.44490594329139</v>
      </c>
      <c r="U120" s="31">
        <f t="shared" si="332"/>
        <v>-192.03825312159015</v>
      </c>
      <c r="V120" s="31">
        <f t="shared" si="332"/>
        <v>-197.79940071523785</v>
      </c>
      <c r="W120" s="31">
        <f t="shared" si="332"/>
        <v>-203.73338273669501</v>
      </c>
      <c r="X120" s="31">
        <f t="shared" si="332"/>
        <v>-209.8453842187958</v>
      </c>
      <c r="Y120" s="31">
        <f t="shared" si="332"/>
        <v>-216.14074574535968</v>
      </c>
      <c r="Z120" s="31">
        <f t="shared" si="332"/>
        <v>-222.6249681177205</v>
      </c>
      <c r="AA120" s="31">
        <f t="shared" si="332"/>
        <v>-229.30371716125211</v>
      </c>
      <c r="AB120" s="31">
        <f t="shared" si="332"/>
        <v>-236.18282867608963</v>
      </c>
      <c r="AC120" s="31">
        <f t="shared" si="332"/>
        <v>-243.26831353637232</v>
      </c>
      <c r="AD120" s="31">
        <f t="shared" si="332"/>
        <v>-250.56636294246351</v>
      </c>
      <c r="AE120" s="31">
        <f t="shared" si="332"/>
        <v>-258.08335383073739</v>
      </c>
      <c r="AF120" s="31">
        <f t="shared" si="332"/>
        <v>-265.82585444565956</v>
      </c>
      <c r="AG120" s="31">
        <f t="shared" si="332"/>
        <v>-273.8006300790293</v>
      </c>
      <c r="AH120" s="31">
        <f t="shared" si="332"/>
        <v>-282.01464898140017</v>
      </c>
      <c r="AI120" s="31">
        <f t="shared" si="332"/>
        <v>-290.47508845084224</v>
      </c>
      <c r="AJ120" s="31">
        <f t="shared" si="332"/>
        <v>-299.18934110436743</v>
      </c>
      <c r="AK120" s="31">
        <f t="shared" si="332"/>
        <v>-308.1650213374985</v>
      </c>
      <c r="AL120" s="31">
        <f t="shared" si="332"/>
        <v>-317.4099719776234</v>
      </c>
      <c r="AM120" s="31">
        <f t="shared" si="332"/>
        <v>-326.93227113695212</v>
      </c>
      <c r="AN120" s="31">
        <f t="shared" si="332"/>
        <v>-336.74023927106072</v>
      </c>
      <c r="AO120" s="31">
        <f t="shared" si="332"/>
        <v>-346.84244644919244</v>
      </c>
      <c r="AP120" s="31">
        <f t="shared" si="332"/>
        <v>-357.24771984266823</v>
      </c>
      <c r="AQ120" s="31">
        <f t="shared" si="332"/>
        <v>-367.96515143794835</v>
      </c>
      <c r="AR120" s="31">
        <f t="shared" si="332"/>
        <v>-379.0041059810867</v>
      </c>
      <c r="AS120" s="31">
        <f t="shared" si="332"/>
        <v>-390.37422916051929</v>
      </c>
      <c r="AT120" s="31">
        <f t="shared" si="332"/>
        <v>-402.08545603533491</v>
      </c>
      <c r="AU120" s="31">
        <f t="shared" si="332"/>
        <v>-414.14801971639503</v>
      </c>
      <c r="AV120" s="31">
        <f t="shared" si="332"/>
        <v>-426.57246030788679</v>
      </c>
      <c r="AW120" s="31">
        <f t="shared" si="332"/>
        <v>-439.36963411712333</v>
      </c>
    </row>
    <row r="121" spans="3:49" ht="14.25" customHeight="1">
      <c r="C121" s="44" t="s">
        <v>239</v>
      </c>
      <c r="D121" s="273" t="e">
        <f>_xlfn.XLOOKUP(D110, 'Real Estate'!$D$103:$BA$103, 'Real Estate'!$D$110:$BA$110)</f>
        <v>#N/A</v>
      </c>
      <c r="E121" s="273">
        <f>_xlfn.XLOOKUP(E110, 'Real Estate'!$D$103:$BA$103, 'Real Estate'!$D$110:$BA$110)</f>
        <v>0</v>
      </c>
      <c r="F121" s="273">
        <f>_xlfn.XLOOKUP(F110, 'Real Estate'!$D$103:$BA$103, 'Real Estate'!$D$110:$BA$110)</f>
        <v>0</v>
      </c>
      <c r="G121" s="273">
        <f>_xlfn.XLOOKUP(G110, 'Real Estate'!$D$103:$BA$103, 'Real Estate'!$D$110:$BA$110)</f>
        <v>0</v>
      </c>
      <c r="H121" s="273">
        <f>_xlfn.XLOOKUP(H110, 'Real Estate'!$D$103:$BA$103, 'Real Estate'!$D$110:$BA$110)</f>
        <v>0</v>
      </c>
      <c r="I121" s="273">
        <f>_xlfn.XLOOKUP(I110, 'Real Estate'!$D$103:$BA$103, 'Real Estate'!$D$110:$BA$110)</f>
        <v>0</v>
      </c>
      <c r="J121" s="273">
        <f>_xlfn.XLOOKUP(J110, 'Real Estate'!$D$103:$BA$103, 'Real Estate'!$D$110:$BA$110)</f>
        <v>0</v>
      </c>
      <c r="K121" s="273">
        <f>_xlfn.XLOOKUP(K110, 'Real Estate'!$D$103:$BA$103, 'Real Estate'!$D$110:$BA$110)</f>
        <v>0</v>
      </c>
      <c r="L121" s="273">
        <f>_xlfn.XLOOKUP(L110, 'Real Estate'!$D$103:$BA$103, 'Real Estate'!$D$110:$BA$110)</f>
        <v>0</v>
      </c>
      <c r="M121" s="273">
        <f>_xlfn.XLOOKUP(M110, 'Real Estate'!$D$103:$BA$103, 'Real Estate'!$D$110:$BA$110)</f>
        <v>0</v>
      </c>
      <c r="N121" s="273">
        <f>_xlfn.XLOOKUP(N110, 'Real Estate'!$D$103:$BA$103, 'Real Estate'!$D$110:$BA$110)</f>
        <v>0</v>
      </c>
      <c r="O121" s="273">
        <f>_xlfn.XLOOKUP(O110, 'Real Estate'!$D$103:$BA$103, 'Real Estate'!$D$110:$BA$110)</f>
        <v>0</v>
      </c>
      <c r="P121" s="273">
        <f>_xlfn.XLOOKUP(P110, 'Real Estate'!$D$103:$BA$103, 'Real Estate'!$D$110:$BA$110)</f>
        <v>0</v>
      </c>
      <c r="Q121" s="273">
        <f>_xlfn.XLOOKUP(Q110, 'Real Estate'!$D$103:$BA$103, 'Real Estate'!$D$110:$BA$110)</f>
        <v>0</v>
      </c>
      <c r="R121" s="273">
        <f>_xlfn.XLOOKUP(R110, 'Real Estate'!$D$103:$BA$103, 'Real Estate'!$D$110:$BA$110)</f>
        <v>0</v>
      </c>
      <c r="S121" s="273">
        <f>_xlfn.XLOOKUP(S110, 'Real Estate'!$D$103:$BA$103, 'Real Estate'!$D$110:$BA$110)</f>
        <v>0</v>
      </c>
      <c r="T121" s="273">
        <f>_xlfn.XLOOKUP(T110, 'Real Estate'!$D$103:$BA$103, 'Real Estate'!$D$110:$BA$110)</f>
        <v>0</v>
      </c>
      <c r="U121" s="273">
        <f>_xlfn.XLOOKUP(U110, 'Real Estate'!$D$103:$BA$103, 'Real Estate'!$D$110:$BA$110)</f>
        <v>0</v>
      </c>
      <c r="V121" s="273">
        <f>_xlfn.XLOOKUP(V110, 'Real Estate'!$D$103:$BA$103, 'Real Estate'!$D$110:$BA$110)</f>
        <v>0</v>
      </c>
      <c r="W121" s="273">
        <f>_xlfn.XLOOKUP(W110, 'Real Estate'!$D$103:$BA$103, 'Real Estate'!$D$110:$BA$110)</f>
        <v>0</v>
      </c>
      <c r="X121" s="273">
        <f>_xlfn.XLOOKUP(X110, 'Real Estate'!$D$103:$BA$103, 'Real Estate'!$D$110:$BA$110)</f>
        <v>0</v>
      </c>
      <c r="Y121" s="273">
        <f>_xlfn.XLOOKUP(Y110, 'Real Estate'!$D$103:$BA$103, 'Real Estate'!$D$110:$BA$110)</f>
        <v>0</v>
      </c>
      <c r="Z121" s="273">
        <f>_xlfn.XLOOKUP(Z110, 'Real Estate'!$D$103:$BA$103, 'Real Estate'!$D$110:$BA$110)</f>
        <v>0</v>
      </c>
      <c r="AA121" s="273">
        <f>_xlfn.XLOOKUP(AA110, 'Real Estate'!$D$103:$BA$103, 'Real Estate'!$D$110:$BA$110)</f>
        <v>0</v>
      </c>
      <c r="AB121" s="273">
        <f>_xlfn.XLOOKUP(AB110, 'Real Estate'!$D$103:$BA$103, 'Real Estate'!$D$110:$BA$110)</f>
        <v>0</v>
      </c>
      <c r="AC121" s="273">
        <f>_xlfn.XLOOKUP(AC110, 'Real Estate'!$D$103:$BA$103, 'Real Estate'!$D$110:$BA$110)</f>
        <v>0</v>
      </c>
      <c r="AD121" s="273">
        <f>_xlfn.XLOOKUP(AD110, 'Real Estate'!$D$103:$BA$103, 'Real Estate'!$D$110:$BA$110)</f>
        <v>0</v>
      </c>
      <c r="AE121" s="273">
        <f>_xlfn.XLOOKUP(AE110, 'Real Estate'!$D$103:$BA$103, 'Real Estate'!$D$110:$BA$110)</f>
        <v>0</v>
      </c>
      <c r="AF121" s="273">
        <f>_xlfn.XLOOKUP(AF110, 'Real Estate'!$D$103:$BA$103, 'Real Estate'!$D$110:$BA$110)</f>
        <v>0</v>
      </c>
      <c r="AG121" s="273">
        <f>_xlfn.XLOOKUP(AG110, 'Real Estate'!$D$103:$BA$103, 'Real Estate'!$D$110:$BA$110)</f>
        <v>0</v>
      </c>
      <c r="AH121" s="273">
        <f>_xlfn.XLOOKUP(AH110, 'Real Estate'!$D$103:$BA$103, 'Real Estate'!$D$110:$BA$110)</f>
        <v>0</v>
      </c>
      <c r="AI121" s="273">
        <f>_xlfn.XLOOKUP(AI110, 'Real Estate'!$D$103:$BA$103, 'Real Estate'!$D$110:$BA$110)</f>
        <v>0</v>
      </c>
      <c r="AJ121" s="273">
        <f>_xlfn.XLOOKUP(AJ110, 'Real Estate'!$D$103:$BA$103, 'Real Estate'!$D$110:$BA$110)</f>
        <v>0</v>
      </c>
      <c r="AK121" s="273">
        <f>_xlfn.XLOOKUP(AK110, 'Real Estate'!$D$103:$BA$103, 'Real Estate'!$D$110:$BA$110)</f>
        <v>0</v>
      </c>
      <c r="AL121" s="273">
        <f>_xlfn.XLOOKUP(AL110, 'Real Estate'!$D$103:$BA$103, 'Real Estate'!$D$110:$BA$110)</f>
        <v>0</v>
      </c>
      <c r="AM121" s="273">
        <f>_xlfn.XLOOKUP(AM110, 'Real Estate'!$D$103:$BA$103, 'Real Estate'!$D$110:$BA$110)</f>
        <v>0</v>
      </c>
      <c r="AN121" s="273">
        <f>_xlfn.XLOOKUP(AN110, 'Real Estate'!$D$103:$BA$103, 'Real Estate'!$D$110:$BA$110)</f>
        <v>0</v>
      </c>
      <c r="AO121" s="273">
        <f>_xlfn.XLOOKUP(AO110, 'Real Estate'!$D$103:$BA$103, 'Real Estate'!$D$110:$BA$110)</f>
        <v>0</v>
      </c>
      <c r="AP121" s="273">
        <f>_xlfn.XLOOKUP(AP110, 'Real Estate'!$D$103:$BA$103, 'Real Estate'!$D$110:$BA$110)</f>
        <v>0</v>
      </c>
      <c r="AQ121" s="273">
        <f>_xlfn.XLOOKUP(AQ110, 'Real Estate'!$D$103:$BA$103, 'Real Estate'!$D$110:$BA$110)</f>
        <v>0</v>
      </c>
      <c r="AR121" s="273">
        <f>_xlfn.XLOOKUP(AR110, 'Real Estate'!$D$103:$BA$103, 'Real Estate'!$D$110:$BA$110)</f>
        <v>0</v>
      </c>
      <c r="AS121" s="273">
        <f>_xlfn.XLOOKUP(AS110, 'Real Estate'!$D$103:$BA$103, 'Real Estate'!$D$110:$BA$110)</f>
        <v>0</v>
      </c>
      <c r="AT121" s="273">
        <f>_xlfn.XLOOKUP(AT110, 'Real Estate'!$D$103:$BA$103, 'Real Estate'!$D$110:$BA$110)</f>
        <v>0</v>
      </c>
      <c r="AU121" s="273">
        <f>_xlfn.XLOOKUP(AU110, 'Real Estate'!$D$103:$BA$103, 'Real Estate'!$D$110:$BA$110)</f>
        <v>0</v>
      </c>
      <c r="AV121" s="273">
        <f>_xlfn.XLOOKUP(AV110, 'Real Estate'!$D$103:$BA$103, 'Real Estate'!$D$110:$BA$110)</f>
        <v>0</v>
      </c>
      <c r="AW121" s="273">
        <f>_xlfn.XLOOKUP(AW110, 'Real Estate'!$D$103:$BA$103, 'Real Estate'!$D$110:$BA$110)</f>
        <v>0</v>
      </c>
    </row>
    <row r="122" spans="3:49" ht="14.25" customHeight="1">
      <c r="C122" s="2" t="s">
        <v>503</v>
      </c>
      <c r="D122" s="273" t="e">
        <f t="shared" ref="D122:AW122" si="333">D118+D120+D121</f>
        <v>#N/A</v>
      </c>
      <c r="E122" s="273">
        <f t="shared" si="333"/>
        <v>-119.67189041095891</v>
      </c>
      <c r="F122" s="273">
        <f t="shared" si="333"/>
        <v>-123.26204712328767</v>
      </c>
      <c r="G122" s="273">
        <f t="shared" si="333"/>
        <v>-126.9599085369863</v>
      </c>
      <c r="H122" s="273">
        <f t="shared" si="333"/>
        <v>-130.76870579309588</v>
      </c>
      <c r="I122" s="273">
        <f t="shared" si="333"/>
        <v>-134.69176696688876</v>
      </c>
      <c r="J122" s="273">
        <f t="shared" si="333"/>
        <v>-138.73251997589543</v>
      </c>
      <c r="K122" s="273">
        <f t="shared" si="333"/>
        <v>-142.8944955751723</v>
      </c>
      <c r="L122" s="273">
        <f t="shared" si="333"/>
        <v>-147.18133044242745</v>
      </c>
      <c r="M122" s="273">
        <f t="shared" si="333"/>
        <v>-151.59677035570027</v>
      </c>
      <c r="N122" s="273">
        <f t="shared" si="333"/>
        <v>-156.14467346637127</v>
      </c>
      <c r="O122" s="273">
        <f t="shared" si="333"/>
        <v>-160.82901367036243</v>
      </c>
      <c r="P122" s="273">
        <f t="shared" si="333"/>
        <v>-165.65388408047326</v>
      </c>
      <c r="Q122" s="273">
        <f t="shared" si="333"/>
        <v>-170.62350060288747</v>
      </c>
      <c r="R122" s="273">
        <f t="shared" si="333"/>
        <v>-175.74220562097409</v>
      </c>
      <c r="S122" s="273">
        <f t="shared" si="333"/>
        <v>-181.01447178960333</v>
      </c>
      <c r="T122" s="273">
        <f t="shared" si="333"/>
        <v>-186.44490594329139</v>
      </c>
      <c r="U122" s="273">
        <f t="shared" si="333"/>
        <v>-192.03825312159015</v>
      </c>
      <c r="V122" s="273">
        <f t="shared" si="333"/>
        <v>-197.79940071523785</v>
      </c>
      <c r="W122" s="273">
        <f t="shared" si="333"/>
        <v>-203.73338273669501</v>
      </c>
      <c r="X122" s="273">
        <f t="shared" si="333"/>
        <v>-209.8453842187958</v>
      </c>
      <c r="Y122" s="273">
        <f t="shared" si="333"/>
        <v>-216.14074574535968</v>
      </c>
      <c r="Z122" s="273">
        <f t="shared" si="333"/>
        <v>-222.6249681177205</v>
      </c>
      <c r="AA122" s="273">
        <f t="shared" si="333"/>
        <v>-229.30371716125211</v>
      </c>
      <c r="AB122" s="273">
        <f t="shared" si="333"/>
        <v>-236.18282867608963</v>
      </c>
      <c r="AC122" s="273">
        <f t="shared" si="333"/>
        <v>-243.26831353637232</v>
      </c>
      <c r="AD122" s="273">
        <f t="shared" si="333"/>
        <v>-250.56636294246351</v>
      </c>
      <c r="AE122" s="273">
        <f t="shared" si="333"/>
        <v>-258.08335383073739</v>
      </c>
      <c r="AF122" s="273">
        <f t="shared" si="333"/>
        <v>-265.82585444565956</v>
      </c>
      <c r="AG122" s="273">
        <f t="shared" si="333"/>
        <v>-273.8006300790293</v>
      </c>
      <c r="AH122" s="273">
        <f t="shared" si="333"/>
        <v>-282.01464898140017</v>
      </c>
      <c r="AI122" s="273">
        <f t="shared" si="333"/>
        <v>-290.47508845084224</v>
      </c>
      <c r="AJ122" s="273">
        <f t="shared" si="333"/>
        <v>-299.18934110436743</v>
      </c>
      <c r="AK122" s="273">
        <f t="shared" si="333"/>
        <v>-308.1650213374985</v>
      </c>
      <c r="AL122" s="273">
        <f t="shared" si="333"/>
        <v>-317.4099719776234</v>
      </c>
      <c r="AM122" s="273">
        <f t="shared" si="333"/>
        <v>-326.93227113695212</v>
      </c>
      <c r="AN122" s="273">
        <f t="shared" si="333"/>
        <v>-336.74023927106072</v>
      </c>
      <c r="AO122" s="273">
        <f t="shared" si="333"/>
        <v>-346.84244644919244</v>
      </c>
      <c r="AP122" s="273">
        <f t="shared" si="333"/>
        <v>-357.24771984266823</v>
      </c>
      <c r="AQ122" s="273">
        <f t="shared" si="333"/>
        <v>-367.96515143794835</v>
      </c>
      <c r="AR122" s="273">
        <f t="shared" si="333"/>
        <v>-379.0041059810867</v>
      </c>
      <c r="AS122" s="273">
        <f t="shared" si="333"/>
        <v>-390.37422916051929</v>
      </c>
      <c r="AT122" s="273">
        <f t="shared" si="333"/>
        <v>-402.08545603533491</v>
      </c>
      <c r="AU122" s="273">
        <f t="shared" si="333"/>
        <v>-414.14801971639503</v>
      </c>
      <c r="AV122" s="273">
        <f t="shared" si="333"/>
        <v>-426.57246030788679</v>
      </c>
      <c r="AW122" s="273">
        <f t="shared" si="333"/>
        <v>-439.36963411712333</v>
      </c>
    </row>
    <row r="123" spans="3:49" ht="14.25" customHeight="1"/>
    <row r="124" spans="3:49" ht="14.25" customHeight="1">
      <c r="C124" s="2" t="s">
        <v>481</v>
      </c>
      <c r="D124" s="31" t="e">
        <f>D115-D122</f>
        <v>#N/A</v>
      </c>
      <c r="E124" s="31">
        <f t="shared" ref="E124:AW124" si="334">E115-E122</f>
        <v>8862.6910684931499</v>
      </c>
      <c r="F124" s="31">
        <f t="shared" si="334"/>
        <v>10789.164512876712</v>
      </c>
      <c r="G124" s="31">
        <f t="shared" si="334"/>
        <v>11006.180423605481</v>
      </c>
      <c r="H124" s="31">
        <f t="shared" si="334"/>
        <v>11227.573631162959</v>
      </c>
      <c r="I124" s="31">
        <f t="shared" si="334"/>
        <v>11453.43279084415</v>
      </c>
      <c r="J124" s="31">
        <f t="shared" si="334"/>
        <v>11683.848364330703</v>
      </c>
      <c r="K124" s="31">
        <f t="shared" si="334"/>
        <v>11918.912656817076</v>
      </c>
      <c r="L124" s="31">
        <f t="shared" si="334"/>
        <v>12158.719854909164</v>
      </c>
      <c r="M124" s="31">
        <f t="shared" si="334"/>
        <v>12403.366065311773</v>
      </c>
      <c r="N124" s="31">
        <f t="shared" si="334"/>
        <v>12652.949354321565</v>
      </c>
      <c r="O124" s="31">
        <f t="shared" si="334"/>
        <v>12907.56978814266</v>
      </c>
      <c r="P124" s="31">
        <f t="shared" si="334"/>
        <v>13167.329474042217</v>
      </c>
      <c r="Q124" s="31">
        <f t="shared" si="334"/>
        <v>13432.332602363869</v>
      </c>
      <c r="R124" s="31">
        <f t="shared" si="334"/>
        <v>13702.685489417174</v>
      </c>
      <c r="S124" s="31">
        <f t="shared" si="334"/>
        <v>13978.496621261729</v>
      </c>
      <c r="T124" s="31">
        <f t="shared" si="334"/>
        <v>14259.876698404856</v>
      </c>
      <c r="U124" s="31">
        <f t="shared" si="334"/>
        <v>14546.938681432388</v>
      </c>
      <c r="V124" s="31">
        <f t="shared" si="334"/>
        <v>14839.797837592252</v>
      </c>
      <c r="W124" s="31">
        <f t="shared" si="334"/>
        <v>15138.571788351248</v>
      </c>
      <c r="X124" s="31">
        <f t="shared" si="334"/>
        <v>15443.380557945638</v>
      </c>
      <c r="Y124" s="31">
        <f t="shared" si="334"/>
        <v>15754.346622946741</v>
      </c>
      <c r="Z124" s="31">
        <f t="shared" si="334"/>
        <v>16071.59496286313</v>
      </c>
      <c r="AA124" s="31">
        <f t="shared" si="334"/>
        <v>16395.253111801569</v>
      </c>
      <c r="AB124" s="31">
        <f t="shared" si="334"/>
        <v>16725.451211209212</v>
      </c>
      <c r="AC124" s="31">
        <f t="shared" si="334"/>
        <v>17062.322063720159</v>
      </c>
      <c r="AD124" s="31">
        <f t="shared" si="334"/>
        <v>17406.001188129922</v>
      </c>
      <c r="AE124" s="31">
        <f t="shared" si="334"/>
        <v>17756.62687552195</v>
      </c>
      <c r="AF124" s="31">
        <f t="shared" si="334"/>
        <v>18114.340246570693</v>
      </c>
      <c r="AG124" s="31">
        <f t="shared" si="334"/>
        <v>18479.285310046565</v>
      </c>
      <c r="AH124" s="31">
        <f t="shared" si="334"/>
        <v>18851.609022548284</v>
      </c>
      <c r="AI124" s="31">
        <f t="shared" si="334"/>
        <v>19231.461349489065</v>
      </c>
      <c r="AJ124" s="31">
        <f t="shared" si="334"/>
        <v>19618.995327363351</v>
      </c>
      <c r="AK124" s="31">
        <f t="shared" si="334"/>
        <v>20014.367127321668</v>
      </c>
      <c r="AL124" s="31">
        <f t="shared" si="334"/>
        <v>20417.736120081478</v>
      </c>
      <c r="AM124" s="31">
        <f t="shared" si="334"/>
        <v>20829.264942202881</v>
      </c>
      <c r="AN124" s="31">
        <f t="shared" si="334"/>
        <v>21249.119563758304</v>
      </c>
      <c r="AO124" s="31">
        <f t="shared" si="334"/>
        <v>21677.46935742618</v>
      </c>
      <c r="AP124" s="31">
        <f t="shared" si="334"/>
        <v>22114.487169039199</v>
      </c>
      <c r="AQ124" s="31">
        <f t="shared" si="334"/>
        <v>22560.349389618412</v>
      </c>
      <c r="AR124" s="31">
        <f t="shared" si="334"/>
        <v>23015.236028925152</v>
      </c>
      <c r="AS124" s="31">
        <f t="shared" si="334"/>
        <v>23479.330790563472</v>
      </c>
      <c r="AT124" s="31">
        <f t="shared" si="334"/>
        <v>23952.821148666346</v>
      </c>
      <c r="AU124" s="31">
        <f t="shared" si="334"/>
        <v>24435.898426200027</v>
      </c>
      <c r="AV124" s="31">
        <f t="shared" si="334"/>
        <v>24928.757874921186</v>
      </c>
      <c r="AW124" s="31">
        <f t="shared" si="334"/>
        <v>25431.598757022697</v>
      </c>
    </row>
    <row r="125" spans="3:49" ht="14.25" customHeight="1">
      <c r="C125" s="38" t="s">
        <v>504</v>
      </c>
      <c r="D125" s="39">
        <f t="shared" ref="D125:AW125" si="335">IFERROR(D124/D115,0)</f>
        <v>0</v>
      </c>
      <c r="E125" s="39">
        <f t="shared" si="335"/>
        <v>1.0136877076411959</v>
      </c>
      <c r="F125" s="39">
        <f t="shared" si="335"/>
        <v>1.0115566448801743</v>
      </c>
      <c r="G125" s="39">
        <f t="shared" si="335"/>
        <v>1.0116699453201761</v>
      </c>
      <c r="H125" s="39">
        <f t="shared" si="335"/>
        <v>1.0117843565488052</v>
      </c>
      <c r="I125" s="39">
        <f t="shared" si="335"/>
        <v>1.0118998894561464</v>
      </c>
      <c r="J125" s="39">
        <f t="shared" si="335"/>
        <v>1.0120165550390499</v>
      </c>
      <c r="K125" s="39">
        <f t="shared" si="335"/>
        <v>1.0121343644021776</v>
      </c>
      <c r="L125" s="39">
        <f t="shared" si="335"/>
        <v>1.0122533287590618</v>
      </c>
      <c r="M125" s="39">
        <f t="shared" si="335"/>
        <v>1.0123734594331701</v>
      </c>
      <c r="N125" s="39">
        <f t="shared" si="335"/>
        <v>1.0124947678589857</v>
      </c>
      <c r="O125" s="39">
        <f t="shared" si="335"/>
        <v>1.0126172655830934</v>
      </c>
      <c r="P125" s="39">
        <f t="shared" si="335"/>
        <v>1.0127409642652805</v>
      </c>
      <c r="Q125" s="39">
        <f t="shared" si="335"/>
        <v>1.012865875679646</v>
      </c>
      <c r="R125" s="39">
        <f t="shared" si="335"/>
        <v>1.012992011715721</v>
      </c>
      <c r="S125" s="39">
        <f t="shared" si="335"/>
        <v>1.0131193843796007</v>
      </c>
      <c r="T125" s="39">
        <f t="shared" si="335"/>
        <v>1.013248005795087</v>
      </c>
      <c r="U125" s="39">
        <f t="shared" si="335"/>
        <v>1.0133778882048428</v>
      </c>
      <c r="V125" s="39">
        <f t="shared" si="335"/>
        <v>1.0135090439715568</v>
      </c>
      <c r="W125" s="39">
        <f t="shared" si="335"/>
        <v>1.0136414855791211</v>
      </c>
      <c r="X125" s="39">
        <f t="shared" si="335"/>
        <v>1.0137752256338184</v>
      </c>
      <c r="Y125" s="39">
        <f t="shared" si="335"/>
        <v>1.0139102768655224</v>
      </c>
      <c r="Z125" s="39">
        <f t="shared" si="335"/>
        <v>1.01404665212891</v>
      </c>
      <c r="AA125" s="39">
        <f t="shared" si="335"/>
        <v>1.0141843644046835</v>
      </c>
      <c r="AB125" s="39">
        <f t="shared" si="335"/>
        <v>1.0143234268008079</v>
      </c>
      <c r="AC125" s="39">
        <f t="shared" si="335"/>
        <v>1.014463852553757</v>
      </c>
      <c r="AD125" s="39">
        <f t="shared" si="335"/>
        <v>1.0146056550297742</v>
      </c>
      <c r="AE125" s="39">
        <f t="shared" si="335"/>
        <v>1.0147488477261446</v>
      </c>
      <c r="AF125" s="39">
        <f t="shared" si="335"/>
        <v>1.0148934442724793</v>
      </c>
      <c r="AG125" s="39">
        <f t="shared" si="335"/>
        <v>1.0150394584320135</v>
      </c>
      <c r="AH125" s="39">
        <f t="shared" si="335"/>
        <v>1.0151869041029156</v>
      </c>
      <c r="AI125" s="39">
        <f t="shared" si="335"/>
        <v>1.0153357953196109</v>
      </c>
      <c r="AJ125" s="39">
        <f t="shared" si="335"/>
        <v>1.0154861462541167</v>
      </c>
      <c r="AK125" s="39">
        <f t="shared" si="335"/>
        <v>1.0156379712173924</v>
      </c>
      <c r="AL125" s="39">
        <f t="shared" si="335"/>
        <v>1.0157912846607002</v>
      </c>
      <c r="AM125" s="39">
        <f t="shared" si="335"/>
        <v>1.0159461011769817</v>
      </c>
      <c r="AN125" s="39">
        <f t="shared" si="335"/>
        <v>1.0161024355022461</v>
      </c>
      <c r="AO125" s="39">
        <f t="shared" si="335"/>
        <v>1.0162603025169739</v>
      </c>
      <c r="AP125" s="39">
        <f t="shared" si="335"/>
        <v>1.0164197172475324</v>
      </c>
      <c r="AQ125" s="39">
        <f t="shared" si="335"/>
        <v>1.0165806948676064</v>
      </c>
      <c r="AR125" s="39">
        <f t="shared" si="335"/>
        <v>1.0167432506996417</v>
      </c>
      <c r="AS125" s="39">
        <f t="shared" si="335"/>
        <v>1.016907400216305</v>
      </c>
      <c r="AT125" s="39">
        <f t="shared" si="335"/>
        <v>1.0170731590419551</v>
      </c>
      <c r="AU125" s="39">
        <f t="shared" si="335"/>
        <v>1.0172405429541309</v>
      </c>
      <c r="AV125" s="39">
        <f t="shared" si="335"/>
        <v>1.0174095678850539</v>
      </c>
      <c r="AW125" s="39">
        <f t="shared" si="335"/>
        <v>1.0175802499231426</v>
      </c>
    </row>
    <row r="126" spans="3:49" ht="14.25" customHeight="1"/>
    <row r="127" spans="3:49" ht="14.25" customHeight="1">
      <c r="C127" s="102" t="s">
        <v>505</v>
      </c>
      <c r="D127" s="103"/>
      <c r="E127" s="525">
        <f t="shared" ref="E127:AW127" si="336">-E101</f>
        <v>0</v>
      </c>
      <c r="F127" s="525">
        <f t="shared" si="336"/>
        <v>0</v>
      </c>
      <c r="G127" s="525">
        <f t="shared" si="336"/>
        <v>0</v>
      </c>
      <c r="H127" s="525">
        <f t="shared" si="336"/>
        <v>0</v>
      </c>
      <c r="I127" s="525">
        <f t="shared" si="336"/>
        <v>0</v>
      </c>
      <c r="J127" s="525">
        <f t="shared" si="336"/>
        <v>0</v>
      </c>
      <c r="K127" s="525">
        <f t="shared" si="336"/>
        <v>0</v>
      </c>
      <c r="L127" s="525">
        <f t="shared" si="336"/>
        <v>0</v>
      </c>
      <c r="M127" s="525">
        <f t="shared" si="336"/>
        <v>0</v>
      </c>
      <c r="N127" s="525">
        <f t="shared" si="336"/>
        <v>0</v>
      </c>
      <c r="O127" s="525">
        <f t="shared" si="336"/>
        <v>0</v>
      </c>
      <c r="P127" s="525">
        <f t="shared" si="336"/>
        <v>0</v>
      </c>
      <c r="Q127" s="525">
        <f t="shared" si="336"/>
        <v>0</v>
      </c>
      <c r="R127" s="525">
        <f t="shared" si="336"/>
        <v>0</v>
      </c>
      <c r="S127" s="525">
        <f t="shared" si="336"/>
        <v>0</v>
      </c>
      <c r="T127" s="525">
        <f t="shared" si="336"/>
        <v>0</v>
      </c>
      <c r="U127" s="525">
        <f t="shared" si="336"/>
        <v>0</v>
      </c>
      <c r="V127" s="525">
        <f t="shared" si="336"/>
        <v>0</v>
      </c>
      <c r="W127" s="525">
        <f t="shared" si="336"/>
        <v>0</v>
      </c>
      <c r="X127" s="525">
        <f t="shared" si="336"/>
        <v>0</v>
      </c>
      <c r="Y127" s="525">
        <f t="shared" si="336"/>
        <v>0</v>
      </c>
      <c r="Z127" s="525">
        <f t="shared" si="336"/>
        <v>0</v>
      </c>
      <c r="AA127" s="525">
        <f t="shared" si="336"/>
        <v>0</v>
      </c>
      <c r="AB127" s="525">
        <f t="shared" si="336"/>
        <v>0</v>
      </c>
      <c r="AC127" s="525">
        <f t="shared" si="336"/>
        <v>0</v>
      </c>
      <c r="AD127" s="525">
        <f t="shared" si="336"/>
        <v>0</v>
      </c>
      <c r="AE127" s="525">
        <f t="shared" si="336"/>
        <v>0</v>
      </c>
      <c r="AF127" s="525">
        <f t="shared" si="336"/>
        <v>0</v>
      </c>
      <c r="AG127" s="525">
        <f t="shared" si="336"/>
        <v>0</v>
      </c>
      <c r="AH127" s="525">
        <f t="shared" si="336"/>
        <v>0</v>
      </c>
      <c r="AI127" s="525">
        <f t="shared" si="336"/>
        <v>0</v>
      </c>
      <c r="AJ127" s="525">
        <f t="shared" si="336"/>
        <v>0</v>
      </c>
      <c r="AK127" s="525">
        <f t="shared" si="336"/>
        <v>0</v>
      </c>
      <c r="AL127" s="525">
        <f t="shared" si="336"/>
        <v>0</v>
      </c>
      <c r="AM127" s="525">
        <f t="shared" si="336"/>
        <v>0</v>
      </c>
      <c r="AN127" s="525">
        <f t="shared" si="336"/>
        <v>0</v>
      </c>
      <c r="AO127" s="525">
        <f t="shared" si="336"/>
        <v>0</v>
      </c>
      <c r="AP127" s="525">
        <f t="shared" si="336"/>
        <v>0</v>
      </c>
      <c r="AQ127" s="525">
        <f t="shared" si="336"/>
        <v>0</v>
      </c>
      <c r="AR127" s="525">
        <f t="shared" si="336"/>
        <v>0</v>
      </c>
      <c r="AS127" s="525">
        <f t="shared" si="336"/>
        <v>0</v>
      </c>
      <c r="AT127" s="525">
        <f t="shared" si="336"/>
        <v>0</v>
      </c>
      <c r="AU127" s="525">
        <f t="shared" si="336"/>
        <v>0</v>
      </c>
      <c r="AV127" s="525">
        <f t="shared" si="336"/>
        <v>0</v>
      </c>
      <c r="AW127" s="525">
        <f t="shared" si="336"/>
        <v>0</v>
      </c>
    </row>
    <row r="128" spans="3:49" ht="14.25" customHeight="1">
      <c r="C128" s="102" t="s">
        <v>488</v>
      </c>
      <c r="D128" s="104" t="e">
        <f>-D124*'Assumptions &amp; Inputs'!$E$12</f>
        <v>#N/A</v>
      </c>
      <c r="E128" s="104">
        <f>-E124*'Assumptions &amp; Inputs'!$E$12</f>
        <v>-2304.2996778082193</v>
      </c>
      <c r="F128" s="104">
        <f>-F124*'Assumptions &amp; Inputs'!$E$12</f>
        <v>-2805.1827733479454</v>
      </c>
      <c r="G128" s="104">
        <f>-G124*'Assumptions &amp; Inputs'!$E$12</f>
        <v>-2861.6069101374251</v>
      </c>
      <c r="H128" s="104">
        <f>-H124*'Assumptions &amp; Inputs'!$E$12</f>
        <v>-2919.1691441023695</v>
      </c>
      <c r="I128" s="104">
        <f>-I124*'Assumptions &amp; Inputs'!$E$12</f>
        <v>-2977.8925256194793</v>
      </c>
      <c r="J128" s="104">
        <f>-J124*'Assumptions &amp; Inputs'!$E$12</f>
        <v>-3037.8005747259826</v>
      </c>
      <c r="K128" s="104">
        <f>-K124*'Assumptions &amp; Inputs'!$E$12</f>
        <v>-3098.9172907724396</v>
      </c>
      <c r="L128" s="104">
        <f>-L124*'Assumptions &amp; Inputs'!$E$12</f>
        <v>-3161.2671622763828</v>
      </c>
      <c r="M128" s="104">
        <f>-M124*'Assumptions &amp; Inputs'!$E$12</f>
        <v>-3224.875176981061</v>
      </c>
      <c r="N128" s="104">
        <f>-N124*'Assumptions &amp; Inputs'!$E$12</f>
        <v>-3289.7668321236069</v>
      </c>
      <c r="O128" s="104">
        <f>-O124*'Assumptions &amp; Inputs'!$E$12</f>
        <v>-3355.9681449170916</v>
      </c>
      <c r="P128" s="104">
        <f>-P124*'Assumptions &amp; Inputs'!$E$12</f>
        <v>-3423.5056632509763</v>
      </c>
      <c r="Q128" s="104">
        <f>-Q124*'Assumptions &amp; Inputs'!$E$12</f>
        <v>-3492.4064766146062</v>
      </c>
      <c r="R128" s="104">
        <f>-R124*'Assumptions &amp; Inputs'!$E$12</f>
        <v>-3562.6982272484652</v>
      </c>
      <c r="S128" s="104">
        <f>-S124*'Assumptions &amp; Inputs'!$E$12</f>
        <v>-3634.4091215280496</v>
      </c>
      <c r="T128" s="104">
        <f>-T124*'Assumptions &amp; Inputs'!$E$12</f>
        <v>-3707.5679415852628</v>
      </c>
      <c r="U128" s="104">
        <f>-U124*'Assumptions &amp; Inputs'!$E$12</f>
        <v>-3782.204057172421</v>
      </c>
      <c r="V128" s="104">
        <f>-V124*'Assumptions &amp; Inputs'!$E$12</f>
        <v>-3858.3474377739858</v>
      </c>
      <c r="W128" s="104">
        <f>-W124*'Assumptions &amp; Inputs'!$E$12</f>
        <v>-3936.0286649713248</v>
      </c>
      <c r="X128" s="104">
        <f>-X124*'Assumptions &amp; Inputs'!$E$12</f>
        <v>-4015.2789450658661</v>
      </c>
      <c r="Y128" s="104">
        <f>-Y124*'Assumptions &amp; Inputs'!$E$12</f>
        <v>-4096.1301219661527</v>
      </c>
      <c r="Z128" s="104">
        <f>-Z124*'Assumptions &amp; Inputs'!$E$12</f>
        <v>-4178.6146903444142</v>
      </c>
      <c r="AA128" s="104">
        <f>-AA124*'Assumptions &amp; Inputs'!$E$12</f>
        <v>-4262.7658090684081</v>
      </c>
      <c r="AB128" s="104">
        <f>-AB124*'Assumptions &amp; Inputs'!$E$12</f>
        <v>-4348.6173149143951</v>
      </c>
      <c r="AC128" s="104">
        <f>-AC124*'Assumptions &amp; Inputs'!$E$12</f>
        <v>-4436.2037365672413</v>
      </c>
      <c r="AD128" s="104">
        <f>-AD124*'Assumptions &amp; Inputs'!$E$12</f>
        <v>-4525.5603089137794</v>
      </c>
      <c r="AE128" s="104">
        <f>-AE124*'Assumptions &amp; Inputs'!$E$12</f>
        <v>-4616.7229876357069</v>
      </c>
      <c r="AF128" s="104">
        <f>-AF124*'Assumptions &amp; Inputs'!$E$12</f>
        <v>-4709.7284641083806</v>
      </c>
      <c r="AG128" s="104">
        <f>-AG124*'Assumptions &amp; Inputs'!$E$12</f>
        <v>-4804.6141806121068</v>
      </c>
      <c r="AH128" s="104">
        <f>-AH124*'Assumptions &amp; Inputs'!$E$12</f>
        <v>-4901.4183458625539</v>
      </c>
      <c r="AI128" s="104">
        <f>-AI124*'Assumptions &amp; Inputs'!$E$12</f>
        <v>-5000.1799508671575</v>
      </c>
      <c r="AJ128" s="104">
        <f>-AJ124*'Assumptions &amp; Inputs'!$E$12</f>
        <v>-5100.9387851144711</v>
      </c>
      <c r="AK128" s="104">
        <f>-AK124*'Assumptions &amp; Inputs'!$E$12</f>
        <v>-5203.7354531036335</v>
      </c>
      <c r="AL128" s="104">
        <f>-AL124*'Assumptions &amp; Inputs'!$E$12</f>
        <v>-5308.611391221184</v>
      </c>
      <c r="AM128" s="104">
        <f>-AM124*'Assumptions &amp; Inputs'!$E$12</f>
        <v>-5415.6088849727494</v>
      </c>
      <c r="AN128" s="104">
        <f>-AN124*'Assumptions &amp; Inputs'!$E$12</f>
        <v>-5524.7710865771596</v>
      </c>
      <c r="AO128" s="104">
        <f>-AO124*'Assumptions &amp; Inputs'!$E$12</f>
        <v>-5636.1420329308066</v>
      </c>
      <c r="AP128" s="104">
        <f>-AP124*'Assumptions &amp; Inputs'!$E$12</f>
        <v>-5749.7666639501922</v>
      </c>
      <c r="AQ128" s="104">
        <f>-AQ124*'Assumptions &amp; Inputs'!$E$12</f>
        <v>-5865.6908413007877</v>
      </c>
      <c r="AR128" s="104">
        <f>-AR124*'Assumptions &amp; Inputs'!$E$12</f>
        <v>-5983.9613675205401</v>
      </c>
      <c r="AS128" s="104">
        <f>-AS124*'Assumptions &amp; Inputs'!$E$12</f>
        <v>-6104.6260055465027</v>
      </c>
      <c r="AT128" s="104">
        <f>-AT124*'Assumptions &amp; Inputs'!$E$12</f>
        <v>-6227.7334986532505</v>
      </c>
      <c r="AU128" s="104">
        <f>-AU124*'Assumptions &amp; Inputs'!$E$12</f>
        <v>-6353.3335908120071</v>
      </c>
      <c r="AV128" s="104">
        <f>-AV124*'Assumptions &amp; Inputs'!$E$12</f>
        <v>-6481.4770474795087</v>
      </c>
      <c r="AW128" s="104">
        <f>-AW124*'Assumptions &amp; Inputs'!$E$12</f>
        <v>-6612.215676825901</v>
      </c>
    </row>
    <row r="130" spans="3:49" ht="14.25" customHeight="1">
      <c r="C130" s="22" t="s">
        <v>489</v>
      </c>
      <c r="D130" s="21" t="e">
        <f>SUM(D124,D127,D128)</f>
        <v>#N/A</v>
      </c>
      <c r="E130" s="21">
        <f>SUM(E124,E127,E128)</f>
        <v>6558.3913906849302</v>
      </c>
      <c r="F130" s="21">
        <f t="shared" ref="F130:X130" si="337">SUM(F124,F127,F128)</f>
        <v>7983.9817395287664</v>
      </c>
      <c r="G130" s="21">
        <f t="shared" si="337"/>
        <v>8144.5735134680563</v>
      </c>
      <c r="H130" s="21">
        <f t="shared" si="337"/>
        <v>8308.4044870605903</v>
      </c>
      <c r="I130" s="21">
        <f t="shared" si="337"/>
        <v>8475.5402652246703</v>
      </c>
      <c r="J130" s="21">
        <f t="shared" si="337"/>
        <v>8646.0477896047196</v>
      </c>
      <c r="K130" s="21">
        <f t="shared" si="337"/>
        <v>8819.9953660446372</v>
      </c>
      <c r="L130" s="21">
        <f t="shared" si="337"/>
        <v>8997.4526926327817</v>
      </c>
      <c r="M130" s="21">
        <f t="shared" si="337"/>
        <v>9178.4908883307126</v>
      </c>
      <c r="N130" s="21">
        <f t="shared" si="337"/>
        <v>9363.182522197958</v>
      </c>
      <c r="O130" s="21">
        <f t="shared" si="337"/>
        <v>9551.6016432255692</v>
      </c>
      <c r="P130" s="21">
        <f t="shared" si="337"/>
        <v>9743.8238107912402</v>
      </c>
      <c r="Q130" s="21">
        <f t="shared" si="337"/>
        <v>9939.9261257492635</v>
      </c>
      <c r="R130" s="21">
        <f t="shared" si="337"/>
        <v>10139.987262168708</v>
      </c>
      <c r="S130" s="21">
        <f t="shared" si="337"/>
        <v>10344.08749973368</v>
      </c>
      <c r="T130" s="21">
        <f t="shared" si="337"/>
        <v>10552.308756819593</v>
      </c>
      <c r="U130" s="21">
        <f t="shared" si="337"/>
        <v>10764.734624259967</v>
      </c>
      <c r="V130" s="21">
        <f t="shared" si="337"/>
        <v>10981.450399818266</v>
      </c>
      <c r="W130" s="21">
        <f t="shared" si="337"/>
        <v>11202.543123379923</v>
      </c>
      <c r="X130" s="21">
        <f t="shared" si="337"/>
        <v>11428.101612879773</v>
      </c>
      <c r="Y130" s="21">
        <f t="shared" ref="Y130:AV130" si="338">SUM(Y124,Y127,Y128)</f>
        <v>11658.216500980589</v>
      </c>
      <c r="Z130" s="21">
        <f t="shared" si="338"/>
        <v>11892.980272518715</v>
      </c>
      <c r="AA130" s="21">
        <f t="shared" si="338"/>
        <v>12132.48730273316</v>
      </c>
      <c r="AB130" s="21">
        <f t="shared" si="338"/>
        <v>12376.833896294818</v>
      </c>
      <c r="AC130" s="21">
        <f t="shared" si="338"/>
        <v>12626.118327152919</v>
      </c>
      <c r="AD130" s="21">
        <f t="shared" si="338"/>
        <v>12880.440879216141</v>
      </c>
      <c r="AE130" s="21">
        <f t="shared" si="338"/>
        <v>13139.903887886243</v>
      </c>
      <c r="AF130" s="21">
        <f t="shared" si="338"/>
        <v>13404.611782462312</v>
      </c>
      <c r="AG130" s="21">
        <f t="shared" si="338"/>
        <v>13674.671129434459</v>
      </c>
      <c r="AH130" s="21">
        <f t="shared" si="338"/>
        <v>13950.19067668573</v>
      </c>
      <c r="AI130" s="21">
        <f t="shared" si="338"/>
        <v>14231.281398621908</v>
      </c>
      <c r="AJ130" s="21">
        <f t="shared" si="338"/>
        <v>14518.05654224888</v>
      </c>
      <c r="AK130" s="21">
        <f t="shared" si="338"/>
        <v>14810.631674218035</v>
      </c>
      <c r="AL130" s="21">
        <f t="shared" si="338"/>
        <v>15109.124728860294</v>
      </c>
      <c r="AM130" s="21">
        <f t="shared" si="338"/>
        <v>15413.656057230131</v>
      </c>
      <c r="AN130" s="21">
        <f t="shared" si="338"/>
        <v>15724.348477181145</v>
      </c>
      <c r="AO130" s="21">
        <f t="shared" si="338"/>
        <v>16041.327324495374</v>
      </c>
      <c r="AP130" s="21">
        <f t="shared" si="338"/>
        <v>16364.720505089008</v>
      </c>
      <c r="AQ130" s="21">
        <f t="shared" si="338"/>
        <v>16694.658548317624</v>
      </c>
      <c r="AR130" s="21">
        <f t="shared" si="338"/>
        <v>17031.274661404612</v>
      </c>
      <c r="AS130" s="21">
        <f t="shared" si="338"/>
        <v>17374.704785016969</v>
      </c>
      <c r="AT130" s="21">
        <f t="shared" si="338"/>
        <v>17725.087650013094</v>
      </c>
      <c r="AU130" s="21">
        <f t="shared" si="338"/>
        <v>18082.564835388021</v>
      </c>
      <c r="AV130" s="21">
        <f t="shared" si="338"/>
        <v>18447.280827441678</v>
      </c>
      <c r="AW130" s="21">
        <f>SUM(AW124,AW127,AW128)</f>
        <v>18819.383080196796</v>
      </c>
    </row>
    <row r="131" spans="3:49" ht="14.25" customHeight="1"/>
    <row r="132" spans="3:49" ht="14.25" customHeight="1">
      <c r="C132" s="2" t="s">
        <v>490</v>
      </c>
      <c r="D132" s="61">
        <f>D$24</f>
        <v>-11618.630136986301</v>
      </c>
      <c r="E132" s="61">
        <f t="shared" ref="E132:AW132" si="339">E$24</f>
        <v>0</v>
      </c>
      <c r="F132" s="61">
        <f t="shared" si="339"/>
        <v>0</v>
      </c>
      <c r="G132" s="61">
        <f t="shared" si="339"/>
        <v>0</v>
      </c>
      <c r="H132" s="61">
        <f t="shared" si="339"/>
        <v>0</v>
      </c>
      <c r="I132" s="61">
        <f t="shared" si="339"/>
        <v>0</v>
      </c>
      <c r="J132" s="61">
        <f t="shared" si="339"/>
        <v>0</v>
      </c>
      <c r="K132" s="61">
        <f t="shared" si="339"/>
        <v>0</v>
      </c>
      <c r="L132" s="61">
        <f t="shared" si="339"/>
        <v>0</v>
      </c>
      <c r="M132" s="61">
        <f t="shared" si="339"/>
        <v>0</v>
      </c>
      <c r="N132" s="61">
        <f t="shared" si="339"/>
        <v>0</v>
      </c>
      <c r="O132" s="61">
        <f t="shared" si="339"/>
        <v>0</v>
      </c>
      <c r="P132" s="61">
        <f t="shared" si="339"/>
        <v>0</v>
      </c>
      <c r="Q132" s="61">
        <f t="shared" si="339"/>
        <v>0</v>
      </c>
      <c r="R132" s="61">
        <f t="shared" si="339"/>
        <v>0</v>
      </c>
      <c r="S132" s="61">
        <f t="shared" si="339"/>
        <v>0</v>
      </c>
      <c r="T132" s="61">
        <f t="shared" si="339"/>
        <v>0</v>
      </c>
      <c r="U132" s="61">
        <f t="shared" si="339"/>
        <v>0</v>
      </c>
      <c r="V132" s="61">
        <f t="shared" si="339"/>
        <v>0</v>
      </c>
      <c r="W132" s="61">
        <f t="shared" si="339"/>
        <v>0</v>
      </c>
      <c r="X132" s="61">
        <f t="shared" si="339"/>
        <v>0</v>
      </c>
      <c r="Y132" s="61">
        <f t="shared" si="339"/>
        <v>0</v>
      </c>
      <c r="Z132" s="61">
        <f t="shared" si="339"/>
        <v>0</v>
      </c>
      <c r="AA132" s="61">
        <f t="shared" si="339"/>
        <v>0</v>
      </c>
      <c r="AB132" s="61">
        <f t="shared" si="339"/>
        <v>0</v>
      </c>
      <c r="AC132" s="61">
        <f t="shared" si="339"/>
        <v>0</v>
      </c>
      <c r="AD132" s="61">
        <f t="shared" si="339"/>
        <v>0</v>
      </c>
      <c r="AE132" s="61">
        <f t="shared" si="339"/>
        <v>0</v>
      </c>
      <c r="AF132" s="61">
        <f t="shared" si="339"/>
        <v>0</v>
      </c>
      <c r="AG132" s="61">
        <f t="shared" si="339"/>
        <v>0</v>
      </c>
      <c r="AH132" s="61">
        <f t="shared" si="339"/>
        <v>0</v>
      </c>
      <c r="AI132" s="61">
        <f t="shared" si="339"/>
        <v>0</v>
      </c>
      <c r="AJ132" s="61">
        <f t="shared" si="339"/>
        <v>0</v>
      </c>
      <c r="AK132" s="61">
        <f t="shared" si="339"/>
        <v>0</v>
      </c>
      <c r="AL132" s="61">
        <f t="shared" si="339"/>
        <v>0</v>
      </c>
      <c r="AM132" s="61">
        <f t="shared" si="339"/>
        <v>0</v>
      </c>
      <c r="AN132" s="61">
        <f t="shared" si="339"/>
        <v>0</v>
      </c>
      <c r="AO132" s="61">
        <f t="shared" si="339"/>
        <v>0</v>
      </c>
      <c r="AP132" s="61">
        <f t="shared" si="339"/>
        <v>0</v>
      </c>
      <c r="AQ132" s="61">
        <f t="shared" si="339"/>
        <v>0</v>
      </c>
      <c r="AR132" s="61">
        <f t="shared" si="339"/>
        <v>0</v>
      </c>
      <c r="AS132" s="61">
        <f t="shared" si="339"/>
        <v>0</v>
      </c>
      <c r="AT132" s="61">
        <f t="shared" si="339"/>
        <v>0</v>
      </c>
      <c r="AU132" s="61">
        <f t="shared" si="339"/>
        <v>0</v>
      </c>
      <c r="AV132" s="61">
        <f t="shared" si="339"/>
        <v>0</v>
      </c>
      <c r="AW132" s="61">
        <f t="shared" si="339"/>
        <v>0</v>
      </c>
    </row>
    <row r="133" spans="3:49" ht="14.25" customHeight="1">
      <c r="C133" s="4" t="s">
        <v>506</v>
      </c>
      <c r="D133" s="502">
        <f>0</f>
        <v>0</v>
      </c>
      <c r="E133" s="502">
        <f>D132+D133-D134</f>
        <v>-11618.630136986301</v>
      </c>
      <c r="F133" s="502">
        <f t="shared" ref="F133:AW133" si="340">E132+E133-E134</f>
        <v>-11618.630136986301</v>
      </c>
      <c r="G133" s="502">
        <f t="shared" si="340"/>
        <v>-11618.630136986301</v>
      </c>
      <c r="H133" s="502">
        <f t="shared" si="340"/>
        <v>-11618.630136986301</v>
      </c>
      <c r="I133" s="502">
        <f t="shared" si="340"/>
        <v>-11618.630136986301</v>
      </c>
      <c r="J133" s="502">
        <f t="shared" si="340"/>
        <v>-11618.630136986301</v>
      </c>
      <c r="K133" s="502">
        <f t="shared" si="340"/>
        <v>-11618.630136986301</v>
      </c>
      <c r="L133" s="502">
        <f t="shared" si="340"/>
        <v>-11618.630136986301</v>
      </c>
      <c r="M133" s="502">
        <f t="shared" si="340"/>
        <v>-11618.630136986301</v>
      </c>
      <c r="N133" s="502">
        <f t="shared" si="340"/>
        <v>-11618.630136986301</v>
      </c>
      <c r="O133" s="502">
        <f t="shared" si="340"/>
        <v>0</v>
      </c>
      <c r="P133" s="502">
        <f t="shared" si="340"/>
        <v>0</v>
      </c>
      <c r="Q133" s="502">
        <f t="shared" si="340"/>
        <v>0</v>
      </c>
      <c r="R133" s="502">
        <f t="shared" si="340"/>
        <v>0</v>
      </c>
      <c r="S133" s="502">
        <f t="shared" si="340"/>
        <v>0</v>
      </c>
      <c r="T133" s="502">
        <f t="shared" si="340"/>
        <v>0</v>
      </c>
      <c r="U133" s="502">
        <f t="shared" si="340"/>
        <v>0</v>
      </c>
      <c r="V133" s="502">
        <f t="shared" si="340"/>
        <v>0</v>
      </c>
      <c r="W133" s="502">
        <f t="shared" si="340"/>
        <v>0</v>
      </c>
      <c r="X133" s="502">
        <f t="shared" si="340"/>
        <v>0</v>
      </c>
      <c r="Y133" s="502">
        <f t="shared" si="340"/>
        <v>0</v>
      </c>
      <c r="Z133" s="502">
        <f t="shared" si="340"/>
        <v>0</v>
      </c>
      <c r="AA133" s="502">
        <f t="shared" si="340"/>
        <v>0</v>
      </c>
      <c r="AB133" s="502">
        <f t="shared" si="340"/>
        <v>0</v>
      </c>
      <c r="AC133" s="502">
        <f t="shared" si="340"/>
        <v>0</v>
      </c>
      <c r="AD133" s="502">
        <f t="shared" si="340"/>
        <v>0</v>
      </c>
      <c r="AE133" s="502">
        <f t="shared" si="340"/>
        <v>0</v>
      </c>
      <c r="AF133" s="502">
        <f t="shared" si="340"/>
        <v>0</v>
      </c>
      <c r="AG133" s="502">
        <f t="shared" si="340"/>
        <v>0</v>
      </c>
      <c r="AH133" s="502">
        <f t="shared" si="340"/>
        <v>0</v>
      </c>
      <c r="AI133" s="502">
        <f t="shared" si="340"/>
        <v>0</v>
      </c>
      <c r="AJ133" s="502">
        <f t="shared" si="340"/>
        <v>0</v>
      </c>
      <c r="AK133" s="502">
        <f t="shared" si="340"/>
        <v>0</v>
      </c>
      <c r="AL133" s="502">
        <f t="shared" si="340"/>
        <v>0</v>
      </c>
      <c r="AM133" s="502">
        <f t="shared" si="340"/>
        <v>0</v>
      </c>
      <c r="AN133" s="502">
        <f t="shared" si="340"/>
        <v>0</v>
      </c>
      <c r="AO133" s="502">
        <f t="shared" si="340"/>
        <v>0</v>
      </c>
      <c r="AP133" s="502">
        <f t="shared" si="340"/>
        <v>0</v>
      </c>
      <c r="AQ133" s="502">
        <f t="shared" si="340"/>
        <v>0</v>
      </c>
      <c r="AR133" s="502">
        <f t="shared" si="340"/>
        <v>0</v>
      </c>
      <c r="AS133" s="502">
        <f t="shared" si="340"/>
        <v>0</v>
      </c>
      <c r="AT133" s="502">
        <f t="shared" si="340"/>
        <v>0</v>
      </c>
      <c r="AU133" s="502">
        <f t="shared" si="340"/>
        <v>0</v>
      </c>
      <c r="AV133" s="502">
        <f t="shared" si="340"/>
        <v>0</v>
      </c>
      <c r="AW133" s="502">
        <f t="shared" si="340"/>
        <v>0</v>
      </c>
    </row>
    <row r="134" spans="3:49" ht="14.25" customHeight="1">
      <c r="C134" s="4" t="s">
        <v>507</v>
      </c>
      <c r="D134" s="502">
        <f>IF(D42=0, 0, D133)</f>
        <v>0</v>
      </c>
      <c r="E134" s="502">
        <f t="shared" ref="E134" si="341">IF(E42=0, 0, E133)</f>
        <v>0</v>
      </c>
      <c r="F134" s="502">
        <f t="shared" ref="F134" si="342">IF(F42=0, 0, F133)</f>
        <v>0</v>
      </c>
      <c r="G134" s="502">
        <f t="shared" ref="G134" si="343">IF(G42=0, 0, G133)</f>
        <v>0</v>
      </c>
      <c r="H134" s="502">
        <f t="shared" ref="H134" si="344">IF(H42=0, 0, H133)</f>
        <v>0</v>
      </c>
      <c r="I134" s="502">
        <f t="shared" ref="I134" si="345">IF(I42=0, 0, I133)</f>
        <v>0</v>
      </c>
      <c r="J134" s="502">
        <f t="shared" ref="J134" si="346">IF(J42=0, 0, J133)</f>
        <v>0</v>
      </c>
      <c r="K134" s="502">
        <f t="shared" ref="K134" si="347">IF(K42=0, 0, K133)</f>
        <v>0</v>
      </c>
      <c r="L134" s="502">
        <f t="shared" ref="L134" si="348">IF(L42=0, 0, L133)</f>
        <v>0</v>
      </c>
      <c r="M134" s="502">
        <f t="shared" ref="M134" si="349">IF(M42=0, 0, M133)</f>
        <v>0</v>
      </c>
      <c r="N134" s="502">
        <f t="shared" ref="N134" si="350">IF(N42=0, 0, N133)</f>
        <v>-11618.630136986301</v>
      </c>
      <c r="O134" s="502">
        <f t="shared" ref="O134" si="351">IF(O42=0, 0, O133)</f>
        <v>0</v>
      </c>
      <c r="P134" s="502">
        <f t="shared" ref="P134" si="352">IF(P42=0, 0, P133)</f>
        <v>0</v>
      </c>
      <c r="Q134" s="502">
        <f t="shared" ref="Q134" si="353">IF(Q42=0, 0, Q133)</f>
        <v>0</v>
      </c>
      <c r="R134" s="502">
        <f t="shared" ref="R134" si="354">IF(R42=0, 0, R133)</f>
        <v>0</v>
      </c>
      <c r="S134" s="502">
        <f t="shared" ref="S134" si="355">IF(S42=0, 0, S133)</f>
        <v>0</v>
      </c>
      <c r="T134" s="502">
        <f t="shared" ref="T134" si="356">IF(T42=0, 0, T133)</f>
        <v>0</v>
      </c>
      <c r="U134" s="502">
        <f t="shared" ref="U134" si="357">IF(U42=0, 0, U133)</f>
        <v>0</v>
      </c>
      <c r="V134" s="502">
        <f t="shared" ref="V134" si="358">IF(V42=0, 0, V133)</f>
        <v>0</v>
      </c>
      <c r="W134" s="502">
        <f t="shared" ref="W134" si="359">IF(W42=0, 0, W133)</f>
        <v>0</v>
      </c>
      <c r="X134" s="502">
        <f t="shared" ref="X134" si="360">IF(X42=0, 0, X133)</f>
        <v>0</v>
      </c>
      <c r="Y134" s="502">
        <f t="shared" ref="Y134" si="361">IF(Y42=0, 0, Y133)</f>
        <v>0</v>
      </c>
      <c r="Z134" s="502">
        <f t="shared" ref="Z134" si="362">IF(Z42=0, 0, Z133)</f>
        <v>0</v>
      </c>
      <c r="AA134" s="502">
        <f t="shared" ref="AA134" si="363">IF(AA42=0, 0, AA133)</f>
        <v>0</v>
      </c>
      <c r="AB134" s="502">
        <f t="shared" ref="AB134" si="364">IF(AB42=0, 0, AB133)</f>
        <v>0</v>
      </c>
      <c r="AC134" s="502">
        <f t="shared" ref="AC134" si="365">IF(AC42=0, 0, AC133)</f>
        <v>0</v>
      </c>
      <c r="AD134" s="502">
        <f t="shared" ref="AD134" si="366">IF(AD42=0, 0, AD133)</f>
        <v>0</v>
      </c>
      <c r="AE134" s="502">
        <f t="shared" ref="AE134" si="367">IF(AE42=0, 0, AE133)</f>
        <v>0</v>
      </c>
      <c r="AF134" s="502">
        <f t="shared" ref="AF134" si="368">IF(AF42=0, 0, AF133)</f>
        <v>0</v>
      </c>
      <c r="AG134" s="502">
        <f t="shared" ref="AG134" si="369">IF(AG42=0, 0, AG133)</f>
        <v>0</v>
      </c>
      <c r="AH134" s="502">
        <f t="shared" ref="AH134" si="370">IF(AH42=0, 0, AH133)</f>
        <v>0</v>
      </c>
      <c r="AI134" s="502">
        <f t="shared" ref="AI134" si="371">IF(AI42=0, 0, AI133)</f>
        <v>0</v>
      </c>
      <c r="AJ134" s="502">
        <f t="shared" ref="AJ134" si="372">IF(AJ42=0, 0, AJ133)</f>
        <v>0</v>
      </c>
      <c r="AK134" s="502">
        <f t="shared" ref="AK134" si="373">IF(AK42=0, 0, AK133)</f>
        <v>0</v>
      </c>
      <c r="AL134" s="502">
        <f t="shared" ref="AL134" si="374">IF(AL42=0, 0, AL133)</f>
        <v>0</v>
      </c>
      <c r="AM134" s="502">
        <f t="shared" ref="AM134" si="375">IF(AM42=0, 0, AM133)</f>
        <v>0</v>
      </c>
      <c r="AN134" s="502">
        <f t="shared" ref="AN134" si="376">IF(AN42=0, 0, AN133)</f>
        <v>0</v>
      </c>
      <c r="AO134" s="502">
        <f t="shared" ref="AO134" si="377">IF(AO42=0, 0, AO133)</f>
        <v>0</v>
      </c>
      <c r="AP134" s="502">
        <f t="shared" ref="AP134" si="378">IF(AP42=0, 0, AP133)</f>
        <v>0</v>
      </c>
      <c r="AQ134" s="502">
        <f t="shared" ref="AQ134" si="379">IF(AQ42=0, 0, AQ133)</f>
        <v>0</v>
      </c>
      <c r="AR134" s="502">
        <f t="shared" ref="AR134" si="380">IF(AR42=0, 0, AR133)</f>
        <v>0</v>
      </c>
      <c r="AS134" s="502">
        <f t="shared" ref="AS134" si="381">IF(AS42=0, 0, AS133)</f>
        <v>0</v>
      </c>
      <c r="AT134" s="502">
        <f t="shared" ref="AT134" si="382">IF(AT42=0, 0, AT133)</f>
        <v>0</v>
      </c>
      <c r="AU134" s="502">
        <f t="shared" ref="AU134" si="383">IF(AU42=0, 0, AU133)</f>
        <v>0</v>
      </c>
      <c r="AV134" s="502">
        <f t="shared" ref="AV134" si="384">IF(AV42=0, 0, AV133)</f>
        <v>0</v>
      </c>
      <c r="AW134" s="502">
        <f t="shared" ref="AW134" si="385">IF(AW42=0, 0, AW133)</f>
        <v>0</v>
      </c>
    </row>
    <row r="135" spans="3:49" ht="14.25" customHeight="1">
      <c r="C135" s="1" t="s">
        <v>491</v>
      </c>
      <c r="D135" s="8">
        <f>IF(AND(D132=0, C137&lt;$D$25*'Assumptions &amp; Inputs'!$E$37),MIN($D$25*(1-'Assumptions &amp; Inputs'!$E$37)/'Assumptions &amp; Inputs'!$E$35,-C137),0)</f>
        <v>0</v>
      </c>
      <c r="E135" s="8">
        <f>IF(AND(E110&gt;YEAR('Assumptions &amp; Inputs'!$E$31), ROUND(D137, 7)&lt;SUMIF($D$110:$AW$110, "="&amp;E110-'Assumptions &amp; Inputs'!$E$34-1, $D$132:$AW$132)*'Assumptions &amp; Inputs'!$E$37),MIN(E133*(1-'Assumptions &amp; Inputs'!$E$37)/'Assumptions &amp; Inputs'!$E$34,-D137),0)</f>
        <v>0</v>
      </c>
      <c r="F135" s="8">
        <f>IF(AND(F110&gt;YEAR('Assumptions &amp; Inputs'!$E$31), ROUND(E137, 7)&lt;SUMIF($D$110:$AW$110, "="&amp;F110-'Assumptions &amp; Inputs'!$E$34-1, $D$132:$AW$132)*'Assumptions &amp; Inputs'!$E$37),MIN(F133*(1-'Assumptions &amp; Inputs'!$E$37)/'Assumptions &amp; Inputs'!$E$34,-E137),0)</f>
        <v>-1103.7698630136986</v>
      </c>
      <c r="G135" s="8">
        <f>IF(AND(G110&gt;YEAR('Assumptions &amp; Inputs'!$E$31), ROUND(F137, 7)&lt;SUMIF($D$110:$AW$110, "="&amp;G110-'Assumptions &amp; Inputs'!$E$34-1, $D$132:$AW$132)*'Assumptions &amp; Inputs'!$E$37),MIN(G133*(1-'Assumptions &amp; Inputs'!$E$37)/'Assumptions &amp; Inputs'!$E$34,-F137),0)</f>
        <v>-1103.7698630136986</v>
      </c>
      <c r="H135" s="8">
        <f>IF(AND(H110&gt;YEAR('Assumptions &amp; Inputs'!$E$31), ROUND(G137, 7)&lt;SUMIF($D$110:$AW$110, "="&amp;H110-'Assumptions &amp; Inputs'!$E$34-1, $D$132:$AW$132)*'Assumptions &amp; Inputs'!$E$37),MIN(H133*(1-'Assumptions &amp; Inputs'!$E$37)/'Assumptions &amp; Inputs'!$E$34,-G137),0)</f>
        <v>-1103.7698630136986</v>
      </c>
      <c r="I135" s="8">
        <f>IF(AND(I110&gt;YEAR('Assumptions &amp; Inputs'!$E$31), ROUND(H137, 7)&lt;SUMIF($D$110:$AW$110, "="&amp;I110-'Assumptions &amp; Inputs'!$E$34-1, $D$132:$AW$132)*'Assumptions &amp; Inputs'!$E$37),MIN(I133*(1-'Assumptions &amp; Inputs'!$E$37)/'Assumptions &amp; Inputs'!$E$34,-H137),0)</f>
        <v>-1103.7698630136986</v>
      </c>
      <c r="J135" s="8">
        <f>IF(AND(J110&gt;YEAR('Assumptions &amp; Inputs'!$E$31), ROUND(I137, 7)&lt;SUMIF($D$110:$AW$110, "="&amp;J110-'Assumptions &amp; Inputs'!$E$34-1, $D$132:$AW$132)*'Assumptions &amp; Inputs'!$E$37),MIN(J133*(1-'Assumptions &amp; Inputs'!$E$37)/'Assumptions &amp; Inputs'!$E$34,-I137),0)</f>
        <v>-1103.7698630136986</v>
      </c>
      <c r="K135" s="8">
        <f>IF(AND(K110&gt;YEAR('Assumptions &amp; Inputs'!$E$31), ROUND(J137, 7)&lt;SUMIF($D$110:$AW$110, "="&amp;K110-'Assumptions &amp; Inputs'!$E$34-1, $D$132:$AW$132)*'Assumptions &amp; Inputs'!$E$37),MIN(K133*(1-'Assumptions &amp; Inputs'!$E$37)/'Assumptions &amp; Inputs'!$E$34,-J137),0)</f>
        <v>-1103.7698630136986</v>
      </c>
      <c r="L135" s="8">
        <f>IF(AND(L110&gt;YEAR('Assumptions &amp; Inputs'!$E$31), ROUND(K137, 7)&lt;SUMIF($D$110:$AW$110, "="&amp;L110-'Assumptions &amp; Inputs'!$E$34-1, $D$132:$AW$132)*'Assumptions &amp; Inputs'!$E$37),MIN(L133*(1-'Assumptions &amp; Inputs'!$E$37)/'Assumptions &amp; Inputs'!$E$34,-K137),0)</f>
        <v>-1103.7698630136986</v>
      </c>
      <c r="M135" s="8">
        <f>IF(AND(M110&gt;YEAR('Assumptions &amp; Inputs'!$E$31), ROUND(L137, 7)&lt;SUMIF($D$110:$AW$110, "="&amp;M110-'Assumptions &amp; Inputs'!$E$34-1, $D$132:$AW$132)*'Assumptions &amp; Inputs'!$E$37),MIN(M133*(1-'Assumptions &amp; Inputs'!$E$37)/'Assumptions &amp; Inputs'!$E$34,-L137),0)</f>
        <v>-1103.7698630136986</v>
      </c>
      <c r="N135" s="8">
        <f>IF(AND(N110&gt;YEAR('Assumptions &amp; Inputs'!$E$31), ROUND(M137, 7)&lt;SUMIF($D$110:$AW$110, "="&amp;N110-'Assumptions &amp; Inputs'!$E$34-1, $D$132:$AW$132)*'Assumptions &amp; Inputs'!$E$37),MIN(N133*(1-'Assumptions &amp; Inputs'!$E$37)/'Assumptions &amp; Inputs'!$E$34,-M137),0)</f>
        <v>-1103.7698630136986</v>
      </c>
      <c r="O135" s="8">
        <f>IF(AND(O110&gt;YEAR('Assumptions &amp; Inputs'!$E$31), ROUND(N137, 7)&lt;SUMIF($D$110:$AW$110, "="&amp;O110-'Assumptions &amp; Inputs'!$E$34-1, $D$132:$AW$132)*'Assumptions &amp; Inputs'!$E$37),MIN(O133*(1-'Assumptions &amp; Inputs'!$E$37)/'Assumptions &amp; Inputs'!$E$34,-N137),0)</f>
        <v>0</v>
      </c>
      <c r="P135" s="8">
        <f>IF(AND(P110&gt;YEAR('Assumptions &amp; Inputs'!$E$31), ROUND(O137, 7)&lt;SUMIF($D$110:$AW$110, "="&amp;P110-'Assumptions &amp; Inputs'!$E$34-1, $D$132:$AW$132)*'Assumptions &amp; Inputs'!$E$37),MIN(P133*(1-'Assumptions &amp; Inputs'!$E$37)/'Assumptions &amp; Inputs'!$E$34,-O137),0)</f>
        <v>0</v>
      </c>
      <c r="Q135" s="8">
        <f>IF(AND(Q110&gt;YEAR('Assumptions &amp; Inputs'!$E$31), ROUND(P137, 7)&lt;SUMIF($D$110:$AW$110, "="&amp;Q110-'Assumptions &amp; Inputs'!$E$34-1, $D$132:$AW$132)*'Assumptions &amp; Inputs'!$E$37),MIN(Q133*(1-'Assumptions &amp; Inputs'!$E$37)/'Assumptions &amp; Inputs'!$E$34,-P137),0)</f>
        <v>0</v>
      </c>
      <c r="R135" s="8">
        <f>IF(AND(R110&gt;YEAR('Assumptions &amp; Inputs'!$E$31), ROUND(Q137, 7)&lt;SUMIF($D$110:$AW$110, "="&amp;R110-'Assumptions &amp; Inputs'!$E$34-1, $D$132:$AW$132)*'Assumptions &amp; Inputs'!$E$37),MIN(R133*(1-'Assumptions &amp; Inputs'!$E$37)/'Assumptions &amp; Inputs'!$E$34,-Q137),0)</f>
        <v>0</v>
      </c>
      <c r="S135" s="8">
        <f>IF(AND(S110&gt;YEAR('Assumptions &amp; Inputs'!$E$31), ROUND(R137, 7)&lt;SUMIF($D$110:$AW$110, "="&amp;S110-'Assumptions &amp; Inputs'!$E$34-1, $D$132:$AW$132)*'Assumptions &amp; Inputs'!$E$37),MIN(S133*(1-'Assumptions &amp; Inputs'!$E$37)/'Assumptions &amp; Inputs'!$E$34,-R137),0)</f>
        <v>0</v>
      </c>
      <c r="T135" s="8">
        <f>IF(AND(T110&gt;YEAR('Assumptions &amp; Inputs'!$E$31), ROUND(S137, 7)&lt;SUMIF($D$110:$AW$110, "="&amp;T110-'Assumptions &amp; Inputs'!$E$34-1, $D$132:$AW$132)*'Assumptions &amp; Inputs'!$E$37),MIN(T133*(1-'Assumptions &amp; Inputs'!$E$37)/'Assumptions &amp; Inputs'!$E$34,-S137),0)</f>
        <v>0</v>
      </c>
      <c r="U135" s="8">
        <f>IF(AND(U110&gt;YEAR('Assumptions &amp; Inputs'!$E$31), ROUND(T137, 7)&lt;SUMIF($D$110:$AW$110, "="&amp;U110-'Assumptions &amp; Inputs'!$E$34-1, $D$132:$AW$132)*'Assumptions &amp; Inputs'!$E$37),MIN(U133*(1-'Assumptions &amp; Inputs'!$E$37)/'Assumptions &amp; Inputs'!$E$34,-T137),0)</f>
        <v>0</v>
      </c>
      <c r="V135" s="8">
        <f>IF(AND(V110&gt;YEAR('Assumptions &amp; Inputs'!$E$31), ROUND(U137, 7)&lt;SUMIF($D$110:$AW$110, "="&amp;V110-'Assumptions &amp; Inputs'!$E$34-1, $D$132:$AW$132)*'Assumptions &amp; Inputs'!$E$37),MIN(V133*(1-'Assumptions &amp; Inputs'!$E$37)/'Assumptions &amp; Inputs'!$E$34,-U137),0)</f>
        <v>0</v>
      </c>
      <c r="W135" s="8">
        <f>IF(AND(W110&gt;YEAR('Assumptions &amp; Inputs'!$E$31), ROUND(V137, 7)&lt;SUMIF($D$110:$AW$110, "="&amp;W110-'Assumptions &amp; Inputs'!$E$34-1, $D$132:$AW$132)*'Assumptions &amp; Inputs'!$E$37),MIN(W133*(1-'Assumptions &amp; Inputs'!$E$37)/'Assumptions &amp; Inputs'!$E$34,-V137),0)</f>
        <v>0</v>
      </c>
      <c r="X135" s="8">
        <f>IF(AND(X110&gt;YEAR('Assumptions &amp; Inputs'!$E$31), ROUND(W137, 7)&lt;SUMIF($D$110:$AW$110, "="&amp;X110-'Assumptions &amp; Inputs'!$E$34-1, $D$132:$AW$132)*'Assumptions &amp; Inputs'!$E$37),MIN(X133*(1-'Assumptions &amp; Inputs'!$E$37)/'Assumptions &amp; Inputs'!$E$34,-W137),0)</f>
        <v>0</v>
      </c>
      <c r="Y135" s="8">
        <f>IF(AND(Y110&gt;YEAR('Assumptions &amp; Inputs'!$E$31), ROUND(X137, 7)&lt;SUMIF($D$110:$AW$110, "="&amp;Y110-'Assumptions &amp; Inputs'!$E$34-1, $D$132:$AW$132)*'Assumptions &amp; Inputs'!$E$37),MIN(Y133*(1-'Assumptions &amp; Inputs'!$E$37)/'Assumptions &amp; Inputs'!$E$34,-X137),0)</f>
        <v>0</v>
      </c>
      <c r="Z135" s="8">
        <f>IF(AND(Z110&gt;YEAR('Assumptions &amp; Inputs'!$E$31), ROUND(Y137, 7)&lt;SUMIF($D$110:$AW$110, "="&amp;Z110-'Assumptions &amp; Inputs'!$E$34-1, $D$132:$AW$132)*'Assumptions &amp; Inputs'!$E$37),MIN(Z133*(1-'Assumptions &amp; Inputs'!$E$37)/'Assumptions &amp; Inputs'!$E$34,-Y137),0)</f>
        <v>0</v>
      </c>
      <c r="AA135" s="8">
        <f>IF(AND(AA110&gt;YEAR('Assumptions &amp; Inputs'!$E$31), ROUND(Z137, 7)&lt;SUMIF($D$110:$AW$110, "="&amp;AA110-'Assumptions &amp; Inputs'!$E$34-1, $D$132:$AW$132)*'Assumptions &amp; Inputs'!$E$37),MIN(AA133*(1-'Assumptions &amp; Inputs'!$E$37)/'Assumptions &amp; Inputs'!$E$34,-Z137),0)</f>
        <v>0</v>
      </c>
      <c r="AB135" s="8">
        <f>IF(AND(AB110&gt;YEAR('Assumptions &amp; Inputs'!$E$31), ROUND(AA137, 7)&lt;SUMIF($D$110:$AW$110, "="&amp;AB110-'Assumptions &amp; Inputs'!$E$34-1, $D$132:$AW$132)*'Assumptions &amp; Inputs'!$E$37),MIN(AB133*(1-'Assumptions &amp; Inputs'!$E$37)/'Assumptions &amp; Inputs'!$E$34,-AA137),0)</f>
        <v>0</v>
      </c>
      <c r="AC135" s="8">
        <f>IF(AND(AC110&gt;YEAR('Assumptions &amp; Inputs'!$E$31), ROUND(AB137, 7)&lt;SUMIF($D$110:$AW$110, "="&amp;AC110-'Assumptions &amp; Inputs'!$E$34-1, $D$132:$AW$132)*'Assumptions &amp; Inputs'!$E$37),MIN(AC133*(1-'Assumptions &amp; Inputs'!$E$37)/'Assumptions &amp; Inputs'!$E$34,-AB137),0)</f>
        <v>0</v>
      </c>
      <c r="AD135" s="8">
        <f>IF(AND(AD110&gt;YEAR('Assumptions &amp; Inputs'!$E$31), ROUND(AC137, 7)&lt;SUMIF($D$110:$AW$110, "="&amp;AD110-'Assumptions &amp; Inputs'!$E$34-1, $D$132:$AW$132)*'Assumptions &amp; Inputs'!$E$37),MIN(AD133*(1-'Assumptions &amp; Inputs'!$E$37)/'Assumptions &amp; Inputs'!$E$34,-AC137),0)</f>
        <v>0</v>
      </c>
      <c r="AE135" s="8">
        <f>IF(AND(AE110&gt;YEAR('Assumptions &amp; Inputs'!$E$31), ROUND(AD137, 7)&lt;SUMIF($D$110:$AW$110, "="&amp;AE110-'Assumptions &amp; Inputs'!$E$34-1, $D$132:$AW$132)*'Assumptions &amp; Inputs'!$E$37),MIN(AE133*(1-'Assumptions &amp; Inputs'!$E$37)/'Assumptions &amp; Inputs'!$E$34,-AD137),0)</f>
        <v>0</v>
      </c>
      <c r="AF135" s="8">
        <f>IF(AND(AF110&gt;YEAR('Assumptions &amp; Inputs'!$E$31), ROUND(AE137, 7)&lt;SUMIF($D$110:$AW$110, "="&amp;AF110-'Assumptions &amp; Inputs'!$E$34-1, $D$132:$AW$132)*'Assumptions &amp; Inputs'!$E$37),MIN(AF133*(1-'Assumptions &amp; Inputs'!$E$37)/'Assumptions &amp; Inputs'!$E$34,-AE137),0)</f>
        <v>0</v>
      </c>
      <c r="AG135" s="8">
        <f>IF(AND(AG110&gt;YEAR('Assumptions &amp; Inputs'!$E$31), ROUND(AF137, 7)&lt;SUMIF($D$110:$AW$110, "="&amp;AG110-'Assumptions &amp; Inputs'!$E$34-1, $D$132:$AW$132)*'Assumptions &amp; Inputs'!$E$37),MIN(AG133*(1-'Assumptions &amp; Inputs'!$E$37)/'Assumptions &amp; Inputs'!$E$34,-AF137),0)</f>
        <v>0</v>
      </c>
      <c r="AH135" s="8">
        <f>IF(AND(AH110&gt;YEAR('Assumptions &amp; Inputs'!$E$31), ROUND(AG137, 7)&lt;SUMIF($D$110:$AW$110, "="&amp;AH110-'Assumptions &amp; Inputs'!$E$34-1, $D$132:$AW$132)*'Assumptions &amp; Inputs'!$E$37),MIN(AH133*(1-'Assumptions &amp; Inputs'!$E$37)/'Assumptions &amp; Inputs'!$E$34,-AG137),0)</f>
        <v>0</v>
      </c>
      <c r="AI135" s="8">
        <f>IF(AND(AI110&gt;YEAR('Assumptions &amp; Inputs'!$E$31), ROUND(AH137, 7)&lt;SUMIF($D$110:$AW$110, "="&amp;AI110-'Assumptions &amp; Inputs'!$E$34-1, $D$132:$AW$132)*'Assumptions &amp; Inputs'!$E$37),MIN(AI133*(1-'Assumptions &amp; Inputs'!$E$37)/'Assumptions &amp; Inputs'!$E$34,-AH137),0)</f>
        <v>0</v>
      </c>
      <c r="AJ135" s="8">
        <f>IF(AND(AJ110&gt;YEAR('Assumptions &amp; Inputs'!$E$31), ROUND(AI137, 7)&lt;SUMIF($D$110:$AW$110, "="&amp;AJ110-'Assumptions &amp; Inputs'!$E$34-1, $D$132:$AW$132)*'Assumptions &amp; Inputs'!$E$37),MIN(AJ133*(1-'Assumptions &amp; Inputs'!$E$37)/'Assumptions &amp; Inputs'!$E$34,-AI137),0)</f>
        <v>0</v>
      </c>
      <c r="AK135" s="8">
        <f>IF(AND(AK110&gt;YEAR('Assumptions &amp; Inputs'!$E$31), ROUND(AJ137, 7)&lt;SUMIF($D$110:$AW$110, "="&amp;AK110-'Assumptions &amp; Inputs'!$E$34-1, $D$132:$AW$132)*'Assumptions &amp; Inputs'!$E$37),MIN(AK133*(1-'Assumptions &amp; Inputs'!$E$37)/'Assumptions &amp; Inputs'!$E$34,-AJ137),0)</f>
        <v>0</v>
      </c>
      <c r="AL135" s="8">
        <f>IF(AND(AL110&gt;YEAR('Assumptions &amp; Inputs'!$E$31), ROUND(AK137, 7)&lt;SUMIF($D$110:$AW$110, "="&amp;AL110-'Assumptions &amp; Inputs'!$E$34-1, $D$132:$AW$132)*'Assumptions &amp; Inputs'!$E$37),MIN(AL133*(1-'Assumptions &amp; Inputs'!$E$37)/'Assumptions &amp; Inputs'!$E$34,-AK137),0)</f>
        <v>0</v>
      </c>
      <c r="AM135" s="8">
        <f>IF(AND(AM110&gt;YEAR('Assumptions &amp; Inputs'!$E$31), ROUND(AL137, 7)&lt;SUMIF($D$110:$AW$110, "="&amp;AM110-'Assumptions &amp; Inputs'!$E$34-1, $D$132:$AW$132)*'Assumptions &amp; Inputs'!$E$37),MIN(AM133*(1-'Assumptions &amp; Inputs'!$E$37)/'Assumptions &amp; Inputs'!$E$34,-AL137),0)</f>
        <v>0</v>
      </c>
      <c r="AN135" s="8">
        <f>IF(AND(AN110&gt;YEAR('Assumptions &amp; Inputs'!$E$31), ROUND(AM137, 7)&lt;SUMIF($D$110:$AW$110, "="&amp;AN110-'Assumptions &amp; Inputs'!$E$34-1, $D$132:$AW$132)*'Assumptions &amp; Inputs'!$E$37),MIN(AN133*(1-'Assumptions &amp; Inputs'!$E$37)/'Assumptions &amp; Inputs'!$E$34,-AM137),0)</f>
        <v>0</v>
      </c>
      <c r="AO135" s="8">
        <f>IF(AND(AO110&gt;YEAR('Assumptions &amp; Inputs'!$E$31), ROUND(AN137, 7)&lt;SUMIF($D$110:$AW$110, "="&amp;AO110-'Assumptions &amp; Inputs'!$E$34-1, $D$132:$AW$132)*'Assumptions &amp; Inputs'!$E$37),MIN(AO133*(1-'Assumptions &amp; Inputs'!$E$37)/'Assumptions &amp; Inputs'!$E$34,-AN137),0)</f>
        <v>0</v>
      </c>
      <c r="AP135" s="8">
        <f>IF(AND(AP110&gt;YEAR('Assumptions &amp; Inputs'!$E$31), ROUND(AO137, 7)&lt;SUMIF($D$110:$AW$110, "="&amp;AP110-'Assumptions &amp; Inputs'!$E$34-1, $D$132:$AW$132)*'Assumptions &amp; Inputs'!$E$37),MIN(AP133*(1-'Assumptions &amp; Inputs'!$E$37)/'Assumptions &amp; Inputs'!$E$34,-AO137),0)</f>
        <v>0</v>
      </c>
      <c r="AQ135" s="8">
        <f>IF(AND(AQ110&gt;YEAR('Assumptions &amp; Inputs'!$E$31), ROUND(AP137, 7)&lt;SUMIF($D$110:$AW$110, "="&amp;AQ110-'Assumptions &amp; Inputs'!$E$34-1, $D$132:$AW$132)*'Assumptions &amp; Inputs'!$E$37),MIN(AQ133*(1-'Assumptions &amp; Inputs'!$E$37)/'Assumptions &amp; Inputs'!$E$34,-AP137),0)</f>
        <v>0</v>
      </c>
      <c r="AR135" s="8">
        <f>IF(AND(AR110&gt;YEAR('Assumptions &amp; Inputs'!$E$31), ROUND(AQ137, 7)&lt;SUMIF($D$110:$AW$110, "="&amp;AR110-'Assumptions &amp; Inputs'!$E$34-1, $D$132:$AW$132)*'Assumptions &amp; Inputs'!$E$37),MIN(AR133*(1-'Assumptions &amp; Inputs'!$E$37)/'Assumptions &amp; Inputs'!$E$34,-AQ137),0)</f>
        <v>0</v>
      </c>
      <c r="AS135" s="8">
        <f>IF(AND(AS110&gt;YEAR('Assumptions &amp; Inputs'!$E$31), ROUND(AR137, 7)&lt;SUMIF($D$110:$AW$110, "="&amp;AS110-'Assumptions &amp; Inputs'!$E$34-1, $D$132:$AW$132)*'Assumptions &amp; Inputs'!$E$37),MIN(AS133*(1-'Assumptions &amp; Inputs'!$E$37)/'Assumptions &amp; Inputs'!$E$34,-AR137),0)</f>
        <v>0</v>
      </c>
      <c r="AT135" s="8">
        <f>IF(AND(AT110&gt;YEAR('Assumptions &amp; Inputs'!$E$31), ROUND(AS137, 7)&lt;SUMIF($D$110:$AW$110, "="&amp;AT110-'Assumptions &amp; Inputs'!$E$34-1, $D$132:$AW$132)*'Assumptions &amp; Inputs'!$E$37),MIN(AT133*(1-'Assumptions &amp; Inputs'!$E$37)/'Assumptions &amp; Inputs'!$E$34,-AS137),0)</f>
        <v>0</v>
      </c>
      <c r="AU135" s="8">
        <f>IF(AND(AU110&gt;YEAR('Assumptions &amp; Inputs'!$E$31), ROUND(AT137, 7)&lt;SUMIF($D$110:$AW$110, "="&amp;AU110-'Assumptions &amp; Inputs'!$E$34-1, $D$132:$AW$132)*'Assumptions &amp; Inputs'!$E$37),MIN(AU133*(1-'Assumptions &amp; Inputs'!$E$37)/'Assumptions &amp; Inputs'!$E$34,-AT137),0)</f>
        <v>0</v>
      </c>
      <c r="AV135" s="8">
        <f>IF(AND(AV110&gt;YEAR('Assumptions &amp; Inputs'!$E$31), ROUND(AU137, 7)&lt;SUMIF($D$110:$AW$110, "="&amp;AV110-'Assumptions &amp; Inputs'!$E$34-1, $D$132:$AW$132)*'Assumptions &amp; Inputs'!$E$37),MIN(AV133*(1-'Assumptions &amp; Inputs'!$E$37)/'Assumptions &amp; Inputs'!$E$34,-AU137),0)</f>
        <v>0</v>
      </c>
      <c r="AW135" s="8">
        <f>IF(AND(AW110&gt;YEAR('Assumptions &amp; Inputs'!$E$31), ROUND(AV137, 7)&lt;SUMIF($D$110:$AW$110, "="&amp;AW110-'Assumptions &amp; Inputs'!$E$34-1, $D$132:$AW$132)*'Assumptions &amp; Inputs'!$E$37),MIN(AW133*(1-'Assumptions &amp; Inputs'!$E$37)/'Assumptions &amp; Inputs'!$E$34,-AV137),0)</f>
        <v>0</v>
      </c>
    </row>
    <row r="136" spans="3:49" ht="14.25" customHeight="1">
      <c r="C136" s="4" t="s">
        <v>508</v>
      </c>
      <c r="D136" s="23">
        <f>D135</f>
        <v>0</v>
      </c>
      <c r="E136" s="23">
        <f>MAX(E135+D136, $D$25)</f>
        <v>0</v>
      </c>
      <c r="F136" s="23">
        <f>MAX(F135+E136, $D$25)</f>
        <v>-1103.7698630136986</v>
      </c>
      <c r="G136" s="23">
        <f t="shared" ref="G136:X136" si="386">MAX(G135+F136, $D$25)</f>
        <v>-2207.5397260273971</v>
      </c>
      <c r="H136" s="23">
        <f t="shared" si="386"/>
        <v>-3311.3095890410959</v>
      </c>
      <c r="I136" s="23">
        <f t="shared" si="386"/>
        <v>-4415.0794520547943</v>
      </c>
      <c r="J136" s="23">
        <f t="shared" si="386"/>
        <v>-5518.8493150684926</v>
      </c>
      <c r="K136" s="23">
        <f t="shared" si="386"/>
        <v>-6622.619178082191</v>
      </c>
      <c r="L136" s="23">
        <f t="shared" si="386"/>
        <v>-7726.3890410958893</v>
      </c>
      <c r="M136" s="23">
        <f t="shared" si="386"/>
        <v>-8830.1589041095885</v>
      </c>
      <c r="N136" s="23">
        <f t="shared" si="386"/>
        <v>-9933.9287671232869</v>
      </c>
      <c r="O136" s="23">
        <f t="shared" si="386"/>
        <v>-9933.9287671232869</v>
      </c>
      <c r="P136" s="23">
        <f t="shared" si="386"/>
        <v>-9933.9287671232869</v>
      </c>
      <c r="Q136" s="23">
        <f t="shared" si="386"/>
        <v>-9933.9287671232869</v>
      </c>
      <c r="R136" s="23">
        <f t="shared" si="386"/>
        <v>-9933.9287671232869</v>
      </c>
      <c r="S136" s="23">
        <f t="shared" si="386"/>
        <v>-9933.9287671232869</v>
      </c>
      <c r="T136" s="23">
        <f t="shared" si="386"/>
        <v>-9933.9287671232869</v>
      </c>
      <c r="U136" s="23">
        <f t="shared" si="386"/>
        <v>-9933.9287671232869</v>
      </c>
      <c r="V136" s="23">
        <f t="shared" si="386"/>
        <v>-9933.9287671232869</v>
      </c>
      <c r="W136" s="23">
        <f t="shared" si="386"/>
        <v>-9933.9287671232869</v>
      </c>
      <c r="X136" s="23">
        <f t="shared" si="386"/>
        <v>-9933.9287671232869</v>
      </c>
      <c r="Y136" s="23">
        <f t="shared" ref="Y136" si="387">MAX(Y135+X136, $D$25)</f>
        <v>-9933.9287671232869</v>
      </c>
      <c r="Z136" s="23">
        <f t="shared" ref="Z136" si="388">MAX(Z135+Y136, $D$25)</f>
        <v>-9933.9287671232869</v>
      </c>
      <c r="AA136" s="23">
        <f t="shared" ref="AA136" si="389">MAX(AA135+Z136, $D$25)</f>
        <v>-9933.9287671232869</v>
      </c>
      <c r="AB136" s="23">
        <f t="shared" ref="AB136" si="390">MAX(AB135+AA136, $D$25)</f>
        <v>-9933.9287671232869</v>
      </c>
      <c r="AC136" s="23">
        <f t="shared" ref="AC136" si="391">MAX(AC135+AB136, $D$25)</f>
        <v>-9933.9287671232869</v>
      </c>
      <c r="AD136" s="23">
        <f t="shared" ref="AD136" si="392">MAX(AD135+AC136, $D$25)</f>
        <v>-9933.9287671232869</v>
      </c>
      <c r="AE136" s="23">
        <f t="shared" ref="AE136" si="393">MAX(AE135+AD136, $D$25)</f>
        <v>-9933.9287671232869</v>
      </c>
      <c r="AF136" s="23">
        <f t="shared" ref="AF136" si="394">MAX(AF135+AE136, $D$25)</f>
        <v>-9933.9287671232869</v>
      </c>
      <c r="AG136" s="23">
        <f t="shared" ref="AG136" si="395">MAX(AG135+AF136, $D$25)</f>
        <v>-9933.9287671232869</v>
      </c>
      <c r="AH136" s="23">
        <f t="shared" ref="AH136" si="396">MAX(AH135+AG136, $D$25)</f>
        <v>-9933.9287671232869</v>
      </c>
      <c r="AI136" s="23">
        <f t="shared" ref="AI136" si="397">MAX(AI135+AH136, $D$25)</f>
        <v>-9933.9287671232869</v>
      </c>
      <c r="AJ136" s="23">
        <f t="shared" ref="AJ136" si="398">MAX(AJ135+AI136, $D$25)</f>
        <v>-9933.9287671232869</v>
      </c>
      <c r="AK136" s="23">
        <f t="shared" ref="AK136" si="399">MAX(AK135+AJ136, $D$25)</f>
        <v>-9933.9287671232869</v>
      </c>
      <c r="AL136" s="23">
        <f t="shared" ref="AL136" si="400">MAX(AL135+AK136, $D$25)</f>
        <v>-9933.9287671232869</v>
      </c>
      <c r="AM136" s="23">
        <f t="shared" ref="AM136" si="401">MAX(AM135+AL136, $D$25)</f>
        <v>-9933.9287671232869</v>
      </c>
      <c r="AN136" s="23">
        <f t="shared" ref="AN136" si="402">MAX(AN135+AM136, $D$25)</f>
        <v>-9933.9287671232869</v>
      </c>
      <c r="AO136" s="23">
        <f t="shared" ref="AO136" si="403">MAX(AO135+AN136, $D$25)</f>
        <v>-9933.9287671232869</v>
      </c>
      <c r="AP136" s="23">
        <f t="shared" ref="AP136" si="404">MAX(AP135+AO136, $D$25)</f>
        <v>-9933.9287671232869</v>
      </c>
      <c r="AQ136" s="23">
        <f t="shared" ref="AQ136" si="405">MAX(AQ135+AP136, $D$25)</f>
        <v>-9933.9287671232869</v>
      </c>
      <c r="AR136" s="23">
        <f t="shared" ref="AR136" si="406">MAX(AR135+AQ136, $D$25)</f>
        <v>-9933.9287671232869</v>
      </c>
      <c r="AS136" s="23">
        <f t="shared" ref="AS136" si="407">MAX(AS135+AR136, $D$25)</f>
        <v>-9933.9287671232869</v>
      </c>
      <c r="AT136" s="23">
        <f t="shared" ref="AT136" si="408">MAX(AT135+AS136, $D$25)</f>
        <v>-9933.9287671232869</v>
      </c>
      <c r="AU136" s="23">
        <f t="shared" ref="AU136" si="409">MAX(AU135+AT136, $D$25)</f>
        <v>-9933.9287671232869</v>
      </c>
      <c r="AV136" s="23">
        <f t="shared" ref="AV136" si="410">MAX(AV135+AU136, $D$25)</f>
        <v>-9933.9287671232869</v>
      </c>
      <c r="AW136" s="23">
        <f t="shared" ref="AW136" si="411">MAX(AW135+AV136, $D$25)</f>
        <v>-9933.9287671232869</v>
      </c>
    </row>
    <row r="137" spans="3:49" ht="14.25" customHeight="1">
      <c r="C137" s="4" t="s">
        <v>509</v>
      </c>
      <c r="D137" s="23">
        <f>SUM(D132,-D136)</f>
        <v>-11618.630136986301</v>
      </c>
      <c r="E137" s="23">
        <f t="shared" ref="E137:AW137" si="412">SUM(D137,-E135, E132,E42)</f>
        <v>-11618.630136986301</v>
      </c>
      <c r="F137" s="23">
        <f t="shared" si="412"/>
        <v>-10514.860273972603</v>
      </c>
      <c r="G137" s="23">
        <f t="shared" si="412"/>
        <v>-9411.0904109589046</v>
      </c>
      <c r="H137" s="23">
        <f t="shared" si="412"/>
        <v>-8307.3205479452063</v>
      </c>
      <c r="I137" s="23">
        <f t="shared" si="412"/>
        <v>-7203.5506849315079</v>
      </c>
      <c r="J137" s="23">
        <f t="shared" si="412"/>
        <v>-6099.7808219178096</v>
      </c>
      <c r="K137" s="23">
        <f t="shared" si="412"/>
        <v>-4996.0109589041112</v>
      </c>
      <c r="L137" s="23">
        <f t="shared" si="412"/>
        <v>-3892.2410958904129</v>
      </c>
      <c r="M137" s="23">
        <f t="shared" si="412"/>
        <v>-2788.4712328767146</v>
      </c>
      <c r="N137" s="23">
        <f t="shared" si="412"/>
        <v>-1103.7698630137011</v>
      </c>
      <c r="O137" s="23">
        <f t="shared" si="412"/>
        <v>-1103.7698630137011</v>
      </c>
      <c r="P137" s="23">
        <f t="shared" si="412"/>
        <v>-1103.7698630137011</v>
      </c>
      <c r="Q137" s="23">
        <f t="shared" si="412"/>
        <v>-1103.7698630137011</v>
      </c>
      <c r="R137" s="23">
        <f t="shared" si="412"/>
        <v>-1103.7698630137011</v>
      </c>
      <c r="S137" s="23">
        <f t="shared" si="412"/>
        <v>-1103.7698630137011</v>
      </c>
      <c r="T137" s="23">
        <f t="shared" si="412"/>
        <v>-1103.7698630137011</v>
      </c>
      <c r="U137" s="23">
        <f t="shared" si="412"/>
        <v>-1103.7698630137011</v>
      </c>
      <c r="V137" s="23">
        <f t="shared" si="412"/>
        <v>-1103.7698630137011</v>
      </c>
      <c r="W137" s="23">
        <f t="shared" si="412"/>
        <v>-1103.7698630137011</v>
      </c>
      <c r="X137" s="23">
        <f t="shared" si="412"/>
        <v>-1103.7698630137011</v>
      </c>
      <c r="Y137" s="23">
        <f t="shared" si="412"/>
        <v>-1103.7698630137011</v>
      </c>
      <c r="Z137" s="23">
        <f t="shared" si="412"/>
        <v>-1103.7698630137011</v>
      </c>
      <c r="AA137" s="23">
        <f t="shared" si="412"/>
        <v>-1103.7698630137011</v>
      </c>
      <c r="AB137" s="23">
        <f t="shared" si="412"/>
        <v>-1103.7698630137011</v>
      </c>
      <c r="AC137" s="23">
        <f t="shared" si="412"/>
        <v>-1103.7698630137011</v>
      </c>
      <c r="AD137" s="23">
        <f t="shared" si="412"/>
        <v>-1103.7698630137011</v>
      </c>
      <c r="AE137" s="23">
        <f t="shared" si="412"/>
        <v>-1103.7698630137011</v>
      </c>
      <c r="AF137" s="23">
        <f t="shared" si="412"/>
        <v>-1103.7698630137011</v>
      </c>
      <c r="AG137" s="23">
        <f t="shared" si="412"/>
        <v>-1103.7698630137011</v>
      </c>
      <c r="AH137" s="23">
        <f t="shared" si="412"/>
        <v>-1103.7698630137011</v>
      </c>
      <c r="AI137" s="23">
        <f t="shared" si="412"/>
        <v>-1103.7698630137011</v>
      </c>
      <c r="AJ137" s="23">
        <f t="shared" si="412"/>
        <v>-1103.7698630137011</v>
      </c>
      <c r="AK137" s="23">
        <f t="shared" si="412"/>
        <v>-1103.7698630137011</v>
      </c>
      <c r="AL137" s="23">
        <f t="shared" si="412"/>
        <v>-1103.7698630137011</v>
      </c>
      <c r="AM137" s="23">
        <f t="shared" si="412"/>
        <v>-1103.7698630137011</v>
      </c>
      <c r="AN137" s="23">
        <f t="shared" si="412"/>
        <v>-1103.7698630137011</v>
      </c>
      <c r="AO137" s="23">
        <f t="shared" si="412"/>
        <v>-1103.7698630137011</v>
      </c>
      <c r="AP137" s="23">
        <f t="shared" si="412"/>
        <v>-1103.7698630137011</v>
      </c>
      <c r="AQ137" s="23">
        <f t="shared" si="412"/>
        <v>-1103.7698630137011</v>
      </c>
      <c r="AR137" s="23">
        <f t="shared" si="412"/>
        <v>-1103.7698630137011</v>
      </c>
      <c r="AS137" s="23">
        <f t="shared" si="412"/>
        <v>-1103.7698630137011</v>
      </c>
      <c r="AT137" s="23">
        <f t="shared" si="412"/>
        <v>-1103.7698630137011</v>
      </c>
      <c r="AU137" s="23">
        <f t="shared" si="412"/>
        <v>-1103.7698630137011</v>
      </c>
      <c r="AV137" s="23">
        <f t="shared" si="412"/>
        <v>-1103.7698630137011</v>
      </c>
      <c r="AW137" s="23">
        <f t="shared" si="412"/>
        <v>-1103.7698630137011</v>
      </c>
    </row>
    <row r="138" spans="3:49" ht="14.25" customHeight="1">
      <c r="C138" s="184" t="s">
        <v>459</v>
      </c>
      <c r="D138" s="178">
        <f>IF(-SUM(D135:AW135)=ROUND($D$25*(1-'Assumptions &amp; Inputs'!$E$37),0),"yes",ROUND(SUM(D135:AW135)-$D$25*(1-'Assumptions &amp; Inputs'!$E$37),0))</f>
        <v>1104</v>
      </c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</row>
    <row r="139" spans="3:49" ht="14.25" customHeight="1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3:49" ht="14.25" customHeight="1">
      <c r="C140" s="2" t="s">
        <v>492</v>
      </c>
      <c r="D140" s="31" t="e">
        <f t="shared" ref="D140:AW140" si="413">SUM(D124,-D135)</f>
        <v>#N/A</v>
      </c>
      <c r="E140" s="31">
        <f t="shared" si="413"/>
        <v>8862.6910684931499</v>
      </c>
      <c r="F140" s="31">
        <f>SUM(F124,-F135)</f>
        <v>11892.934375890411</v>
      </c>
      <c r="G140" s="31">
        <f t="shared" si="413"/>
        <v>12109.95028661918</v>
      </c>
      <c r="H140" s="31">
        <f t="shared" si="413"/>
        <v>12331.343494176657</v>
      </c>
      <c r="I140" s="31">
        <f t="shared" si="413"/>
        <v>12557.202653857848</v>
      </c>
      <c r="J140" s="31">
        <f t="shared" si="413"/>
        <v>12787.618227344401</v>
      </c>
      <c r="K140" s="31">
        <f t="shared" si="413"/>
        <v>13022.682519830774</v>
      </c>
      <c r="L140" s="31">
        <f t="shared" si="413"/>
        <v>13262.489717922863</v>
      </c>
      <c r="M140" s="31">
        <f t="shared" si="413"/>
        <v>13507.135928325471</v>
      </c>
      <c r="N140" s="31">
        <f t="shared" si="413"/>
        <v>13756.719217335263</v>
      </c>
      <c r="O140" s="31">
        <f t="shared" si="413"/>
        <v>12907.56978814266</v>
      </c>
      <c r="P140" s="31">
        <f t="shared" si="413"/>
        <v>13167.329474042217</v>
      </c>
      <c r="Q140" s="31">
        <f t="shared" si="413"/>
        <v>13432.332602363869</v>
      </c>
      <c r="R140" s="31">
        <f t="shared" si="413"/>
        <v>13702.685489417174</v>
      </c>
      <c r="S140" s="31">
        <f t="shared" si="413"/>
        <v>13978.496621261729</v>
      </c>
      <c r="T140" s="31">
        <f t="shared" si="413"/>
        <v>14259.876698404856</v>
      </c>
      <c r="U140" s="31">
        <f t="shared" si="413"/>
        <v>14546.938681432388</v>
      </c>
      <c r="V140" s="31">
        <f t="shared" si="413"/>
        <v>14839.797837592252</v>
      </c>
      <c r="W140" s="31">
        <f t="shared" si="413"/>
        <v>15138.571788351248</v>
      </c>
      <c r="X140" s="31">
        <f t="shared" si="413"/>
        <v>15443.380557945638</v>
      </c>
      <c r="Y140" s="31">
        <f t="shared" si="413"/>
        <v>15754.346622946741</v>
      </c>
      <c r="Z140" s="31">
        <f t="shared" si="413"/>
        <v>16071.59496286313</v>
      </c>
      <c r="AA140" s="31">
        <f t="shared" si="413"/>
        <v>16395.253111801569</v>
      </c>
      <c r="AB140" s="31">
        <f t="shared" si="413"/>
        <v>16725.451211209212</v>
      </c>
      <c r="AC140" s="31">
        <f t="shared" si="413"/>
        <v>17062.322063720159</v>
      </c>
      <c r="AD140" s="31">
        <f t="shared" si="413"/>
        <v>17406.001188129922</v>
      </c>
      <c r="AE140" s="31">
        <f t="shared" si="413"/>
        <v>17756.62687552195</v>
      </c>
      <c r="AF140" s="31">
        <f t="shared" si="413"/>
        <v>18114.340246570693</v>
      </c>
      <c r="AG140" s="31">
        <f t="shared" si="413"/>
        <v>18479.285310046565</v>
      </c>
      <c r="AH140" s="31">
        <f t="shared" si="413"/>
        <v>18851.609022548284</v>
      </c>
      <c r="AI140" s="31">
        <f t="shared" si="413"/>
        <v>19231.461349489065</v>
      </c>
      <c r="AJ140" s="31">
        <f t="shared" si="413"/>
        <v>19618.995327363351</v>
      </c>
      <c r="AK140" s="31">
        <f t="shared" si="413"/>
        <v>20014.367127321668</v>
      </c>
      <c r="AL140" s="31">
        <f t="shared" si="413"/>
        <v>20417.736120081478</v>
      </c>
      <c r="AM140" s="31">
        <f t="shared" si="413"/>
        <v>20829.264942202881</v>
      </c>
      <c r="AN140" s="31">
        <f t="shared" si="413"/>
        <v>21249.119563758304</v>
      </c>
      <c r="AO140" s="31">
        <f t="shared" si="413"/>
        <v>21677.46935742618</v>
      </c>
      <c r="AP140" s="31">
        <f t="shared" si="413"/>
        <v>22114.487169039199</v>
      </c>
      <c r="AQ140" s="31">
        <f t="shared" si="413"/>
        <v>22560.349389618412</v>
      </c>
      <c r="AR140" s="31">
        <f t="shared" si="413"/>
        <v>23015.236028925152</v>
      </c>
      <c r="AS140" s="31">
        <f t="shared" si="413"/>
        <v>23479.330790563472</v>
      </c>
      <c r="AT140" s="31">
        <f t="shared" si="413"/>
        <v>23952.821148666346</v>
      </c>
      <c r="AU140" s="31">
        <f t="shared" si="413"/>
        <v>24435.898426200027</v>
      </c>
      <c r="AV140" s="31">
        <f t="shared" si="413"/>
        <v>24928.757874921186</v>
      </c>
      <c r="AW140" s="31">
        <f t="shared" si="413"/>
        <v>25431.598757022697</v>
      </c>
    </row>
  </sheetData>
  <mergeCells count="6">
    <mergeCell ref="E109:P109"/>
    <mergeCell ref="E8:P8"/>
    <mergeCell ref="E31:P31"/>
    <mergeCell ref="C64:E64"/>
    <mergeCell ref="C78:E78"/>
    <mergeCell ref="E88:P88"/>
  </mergeCells>
  <pageMargins left="0.7" right="0.7" top="0.75" bottom="0.75" header="0" footer="0"/>
  <pageSetup scale="27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3629-A096-4FB8-AA44-EAEA3BAD8E86}">
  <sheetPr codeName="Sheet11">
    <tabColor theme="9" tint="0.79998168889431442"/>
  </sheetPr>
  <dimension ref="A2:AW152"/>
  <sheetViews>
    <sheetView topLeftCell="A42" workbookViewId="0">
      <selection activeCell="G71" sqref="G71:AS72"/>
    </sheetView>
  </sheetViews>
  <sheetFormatPr baseColWidth="10" defaultColWidth="14.33203125" defaultRowHeight="15" customHeight="1"/>
  <cols>
    <col min="1" max="1" width="3.1640625" customWidth="1"/>
    <col min="2" max="2" width="3.33203125" customWidth="1"/>
    <col min="3" max="3" width="42.83203125" customWidth="1"/>
  </cols>
  <sheetData>
    <row r="2" spans="3:49" ht="14.25" customHeight="1">
      <c r="C2" s="63" t="s">
        <v>469</v>
      </c>
      <c r="D2" s="89"/>
      <c r="E2" s="105">
        <v>1000</v>
      </c>
      <c r="F2" s="6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3:49" ht="14.25" customHeight="1">
      <c r="C3" s="63" t="s">
        <v>470</v>
      </c>
      <c r="D3" s="64"/>
      <c r="E3" s="106">
        <v>1000000</v>
      </c>
      <c r="F3" s="6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3:49" ht="14.25" customHeight="1"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1"/>
      <c r="Z4" s="1"/>
    </row>
    <row r="5" spans="3:49" ht="14.25" customHeight="1" thickBot="1">
      <c r="C5" s="9" t="s">
        <v>352</v>
      </c>
      <c r="D5" s="9"/>
      <c r="E5" s="10"/>
      <c r="F5" s="10"/>
      <c r="G5" s="10"/>
      <c r="H5" s="10"/>
      <c r="I5" s="10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"/>
      <c r="Z5" s="1"/>
    </row>
    <row r="6" spans="3:49" ht="14.25" customHeight="1">
      <c r="C6" s="12" t="s">
        <v>353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3:49" ht="14.25" customHeight="1">
      <c r="C7" s="1"/>
      <c r="D7" s="43">
        <v>0</v>
      </c>
      <c r="E7" s="119">
        <f t="shared" ref="E7:X7" si="0">D7+1</f>
        <v>1</v>
      </c>
      <c r="F7" s="119">
        <f t="shared" si="0"/>
        <v>2</v>
      </c>
      <c r="G7" s="119">
        <f t="shared" si="0"/>
        <v>3</v>
      </c>
      <c r="H7" s="119">
        <f t="shared" si="0"/>
        <v>4</v>
      </c>
      <c r="I7" s="119">
        <f t="shared" si="0"/>
        <v>5</v>
      </c>
      <c r="J7" s="119">
        <f t="shared" si="0"/>
        <v>6</v>
      </c>
      <c r="K7" s="119">
        <f t="shared" si="0"/>
        <v>7</v>
      </c>
      <c r="L7" s="119">
        <f t="shared" si="0"/>
        <v>8</v>
      </c>
      <c r="M7" s="119">
        <f t="shared" si="0"/>
        <v>9</v>
      </c>
      <c r="N7" s="119">
        <f t="shared" si="0"/>
        <v>10</v>
      </c>
      <c r="O7" s="119">
        <f t="shared" si="0"/>
        <v>11</v>
      </c>
      <c r="P7" s="119">
        <f t="shared" si="0"/>
        <v>12</v>
      </c>
      <c r="Q7" s="119">
        <f t="shared" si="0"/>
        <v>13</v>
      </c>
      <c r="R7" s="119">
        <f t="shared" si="0"/>
        <v>14</v>
      </c>
      <c r="S7" s="119">
        <f t="shared" si="0"/>
        <v>15</v>
      </c>
      <c r="T7" s="119">
        <f t="shared" si="0"/>
        <v>16</v>
      </c>
      <c r="U7" s="119">
        <f t="shared" si="0"/>
        <v>17</v>
      </c>
      <c r="V7" s="119">
        <f t="shared" si="0"/>
        <v>18</v>
      </c>
      <c r="W7" s="119">
        <f t="shared" si="0"/>
        <v>19</v>
      </c>
      <c r="X7" s="119">
        <f t="shared" si="0"/>
        <v>20</v>
      </c>
      <c r="Y7" s="119">
        <f t="shared" ref="Y7:AW7" si="1">X7+1</f>
        <v>21</v>
      </c>
      <c r="Z7" s="119">
        <f t="shared" si="1"/>
        <v>22</v>
      </c>
      <c r="AA7" s="119">
        <f t="shared" si="1"/>
        <v>23</v>
      </c>
      <c r="AB7" s="119">
        <f t="shared" si="1"/>
        <v>24</v>
      </c>
      <c r="AC7" s="119">
        <f t="shared" si="1"/>
        <v>25</v>
      </c>
      <c r="AD7" s="119">
        <f t="shared" si="1"/>
        <v>26</v>
      </c>
      <c r="AE7" s="119">
        <f t="shared" si="1"/>
        <v>27</v>
      </c>
      <c r="AF7" s="119">
        <f t="shared" si="1"/>
        <v>28</v>
      </c>
      <c r="AG7" s="119">
        <f t="shared" si="1"/>
        <v>29</v>
      </c>
      <c r="AH7" s="119">
        <f t="shared" si="1"/>
        <v>30</v>
      </c>
      <c r="AI7" s="119">
        <f t="shared" si="1"/>
        <v>31</v>
      </c>
      <c r="AJ7" s="119">
        <f t="shared" si="1"/>
        <v>32</v>
      </c>
      <c r="AK7" s="119">
        <f t="shared" si="1"/>
        <v>33</v>
      </c>
      <c r="AL7" s="119">
        <f t="shared" si="1"/>
        <v>34</v>
      </c>
      <c r="AM7" s="119">
        <f t="shared" si="1"/>
        <v>35</v>
      </c>
      <c r="AN7" s="119">
        <f t="shared" si="1"/>
        <v>36</v>
      </c>
      <c r="AO7" s="119">
        <f t="shared" si="1"/>
        <v>37</v>
      </c>
      <c r="AP7" s="119">
        <f t="shared" si="1"/>
        <v>38</v>
      </c>
      <c r="AQ7" s="119">
        <f t="shared" si="1"/>
        <v>39</v>
      </c>
      <c r="AR7" s="119">
        <f t="shared" si="1"/>
        <v>40</v>
      </c>
      <c r="AS7" s="119">
        <f t="shared" si="1"/>
        <v>41</v>
      </c>
      <c r="AT7" s="119">
        <f t="shared" si="1"/>
        <v>42</v>
      </c>
      <c r="AU7" s="119">
        <f t="shared" si="1"/>
        <v>43</v>
      </c>
      <c r="AV7" s="119">
        <f t="shared" si="1"/>
        <v>44</v>
      </c>
      <c r="AW7" s="119">
        <f t="shared" si="1"/>
        <v>45</v>
      </c>
    </row>
    <row r="8" spans="3:49" ht="14.25" customHeight="1" thickBot="1">
      <c r="C8" s="200"/>
      <c r="D8" s="83"/>
      <c r="E8" s="806" t="s">
        <v>354</v>
      </c>
      <c r="F8" s="806"/>
      <c r="G8" s="806"/>
      <c r="H8" s="806"/>
      <c r="I8" s="806"/>
      <c r="J8" s="806"/>
      <c r="K8" s="806"/>
      <c r="L8" s="806"/>
      <c r="M8" s="806"/>
      <c r="N8" s="806"/>
      <c r="O8" s="806"/>
      <c r="P8" s="806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</row>
    <row r="9" spans="3:49" ht="14.25" customHeight="1">
      <c r="C9" s="202"/>
      <c r="D9" s="40">
        <f>YEAR(D10)</f>
        <v>2026</v>
      </c>
      <c r="E9" s="40">
        <f t="shared" ref="E9:X9" si="2">D9+1</f>
        <v>2027</v>
      </c>
      <c r="F9" s="40">
        <f t="shared" si="2"/>
        <v>2028</v>
      </c>
      <c r="G9" s="40">
        <f t="shared" si="2"/>
        <v>2029</v>
      </c>
      <c r="H9" s="40">
        <f t="shared" si="2"/>
        <v>2030</v>
      </c>
      <c r="I9" s="40">
        <f t="shared" si="2"/>
        <v>2031</v>
      </c>
      <c r="J9" s="40">
        <f t="shared" si="2"/>
        <v>2032</v>
      </c>
      <c r="K9" s="40">
        <f t="shared" si="2"/>
        <v>2033</v>
      </c>
      <c r="L9" s="40">
        <f t="shared" si="2"/>
        <v>2034</v>
      </c>
      <c r="M9" s="40">
        <f t="shared" si="2"/>
        <v>2035</v>
      </c>
      <c r="N9" s="40">
        <f t="shared" si="2"/>
        <v>2036</v>
      </c>
      <c r="O9" s="40">
        <f t="shared" si="2"/>
        <v>2037</v>
      </c>
      <c r="P9" s="40">
        <f t="shared" si="2"/>
        <v>2038</v>
      </c>
      <c r="Q9" s="40">
        <f t="shared" si="2"/>
        <v>2039</v>
      </c>
      <c r="R9" s="40">
        <f t="shared" si="2"/>
        <v>2040</v>
      </c>
      <c r="S9" s="40">
        <f t="shared" si="2"/>
        <v>2041</v>
      </c>
      <c r="T9" s="40">
        <f t="shared" si="2"/>
        <v>2042</v>
      </c>
      <c r="U9" s="40">
        <f t="shared" si="2"/>
        <v>2043</v>
      </c>
      <c r="V9" s="40">
        <f t="shared" si="2"/>
        <v>2044</v>
      </c>
      <c r="W9" s="40">
        <f t="shared" si="2"/>
        <v>2045</v>
      </c>
      <c r="X9" s="40">
        <f t="shared" si="2"/>
        <v>2046</v>
      </c>
      <c r="Y9" s="40">
        <f t="shared" ref="Y9:AW9" si="3">X9+1</f>
        <v>2047</v>
      </c>
      <c r="Z9" s="40">
        <f t="shared" si="3"/>
        <v>2048</v>
      </c>
      <c r="AA9" s="40">
        <f t="shared" si="3"/>
        <v>2049</v>
      </c>
      <c r="AB9" s="40">
        <f t="shared" si="3"/>
        <v>2050</v>
      </c>
      <c r="AC9" s="40">
        <f t="shared" si="3"/>
        <v>2051</v>
      </c>
      <c r="AD9" s="40">
        <f t="shared" si="3"/>
        <v>2052</v>
      </c>
      <c r="AE9" s="40">
        <f t="shared" si="3"/>
        <v>2053</v>
      </c>
      <c r="AF9" s="40">
        <f t="shared" si="3"/>
        <v>2054</v>
      </c>
      <c r="AG9" s="40">
        <f t="shared" si="3"/>
        <v>2055</v>
      </c>
      <c r="AH9" s="40">
        <f t="shared" si="3"/>
        <v>2056</v>
      </c>
      <c r="AI9" s="40">
        <f t="shared" si="3"/>
        <v>2057</v>
      </c>
      <c r="AJ9" s="40">
        <f t="shared" si="3"/>
        <v>2058</v>
      </c>
      <c r="AK9" s="40">
        <f t="shared" si="3"/>
        <v>2059</v>
      </c>
      <c r="AL9" s="40">
        <f t="shared" si="3"/>
        <v>2060</v>
      </c>
      <c r="AM9" s="40">
        <f t="shared" si="3"/>
        <v>2061</v>
      </c>
      <c r="AN9" s="40">
        <f t="shared" si="3"/>
        <v>2062</v>
      </c>
      <c r="AO9" s="40">
        <f t="shared" si="3"/>
        <v>2063</v>
      </c>
      <c r="AP9" s="40">
        <f t="shared" si="3"/>
        <v>2064</v>
      </c>
      <c r="AQ9" s="40">
        <f t="shared" si="3"/>
        <v>2065</v>
      </c>
      <c r="AR9" s="40">
        <f t="shared" si="3"/>
        <v>2066</v>
      </c>
      <c r="AS9" s="40">
        <f t="shared" si="3"/>
        <v>2067</v>
      </c>
      <c r="AT9" s="40">
        <f t="shared" si="3"/>
        <v>2068</v>
      </c>
      <c r="AU9" s="40">
        <f t="shared" si="3"/>
        <v>2069</v>
      </c>
      <c r="AV9" s="40">
        <f t="shared" si="3"/>
        <v>2070</v>
      </c>
      <c r="AW9" s="41">
        <f t="shared" si="3"/>
        <v>2071</v>
      </c>
    </row>
    <row r="10" spans="3:49" ht="14.25" customHeight="1">
      <c r="C10" s="94"/>
      <c r="D10" s="142">
        <f>'Assumptions &amp; Inputs'!F27</f>
        <v>46023</v>
      </c>
      <c r="E10" s="142">
        <f t="shared" ref="E10:X10" si="4">DATE(E9, 12, 31)</f>
        <v>46752</v>
      </c>
      <c r="F10" s="142">
        <f t="shared" si="4"/>
        <v>47118</v>
      </c>
      <c r="G10" s="142">
        <f t="shared" si="4"/>
        <v>47483</v>
      </c>
      <c r="H10" s="142">
        <f t="shared" si="4"/>
        <v>47848</v>
      </c>
      <c r="I10" s="142">
        <f t="shared" si="4"/>
        <v>48213</v>
      </c>
      <c r="J10" s="142">
        <f t="shared" si="4"/>
        <v>48579</v>
      </c>
      <c r="K10" s="142">
        <f t="shared" si="4"/>
        <v>48944</v>
      </c>
      <c r="L10" s="142">
        <f t="shared" si="4"/>
        <v>49309</v>
      </c>
      <c r="M10" s="142">
        <f t="shared" si="4"/>
        <v>49674</v>
      </c>
      <c r="N10" s="142">
        <f t="shared" si="4"/>
        <v>50040</v>
      </c>
      <c r="O10" s="142">
        <f t="shared" si="4"/>
        <v>50405</v>
      </c>
      <c r="P10" s="142">
        <f t="shared" si="4"/>
        <v>50770</v>
      </c>
      <c r="Q10" s="142">
        <f t="shared" si="4"/>
        <v>51135</v>
      </c>
      <c r="R10" s="142">
        <f t="shared" si="4"/>
        <v>51501</v>
      </c>
      <c r="S10" s="142">
        <f t="shared" si="4"/>
        <v>51866</v>
      </c>
      <c r="T10" s="142">
        <f t="shared" si="4"/>
        <v>52231</v>
      </c>
      <c r="U10" s="142">
        <f t="shared" si="4"/>
        <v>52596</v>
      </c>
      <c r="V10" s="142">
        <f t="shared" si="4"/>
        <v>52962</v>
      </c>
      <c r="W10" s="142">
        <f t="shared" si="4"/>
        <v>53327</v>
      </c>
      <c r="X10" s="142">
        <f t="shared" si="4"/>
        <v>53692</v>
      </c>
      <c r="Y10" s="142">
        <f t="shared" ref="Y10" si="5">DATE(Y9, 12, 31)</f>
        <v>54057</v>
      </c>
      <c r="Z10" s="142">
        <f t="shared" ref="Z10" si="6">DATE(Z9, 12, 31)</f>
        <v>54423</v>
      </c>
      <c r="AA10" s="142">
        <f t="shared" ref="AA10" si="7">DATE(AA9, 12, 31)</f>
        <v>54788</v>
      </c>
      <c r="AB10" s="142">
        <f t="shared" ref="AB10" si="8">DATE(AB9, 12, 31)</f>
        <v>55153</v>
      </c>
      <c r="AC10" s="142">
        <f t="shared" ref="AC10" si="9">DATE(AC9, 12, 31)</f>
        <v>55518</v>
      </c>
      <c r="AD10" s="142">
        <f t="shared" ref="AD10" si="10">DATE(AD9, 12, 31)</f>
        <v>55884</v>
      </c>
      <c r="AE10" s="142">
        <f t="shared" ref="AE10" si="11">DATE(AE9, 12, 31)</f>
        <v>56249</v>
      </c>
      <c r="AF10" s="142">
        <f t="shared" ref="AF10" si="12">DATE(AF9, 12, 31)</f>
        <v>56614</v>
      </c>
      <c r="AG10" s="142">
        <f t="shared" ref="AG10" si="13">DATE(AG9, 12, 31)</f>
        <v>56979</v>
      </c>
      <c r="AH10" s="142">
        <f t="shared" ref="AH10" si="14">DATE(AH9, 12, 31)</f>
        <v>57345</v>
      </c>
      <c r="AI10" s="142">
        <f t="shared" ref="AI10" si="15">DATE(AI9, 12, 31)</f>
        <v>57710</v>
      </c>
      <c r="AJ10" s="142">
        <f t="shared" ref="AJ10" si="16">DATE(AJ9, 12, 31)</f>
        <v>58075</v>
      </c>
      <c r="AK10" s="142">
        <f t="shared" ref="AK10" si="17">DATE(AK9, 12, 31)</f>
        <v>58440</v>
      </c>
      <c r="AL10" s="142">
        <f t="shared" ref="AL10" si="18">DATE(AL9, 12, 31)</f>
        <v>58806</v>
      </c>
      <c r="AM10" s="142">
        <f t="shared" ref="AM10" si="19">DATE(AM9, 12, 31)</f>
        <v>59171</v>
      </c>
      <c r="AN10" s="142">
        <f t="shared" ref="AN10" si="20">DATE(AN9, 12, 31)</f>
        <v>59536</v>
      </c>
      <c r="AO10" s="142">
        <f t="shared" ref="AO10" si="21">DATE(AO9, 12, 31)</f>
        <v>59901</v>
      </c>
      <c r="AP10" s="142">
        <f t="shared" ref="AP10" si="22">DATE(AP9, 12, 31)</f>
        <v>60267</v>
      </c>
      <c r="AQ10" s="142">
        <f t="shared" ref="AQ10" si="23">DATE(AQ9, 12, 31)</f>
        <v>60632</v>
      </c>
      <c r="AR10" s="142">
        <f t="shared" ref="AR10" si="24">DATE(AR9, 12, 31)</f>
        <v>60997</v>
      </c>
      <c r="AS10" s="142">
        <f t="shared" ref="AS10" si="25">DATE(AS9, 12, 31)</f>
        <v>61362</v>
      </c>
      <c r="AT10" s="142">
        <f t="shared" ref="AT10" si="26">DATE(AT9, 12, 31)</f>
        <v>61728</v>
      </c>
      <c r="AU10" s="142">
        <f t="shared" ref="AU10" si="27">DATE(AU9, 12, 31)</f>
        <v>62093</v>
      </c>
      <c r="AV10" s="142">
        <f t="shared" ref="AV10" si="28">DATE(AV9, 12, 31)</f>
        <v>62458</v>
      </c>
      <c r="AW10" s="107">
        <f t="shared" ref="AW10" si="29">DATE(AW9, 12, 31)</f>
        <v>62823</v>
      </c>
    </row>
    <row r="11" spans="3:49" ht="14.25" customHeight="1">
      <c r="C11" s="252" t="s">
        <v>471</v>
      </c>
      <c r="D11" s="186">
        <f>IF(DATEDIF('Assumptions &amp; Inputs'!$F$27,DATE(YEAR('Assumptions &amp; Inputs'!$F$27),12,31),"m")&gt;'Assumptions &amp; Inputs'!$F$28, 'Assumptions &amp; Inputs'!$F$28, DATEDIF('Assumptions &amp; Inputs'!$F$27,DATE(YEAR('Assumptions &amp; Inputs'!$F$27),12,31),"m"))</f>
        <v>11</v>
      </c>
      <c r="E11" s="186">
        <f>IF('Assumptions &amp; Inputs'!$F$28-D12&lt;=12,MIN('Assumptions &amp; Inputs'!$F$28-D12,12), 12)</f>
        <v>1</v>
      </c>
      <c r="F11" s="186">
        <f>IF('Assumptions &amp; Inputs'!$F$28-E12&lt;=12,MIN('Assumptions &amp; Inputs'!$F$28-E12,12), 12)</f>
        <v>0</v>
      </c>
      <c r="G11" s="186">
        <f>IF('Assumptions &amp; Inputs'!$F$28-F12&lt;=12,MIN('Assumptions &amp; Inputs'!$F$28-F12,12), 12)</f>
        <v>0</v>
      </c>
      <c r="H11" s="186">
        <f>IF('Assumptions &amp; Inputs'!$F$28-G12&lt;=12,MIN('Assumptions &amp; Inputs'!$F$28-G12,12), 12)</f>
        <v>0</v>
      </c>
      <c r="I11" s="186">
        <f>IF('Assumptions &amp; Inputs'!$F$28-H12&lt;=12,MIN('Assumptions &amp; Inputs'!$F$28-H12,12), 12)</f>
        <v>0</v>
      </c>
      <c r="J11" s="186">
        <f>IF('Assumptions &amp; Inputs'!$F$28-I12&lt;=12,MIN('Assumptions &amp; Inputs'!$F$28-I12,12), 12)</f>
        <v>0</v>
      </c>
      <c r="K11" s="186">
        <f>IF('Assumptions &amp; Inputs'!$F$28-J12&lt;=12,MIN('Assumptions &amp; Inputs'!$F$28-J12,12), 12)</f>
        <v>0</v>
      </c>
      <c r="L11" s="186">
        <f>IF('Assumptions &amp; Inputs'!$F$28-K12&lt;=12,MIN('Assumptions &amp; Inputs'!$F$28-K12,12), 12)</f>
        <v>0</v>
      </c>
      <c r="M11" s="186">
        <f>IF('Assumptions &amp; Inputs'!$F$28-L12&lt;=12,MIN('Assumptions &amp; Inputs'!$F$28-L12,12), 12)</f>
        <v>0</v>
      </c>
      <c r="N11" s="186">
        <f>IF('Assumptions &amp; Inputs'!$F$28-M12&lt;=12,MIN('Assumptions &amp; Inputs'!$F$28-M12,12), 12)</f>
        <v>0</v>
      </c>
      <c r="O11" s="186">
        <f>IF('Assumptions &amp; Inputs'!$F$28-N12&lt;=12,MIN('Assumptions &amp; Inputs'!$F$28-N12,12), 12)</f>
        <v>0</v>
      </c>
      <c r="P11" s="186">
        <f>IF('Assumptions &amp; Inputs'!$F$28-O12&lt;=12,MIN('Assumptions &amp; Inputs'!$F$28-O12,12), 12)</f>
        <v>0</v>
      </c>
      <c r="Q11" s="186">
        <f>IF('Assumptions &amp; Inputs'!$F$28-P12&lt;=12,MIN('Assumptions &amp; Inputs'!$F$28-P12,12), 12)</f>
        <v>0</v>
      </c>
      <c r="R11" s="186">
        <f>IF('Assumptions &amp; Inputs'!$F$28-Q12&lt;=12,MIN('Assumptions &amp; Inputs'!$F$28-Q12,12), 12)</f>
        <v>0</v>
      </c>
      <c r="S11" s="186">
        <f>IF('Assumptions &amp; Inputs'!$F$28-R12&lt;=12,MIN('Assumptions &amp; Inputs'!$F$28-R12,12), 12)</f>
        <v>0</v>
      </c>
      <c r="T11" s="186">
        <f>IF('Assumptions &amp; Inputs'!$F$28-S12&lt;=12,MIN('Assumptions &amp; Inputs'!$F$28-S12,12), 12)</f>
        <v>0</v>
      </c>
      <c r="U11" s="186">
        <f>IF('Assumptions &amp; Inputs'!$F$28-T12&lt;=12,MIN('Assumptions &amp; Inputs'!$F$28-T12,12), 12)</f>
        <v>0</v>
      </c>
      <c r="V11" s="186">
        <f>IF('Assumptions &amp; Inputs'!$F$28-U12&lt;=12,MIN('Assumptions &amp; Inputs'!$F$28-U12,12), 12)</f>
        <v>0</v>
      </c>
      <c r="W11" s="186">
        <f>IF('Assumptions &amp; Inputs'!$F$28-V12&lt;=12,MIN('Assumptions &amp; Inputs'!$F$28-V12,12), 12)</f>
        <v>0</v>
      </c>
      <c r="X11" s="186">
        <f>IF('Assumptions &amp; Inputs'!$F$28-W12&lt;=12,MIN('Assumptions &amp; Inputs'!$F$28-W12,12), 12)</f>
        <v>0</v>
      </c>
      <c r="Y11" s="186">
        <f>IF('Assumptions &amp; Inputs'!$F$28-X12&lt;=12,MIN('Assumptions &amp; Inputs'!$F$28-X12,12), 12)</f>
        <v>0</v>
      </c>
      <c r="Z11" s="186">
        <f>IF('Assumptions &amp; Inputs'!$F$28-Y12&lt;=12,MIN('Assumptions &amp; Inputs'!$F$28-Y12,12), 12)</f>
        <v>0</v>
      </c>
      <c r="AA11" s="186">
        <f>IF('Assumptions &amp; Inputs'!$F$28-Z12&lt;=12,MIN('Assumptions &amp; Inputs'!$F$28-Z12,12), 12)</f>
        <v>0</v>
      </c>
      <c r="AB11" s="186">
        <f>IF('Assumptions &amp; Inputs'!$F$28-AA12&lt;=12,MIN('Assumptions &amp; Inputs'!$F$28-AA12,12), 12)</f>
        <v>0</v>
      </c>
      <c r="AC11" s="186">
        <f>IF('Assumptions &amp; Inputs'!$F$28-AB12&lt;=12,MIN('Assumptions &amp; Inputs'!$F$28-AB12,12), 12)</f>
        <v>0</v>
      </c>
      <c r="AD11" s="186">
        <f>IF('Assumptions &amp; Inputs'!$F$28-AC12&lt;=12,MIN('Assumptions &amp; Inputs'!$F$28-AC12,12), 12)</f>
        <v>0</v>
      </c>
      <c r="AE11" s="186">
        <f>IF('Assumptions &amp; Inputs'!$F$28-AD12&lt;=12,MIN('Assumptions &amp; Inputs'!$F$28-AD12,12), 12)</f>
        <v>0</v>
      </c>
      <c r="AF11" s="186">
        <f>IF('Assumptions &amp; Inputs'!$F$28-AE12&lt;=12,MIN('Assumptions &amp; Inputs'!$F$28-AE12,12), 12)</f>
        <v>0</v>
      </c>
      <c r="AG11" s="186">
        <f>IF('Assumptions &amp; Inputs'!$F$28-AF12&lt;=12,MIN('Assumptions &amp; Inputs'!$F$28-AF12,12), 12)</f>
        <v>0</v>
      </c>
      <c r="AH11" s="186">
        <f>IF('Assumptions &amp; Inputs'!$F$28-AG12&lt;=12,MIN('Assumptions &amp; Inputs'!$F$28-AG12,12), 12)</f>
        <v>0</v>
      </c>
      <c r="AI11" s="186">
        <f>IF('Assumptions &amp; Inputs'!$F$28-AH12&lt;=12,MIN('Assumptions &amp; Inputs'!$F$28-AH12,12), 12)</f>
        <v>0</v>
      </c>
      <c r="AJ11" s="186">
        <f>IF('Assumptions &amp; Inputs'!$F$28-AI12&lt;=12,MIN('Assumptions &amp; Inputs'!$F$28-AI12,12), 12)</f>
        <v>0</v>
      </c>
      <c r="AK11" s="186">
        <f>IF('Assumptions &amp; Inputs'!$F$28-AJ12&lt;=12,MIN('Assumptions &amp; Inputs'!$F$28-AJ12,12), 12)</f>
        <v>0</v>
      </c>
      <c r="AL11" s="186">
        <f>IF('Assumptions &amp; Inputs'!$F$28-AK12&lt;=12,MIN('Assumptions &amp; Inputs'!$F$28-AK12,12), 12)</f>
        <v>0</v>
      </c>
      <c r="AM11" s="186">
        <f>IF('Assumptions &amp; Inputs'!$F$28-AL12&lt;=12,MIN('Assumptions &amp; Inputs'!$F$28-AL12,12), 12)</f>
        <v>0</v>
      </c>
      <c r="AN11" s="186">
        <f>IF('Assumptions &amp; Inputs'!$F$28-AM12&lt;=12,MIN('Assumptions &amp; Inputs'!$F$28-AM12,12), 12)</f>
        <v>0</v>
      </c>
      <c r="AO11" s="186">
        <f>IF('Assumptions &amp; Inputs'!$F$28-AN12&lt;=12,MIN('Assumptions &amp; Inputs'!$F$28-AN12,12), 12)</f>
        <v>0</v>
      </c>
      <c r="AP11" s="186">
        <f>IF('Assumptions &amp; Inputs'!$F$28-AO12&lt;=12,MIN('Assumptions &amp; Inputs'!$F$28-AO12,12), 12)</f>
        <v>0</v>
      </c>
      <c r="AQ11" s="186">
        <f>IF('Assumptions &amp; Inputs'!$F$28-AP12&lt;=12,MIN('Assumptions &amp; Inputs'!$F$28-AP12,12), 12)</f>
        <v>0</v>
      </c>
      <c r="AR11" s="186">
        <f>IF('Assumptions &amp; Inputs'!$F$28-AQ12&lt;=12,MIN('Assumptions &amp; Inputs'!$F$28-AQ12,12), 12)</f>
        <v>0</v>
      </c>
      <c r="AS11" s="186">
        <f>IF('Assumptions &amp; Inputs'!$F$28-AR12&lt;=12,MIN('Assumptions &amp; Inputs'!$F$28-AR12,12), 12)</f>
        <v>0</v>
      </c>
      <c r="AT11" s="186">
        <f>IF('Assumptions &amp; Inputs'!$F$28-AS12&lt;=12,MIN('Assumptions &amp; Inputs'!$F$28-AS12,12), 12)</f>
        <v>0</v>
      </c>
      <c r="AU11" s="186">
        <f>IF('Assumptions &amp; Inputs'!$F$28-AT12&lt;=12,MIN('Assumptions &amp; Inputs'!$F$28-AT12,12), 12)</f>
        <v>0</v>
      </c>
      <c r="AV11" s="186">
        <f>IF('Assumptions &amp; Inputs'!$F$28-AU12&lt;=12,MIN('Assumptions &amp; Inputs'!$F$28-AU12,12), 12)</f>
        <v>0</v>
      </c>
      <c r="AW11" s="197">
        <f>IF('Assumptions &amp; Inputs'!$F$28-AV12&lt;=12,MIN('Assumptions &amp; Inputs'!$F$28-AV12,12), 12)</f>
        <v>0</v>
      </c>
    </row>
    <row r="12" spans="3:49" ht="14.25" customHeight="1">
      <c r="C12" s="252" t="s">
        <v>472</v>
      </c>
      <c r="D12" s="186">
        <f>D11</f>
        <v>11</v>
      </c>
      <c r="E12" s="186">
        <f>E11+D12</f>
        <v>12</v>
      </c>
      <c r="F12" s="186">
        <f t="shared" ref="F12:X12" si="30">F11+E12</f>
        <v>12</v>
      </c>
      <c r="G12" s="186">
        <f t="shared" si="30"/>
        <v>12</v>
      </c>
      <c r="H12" s="186">
        <f t="shared" si="30"/>
        <v>12</v>
      </c>
      <c r="I12" s="186">
        <f t="shared" si="30"/>
        <v>12</v>
      </c>
      <c r="J12" s="186">
        <f t="shared" si="30"/>
        <v>12</v>
      </c>
      <c r="K12" s="186">
        <f t="shared" si="30"/>
        <v>12</v>
      </c>
      <c r="L12" s="186">
        <f t="shared" si="30"/>
        <v>12</v>
      </c>
      <c r="M12" s="186">
        <f t="shared" si="30"/>
        <v>12</v>
      </c>
      <c r="N12" s="186">
        <f t="shared" si="30"/>
        <v>12</v>
      </c>
      <c r="O12" s="186">
        <f t="shared" si="30"/>
        <v>12</v>
      </c>
      <c r="P12" s="186">
        <f t="shared" si="30"/>
        <v>12</v>
      </c>
      <c r="Q12" s="186">
        <f t="shared" si="30"/>
        <v>12</v>
      </c>
      <c r="R12" s="186">
        <f t="shared" si="30"/>
        <v>12</v>
      </c>
      <c r="S12" s="186">
        <f t="shared" si="30"/>
        <v>12</v>
      </c>
      <c r="T12" s="186">
        <f t="shared" si="30"/>
        <v>12</v>
      </c>
      <c r="U12" s="186">
        <f t="shared" si="30"/>
        <v>12</v>
      </c>
      <c r="V12" s="186">
        <f t="shared" si="30"/>
        <v>12</v>
      </c>
      <c r="W12" s="186">
        <f t="shared" si="30"/>
        <v>12</v>
      </c>
      <c r="X12" s="186">
        <f t="shared" si="30"/>
        <v>12</v>
      </c>
      <c r="Y12" s="186">
        <f t="shared" ref="Y12" si="31">Y11+X12</f>
        <v>12</v>
      </c>
      <c r="Z12" s="186">
        <f t="shared" ref="Z12" si="32">Z11+Y12</f>
        <v>12</v>
      </c>
      <c r="AA12" s="186">
        <f t="shared" ref="AA12" si="33">AA11+Z12</f>
        <v>12</v>
      </c>
      <c r="AB12" s="186">
        <f t="shared" ref="AB12" si="34">AB11+AA12</f>
        <v>12</v>
      </c>
      <c r="AC12" s="186">
        <f t="shared" ref="AC12" si="35">AC11+AB12</f>
        <v>12</v>
      </c>
      <c r="AD12" s="186">
        <f t="shared" ref="AD12" si="36">AD11+AC12</f>
        <v>12</v>
      </c>
      <c r="AE12" s="186">
        <f t="shared" ref="AE12" si="37">AE11+AD12</f>
        <v>12</v>
      </c>
      <c r="AF12" s="186">
        <f t="shared" ref="AF12" si="38">AF11+AE12</f>
        <v>12</v>
      </c>
      <c r="AG12" s="186">
        <f t="shared" ref="AG12" si="39">AG11+AF12</f>
        <v>12</v>
      </c>
      <c r="AH12" s="186">
        <f t="shared" ref="AH12" si="40">AH11+AG12</f>
        <v>12</v>
      </c>
      <c r="AI12" s="186">
        <f t="shared" ref="AI12" si="41">AI11+AH12</f>
        <v>12</v>
      </c>
      <c r="AJ12" s="186">
        <f t="shared" ref="AJ12" si="42">AJ11+AI12</f>
        <v>12</v>
      </c>
      <c r="AK12" s="186">
        <f t="shared" ref="AK12" si="43">AK11+AJ12</f>
        <v>12</v>
      </c>
      <c r="AL12" s="186">
        <f t="shared" ref="AL12" si="44">AL11+AK12</f>
        <v>12</v>
      </c>
      <c r="AM12" s="186">
        <f t="shared" ref="AM12" si="45">AM11+AL12</f>
        <v>12</v>
      </c>
      <c r="AN12" s="186">
        <f t="shared" ref="AN12" si="46">AN11+AM12</f>
        <v>12</v>
      </c>
      <c r="AO12" s="186">
        <f t="shared" ref="AO12" si="47">AO11+AN12</f>
        <v>12</v>
      </c>
      <c r="AP12" s="186">
        <f t="shared" ref="AP12" si="48">AP11+AO12</f>
        <v>12</v>
      </c>
      <c r="AQ12" s="186">
        <f t="shared" ref="AQ12" si="49">AQ11+AP12</f>
        <v>12</v>
      </c>
      <c r="AR12" s="186">
        <f t="shared" ref="AR12" si="50">AR11+AQ12</f>
        <v>12</v>
      </c>
      <c r="AS12" s="186">
        <f t="shared" ref="AS12" si="51">AS11+AR12</f>
        <v>12</v>
      </c>
      <c r="AT12" s="186">
        <f t="shared" ref="AT12" si="52">AT11+AS12</f>
        <v>12</v>
      </c>
      <c r="AU12" s="186">
        <f t="shared" ref="AU12" si="53">AU11+AT12</f>
        <v>12</v>
      </c>
      <c r="AV12" s="186">
        <f t="shared" ref="AV12" si="54">AV11+AU12</f>
        <v>12</v>
      </c>
      <c r="AW12" s="197">
        <f t="shared" ref="AW12" si="55">AW11+AV12</f>
        <v>12</v>
      </c>
    </row>
    <row r="13" spans="3:49" ht="14.25" customHeight="1">
      <c r="C13" s="96" t="s">
        <v>493</v>
      </c>
      <c r="D13" s="187">
        <f>IF(AND(MOD(D9-YEAR('Assumptions &amp; Inputs'!$F$31),'Assumptions &amp; Inputs'!$F$34)=0, D9&lt;YEAR('Assumptions &amp; Inputs'!$F$36), D9&gt;YEAR('Assumptions &amp; Inputs'!$F$31)), (-'Assumptions &amp; Inputs'!$F$38)*'Assumptions &amp; Inputs'!$F$33, -D11/'Assumptions &amp; Inputs'!$F$28*'Assumptions &amp; Inputs'!$F$38)</f>
        <v>-105.41666666666666</v>
      </c>
      <c r="E13" s="187">
        <f>IF(AND(MOD(E9-YEAR('Assumptions &amp; Inputs'!$F$31),'Assumptions &amp; Inputs'!$F$34)=0, E9&lt;YEAR('Assumptions &amp; Inputs'!$F$36), E9&gt;YEAR('Assumptions &amp; Inputs'!$F$31)), (-'Assumptions &amp; Inputs'!$F$38)*'Assumptions &amp; Inputs'!$F$33, -E11/'Assumptions &amp; Inputs'!$F$28*'Assumptions &amp; Inputs'!$F$38)</f>
        <v>-9.5833333333333321</v>
      </c>
      <c r="F13" s="187">
        <f>IF(AND(MOD(F9-YEAR('Assumptions &amp; Inputs'!$F$31),'Assumptions &amp; Inputs'!$F$34)=0, F9&lt;YEAR('Assumptions &amp; Inputs'!$F$36), F9&gt;YEAR('Assumptions &amp; Inputs'!$F$31)), (-'Assumptions &amp; Inputs'!$F$38)*'Assumptions &amp; Inputs'!$F$33, -F11/'Assumptions &amp; Inputs'!$F$28*'Assumptions &amp; Inputs'!$F$38)</f>
        <v>0</v>
      </c>
      <c r="G13" s="187">
        <f>IF(AND(MOD(G9-YEAR('Assumptions &amp; Inputs'!$F$31),'Assumptions &amp; Inputs'!$F$34)=0, G9&lt;YEAR('Assumptions &amp; Inputs'!$F$36), G9&gt;YEAR('Assumptions &amp; Inputs'!$F$31)), (-'Assumptions &amp; Inputs'!$F$38)*'Assumptions &amp; Inputs'!$F$33, -G11/'Assumptions &amp; Inputs'!$F$28*'Assumptions &amp; Inputs'!$F$38)</f>
        <v>0</v>
      </c>
      <c r="H13" s="187">
        <f>IF(AND(MOD(H9-YEAR('Assumptions &amp; Inputs'!$F$31),'Assumptions &amp; Inputs'!$F$34)=0, H9&lt;YEAR('Assumptions &amp; Inputs'!$F$36), H9&gt;YEAR('Assumptions &amp; Inputs'!$F$31)), (-'Assumptions &amp; Inputs'!$F$38)*'Assumptions &amp; Inputs'!$F$33, -H11/'Assumptions &amp; Inputs'!$F$28*'Assumptions &amp; Inputs'!$F$38)</f>
        <v>0</v>
      </c>
      <c r="I13" s="187">
        <f>IF(AND(MOD(I9-YEAR('Assumptions &amp; Inputs'!$F$31),'Assumptions &amp; Inputs'!$F$34)=0, I9&lt;YEAR('Assumptions &amp; Inputs'!$F$36), I9&gt;YEAR('Assumptions &amp; Inputs'!$F$31)), (-'Assumptions &amp; Inputs'!$F$38)*'Assumptions &amp; Inputs'!$F$33, -I11/'Assumptions &amp; Inputs'!$F$28*'Assumptions &amp; Inputs'!$F$38)</f>
        <v>0</v>
      </c>
      <c r="J13" s="187">
        <f>IF(AND(MOD(J9-YEAR('Assumptions &amp; Inputs'!$F$31),'Assumptions &amp; Inputs'!$F$34)=0, J9&lt;YEAR('Assumptions &amp; Inputs'!$F$36), J9&gt;YEAR('Assumptions &amp; Inputs'!$F$31)), (-'Assumptions &amp; Inputs'!$F$38)*'Assumptions &amp; Inputs'!$F$33, -J11/'Assumptions &amp; Inputs'!$F$28*'Assumptions &amp; Inputs'!$F$38)</f>
        <v>0</v>
      </c>
      <c r="K13" s="187">
        <f>IF(AND(MOD(K9-YEAR('Assumptions &amp; Inputs'!$F$31),'Assumptions &amp; Inputs'!$F$34)=0, K9&lt;YEAR('Assumptions &amp; Inputs'!$F$36), K9&gt;YEAR('Assumptions &amp; Inputs'!$F$31)), (-'Assumptions &amp; Inputs'!$F$38)*'Assumptions &amp; Inputs'!$F$33, -K11/'Assumptions &amp; Inputs'!$F$28*'Assumptions &amp; Inputs'!$F$38)</f>
        <v>0</v>
      </c>
      <c r="L13" s="187">
        <f>IF(AND(MOD(L9-YEAR('Assumptions &amp; Inputs'!$F$31),'Assumptions &amp; Inputs'!$F$34)=0, L9&lt;YEAR('Assumptions &amp; Inputs'!$F$36), L9&gt;YEAR('Assumptions &amp; Inputs'!$F$31)), (-'Assumptions &amp; Inputs'!$F$38)*'Assumptions &amp; Inputs'!$F$33, -L11/'Assumptions &amp; Inputs'!$F$28*'Assumptions &amp; Inputs'!$F$38)</f>
        <v>0</v>
      </c>
      <c r="M13" s="187">
        <f>IF(AND(MOD(M9-YEAR('Assumptions &amp; Inputs'!$F$31),'Assumptions &amp; Inputs'!$F$34)=0, M9&lt;YEAR('Assumptions &amp; Inputs'!$F$36), M9&gt;YEAR('Assumptions &amp; Inputs'!$F$31)), (-'Assumptions &amp; Inputs'!$F$38)*'Assumptions &amp; Inputs'!$F$33, -M11/'Assumptions &amp; Inputs'!$F$28*'Assumptions &amp; Inputs'!$F$38)</f>
        <v>0</v>
      </c>
      <c r="N13" s="187">
        <f>IF(AND(MOD(N9-YEAR('Assumptions &amp; Inputs'!$F$31),'Assumptions &amp; Inputs'!$F$34)=0, N9&lt;YEAR('Assumptions &amp; Inputs'!$F$36), N9&gt;YEAR('Assumptions &amp; Inputs'!$F$31)), (-'Assumptions &amp; Inputs'!$F$38)*'Assumptions &amp; Inputs'!$F$33, -N11/'Assumptions &amp; Inputs'!$F$28*'Assumptions &amp; Inputs'!$F$38)</f>
        <v>0</v>
      </c>
      <c r="O13" s="187">
        <f>IF(AND(MOD(O9-YEAR('Assumptions &amp; Inputs'!$F$31),'Assumptions &amp; Inputs'!$F$34)=0, O9&lt;YEAR('Assumptions &amp; Inputs'!$F$36), O9&gt;YEAR('Assumptions &amp; Inputs'!$F$31)), (-'Assumptions &amp; Inputs'!$F$38)*'Assumptions &amp; Inputs'!$F$33, -O11/'Assumptions &amp; Inputs'!$F$28*'Assumptions &amp; Inputs'!$F$38)</f>
        <v>0</v>
      </c>
      <c r="P13" s="187">
        <f>IF(AND(MOD(P9-YEAR('Assumptions &amp; Inputs'!$F$31),'Assumptions &amp; Inputs'!$F$34)=0, P9&lt;YEAR('Assumptions &amp; Inputs'!$F$36), P9&gt;YEAR('Assumptions &amp; Inputs'!$F$31)), (-'Assumptions &amp; Inputs'!$F$38)*'Assumptions &amp; Inputs'!$F$33, -P11/'Assumptions &amp; Inputs'!$F$28*'Assumptions &amp; Inputs'!$F$38)</f>
        <v>0</v>
      </c>
      <c r="Q13" s="187">
        <f>IF(AND(MOD(Q9-YEAR('Assumptions &amp; Inputs'!$F$31),'Assumptions &amp; Inputs'!$F$34)=0, Q9&lt;YEAR('Assumptions &amp; Inputs'!$F$36), Q9&gt;YEAR('Assumptions &amp; Inputs'!$F$31)), (-'Assumptions &amp; Inputs'!$F$38)*'Assumptions &amp; Inputs'!$F$33, -Q11/'Assumptions &amp; Inputs'!$F$28*'Assumptions &amp; Inputs'!$F$38)</f>
        <v>0</v>
      </c>
      <c r="R13" s="187">
        <f>IF(AND(MOD(R9-YEAR('Assumptions &amp; Inputs'!$F$31),'Assumptions &amp; Inputs'!$F$34)=0, R9&lt;YEAR('Assumptions &amp; Inputs'!$F$36), R9&gt;YEAR('Assumptions &amp; Inputs'!$F$31)), (-'Assumptions &amp; Inputs'!$F$38)*'Assumptions &amp; Inputs'!$F$33, -R11/'Assumptions &amp; Inputs'!$F$28*'Assumptions &amp; Inputs'!$F$38)</f>
        <v>0</v>
      </c>
      <c r="S13" s="187">
        <f>IF(AND(MOD(S9-YEAR('Assumptions &amp; Inputs'!$F$31),'Assumptions &amp; Inputs'!$F$34)=0, S9&lt;YEAR('Assumptions &amp; Inputs'!$F$36), S9&gt;YEAR('Assumptions &amp; Inputs'!$F$31)), (-'Assumptions &amp; Inputs'!$F$38)*'Assumptions &amp; Inputs'!$F$33, -S11/'Assumptions &amp; Inputs'!$F$28*'Assumptions &amp; Inputs'!$F$38)</f>
        <v>0</v>
      </c>
      <c r="T13" s="187">
        <f>IF(AND(MOD(T9-YEAR('Assumptions &amp; Inputs'!$F$31),'Assumptions &amp; Inputs'!$F$34)=0, T9&lt;YEAR('Assumptions &amp; Inputs'!$F$36), T9&gt;YEAR('Assumptions &amp; Inputs'!$F$31)), (-'Assumptions &amp; Inputs'!$F$38)*'Assumptions &amp; Inputs'!$F$33, -T11/'Assumptions &amp; Inputs'!$F$28*'Assumptions &amp; Inputs'!$F$38)</f>
        <v>0</v>
      </c>
      <c r="U13" s="187">
        <f>IF(AND(MOD(U9-YEAR('Assumptions &amp; Inputs'!$F$31),'Assumptions &amp; Inputs'!$F$34)=0, U9&lt;YEAR('Assumptions &amp; Inputs'!$F$36), U9&gt;YEAR('Assumptions &amp; Inputs'!$F$31)), (-'Assumptions &amp; Inputs'!$F$38)*'Assumptions &amp; Inputs'!$F$33, -U11/'Assumptions &amp; Inputs'!$F$28*'Assumptions &amp; Inputs'!$F$38)</f>
        <v>0</v>
      </c>
      <c r="V13" s="187">
        <f>IF(AND(MOD(V9-YEAR('Assumptions &amp; Inputs'!$F$31),'Assumptions &amp; Inputs'!$F$34)=0, V9&lt;YEAR('Assumptions &amp; Inputs'!$F$36), V9&gt;YEAR('Assumptions &amp; Inputs'!$F$31)), (-'Assumptions &amp; Inputs'!$F$38)*'Assumptions &amp; Inputs'!$F$33, -V11/'Assumptions &amp; Inputs'!$F$28*'Assumptions &amp; Inputs'!$F$38)</f>
        <v>0</v>
      </c>
      <c r="W13" s="187">
        <f>IF(AND(MOD(W9-YEAR('Assumptions &amp; Inputs'!$F$31),'Assumptions &amp; Inputs'!$F$34)=0, W9&lt;YEAR('Assumptions &amp; Inputs'!$F$36), W9&gt;YEAR('Assumptions &amp; Inputs'!$F$31)), (-'Assumptions &amp; Inputs'!$F$38)*'Assumptions &amp; Inputs'!$F$33, -W11/'Assumptions &amp; Inputs'!$F$28*'Assumptions &amp; Inputs'!$F$38)</f>
        <v>0</v>
      </c>
      <c r="X13" s="187">
        <f>IF(AND(MOD(X9-YEAR('Assumptions &amp; Inputs'!$F$31),'Assumptions &amp; Inputs'!$F$34)=0, X9&lt;YEAR('Assumptions &amp; Inputs'!$F$36), X9&gt;YEAR('Assumptions &amp; Inputs'!$F$31)), (-'Assumptions &amp; Inputs'!$F$38)*'Assumptions &amp; Inputs'!$F$33, -X11/'Assumptions &amp; Inputs'!$F$28*'Assumptions &amp; Inputs'!$F$38)</f>
        <v>0</v>
      </c>
      <c r="Y13" s="187">
        <f>IF(AND(MOD(Y9-YEAR('Assumptions &amp; Inputs'!$F$31),'Assumptions &amp; Inputs'!$F$34)=0, Y9&lt;YEAR('Assumptions &amp; Inputs'!$F$36), Y9&gt;YEAR('Assumptions &amp; Inputs'!$F$31)), (-'Assumptions &amp; Inputs'!$F$38)*'Assumptions &amp; Inputs'!$F$33, -Y11/'Assumptions &amp; Inputs'!$F$28*'Assumptions &amp; Inputs'!$F$38)</f>
        <v>0</v>
      </c>
      <c r="Z13" s="187">
        <f>IF(AND(MOD(Z9-YEAR('Assumptions &amp; Inputs'!$F$31),'Assumptions &amp; Inputs'!$F$34)=0, Z9&lt;YEAR('Assumptions &amp; Inputs'!$F$36), Z9&gt;YEAR('Assumptions &amp; Inputs'!$F$31)), (-'Assumptions &amp; Inputs'!$F$38)*'Assumptions &amp; Inputs'!$F$33, -Z11/'Assumptions &amp; Inputs'!$F$28*'Assumptions &amp; Inputs'!$F$38)</f>
        <v>0</v>
      </c>
      <c r="AA13" s="187">
        <f>IF(AND(MOD(AA9-YEAR('Assumptions &amp; Inputs'!$F$31),'Assumptions &amp; Inputs'!$F$34)=0, AA9&lt;YEAR('Assumptions &amp; Inputs'!$F$36), AA9&gt;YEAR('Assumptions &amp; Inputs'!$F$31)), (-'Assumptions &amp; Inputs'!$F$38)*'Assumptions &amp; Inputs'!$F$33, -AA11/'Assumptions &amp; Inputs'!$F$28*'Assumptions &amp; Inputs'!$F$38)</f>
        <v>0</v>
      </c>
      <c r="AB13" s="187">
        <f>IF(AND(MOD(AB9-YEAR('Assumptions &amp; Inputs'!$F$31),'Assumptions &amp; Inputs'!$F$34)=0, AB9&lt;YEAR('Assumptions &amp; Inputs'!$F$36), AB9&gt;YEAR('Assumptions &amp; Inputs'!$F$31)), (-'Assumptions &amp; Inputs'!$F$38)*'Assumptions &amp; Inputs'!$F$33, -AB11/'Assumptions &amp; Inputs'!$F$28*'Assumptions &amp; Inputs'!$F$38)</f>
        <v>0</v>
      </c>
      <c r="AC13" s="187">
        <f>IF(AND(MOD(AC9-YEAR('Assumptions &amp; Inputs'!$F$31),'Assumptions &amp; Inputs'!$F$34)=0, AC9&lt;YEAR('Assumptions &amp; Inputs'!$F$36), AC9&gt;YEAR('Assumptions &amp; Inputs'!$F$31)), (-'Assumptions &amp; Inputs'!$F$38)*'Assumptions &amp; Inputs'!$F$33, -AC11/'Assumptions &amp; Inputs'!$F$28*'Assumptions &amp; Inputs'!$F$38)</f>
        <v>0</v>
      </c>
      <c r="AD13" s="187">
        <f>IF(AND(MOD(AD9-YEAR('Assumptions &amp; Inputs'!$F$31),'Assumptions &amp; Inputs'!$F$34)=0, AD9&lt;YEAR('Assumptions &amp; Inputs'!$F$36), AD9&gt;YEAR('Assumptions &amp; Inputs'!$F$31)), (-'Assumptions &amp; Inputs'!$F$38)*'Assumptions &amp; Inputs'!$F$33, -AD11/'Assumptions &amp; Inputs'!$F$28*'Assumptions &amp; Inputs'!$F$38)</f>
        <v>0</v>
      </c>
      <c r="AE13" s="187">
        <f>IF(AND(MOD(AE9-YEAR('Assumptions &amp; Inputs'!$F$31),'Assumptions &amp; Inputs'!$F$34)=0, AE9&lt;YEAR('Assumptions &amp; Inputs'!$F$36), AE9&gt;YEAR('Assumptions &amp; Inputs'!$F$31)), (-'Assumptions &amp; Inputs'!$F$38)*'Assumptions &amp; Inputs'!$F$33, -AE11/'Assumptions &amp; Inputs'!$F$28*'Assumptions &amp; Inputs'!$F$38)</f>
        <v>0</v>
      </c>
      <c r="AF13" s="187">
        <f>IF(AND(MOD(AF9-YEAR('Assumptions &amp; Inputs'!$F$31),'Assumptions &amp; Inputs'!$F$34)=0, AF9&lt;YEAR('Assumptions &amp; Inputs'!$F$36), AF9&gt;YEAR('Assumptions &amp; Inputs'!$F$31)), (-'Assumptions &amp; Inputs'!$F$38)*'Assumptions &amp; Inputs'!$F$33, -AF11/'Assumptions &amp; Inputs'!$F$28*'Assumptions &amp; Inputs'!$F$38)</f>
        <v>0</v>
      </c>
      <c r="AG13" s="187">
        <f>IF(AND(MOD(AG9-YEAR('Assumptions &amp; Inputs'!$F$31),'Assumptions &amp; Inputs'!$F$34)=0, AG9&lt;YEAR('Assumptions &amp; Inputs'!$F$36), AG9&gt;YEAR('Assumptions &amp; Inputs'!$F$31)), (-'Assumptions &amp; Inputs'!$F$38)*'Assumptions &amp; Inputs'!$F$33, -AG11/'Assumptions &amp; Inputs'!$F$28*'Assumptions &amp; Inputs'!$F$38)</f>
        <v>0</v>
      </c>
      <c r="AH13" s="187">
        <f>IF(AND(MOD(AH9-YEAR('Assumptions &amp; Inputs'!$F$31),'Assumptions &amp; Inputs'!$F$34)=0, AH9&lt;YEAR('Assumptions &amp; Inputs'!$F$36), AH9&gt;YEAR('Assumptions &amp; Inputs'!$F$31)), (-'Assumptions &amp; Inputs'!$F$38)*'Assumptions &amp; Inputs'!$F$33, -AH11/'Assumptions &amp; Inputs'!$F$28*'Assumptions &amp; Inputs'!$F$38)</f>
        <v>0</v>
      </c>
      <c r="AI13" s="187">
        <f>IF(AND(MOD(AI9-YEAR('Assumptions &amp; Inputs'!$F$31),'Assumptions &amp; Inputs'!$F$34)=0, AI9&lt;YEAR('Assumptions &amp; Inputs'!$F$36), AI9&gt;YEAR('Assumptions &amp; Inputs'!$F$31)), (-'Assumptions &amp; Inputs'!$F$38)*'Assumptions &amp; Inputs'!$F$33, -AI11/'Assumptions &amp; Inputs'!$F$28*'Assumptions &amp; Inputs'!$F$38)</f>
        <v>0</v>
      </c>
      <c r="AJ13" s="187">
        <f>IF(AND(MOD(AJ9-YEAR('Assumptions &amp; Inputs'!$F$31),'Assumptions &amp; Inputs'!$F$34)=0, AJ9&lt;YEAR('Assumptions &amp; Inputs'!$F$36), AJ9&gt;YEAR('Assumptions &amp; Inputs'!$F$31)), (-'Assumptions &amp; Inputs'!$F$38)*'Assumptions &amp; Inputs'!$F$33, -AJ11/'Assumptions &amp; Inputs'!$F$28*'Assumptions &amp; Inputs'!$F$38)</f>
        <v>0</v>
      </c>
      <c r="AK13" s="187">
        <f>IF(AND(MOD(AK9-YEAR('Assumptions &amp; Inputs'!$F$31),'Assumptions &amp; Inputs'!$F$34)=0, AK9&lt;YEAR('Assumptions &amp; Inputs'!$F$36), AK9&gt;YEAR('Assumptions &amp; Inputs'!$F$31)), (-'Assumptions &amp; Inputs'!$F$38)*'Assumptions &amp; Inputs'!$F$33, -AK11/'Assumptions &amp; Inputs'!$F$28*'Assumptions &amp; Inputs'!$F$38)</f>
        <v>0</v>
      </c>
      <c r="AL13" s="187">
        <f>IF(AND(MOD(AL9-YEAR('Assumptions &amp; Inputs'!$F$31),'Assumptions &amp; Inputs'!$F$34)=0, AL9&lt;YEAR('Assumptions &amp; Inputs'!$F$36), AL9&gt;YEAR('Assumptions &amp; Inputs'!$F$31)), (-'Assumptions &amp; Inputs'!$F$38)*'Assumptions &amp; Inputs'!$F$33, -AL11/'Assumptions &amp; Inputs'!$F$28*'Assumptions &amp; Inputs'!$F$38)</f>
        <v>0</v>
      </c>
      <c r="AM13" s="187">
        <f>IF(AND(MOD(AM9-YEAR('Assumptions &amp; Inputs'!$F$31),'Assumptions &amp; Inputs'!$F$34)=0, AM9&lt;YEAR('Assumptions &amp; Inputs'!$F$36), AM9&gt;YEAR('Assumptions &amp; Inputs'!$F$31)), (-'Assumptions &amp; Inputs'!$F$38)*'Assumptions &amp; Inputs'!$F$33, -AM11/'Assumptions &amp; Inputs'!$F$28*'Assumptions &amp; Inputs'!$F$38)</f>
        <v>0</v>
      </c>
      <c r="AN13" s="187">
        <f>IF(AND(MOD(AN9-YEAR('Assumptions &amp; Inputs'!$F$31),'Assumptions &amp; Inputs'!$F$34)=0, AN9&lt;YEAR('Assumptions &amp; Inputs'!$F$36), AN9&gt;YEAR('Assumptions &amp; Inputs'!$F$31)), (-'Assumptions &amp; Inputs'!$F$38)*'Assumptions &amp; Inputs'!$F$33, -AN11/'Assumptions &amp; Inputs'!$F$28*'Assumptions &amp; Inputs'!$F$38)</f>
        <v>0</v>
      </c>
      <c r="AO13" s="187">
        <f>IF(AND(MOD(AO9-YEAR('Assumptions &amp; Inputs'!$F$31),'Assumptions &amp; Inputs'!$F$34)=0, AO9&lt;YEAR('Assumptions &amp; Inputs'!$F$36), AO9&gt;YEAR('Assumptions &amp; Inputs'!$F$31)), (-'Assumptions &amp; Inputs'!$F$38)*'Assumptions &amp; Inputs'!$F$33, -AO11/'Assumptions &amp; Inputs'!$F$28*'Assumptions &amp; Inputs'!$F$38)</f>
        <v>0</v>
      </c>
      <c r="AP13" s="187">
        <f>IF(AND(MOD(AP9-YEAR('Assumptions &amp; Inputs'!$F$31),'Assumptions &amp; Inputs'!$F$34)=0, AP9&lt;YEAR('Assumptions &amp; Inputs'!$F$36), AP9&gt;YEAR('Assumptions &amp; Inputs'!$F$31)), (-'Assumptions &amp; Inputs'!$F$38)*'Assumptions &amp; Inputs'!$F$33, -AP11/'Assumptions &amp; Inputs'!$F$28*'Assumptions &amp; Inputs'!$F$38)</f>
        <v>0</v>
      </c>
      <c r="AQ13" s="187">
        <f>IF(AND(MOD(AQ9-YEAR('Assumptions &amp; Inputs'!$F$31),'Assumptions &amp; Inputs'!$F$34)=0, AQ9&lt;YEAR('Assumptions &amp; Inputs'!$F$36), AQ9&gt;YEAR('Assumptions &amp; Inputs'!$F$31)), (-'Assumptions &amp; Inputs'!$F$38)*'Assumptions &amp; Inputs'!$F$33, -AQ11/'Assumptions &amp; Inputs'!$F$28*'Assumptions &amp; Inputs'!$F$38)</f>
        <v>0</v>
      </c>
      <c r="AR13" s="187">
        <f>IF(AND(MOD(AR9-YEAR('Assumptions &amp; Inputs'!$F$31),'Assumptions &amp; Inputs'!$F$34)=0, AR9&lt;YEAR('Assumptions &amp; Inputs'!$F$36), AR9&gt;YEAR('Assumptions &amp; Inputs'!$F$31)), (-'Assumptions &amp; Inputs'!$F$38)*'Assumptions &amp; Inputs'!$F$33, -AR11/'Assumptions &amp; Inputs'!$F$28*'Assumptions &amp; Inputs'!$F$38)</f>
        <v>0</v>
      </c>
      <c r="AS13" s="187">
        <f>IF(AND(MOD(AS9-YEAR('Assumptions &amp; Inputs'!$F$31),'Assumptions &amp; Inputs'!$F$34)=0, AS9&lt;YEAR('Assumptions &amp; Inputs'!$F$36), AS9&gt;YEAR('Assumptions &amp; Inputs'!$F$31)), (-'Assumptions &amp; Inputs'!$F$38)*'Assumptions &amp; Inputs'!$F$33, -AS11/'Assumptions &amp; Inputs'!$F$28*'Assumptions &amp; Inputs'!$F$38)</f>
        <v>0</v>
      </c>
      <c r="AT13" s="187">
        <f>IF(AND(MOD(AT9-YEAR('Assumptions &amp; Inputs'!$F$31),'Assumptions &amp; Inputs'!$F$34)=0, AT9&lt;YEAR('Assumptions &amp; Inputs'!$F$36), AT9&gt;YEAR('Assumptions &amp; Inputs'!$F$31)), (-'Assumptions &amp; Inputs'!$F$38)*'Assumptions &amp; Inputs'!$F$33, -AT11/'Assumptions &amp; Inputs'!$F$28*'Assumptions &amp; Inputs'!$F$38)</f>
        <v>0</v>
      </c>
      <c r="AU13" s="187">
        <f>IF(AND(MOD(AU9-YEAR('Assumptions &amp; Inputs'!$F$31),'Assumptions &amp; Inputs'!$F$34)=0, AU9&lt;YEAR('Assumptions &amp; Inputs'!$F$36), AU9&gt;YEAR('Assumptions &amp; Inputs'!$F$31)), (-'Assumptions &amp; Inputs'!$F$38)*'Assumptions &amp; Inputs'!$F$33, -AU11/'Assumptions &amp; Inputs'!$F$28*'Assumptions &amp; Inputs'!$F$38)</f>
        <v>0</v>
      </c>
      <c r="AV13" s="187">
        <f>IF(AND(MOD(AV9-YEAR('Assumptions &amp; Inputs'!$F$31),'Assumptions &amp; Inputs'!$F$34)=0, AV9&lt;YEAR('Assumptions &amp; Inputs'!$F$36), AV9&gt;YEAR('Assumptions &amp; Inputs'!$F$31)), (-'Assumptions &amp; Inputs'!$F$38)*'Assumptions &amp; Inputs'!$F$33, -AV11/'Assumptions &amp; Inputs'!$F$28*'Assumptions &amp; Inputs'!$F$38)</f>
        <v>0</v>
      </c>
      <c r="AW13" s="187">
        <f>IF(AND(MOD(AW9-YEAR('Assumptions &amp; Inputs'!$F$31),'Assumptions &amp; Inputs'!$F$34)=0, AW9&lt;YEAR('Assumptions &amp; Inputs'!$F$36), AW9&gt;YEAR('Assumptions &amp; Inputs'!$F$31)), (-'Assumptions &amp; Inputs'!$F$38)*'Assumptions &amp; Inputs'!$F$33, -AW11/'Assumptions &amp; Inputs'!$F$28*'Assumptions &amp; Inputs'!$F$38)</f>
        <v>0</v>
      </c>
    </row>
    <row r="14" spans="3:49" ht="14.25" customHeight="1">
      <c r="C14" s="94" t="s">
        <v>219</v>
      </c>
      <c r="D14" s="519">
        <f>D$13*'Assumptions &amp; Inputs'!$G39</f>
        <v>-5.270833333333333</v>
      </c>
      <c r="E14" s="519">
        <f>E$13*'Assumptions &amp; Inputs'!$G39</f>
        <v>-0.47916666666666663</v>
      </c>
      <c r="F14" s="519">
        <f>F$13*'Assumptions &amp; Inputs'!$G39</f>
        <v>0</v>
      </c>
      <c r="G14" s="519">
        <f>G$13*'Assumptions &amp; Inputs'!$G39</f>
        <v>0</v>
      </c>
      <c r="H14" s="519">
        <f>H$13*'Assumptions &amp; Inputs'!$G39</f>
        <v>0</v>
      </c>
      <c r="I14" s="519">
        <f>I$13*'Assumptions &amp; Inputs'!$G39</f>
        <v>0</v>
      </c>
      <c r="J14" s="519">
        <f>J$13*'Assumptions &amp; Inputs'!$G39</f>
        <v>0</v>
      </c>
      <c r="K14" s="519">
        <f>K$13*'Assumptions &amp; Inputs'!$G39</f>
        <v>0</v>
      </c>
      <c r="L14" s="519">
        <f>L$13*'Assumptions &amp; Inputs'!$G39</f>
        <v>0</v>
      </c>
      <c r="M14" s="519">
        <f>M$13*'Assumptions &amp; Inputs'!$G39</f>
        <v>0</v>
      </c>
      <c r="N14" s="519">
        <f>N$13*'Assumptions &amp; Inputs'!$G39</f>
        <v>0</v>
      </c>
      <c r="O14" s="519">
        <f>O$13*'Assumptions &amp; Inputs'!$G39</f>
        <v>0</v>
      </c>
      <c r="P14" s="519">
        <f>P$13*'Assumptions &amp; Inputs'!$G39</f>
        <v>0</v>
      </c>
      <c r="Q14" s="519">
        <f>Q$13*'Assumptions &amp; Inputs'!$G39</f>
        <v>0</v>
      </c>
      <c r="R14" s="519">
        <f>R$13*'Assumptions &amp; Inputs'!$G39</f>
        <v>0</v>
      </c>
      <c r="S14" s="519">
        <f>S$13*'Assumptions &amp; Inputs'!$G39</f>
        <v>0</v>
      </c>
      <c r="T14" s="519">
        <f>T$13*'Assumptions &amp; Inputs'!$G39</f>
        <v>0</v>
      </c>
      <c r="U14" s="519">
        <f>U$13*'Assumptions &amp; Inputs'!$G39</f>
        <v>0</v>
      </c>
      <c r="V14" s="519">
        <f>V$13*'Assumptions &amp; Inputs'!$G39</f>
        <v>0</v>
      </c>
      <c r="W14" s="519">
        <f>W$13*'Assumptions &amp; Inputs'!$G39</f>
        <v>0</v>
      </c>
      <c r="X14" s="519">
        <f>X$13*'Assumptions &amp; Inputs'!$G39</f>
        <v>0</v>
      </c>
      <c r="Y14" s="519">
        <f>Y$13*'Assumptions &amp; Inputs'!$G39</f>
        <v>0</v>
      </c>
      <c r="Z14" s="519">
        <f>Z$13*'Assumptions &amp; Inputs'!$G39</f>
        <v>0</v>
      </c>
      <c r="AA14" s="519">
        <f>AA$13*'Assumptions &amp; Inputs'!$G39</f>
        <v>0</v>
      </c>
      <c r="AB14" s="519">
        <f>AB$13*'Assumptions &amp; Inputs'!$G39</f>
        <v>0</v>
      </c>
      <c r="AC14" s="519">
        <f>AC$13*'Assumptions &amp; Inputs'!$G39</f>
        <v>0</v>
      </c>
      <c r="AD14" s="519">
        <f>AD$13*'Assumptions &amp; Inputs'!$G39</f>
        <v>0</v>
      </c>
      <c r="AE14" s="519">
        <f>AE$13*'Assumptions &amp; Inputs'!$G39</f>
        <v>0</v>
      </c>
      <c r="AF14" s="519">
        <f>AF$13*'Assumptions &amp; Inputs'!$G39</f>
        <v>0</v>
      </c>
      <c r="AG14" s="519">
        <f>AG$13*'Assumptions &amp; Inputs'!$G39</f>
        <v>0</v>
      </c>
      <c r="AH14" s="519">
        <f>AH$13*'Assumptions &amp; Inputs'!$G39</f>
        <v>0</v>
      </c>
      <c r="AI14" s="519">
        <f>AI$13*'Assumptions &amp; Inputs'!$G39</f>
        <v>0</v>
      </c>
      <c r="AJ14" s="519">
        <f>AJ$13*'Assumptions &amp; Inputs'!$G39</f>
        <v>0</v>
      </c>
      <c r="AK14" s="519">
        <f>AK$13*'Assumptions &amp; Inputs'!$G39</f>
        <v>0</v>
      </c>
      <c r="AL14" s="519">
        <f>AL$13*'Assumptions &amp; Inputs'!$G39</f>
        <v>0</v>
      </c>
      <c r="AM14" s="519">
        <f>AM$13*'Assumptions &amp; Inputs'!$G39</f>
        <v>0</v>
      </c>
      <c r="AN14" s="519">
        <f>AN$13*'Assumptions &amp; Inputs'!$G39</f>
        <v>0</v>
      </c>
      <c r="AO14" s="519">
        <f>AO$13*'Assumptions &amp; Inputs'!$G39</f>
        <v>0</v>
      </c>
      <c r="AP14" s="519">
        <f>AP$13*'Assumptions &amp; Inputs'!$G39</f>
        <v>0</v>
      </c>
      <c r="AQ14" s="519">
        <f>AQ$13*'Assumptions &amp; Inputs'!$G39</f>
        <v>0</v>
      </c>
      <c r="AR14" s="519">
        <f>AR$13*'Assumptions &amp; Inputs'!$G39</f>
        <v>0</v>
      </c>
      <c r="AS14" s="519">
        <f>AS$13*'Assumptions &amp; Inputs'!$G39</f>
        <v>0</v>
      </c>
      <c r="AT14" s="519">
        <f>AT$13*'Assumptions &amp; Inputs'!$G39</f>
        <v>0</v>
      </c>
      <c r="AU14" s="519">
        <f>AU$13*'Assumptions &amp; Inputs'!$G39</f>
        <v>0</v>
      </c>
      <c r="AV14" s="519">
        <f>AV$13*'Assumptions &amp; Inputs'!$G39</f>
        <v>0</v>
      </c>
      <c r="AW14" s="520">
        <f>AW$13*'Assumptions &amp; Inputs'!$G39</f>
        <v>0</v>
      </c>
    </row>
    <row r="15" spans="3:49" ht="14.25" customHeight="1">
      <c r="C15" s="94" t="s">
        <v>220</v>
      </c>
      <c r="D15" s="519">
        <f>D$13*'Assumptions &amp; Inputs'!$G40</f>
        <v>-15.812499999999998</v>
      </c>
      <c r="E15" s="519">
        <f>E$13*'Assumptions &amp; Inputs'!$G40</f>
        <v>-1.4374999999999998</v>
      </c>
      <c r="F15" s="519">
        <f>F$13*'Assumptions &amp; Inputs'!$G40</f>
        <v>0</v>
      </c>
      <c r="G15" s="519">
        <f>G$13*'Assumptions &amp; Inputs'!$G40</f>
        <v>0</v>
      </c>
      <c r="H15" s="519">
        <f>H$13*'Assumptions &amp; Inputs'!$G40</f>
        <v>0</v>
      </c>
      <c r="I15" s="519">
        <f>I$13*'Assumptions &amp; Inputs'!$G40</f>
        <v>0</v>
      </c>
      <c r="J15" s="519">
        <f>J$13*'Assumptions &amp; Inputs'!$G40</f>
        <v>0</v>
      </c>
      <c r="K15" s="519">
        <f>K$13*'Assumptions &amp; Inputs'!$G40</f>
        <v>0</v>
      </c>
      <c r="L15" s="519">
        <f>L$13*'Assumptions &amp; Inputs'!$G40</f>
        <v>0</v>
      </c>
      <c r="M15" s="519">
        <f>M$13*'Assumptions &amp; Inputs'!$G40</f>
        <v>0</v>
      </c>
      <c r="N15" s="519">
        <f>N$13*'Assumptions &amp; Inputs'!$G40</f>
        <v>0</v>
      </c>
      <c r="O15" s="519">
        <f>O$13*'Assumptions &amp; Inputs'!$G40</f>
        <v>0</v>
      </c>
      <c r="P15" s="519">
        <f>P$13*'Assumptions &amp; Inputs'!$G40</f>
        <v>0</v>
      </c>
      <c r="Q15" s="519">
        <f>Q$13*'Assumptions &amp; Inputs'!$G40</f>
        <v>0</v>
      </c>
      <c r="R15" s="519">
        <f>R$13*'Assumptions &amp; Inputs'!$G40</f>
        <v>0</v>
      </c>
      <c r="S15" s="519">
        <f>S$13*'Assumptions &amp; Inputs'!$G40</f>
        <v>0</v>
      </c>
      <c r="T15" s="519">
        <f>T$13*'Assumptions &amp; Inputs'!$G40</f>
        <v>0</v>
      </c>
      <c r="U15" s="519">
        <f>U$13*'Assumptions &amp; Inputs'!$G40</f>
        <v>0</v>
      </c>
      <c r="V15" s="519">
        <f>V$13*'Assumptions &amp; Inputs'!$G40</f>
        <v>0</v>
      </c>
      <c r="W15" s="519">
        <f>W$13*'Assumptions &amp; Inputs'!$G40</f>
        <v>0</v>
      </c>
      <c r="X15" s="519">
        <f>X$13*'Assumptions &amp; Inputs'!$G40</f>
        <v>0</v>
      </c>
      <c r="Y15" s="519">
        <f>Y$13*'Assumptions &amp; Inputs'!$G40</f>
        <v>0</v>
      </c>
      <c r="Z15" s="519">
        <f>Z$13*'Assumptions &amp; Inputs'!$G40</f>
        <v>0</v>
      </c>
      <c r="AA15" s="519">
        <f>AA$13*'Assumptions &amp; Inputs'!$G40</f>
        <v>0</v>
      </c>
      <c r="AB15" s="519">
        <f>AB$13*'Assumptions &amp; Inputs'!$G40</f>
        <v>0</v>
      </c>
      <c r="AC15" s="519">
        <f>AC$13*'Assumptions &amp; Inputs'!$G40</f>
        <v>0</v>
      </c>
      <c r="AD15" s="519">
        <f>AD$13*'Assumptions &amp; Inputs'!$G40</f>
        <v>0</v>
      </c>
      <c r="AE15" s="519">
        <f>AE$13*'Assumptions &amp; Inputs'!$G40</f>
        <v>0</v>
      </c>
      <c r="AF15" s="519">
        <f>AF$13*'Assumptions &amp; Inputs'!$G40</f>
        <v>0</v>
      </c>
      <c r="AG15" s="519">
        <f>AG$13*'Assumptions &amp; Inputs'!$G40</f>
        <v>0</v>
      </c>
      <c r="AH15" s="519">
        <f>AH$13*'Assumptions &amp; Inputs'!$G40</f>
        <v>0</v>
      </c>
      <c r="AI15" s="519">
        <f>AI$13*'Assumptions &amp; Inputs'!$G40</f>
        <v>0</v>
      </c>
      <c r="AJ15" s="519">
        <f>AJ$13*'Assumptions &amp; Inputs'!$G40</f>
        <v>0</v>
      </c>
      <c r="AK15" s="519">
        <f>AK$13*'Assumptions &amp; Inputs'!$G40</f>
        <v>0</v>
      </c>
      <c r="AL15" s="519">
        <f>AL$13*'Assumptions &amp; Inputs'!$G40</f>
        <v>0</v>
      </c>
      <c r="AM15" s="519">
        <f>AM$13*'Assumptions &amp; Inputs'!$G40</f>
        <v>0</v>
      </c>
      <c r="AN15" s="519">
        <f>AN$13*'Assumptions &amp; Inputs'!$G40</f>
        <v>0</v>
      </c>
      <c r="AO15" s="519">
        <f>AO$13*'Assumptions &amp; Inputs'!$G40</f>
        <v>0</v>
      </c>
      <c r="AP15" s="519">
        <f>AP$13*'Assumptions &amp; Inputs'!$G40</f>
        <v>0</v>
      </c>
      <c r="AQ15" s="519">
        <f>AQ$13*'Assumptions &amp; Inputs'!$G40</f>
        <v>0</v>
      </c>
      <c r="AR15" s="519">
        <f>AR$13*'Assumptions &amp; Inputs'!$G40</f>
        <v>0</v>
      </c>
      <c r="AS15" s="519">
        <f>AS$13*'Assumptions &amp; Inputs'!$G40</f>
        <v>0</v>
      </c>
      <c r="AT15" s="519">
        <f>AT$13*'Assumptions &amp; Inputs'!$G40</f>
        <v>0</v>
      </c>
      <c r="AU15" s="519">
        <f>AU$13*'Assumptions &amp; Inputs'!$G40</f>
        <v>0</v>
      </c>
      <c r="AV15" s="519">
        <f>AV$13*'Assumptions &amp; Inputs'!$G40</f>
        <v>0</v>
      </c>
      <c r="AW15" s="520">
        <f>AW$13*'Assumptions &amp; Inputs'!$G40</f>
        <v>0</v>
      </c>
    </row>
    <row r="16" spans="3:49" ht="14.25" customHeight="1">
      <c r="C16" s="94" t="s">
        <v>221</v>
      </c>
      <c r="D16" s="519">
        <f>D$13*'Assumptions &amp; Inputs'!$G41</f>
        <v>-1.0541666666666667</v>
      </c>
      <c r="E16" s="519">
        <f>E$13*'Assumptions &amp; Inputs'!$G41</f>
        <v>-9.5833333333333326E-2</v>
      </c>
      <c r="F16" s="519">
        <f>F$13*'Assumptions &amp; Inputs'!$G41</f>
        <v>0</v>
      </c>
      <c r="G16" s="519">
        <f>G$13*'Assumptions &amp; Inputs'!$G41</f>
        <v>0</v>
      </c>
      <c r="H16" s="519">
        <f>H$13*'Assumptions &amp; Inputs'!$G41</f>
        <v>0</v>
      </c>
      <c r="I16" s="519">
        <f>I$13*'Assumptions &amp; Inputs'!$G41</f>
        <v>0</v>
      </c>
      <c r="J16" s="519">
        <f>J$13*'Assumptions &amp; Inputs'!$G41</f>
        <v>0</v>
      </c>
      <c r="K16" s="519">
        <f>K$13*'Assumptions &amp; Inputs'!$G41</f>
        <v>0</v>
      </c>
      <c r="L16" s="519">
        <f>L$13*'Assumptions &amp; Inputs'!$G41</f>
        <v>0</v>
      </c>
      <c r="M16" s="519">
        <f>M$13*'Assumptions &amp; Inputs'!$G41</f>
        <v>0</v>
      </c>
      <c r="N16" s="519">
        <f>N$13*'Assumptions &amp; Inputs'!$G41</f>
        <v>0</v>
      </c>
      <c r="O16" s="519">
        <f>O$13*'Assumptions &amp; Inputs'!$G41</f>
        <v>0</v>
      </c>
      <c r="P16" s="519">
        <f>P$13*'Assumptions &amp; Inputs'!$G41</f>
        <v>0</v>
      </c>
      <c r="Q16" s="519">
        <f>Q$13*'Assumptions &amp; Inputs'!$G41</f>
        <v>0</v>
      </c>
      <c r="R16" s="519">
        <f>R$13*'Assumptions &amp; Inputs'!$G41</f>
        <v>0</v>
      </c>
      <c r="S16" s="519">
        <f>S$13*'Assumptions &amp; Inputs'!$G41</f>
        <v>0</v>
      </c>
      <c r="T16" s="519">
        <f>T$13*'Assumptions &amp; Inputs'!$G41</f>
        <v>0</v>
      </c>
      <c r="U16" s="519">
        <f>U$13*'Assumptions &amp; Inputs'!$G41</f>
        <v>0</v>
      </c>
      <c r="V16" s="519">
        <f>V$13*'Assumptions &amp; Inputs'!$G41</f>
        <v>0</v>
      </c>
      <c r="W16" s="519">
        <f>W$13*'Assumptions &amp; Inputs'!$G41</f>
        <v>0</v>
      </c>
      <c r="X16" s="519">
        <f>X$13*'Assumptions &amp; Inputs'!$G41</f>
        <v>0</v>
      </c>
      <c r="Y16" s="519">
        <f>Y$13*'Assumptions &amp; Inputs'!$G41</f>
        <v>0</v>
      </c>
      <c r="Z16" s="519">
        <f>Z$13*'Assumptions &amp; Inputs'!$G41</f>
        <v>0</v>
      </c>
      <c r="AA16" s="519">
        <f>AA$13*'Assumptions &amp; Inputs'!$G41</f>
        <v>0</v>
      </c>
      <c r="AB16" s="519">
        <f>AB$13*'Assumptions &amp; Inputs'!$G41</f>
        <v>0</v>
      </c>
      <c r="AC16" s="519">
        <f>AC$13*'Assumptions &amp; Inputs'!$G41</f>
        <v>0</v>
      </c>
      <c r="AD16" s="519">
        <f>AD$13*'Assumptions &amp; Inputs'!$G41</f>
        <v>0</v>
      </c>
      <c r="AE16" s="519">
        <f>AE$13*'Assumptions &amp; Inputs'!$G41</f>
        <v>0</v>
      </c>
      <c r="AF16" s="519">
        <f>AF$13*'Assumptions &amp; Inputs'!$G41</f>
        <v>0</v>
      </c>
      <c r="AG16" s="519">
        <f>AG$13*'Assumptions &amp; Inputs'!$G41</f>
        <v>0</v>
      </c>
      <c r="AH16" s="519">
        <f>AH$13*'Assumptions &amp; Inputs'!$G41</f>
        <v>0</v>
      </c>
      <c r="AI16" s="519">
        <f>AI$13*'Assumptions &amp; Inputs'!$G41</f>
        <v>0</v>
      </c>
      <c r="AJ16" s="519">
        <f>AJ$13*'Assumptions &amp; Inputs'!$G41</f>
        <v>0</v>
      </c>
      <c r="AK16" s="519">
        <f>AK$13*'Assumptions &amp; Inputs'!$G41</f>
        <v>0</v>
      </c>
      <c r="AL16" s="519">
        <f>AL$13*'Assumptions &amp; Inputs'!$G41</f>
        <v>0</v>
      </c>
      <c r="AM16" s="519">
        <f>AM$13*'Assumptions &amp; Inputs'!$G41</f>
        <v>0</v>
      </c>
      <c r="AN16" s="519">
        <f>AN$13*'Assumptions &amp; Inputs'!$G41</f>
        <v>0</v>
      </c>
      <c r="AO16" s="519">
        <f>AO$13*'Assumptions &amp; Inputs'!$G41</f>
        <v>0</v>
      </c>
      <c r="AP16" s="519">
        <f>AP$13*'Assumptions &amp; Inputs'!$G41</f>
        <v>0</v>
      </c>
      <c r="AQ16" s="519">
        <f>AQ$13*'Assumptions &amp; Inputs'!$G41</f>
        <v>0</v>
      </c>
      <c r="AR16" s="519">
        <f>AR$13*'Assumptions &amp; Inputs'!$G41</f>
        <v>0</v>
      </c>
      <c r="AS16" s="519">
        <f>AS$13*'Assumptions &amp; Inputs'!$G41</f>
        <v>0</v>
      </c>
      <c r="AT16" s="519">
        <f>AT$13*'Assumptions &amp; Inputs'!$G41</f>
        <v>0</v>
      </c>
      <c r="AU16" s="519">
        <f>AU$13*'Assumptions &amp; Inputs'!$G41</f>
        <v>0</v>
      </c>
      <c r="AV16" s="519">
        <f>AV$13*'Assumptions &amp; Inputs'!$G41</f>
        <v>0</v>
      </c>
      <c r="AW16" s="520">
        <f>AW$13*'Assumptions &amp; Inputs'!$G41</f>
        <v>0</v>
      </c>
    </row>
    <row r="17" spans="1:49" ht="14.25" customHeight="1">
      <c r="A17" s="1"/>
      <c r="B17" s="84"/>
      <c r="C17" s="94" t="s">
        <v>222</v>
      </c>
      <c r="D17" s="519">
        <f>D$13*'Assumptions &amp; Inputs'!$G42</f>
        <v>-8.4333333333333336</v>
      </c>
      <c r="E17" s="519">
        <f>E$13*'Assumptions &amp; Inputs'!$G42</f>
        <v>-0.76666666666666661</v>
      </c>
      <c r="F17" s="519">
        <f>F$13*'Assumptions &amp; Inputs'!$G42</f>
        <v>0</v>
      </c>
      <c r="G17" s="519">
        <f>G$13*'Assumptions &amp; Inputs'!$G42</f>
        <v>0</v>
      </c>
      <c r="H17" s="519">
        <f>H$13*'Assumptions &amp; Inputs'!$G42</f>
        <v>0</v>
      </c>
      <c r="I17" s="519">
        <f>I$13*'Assumptions &amp; Inputs'!$G42</f>
        <v>0</v>
      </c>
      <c r="J17" s="519">
        <f>J$13*'Assumptions &amp; Inputs'!$G42</f>
        <v>0</v>
      </c>
      <c r="K17" s="519">
        <f>K$13*'Assumptions &amp; Inputs'!$G42</f>
        <v>0</v>
      </c>
      <c r="L17" s="519">
        <f>L$13*'Assumptions &amp; Inputs'!$G42</f>
        <v>0</v>
      </c>
      <c r="M17" s="519">
        <f>M$13*'Assumptions &amp; Inputs'!$G42</f>
        <v>0</v>
      </c>
      <c r="N17" s="519">
        <f>N$13*'Assumptions &amp; Inputs'!$G42</f>
        <v>0</v>
      </c>
      <c r="O17" s="519">
        <f>O$13*'Assumptions &amp; Inputs'!$G42</f>
        <v>0</v>
      </c>
      <c r="P17" s="519">
        <f>P$13*'Assumptions &amp; Inputs'!$G42</f>
        <v>0</v>
      </c>
      <c r="Q17" s="519">
        <f>Q$13*'Assumptions &amp; Inputs'!$G42</f>
        <v>0</v>
      </c>
      <c r="R17" s="519">
        <f>R$13*'Assumptions &amp; Inputs'!$G42</f>
        <v>0</v>
      </c>
      <c r="S17" s="519">
        <f>S$13*'Assumptions &amp; Inputs'!$G42</f>
        <v>0</v>
      </c>
      <c r="T17" s="519">
        <f>T$13*'Assumptions &amp; Inputs'!$G42</f>
        <v>0</v>
      </c>
      <c r="U17" s="519">
        <f>U$13*'Assumptions &amp; Inputs'!$G42</f>
        <v>0</v>
      </c>
      <c r="V17" s="519">
        <f>V$13*'Assumptions &amp; Inputs'!$G42</f>
        <v>0</v>
      </c>
      <c r="W17" s="519">
        <f>W$13*'Assumptions &amp; Inputs'!$G42</f>
        <v>0</v>
      </c>
      <c r="X17" s="519">
        <f>X$13*'Assumptions &amp; Inputs'!$G42</f>
        <v>0</v>
      </c>
      <c r="Y17" s="519">
        <f>Y$13*'Assumptions &amp; Inputs'!$G42</f>
        <v>0</v>
      </c>
      <c r="Z17" s="519">
        <f>Z$13*'Assumptions &amp; Inputs'!$G42</f>
        <v>0</v>
      </c>
      <c r="AA17" s="519">
        <f>AA$13*'Assumptions &amp; Inputs'!$G42</f>
        <v>0</v>
      </c>
      <c r="AB17" s="519">
        <f>AB$13*'Assumptions &amp; Inputs'!$G42</f>
        <v>0</v>
      </c>
      <c r="AC17" s="519">
        <f>AC$13*'Assumptions &amp; Inputs'!$G42</f>
        <v>0</v>
      </c>
      <c r="AD17" s="519">
        <f>AD$13*'Assumptions &amp; Inputs'!$G42</f>
        <v>0</v>
      </c>
      <c r="AE17" s="519">
        <f>AE$13*'Assumptions &amp; Inputs'!$G42</f>
        <v>0</v>
      </c>
      <c r="AF17" s="519">
        <f>AF$13*'Assumptions &amp; Inputs'!$G42</f>
        <v>0</v>
      </c>
      <c r="AG17" s="519">
        <f>AG$13*'Assumptions &amp; Inputs'!$G42</f>
        <v>0</v>
      </c>
      <c r="AH17" s="519">
        <f>AH$13*'Assumptions &amp; Inputs'!$G42</f>
        <v>0</v>
      </c>
      <c r="AI17" s="519">
        <f>AI$13*'Assumptions &amp; Inputs'!$G42</f>
        <v>0</v>
      </c>
      <c r="AJ17" s="519">
        <f>AJ$13*'Assumptions &amp; Inputs'!$G42</f>
        <v>0</v>
      </c>
      <c r="AK17" s="519">
        <f>AK$13*'Assumptions &amp; Inputs'!$G42</f>
        <v>0</v>
      </c>
      <c r="AL17" s="519">
        <f>AL$13*'Assumptions &amp; Inputs'!$G42</f>
        <v>0</v>
      </c>
      <c r="AM17" s="519">
        <f>AM$13*'Assumptions &amp; Inputs'!$G42</f>
        <v>0</v>
      </c>
      <c r="AN17" s="519">
        <f>AN$13*'Assumptions &amp; Inputs'!$G42</f>
        <v>0</v>
      </c>
      <c r="AO17" s="519">
        <f>AO$13*'Assumptions &amp; Inputs'!$G42</f>
        <v>0</v>
      </c>
      <c r="AP17" s="519">
        <f>AP$13*'Assumptions &amp; Inputs'!$G42</f>
        <v>0</v>
      </c>
      <c r="AQ17" s="519">
        <f>AQ$13*'Assumptions &amp; Inputs'!$G42</f>
        <v>0</v>
      </c>
      <c r="AR17" s="519">
        <f>AR$13*'Assumptions &amp; Inputs'!$G42</f>
        <v>0</v>
      </c>
      <c r="AS17" s="519">
        <f>AS$13*'Assumptions &amp; Inputs'!$G42</f>
        <v>0</v>
      </c>
      <c r="AT17" s="519">
        <f>AT$13*'Assumptions &amp; Inputs'!$G42</f>
        <v>0</v>
      </c>
      <c r="AU17" s="519">
        <f>AU$13*'Assumptions &amp; Inputs'!$G42</f>
        <v>0</v>
      </c>
      <c r="AV17" s="519">
        <f>AV$13*'Assumptions &amp; Inputs'!$G42</f>
        <v>0</v>
      </c>
      <c r="AW17" s="520">
        <f>AW$13*'Assumptions &amp; Inputs'!$G42</f>
        <v>0</v>
      </c>
    </row>
    <row r="18" spans="1:49" ht="14.25" customHeight="1">
      <c r="A18" s="1"/>
      <c r="B18" s="84"/>
      <c r="C18" s="94" t="s">
        <v>223</v>
      </c>
      <c r="D18" s="519">
        <f>D$13*'Assumptions &amp; Inputs'!$G43</f>
        <v>-10.541666666666666</v>
      </c>
      <c r="E18" s="519">
        <f>E$13*'Assumptions &amp; Inputs'!$G43</f>
        <v>-0.95833333333333326</v>
      </c>
      <c r="F18" s="519">
        <f>F$13*'Assumptions &amp; Inputs'!$G43</f>
        <v>0</v>
      </c>
      <c r="G18" s="519">
        <f>G$13*'Assumptions &amp; Inputs'!$G43</f>
        <v>0</v>
      </c>
      <c r="H18" s="519">
        <f>H$13*'Assumptions &amp; Inputs'!$G43</f>
        <v>0</v>
      </c>
      <c r="I18" s="519">
        <f>I$13*'Assumptions &amp; Inputs'!$G43</f>
        <v>0</v>
      </c>
      <c r="J18" s="519">
        <f>J$13*'Assumptions &amp; Inputs'!$G43</f>
        <v>0</v>
      </c>
      <c r="K18" s="519">
        <f>K$13*'Assumptions &amp; Inputs'!$G43</f>
        <v>0</v>
      </c>
      <c r="L18" s="519">
        <f>L$13*'Assumptions &amp; Inputs'!$G43</f>
        <v>0</v>
      </c>
      <c r="M18" s="519">
        <f>M$13*'Assumptions &amp; Inputs'!$G43</f>
        <v>0</v>
      </c>
      <c r="N18" s="519">
        <f>N$13*'Assumptions &amp; Inputs'!$G43</f>
        <v>0</v>
      </c>
      <c r="O18" s="519">
        <f>O$13*'Assumptions &amp; Inputs'!$G43</f>
        <v>0</v>
      </c>
      <c r="P18" s="519">
        <f>P$13*'Assumptions &amp; Inputs'!$G43</f>
        <v>0</v>
      </c>
      <c r="Q18" s="519">
        <f>Q$13*'Assumptions &amp; Inputs'!$G43</f>
        <v>0</v>
      </c>
      <c r="R18" s="519">
        <f>R$13*'Assumptions &amp; Inputs'!$G43</f>
        <v>0</v>
      </c>
      <c r="S18" s="519">
        <f>S$13*'Assumptions &amp; Inputs'!$G43</f>
        <v>0</v>
      </c>
      <c r="T18" s="519">
        <f>T$13*'Assumptions &amp; Inputs'!$G43</f>
        <v>0</v>
      </c>
      <c r="U18" s="519">
        <f>U$13*'Assumptions &amp; Inputs'!$G43</f>
        <v>0</v>
      </c>
      <c r="V18" s="519">
        <f>V$13*'Assumptions &amp; Inputs'!$G43</f>
        <v>0</v>
      </c>
      <c r="W18" s="519">
        <f>W$13*'Assumptions &amp; Inputs'!$G43</f>
        <v>0</v>
      </c>
      <c r="X18" s="519">
        <f>X$13*'Assumptions &amp; Inputs'!$G43</f>
        <v>0</v>
      </c>
      <c r="Y18" s="519">
        <f>Y$13*'Assumptions &amp; Inputs'!$G43</f>
        <v>0</v>
      </c>
      <c r="Z18" s="519">
        <f>Z$13*'Assumptions &amp; Inputs'!$G43</f>
        <v>0</v>
      </c>
      <c r="AA18" s="519">
        <f>AA$13*'Assumptions &amp; Inputs'!$G43</f>
        <v>0</v>
      </c>
      <c r="AB18" s="519">
        <f>AB$13*'Assumptions &amp; Inputs'!$G43</f>
        <v>0</v>
      </c>
      <c r="AC18" s="519">
        <f>AC$13*'Assumptions &amp; Inputs'!$G43</f>
        <v>0</v>
      </c>
      <c r="AD18" s="519">
        <f>AD$13*'Assumptions &amp; Inputs'!$G43</f>
        <v>0</v>
      </c>
      <c r="AE18" s="519">
        <f>AE$13*'Assumptions &amp; Inputs'!$G43</f>
        <v>0</v>
      </c>
      <c r="AF18" s="519">
        <f>AF$13*'Assumptions &amp; Inputs'!$G43</f>
        <v>0</v>
      </c>
      <c r="AG18" s="519">
        <f>AG$13*'Assumptions &amp; Inputs'!$G43</f>
        <v>0</v>
      </c>
      <c r="AH18" s="519">
        <f>AH$13*'Assumptions &amp; Inputs'!$G43</f>
        <v>0</v>
      </c>
      <c r="AI18" s="519">
        <f>AI$13*'Assumptions &amp; Inputs'!$G43</f>
        <v>0</v>
      </c>
      <c r="AJ18" s="519">
        <f>AJ$13*'Assumptions &amp; Inputs'!$G43</f>
        <v>0</v>
      </c>
      <c r="AK18" s="519">
        <f>AK$13*'Assumptions &amp; Inputs'!$G43</f>
        <v>0</v>
      </c>
      <c r="AL18" s="519">
        <f>AL$13*'Assumptions &amp; Inputs'!$G43</f>
        <v>0</v>
      </c>
      <c r="AM18" s="519">
        <f>AM$13*'Assumptions &amp; Inputs'!$G43</f>
        <v>0</v>
      </c>
      <c r="AN18" s="519">
        <f>AN$13*'Assumptions &amp; Inputs'!$G43</f>
        <v>0</v>
      </c>
      <c r="AO18" s="519">
        <f>AO$13*'Assumptions &amp; Inputs'!$G43</f>
        <v>0</v>
      </c>
      <c r="AP18" s="519">
        <f>AP$13*'Assumptions &amp; Inputs'!$G43</f>
        <v>0</v>
      </c>
      <c r="AQ18" s="519">
        <f>AQ$13*'Assumptions &amp; Inputs'!$G43</f>
        <v>0</v>
      </c>
      <c r="AR18" s="519">
        <f>AR$13*'Assumptions &amp; Inputs'!$G43</f>
        <v>0</v>
      </c>
      <c r="AS18" s="519">
        <f>AS$13*'Assumptions &amp; Inputs'!$G43</f>
        <v>0</v>
      </c>
      <c r="AT18" s="519">
        <f>AT$13*'Assumptions &amp; Inputs'!$G43</f>
        <v>0</v>
      </c>
      <c r="AU18" s="519">
        <f>AU$13*'Assumptions &amp; Inputs'!$G43</f>
        <v>0</v>
      </c>
      <c r="AV18" s="519">
        <f>AV$13*'Assumptions &amp; Inputs'!$G43</f>
        <v>0</v>
      </c>
      <c r="AW18" s="520">
        <f>AW$13*'Assumptions &amp; Inputs'!$G43</f>
        <v>0</v>
      </c>
    </row>
    <row r="19" spans="1:49" ht="14.25" customHeight="1">
      <c r="A19" s="1"/>
      <c r="B19" s="84"/>
      <c r="C19" s="94" t="s">
        <v>224</v>
      </c>
      <c r="D19" s="519">
        <f>D$13*'Assumptions &amp; Inputs'!$G44</f>
        <v>-15.812499999999998</v>
      </c>
      <c r="E19" s="519">
        <f>E$13*'Assumptions &amp; Inputs'!$G44</f>
        <v>-1.4374999999999998</v>
      </c>
      <c r="F19" s="519">
        <f>F$13*'Assumptions &amp; Inputs'!$G44</f>
        <v>0</v>
      </c>
      <c r="G19" s="519">
        <f>G$13*'Assumptions &amp; Inputs'!$G44</f>
        <v>0</v>
      </c>
      <c r="H19" s="519">
        <f>H$13*'Assumptions &amp; Inputs'!$G44</f>
        <v>0</v>
      </c>
      <c r="I19" s="519">
        <f>I$13*'Assumptions &amp; Inputs'!$G44</f>
        <v>0</v>
      </c>
      <c r="J19" s="519">
        <f>J$13*'Assumptions &amp; Inputs'!$G44</f>
        <v>0</v>
      </c>
      <c r="K19" s="519">
        <f>K$13*'Assumptions &amp; Inputs'!$G44</f>
        <v>0</v>
      </c>
      <c r="L19" s="519">
        <f>L$13*'Assumptions &amp; Inputs'!$G44</f>
        <v>0</v>
      </c>
      <c r="M19" s="519">
        <f>M$13*'Assumptions &amp; Inputs'!$G44</f>
        <v>0</v>
      </c>
      <c r="N19" s="519">
        <f>N$13*'Assumptions &amp; Inputs'!$G44</f>
        <v>0</v>
      </c>
      <c r="O19" s="519">
        <f>O$13*'Assumptions &amp; Inputs'!$G44</f>
        <v>0</v>
      </c>
      <c r="P19" s="519">
        <f>P$13*'Assumptions &amp; Inputs'!$G44</f>
        <v>0</v>
      </c>
      <c r="Q19" s="519">
        <f>Q$13*'Assumptions &amp; Inputs'!$G44</f>
        <v>0</v>
      </c>
      <c r="R19" s="519">
        <f>R$13*'Assumptions &amp; Inputs'!$G44</f>
        <v>0</v>
      </c>
      <c r="S19" s="519">
        <f>S$13*'Assumptions &amp; Inputs'!$G44</f>
        <v>0</v>
      </c>
      <c r="T19" s="519">
        <f>T$13*'Assumptions &amp; Inputs'!$G44</f>
        <v>0</v>
      </c>
      <c r="U19" s="519">
        <f>U$13*'Assumptions &amp; Inputs'!$G44</f>
        <v>0</v>
      </c>
      <c r="V19" s="519">
        <f>V$13*'Assumptions &amp; Inputs'!$G44</f>
        <v>0</v>
      </c>
      <c r="W19" s="519">
        <f>W$13*'Assumptions &amp; Inputs'!$G44</f>
        <v>0</v>
      </c>
      <c r="X19" s="519">
        <f>X$13*'Assumptions &amp; Inputs'!$G44</f>
        <v>0</v>
      </c>
      <c r="Y19" s="519">
        <f>Y$13*'Assumptions &amp; Inputs'!$G44</f>
        <v>0</v>
      </c>
      <c r="Z19" s="519">
        <f>Z$13*'Assumptions &amp; Inputs'!$G44</f>
        <v>0</v>
      </c>
      <c r="AA19" s="519">
        <f>AA$13*'Assumptions &amp; Inputs'!$G44</f>
        <v>0</v>
      </c>
      <c r="AB19" s="519">
        <f>AB$13*'Assumptions &amp; Inputs'!$G44</f>
        <v>0</v>
      </c>
      <c r="AC19" s="519">
        <f>AC$13*'Assumptions &amp; Inputs'!$G44</f>
        <v>0</v>
      </c>
      <c r="AD19" s="519">
        <f>AD$13*'Assumptions &amp; Inputs'!$G44</f>
        <v>0</v>
      </c>
      <c r="AE19" s="519">
        <f>AE$13*'Assumptions &amp; Inputs'!$G44</f>
        <v>0</v>
      </c>
      <c r="AF19" s="519">
        <f>AF$13*'Assumptions &amp; Inputs'!$G44</f>
        <v>0</v>
      </c>
      <c r="AG19" s="519">
        <f>AG$13*'Assumptions &amp; Inputs'!$G44</f>
        <v>0</v>
      </c>
      <c r="AH19" s="519">
        <f>AH$13*'Assumptions &amp; Inputs'!$G44</f>
        <v>0</v>
      </c>
      <c r="AI19" s="519">
        <f>AI$13*'Assumptions &amp; Inputs'!$G44</f>
        <v>0</v>
      </c>
      <c r="AJ19" s="519">
        <f>AJ$13*'Assumptions &amp; Inputs'!$G44</f>
        <v>0</v>
      </c>
      <c r="AK19" s="519">
        <f>AK$13*'Assumptions &amp; Inputs'!$G44</f>
        <v>0</v>
      </c>
      <c r="AL19" s="519">
        <f>AL$13*'Assumptions &amp; Inputs'!$G44</f>
        <v>0</v>
      </c>
      <c r="AM19" s="519">
        <f>AM$13*'Assumptions &amp; Inputs'!$G44</f>
        <v>0</v>
      </c>
      <c r="AN19" s="519">
        <f>AN$13*'Assumptions &amp; Inputs'!$G44</f>
        <v>0</v>
      </c>
      <c r="AO19" s="519">
        <f>AO$13*'Assumptions &amp; Inputs'!$G44</f>
        <v>0</v>
      </c>
      <c r="AP19" s="519">
        <f>AP$13*'Assumptions &amp; Inputs'!$G44</f>
        <v>0</v>
      </c>
      <c r="AQ19" s="519">
        <f>AQ$13*'Assumptions &amp; Inputs'!$G44</f>
        <v>0</v>
      </c>
      <c r="AR19" s="519">
        <f>AR$13*'Assumptions &amp; Inputs'!$G44</f>
        <v>0</v>
      </c>
      <c r="AS19" s="519">
        <f>AS$13*'Assumptions &amp; Inputs'!$G44</f>
        <v>0</v>
      </c>
      <c r="AT19" s="519">
        <f>AT$13*'Assumptions &amp; Inputs'!$G44</f>
        <v>0</v>
      </c>
      <c r="AU19" s="519">
        <f>AU$13*'Assumptions &amp; Inputs'!$G44</f>
        <v>0</v>
      </c>
      <c r="AV19" s="519">
        <f>AV$13*'Assumptions &amp; Inputs'!$G44</f>
        <v>0</v>
      </c>
      <c r="AW19" s="520">
        <f>AW$13*'Assumptions &amp; Inputs'!$G44</f>
        <v>0</v>
      </c>
    </row>
    <row r="20" spans="1:49" ht="14.25" customHeight="1">
      <c r="A20" s="1"/>
      <c r="B20" s="84"/>
      <c r="C20" s="94" t="s">
        <v>225</v>
      </c>
      <c r="D20" s="519">
        <f>D$13*'Assumptions &amp; Inputs'!$G45</f>
        <v>-21.083333333333332</v>
      </c>
      <c r="E20" s="519">
        <f>E$13*'Assumptions &amp; Inputs'!$G45</f>
        <v>-1.9166666666666665</v>
      </c>
      <c r="F20" s="519">
        <f>F$13*'Assumptions &amp; Inputs'!$G45</f>
        <v>0</v>
      </c>
      <c r="G20" s="519">
        <f>G$13*'Assumptions &amp; Inputs'!$G45</f>
        <v>0</v>
      </c>
      <c r="H20" s="519">
        <f>H$13*'Assumptions &amp; Inputs'!$G45</f>
        <v>0</v>
      </c>
      <c r="I20" s="519">
        <f>I$13*'Assumptions &amp; Inputs'!$G45</f>
        <v>0</v>
      </c>
      <c r="J20" s="519">
        <f>J$13*'Assumptions &amp; Inputs'!$G45</f>
        <v>0</v>
      </c>
      <c r="K20" s="519">
        <f>K$13*'Assumptions &amp; Inputs'!$G45</f>
        <v>0</v>
      </c>
      <c r="L20" s="519">
        <f>L$13*'Assumptions &amp; Inputs'!$G45</f>
        <v>0</v>
      </c>
      <c r="M20" s="519">
        <f>M$13*'Assumptions &amp; Inputs'!$G45</f>
        <v>0</v>
      </c>
      <c r="N20" s="519">
        <f>N$13*'Assumptions &amp; Inputs'!$G45</f>
        <v>0</v>
      </c>
      <c r="O20" s="519">
        <f>O$13*'Assumptions &amp; Inputs'!$G45</f>
        <v>0</v>
      </c>
      <c r="P20" s="519">
        <f>P$13*'Assumptions &amp; Inputs'!$G45</f>
        <v>0</v>
      </c>
      <c r="Q20" s="519">
        <f>Q$13*'Assumptions &amp; Inputs'!$G45</f>
        <v>0</v>
      </c>
      <c r="R20" s="519">
        <f>R$13*'Assumptions &amp; Inputs'!$G45</f>
        <v>0</v>
      </c>
      <c r="S20" s="519">
        <f>S$13*'Assumptions &amp; Inputs'!$G45</f>
        <v>0</v>
      </c>
      <c r="T20" s="519">
        <f>T$13*'Assumptions &amp; Inputs'!$G45</f>
        <v>0</v>
      </c>
      <c r="U20" s="519">
        <f>U$13*'Assumptions &amp; Inputs'!$G45</f>
        <v>0</v>
      </c>
      <c r="V20" s="519">
        <f>V$13*'Assumptions &amp; Inputs'!$G45</f>
        <v>0</v>
      </c>
      <c r="W20" s="519">
        <f>W$13*'Assumptions &amp; Inputs'!$G45</f>
        <v>0</v>
      </c>
      <c r="X20" s="519">
        <f>X$13*'Assumptions &amp; Inputs'!$G45</f>
        <v>0</v>
      </c>
      <c r="Y20" s="519">
        <f>Y$13*'Assumptions &amp; Inputs'!$G45</f>
        <v>0</v>
      </c>
      <c r="Z20" s="519">
        <f>Z$13*'Assumptions &amp; Inputs'!$G45</f>
        <v>0</v>
      </c>
      <c r="AA20" s="519">
        <f>AA$13*'Assumptions &amp; Inputs'!$G45</f>
        <v>0</v>
      </c>
      <c r="AB20" s="519">
        <f>AB$13*'Assumptions &amp; Inputs'!$G45</f>
        <v>0</v>
      </c>
      <c r="AC20" s="519">
        <f>AC$13*'Assumptions &amp; Inputs'!$G45</f>
        <v>0</v>
      </c>
      <c r="AD20" s="519">
        <f>AD$13*'Assumptions &amp; Inputs'!$G45</f>
        <v>0</v>
      </c>
      <c r="AE20" s="519">
        <f>AE$13*'Assumptions &amp; Inputs'!$G45</f>
        <v>0</v>
      </c>
      <c r="AF20" s="519">
        <f>AF$13*'Assumptions &amp; Inputs'!$G45</f>
        <v>0</v>
      </c>
      <c r="AG20" s="519">
        <f>AG$13*'Assumptions &amp; Inputs'!$G45</f>
        <v>0</v>
      </c>
      <c r="AH20" s="519">
        <f>AH$13*'Assumptions &amp; Inputs'!$G45</f>
        <v>0</v>
      </c>
      <c r="AI20" s="519">
        <f>AI$13*'Assumptions &amp; Inputs'!$G45</f>
        <v>0</v>
      </c>
      <c r="AJ20" s="519">
        <f>AJ$13*'Assumptions &amp; Inputs'!$G45</f>
        <v>0</v>
      </c>
      <c r="AK20" s="519">
        <f>AK$13*'Assumptions &amp; Inputs'!$G45</f>
        <v>0</v>
      </c>
      <c r="AL20" s="519">
        <f>AL$13*'Assumptions &amp; Inputs'!$G45</f>
        <v>0</v>
      </c>
      <c r="AM20" s="519">
        <f>AM$13*'Assumptions &amp; Inputs'!$G45</f>
        <v>0</v>
      </c>
      <c r="AN20" s="519">
        <f>AN$13*'Assumptions &amp; Inputs'!$G45</f>
        <v>0</v>
      </c>
      <c r="AO20" s="519">
        <f>AO$13*'Assumptions &amp; Inputs'!$G45</f>
        <v>0</v>
      </c>
      <c r="AP20" s="519">
        <f>AP$13*'Assumptions &amp; Inputs'!$G45</f>
        <v>0</v>
      </c>
      <c r="AQ20" s="519">
        <f>AQ$13*'Assumptions &amp; Inputs'!$G45</f>
        <v>0</v>
      </c>
      <c r="AR20" s="519">
        <f>AR$13*'Assumptions &amp; Inputs'!$G45</f>
        <v>0</v>
      </c>
      <c r="AS20" s="519">
        <f>AS$13*'Assumptions &amp; Inputs'!$G45</f>
        <v>0</v>
      </c>
      <c r="AT20" s="519">
        <f>AT$13*'Assumptions &amp; Inputs'!$G45</f>
        <v>0</v>
      </c>
      <c r="AU20" s="519">
        <f>AU$13*'Assumptions &amp; Inputs'!$G45</f>
        <v>0</v>
      </c>
      <c r="AV20" s="519">
        <f>AV$13*'Assumptions &amp; Inputs'!$G45</f>
        <v>0</v>
      </c>
      <c r="AW20" s="520">
        <f>AW$13*'Assumptions &amp; Inputs'!$G45</f>
        <v>0</v>
      </c>
    </row>
    <row r="21" spans="1:49" ht="14.25" customHeight="1">
      <c r="A21" s="1"/>
      <c r="B21" s="84"/>
      <c r="C21" s="94" t="s">
        <v>226</v>
      </c>
      <c r="D21" s="519">
        <f>D$13*'Assumptions &amp; Inputs'!$G46</f>
        <v>-21.083333333333332</v>
      </c>
      <c r="E21" s="519">
        <f>E$13*'Assumptions &amp; Inputs'!$G46</f>
        <v>-1.9166666666666665</v>
      </c>
      <c r="F21" s="519">
        <f>F$13*'Assumptions &amp; Inputs'!$G46</f>
        <v>0</v>
      </c>
      <c r="G21" s="519">
        <f>G$13*'Assumptions &amp; Inputs'!$G46</f>
        <v>0</v>
      </c>
      <c r="H21" s="519">
        <f>H$13*'Assumptions &amp; Inputs'!$G46</f>
        <v>0</v>
      </c>
      <c r="I21" s="519">
        <f>I$13*'Assumptions &amp; Inputs'!$G46</f>
        <v>0</v>
      </c>
      <c r="J21" s="519">
        <f>J$13*'Assumptions &amp; Inputs'!$G46</f>
        <v>0</v>
      </c>
      <c r="K21" s="519">
        <f>K$13*'Assumptions &amp; Inputs'!$G46</f>
        <v>0</v>
      </c>
      <c r="L21" s="519">
        <f>L$13*'Assumptions &amp; Inputs'!$G46</f>
        <v>0</v>
      </c>
      <c r="M21" s="519">
        <f>M$13*'Assumptions &amp; Inputs'!$G46</f>
        <v>0</v>
      </c>
      <c r="N21" s="519">
        <f>N$13*'Assumptions &amp; Inputs'!$G46</f>
        <v>0</v>
      </c>
      <c r="O21" s="519">
        <f>O$13*'Assumptions &amp; Inputs'!$G46</f>
        <v>0</v>
      </c>
      <c r="P21" s="519">
        <f>P$13*'Assumptions &amp; Inputs'!$G46</f>
        <v>0</v>
      </c>
      <c r="Q21" s="519">
        <f>Q$13*'Assumptions &amp; Inputs'!$G46</f>
        <v>0</v>
      </c>
      <c r="R21" s="519">
        <f>R$13*'Assumptions &amp; Inputs'!$G46</f>
        <v>0</v>
      </c>
      <c r="S21" s="519">
        <f>S$13*'Assumptions &amp; Inputs'!$G46</f>
        <v>0</v>
      </c>
      <c r="T21" s="519">
        <f>T$13*'Assumptions &amp; Inputs'!$G46</f>
        <v>0</v>
      </c>
      <c r="U21" s="519">
        <f>U$13*'Assumptions &amp; Inputs'!$G46</f>
        <v>0</v>
      </c>
      <c r="V21" s="519">
        <f>V$13*'Assumptions &amp; Inputs'!$G46</f>
        <v>0</v>
      </c>
      <c r="W21" s="519">
        <f>W$13*'Assumptions &amp; Inputs'!$G46</f>
        <v>0</v>
      </c>
      <c r="X21" s="519">
        <f>X$13*'Assumptions &amp; Inputs'!$G46</f>
        <v>0</v>
      </c>
      <c r="Y21" s="519">
        <f>Y$13*'Assumptions &amp; Inputs'!$G46</f>
        <v>0</v>
      </c>
      <c r="Z21" s="519">
        <f>Z$13*'Assumptions &amp; Inputs'!$G46</f>
        <v>0</v>
      </c>
      <c r="AA21" s="519">
        <f>AA$13*'Assumptions &amp; Inputs'!$G46</f>
        <v>0</v>
      </c>
      <c r="AB21" s="519">
        <f>AB$13*'Assumptions &amp; Inputs'!$G46</f>
        <v>0</v>
      </c>
      <c r="AC21" s="519">
        <f>AC$13*'Assumptions &amp; Inputs'!$G46</f>
        <v>0</v>
      </c>
      <c r="AD21" s="519">
        <f>AD$13*'Assumptions &amp; Inputs'!$G46</f>
        <v>0</v>
      </c>
      <c r="AE21" s="519">
        <f>AE$13*'Assumptions &amp; Inputs'!$G46</f>
        <v>0</v>
      </c>
      <c r="AF21" s="519">
        <f>AF$13*'Assumptions &amp; Inputs'!$G46</f>
        <v>0</v>
      </c>
      <c r="AG21" s="519">
        <f>AG$13*'Assumptions &amp; Inputs'!$G46</f>
        <v>0</v>
      </c>
      <c r="AH21" s="519">
        <f>AH$13*'Assumptions &amp; Inputs'!$G46</f>
        <v>0</v>
      </c>
      <c r="AI21" s="519">
        <f>AI$13*'Assumptions &amp; Inputs'!$G46</f>
        <v>0</v>
      </c>
      <c r="AJ21" s="519">
        <f>AJ$13*'Assumptions &amp; Inputs'!$G46</f>
        <v>0</v>
      </c>
      <c r="AK21" s="519">
        <f>AK$13*'Assumptions &amp; Inputs'!$G46</f>
        <v>0</v>
      </c>
      <c r="AL21" s="519">
        <f>AL$13*'Assumptions &amp; Inputs'!$G46</f>
        <v>0</v>
      </c>
      <c r="AM21" s="519">
        <f>AM$13*'Assumptions &amp; Inputs'!$G46</f>
        <v>0</v>
      </c>
      <c r="AN21" s="519">
        <f>AN$13*'Assumptions &amp; Inputs'!$G46</f>
        <v>0</v>
      </c>
      <c r="AO21" s="519">
        <f>AO$13*'Assumptions &amp; Inputs'!$G46</f>
        <v>0</v>
      </c>
      <c r="AP21" s="519">
        <f>AP$13*'Assumptions &amp; Inputs'!$G46</f>
        <v>0</v>
      </c>
      <c r="AQ21" s="519">
        <f>AQ$13*'Assumptions &amp; Inputs'!$G46</f>
        <v>0</v>
      </c>
      <c r="AR21" s="519">
        <f>AR$13*'Assumptions &amp; Inputs'!$G46</f>
        <v>0</v>
      </c>
      <c r="AS21" s="519">
        <f>AS$13*'Assumptions &amp; Inputs'!$G46</f>
        <v>0</v>
      </c>
      <c r="AT21" s="519">
        <f>AT$13*'Assumptions &amp; Inputs'!$G46</f>
        <v>0</v>
      </c>
      <c r="AU21" s="519">
        <f>AU$13*'Assumptions &amp; Inputs'!$G46</f>
        <v>0</v>
      </c>
      <c r="AV21" s="519">
        <f>AV$13*'Assumptions &amp; Inputs'!$G46</f>
        <v>0</v>
      </c>
      <c r="AW21" s="520">
        <f>AW$13*'Assumptions &amp; Inputs'!$G46</f>
        <v>0</v>
      </c>
    </row>
    <row r="22" spans="1:49" ht="14.25" customHeight="1">
      <c r="A22" s="1"/>
      <c r="B22" s="84"/>
      <c r="C22" s="94" t="s">
        <v>227</v>
      </c>
      <c r="D22" s="519">
        <f>D$13*'Assumptions &amp; Inputs'!$G47</f>
        <v>-6.3249999999999993</v>
      </c>
      <c r="E22" s="519">
        <f>E$13*'Assumptions &amp; Inputs'!$G47</f>
        <v>-0.57499999999999996</v>
      </c>
      <c r="F22" s="519">
        <f>F$13*'Assumptions &amp; Inputs'!$G47</f>
        <v>0</v>
      </c>
      <c r="G22" s="519">
        <f>G$13*'Assumptions &amp; Inputs'!$G47</f>
        <v>0</v>
      </c>
      <c r="H22" s="519">
        <f>H$13*'Assumptions &amp; Inputs'!$G47</f>
        <v>0</v>
      </c>
      <c r="I22" s="519">
        <f>I$13*'Assumptions &amp; Inputs'!$G47</f>
        <v>0</v>
      </c>
      <c r="J22" s="519">
        <f>J$13*'Assumptions &amp; Inputs'!$G47</f>
        <v>0</v>
      </c>
      <c r="K22" s="519">
        <f>K$13*'Assumptions &amp; Inputs'!$G47</f>
        <v>0</v>
      </c>
      <c r="L22" s="519">
        <f>L$13*'Assumptions &amp; Inputs'!$G47</f>
        <v>0</v>
      </c>
      <c r="M22" s="519">
        <f>M$13*'Assumptions &amp; Inputs'!$G47</f>
        <v>0</v>
      </c>
      <c r="N22" s="519">
        <f>N$13*'Assumptions &amp; Inputs'!$G47</f>
        <v>0</v>
      </c>
      <c r="O22" s="519">
        <f>O$13*'Assumptions &amp; Inputs'!$G47</f>
        <v>0</v>
      </c>
      <c r="P22" s="519">
        <f>P$13*'Assumptions &amp; Inputs'!$G47</f>
        <v>0</v>
      </c>
      <c r="Q22" s="519">
        <f>Q$13*'Assumptions &amp; Inputs'!$G47</f>
        <v>0</v>
      </c>
      <c r="R22" s="519">
        <f>R$13*'Assumptions &amp; Inputs'!$G47</f>
        <v>0</v>
      </c>
      <c r="S22" s="519">
        <f>S$13*'Assumptions &amp; Inputs'!$G47</f>
        <v>0</v>
      </c>
      <c r="T22" s="519">
        <f>T$13*'Assumptions &amp; Inputs'!$G47</f>
        <v>0</v>
      </c>
      <c r="U22" s="519">
        <f>U$13*'Assumptions &amp; Inputs'!$G47</f>
        <v>0</v>
      </c>
      <c r="V22" s="519">
        <f>V$13*'Assumptions &amp; Inputs'!$G47</f>
        <v>0</v>
      </c>
      <c r="W22" s="519">
        <f>W$13*'Assumptions &amp; Inputs'!$G47</f>
        <v>0</v>
      </c>
      <c r="X22" s="519">
        <f>X$13*'Assumptions &amp; Inputs'!$G47</f>
        <v>0</v>
      </c>
      <c r="Y22" s="519">
        <f>Y$13*'Assumptions &amp; Inputs'!$G47</f>
        <v>0</v>
      </c>
      <c r="Z22" s="519">
        <f>Z$13*'Assumptions &amp; Inputs'!$G47</f>
        <v>0</v>
      </c>
      <c r="AA22" s="519">
        <f>AA$13*'Assumptions &amp; Inputs'!$G47</f>
        <v>0</v>
      </c>
      <c r="AB22" s="519">
        <f>AB$13*'Assumptions &amp; Inputs'!$G47</f>
        <v>0</v>
      </c>
      <c r="AC22" s="519">
        <f>AC$13*'Assumptions &amp; Inputs'!$G47</f>
        <v>0</v>
      </c>
      <c r="AD22" s="519">
        <f>AD$13*'Assumptions &amp; Inputs'!$G47</f>
        <v>0</v>
      </c>
      <c r="AE22" s="519">
        <f>AE$13*'Assumptions &amp; Inputs'!$G47</f>
        <v>0</v>
      </c>
      <c r="AF22" s="519">
        <f>AF$13*'Assumptions &amp; Inputs'!$G47</f>
        <v>0</v>
      </c>
      <c r="AG22" s="519">
        <f>AG$13*'Assumptions &amp; Inputs'!$G47</f>
        <v>0</v>
      </c>
      <c r="AH22" s="519">
        <f>AH$13*'Assumptions &amp; Inputs'!$G47</f>
        <v>0</v>
      </c>
      <c r="AI22" s="519">
        <f>AI$13*'Assumptions &amp; Inputs'!$G47</f>
        <v>0</v>
      </c>
      <c r="AJ22" s="519">
        <f>AJ$13*'Assumptions &amp; Inputs'!$G47</f>
        <v>0</v>
      </c>
      <c r="AK22" s="519">
        <f>AK$13*'Assumptions &amp; Inputs'!$G47</f>
        <v>0</v>
      </c>
      <c r="AL22" s="519">
        <f>AL$13*'Assumptions &amp; Inputs'!$G47</f>
        <v>0</v>
      </c>
      <c r="AM22" s="519">
        <f>AM$13*'Assumptions &amp; Inputs'!$G47</f>
        <v>0</v>
      </c>
      <c r="AN22" s="519">
        <f>AN$13*'Assumptions &amp; Inputs'!$G47</f>
        <v>0</v>
      </c>
      <c r="AO22" s="519">
        <f>AO$13*'Assumptions &amp; Inputs'!$G47</f>
        <v>0</v>
      </c>
      <c r="AP22" s="519">
        <f>AP$13*'Assumptions &amp; Inputs'!$G47</f>
        <v>0</v>
      </c>
      <c r="AQ22" s="519">
        <f>AQ$13*'Assumptions &amp; Inputs'!$G47</f>
        <v>0</v>
      </c>
      <c r="AR22" s="519">
        <f>AR$13*'Assumptions &amp; Inputs'!$G47</f>
        <v>0</v>
      </c>
      <c r="AS22" s="519">
        <f>AS$13*'Assumptions &amp; Inputs'!$G47</f>
        <v>0</v>
      </c>
      <c r="AT22" s="519">
        <f>AT$13*'Assumptions &amp; Inputs'!$G47</f>
        <v>0</v>
      </c>
      <c r="AU22" s="519">
        <f>AU$13*'Assumptions &amp; Inputs'!$G47</f>
        <v>0</v>
      </c>
      <c r="AV22" s="519">
        <f>AV$13*'Assumptions &amp; Inputs'!$G47</f>
        <v>0</v>
      </c>
      <c r="AW22" s="520">
        <f>AW$13*'Assumptions &amp; Inputs'!$G47</f>
        <v>0</v>
      </c>
    </row>
    <row r="23" spans="1:49" ht="14.25" customHeight="1">
      <c r="A23" s="1"/>
      <c r="B23" s="84"/>
      <c r="C23" s="96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98"/>
    </row>
    <row r="24" spans="1:49" ht="14.25" customHeight="1">
      <c r="A24" s="1"/>
      <c r="B24" s="84"/>
      <c r="C24" s="150" t="s">
        <v>359</v>
      </c>
      <c r="D24" s="517">
        <f t="shared" ref="D24:X24" si="56">D13</f>
        <v>-105.41666666666666</v>
      </c>
      <c r="E24" s="517">
        <f t="shared" si="56"/>
        <v>-9.5833333333333321</v>
      </c>
      <c r="F24" s="517">
        <f t="shared" si="56"/>
        <v>0</v>
      </c>
      <c r="G24" s="517">
        <f t="shared" si="56"/>
        <v>0</v>
      </c>
      <c r="H24" s="517">
        <f t="shared" si="56"/>
        <v>0</v>
      </c>
      <c r="I24" s="517">
        <f t="shared" si="56"/>
        <v>0</v>
      </c>
      <c r="J24" s="517">
        <f t="shared" si="56"/>
        <v>0</v>
      </c>
      <c r="K24" s="517">
        <f t="shared" si="56"/>
        <v>0</v>
      </c>
      <c r="L24" s="517">
        <f t="shared" si="56"/>
        <v>0</v>
      </c>
      <c r="M24" s="517">
        <f t="shared" si="56"/>
        <v>0</v>
      </c>
      <c r="N24" s="517">
        <f t="shared" si="56"/>
        <v>0</v>
      </c>
      <c r="O24" s="517">
        <f t="shared" si="56"/>
        <v>0</v>
      </c>
      <c r="P24" s="517">
        <f t="shared" si="56"/>
        <v>0</v>
      </c>
      <c r="Q24" s="517">
        <f t="shared" si="56"/>
        <v>0</v>
      </c>
      <c r="R24" s="517">
        <f t="shared" si="56"/>
        <v>0</v>
      </c>
      <c r="S24" s="517">
        <f t="shared" si="56"/>
        <v>0</v>
      </c>
      <c r="T24" s="517">
        <f t="shared" si="56"/>
        <v>0</v>
      </c>
      <c r="U24" s="517">
        <f t="shared" si="56"/>
        <v>0</v>
      </c>
      <c r="V24" s="517">
        <f t="shared" si="56"/>
        <v>0</v>
      </c>
      <c r="W24" s="517">
        <f t="shared" si="56"/>
        <v>0</v>
      </c>
      <c r="X24" s="517">
        <f t="shared" si="56"/>
        <v>0</v>
      </c>
      <c r="Y24" s="517">
        <f t="shared" ref="Y24:AW24" si="57">Y13</f>
        <v>0</v>
      </c>
      <c r="Z24" s="517">
        <f t="shared" si="57"/>
        <v>0</v>
      </c>
      <c r="AA24" s="517">
        <f t="shared" si="57"/>
        <v>0</v>
      </c>
      <c r="AB24" s="517">
        <f t="shared" si="57"/>
        <v>0</v>
      </c>
      <c r="AC24" s="517">
        <f t="shared" si="57"/>
        <v>0</v>
      </c>
      <c r="AD24" s="517">
        <f t="shared" si="57"/>
        <v>0</v>
      </c>
      <c r="AE24" s="517">
        <f t="shared" si="57"/>
        <v>0</v>
      </c>
      <c r="AF24" s="517">
        <f t="shared" si="57"/>
        <v>0</v>
      </c>
      <c r="AG24" s="517">
        <f t="shared" si="57"/>
        <v>0</v>
      </c>
      <c r="AH24" s="517">
        <f t="shared" si="57"/>
        <v>0</v>
      </c>
      <c r="AI24" s="517">
        <f t="shared" si="57"/>
        <v>0</v>
      </c>
      <c r="AJ24" s="517">
        <f t="shared" si="57"/>
        <v>0</v>
      </c>
      <c r="AK24" s="517">
        <f t="shared" si="57"/>
        <v>0</v>
      </c>
      <c r="AL24" s="517">
        <f t="shared" si="57"/>
        <v>0</v>
      </c>
      <c r="AM24" s="517">
        <f t="shared" si="57"/>
        <v>0</v>
      </c>
      <c r="AN24" s="517">
        <f t="shared" si="57"/>
        <v>0</v>
      </c>
      <c r="AO24" s="517">
        <f t="shared" si="57"/>
        <v>0</v>
      </c>
      <c r="AP24" s="517">
        <f t="shared" si="57"/>
        <v>0</v>
      </c>
      <c r="AQ24" s="517">
        <f t="shared" si="57"/>
        <v>0</v>
      </c>
      <c r="AR24" s="517">
        <f t="shared" si="57"/>
        <v>0</v>
      </c>
      <c r="AS24" s="517">
        <f t="shared" si="57"/>
        <v>0</v>
      </c>
      <c r="AT24" s="517">
        <f t="shared" si="57"/>
        <v>0</v>
      </c>
      <c r="AU24" s="517">
        <f t="shared" si="57"/>
        <v>0</v>
      </c>
      <c r="AV24" s="517">
        <f t="shared" si="57"/>
        <v>0</v>
      </c>
      <c r="AW24" s="521">
        <f t="shared" si="57"/>
        <v>0</v>
      </c>
    </row>
    <row r="25" spans="1:49" ht="14.25" customHeight="1" thickBot="1">
      <c r="A25" s="1"/>
      <c r="B25" s="84"/>
      <c r="C25" s="151" t="s">
        <v>360</v>
      </c>
      <c r="D25" s="176">
        <f>SUM(D24:AW24)</f>
        <v>-114.99999999999999</v>
      </c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9"/>
    </row>
    <row r="26" spans="1:49" ht="14.25" customHeight="1">
      <c r="A26" s="1"/>
      <c r="B26" s="1"/>
      <c r="C26" s="188"/>
      <c r="D26" s="195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</row>
    <row r="27" spans="1:49" ht="14.25" customHeight="1">
      <c r="A27" s="1"/>
      <c r="B27" s="1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</row>
    <row r="28" spans="1:49" ht="14.25" customHeight="1" thickBot="1">
      <c r="A28" s="1"/>
      <c r="B28" s="1"/>
      <c r="C28" s="9" t="s">
        <v>402</v>
      </c>
      <c r="D28" s="9"/>
      <c r="E28" s="10"/>
      <c r="F28" s="10"/>
      <c r="G28" s="10"/>
      <c r="H28" s="10"/>
      <c r="I28" s="10"/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ht="14.25" customHeight="1">
      <c r="A29" s="1" t="s">
        <v>351</v>
      </c>
      <c r="B29" s="1"/>
      <c r="C29" s="12" t="s">
        <v>353</v>
      </c>
    </row>
    <row r="30" spans="1:49" ht="14.25" customHeight="1">
      <c r="A30" s="1"/>
      <c r="B30" s="1"/>
      <c r="D30" s="90">
        <v>0</v>
      </c>
      <c r="E30" s="90">
        <f t="shared" ref="E30:X30" si="58">D30+1</f>
        <v>1</v>
      </c>
      <c r="F30" s="90">
        <f t="shared" si="58"/>
        <v>2</v>
      </c>
      <c r="G30" s="90">
        <f t="shared" si="58"/>
        <v>3</v>
      </c>
      <c r="H30" s="90">
        <f t="shared" si="58"/>
        <v>4</v>
      </c>
      <c r="I30" s="90">
        <f t="shared" si="58"/>
        <v>5</v>
      </c>
      <c r="J30" s="90">
        <f t="shared" si="58"/>
        <v>6</v>
      </c>
      <c r="K30" s="90">
        <f t="shared" si="58"/>
        <v>7</v>
      </c>
      <c r="L30" s="90">
        <f t="shared" si="58"/>
        <v>8</v>
      </c>
      <c r="M30" s="90">
        <f t="shared" si="58"/>
        <v>9</v>
      </c>
      <c r="N30" s="90">
        <f t="shared" si="58"/>
        <v>10</v>
      </c>
      <c r="O30" s="90">
        <f t="shared" si="58"/>
        <v>11</v>
      </c>
      <c r="P30" s="90">
        <f t="shared" si="58"/>
        <v>12</v>
      </c>
      <c r="Q30" s="90">
        <f t="shared" si="58"/>
        <v>13</v>
      </c>
      <c r="R30" s="90">
        <f t="shared" si="58"/>
        <v>14</v>
      </c>
      <c r="S30" s="90">
        <f t="shared" si="58"/>
        <v>15</v>
      </c>
      <c r="T30" s="90">
        <f t="shared" si="58"/>
        <v>16</v>
      </c>
      <c r="U30" s="90">
        <f t="shared" si="58"/>
        <v>17</v>
      </c>
      <c r="V30" s="90">
        <f t="shared" si="58"/>
        <v>18</v>
      </c>
      <c r="W30" s="90">
        <f t="shared" si="58"/>
        <v>19</v>
      </c>
      <c r="X30" s="90">
        <f t="shared" si="58"/>
        <v>20</v>
      </c>
      <c r="Y30" s="90">
        <f t="shared" ref="Y30" si="59">X30+1</f>
        <v>21</v>
      </c>
      <c r="Z30" s="90">
        <f t="shared" ref="Z30" si="60">Y30+1</f>
        <v>22</v>
      </c>
      <c r="AA30" s="90">
        <f t="shared" ref="AA30" si="61">Z30+1</f>
        <v>23</v>
      </c>
      <c r="AB30" s="90">
        <f t="shared" ref="AB30" si="62">AA30+1</f>
        <v>24</v>
      </c>
      <c r="AC30" s="90">
        <f t="shared" ref="AC30" si="63">AB30+1</f>
        <v>25</v>
      </c>
      <c r="AD30" s="90">
        <f t="shared" ref="AD30" si="64">AC30+1</f>
        <v>26</v>
      </c>
      <c r="AE30" s="90">
        <f t="shared" ref="AE30" si="65">AD30+1</f>
        <v>27</v>
      </c>
      <c r="AF30" s="90">
        <f t="shared" ref="AF30" si="66">AE30+1</f>
        <v>28</v>
      </c>
      <c r="AG30" s="90">
        <f t="shared" ref="AG30" si="67">AF30+1</f>
        <v>29</v>
      </c>
      <c r="AH30" s="90">
        <f t="shared" ref="AH30" si="68">AG30+1</f>
        <v>30</v>
      </c>
      <c r="AI30" s="90">
        <f t="shared" ref="AI30" si="69">AH30+1</f>
        <v>31</v>
      </c>
      <c r="AJ30" s="90">
        <f t="shared" ref="AJ30" si="70">AI30+1</f>
        <v>32</v>
      </c>
      <c r="AK30" s="90">
        <f t="shared" ref="AK30" si="71">AJ30+1</f>
        <v>33</v>
      </c>
      <c r="AL30" s="90">
        <f t="shared" ref="AL30" si="72">AK30+1</f>
        <v>34</v>
      </c>
      <c r="AM30" s="90">
        <f t="shared" ref="AM30" si="73">AL30+1</f>
        <v>35</v>
      </c>
      <c r="AN30" s="90">
        <f t="shared" ref="AN30" si="74">AM30+1</f>
        <v>36</v>
      </c>
      <c r="AO30" s="90">
        <f t="shared" ref="AO30" si="75">AN30+1</f>
        <v>37</v>
      </c>
      <c r="AP30" s="90">
        <f t="shared" ref="AP30" si="76">AO30+1</f>
        <v>38</v>
      </c>
      <c r="AQ30" s="90">
        <f t="shared" ref="AQ30" si="77">AP30+1</f>
        <v>39</v>
      </c>
      <c r="AR30" s="90">
        <f t="shared" ref="AR30" si="78">AQ30+1</f>
        <v>40</v>
      </c>
      <c r="AS30" s="90">
        <f t="shared" ref="AS30" si="79">AR30+1</f>
        <v>41</v>
      </c>
      <c r="AT30" s="90">
        <f t="shared" ref="AT30" si="80">AS30+1</f>
        <v>42</v>
      </c>
      <c r="AU30" s="90">
        <f t="shared" ref="AU30" si="81">AT30+1</f>
        <v>43</v>
      </c>
      <c r="AV30" s="90">
        <f t="shared" ref="AV30" si="82">AU30+1</f>
        <v>44</v>
      </c>
      <c r="AW30" s="90">
        <f t="shared" ref="AW30" si="83">AV30+1</f>
        <v>45</v>
      </c>
    </row>
    <row r="31" spans="1:49" ht="14.25" customHeight="1">
      <c r="A31" s="2"/>
      <c r="B31" s="2"/>
      <c r="C31" s="2"/>
      <c r="D31" s="2"/>
      <c r="E31" s="806" t="s">
        <v>354</v>
      </c>
      <c r="F31" s="806"/>
      <c r="G31" s="806"/>
      <c r="H31" s="806"/>
      <c r="I31" s="806"/>
      <c r="J31" s="806"/>
      <c r="K31" s="806"/>
      <c r="L31" s="806"/>
      <c r="M31" s="806"/>
      <c r="N31" s="806"/>
      <c r="O31" s="806"/>
      <c r="P31" s="806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</row>
    <row r="32" spans="1:49" ht="14.25" customHeight="1">
      <c r="A32" s="2"/>
      <c r="B32" s="2"/>
      <c r="C32" s="2"/>
      <c r="D32" s="3">
        <f>D9</f>
        <v>2026</v>
      </c>
      <c r="E32" s="91">
        <f t="shared" ref="E32" si="84">D32+1</f>
        <v>2027</v>
      </c>
      <c r="F32" s="91">
        <f t="shared" ref="F32" si="85">E32+1</f>
        <v>2028</v>
      </c>
      <c r="G32" s="91">
        <f t="shared" ref="G32" si="86">F32+1</f>
        <v>2029</v>
      </c>
      <c r="H32" s="91">
        <f t="shared" ref="H32" si="87">G32+1</f>
        <v>2030</v>
      </c>
      <c r="I32" s="91">
        <f t="shared" ref="I32" si="88">H32+1</f>
        <v>2031</v>
      </c>
      <c r="J32" s="91">
        <f t="shared" ref="J32" si="89">I32+1</f>
        <v>2032</v>
      </c>
      <c r="K32" s="91">
        <f t="shared" ref="K32" si="90">J32+1</f>
        <v>2033</v>
      </c>
      <c r="L32" s="91">
        <f t="shared" ref="L32" si="91">K32+1</f>
        <v>2034</v>
      </c>
      <c r="M32" s="91">
        <f t="shared" ref="M32" si="92">L32+1</f>
        <v>2035</v>
      </c>
      <c r="N32" s="91">
        <f t="shared" ref="N32" si="93">M32+1</f>
        <v>2036</v>
      </c>
      <c r="O32" s="91">
        <f t="shared" ref="O32" si="94">N32+1</f>
        <v>2037</v>
      </c>
      <c r="P32" s="91">
        <f t="shared" ref="P32" si="95">O32+1</f>
        <v>2038</v>
      </c>
      <c r="Q32" s="91">
        <f t="shared" ref="Q32" si="96">P32+1</f>
        <v>2039</v>
      </c>
      <c r="R32" s="91">
        <f t="shared" ref="R32" si="97">Q32+1</f>
        <v>2040</v>
      </c>
      <c r="S32" s="91">
        <f t="shared" ref="S32" si="98">R32+1</f>
        <v>2041</v>
      </c>
      <c r="T32" s="91">
        <f t="shared" ref="T32" si="99">S32+1</f>
        <v>2042</v>
      </c>
      <c r="U32" s="91">
        <f t="shared" ref="U32" si="100">T32+1</f>
        <v>2043</v>
      </c>
      <c r="V32" s="91">
        <f t="shared" ref="V32" si="101">U32+1</f>
        <v>2044</v>
      </c>
      <c r="W32" s="91">
        <f t="shared" ref="W32" si="102">V32+1</f>
        <v>2045</v>
      </c>
      <c r="X32" s="91">
        <f t="shared" ref="X32" si="103">W32+1</f>
        <v>2046</v>
      </c>
      <c r="Y32" s="91">
        <f t="shared" ref="Y32" si="104">X32+1</f>
        <v>2047</v>
      </c>
      <c r="Z32" s="91">
        <f t="shared" ref="Z32" si="105">Y32+1</f>
        <v>2048</v>
      </c>
      <c r="AA32" s="91">
        <f t="shared" ref="AA32" si="106">Z32+1</f>
        <v>2049</v>
      </c>
      <c r="AB32" s="91">
        <f t="shared" ref="AB32" si="107">AA32+1</f>
        <v>2050</v>
      </c>
      <c r="AC32" s="91">
        <f t="shared" ref="AC32" si="108">AB32+1</f>
        <v>2051</v>
      </c>
      <c r="AD32" s="91">
        <f t="shared" ref="AD32" si="109">AC32+1</f>
        <v>2052</v>
      </c>
      <c r="AE32" s="91">
        <f t="shared" ref="AE32" si="110">AD32+1</f>
        <v>2053</v>
      </c>
      <c r="AF32" s="91">
        <f t="shared" ref="AF32" si="111">AE32+1</f>
        <v>2054</v>
      </c>
      <c r="AG32" s="91">
        <f t="shared" ref="AG32" si="112">AF32+1</f>
        <v>2055</v>
      </c>
      <c r="AH32" s="91">
        <f t="shared" ref="AH32" si="113">AG32+1</f>
        <v>2056</v>
      </c>
      <c r="AI32" s="91">
        <f t="shared" ref="AI32" si="114">AH32+1</f>
        <v>2057</v>
      </c>
      <c r="AJ32" s="91">
        <f t="shared" ref="AJ32" si="115">AI32+1</f>
        <v>2058</v>
      </c>
      <c r="AK32" s="91">
        <f t="shared" ref="AK32" si="116">AJ32+1</f>
        <v>2059</v>
      </c>
      <c r="AL32" s="91">
        <f t="shared" ref="AL32" si="117">AK32+1</f>
        <v>2060</v>
      </c>
      <c r="AM32" s="91">
        <f t="shared" ref="AM32" si="118">AL32+1</f>
        <v>2061</v>
      </c>
      <c r="AN32" s="91">
        <f t="shared" ref="AN32" si="119">AM32+1</f>
        <v>2062</v>
      </c>
      <c r="AO32" s="91">
        <f t="shared" ref="AO32" si="120">AN32+1</f>
        <v>2063</v>
      </c>
      <c r="AP32" s="91">
        <f t="shared" ref="AP32" si="121">AO32+1</f>
        <v>2064</v>
      </c>
      <c r="AQ32" s="91">
        <f t="shared" ref="AQ32" si="122">AP32+1</f>
        <v>2065</v>
      </c>
      <c r="AR32" s="91">
        <f t="shared" ref="AR32" si="123">AQ32+1</f>
        <v>2066</v>
      </c>
      <c r="AS32" s="91">
        <f t="shared" ref="AS32" si="124">AR32+1</f>
        <v>2067</v>
      </c>
      <c r="AT32" s="91">
        <f t="shared" ref="AT32" si="125">AS32+1</f>
        <v>2068</v>
      </c>
      <c r="AU32" s="91">
        <f t="shared" ref="AU32" si="126">AT32+1</f>
        <v>2069</v>
      </c>
      <c r="AV32" s="91">
        <f t="shared" ref="AV32" si="127">AU32+1</f>
        <v>2070</v>
      </c>
      <c r="AW32" s="91">
        <f t="shared" ref="AW32" si="128">AV32+1</f>
        <v>2071</v>
      </c>
    </row>
    <row r="33" spans="1:49" ht="14.25" customHeight="1">
      <c r="A33" s="200"/>
      <c r="B33" s="200"/>
      <c r="C33" s="92"/>
      <c r="D33" s="93">
        <f>D10</f>
        <v>46023</v>
      </c>
      <c r="E33" s="93">
        <f>E10</f>
        <v>46752</v>
      </c>
      <c r="F33" s="93">
        <f t="shared" ref="F33:X33" si="129">F10</f>
        <v>47118</v>
      </c>
      <c r="G33" s="93">
        <f t="shared" si="129"/>
        <v>47483</v>
      </c>
      <c r="H33" s="93">
        <f t="shared" si="129"/>
        <v>47848</v>
      </c>
      <c r="I33" s="93">
        <f t="shared" si="129"/>
        <v>48213</v>
      </c>
      <c r="J33" s="93">
        <f t="shared" si="129"/>
        <v>48579</v>
      </c>
      <c r="K33" s="93">
        <f t="shared" si="129"/>
        <v>48944</v>
      </c>
      <c r="L33" s="93">
        <f t="shared" si="129"/>
        <v>49309</v>
      </c>
      <c r="M33" s="93">
        <f t="shared" si="129"/>
        <v>49674</v>
      </c>
      <c r="N33" s="93">
        <f t="shared" si="129"/>
        <v>50040</v>
      </c>
      <c r="O33" s="93">
        <f t="shared" si="129"/>
        <v>50405</v>
      </c>
      <c r="P33" s="93">
        <f t="shared" si="129"/>
        <v>50770</v>
      </c>
      <c r="Q33" s="93">
        <f t="shared" si="129"/>
        <v>51135</v>
      </c>
      <c r="R33" s="93">
        <f t="shared" si="129"/>
        <v>51501</v>
      </c>
      <c r="S33" s="93">
        <f t="shared" si="129"/>
        <v>51866</v>
      </c>
      <c r="T33" s="93">
        <f t="shared" si="129"/>
        <v>52231</v>
      </c>
      <c r="U33" s="93">
        <f t="shared" si="129"/>
        <v>52596</v>
      </c>
      <c r="V33" s="93">
        <f t="shared" si="129"/>
        <v>52962</v>
      </c>
      <c r="W33" s="93">
        <f t="shared" si="129"/>
        <v>53327</v>
      </c>
      <c r="X33" s="93">
        <f t="shared" si="129"/>
        <v>53692</v>
      </c>
      <c r="Y33" s="93">
        <f t="shared" ref="Y33:AW33" si="130">Y10</f>
        <v>54057</v>
      </c>
      <c r="Z33" s="93">
        <f t="shared" si="130"/>
        <v>54423</v>
      </c>
      <c r="AA33" s="93">
        <f t="shared" si="130"/>
        <v>54788</v>
      </c>
      <c r="AB33" s="93">
        <f t="shared" si="130"/>
        <v>55153</v>
      </c>
      <c r="AC33" s="93">
        <f t="shared" si="130"/>
        <v>55518</v>
      </c>
      <c r="AD33" s="93">
        <f t="shared" si="130"/>
        <v>55884</v>
      </c>
      <c r="AE33" s="93">
        <f t="shared" si="130"/>
        <v>56249</v>
      </c>
      <c r="AF33" s="93">
        <f t="shared" si="130"/>
        <v>56614</v>
      </c>
      <c r="AG33" s="93">
        <f t="shared" si="130"/>
        <v>56979</v>
      </c>
      <c r="AH33" s="93">
        <f t="shared" si="130"/>
        <v>57345</v>
      </c>
      <c r="AI33" s="93">
        <f t="shared" si="130"/>
        <v>57710</v>
      </c>
      <c r="AJ33" s="93">
        <f t="shared" si="130"/>
        <v>58075</v>
      </c>
      <c r="AK33" s="93">
        <f t="shared" si="130"/>
        <v>58440</v>
      </c>
      <c r="AL33" s="93">
        <f t="shared" si="130"/>
        <v>58806</v>
      </c>
      <c r="AM33" s="93">
        <f t="shared" si="130"/>
        <v>59171</v>
      </c>
      <c r="AN33" s="93">
        <f t="shared" si="130"/>
        <v>59536</v>
      </c>
      <c r="AO33" s="93">
        <f t="shared" si="130"/>
        <v>59901</v>
      </c>
      <c r="AP33" s="93">
        <f t="shared" si="130"/>
        <v>60267</v>
      </c>
      <c r="AQ33" s="93">
        <f t="shared" si="130"/>
        <v>60632</v>
      </c>
      <c r="AR33" s="93">
        <f t="shared" si="130"/>
        <v>60997</v>
      </c>
      <c r="AS33" s="93">
        <f t="shared" si="130"/>
        <v>61362</v>
      </c>
      <c r="AT33" s="93">
        <f t="shared" si="130"/>
        <v>61728</v>
      </c>
      <c r="AU33" s="93">
        <f t="shared" si="130"/>
        <v>62093</v>
      </c>
      <c r="AV33" s="93">
        <f t="shared" si="130"/>
        <v>62458</v>
      </c>
      <c r="AW33" s="93">
        <f t="shared" si="130"/>
        <v>62823</v>
      </c>
    </row>
    <row r="34" spans="1:49" ht="14.25" customHeight="1">
      <c r="A34" s="1"/>
      <c r="B34" s="1"/>
      <c r="C34" s="1" t="s">
        <v>403</v>
      </c>
      <c r="D34" s="15">
        <f>D128</f>
        <v>0</v>
      </c>
      <c r="E34" s="15">
        <f t="shared" ref="E34:X34" si="131">E128</f>
        <v>4.9244880000000002</v>
      </c>
      <c r="F34" s="15">
        <f t="shared" si="131"/>
        <v>6.1063136</v>
      </c>
      <c r="G34" s="15">
        <f t="shared" si="131"/>
        <v>6.2230838719999992</v>
      </c>
      <c r="H34" s="15">
        <f t="shared" si="131"/>
        <v>6.34202886944</v>
      </c>
      <c r="I34" s="15">
        <f t="shared" si="131"/>
        <v>6.4631872664288013</v>
      </c>
      <c r="J34" s="15">
        <f t="shared" si="131"/>
        <v>6.5865983659453775</v>
      </c>
      <c r="K34" s="15">
        <f t="shared" si="131"/>
        <v>6.7123021080779228</v>
      </c>
      <c r="L34" s="15">
        <f t="shared" si="131"/>
        <v>6.8403390782975313</v>
      </c>
      <c r="M34" s="15">
        <f t="shared" si="131"/>
        <v>6.9707505157632719</v>
      </c>
      <c r="N34" s="15">
        <f t="shared" si="131"/>
        <v>7.1035783216553217</v>
      </c>
      <c r="O34" s="15">
        <f t="shared" si="131"/>
        <v>7.2388650675325152</v>
      </c>
      <c r="P34" s="15">
        <f t="shared" si="131"/>
        <v>7.376654003710577</v>
      </c>
      <c r="Q34" s="15">
        <f t="shared" si="131"/>
        <v>7.5169890676570219</v>
      </c>
      <c r="R34" s="15">
        <f t="shared" si="131"/>
        <v>7.6599148923985627</v>
      </c>
      <c r="S34" s="15">
        <f t="shared" si="131"/>
        <v>7.805476814936581</v>
      </c>
      <c r="T34" s="15">
        <f t="shared" si="131"/>
        <v>7.9537208846660681</v>
      </c>
      <c r="U34" s="15">
        <f t="shared" si="131"/>
        <v>8.1046938717930672</v>
      </c>
      <c r="V34" s="15">
        <f t="shared" si="131"/>
        <v>8.2584432757456145</v>
      </c>
      <c r="W34" s="15">
        <f t="shared" si="131"/>
        <v>8.4150173335727132</v>
      </c>
      <c r="X34" s="15">
        <f t="shared" si="131"/>
        <v>8.5744650283257222</v>
      </c>
      <c r="Y34" s="15">
        <f t="shared" ref="Y34:AW34" si="132">Y128</f>
        <v>8.7368360974162353</v>
      </c>
      <c r="Z34" s="15">
        <f t="shared" si="132"/>
        <v>8.9021810409442779</v>
      </c>
      <c r="AA34" s="15">
        <f t="shared" si="132"/>
        <v>9.070551129990271</v>
      </c>
      <c r="AB34" s="15">
        <f t="shared" si="132"/>
        <v>9.2419984148640015</v>
      </c>
      <c r="AC34" s="15">
        <f t="shared" si="132"/>
        <v>9.416575733303425</v>
      </c>
      <c r="AD34" s="15">
        <f t="shared" si="132"/>
        <v>9.5943367186158994</v>
      </c>
      <c r="AE34" s="15">
        <f t="shared" si="132"/>
        <v>0</v>
      </c>
      <c r="AF34" s="15">
        <f t="shared" si="132"/>
        <v>0</v>
      </c>
      <c r="AG34" s="15">
        <f t="shared" si="132"/>
        <v>0</v>
      </c>
      <c r="AH34" s="15">
        <f t="shared" si="132"/>
        <v>0</v>
      </c>
      <c r="AI34" s="15">
        <f t="shared" si="132"/>
        <v>0</v>
      </c>
      <c r="AJ34" s="15">
        <f t="shared" si="132"/>
        <v>0</v>
      </c>
      <c r="AK34" s="15">
        <f t="shared" si="132"/>
        <v>0</v>
      </c>
      <c r="AL34" s="15">
        <f t="shared" si="132"/>
        <v>0</v>
      </c>
      <c r="AM34" s="15">
        <f t="shared" si="132"/>
        <v>0</v>
      </c>
      <c r="AN34" s="15">
        <f t="shared" si="132"/>
        <v>0</v>
      </c>
      <c r="AO34" s="15">
        <f t="shared" si="132"/>
        <v>0</v>
      </c>
      <c r="AP34" s="15">
        <f t="shared" si="132"/>
        <v>0</v>
      </c>
      <c r="AQ34" s="15">
        <f t="shared" si="132"/>
        <v>0</v>
      </c>
      <c r="AR34" s="15">
        <f t="shared" si="132"/>
        <v>0</v>
      </c>
      <c r="AS34" s="15">
        <f t="shared" si="132"/>
        <v>0</v>
      </c>
      <c r="AT34" s="15">
        <f t="shared" si="132"/>
        <v>0</v>
      </c>
      <c r="AU34" s="15">
        <f t="shared" si="132"/>
        <v>0</v>
      </c>
      <c r="AV34" s="15">
        <f t="shared" si="132"/>
        <v>0</v>
      </c>
      <c r="AW34" s="15">
        <f t="shared" si="132"/>
        <v>0</v>
      </c>
    </row>
    <row r="35" spans="1:49" s="149" customFormat="1" ht="14.25" customHeight="1">
      <c r="A35" s="1"/>
      <c r="B35" s="1"/>
      <c r="C35" s="524" t="str">
        <f>"   Less: Taxes @ "&amp;TEXT('Assumptions &amp; Inputs'!F12,"0.0%")</f>
        <v xml:space="preserve">   Less: Taxes @ 26.0%</v>
      </c>
      <c r="D35" s="153">
        <f>SUM(D138,D139)</f>
        <v>0</v>
      </c>
      <c r="E35" s="153">
        <f t="shared" ref="E35:X35" si="133">SUM(E138,E139)</f>
        <v>-1.2803668800000001</v>
      </c>
      <c r="F35" s="153">
        <f t="shared" si="133"/>
        <v>-1.587641536</v>
      </c>
      <c r="G35" s="153">
        <f t="shared" si="133"/>
        <v>-1.6180018067199999</v>
      </c>
      <c r="H35" s="153">
        <f t="shared" si="133"/>
        <v>-1.6489275060544</v>
      </c>
      <c r="I35" s="153">
        <f t="shared" si="133"/>
        <v>-1.6804286892714884</v>
      </c>
      <c r="J35" s="153">
        <f t="shared" si="133"/>
        <v>-1.7125155751457981</v>
      </c>
      <c r="K35" s="153">
        <f t="shared" si="133"/>
        <v>-1.7451985481002601</v>
      </c>
      <c r="L35" s="153">
        <f t="shared" si="133"/>
        <v>-1.7784881603573581</v>
      </c>
      <c r="M35" s="153">
        <f t="shared" si="133"/>
        <v>-1.8123951340984508</v>
      </c>
      <c r="N35" s="153">
        <f t="shared" si="133"/>
        <v>-1.8469303636303838</v>
      </c>
      <c r="O35" s="153">
        <f t="shared" si="133"/>
        <v>-1.8821049175584541</v>
      </c>
      <c r="P35" s="153">
        <f t="shared" si="133"/>
        <v>-1.9179300409647502</v>
      </c>
      <c r="Q35" s="153">
        <f t="shared" si="133"/>
        <v>-1.9544171575908258</v>
      </c>
      <c r="R35" s="153">
        <f t="shared" si="133"/>
        <v>-1.9915778720236263</v>
      </c>
      <c r="S35" s="153">
        <f t="shared" si="133"/>
        <v>-2.029423971883511</v>
      </c>
      <c r="T35" s="153">
        <f t="shared" si="133"/>
        <v>-2.0679674300131778</v>
      </c>
      <c r="U35" s="153">
        <f t="shared" si="133"/>
        <v>-2.1072204066661975</v>
      </c>
      <c r="V35" s="153">
        <f t="shared" si="133"/>
        <v>-2.1471952516938599</v>
      </c>
      <c r="W35" s="153">
        <f t="shared" si="133"/>
        <v>-2.1879045067289056</v>
      </c>
      <c r="X35" s="153">
        <f t="shared" si="133"/>
        <v>-2.2293609073646881</v>
      </c>
      <c r="Y35" s="153">
        <f t="shared" ref="Y35:AW35" si="134">SUM(Y138,Y139)</f>
        <v>-2.2715773853282211</v>
      </c>
      <c r="Z35" s="153">
        <f t="shared" si="134"/>
        <v>-2.3145670706455124</v>
      </c>
      <c r="AA35" s="153">
        <f t="shared" si="134"/>
        <v>-2.3583432937974704</v>
      </c>
      <c r="AB35" s="153">
        <f t="shared" si="134"/>
        <v>-2.4029195878646403</v>
      </c>
      <c r="AC35" s="153">
        <f t="shared" si="134"/>
        <v>-2.4483096906588906</v>
      </c>
      <c r="AD35" s="153">
        <f t="shared" si="134"/>
        <v>-2.4945275468401338</v>
      </c>
      <c r="AE35" s="153">
        <f t="shared" si="134"/>
        <v>0</v>
      </c>
      <c r="AF35" s="153">
        <f t="shared" si="134"/>
        <v>0</v>
      </c>
      <c r="AG35" s="153">
        <f t="shared" si="134"/>
        <v>0</v>
      </c>
      <c r="AH35" s="153">
        <f t="shared" si="134"/>
        <v>0</v>
      </c>
      <c r="AI35" s="153">
        <f t="shared" si="134"/>
        <v>0</v>
      </c>
      <c r="AJ35" s="153">
        <f t="shared" si="134"/>
        <v>0</v>
      </c>
      <c r="AK35" s="153">
        <f t="shared" si="134"/>
        <v>0</v>
      </c>
      <c r="AL35" s="153">
        <f t="shared" si="134"/>
        <v>0</v>
      </c>
      <c r="AM35" s="153">
        <f t="shared" si="134"/>
        <v>0</v>
      </c>
      <c r="AN35" s="153">
        <f t="shared" si="134"/>
        <v>0</v>
      </c>
      <c r="AO35" s="153">
        <f t="shared" si="134"/>
        <v>0</v>
      </c>
      <c r="AP35" s="153">
        <f t="shared" si="134"/>
        <v>0</v>
      </c>
      <c r="AQ35" s="153">
        <f t="shared" si="134"/>
        <v>0</v>
      </c>
      <c r="AR35" s="153">
        <f t="shared" si="134"/>
        <v>0</v>
      </c>
      <c r="AS35" s="153">
        <f t="shared" si="134"/>
        <v>0</v>
      </c>
      <c r="AT35" s="153">
        <f t="shared" si="134"/>
        <v>0</v>
      </c>
      <c r="AU35" s="153">
        <f t="shared" si="134"/>
        <v>0</v>
      </c>
      <c r="AV35" s="153">
        <f t="shared" si="134"/>
        <v>0</v>
      </c>
      <c r="AW35" s="153">
        <f t="shared" si="134"/>
        <v>0</v>
      </c>
    </row>
    <row r="36" spans="1:49" ht="14.25" customHeight="1">
      <c r="A36" s="1"/>
      <c r="B36" s="1"/>
      <c r="C36" s="1" t="s">
        <v>404</v>
      </c>
      <c r="D36" s="8">
        <f t="shared" ref="D36:X36" si="135">SUM(D34:D35)</f>
        <v>0</v>
      </c>
      <c r="E36" s="8">
        <f t="shared" si="135"/>
        <v>3.6441211200000003</v>
      </c>
      <c r="F36" s="8">
        <f t="shared" si="135"/>
        <v>4.5186720640000004</v>
      </c>
      <c r="G36" s="8">
        <f t="shared" si="135"/>
        <v>4.6050820652799995</v>
      </c>
      <c r="H36" s="8">
        <f t="shared" si="135"/>
        <v>4.6931013633856002</v>
      </c>
      <c r="I36" s="8">
        <f t="shared" si="135"/>
        <v>4.7827585771573133</v>
      </c>
      <c r="J36" s="8">
        <f t="shared" si="135"/>
        <v>4.8740827907995792</v>
      </c>
      <c r="K36" s="8">
        <f t="shared" si="135"/>
        <v>4.9671035599776623</v>
      </c>
      <c r="L36" s="8">
        <f t="shared" si="135"/>
        <v>5.0618509179401734</v>
      </c>
      <c r="M36" s="8">
        <f t="shared" si="135"/>
        <v>5.1583553816648209</v>
      </c>
      <c r="N36" s="8">
        <f t="shared" si="135"/>
        <v>5.2566479580249377</v>
      </c>
      <c r="O36" s="8">
        <f t="shared" si="135"/>
        <v>5.3567601499740611</v>
      </c>
      <c r="P36" s="8">
        <f t="shared" si="135"/>
        <v>5.4587239627458271</v>
      </c>
      <c r="Q36" s="8">
        <f t="shared" si="135"/>
        <v>5.5625719100661959</v>
      </c>
      <c r="R36" s="8">
        <f t="shared" si="135"/>
        <v>5.6683370203749366</v>
      </c>
      <c r="S36" s="8">
        <f t="shared" si="135"/>
        <v>5.77605284305307</v>
      </c>
      <c r="T36" s="8">
        <f t="shared" si="135"/>
        <v>5.8857534546528907</v>
      </c>
      <c r="U36" s="8">
        <f t="shared" si="135"/>
        <v>5.9974734651268697</v>
      </c>
      <c r="V36" s="8">
        <f t="shared" si="135"/>
        <v>6.1112480240517542</v>
      </c>
      <c r="W36" s="8">
        <f t="shared" si="135"/>
        <v>6.2271128268438076</v>
      </c>
      <c r="X36" s="8">
        <f t="shared" si="135"/>
        <v>6.3451041209610342</v>
      </c>
      <c r="Y36" s="8">
        <f t="shared" ref="Y36:AW36" si="136">SUM(Y34:Y35)</f>
        <v>6.4652587120880138</v>
      </c>
      <c r="Z36" s="8">
        <f t="shared" si="136"/>
        <v>6.5876139702987651</v>
      </c>
      <c r="AA36" s="8">
        <f t="shared" si="136"/>
        <v>6.7122078361928006</v>
      </c>
      <c r="AB36" s="8">
        <f t="shared" si="136"/>
        <v>6.8390788269993612</v>
      </c>
      <c r="AC36" s="8">
        <f t="shared" si="136"/>
        <v>6.9682660426445349</v>
      </c>
      <c r="AD36" s="8">
        <f t="shared" si="136"/>
        <v>7.0998091717757656</v>
      </c>
      <c r="AE36" s="8">
        <f t="shared" si="136"/>
        <v>0</v>
      </c>
      <c r="AF36" s="8">
        <f t="shared" si="136"/>
        <v>0</v>
      </c>
      <c r="AG36" s="8">
        <f t="shared" si="136"/>
        <v>0</v>
      </c>
      <c r="AH36" s="8">
        <f t="shared" si="136"/>
        <v>0</v>
      </c>
      <c r="AI36" s="8">
        <f t="shared" si="136"/>
        <v>0</v>
      </c>
      <c r="AJ36" s="8">
        <f t="shared" si="136"/>
        <v>0</v>
      </c>
      <c r="AK36" s="8">
        <f t="shared" si="136"/>
        <v>0</v>
      </c>
      <c r="AL36" s="8">
        <f t="shared" si="136"/>
        <v>0</v>
      </c>
      <c r="AM36" s="8">
        <f t="shared" si="136"/>
        <v>0</v>
      </c>
      <c r="AN36" s="8">
        <f t="shared" si="136"/>
        <v>0</v>
      </c>
      <c r="AO36" s="8">
        <f t="shared" si="136"/>
        <v>0</v>
      </c>
      <c r="AP36" s="8">
        <f t="shared" si="136"/>
        <v>0</v>
      </c>
      <c r="AQ36" s="8">
        <f t="shared" si="136"/>
        <v>0</v>
      </c>
      <c r="AR36" s="8">
        <f t="shared" si="136"/>
        <v>0</v>
      </c>
      <c r="AS36" s="8">
        <f t="shared" si="136"/>
        <v>0</v>
      </c>
      <c r="AT36" s="8">
        <f t="shared" si="136"/>
        <v>0</v>
      </c>
      <c r="AU36" s="8">
        <f t="shared" si="136"/>
        <v>0</v>
      </c>
      <c r="AV36" s="8">
        <f t="shared" si="136"/>
        <v>0</v>
      </c>
      <c r="AW36" s="8">
        <f t="shared" si="136"/>
        <v>0</v>
      </c>
    </row>
    <row r="37" spans="1:49" ht="14.25" customHeight="1">
      <c r="A37" s="1"/>
      <c r="B37" s="1"/>
      <c r="C37" s="17" t="s">
        <v>405</v>
      </c>
      <c r="D37" s="15">
        <f t="shared" ref="D37" si="137">-D147</f>
        <v>0</v>
      </c>
      <c r="E37" s="15">
        <f>-E147</f>
        <v>0</v>
      </c>
      <c r="F37" s="15">
        <f t="shared" ref="F37:X37" si="138">-F147</f>
        <v>4.3699999999999992</v>
      </c>
      <c r="G37" s="15">
        <f t="shared" si="138"/>
        <v>4.3699999999999992</v>
      </c>
      <c r="H37" s="15">
        <f t="shared" si="138"/>
        <v>4.3699999999999992</v>
      </c>
      <c r="I37" s="15">
        <f t="shared" si="138"/>
        <v>4.3699999999999992</v>
      </c>
      <c r="J37" s="15">
        <f t="shared" si="138"/>
        <v>4.3699999999999992</v>
      </c>
      <c r="K37" s="15">
        <f t="shared" si="138"/>
        <v>4.3699999999999992</v>
      </c>
      <c r="L37" s="15">
        <f t="shared" si="138"/>
        <v>4.3699999999999992</v>
      </c>
      <c r="M37" s="15">
        <f t="shared" si="138"/>
        <v>4.3699999999999992</v>
      </c>
      <c r="N37" s="15">
        <f t="shared" si="138"/>
        <v>4.3699999999999992</v>
      </c>
      <c r="O37" s="15">
        <f t="shared" si="138"/>
        <v>4.3699999999999992</v>
      </c>
      <c r="P37" s="15">
        <f t="shared" si="138"/>
        <v>4.3699999999999992</v>
      </c>
      <c r="Q37" s="15">
        <f t="shared" si="138"/>
        <v>4.3699999999999992</v>
      </c>
      <c r="R37" s="15">
        <f t="shared" si="138"/>
        <v>4.3699999999999992</v>
      </c>
      <c r="S37" s="15">
        <f t="shared" si="138"/>
        <v>4.3699999999999992</v>
      </c>
      <c r="T37" s="15">
        <f t="shared" si="138"/>
        <v>4.3699999999999992</v>
      </c>
      <c r="U37" s="15">
        <f t="shared" si="138"/>
        <v>4.3699999999999992</v>
      </c>
      <c r="V37" s="15">
        <f t="shared" si="138"/>
        <v>4.3699999999999992</v>
      </c>
      <c r="W37" s="15">
        <f t="shared" si="138"/>
        <v>4.3699999999999992</v>
      </c>
      <c r="X37" s="15">
        <f t="shared" si="138"/>
        <v>4.3699999999999992</v>
      </c>
      <c r="Y37" s="15">
        <f t="shared" ref="Y37:AW37" si="139">-Y147</f>
        <v>4.3699999999999992</v>
      </c>
      <c r="Z37" s="15">
        <f t="shared" si="139"/>
        <v>4.3699999999999992</v>
      </c>
      <c r="AA37" s="15">
        <f t="shared" si="139"/>
        <v>4.3699999999999992</v>
      </c>
      <c r="AB37" s="15">
        <f t="shared" si="139"/>
        <v>4.3699999999999992</v>
      </c>
      <c r="AC37" s="15">
        <f t="shared" si="139"/>
        <v>4.3699999999999992</v>
      </c>
      <c r="AD37" s="15">
        <f t="shared" si="139"/>
        <v>4.3699999999999992</v>
      </c>
      <c r="AE37" s="15">
        <f t="shared" si="139"/>
        <v>0</v>
      </c>
      <c r="AF37" s="15">
        <f t="shared" si="139"/>
        <v>0</v>
      </c>
      <c r="AG37" s="15">
        <f t="shared" si="139"/>
        <v>0</v>
      </c>
      <c r="AH37" s="15">
        <f t="shared" si="139"/>
        <v>0</v>
      </c>
      <c r="AI37" s="15">
        <f t="shared" si="139"/>
        <v>0</v>
      </c>
      <c r="AJ37" s="15">
        <f t="shared" si="139"/>
        <v>0</v>
      </c>
      <c r="AK37" s="15">
        <f t="shared" si="139"/>
        <v>0</v>
      </c>
      <c r="AL37" s="15">
        <f t="shared" si="139"/>
        <v>0</v>
      </c>
      <c r="AM37" s="15">
        <f t="shared" si="139"/>
        <v>0</v>
      </c>
      <c r="AN37" s="15">
        <f t="shared" si="139"/>
        <v>0</v>
      </c>
      <c r="AO37" s="15">
        <f t="shared" si="139"/>
        <v>0</v>
      </c>
      <c r="AP37" s="15">
        <f t="shared" si="139"/>
        <v>0</v>
      </c>
      <c r="AQ37" s="15">
        <f t="shared" si="139"/>
        <v>0</v>
      </c>
      <c r="AR37" s="15">
        <f t="shared" si="139"/>
        <v>0</v>
      </c>
      <c r="AS37" s="15">
        <f t="shared" si="139"/>
        <v>0</v>
      </c>
      <c r="AT37" s="15">
        <f t="shared" si="139"/>
        <v>0</v>
      </c>
      <c r="AU37" s="15">
        <f t="shared" si="139"/>
        <v>0</v>
      </c>
      <c r="AV37" s="15">
        <f t="shared" si="139"/>
        <v>0</v>
      </c>
      <c r="AW37" s="15">
        <f t="shared" si="139"/>
        <v>0</v>
      </c>
    </row>
    <row r="38" spans="1:49" ht="14.25" customHeight="1">
      <c r="A38" s="1"/>
      <c r="B38" s="1"/>
      <c r="C38" s="17" t="s">
        <v>406</v>
      </c>
      <c r="D38" s="18">
        <f t="shared" ref="D38:X38" si="140">D24</f>
        <v>-105.41666666666666</v>
      </c>
      <c r="E38" s="18">
        <f t="shared" si="140"/>
        <v>-9.5833333333333321</v>
      </c>
      <c r="F38" s="18">
        <f t="shared" si="140"/>
        <v>0</v>
      </c>
      <c r="G38" s="18">
        <f t="shared" si="140"/>
        <v>0</v>
      </c>
      <c r="H38" s="18">
        <f t="shared" si="140"/>
        <v>0</v>
      </c>
      <c r="I38" s="18">
        <f t="shared" si="140"/>
        <v>0</v>
      </c>
      <c r="J38" s="18">
        <f t="shared" si="140"/>
        <v>0</v>
      </c>
      <c r="K38" s="18">
        <f t="shared" si="140"/>
        <v>0</v>
      </c>
      <c r="L38" s="18">
        <f t="shared" si="140"/>
        <v>0</v>
      </c>
      <c r="M38" s="18">
        <f t="shared" si="140"/>
        <v>0</v>
      </c>
      <c r="N38" s="18">
        <f t="shared" si="140"/>
        <v>0</v>
      </c>
      <c r="O38" s="18">
        <f t="shared" si="140"/>
        <v>0</v>
      </c>
      <c r="P38" s="18">
        <f t="shared" si="140"/>
        <v>0</v>
      </c>
      <c r="Q38" s="18">
        <f t="shared" si="140"/>
        <v>0</v>
      </c>
      <c r="R38" s="18">
        <f t="shared" si="140"/>
        <v>0</v>
      </c>
      <c r="S38" s="18">
        <f t="shared" si="140"/>
        <v>0</v>
      </c>
      <c r="T38" s="18">
        <f t="shared" si="140"/>
        <v>0</v>
      </c>
      <c r="U38" s="18">
        <f t="shared" si="140"/>
        <v>0</v>
      </c>
      <c r="V38" s="18">
        <f t="shared" si="140"/>
        <v>0</v>
      </c>
      <c r="W38" s="18">
        <f t="shared" si="140"/>
        <v>0</v>
      </c>
      <c r="X38" s="18">
        <f t="shared" si="140"/>
        <v>0</v>
      </c>
      <c r="Y38" s="18">
        <f t="shared" ref="Y38:AW38" si="141">Y24</f>
        <v>0</v>
      </c>
      <c r="Z38" s="18">
        <f t="shared" si="141"/>
        <v>0</v>
      </c>
      <c r="AA38" s="18">
        <f t="shared" si="141"/>
        <v>0</v>
      </c>
      <c r="AB38" s="18">
        <f t="shared" si="141"/>
        <v>0</v>
      </c>
      <c r="AC38" s="18">
        <f t="shared" si="141"/>
        <v>0</v>
      </c>
      <c r="AD38" s="18">
        <f t="shared" si="141"/>
        <v>0</v>
      </c>
      <c r="AE38" s="18">
        <f t="shared" si="141"/>
        <v>0</v>
      </c>
      <c r="AF38" s="18">
        <f t="shared" si="141"/>
        <v>0</v>
      </c>
      <c r="AG38" s="18">
        <f t="shared" si="141"/>
        <v>0</v>
      </c>
      <c r="AH38" s="18">
        <f t="shared" si="141"/>
        <v>0</v>
      </c>
      <c r="AI38" s="18">
        <f t="shared" si="141"/>
        <v>0</v>
      </c>
      <c r="AJ38" s="18">
        <f t="shared" si="141"/>
        <v>0</v>
      </c>
      <c r="AK38" s="18">
        <f t="shared" si="141"/>
        <v>0</v>
      </c>
      <c r="AL38" s="18">
        <f t="shared" si="141"/>
        <v>0</v>
      </c>
      <c r="AM38" s="18">
        <f t="shared" si="141"/>
        <v>0</v>
      </c>
      <c r="AN38" s="18">
        <f t="shared" si="141"/>
        <v>0</v>
      </c>
      <c r="AO38" s="18">
        <f t="shared" si="141"/>
        <v>0</v>
      </c>
      <c r="AP38" s="18">
        <f t="shared" si="141"/>
        <v>0</v>
      </c>
      <c r="AQ38" s="18">
        <f t="shared" si="141"/>
        <v>0</v>
      </c>
      <c r="AR38" s="18">
        <f t="shared" si="141"/>
        <v>0</v>
      </c>
      <c r="AS38" s="18">
        <f t="shared" si="141"/>
        <v>0</v>
      </c>
      <c r="AT38" s="18">
        <f t="shared" si="141"/>
        <v>0</v>
      </c>
      <c r="AU38" s="18">
        <f t="shared" si="141"/>
        <v>0</v>
      </c>
      <c r="AV38" s="18">
        <f t="shared" si="141"/>
        <v>0</v>
      </c>
      <c r="AW38" s="18">
        <f t="shared" si="141"/>
        <v>0</v>
      </c>
    </row>
    <row r="39" spans="1:49" ht="14.25" customHeight="1">
      <c r="A39" s="1"/>
      <c r="B39" s="1"/>
      <c r="C39" s="17" t="s">
        <v>407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</row>
    <row r="40" spans="1:49" ht="14.25" customHeight="1">
      <c r="A40" s="1"/>
      <c r="B40" s="1"/>
      <c r="C40" s="20" t="s">
        <v>408</v>
      </c>
      <c r="D40" s="21">
        <f>SUM(D36:D39)</f>
        <v>-105.41666666666666</v>
      </c>
      <c r="E40" s="21">
        <f>SUM(E36:E39)</f>
        <v>-5.9392122133333318</v>
      </c>
      <c r="F40" s="21">
        <f>SUM(F36:F39)</f>
        <v>8.8886720639999997</v>
      </c>
      <c r="G40" s="21">
        <f t="shared" ref="G40:X40" si="142">SUM(G36:G39)</f>
        <v>8.9750820652799987</v>
      </c>
      <c r="H40" s="21">
        <f t="shared" si="142"/>
        <v>9.0631013633855986</v>
      </c>
      <c r="I40" s="21">
        <f t="shared" si="142"/>
        <v>9.1527585771573126</v>
      </c>
      <c r="J40" s="21">
        <f t="shared" si="142"/>
        <v>9.2440827907995775</v>
      </c>
      <c r="K40" s="21">
        <f t="shared" si="142"/>
        <v>9.3371035599776615</v>
      </c>
      <c r="L40" s="21">
        <f t="shared" si="142"/>
        <v>9.4318509179401726</v>
      </c>
      <c r="M40" s="21">
        <f t="shared" si="142"/>
        <v>9.5283553816648201</v>
      </c>
      <c r="N40" s="21">
        <f t="shared" si="142"/>
        <v>9.626647958024936</v>
      </c>
      <c r="O40" s="21">
        <f t="shared" si="142"/>
        <v>9.7267601499740604</v>
      </c>
      <c r="P40" s="21">
        <f t="shared" si="142"/>
        <v>9.8287239627458263</v>
      </c>
      <c r="Q40" s="21">
        <f t="shared" si="142"/>
        <v>9.9325719100661942</v>
      </c>
      <c r="R40" s="21">
        <f t="shared" si="142"/>
        <v>10.038337020374936</v>
      </c>
      <c r="S40" s="21">
        <f t="shared" si="142"/>
        <v>10.14605284305307</v>
      </c>
      <c r="T40" s="21">
        <f t="shared" si="142"/>
        <v>10.25575345465289</v>
      </c>
      <c r="U40" s="21">
        <f t="shared" si="142"/>
        <v>10.367473465126869</v>
      </c>
      <c r="V40" s="21">
        <f t="shared" si="142"/>
        <v>10.481248024051753</v>
      </c>
      <c r="W40" s="21">
        <f t="shared" si="142"/>
        <v>10.597112826843807</v>
      </c>
      <c r="X40" s="21">
        <f t="shared" si="142"/>
        <v>10.715104120961033</v>
      </c>
      <c r="Y40" s="21">
        <f t="shared" ref="Y40:AW40" si="143">SUM(Y36:Y39)</f>
        <v>10.835258712088013</v>
      </c>
      <c r="Z40" s="21">
        <f t="shared" si="143"/>
        <v>10.957613970298764</v>
      </c>
      <c r="AA40" s="21">
        <f t="shared" si="143"/>
        <v>11.082207836192801</v>
      </c>
      <c r="AB40" s="21">
        <f t="shared" si="143"/>
        <v>11.20907882699936</v>
      </c>
      <c r="AC40" s="21">
        <f t="shared" si="143"/>
        <v>11.338266042644534</v>
      </c>
      <c r="AD40" s="21">
        <f t="shared" si="143"/>
        <v>11.469809171775765</v>
      </c>
      <c r="AE40" s="21">
        <f t="shared" si="143"/>
        <v>0</v>
      </c>
      <c r="AF40" s="21">
        <f t="shared" si="143"/>
        <v>0</v>
      </c>
      <c r="AG40" s="21">
        <f t="shared" si="143"/>
        <v>0</v>
      </c>
      <c r="AH40" s="21">
        <f t="shared" si="143"/>
        <v>0</v>
      </c>
      <c r="AI40" s="21">
        <f t="shared" si="143"/>
        <v>0</v>
      </c>
      <c r="AJ40" s="21">
        <f t="shared" si="143"/>
        <v>0</v>
      </c>
      <c r="AK40" s="21">
        <f t="shared" si="143"/>
        <v>0</v>
      </c>
      <c r="AL40" s="21">
        <f t="shared" si="143"/>
        <v>0</v>
      </c>
      <c r="AM40" s="21">
        <f t="shared" si="143"/>
        <v>0</v>
      </c>
      <c r="AN40" s="21">
        <f t="shared" si="143"/>
        <v>0</v>
      </c>
      <c r="AO40" s="21">
        <f t="shared" si="143"/>
        <v>0</v>
      </c>
      <c r="AP40" s="21">
        <f t="shared" si="143"/>
        <v>0</v>
      </c>
      <c r="AQ40" s="21">
        <f t="shared" si="143"/>
        <v>0</v>
      </c>
      <c r="AR40" s="21">
        <f t="shared" si="143"/>
        <v>0</v>
      </c>
      <c r="AS40" s="21">
        <f t="shared" si="143"/>
        <v>0</v>
      </c>
      <c r="AT40" s="21">
        <f t="shared" si="143"/>
        <v>0</v>
      </c>
      <c r="AU40" s="21">
        <f t="shared" si="143"/>
        <v>0</v>
      </c>
      <c r="AV40" s="21">
        <f t="shared" si="143"/>
        <v>0</v>
      </c>
      <c r="AW40" s="21">
        <f t="shared" si="143"/>
        <v>0</v>
      </c>
    </row>
    <row r="41" spans="1:49" ht="14.25" customHeight="1">
      <c r="A41" s="1"/>
      <c r="B41" s="1"/>
      <c r="C41" s="1" t="s">
        <v>409</v>
      </c>
      <c r="D41" s="15">
        <f>-E65</f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4.25" customHeight="1">
      <c r="A42" s="1"/>
      <c r="B42" s="1"/>
      <c r="C42" s="1" t="s">
        <v>410</v>
      </c>
      <c r="D42" s="1">
        <f>IF(AND(MOD(D32-YEAR('Assumptions &amp; Inputs'!$F$31),'Assumptions &amp; Inputs'!$F$34)=0, D32&lt;=YEAR('Assumptions &amp; Inputs'!$F$36), D9&gt;YEAR('Assumptions &amp; Inputs'!$F$31)),'Assumptions &amp; Inputs'!$F$37*'Assumptions &amp; Inputs'!$F$38*IF(D32-'Assumptions &amp; Inputs'!$F$34&gt;YEAR('Assumptions &amp; Inputs'!$F$31), 'Assumptions &amp; Inputs'!$F$33, 1), 0)</f>
        <v>0</v>
      </c>
      <c r="E42" s="1">
        <f>IF(AND(MOD(E32-YEAR('Assumptions &amp; Inputs'!$F$31),'Assumptions &amp; Inputs'!$F$34)=0, E32&lt;=YEAR('Assumptions &amp; Inputs'!$F$36), E9&gt;YEAR('Assumptions &amp; Inputs'!$F$31)),'Assumptions &amp; Inputs'!$F$37*'Assumptions &amp; Inputs'!$F$38*IF(E32-'Assumptions &amp; Inputs'!$F$34&gt;YEAR('Assumptions &amp; Inputs'!$F$31), 'Assumptions &amp; Inputs'!$F$33, 1), 0)</f>
        <v>0</v>
      </c>
      <c r="F42" s="1">
        <f>IF(AND(MOD(F32-YEAR('Assumptions &amp; Inputs'!$F$31),'Assumptions &amp; Inputs'!$F$34)=0, F32&lt;=YEAR('Assumptions &amp; Inputs'!$F$36), F9&gt;YEAR('Assumptions &amp; Inputs'!$F$31)),'Assumptions &amp; Inputs'!$F$37*'Assumptions &amp; Inputs'!$F$38*IF(F32-'Assumptions &amp; Inputs'!$F$34&gt;YEAR('Assumptions &amp; Inputs'!$F$31), 'Assumptions &amp; Inputs'!$F$33, 1), 0)</f>
        <v>0</v>
      </c>
      <c r="G42" s="1">
        <f>IF(AND(MOD(G32-YEAR('Assumptions &amp; Inputs'!$F$31),'Assumptions &amp; Inputs'!$F$34)=0, G32&lt;=YEAR('Assumptions &amp; Inputs'!$F$36), G9&gt;YEAR('Assumptions &amp; Inputs'!$F$31)),'Assumptions &amp; Inputs'!$F$37*'Assumptions &amp; Inputs'!$F$38*IF(G32-'Assumptions &amp; Inputs'!$F$34&gt;YEAR('Assumptions &amp; Inputs'!$F$31), 'Assumptions &amp; Inputs'!$F$33, 1), 0)</f>
        <v>0</v>
      </c>
      <c r="H42" s="1">
        <f>IF(AND(MOD(H32-YEAR('Assumptions &amp; Inputs'!$F$31),'Assumptions &amp; Inputs'!$F$34)=0, H32&lt;=YEAR('Assumptions &amp; Inputs'!$F$36), H9&gt;YEAR('Assumptions &amp; Inputs'!$F$31)),'Assumptions &amp; Inputs'!$F$37*'Assumptions &amp; Inputs'!$F$38*IF(H32-'Assumptions &amp; Inputs'!$F$34&gt;YEAR('Assumptions &amp; Inputs'!$F$31), 'Assumptions &amp; Inputs'!$F$33, 1), 0)</f>
        <v>0</v>
      </c>
      <c r="I42" s="1">
        <f>IF(AND(MOD(I32-YEAR('Assumptions &amp; Inputs'!$F$31),'Assumptions &amp; Inputs'!$F$34)=0, I32&lt;=YEAR('Assumptions &amp; Inputs'!$F$36), I9&gt;YEAR('Assumptions &amp; Inputs'!$F$31)),'Assumptions &amp; Inputs'!$F$37*'Assumptions &amp; Inputs'!$F$38*IF(I32-'Assumptions &amp; Inputs'!$F$34&gt;YEAR('Assumptions &amp; Inputs'!$F$31), 'Assumptions &amp; Inputs'!$F$33, 1), 0)</f>
        <v>0</v>
      </c>
      <c r="J42" s="1">
        <f>IF(AND(MOD(J32-YEAR('Assumptions &amp; Inputs'!$F$31),'Assumptions &amp; Inputs'!$F$34)=0, J32&lt;=YEAR('Assumptions &amp; Inputs'!$F$36), J9&gt;YEAR('Assumptions &amp; Inputs'!$F$31)),'Assumptions &amp; Inputs'!$F$37*'Assumptions &amp; Inputs'!$F$38*IF(J32-'Assumptions &amp; Inputs'!$F$34&gt;YEAR('Assumptions &amp; Inputs'!$F$31), 'Assumptions &amp; Inputs'!$F$33, 1), 0)</f>
        <v>0</v>
      </c>
      <c r="K42" s="1">
        <f>IF(AND(MOD(K32-YEAR('Assumptions &amp; Inputs'!$F$31),'Assumptions &amp; Inputs'!$F$34)=0, K32&lt;=YEAR('Assumptions &amp; Inputs'!$F$36), K9&gt;YEAR('Assumptions &amp; Inputs'!$F$31)),'Assumptions &amp; Inputs'!$F$37*'Assumptions &amp; Inputs'!$F$38*IF(K32-'Assumptions &amp; Inputs'!$F$34&gt;YEAR('Assumptions &amp; Inputs'!$F$31), 'Assumptions &amp; Inputs'!$F$33, 1), 0)</f>
        <v>0</v>
      </c>
      <c r="L42" s="1">
        <f>IF(AND(MOD(L32-YEAR('Assumptions &amp; Inputs'!$F$31),'Assumptions &amp; Inputs'!$F$34)=0, L32&lt;=YEAR('Assumptions &amp; Inputs'!$F$36), L9&gt;YEAR('Assumptions &amp; Inputs'!$F$31)),'Assumptions &amp; Inputs'!$F$37*'Assumptions &amp; Inputs'!$F$38*IF(L32-'Assumptions &amp; Inputs'!$F$34&gt;YEAR('Assumptions &amp; Inputs'!$F$31), 'Assumptions &amp; Inputs'!$F$33, 1), 0)</f>
        <v>0</v>
      </c>
      <c r="M42" s="1">
        <f>IF(AND(MOD(M32-YEAR('Assumptions &amp; Inputs'!$F$31),'Assumptions &amp; Inputs'!$F$34)=0, M32&lt;=YEAR('Assumptions &amp; Inputs'!$F$36), M9&gt;YEAR('Assumptions &amp; Inputs'!$F$31)),'Assumptions &amp; Inputs'!$F$37*'Assumptions &amp; Inputs'!$F$38*IF(M32-'Assumptions &amp; Inputs'!$F$34&gt;YEAR('Assumptions &amp; Inputs'!$F$31), 'Assumptions &amp; Inputs'!$F$33, 1), 0)</f>
        <v>0</v>
      </c>
      <c r="N42" s="1">
        <f>IF(AND(MOD(N32-YEAR('Assumptions &amp; Inputs'!$F$31),'Assumptions &amp; Inputs'!$F$34)=0, N32&lt;=YEAR('Assumptions &amp; Inputs'!$F$36), N9&gt;YEAR('Assumptions &amp; Inputs'!$F$31)),'Assumptions &amp; Inputs'!$F$37*'Assumptions &amp; Inputs'!$F$38*IF(N32-'Assumptions &amp; Inputs'!$F$34&gt;YEAR('Assumptions &amp; Inputs'!$F$31), 'Assumptions &amp; Inputs'!$F$33, 1), 0)</f>
        <v>0</v>
      </c>
      <c r="O42" s="1">
        <f>IF(AND(MOD(O32-YEAR('Assumptions &amp; Inputs'!$F$31),'Assumptions &amp; Inputs'!$F$34)=0, O32&lt;=YEAR('Assumptions &amp; Inputs'!$F$36), O9&gt;YEAR('Assumptions &amp; Inputs'!$F$31)),'Assumptions &amp; Inputs'!$F$37*'Assumptions &amp; Inputs'!$F$38*IF(O32-'Assumptions &amp; Inputs'!$F$34&gt;YEAR('Assumptions &amp; Inputs'!$F$31), 'Assumptions &amp; Inputs'!$F$33, 1), 0)</f>
        <v>0</v>
      </c>
      <c r="P42" s="1">
        <f>IF(AND(MOD(P32-YEAR('Assumptions &amp; Inputs'!$F$31),'Assumptions &amp; Inputs'!$F$34)=0, P32&lt;=YEAR('Assumptions &amp; Inputs'!$F$36), P9&gt;YEAR('Assumptions &amp; Inputs'!$F$31)),'Assumptions &amp; Inputs'!$F$37*'Assumptions &amp; Inputs'!$F$38*IF(P32-'Assumptions &amp; Inputs'!$F$34&gt;YEAR('Assumptions &amp; Inputs'!$F$31), 'Assumptions &amp; Inputs'!$F$33, 1), 0)</f>
        <v>0</v>
      </c>
      <c r="Q42" s="1">
        <f>IF(AND(MOD(Q32-YEAR('Assumptions &amp; Inputs'!$F$31),'Assumptions &amp; Inputs'!$F$34)=0, Q32&lt;=YEAR('Assumptions &amp; Inputs'!$F$36), Q9&gt;YEAR('Assumptions &amp; Inputs'!$F$31)),'Assumptions &amp; Inputs'!$F$37*'Assumptions &amp; Inputs'!$F$38*IF(Q32-'Assumptions &amp; Inputs'!$F$34&gt;YEAR('Assumptions &amp; Inputs'!$F$31), 'Assumptions &amp; Inputs'!$F$33, 1), 0)</f>
        <v>0</v>
      </c>
      <c r="R42" s="1">
        <f>IF(AND(MOD(R32-YEAR('Assumptions &amp; Inputs'!$F$31),'Assumptions &amp; Inputs'!$F$34)=0, R32&lt;=YEAR('Assumptions &amp; Inputs'!$F$36), R9&gt;YEAR('Assumptions &amp; Inputs'!$F$31)),'Assumptions &amp; Inputs'!$F$37*'Assumptions &amp; Inputs'!$F$38*IF(R32-'Assumptions &amp; Inputs'!$F$34&gt;YEAR('Assumptions &amp; Inputs'!$F$31), 'Assumptions &amp; Inputs'!$F$33, 1), 0)</f>
        <v>0</v>
      </c>
      <c r="S42" s="1">
        <f>IF(AND(MOD(S32-YEAR('Assumptions &amp; Inputs'!$F$31),'Assumptions &amp; Inputs'!$F$34)=0, S32&lt;=YEAR('Assumptions &amp; Inputs'!$F$36), S9&gt;YEAR('Assumptions &amp; Inputs'!$F$31)),'Assumptions &amp; Inputs'!$F$37*'Assumptions &amp; Inputs'!$F$38*IF(S32-'Assumptions &amp; Inputs'!$F$34&gt;YEAR('Assumptions &amp; Inputs'!$F$31), 'Assumptions &amp; Inputs'!$F$33, 1), 0)</f>
        <v>0</v>
      </c>
      <c r="T42" s="1">
        <f>IF(AND(MOD(T32-YEAR('Assumptions &amp; Inputs'!$F$31),'Assumptions &amp; Inputs'!$F$34)=0, T32&lt;=YEAR('Assumptions &amp; Inputs'!$F$36), T9&gt;YEAR('Assumptions &amp; Inputs'!$F$31)),'Assumptions &amp; Inputs'!$F$37*'Assumptions &amp; Inputs'!$F$38*IF(T32-'Assumptions &amp; Inputs'!$F$34&gt;YEAR('Assumptions &amp; Inputs'!$F$31), 'Assumptions &amp; Inputs'!$F$33, 1), 0)</f>
        <v>0</v>
      </c>
      <c r="U42" s="1">
        <f>IF(AND(MOD(U32-YEAR('Assumptions &amp; Inputs'!$F$31),'Assumptions &amp; Inputs'!$F$34)=0, U32&lt;=YEAR('Assumptions &amp; Inputs'!$F$36), U9&gt;YEAR('Assumptions &amp; Inputs'!$F$31)),'Assumptions &amp; Inputs'!$F$37*'Assumptions &amp; Inputs'!$F$38*IF(U32-'Assumptions &amp; Inputs'!$F$34&gt;YEAR('Assumptions &amp; Inputs'!$F$31), 'Assumptions &amp; Inputs'!$F$33, 1), 0)</f>
        <v>0</v>
      </c>
      <c r="V42" s="1">
        <f>IF(AND(MOD(V32-YEAR('Assumptions &amp; Inputs'!$F$31),'Assumptions &amp; Inputs'!$F$34)=0, V32&lt;=YEAR('Assumptions &amp; Inputs'!$F$36), V9&gt;YEAR('Assumptions &amp; Inputs'!$F$31)),'Assumptions &amp; Inputs'!$F$37*'Assumptions &amp; Inputs'!$F$38*IF(V32-'Assumptions &amp; Inputs'!$F$34&gt;YEAR('Assumptions &amp; Inputs'!$F$31), 'Assumptions &amp; Inputs'!$F$33, 1), 0)</f>
        <v>0</v>
      </c>
      <c r="W42" s="1">
        <f>IF(AND(MOD(W32-YEAR('Assumptions &amp; Inputs'!$F$31),'Assumptions &amp; Inputs'!$F$34)=0, W32&lt;=YEAR('Assumptions &amp; Inputs'!$F$36), W9&gt;YEAR('Assumptions &amp; Inputs'!$F$31)),'Assumptions &amp; Inputs'!$F$37*'Assumptions &amp; Inputs'!$F$38*IF(W32-'Assumptions &amp; Inputs'!$F$34&gt;YEAR('Assumptions &amp; Inputs'!$F$31), 'Assumptions &amp; Inputs'!$F$33, 1), 0)</f>
        <v>0</v>
      </c>
      <c r="X42" s="1">
        <f>IF(AND(MOD(X32-YEAR('Assumptions &amp; Inputs'!$F$31),'Assumptions &amp; Inputs'!$F$34)=0, X32&lt;=YEAR('Assumptions &amp; Inputs'!$F$36), X9&gt;YEAR('Assumptions &amp; Inputs'!$F$31)),'Assumptions &amp; Inputs'!$F$37*'Assumptions &amp; Inputs'!$F$38*IF(X32-'Assumptions &amp; Inputs'!$F$34&gt;YEAR('Assumptions &amp; Inputs'!$F$31), 'Assumptions &amp; Inputs'!$F$33, 1), 0)</f>
        <v>0</v>
      </c>
      <c r="Y42" s="1">
        <f>IF(AND(MOD(Y32-YEAR('Assumptions &amp; Inputs'!$F$31),'Assumptions &amp; Inputs'!$F$34)=0, Y32&lt;=YEAR('Assumptions &amp; Inputs'!$F$36), Y9&gt;YEAR('Assumptions &amp; Inputs'!$F$31)),'Assumptions &amp; Inputs'!$F$37*'Assumptions &amp; Inputs'!$F$38*IF(Y32-'Assumptions &amp; Inputs'!$F$34&gt;YEAR('Assumptions &amp; Inputs'!$F$31), 'Assumptions &amp; Inputs'!$F$33, 1), 0)</f>
        <v>0</v>
      </c>
      <c r="Z42" s="1">
        <f>IF(AND(MOD(Z32-YEAR('Assumptions &amp; Inputs'!$F$31),'Assumptions &amp; Inputs'!$F$34)=0, Z32&lt;=YEAR('Assumptions &amp; Inputs'!$F$36), Z9&gt;YEAR('Assumptions &amp; Inputs'!$F$31)),'Assumptions &amp; Inputs'!$F$37*'Assumptions &amp; Inputs'!$F$38*IF(Z32-'Assumptions &amp; Inputs'!$F$34&gt;YEAR('Assumptions &amp; Inputs'!$F$31), 'Assumptions &amp; Inputs'!$F$33, 1), 0)</f>
        <v>0</v>
      </c>
      <c r="AA42" s="1">
        <f>IF(AND(MOD(AA32-YEAR('Assumptions &amp; Inputs'!$F$31),'Assumptions &amp; Inputs'!$F$34)=0, AA32&lt;=YEAR('Assumptions &amp; Inputs'!$F$36), AA9&gt;YEAR('Assumptions &amp; Inputs'!$F$31)),'Assumptions &amp; Inputs'!$F$37*'Assumptions &amp; Inputs'!$F$38*IF(AA32-'Assumptions &amp; Inputs'!$F$34&gt;YEAR('Assumptions &amp; Inputs'!$F$31), 'Assumptions &amp; Inputs'!$F$33, 1), 0)</f>
        <v>0</v>
      </c>
      <c r="AB42" s="1">
        <f>IF(AND(MOD(AB32-YEAR('Assumptions &amp; Inputs'!$F$31),'Assumptions &amp; Inputs'!$F$34)=0, AB32&lt;=YEAR('Assumptions &amp; Inputs'!$F$36), AB9&gt;YEAR('Assumptions &amp; Inputs'!$F$31)),'Assumptions &amp; Inputs'!$F$37*'Assumptions &amp; Inputs'!$F$38*IF(AB32-'Assumptions &amp; Inputs'!$F$34&gt;YEAR('Assumptions &amp; Inputs'!$F$31), 'Assumptions &amp; Inputs'!$F$33, 1), 0)</f>
        <v>0</v>
      </c>
      <c r="AC42" s="1">
        <f>IF(AND(MOD(AC32-YEAR('Assumptions &amp; Inputs'!$F$31),'Assumptions &amp; Inputs'!$F$34)=0, AC32&lt;=YEAR('Assumptions &amp; Inputs'!$F$36), AC9&gt;YEAR('Assumptions &amp; Inputs'!$F$31)),'Assumptions &amp; Inputs'!$F$37*'Assumptions &amp; Inputs'!$F$38*IF(AC32-'Assumptions &amp; Inputs'!$F$34&gt;YEAR('Assumptions &amp; Inputs'!$F$31), 'Assumptions &amp; Inputs'!$F$33, 1), 0)</f>
        <v>0</v>
      </c>
      <c r="AD42" s="1">
        <f>IF(AND(MOD(AD32-YEAR('Assumptions &amp; Inputs'!$F$31),'Assumptions &amp; Inputs'!$F$34)=0, AD32&lt;=YEAR('Assumptions &amp; Inputs'!$F$36), AD9&gt;YEAR('Assumptions &amp; Inputs'!$F$31)),'Assumptions &amp; Inputs'!$F$37*'Assumptions &amp; Inputs'!$F$38*IF(AD32-'Assumptions &amp; Inputs'!$F$34&gt;YEAR('Assumptions &amp; Inputs'!$F$31), 'Assumptions &amp; Inputs'!$F$33, 1), 0)</f>
        <v>5.75</v>
      </c>
      <c r="AE42" s="1">
        <f>IF(AND(MOD(AE32-YEAR('Assumptions &amp; Inputs'!$F$31),'Assumptions &amp; Inputs'!$F$34)=0, AE32&lt;=YEAR('Assumptions &amp; Inputs'!$F$36), AE9&gt;YEAR('Assumptions &amp; Inputs'!$F$31)),'Assumptions &amp; Inputs'!$F$37*'Assumptions &amp; Inputs'!$F$38*IF(AE32-'Assumptions &amp; Inputs'!$F$34&gt;YEAR('Assumptions &amp; Inputs'!$F$31), 'Assumptions &amp; Inputs'!$F$33, 1), 0)</f>
        <v>0</v>
      </c>
      <c r="AF42" s="1">
        <f>IF(AND(MOD(AF32-YEAR('Assumptions &amp; Inputs'!$F$31),'Assumptions &amp; Inputs'!$F$34)=0, AF32&lt;=YEAR('Assumptions &amp; Inputs'!$F$36), AF9&gt;YEAR('Assumptions &amp; Inputs'!$F$31)),'Assumptions &amp; Inputs'!$F$37*'Assumptions &amp; Inputs'!$F$38*IF(AF32-'Assumptions &amp; Inputs'!$F$34&gt;YEAR('Assumptions &amp; Inputs'!$F$31), 'Assumptions &amp; Inputs'!$F$33, 1), 0)</f>
        <v>0</v>
      </c>
      <c r="AG42" s="1">
        <f>IF(AND(MOD(AG32-YEAR('Assumptions &amp; Inputs'!$F$31),'Assumptions &amp; Inputs'!$F$34)=0, AG32&lt;=YEAR('Assumptions &amp; Inputs'!$F$36), AG9&gt;YEAR('Assumptions &amp; Inputs'!$F$31)),'Assumptions &amp; Inputs'!$F$37*'Assumptions &amp; Inputs'!$F$38*IF(AG32-'Assumptions &amp; Inputs'!$F$34&gt;YEAR('Assumptions &amp; Inputs'!$F$31), 'Assumptions &amp; Inputs'!$F$33, 1), 0)</f>
        <v>0</v>
      </c>
      <c r="AH42" s="1">
        <f>IF(AND(MOD(AH32-YEAR('Assumptions &amp; Inputs'!$F$31),'Assumptions &amp; Inputs'!$F$34)=0, AH32&lt;=YEAR('Assumptions &amp; Inputs'!$F$36), AH9&gt;YEAR('Assumptions &amp; Inputs'!$F$31)),'Assumptions &amp; Inputs'!$F$37*'Assumptions &amp; Inputs'!$F$38*IF(AH32-'Assumptions &amp; Inputs'!$F$34&gt;YEAR('Assumptions &amp; Inputs'!$F$31), 'Assumptions &amp; Inputs'!$F$33, 1), 0)</f>
        <v>0</v>
      </c>
      <c r="AI42" s="1">
        <f>IF(AND(MOD(AI32-YEAR('Assumptions &amp; Inputs'!$F$31),'Assumptions &amp; Inputs'!$F$34)=0, AI32&lt;=YEAR('Assumptions &amp; Inputs'!$F$36), AI9&gt;YEAR('Assumptions &amp; Inputs'!$F$31)),'Assumptions &amp; Inputs'!$F$37*'Assumptions &amp; Inputs'!$F$38*IF(AI32-'Assumptions &amp; Inputs'!$F$34&gt;YEAR('Assumptions &amp; Inputs'!$F$31), 'Assumptions &amp; Inputs'!$F$33, 1), 0)</f>
        <v>0</v>
      </c>
      <c r="AJ42" s="1">
        <f>IF(AND(MOD(AJ32-YEAR('Assumptions &amp; Inputs'!$F$31),'Assumptions &amp; Inputs'!$F$34)=0, AJ32&lt;=YEAR('Assumptions &amp; Inputs'!$F$36), AJ9&gt;YEAR('Assumptions &amp; Inputs'!$F$31)),'Assumptions &amp; Inputs'!$F$37*'Assumptions &amp; Inputs'!$F$38*IF(AJ32-'Assumptions &amp; Inputs'!$F$34&gt;YEAR('Assumptions &amp; Inputs'!$F$31), 'Assumptions &amp; Inputs'!$F$33, 1), 0)</f>
        <v>0</v>
      </c>
      <c r="AK42" s="1">
        <f>IF(AND(MOD(AK32-YEAR('Assumptions &amp; Inputs'!$F$31),'Assumptions &amp; Inputs'!$F$34)=0, AK32&lt;=YEAR('Assumptions &amp; Inputs'!$F$36), AK9&gt;YEAR('Assumptions &amp; Inputs'!$F$31)),'Assumptions &amp; Inputs'!$F$37*'Assumptions &amp; Inputs'!$F$38*IF(AK32-'Assumptions &amp; Inputs'!$F$34&gt;YEAR('Assumptions &amp; Inputs'!$F$31), 'Assumptions &amp; Inputs'!$F$33, 1), 0)</f>
        <v>0</v>
      </c>
      <c r="AL42" s="1">
        <f>IF(AND(MOD(AL32-YEAR('Assumptions &amp; Inputs'!$F$31),'Assumptions &amp; Inputs'!$F$34)=0, AL32&lt;=YEAR('Assumptions &amp; Inputs'!$F$36), AL9&gt;YEAR('Assumptions &amp; Inputs'!$F$31)),'Assumptions &amp; Inputs'!$F$37*'Assumptions &amp; Inputs'!$F$38*IF(AL32-'Assumptions &amp; Inputs'!$F$34&gt;YEAR('Assumptions &amp; Inputs'!$F$31), 'Assumptions &amp; Inputs'!$F$33, 1), 0)</f>
        <v>0</v>
      </c>
      <c r="AM42" s="1">
        <f>IF(AND(MOD(AM32-YEAR('Assumptions &amp; Inputs'!$F$31),'Assumptions &amp; Inputs'!$F$34)=0, AM32&lt;=YEAR('Assumptions &amp; Inputs'!$F$36), AM9&gt;YEAR('Assumptions &amp; Inputs'!$F$31)),'Assumptions &amp; Inputs'!$F$37*'Assumptions &amp; Inputs'!$F$38*IF(AM32-'Assumptions &amp; Inputs'!$F$34&gt;YEAR('Assumptions &amp; Inputs'!$F$31), 'Assumptions &amp; Inputs'!$F$33, 1), 0)</f>
        <v>0</v>
      </c>
      <c r="AN42" s="1">
        <f>IF(AND(MOD(AN32-YEAR('Assumptions &amp; Inputs'!$F$31),'Assumptions &amp; Inputs'!$F$34)=0, AN32&lt;=YEAR('Assumptions &amp; Inputs'!$F$36), AN9&gt;YEAR('Assumptions &amp; Inputs'!$F$31)),'Assumptions &amp; Inputs'!$F$37*'Assumptions &amp; Inputs'!$F$38*IF(AN32-'Assumptions &amp; Inputs'!$F$34&gt;YEAR('Assumptions &amp; Inputs'!$F$31), 'Assumptions &amp; Inputs'!$F$33, 1), 0)</f>
        <v>0</v>
      </c>
      <c r="AO42" s="1">
        <f>IF(AND(MOD(AO32-YEAR('Assumptions &amp; Inputs'!$F$31),'Assumptions &amp; Inputs'!$F$34)=0, AO32&lt;=YEAR('Assumptions &amp; Inputs'!$F$36), AO9&gt;YEAR('Assumptions &amp; Inputs'!$F$31)),'Assumptions &amp; Inputs'!$F$37*'Assumptions &amp; Inputs'!$F$38*IF(AO32-'Assumptions &amp; Inputs'!$F$34&gt;YEAR('Assumptions &amp; Inputs'!$F$31), 'Assumptions &amp; Inputs'!$F$33, 1), 0)</f>
        <v>0</v>
      </c>
      <c r="AP42" s="1">
        <f>IF(AND(MOD(AP32-YEAR('Assumptions &amp; Inputs'!$F$31),'Assumptions &amp; Inputs'!$F$34)=0, AP32&lt;=YEAR('Assumptions &amp; Inputs'!$F$36), AP9&gt;YEAR('Assumptions &amp; Inputs'!$F$31)),'Assumptions &amp; Inputs'!$F$37*'Assumptions &amp; Inputs'!$F$38*IF(AP32-'Assumptions &amp; Inputs'!$F$34&gt;YEAR('Assumptions &amp; Inputs'!$F$31), 'Assumptions &amp; Inputs'!$F$33, 1), 0)</f>
        <v>0</v>
      </c>
      <c r="AQ42" s="1">
        <f>IF(AND(MOD(AQ32-YEAR('Assumptions &amp; Inputs'!$F$31),'Assumptions &amp; Inputs'!$F$34)=0, AQ32&lt;=YEAR('Assumptions &amp; Inputs'!$F$36), AQ9&gt;YEAR('Assumptions &amp; Inputs'!$F$31)),'Assumptions &amp; Inputs'!$F$37*'Assumptions &amp; Inputs'!$F$38*IF(AQ32-'Assumptions &amp; Inputs'!$F$34&gt;YEAR('Assumptions &amp; Inputs'!$F$31), 'Assumptions &amp; Inputs'!$F$33, 1), 0)</f>
        <v>0</v>
      </c>
      <c r="AR42" s="1">
        <f>IF(AND(MOD(AR32-YEAR('Assumptions &amp; Inputs'!$F$31),'Assumptions &amp; Inputs'!$F$34)=0, AR32&lt;=YEAR('Assumptions &amp; Inputs'!$F$36), AR9&gt;YEAR('Assumptions &amp; Inputs'!$F$31)),'Assumptions &amp; Inputs'!$F$37*'Assumptions &amp; Inputs'!$F$38*IF(AR32-'Assumptions &amp; Inputs'!$F$34&gt;YEAR('Assumptions &amp; Inputs'!$F$31), 'Assumptions &amp; Inputs'!$F$33, 1), 0)</f>
        <v>0</v>
      </c>
      <c r="AS42" s="1">
        <f>IF(AND(MOD(AS32-YEAR('Assumptions &amp; Inputs'!$F$31),'Assumptions &amp; Inputs'!$F$34)=0, AS32&lt;=YEAR('Assumptions &amp; Inputs'!$F$36), AS9&gt;YEAR('Assumptions &amp; Inputs'!$F$31)),'Assumptions &amp; Inputs'!$F$37*'Assumptions &amp; Inputs'!$F$38*IF(AS32-'Assumptions &amp; Inputs'!$F$34&gt;YEAR('Assumptions &amp; Inputs'!$F$31), 'Assumptions &amp; Inputs'!$F$33, 1), 0)</f>
        <v>0</v>
      </c>
      <c r="AT42" s="1">
        <f>IF(AND(MOD(AT32-YEAR('Assumptions &amp; Inputs'!$F$31),'Assumptions &amp; Inputs'!$F$34)=0, AT32&lt;=YEAR('Assumptions &amp; Inputs'!$F$36), AT9&gt;YEAR('Assumptions &amp; Inputs'!$F$31)),'Assumptions &amp; Inputs'!$F$37*'Assumptions &amp; Inputs'!$F$38*IF(AT32-'Assumptions &amp; Inputs'!$F$34&gt;YEAR('Assumptions &amp; Inputs'!$F$31), 'Assumptions &amp; Inputs'!$F$33, 1), 0)</f>
        <v>0</v>
      </c>
      <c r="AU42" s="1">
        <f>IF(AND(MOD(AU32-YEAR('Assumptions &amp; Inputs'!$F$31),'Assumptions &amp; Inputs'!$F$34)=0, AU32&lt;=YEAR('Assumptions &amp; Inputs'!$F$36), AU9&gt;YEAR('Assumptions &amp; Inputs'!$F$31)),'Assumptions &amp; Inputs'!$F$37*'Assumptions &amp; Inputs'!$F$38*IF(AU32-'Assumptions &amp; Inputs'!$F$34&gt;YEAR('Assumptions &amp; Inputs'!$F$31), 'Assumptions &amp; Inputs'!$F$33, 1), 0)</f>
        <v>0</v>
      </c>
      <c r="AV42" s="1">
        <f>IF(AND(MOD(AV32-YEAR('Assumptions &amp; Inputs'!$F$31),'Assumptions &amp; Inputs'!$F$34)=0, AV32&lt;=YEAR('Assumptions &amp; Inputs'!$F$36), AV9&gt;YEAR('Assumptions &amp; Inputs'!$F$31)),'Assumptions &amp; Inputs'!$F$37*'Assumptions &amp; Inputs'!$F$38*IF(AV32-'Assumptions &amp; Inputs'!$F$34&gt;YEAR('Assumptions &amp; Inputs'!$F$31), 'Assumptions &amp; Inputs'!$F$33, 1), 0)</f>
        <v>0</v>
      </c>
      <c r="AW42" s="1">
        <f>IF(AND(MOD(AW32-YEAR('Assumptions &amp; Inputs'!$F$31),'Assumptions &amp; Inputs'!$F$34)=0, AW32&lt;=YEAR('Assumptions &amp; Inputs'!$F$36), AW9&gt;YEAR('Assumptions &amp; Inputs'!$F$31)),'Assumptions &amp; Inputs'!$F$37*'Assumptions &amp; Inputs'!$F$38*IF(AW32-'Assumptions &amp; Inputs'!$F$34&gt;YEAR('Assumptions &amp; Inputs'!$F$31), 'Assumptions &amp; Inputs'!$F$33, 1), 0)</f>
        <v>0</v>
      </c>
    </row>
    <row r="43" spans="1:49" ht="14.25" customHeight="1">
      <c r="A43" s="1"/>
      <c r="B43" s="1" t="s">
        <v>351</v>
      </c>
      <c r="C43" s="22" t="s">
        <v>411</v>
      </c>
      <c r="D43" s="21">
        <f t="shared" ref="D43:X43" si="144">SUM(D40:D42)</f>
        <v>-105.41666666666666</v>
      </c>
      <c r="E43" s="21">
        <f t="shared" si="144"/>
        <v>-5.9392122133333318</v>
      </c>
      <c r="F43" s="21">
        <f t="shared" si="144"/>
        <v>8.8886720639999997</v>
      </c>
      <c r="G43" s="21">
        <f t="shared" si="144"/>
        <v>8.9750820652799987</v>
      </c>
      <c r="H43" s="21">
        <f t="shared" si="144"/>
        <v>9.0631013633855986</v>
      </c>
      <c r="I43" s="21">
        <f t="shared" si="144"/>
        <v>9.1527585771573126</v>
      </c>
      <c r="J43" s="21">
        <f t="shared" si="144"/>
        <v>9.2440827907995775</v>
      </c>
      <c r="K43" s="21">
        <f t="shared" si="144"/>
        <v>9.3371035599776615</v>
      </c>
      <c r="L43" s="21">
        <f t="shared" si="144"/>
        <v>9.4318509179401726</v>
      </c>
      <c r="M43" s="21">
        <f t="shared" si="144"/>
        <v>9.5283553816648201</v>
      </c>
      <c r="N43" s="21">
        <f t="shared" si="144"/>
        <v>9.626647958024936</v>
      </c>
      <c r="O43" s="21">
        <f t="shared" si="144"/>
        <v>9.7267601499740604</v>
      </c>
      <c r="P43" s="21">
        <f t="shared" si="144"/>
        <v>9.8287239627458263</v>
      </c>
      <c r="Q43" s="21">
        <f t="shared" si="144"/>
        <v>9.9325719100661942</v>
      </c>
      <c r="R43" s="21">
        <f t="shared" si="144"/>
        <v>10.038337020374936</v>
      </c>
      <c r="S43" s="21">
        <f t="shared" si="144"/>
        <v>10.14605284305307</v>
      </c>
      <c r="T43" s="21">
        <f t="shared" si="144"/>
        <v>10.25575345465289</v>
      </c>
      <c r="U43" s="21">
        <f t="shared" si="144"/>
        <v>10.367473465126869</v>
      </c>
      <c r="V43" s="21">
        <f t="shared" si="144"/>
        <v>10.481248024051753</v>
      </c>
      <c r="W43" s="21">
        <f t="shared" si="144"/>
        <v>10.597112826843807</v>
      </c>
      <c r="X43" s="21">
        <f t="shared" si="144"/>
        <v>10.715104120961033</v>
      </c>
      <c r="Y43" s="21">
        <f t="shared" ref="Y43:AW43" si="145">SUM(Y40:Y42)</f>
        <v>10.835258712088013</v>
      </c>
      <c r="Z43" s="21">
        <f t="shared" si="145"/>
        <v>10.957613970298764</v>
      </c>
      <c r="AA43" s="21">
        <f t="shared" si="145"/>
        <v>11.082207836192801</v>
      </c>
      <c r="AB43" s="21">
        <f t="shared" si="145"/>
        <v>11.20907882699936</v>
      </c>
      <c r="AC43" s="21">
        <f t="shared" si="145"/>
        <v>11.338266042644534</v>
      </c>
      <c r="AD43" s="21">
        <f t="shared" si="145"/>
        <v>17.219809171775765</v>
      </c>
      <c r="AE43" s="21">
        <f t="shared" si="145"/>
        <v>0</v>
      </c>
      <c r="AF43" s="21">
        <f t="shared" si="145"/>
        <v>0</v>
      </c>
      <c r="AG43" s="21">
        <f t="shared" si="145"/>
        <v>0</v>
      </c>
      <c r="AH43" s="21">
        <f t="shared" si="145"/>
        <v>0</v>
      </c>
      <c r="AI43" s="21">
        <f t="shared" si="145"/>
        <v>0</v>
      </c>
      <c r="AJ43" s="21">
        <f t="shared" si="145"/>
        <v>0</v>
      </c>
      <c r="AK43" s="21">
        <f t="shared" si="145"/>
        <v>0</v>
      </c>
      <c r="AL43" s="21">
        <f t="shared" si="145"/>
        <v>0</v>
      </c>
      <c r="AM43" s="21">
        <f t="shared" si="145"/>
        <v>0</v>
      </c>
      <c r="AN43" s="21">
        <f t="shared" si="145"/>
        <v>0</v>
      </c>
      <c r="AO43" s="21">
        <f t="shared" si="145"/>
        <v>0</v>
      </c>
      <c r="AP43" s="21">
        <f t="shared" si="145"/>
        <v>0</v>
      </c>
      <c r="AQ43" s="21">
        <f t="shared" si="145"/>
        <v>0</v>
      </c>
      <c r="AR43" s="21">
        <f t="shared" si="145"/>
        <v>0</v>
      </c>
      <c r="AS43" s="21">
        <f t="shared" si="145"/>
        <v>0</v>
      </c>
      <c r="AT43" s="21">
        <f t="shared" si="145"/>
        <v>0</v>
      </c>
      <c r="AU43" s="21">
        <f t="shared" si="145"/>
        <v>0</v>
      </c>
      <c r="AV43" s="21">
        <f t="shared" si="145"/>
        <v>0</v>
      </c>
      <c r="AW43" s="21">
        <f t="shared" si="145"/>
        <v>0</v>
      </c>
    </row>
    <row r="44" spans="1:49" ht="14.25" customHeight="1">
      <c r="A44" s="4"/>
      <c r="B44" s="4"/>
      <c r="C44" s="4" t="s">
        <v>412</v>
      </c>
      <c r="D44" s="23">
        <f>D43</f>
        <v>-105.41666666666666</v>
      </c>
      <c r="E44" s="23">
        <f t="shared" ref="E44:X44" si="146">D44+E43</f>
        <v>-111.35587887999999</v>
      </c>
      <c r="F44" s="23">
        <f>E44+F43</f>
        <v>-102.46720681599999</v>
      </c>
      <c r="G44" s="23">
        <f t="shared" si="146"/>
        <v>-93.492124750719995</v>
      </c>
      <c r="H44" s="23">
        <f t="shared" si="146"/>
        <v>-84.429023387334396</v>
      </c>
      <c r="I44" s="23">
        <f t="shared" si="146"/>
        <v>-75.276264810177082</v>
      </c>
      <c r="J44" s="23">
        <f t="shared" si="146"/>
        <v>-66.032182019377501</v>
      </c>
      <c r="K44" s="23">
        <f t="shared" si="146"/>
        <v>-56.695078459399838</v>
      </c>
      <c r="L44" s="23">
        <f t="shared" si="146"/>
        <v>-47.263227541459663</v>
      </c>
      <c r="M44" s="23">
        <f t="shared" si="146"/>
        <v>-37.734872159794847</v>
      </c>
      <c r="N44" s="23">
        <f t="shared" si="146"/>
        <v>-28.108224201769911</v>
      </c>
      <c r="O44" s="23">
        <f t="shared" si="146"/>
        <v>-18.381464051795852</v>
      </c>
      <c r="P44" s="23">
        <f t="shared" si="146"/>
        <v>-8.552740089050026</v>
      </c>
      <c r="Q44" s="23">
        <f t="shared" si="146"/>
        <v>1.3798318210161682</v>
      </c>
      <c r="R44" s="23">
        <f t="shared" si="146"/>
        <v>11.418168841391104</v>
      </c>
      <c r="S44" s="23">
        <f t="shared" si="146"/>
        <v>21.564221684444174</v>
      </c>
      <c r="T44" s="23">
        <f t="shared" si="146"/>
        <v>31.819975139097064</v>
      </c>
      <c r="U44" s="23">
        <f t="shared" si="146"/>
        <v>42.187448604223931</v>
      </c>
      <c r="V44" s="23">
        <f t="shared" si="146"/>
        <v>52.668696628275683</v>
      </c>
      <c r="W44" s="23">
        <f t="shared" si="146"/>
        <v>63.265809455119488</v>
      </c>
      <c r="X44" s="23">
        <f t="shared" si="146"/>
        <v>73.980913576080525</v>
      </c>
      <c r="Y44" s="23">
        <f t="shared" ref="Y44" si="147">X44+Y43</f>
        <v>84.816172288168531</v>
      </c>
      <c r="Z44" s="23">
        <f t="shared" ref="Z44" si="148">Y44+Z43</f>
        <v>95.773786258467297</v>
      </c>
      <c r="AA44" s="23">
        <f t="shared" ref="AA44" si="149">Z44+AA43</f>
        <v>106.8559940946601</v>
      </c>
      <c r="AB44" s="23">
        <f t="shared" ref="AB44" si="150">AA44+AB43</f>
        <v>118.06507292165946</v>
      </c>
      <c r="AC44" s="23">
        <f t="shared" ref="AC44" si="151">AB44+AC43</f>
        <v>129.403338964304</v>
      </c>
      <c r="AD44" s="23">
        <f t="shared" ref="AD44" si="152">AC44+AD43</f>
        <v>146.62314813607975</v>
      </c>
      <c r="AE44" s="23">
        <f t="shared" ref="AE44" si="153">AD44+AE43</f>
        <v>146.62314813607975</v>
      </c>
      <c r="AF44" s="23">
        <f t="shared" ref="AF44" si="154">AE44+AF43</f>
        <v>146.62314813607975</v>
      </c>
      <c r="AG44" s="23">
        <f t="shared" ref="AG44" si="155">AF44+AG43</f>
        <v>146.62314813607975</v>
      </c>
      <c r="AH44" s="23">
        <f t="shared" ref="AH44" si="156">AG44+AH43</f>
        <v>146.62314813607975</v>
      </c>
      <c r="AI44" s="23">
        <f t="shared" ref="AI44" si="157">AH44+AI43</f>
        <v>146.62314813607975</v>
      </c>
      <c r="AJ44" s="23">
        <f t="shared" ref="AJ44" si="158">AI44+AJ43</f>
        <v>146.62314813607975</v>
      </c>
      <c r="AK44" s="23">
        <f t="shared" ref="AK44" si="159">AJ44+AK43</f>
        <v>146.62314813607975</v>
      </c>
      <c r="AL44" s="23">
        <f t="shared" ref="AL44" si="160">AK44+AL43</f>
        <v>146.62314813607975</v>
      </c>
      <c r="AM44" s="23">
        <f t="shared" ref="AM44" si="161">AL44+AM43</f>
        <v>146.62314813607975</v>
      </c>
      <c r="AN44" s="23">
        <f t="shared" ref="AN44" si="162">AM44+AN43</f>
        <v>146.62314813607975</v>
      </c>
      <c r="AO44" s="23">
        <f t="shared" ref="AO44" si="163">AN44+AO43</f>
        <v>146.62314813607975</v>
      </c>
      <c r="AP44" s="23">
        <f t="shared" ref="AP44" si="164">AO44+AP43</f>
        <v>146.62314813607975</v>
      </c>
      <c r="AQ44" s="23">
        <f t="shared" ref="AQ44" si="165">AP44+AQ43</f>
        <v>146.62314813607975</v>
      </c>
      <c r="AR44" s="23">
        <f t="shared" ref="AR44" si="166">AQ44+AR43</f>
        <v>146.62314813607975</v>
      </c>
      <c r="AS44" s="23">
        <f t="shared" ref="AS44" si="167">AR44+AS43</f>
        <v>146.62314813607975</v>
      </c>
      <c r="AT44" s="23">
        <f t="shared" ref="AT44" si="168">AS44+AT43</f>
        <v>146.62314813607975</v>
      </c>
      <c r="AU44" s="23">
        <f t="shared" ref="AU44" si="169">AT44+AU43</f>
        <v>146.62314813607975</v>
      </c>
      <c r="AV44" s="23">
        <f t="shared" ref="AV44" si="170">AU44+AV43</f>
        <v>146.62314813607975</v>
      </c>
      <c r="AW44" s="23">
        <f t="shared" ref="AW44" si="171">AV44+AW43</f>
        <v>146.62314813607975</v>
      </c>
    </row>
    <row r="45" spans="1:49" ht="14.25" customHeight="1">
      <c r="A45" s="4"/>
      <c r="B45" s="4"/>
      <c r="C45" s="4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ht="14.25" customHeight="1">
      <c r="A46" s="4"/>
      <c r="B46" s="4"/>
      <c r="C46" s="2" t="s">
        <v>413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ht="14.25" customHeight="1">
      <c r="A47" s="4"/>
      <c r="B47" s="4"/>
      <c r="C47" s="1" t="s">
        <v>414</v>
      </c>
      <c r="D47" s="15">
        <f>D36</f>
        <v>0</v>
      </c>
      <c r="E47" s="15">
        <f>E36</f>
        <v>3.6441211200000003</v>
      </c>
      <c r="F47" s="15">
        <f>F36</f>
        <v>4.5186720640000004</v>
      </c>
      <c r="G47" s="15">
        <f>G36</f>
        <v>4.6050820652799995</v>
      </c>
      <c r="H47" s="15">
        <f>H36</f>
        <v>4.6931013633856002</v>
      </c>
      <c r="I47" s="15">
        <f t="shared" ref="I47:AW47" si="172">I36</f>
        <v>4.7827585771573133</v>
      </c>
      <c r="J47" s="15">
        <f t="shared" si="172"/>
        <v>4.8740827907995792</v>
      </c>
      <c r="K47" s="15">
        <f t="shared" si="172"/>
        <v>4.9671035599776623</v>
      </c>
      <c r="L47" s="15">
        <f t="shared" si="172"/>
        <v>5.0618509179401734</v>
      </c>
      <c r="M47" s="15">
        <f t="shared" si="172"/>
        <v>5.1583553816648209</v>
      </c>
      <c r="N47" s="15">
        <f t="shared" si="172"/>
        <v>5.2566479580249377</v>
      </c>
      <c r="O47" s="15">
        <f t="shared" si="172"/>
        <v>5.3567601499740611</v>
      </c>
      <c r="P47" s="15">
        <f t="shared" si="172"/>
        <v>5.4587239627458271</v>
      </c>
      <c r="Q47" s="15">
        <f t="shared" si="172"/>
        <v>5.5625719100661959</v>
      </c>
      <c r="R47" s="15">
        <f t="shared" si="172"/>
        <v>5.6683370203749366</v>
      </c>
      <c r="S47" s="15">
        <f t="shared" si="172"/>
        <v>5.77605284305307</v>
      </c>
      <c r="T47" s="15">
        <f t="shared" si="172"/>
        <v>5.8857534546528907</v>
      </c>
      <c r="U47" s="15">
        <f t="shared" si="172"/>
        <v>5.9974734651268697</v>
      </c>
      <c r="V47" s="15">
        <f t="shared" si="172"/>
        <v>6.1112480240517542</v>
      </c>
      <c r="W47" s="15">
        <f t="shared" si="172"/>
        <v>6.2271128268438076</v>
      </c>
      <c r="X47" s="15">
        <f t="shared" si="172"/>
        <v>6.3451041209610342</v>
      </c>
      <c r="Y47" s="15">
        <f t="shared" si="172"/>
        <v>6.4652587120880138</v>
      </c>
      <c r="Z47" s="15">
        <f t="shared" si="172"/>
        <v>6.5876139702987651</v>
      </c>
      <c r="AA47" s="15">
        <f t="shared" si="172"/>
        <v>6.7122078361928006</v>
      </c>
      <c r="AB47" s="15">
        <f t="shared" si="172"/>
        <v>6.8390788269993612</v>
      </c>
      <c r="AC47" s="15">
        <f t="shared" si="172"/>
        <v>6.9682660426445349</v>
      </c>
      <c r="AD47" s="15">
        <f t="shared" si="172"/>
        <v>7.0998091717757656</v>
      </c>
      <c r="AE47" s="15">
        <f t="shared" si="172"/>
        <v>0</v>
      </c>
      <c r="AF47" s="15">
        <f t="shared" si="172"/>
        <v>0</v>
      </c>
      <c r="AG47" s="15">
        <f t="shared" si="172"/>
        <v>0</v>
      </c>
      <c r="AH47" s="15">
        <f t="shared" si="172"/>
        <v>0</v>
      </c>
      <c r="AI47" s="15">
        <f t="shared" si="172"/>
        <v>0</v>
      </c>
      <c r="AJ47" s="15">
        <f t="shared" si="172"/>
        <v>0</v>
      </c>
      <c r="AK47" s="15">
        <f t="shared" si="172"/>
        <v>0</v>
      </c>
      <c r="AL47" s="15">
        <f t="shared" si="172"/>
        <v>0</v>
      </c>
      <c r="AM47" s="15">
        <f t="shared" si="172"/>
        <v>0</v>
      </c>
      <c r="AN47" s="15">
        <f t="shared" si="172"/>
        <v>0</v>
      </c>
      <c r="AO47" s="15">
        <f t="shared" si="172"/>
        <v>0</v>
      </c>
      <c r="AP47" s="15">
        <f t="shared" si="172"/>
        <v>0</v>
      </c>
      <c r="AQ47" s="15">
        <f t="shared" si="172"/>
        <v>0</v>
      </c>
      <c r="AR47" s="15">
        <f t="shared" si="172"/>
        <v>0</v>
      </c>
      <c r="AS47" s="15">
        <f t="shared" si="172"/>
        <v>0</v>
      </c>
      <c r="AT47" s="15">
        <f t="shared" si="172"/>
        <v>0</v>
      </c>
      <c r="AU47" s="15">
        <f t="shared" si="172"/>
        <v>0</v>
      </c>
      <c r="AV47" s="15">
        <f t="shared" si="172"/>
        <v>0</v>
      </c>
      <c r="AW47" s="15">
        <f t="shared" si="172"/>
        <v>0</v>
      </c>
    </row>
    <row r="48" spans="1:49" ht="14.25" customHeight="1">
      <c r="A48" s="4"/>
      <c r="B48" s="4"/>
      <c r="C48" s="1" t="s">
        <v>415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</row>
    <row r="49" spans="2:49" ht="14.25" customHeight="1">
      <c r="B49" s="4"/>
      <c r="C49" s="1" t="s">
        <v>416</v>
      </c>
      <c r="D49" s="15">
        <f>-D24</f>
        <v>105.41666666666666</v>
      </c>
      <c r="E49" s="15">
        <f t="shared" ref="E49:AW49" si="173">-E24</f>
        <v>9.5833333333333321</v>
      </c>
      <c r="F49" s="15">
        <f t="shared" si="173"/>
        <v>0</v>
      </c>
      <c r="G49" s="15">
        <f t="shared" si="173"/>
        <v>0</v>
      </c>
      <c r="H49" s="15">
        <f t="shared" si="173"/>
        <v>0</v>
      </c>
      <c r="I49" s="15">
        <f t="shared" si="173"/>
        <v>0</v>
      </c>
      <c r="J49" s="15">
        <f t="shared" si="173"/>
        <v>0</v>
      </c>
      <c r="K49" s="15">
        <f t="shared" si="173"/>
        <v>0</v>
      </c>
      <c r="L49" s="15">
        <f t="shared" si="173"/>
        <v>0</v>
      </c>
      <c r="M49" s="15">
        <f t="shared" si="173"/>
        <v>0</v>
      </c>
      <c r="N49" s="15">
        <f t="shared" si="173"/>
        <v>0</v>
      </c>
      <c r="O49" s="15">
        <f t="shared" si="173"/>
        <v>0</v>
      </c>
      <c r="P49" s="15">
        <f t="shared" si="173"/>
        <v>0</v>
      </c>
      <c r="Q49" s="15">
        <f t="shared" si="173"/>
        <v>0</v>
      </c>
      <c r="R49" s="15">
        <f t="shared" si="173"/>
        <v>0</v>
      </c>
      <c r="S49" s="15">
        <f t="shared" si="173"/>
        <v>0</v>
      </c>
      <c r="T49" s="15">
        <f t="shared" si="173"/>
        <v>0</v>
      </c>
      <c r="U49" s="15">
        <f t="shared" si="173"/>
        <v>0</v>
      </c>
      <c r="V49" s="15">
        <f t="shared" si="173"/>
        <v>0</v>
      </c>
      <c r="W49" s="15">
        <f t="shared" si="173"/>
        <v>0</v>
      </c>
      <c r="X49" s="15">
        <f t="shared" si="173"/>
        <v>0</v>
      </c>
      <c r="Y49" s="15">
        <f t="shared" si="173"/>
        <v>0</v>
      </c>
      <c r="Z49" s="15">
        <f t="shared" si="173"/>
        <v>0</v>
      </c>
      <c r="AA49" s="15">
        <f t="shared" si="173"/>
        <v>0</v>
      </c>
      <c r="AB49" s="15">
        <f t="shared" si="173"/>
        <v>0</v>
      </c>
      <c r="AC49" s="15">
        <f t="shared" si="173"/>
        <v>0</v>
      </c>
      <c r="AD49" s="15">
        <f t="shared" si="173"/>
        <v>0</v>
      </c>
      <c r="AE49" s="15">
        <f t="shared" si="173"/>
        <v>0</v>
      </c>
      <c r="AF49" s="15">
        <f t="shared" si="173"/>
        <v>0</v>
      </c>
      <c r="AG49" s="15">
        <f t="shared" si="173"/>
        <v>0</v>
      </c>
      <c r="AH49" s="15">
        <f t="shared" si="173"/>
        <v>0</v>
      </c>
      <c r="AI49" s="15">
        <f t="shared" si="173"/>
        <v>0</v>
      </c>
      <c r="AJ49" s="15">
        <f t="shared" si="173"/>
        <v>0</v>
      </c>
      <c r="AK49" s="15">
        <f t="shared" si="173"/>
        <v>0</v>
      </c>
      <c r="AL49" s="15">
        <f t="shared" si="173"/>
        <v>0</v>
      </c>
      <c r="AM49" s="15">
        <f t="shared" si="173"/>
        <v>0</v>
      </c>
      <c r="AN49" s="15">
        <f t="shared" si="173"/>
        <v>0</v>
      </c>
      <c r="AO49" s="15">
        <f t="shared" si="173"/>
        <v>0</v>
      </c>
      <c r="AP49" s="15">
        <f t="shared" si="173"/>
        <v>0</v>
      </c>
      <c r="AQ49" s="15">
        <f t="shared" si="173"/>
        <v>0</v>
      </c>
      <c r="AR49" s="15">
        <f t="shared" si="173"/>
        <v>0</v>
      </c>
      <c r="AS49" s="15">
        <f t="shared" si="173"/>
        <v>0</v>
      </c>
      <c r="AT49" s="15">
        <f t="shared" si="173"/>
        <v>0</v>
      </c>
      <c r="AU49" s="15">
        <f t="shared" si="173"/>
        <v>0</v>
      </c>
      <c r="AV49" s="15">
        <f t="shared" si="173"/>
        <v>0</v>
      </c>
      <c r="AW49" s="15">
        <f t="shared" si="173"/>
        <v>0</v>
      </c>
    </row>
    <row r="50" spans="2:49" ht="14.25" customHeight="1">
      <c r="B50" s="4"/>
      <c r="C50" s="1" t="s">
        <v>417</v>
      </c>
      <c r="D50" s="324">
        <f>D147</f>
        <v>0</v>
      </c>
      <c r="E50" s="324">
        <f t="shared" ref="E50:AW50" si="174">E147</f>
        <v>0</v>
      </c>
      <c r="F50" s="324">
        <f t="shared" si="174"/>
        <v>-4.3699999999999992</v>
      </c>
      <c r="G50" s="324">
        <f t="shared" si="174"/>
        <v>-4.3699999999999992</v>
      </c>
      <c r="H50" s="324">
        <f t="shared" si="174"/>
        <v>-4.3699999999999992</v>
      </c>
      <c r="I50" s="324">
        <f t="shared" si="174"/>
        <v>-4.3699999999999992</v>
      </c>
      <c r="J50" s="324">
        <f t="shared" si="174"/>
        <v>-4.3699999999999992</v>
      </c>
      <c r="K50" s="324">
        <f t="shared" si="174"/>
        <v>-4.3699999999999992</v>
      </c>
      <c r="L50" s="324">
        <f t="shared" si="174"/>
        <v>-4.3699999999999992</v>
      </c>
      <c r="M50" s="324">
        <f t="shared" si="174"/>
        <v>-4.3699999999999992</v>
      </c>
      <c r="N50" s="324">
        <f t="shared" si="174"/>
        <v>-4.3699999999999992</v>
      </c>
      <c r="O50" s="324">
        <f t="shared" si="174"/>
        <v>-4.3699999999999992</v>
      </c>
      <c r="P50" s="324">
        <f t="shared" si="174"/>
        <v>-4.3699999999999992</v>
      </c>
      <c r="Q50" s="324">
        <f t="shared" si="174"/>
        <v>-4.3699999999999992</v>
      </c>
      <c r="R50" s="324">
        <f t="shared" si="174"/>
        <v>-4.3699999999999992</v>
      </c>
      <c r="S50" s="324">
        <f t="shared" si="174"/>
        <v>-4.3699999999999992</v>
      </c>
      <c r="T50" s="324">
        <f t="shared" si="174"/>
        <v>-4.3699999999999992</v>
      </c>
      <c r="U50" s="324">
        <f t="shared" si="174"/>
        <v>-4.3699999999999992</v>
      </c>
      <c r="V50" s="324">
        <f t="shared" si="174"/>
        <v>-4.3699999999999992</v>
      </c>
      <c r="W50" s="324">
        <f t="shared" si="174"/>
        <v>-4.3699999999999992</v>
      </c>
      <c r="X50" s="324">
        <f t="shared" si="174"/>
        <v>-4.3699999999999992</v>
      </c>
      <c r="Y50" s="324">
        <f t="shared" si="174"/>
        <v>-4.3699999999999992</v>
      </c>
      <c r="Z50" s="324">
        <f t="shared" si="174"/>
        <v>-4.3699999999999992</v>
      </c>
      <c r="AA50" s="324">
        <f t="shared" si="174"/>
        <v>-4.3699999999999992</v>
      </c>
      <c r="AB50" s="324">
        <f t="shared" si="174"/>
        <v>-4.3699999999999992</v>
      </c>
      <c r="AC50" s="324">
        <f t="shared" si="174"/>
        <v>-4.3699999999999992</v>
      </c>
      <c r="AD50" s="324">
        <f t="shared" si="174"/>
        <v>-4.3699999999999992</v>
      </c>
      <c r="AE50" s="324">
        <f t="shared" si="174"/>
        <v>0</v>
      </c>
      <c r="AF50" s="324">
        <f t="shared" si="174"/>
        <v>0</v>
      </c>
      <c r="AG50" s="324">
        <f t="shared" si="174"/>
        <v>0</v>
      </c>
      <c r="AH50" s="324">
        <f t="shared" si="174"/>
        <v>0</v>
      </c>
      <c r="AI50" s="324">
        <f t="shared" si="174"/>
        <v>0</v>
      </c>
      <c r="AJ50" s="324">
        <f t="shared" si="174"/>
        <v>0</v>
      </c>
      <c r="AK50" s="324">
        <f t="shared" si="174"/>
        <v>0</v>
      </c>
      <c r="AL50" s="324">
        <f t="shared" si="174"/>
        <v>0</v>
      </c>
      <c r="AM50" s="324">
        <f t="shared" si="174"/>
        <v>0</v>
      </c>
      <c r="AN50" s="324">
        <f t="shared" si="174"/>
        <v>0</v>
      </c>
      <c r="AO50" s="324">
        <f t="shared" si="174"/>
        <v>0</v>
      </c>
      <c r="AP50" s="324">
        <f t="shared" si="174"/>
        <v>0</v>
      </c>
      <c r="AQ50" s="324">
        <f t="shared" si="174"/>
        <v>0</v>
      </c>
      <c r="AR50" s="324">
        <f t="shared" si="174"/>
        <v>0</v>
      </c>
      <c r="AS50" s="324">
        <f t="shared" si="174"/>
        <v>0</v>
      </c>
      <c r="AT50" s="324">
        <f t="shared" si="174"/>
        <v>0</v>
      </c>
      <c r="AU50" s="324">
        <f t="shared" si="174"/>
        <v>0</v>
      </c>
      <c r="AV50" s="324">
        <f t="shared" si="174"/>
        <v>0</v>
      </c>
      <c r="AW50" s="324">
        <f t="shared" si="174"/>
        <v>0</v>
      </c>
    </row>
    <row r="51" spans="2:49" ht="14.25" customHeight="1">
      <c r="B51" s="4"/>
      <c r="C51" s="1" t="s">
        <v>418</v>
      </c>
      <c r="D51" s="8">
        <f>SUM(E64,D49:D50)</f>
        <v>105.41666666666666</v>
      </c>
      <c r="E51" s="8">
        <f>SUM(D51,E49:E50)</f>
        <v>114.99999999999999</v>
      </c>
      <c r="F51" s="8">
        <f t="shared" ref="F51:AW51" si="175">SUM(E51,F49:F50)</f>
        <v>110.62999999999998</v>
      </c>
      <c r="G51" s="8">
        <f t="shared" si="175"/>
        <v>106.25999999999998</v>
      </c>
      <c r="H51" s="8">
        <f t="shared" si="175"/>
        <v>101.88999999999997</v>
      </c>
      <c r="I51" s="8">
        <f t="shared" si="175"/>
        <v>97.519999999999968</v>
      </c>
      <c r="J51" s="8">
        <f t="shared" si="175"/>
        <v>93.149999999999963</v>
      </c>
      <c r="K51" s="8">
        <f t="shared" si="175"/>
        <v>88.779999999999959</v>
      </c>
      <c r="L51" s="8">
        <f t="shared" si="175"/>
        <v>84.409999999999954</v>
      </c>
      <c r="M51" s="8">
        <f t="shared" si="175"/>
        <v>80.039999999999949</v>
      </c>
      <c r="N51" s="8">
        <f t="shared" si="175"/>
        <v>75.669999999999945</v>
      </c>
      <c r="O51" s="8">
        <f t="shared" si="175"/>
        <v>71.29999999999994</v>
      </c>
      <c r="P51" s="8">
        <f t="shared" si="175"/>
        <v>66.929999999999936</v>
      </c>
      <c r="Q51" s="8">
        <f t="shared" si="175"/>
        <v>62.559999999999938</v>
      </c>
      <c r="R51" s="8">
        <f t="shared" si="175"/>
        <v>58.189999999999941</v>
      </c>
      <c r="S51" s="8">
        <f t="shared" si="175"/>
        <v>53.819999999999943</v>
      </c>
      <c r="T51" s="8">
        <f t="shared" si="175"/>
        <v>49.449999999999946</v>
      </c>
      <c r="U51" s="8">
        <f t="shared" si="175"/>
        <v>45.079999999999949</v>
      </c>
      <c r="V51" s="8">
        <f t="shared" si="175"/>
        <v>40.709999999999951</v>
      </c>
      <c r="W51" s="8">
        <f t="shared" si="175"/>
        <v>36.339999999999954</v>
      </c>
      <c r="X51" s="8">
        <f t="shared" si="175"/>
        <v>31.969999999999956</v>
      </c>
      <c r="Y51" s="8">
        <f t="shared" si="175"/>
        <v>27.599999999999959</v>
      </c>
      <c r="Z51" s="8">
        <f t="shared" si="175"/>
        <v>23.229999999999961</v>
      </c>
      <c r="AA51" s="8">
        <f t="shared" si="175"/>
        <v>18.859999999999964</v>
      </c>
      <c r="AB51" s="8">
        <f t="shared" si="175"/>
        <v>14.489999999999965</v>
      </c>
      <c r="AC51" s="8">
        <f t="shared" si="175"/>
        <v>10.119999999999965</v>
      </c>
      <c r="AD51" s="8">
        <f t="shared" si="175"/>
        <v>5.7499999999999662</v>
      </c>
      <c r="AE51" s="8">
        <f t="shared" si="175"/>
        <v>5.7499999999999662</v>
      </c>
      <c r="AF51" s="8">
        <f t="shared" si="175"/>
        <v>5.7499999999999662</v>
      </c>
      <c r="AG51" s="8">
        <f t="shared" si="175"/>
        <v>5.7499999999999662</v>
      </c>
      <c r="AH51" s="8">
        <f t="shared" si="175"/>
        <v>5.7499999999999662</v>
      </c>
      <c r="AI51" s="8">
        <f t="shared" si="175"/>
        <v>5.7499999999999662</v>
      </c>
      <c r="AJ51" s="8">
        <f t="shared" si="175"/>
        <v>5.7499999999999662</v>
      </c>
      <c r="AK51" s="8">
        <f t="shared" si="175"/>
        <v>5.7499999999999662</v>
      </c>
      <c r="AL51" s="8">
        <f t="shared" si="175"/>
        <v>5.7499999999999662</v>
      </c>
      <c r="AM51" s="8">
        <f t="shared" si="175"/>
        <v>5.7499999999999662</v>
      </c>
      <c r="AN51" s="8">
        <f t="shared" si="175"/>
        <v>5.7499999999999662</v>
      </c>
      <c r="AO51" s="8">
        <f t="shared" si="175"/>
        <v>5.7499999999999662</v>
      </c>
      <c r="AP51" s="8">
        <f t="shared" si="175"/>
        <v>5.7499999999999662</v>
      </c>
      <c r="AQ51" s="8">
        <f t="shared" si="175"/>
        <v>5.7499999999999662</v>
      </c>
      <c r="AR51" s="8">
        <f t="shared" si="175"/>
        <v>5.7499999999999662</v>
      </c>
      <c r="AS51" s="8">
        <f t="shared" si="175"/>
        <v>5.7499999999999662</v>
      </c>
      <c r="AT51" s="8">
        <f t="shared" si="175"/>
        <v>5.7499999999999662</v>
      </c>
      <c r="AU51" s="8">
        <f t="shared" si="175"/>
        <v>5.7499999999999662</v>
      </c>
      <c r="AV51" s="8">
        <f t="shared" si="175"/>
        <v>5.7499999999999662</v>
      </c>
      <c r="AW51" s="8">
        <f t="shared" si="175"/>
        <v>5.7499999999999662</v>
      </c>
    </row>
    <row r="52" spans="2:49" ht="14.25" customHeight="1">
      <c r="B52" s="4"/>
      <c r="C52" s="325" t="s">
        <v>419</v>
      </c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  <c r="AR52" s="326"/>
      <c r="AS52" s="326"/>
      <c r="AT52" s="326"/>
      <c r="AU52" s="326"/>
      <c r="AV52" s="326"/>
      <c r="AW52" s="326"/>
    </row>
    <row r="53" spans="2:49" ht="14.25" customHeight="1">
      <c r="B53" s="4"/>
      <c r="C53" s="1" t="s">
        <v>420</v>
      </c>
      <c r="D53" s="8">
        <f>SUM(D51:D52)</f>
        <v>105.41666666666666</v>
      </c>
      <c r="E53" s="8">
        <f t="shared" ref="E53:AW53" si="176">SUM(E51:E52)</f>
        <v>114.99999999999999</v>
      </c>
      <c r="F53" s="8">
        <f t="shared" si="176"/>
        <v>110.62999999999998</v>
      </c>
      <c r="G53" s="8">
        <f>SUM(G51:G52)</f>
        <v>106.25999999999998</v>
      </c>
      <c r="H53" s="8">
        <f t="shared" si="176"/>
        <v>101.88999999999997</v>
      </c>
      <c r="I53" s="8">
        <f t="shared" si="176"/>
        <v>97.519999999999968</v>
      </c>
      <c r="J53" s="8">
        <f t="shared" si="176"/>
        <v>93.149999999999963</v>
      </c>
      <c r="K53" s="8">
        <f t="shared" si="176"/>
        <v>88.779999999999959</v>
      </c>
      <c r="L53" s="8">
        <f t="shared" si="176"/>
        <v>84.409999999999954</v>
      </c>
      <c r="M53" s="8">
        <f t="shared" si="176"/>
        <v>80.039999999999949</v>
      </c>
      <c r="N53" s="8">
        <f t="shared" si="176"/>
        <v>75.669999999999945</v>
      </c>
      <c r="O53" s="8">
        <f t="shared" si="176"/>
        <v>71.29999999999994</v>
      </c>
      <c r="P53" s="8">
        <f t="shared" si="176"/>
        <v>66.929999999999936</v>
      </c>
      <c r="Q53" s="8">
        <f t="shared" si="176"/>
        <v>62.559999999999938</v>
      </c>
      <c r="R53" s="8">
        <f t="shared" si="176"/>
        <v>58.189999999999941</v>
      </c>
      <c r="S53" s="8">
        <f t="shared" si="176"/>
        <v>53.819999999999943</v>
      </c>
      <c r="T53" s="8">
        <f t="shared" si="176"/>
        <v>49.449999999999946</v>
      </c>
      <c r="U53" s="8">
        <f t="shared" si="176"/>
        <v>45.079999999999949</v>
      </c>
      <c r="V53" s="8">
        <f t="shared" si="176"/>
        <v>40.709999999999951</v>
      </c>
      <c r="W53" s="8">
        <f t="shared" si="176"/>
        <v>36.339999999999954</v>
      </c>
      <c r="X53" s="8">
        <f t="shared" si="176"/>
        <v>31.969999999999956</v>
      </c>
      <c r="Y53" s="8">
        <f t="shared" si="176"/>
        <v>27.599999999999959</v>
      </c>
      <c r="Z53" s="8">
        <f t="shared" si="176"/>
        <v>23.229999999999961</v>
      </c>
      <c r="AA53" s="8">
        <f t="shared" si="176"/>
        <v>18.859999999999964</v>
      </c>
      <c r="AB53" s="8">
        <f t="shared" si="176"/>
        <v>14.489999999999965</v>
      </c>
      <c r="AC53" s="8">
        <f t="shared" si="176"/>
        <v>10.119999999999965</v>
      </c>
      <c r="AD53" s="8">
        <f t="shared" si="176"/>
        <v>5.7499999999999662</v>
      </c>
      <c r="AE53" s="8">
        <f t="shared" si="176"/>
        <v>5.7499999999999662</v>
      </c>
      <c r="AF53" s="8">
        <f t="shared" si="176"/>
        <v>5.7499999999999662</v>
      </c>
      <c r="AG53" s="8">
        <f t="shared" si="176"/>
        <v>5.7499999999999662</v>
      </c>
      <c r="AH53" s="8">
        <f t="shared" si="176"/>
        <v>5.7499999999999662</v>
      </c>
      <c r="AI53" s="8">
        <f t="shared" si="176"/>
        <v>5.7499999999999662</v>
      </c>
      <c r="AJ53" s="8">
        <f t="shared" si="176"/>
        <v>5.7499999999999662</v>
      </c>
      <c r="AK53" s="8">
        <f t="shared" si="176"/>
        <v>5.7499999999999662</v>
      </c>
      <c r="AL53" s="8">
        <f t="shared" si="176"/>
        <v>5.7499999999999662</v>
      </c>
      <c r="AM53" s="8">
        <f t="shared" si="176"/>
        <v>5.7499999999999662</v>
      </c>
      <c r="AN53" s="8">
        <f t="shared" si="176"/>
        <v>5.7499999999999662</v>
      </c>
      <c r="AO53" s="8">
        <f t="shared" si="176"/>
        <v>5.7499999999999662</v>
      </c>
      <c r="AP53" s="8">
        <f t="shared" si="176"/>
        <v>5.7499999999999662</v>
      </c>
      <c r="AQ53" s="8">
        <f t="shared" si="176"/>
        <v>5.7499999999999662</v>
      </c>
      <c r="AR53" s="8">
        <f t="shared" si="176"/>
        <v>5.7499999999999662</v>
      </c>
      <c r="AS53" s="8">
        <f t="shared" si="176"/>
        <v>5.7499999999999662</v>
      </c>
      <c r="AT53" s="8">
        <f t="shared" si="176"/>
        <v>5.7499999999999662</v>
      </c>
      <c r="AU53" s="8">
        <f t="shared" si="176"/>
        <v>5.7499999999999662</v>
      </c>
      <c r="AV53" s="8">
        <f t="shared" si="176"/>
        <v>5.7499999999999662</v>
      </c>
      <c r="AW53" s="8">
        <f t="shared" si="176"/>
        <v>5.7499999999999662</v>
      </c>
    </row>
    <row r="54" spans="2:49" s="76" customFormat="1" ht="14.25" customHeight="1">
      <c r="B54" s="2" t="s">
        <v>351</v>
      </c>
      <c r="C54" s="2" t="s">
        <v>421</v>
      </c>
      <c r="D54" s="328">
        <f>IFERROR(D47/D53,"n.a.")</f>
        <v>0</v>
      </c>
      <c r="E54" s="328">
        <f t="shared" ref="E54:AW54" si="177">IFERROR(E47/E53,"n.a.")</f>
        <v>3.1688009739130441E-2</v>
      </c>
      <c r="F54" s="328">
        <f t="shared" si="177"/>
        <v>4.0844907023411384E-2</v>
      </c>
      <c r="G54" s="328">
        <f t="shared" si="177"/>
        <v>4.3337869991341996E-2</v>
      </c>
      <c r="H54" s="328">
        <f t="shared" si="177"/>
        <v>4.6060470736928073E-2</v>
      </c>
      <c r="I54" s="328">
        <f t="shared" si="177"/>
        <v>4.9043873842876486E-2</v>
      </c>
      <c r="J54" s="328">
        <f t="shared" si="177"/>
        <v>5.2325097056356212E-2</v>
      </c>
      <c r="K54" s="328">
        <f t="shared" si="177"/>
        <v>5.594845190333031E-2</v>
      </c>
      <c r="L54" s="328">
        <f t="shared" si="177"/>
        <v>5.9967431796471703E-2</v>
      </c>
      <c r="M54" s="328">
        <f t="shared" si="177"/>
        <v>6.4447218661479566E-2</v>
      </c>
      <c r="N54" s="328">
        <f t="shared" si="177"/>
        <v>6.946805812111724E-2</v>
      </c>
      <c r="O54" s="328">
        <f t="shared" si="177"/>
        <v>7.51298758762141E-2</v>
      </c>
      <c r="P54" s="328">
        <f t="shared" si="177"/>
        <v>8.1558702566051577E-2</v>
      </c>
      <c r="Q54" s="328">
        <f t="shared" si="177"/>
        <v>8.8915791401313962E-2</v>
      </c>
      <c r="R54" s="328">
        <f t="shared" si="177"/>
        <v>9.7410844137737457E-2</v>
      </c>
      <c r="S54" s="328">
        <f t="shared" si="177"/>
        <v>0.1073216804729297</v>
      </c>
      <c r="T54" s="328">
        <f t="shared" si="177"/>
        <v>0.11902433679783411</v>
      </c>
      <c r="U54" s="328">
        <f t="shared" si="177"/>
        <v>0.13304067136483755</v>
      </c>
      <c r="V54" s="328">
        <f t="shared" si="177"/>
        <v>0.15011663041149009</v>
      </c>
      <c r="W54" s="328">
        <f t="shared" si="177"/>
        <v>0.17135698477831082</v>
      </c>
      <c r="X54" s="328">
        <f t="shared" si="177"/>
        <v>0.19847056993935072</v>
      </c>
      <c r="Y54" s="328">
        <f t="shared" si="177"/>
        <v>0.23424850406116027</v>
      </c>
      <c r="Z54" s="328">
        <f t="shared" si="177"/>
        <v>0.28358217693924992</v>
      </c>
      <c r="AA54" s="328">
        <f t="shared" si="177"/>
        <v>0.35589649184479394</v>
      </c>
      <c r="AB54" s="328">
        <f t="shared" si="177"/>
        <v>0.47198611642507782</v>
      </c>
      <c r="AC54" s="328">
        <f t="shared" si="177"/>
        <v>0.6885638382059841</v>
      </c>
      <c r="AD54" s="328">
        <f t="shared" si="177"/>
        <v>1.2347494211784014</v>
      </c>
      <c r="AE54" s="328">
        <f t="shared" si="177"/>
        <v>0</v>
      </c>
      <c r="AF54" s="328">
        <f t="shared" si="177"/>
        <v>0</v>
      </c>
      <c r="AG54" s="328">
        <f t="shared" si="177"/>
        <v>0</v>
      </c>
      <c r="AH54" s="328">
        <f t="shared" si="177"/>
        <v>0</v>
      </c>
      <c r="AI54" s="328">
        <f t="shared" si="177"/>
        <v>0</v>
      </c>
      <c r="AJ54" s="328">
        <f t="shared" si="177"/>
        <v>0</v>
      </c>
      <c r="AK54" s="328">
        <f t="shared" si="177"/>
        <v>0</v>
      </c>
      <c r="AL54" s="328">
        <f t="shared" si="177"/>
        <v>0</v>
      </c>
      <c r="AM54" s="328">
        <f t="shared" si="177"/>
        <v>0</v>
      </c>
      <c r="AN54" s="328">
        <f t="shared" si="177"/>
        <v>0</v>
      </c>
      <c r="AO54" s="328">
        <f t="shared" si="177"/>
        <v>0</v>
      </c>
      <c r="AP54" s="328">
        <f t="shared" si="177"/>
        <v>0</v>
      </c>
      <c r="AQ54" s="328">
        <f t="shared" si="177"/>
        <v>0</v>
      </c>
      <c r="AR54" s="328">
        <f t="shared" si="177"/>
        <v>0</v>
      </c>
      <c r="AS54" s="328">
        <f t="shared" si="177"/>
        <v>0</v>
      </c>
      <c r="AT54" s="328">
        <f t="shared" si="177"/>
        <v>0</v>
      </c>
      <c r="AU54" s="328">
        <f t="shared" si="177"/>
        <v>0</v>
      </c>
      <c r="AV54" s="328">
        <f t="shared" si="177"/>
        <v>0</v>
      </c>
      <c r="AW54" s="328">
        <f t="shared" si="177"/>
        <v>0</v>
      </c>
    </row>
    <row r="55" spans="2:49" s="76" customFormat="1" ht="14.25" customHeight="1">
      <c r="B55" s="2"/>
      <c r="C55" s="2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28"/>
      <c r="AG55" s="328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328"/>
      <c r="AV55" s="328"/>
      <c r="AW55" s="328"/>
    </row>
    <row r="56" spans="2:49" s="76" customFormat="1" ht="14.25" customHeight="1">
      <c r="B56" s="2"/>
      <c r="C56" s="2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328"/>
      <c r="AV56" s="328"/>
      <c r="AW56" s="328"/>
    </row>
    <row r="57" spans="2:49" s="76" customFormat="1" ht="14.25" customHeight="1">
      <c r="B57" s="2"/>
      <c r="C57" s="2" t="s">
        <v>422</v>
      </c>
      <c r="D57" s="329">
        <f>D30</f>
        <v>0</v>
      </c>
      <c r="E57" s="329">
        <f t="shared" ref="E57:AW57" si="178">E30</f>
        <v>1</v>
      </c>
      <c r="F57" s="329">
        <f t="shared" si="178"/>
        <v>2</v>
      </c>
      <c r="G57" s="329">
        <f t="shared" si="178"/>
        <v>3</v>
      </c>
      <c r="H57" s="329">
        <f t="shared" si="178"/>
        <v>4</v>
      </c>
      <c r="I57" s="329">
        <f t="shared" si="178"/>
        <v>5</v>
      </c>
      <c r="J57" s="329">
        <f t="shared" si="178"/>
        <v>6</v>
      </c>
      <c r="K57" s="329">
        <f t="shared" si="178"/>
        <v>7</v>
      </c>
      <c r="L57" s="329">
        <f t="shared" si="178"/>
        <v>8</v>
      </c>
      <c r="M57" s="329">
        <f t="shared" si="178"/>
        <v>9</v>
      </c>
      <c r="N57" s="329">
        <f t="shared" si="178"/>
        <v>10</v>
      </c>
      <c r="O57" s="329">
        <f t="shared" si="178"/>
        <v>11</v>
      </c>
      <c r="P57" s="329">
        <f t="shared" si="178"/>
        <v>12</v>
      </c>
      <c r="Q57" s="329">
        <f t="shared" si="178"/>
        <v>13</v>
      </c>
      <c r="R57" s="329">
        <f t="shared" si="178"/>
        <v>14</v>
      </c>
      <c r="S57" s="329">
        <f t="shared" si="178"/>
        <v>15</v>
      </c>
      <c r="T57" s="329">
        <f t="shared" si="178"/>
        <v>16</v>
      </c>
      <c r="U57" s="329">
        <f t="shared" si="178"/>
        <v>17</v>
      </c>
      <c r="V57" s="329">
        <f t="shared" si="178"/>
        <v>18</v>
      </c>
      <c r="W57" s="329">
        <f t="shared" si="178"/>
        <v>19</v>
      </c>
      <c r="X57" s="329">
        <f t="shared" si="178"/>
        <v>20</v>
      </c>
      <c r="Y57" s="329">
        <f t="shared" si="178"/>
        <v>21</v>
      </c>
      <c r="Z57" s="329">
        <f t="shared" si="178"/>
        <v>22</v>
      </c>
      <c r="AA57" s="329">
        <f t="shared" si="178"/>
        <v>23</v>
      </c>
      <c r="AB57" s="329">
        <f t="shared" si="178"/>
        <v>24</v>
      </c>
      <c r="AC57" s="329">
        <f t="shared" si="178"/>
        <v>25</v>
      </c>
      <c r="AD57" s="329">
        <f t="shared" si="178"/>
        <v>26</v>
      </c>
      <c r="AE57" s="329">
        <f t="shared" si="178"/>
        <v>27</v>
      </c>
      <c r="AF57" s="329">
        <f t="shared" si="178"/>
        <v>28</v>
      </c>
      <c r="AG57" s="329">
        <f t="shared" si="178"/>
        <v>29</v>
      </c>
      <c r="AH57" s="329">
        <f t="shared" si="178"/>
        <v>30</v>
      </c>
      <c r="AI57" s="329">
        <f t="shared" si="178"/>
        <v>31</v>
      </c>
      <c r="AJ57" s="329">
        <f t="shared" si="178"/>
        <v>32</v>
      </c>
      <c r="AK57" s="329">
        <f t="shared" si="178"/>
        <v>33</v>
      </c>
      <c r="AL57" s="329">
        <f t="shared" si="178"/>
        <v>34</v>
      </c>
      <c r="AM57" s="329">
        <f t="shared" si="178"/>
        <v>35</v>
      </c>
      <c r="AN57" s="329">
        <f t="shared" si="178"/>
        <v>36</v>
      </c>
      <c r="AO57" s="329">
        <f t="shared" si="178"/>
        <v>37</v>
      </c>
      <c r="AP57" s="329">
        <f t="shared" si="178"/>
        <v>38</v>
      </c>
      <c r="AQ57" s="329">
        <f t="shared" si="178"/>
        <v>39</v>
      </c>
      <c r="AR57" s="329">
        <f t="shared" si="178"/>
        <v>40</v>
      </c>
      <c r="AS57" s="329">
        <f t="shared" si="178"/>
        <v>41</v>
      </c>
      <c r="AT57" s="329">
        <f t="shared" si="178"/>
        <v>42</v>
      </c>
      <c r="AU57" s="329">
        <f t="shared" si="178"/>
        <v>43</v>
      </c>
      <c r="AV57" s="329">
        <f t="shared" si="178"/>
        <v>44</v>
      </c>
      <c r="AW57" s="329">
        <f t="shared" si="178"/>
        <v>45</v>
      </c>
    </row>
    <row r="58" spans="2:49" s="76" customFormat="1" ht="14.25" customHeight="1">
      <c r="B58" s="2"/>
      <c r="C58" s="1" t="s">
        <v>423</v>
      </c>
      <c r="D58" s="330">
        <f>D44</f>
        <v>-105.41666666666666</v>
      </c>
      <c r="E58" s="330">
        <f t="shared" ref="E58:AW58" si="179">E44</f>
        <v>-111.35587887999999</v>
      </c>
      <c r="F58" s="330">
        <f t="shared" si="179"/>
        <v>-102.46720681599999</v>
      </c>
      <c r="G58" s="330">
        <f t="shared" si="179"/>
        <v>-93.492124750719995</v>
      </c>
      <c r="H58" s="330">
        <f t="shared" si="179"/>
        <v>-84.429023387334396</v>
      </c>
      <c r="I58" s="330">
        <f t="shared" si="179"/>
        <v>-75.276264810177082</v>
      </c>
      <c r="J58" s="330">
        <f t="shared" si="179"/>
        <v>-66.032182019377501</v>
      </c>
      <c r="K58" s="330">
        <f t="shared" si="179"/>
        <v>-56.695078459399838</v>
      </c>
      <c r="L58" s="330">
        <f t="shared" si="179"/>
        <v>-47.263227541459663</v>
      </c>
      <c r="M58" s="330">
        <f t="shared" si="179"/>
        <v>-37.734872159794847</v>
      </c>
      <c r="N58" s="330">
        <f t="shared" si="179"/>
        <v>-28.108224201769911</v>
      </c>
      <c r="O58" s="330">
        <f t="shared" si="179"/>
        <v>-18.381464051795852</v>
      </c>
      <c r="P58" s="330">
        <f t="shared" si="179"/>
        <v>-8.552740089050026</v>
      </c>
      <c r="Q58" s="330">
        <f t="shared" si="179"/>
        <v>1.3798318210161682</v>
      </c>
      <c r="R58" s="330">
        <f t="shared" si="179"/>
        <v>11.418168841391104</v>
      </c>
      <c r="S58" s="330">
        <f t="shared" si="179"/>
        <v>21.564221684444174</v>
      </c>
      <c r="T58" s="330">
        <f t="shared" si="179"/>
        <v>31.819975139097064</v>
      </c>
      <c r="U58" s="330">
        <f t="shared" si="179"/>
        <v>42.187448604223931</v>
      </c>
      <c r="V58" s="330">
        <f t="shared" si="179"/>
        <v>52.668696628275683</v>
      </c>
      <c r="W58" s="330">
        <f t="shared" si="179"/>
        <v>63.265809455119488</v>
      </c>
      <c r="X58" s="330">
        <f t="shared" si="179"/>
        <v>73.980913576080525</v>
      </c>
      <c r="Y58" s="330">
        <f t="shared" si="179"/>
        <v>84.816172288168531</v>
      </c>
      <c r="Z58" s="330">
        <f t="shared" si="179"/>
        <v>95.773786258467297</v>
      </c>
      <c r="AA58" s="330">
        <f t="shared" si="179"/>
        <v>106.8559940946601</v>
      </c>
      <c r="AB58" s="330">
        <f t="shared" si="179"/>
        <v>118.06507292165946</v>
      </c>
      <c r="AC58" s="330">
        <f t="shared" si="179"/>
        <v>129.403338964304</v>
      </c>
      <c r="AD58" s="330">
        <f t="shared" si="179"/>
        <v>146.62314813607975</v>
      </c>
      <c r="AE58" s="330">
        <f t="shared" si="179"/>
        <v>146.62314813607975</v>
      </c>
      <c r="AF58" s="330">
        <f t="shared" si="179"/>
        <v>146.62314813607975</v>
      </c>
      <c r="AG58" s="330">
        <f t="shared" si="179"/>
        <v>146.62314813607975</v>
      </c>
      <c r="AH58" s="330">
        <f t="shared" si="179"/>
        <v>146.62314813607975</v>
      </c>
      <c r="AI58" s="330">
        <f t="shared" si="179"/>
        <v>146.62314813607975</v>
      </c>
      <c r="AJ58" s="330">
        <f t="shared" si="179"/>
        <v>146.62314813607975</v>
      </c>
      <c r="AK58" s="330">
        <f t="shared" si="179"/>
        <v>146.62314813607975</v>
      </c>
      <c r="AL58" s="330">
        <f t="shared" si="179"/>
        <v>146.62314813607975</v>
      </c>
      <c r="AM58" s="330">
        <f t="shared" si="179"/>
        <v>146.62314813607975</v>
      </c>
      <c r="AN58" s="330">
        <f t="shared" si="179"/>
        <v>146.62314813607975</v>
      </c>
      <c r="AO58" s="330">
        <f t="shared" si="179"/>
        <v>146.62314813607975</v>
      </c>
      <c r="AP58" s="330">
        <f t="shared" si="179"/>
        <v>146.62314813607975</v>
      </c>
      <c r="AQ58" s="330">
        <f t="shared" si="179"/>
        <v>146.62314813607975</v>
      </c>
      <c r="AR58" s="330">
        <f t="shared" si="179"/>
        <v>146.62314813607975</v>
      </c>
      <c r="AS58" s="330">
        <f t="shared" si="179"/>
        <v>146.62314813607975</v>
      </c>
      <c r="AT58" s="330">
        <f t="shared" si="179"/>
        <v>146.62314813607975</v>
      </c>
      <c r="AU58" s="330">
        <f t="shared" si="179"/>
        <v>146.62314813607975</v>
      </c>
      <c r="AV58" s="330">
        <f t="shared" si="179"/>
        <v>146.62314813607975</v>
      </c>
      <c r="AW58" s="330">
        <f t="shared" si="179"/>
        <v>146.62314813607975</v>
      </c>
    </row>
    <row r="59" spans="2:49" s="76" customFormat="1" ht="14.25" customHeight="1">
      <c r="B59" s="2"/>
      <c r="C59" s="1" t="s">
        <v>424</v>
      </c>
      <c r="D59" s="331">
        <f>IF(AND(C58&lt;0,D58&gt;=0),1,0)</f>
        <v>0</v>
      </c>
      <c r="E59" s="331">
        <f>IF(AND(D58&lt;0,E58&gt;=0),1,0)</f>
        <v>0</v>
      </c>
      <c r="F59" s="331">
        <f t="shared" ref="F59:AW59" si="180">IF(AND(E58&lt;0,F58&gt;=0),1,0)</f>
        <v>0</v>
      </c>
      <c r="G59" s="331">
        <f t="shared" si="180"/>
        <v>0</v>
      </c>
      <c r="H59" s="331">
        <f t="shared" si="180"/>
        <v>0</v>
      </c>
      <c r="I59" s="331">
        <f t="shared" si="180"/>
        <v>0</v>
      </c>
      <c r="J59" s="331">
        <f t="shared" si="180"/>
        <v>0</v>
      </c>
      <c r="K59" s="331">
        <f t="shared" si="180"/>
        <v>0</v>
      </c>
      <c r="L59" s="331">
        <f t="shared" si="180"/>
        <v>0</v>
      </c>
      <c r="M59" s="331">
        <f t="shared" si="180"/>
        <v>0</v>
      </c>
      <c r="N59" s="331">
        <f t="shared" si="180"/>
        <v>0</v>
      </c>
      <c r="O59" s="331">
        <f t="shared" si="180"/>
        <v>0</v>
      </c>
      <c r="P59" s="331">
        <f t="shared" si="180"/>
        <v>0</v>
      </c>
      <c r="Q59" s="331">
        <f t="shared" si="180"/>
        <v>1</v>
      </c>
      <c r="R59" s="331">
        <f t="shared" si="180"/>
        <v>0</v>
      </c>
      <c r="S59" s="331">
        <f t="shared" si="180"/>
        <v>0</v>
      </c>
      <c r="T59" s="331">
        <f t="shared" si="180"/>
        <v>0</v>
      </c>
      <c r="U59" s="331">
        <f t="shared" si="180"/>
        <v>0</v>
      </c>
      <c r="V59" s="331">
        <f t="shared" si="180"/>
        <v>0</v>
      </c>
      <c r="W59" s="331">
        <f t="shared" si="180"/>
        <v>0</v>
      </c>
      <c r="X59" s="331">
        <f t="shared" si="180"/>
        <v>0</v>
      </c>
      <c r="Y59" s="331">
        <f t="shared" si="180"/>
        <v>0</v>
      </c>
      <c r="Z59" s="331">
        <f t="shared" si="180"/>
        <v>0</v>
      </c>
      <c r="AA59" s="331">
        <f t="shared" si="180"/>
        <v>0</v>
      </c>
      <c r="AB59" s="331">
        <f t="shared" si="180"/>
        <v>0</v>
      </c>
      <c r="AC59" s="331">
        <f t="shared" si="180"/>
        <v>0</v>
      </c>
      <c r="AD59" s="331">
        <f t="shared" si="180"/>
        <v>0</v>
      </c>
      <c r="AE59" s="331">
        <f t="shared" si="180"/>
        <v>0</v>
      </c>
      <c r="AF59" s="331">
        <f t="shared" si="180"/>
        <v>0</v>
      </c>
      <c r="AG59" s="331">
        <f t="shared" si="180"/>
        <v>0</v>
      </c>
      <c r="AH59" s="331">
        <f t="shared" si="180"/>
        <v>0</v>
      </c>
      <c r="AI59" s="331">
        <f t="shared" si="180"/>
        <v>0</v>
      </c>
      <c r="AJ59" s="331">
        <f t="shared" si="180"/>
        <v>0</v>
      </c>
      <c r="AK59" s="331">
        <f t="shared" si="180"/>
        <v>0</v>
      </c>
      <c r="AL59" s="331">
        <f t="shared" si="180"/>
        <v>0</v>
      </c>
      <c r="AM59" s="331">
        <f t="shared" si="180"/>
        <v>0</v>
      </c>
      <c r="AN59" s="331">
        <f t="shared" si="180"/>
        <v>0</v>
      </c>
      <c r="AO59" s="331">
        <f t="shared" si="180"/>
        <v>0</v>
      </c>
      <c r="AP59" s="331">
        <f t="shared" si="180"/>
        <v>0</v>
      </c>
      <c r="AQ59" s="331">
        <f t="shared" si="180"/>
        <v>0</v>
      </c>
      <c r="AR59" s="331">
        <f t="shared" si="180"/>
        <v>0</v>
      </c>
      <c r="AS59" s="331">
        <f t="shared" si="180"/>
        <v>0</v>
      </c>
      <c r="AT59" s="331">
        <f t="shared" si="180"/>
        <v>0</v>
      </c>
      <c r="AU59" s="331">
        <f t="shared" si="180"/>
        <v>0</v>
      </c>
      <c r="AV59" s="331">
        <f t="shared" si="180"/>
        <v>0</v>
      </c>
      <c r="AW59" s="331">
        <f t="shared" si="180"/>
        <v>0</v>
      </c>
    </row>
    <row r="60" spans="2:49" s="76" customFormat="1" ht="14.25" customHeight="1">
      <c r="B60" s="2"/>
      <c r="C60" s="1" t="s">
        <v>425</v>
      </c>
      <c r="D60" s="331">
        <f>IF(D59=1,C58/D43,0)*-1</f>
        <v>0</v>
      </c>
      <c r="E60" s="331">
        <f>IF(E59=1,D58/E43,0)*-1</f>
        <v>0</v>
      </c>
      <c r="F60" s="331">
        <f t="shared" ref="F60:AW60" si="181">IF(F59=1,E58/F43,0)*-1</f>
        <v>0</v>
      </c>
      <c r="G60" s="331">
        <f t="shared" si="181"/>
        <v>0</v>
      </c>
      <c r="H60" s="331">
        <f t="shared" si="181"/>
        <v>0</v>
      </c>
      <c r="I60" s="331">
        <f t="shared" si="181"/>
        <v>0</v>
      </c>
      <c r="J60" s="331">
        <f t="shared" si="181"/>
        <v>0</v>
      </c>
      <c r="K60" s="331">
        <f t="shared" si="181"/>
        <v>0</v>
      </c>
      <c r="L60" s="331">
        <f t="shared" si="181"/>
        <v>0</v>
      </c>
      <c r="M60" s="331">
        <f t="shared" si="181"/>
        <v>0</v>
      </c>
      <c r="N60" s="331">
        <f t="shared" si="181"/>
        <v>0</v>
      </c>
      <c r="O60" s="331">
        <f t="shared" si="181"/>
        <v>0</v>
      </c>
      <c r="P60" s="331">
        <f t="shared" si="181"/>
        <v>0</v>
      </c>
      <c r="Q60" s="331">
        <f t="shared" si="181"/>
        <v>0.86108010759853915</v>
      </c>
      <c r="R60" s="331">
        <f t="shared" si="181"/>
        <v>0</v>
      </c>
      <c r="S60" s="331">
        <f t="shared" si="181"/>
        <v>0</v>
      </c>
      <c r="T60" s="331">
        <f t="shared" si="181"/>
        <v>0</v>
      </c>
      <c r="U60" s="331">
        <f t="shared" si="181"/>
        <v>0</v>
      </c>
      <c r="V60" s="331">
        <f t="shared" si="181"/>
        <v>0</v>
      </c>
      <c r="W60" s="331">
        <f t="shared" si="181"/>
        <v>0</v>
      </c>
      <c r="X60" s="331">
        <f t="shared" si="181"/>
        <v>0</v>
      </c>
      <c r="Y60" s="331">
        <f t="shared" si="181"/>
        <v>0</v>
      </c>
      <c r="Z60" s="331">
        <f t="shared" si="181"/>
        <v>0</v>
      </c>
      <c r="AA60" s="331">
        <f t="shared" si="181"/>
        <v>0</v>
      </c>
      <c r="AB60" s="331">
        <f t="shared" si="181"/>
        <v>0</v>
      </c>
      <c r="AC60" s="331">
        <f t="shared" si="181"/>
        <v>0</v>
      </c>
      <c r="AD60" s="331">
        <f t="shared" si="181"/>
        <v>0</v>
      </c>
      <c r="AE60" s="331">
        <f t="shared" si="181"/>
        <v>0</v>
      </c>
      <c r="AF60" s="331">
        <f t="shared" si="181"/>
        <v>0</v>
      </c>
      <c r="AG60" s="331">
        <f t="shared" si="181"/>
        <v>0</v>
      </c>
      <c r="AH60" s="331">
        <f t="shared" si="181"/>
        <v>0</v>
      </c>
      <c r="AI60" s="331">
        <f t="shared" si="181"/>
        <v>0</v>
      </c>
      <c r="AJ60" s="331">
        <f t="shared" si="181"/>
        <v>0</v>
      </c>
      <c r="AK60" s="331">
        <f t="shared" si="181"/>
        <v>0</v>
      </c>
      <c r="AL60" s="331">
        <f t="shared" si="181"/>
        <v>0</v>
      </c>
      <c r="AM60" s="331">
        <f t="shared" si="181"/>
        <v>0</v>
      </c>
      <c r="AN60" s="331">
        <f t="shared" si="181"/>
        <v>0</v>
      </c>
      <c r="AO60" s="331">
        <f t="shared" si="181"/>
        <v>0</v>
      </c>
      <c r="AP60" s="331">
        <f t="shared" si="181"/>
        <v>0</v>
      </c>
      <c r="AQ60" s="331">
        <f t="shared" si="181"/>
        <v>0</v>
      </c>
      <c r="AR60" s="331">
        <f t="shared" si="181"/>
        <v>0</v>
      </c>
      <c r="AS60" s="331">
        <f t="shared" si="181"/>
        <v>0</v>
      </c>
      <c r="AT60" s="331">
        <f t="shared" si="181"/>
        <v>0</v>
      </c>
      <c r="AU60" s="331">
        <f t="shared" si="181"/>
        <v>0</v>
      </c>
      <c r="AV60" s="331">
        <f t="shared" si="181"/>
        <v>0</v>
      </c>
      <c r="AW60" s="331">
        <f t="shared" si="181"/>
        <v>0</v>
      </c>
    </row>
    <row r="61" spans="2:49" s="76" customFormat="1" ht="14.25" customHeight="1">
      <c r="B61" s="2"/>
      <c r="C61" s="1" t="s">
        <v>426</v>
      </c>
      <c r="D61" s="331">
        <f>IF(D59&lt;&gt;1,0,D57*D59-1+D60)</f>
        <v>0</v>
      </c>
      <c r="E61" s="331">
        <f>IF(E59&lt;&gt;1,0,E57*E59-1+E60)</f>
        <v>0</v>
      </c>
      <c r="F61" s="331">
        <f t="shared" ref="F61:AW61" si="182">IF(F59&lt;&gt;1,0,F57*F59-1+F60)</f>
        <v>0</v>
      </c>
      <c r="G61" s="331">
        <f t="shared" si="182"/>
        <v>0</v>
      </c>
      <c r="H61" s="331">
        <f t="shared" si="182"/>
        <v>0</v>
      </c>
      <c r="I61" s="331">
        <f t="shared" si="182"/>
        <v>0</v>
      </c>
      <c r="J61" s="331">
        <f t="shared" si="182"/>
        <v>0</v>
      </c>
      <c r="K61" s="331">
        <f t="shared" si="182"/>
        <v>0</v>
      </c>
      <c r="L61" s="331">
        <f t="shared" si="182"/>
        <v>0</v>
      </c>
      <c r="M61" s="331">
        <f t="shared" si="182"/>
        <v>0</v>
      </c>
      <c r="N61" s="331">
        <f t="shared" si="182"/>
        <v>0</v>
      </c>
      <c r="O61" s="331">
        <f t="shared" si="182"/>
        <v>0</v>
      </c>
      <c r="P61" s="331">
        <f t="shared" si="182"/>
        <v>0</v>
      </c>
      <c r="Q61" s="331">
        <f t="shared" si="182"/>
        <v>12.861080107598539</v>
      </c>
      <c r="R61" s="331">
        <f t="shared" si="182"/>
        <v>0</v>
      </c>
      <c r="S61" s="331">
        <f t="shared" si="182"/>
        <v>0</v>
      </c>
      <c r="T61" s="331">
        <f t="shared" si="182"/>
        <v>0</v>
      </c>
      <c r="U61" s="331">
        <f t="shared" si="182"/>
        <v>0</v>
      </c>
      <c r="V61" s="331">
        <f t="shared" si="182"/>
        <v>0</v>
      </c>
      <c r="W61" s="331">
        <f t="shared" si="182"/>
        <v>0</v>
      </c>
      <c r="X61" s="331">
        <f t="shared" si="182"/>
        <v>0</v>
      </c>
      <c r="Y61" s="331">
        <f t="shared" si="182"/>
        <v>0</v>
      </c>
      <c r="Z61" s="331">
        <f t="shared" si="182"/>
        <v>0</v>
      </c>
      <c r="AA61" s="331">
        <f t="shared" si="182"/>
        <v>0</v>
      </c>
      <c r="AB61" s="331">
        <f t="shared" si="182"/>
        <v>0</v>
      </c>
      <c r="AC61" s="331">
        <f t="shared" si="182"/>
        <v>0</v>
      </c>
      <c r="AD61" s="331">
        <f t="shared" si="182"/>
        <v>0</v>
      </c>
      <c r="AE61" s="331">
        <f t="shared" si="182"/>
        <v>0</v>
      </c>
      <c r="AF61" s="331">
        <f t="shared" si="182"/>
        <v>0</v>
      </c>
      <c r="AG61" s="331">
        <f t="shared" si="182"/>
        <v>0</v>
      </c>
      <c r="AH61" s="331">
        <f t="shared" si="182"/>
        <v>0</v>
      </c>
      <c r="AI61" s="331">
        <f t="shared" si="182"/>
        <v>0</v>
      </c>
      <c r="AJ61" s="331">
        <f t="shared" si="182"/>
        <v>0</v>
      </c>
      <c r="AK61" s="331">
        <f t="shared" si="182"/>
        <v>0</v>
      </c>
      <c r="AL61" s="331">
        <f t="shared" si="182"/>
        <v>0</v>
      </c>
      <c r="AM61" s="331">
        <f t="shared" si="182"/>
        <v>0</v>
      </c>
      <c r="AN61" s="331">
        <f t="shared" si="182"/>
        <v>0</v>
      </c>
      <c r="AO61" s="331">
        <f t="shared" si="182"/>
        <v>0</v>
      </c>
      <c r="AP61" s="331">
        <f t="shared" si="182"/>
        <v>0</v>
      </c>
      <c r="AQ61" s="331">
        <f t="shared" si="182"/>
        <v>0</v>
      </c>
      <c r="AR61" s="331">
        <f t="shared" si="182"/>
        <v>0</v>
      </c>
      <c r="AS61" s="331">
        <f t="shared" si="182"/>
        <v>0</v>
      </c>
      <c r="AT61" s="331">
        <f t="shared" si="182"/>
        <v>0</v>
      </c>
      <c r="AU61" s="331">
        <f t="shared" si="182"/>
        <v>0</v>
      </c>
      <c r="AV61" s="331">
        <f t="shared" si="182"/>
        <v>0</v>
      </c>
      <c r="AW61" s="331">
        <f t="shared" si="182"/>
        <v>0</v>
      </c>
    </row>
    <row r="62" spans="2:49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:49" ht="14.25" customHeight="1" thickBo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:49" ht="14.25" customHeight="1">
      <c r="B64" s="1"/>
      <c r="C64" s="825" t="s">
        <v>427</v>
      </c>
      <c r="D64" s="828"/>
      <c r="E64" s="82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6" ht="14.25" customHeight="1">
      <c r="A65" s="1"/>
      <c r="B65" s="1"/>
      <c r="C65" s="278" t="s">
        <v>428</v>
      </c>
      <c r="D65" s="84"/>
      <c r="E65" s="332">
        <f>'Assumptions &amp; Inputs'!F5</f>
        <v>0</v>
      </c>
      <c r="F65" s="4" t="s">
        <v>429</v>
      </c>
    </row>
    <row r="66" spans="1:6" ht="14.25" customHeight="1">
      <c r="A66" s="1"/>
      <c r="B66" s="1"/>
      <c r="C66" s="278" t="s">
        <v>430</v>
      </c>
      <c r="D66" s="84"/>
      <c r="E66" s="333">
        <f>E65/SUM(E36:E37)</f>
        <v>0</v>
      </c>
      <c r="F66" s="1"/>
    </row>
    <row r="67" spans="1:6" ht="14.25" customHeight="1">
      <c r="A67" s="1"/>
      <c r="B67" s="1"/>
      <c r="C67" s="278" t="s">
        <v>431</v>
      </c>
      <c r="D67" s="84"/>
      <c r="E67" s="334">
        <f>-SUM(D38:AW38)</f>
        <v>114.99999999999999</v>
      </c>
      <c r="F67" s="1"/>
    </row>
    <row r="68" spans="1:6" ht="14.25" customHeight="1">
      <c r="A68" s="1"/>
      <c r="B68" s="1"/>
      <c r="C68" s="278"/>
      <c r="D68" s="84"/>
      <c r="E68" s="335"/>
      <c r="F68" s="1"/>
    </row>
    <row r="69" spans="1:6" ht="14.25" customHeight="1">
      <c r="A69" s="1"/>
      <c r="B69" s="1"/>
      <c r="C69" s="336" t="s">
        <v>432</v>
      </c>
      <c r="D69" s="83"/>
      <c r="E69" s="337">
        <f>XNPV('Assumptions &amp; Inputs'!$E$16,D43:AW43,D33:AW33)</f>
        <v>-50.264536404793795</v>
      </c>
      <c r="F69" s="1"/>
    </row>
    <row r="70" spans="1:6" ht="14.25" customHeight="1">
      <c r="A70" s="1"/>
      <c r="B70" s="1"/>
      <c r="C70" s="336" t="s">
        <v>433</v>
      </c>
      <c r="D70" s="83"/>
      <c r="E70" s="338">
        <f>IFERROR(XIRR(D43:AW43,D33:AW33),"n.a.")</f>
        <v>6.1284479498863231E-2</v>
      </c>
      <c r="F70" s="1"/>
    </row>
    <row r="71" spans="1:6" ht="14.25" customHeight="1">
      <c r="A71" s="1"/>
      <c r="B71" s="1"/>
      <c r="C71" s="322" t="s">
        <v>434</v>
      </c>
      <c r="D71" s="84"/>
      <c r="E71" s="340">
        <f>I54</f>
        <v>4.9043873842876486E-2</v>
      </c>
      <c r="F71" s="1"/>
    </row>
    <row r="72" spans="1:6" ht="14.25" customHeight="1" thickBot="1">
      <c r="A72" s="1"/>
      <c r="B72" s="1"/>
      <c r="C72" s="339" t="s">
        <v>435</v>
      </c>
      <c r="D72" s="86"/>
      <c r="E72" s="341">
        <f>L61</f>
        <v>0</v>
      </c>
      <c r="F72" s="1"/>
    </row>
    <row r="73" spans="1:6" ht="14.25" customHeight="1">
      <c r="A73" s="1"/>
      <c r="B73" s="1"/>
      <c r="C73" s="1"/>
      <c r="D73" s="1"/>
      <c r="E73" s="1"/>
      <c r="F73" s="1"/>
    </row>
    <row r="74" spans="1:6" ht="14.25" customHeight="1">
      <c r="A74" s="1"/>
      <c r="B74" s="1"/>
      <c r="C74" s="1"/>
      <c r="D74" s="1"/>
      <c r="E74" s="1"/>
      <c r="F74" s="1"/>
    </row>
    <row r="75" spans="1:6" ht="14.25" customHeight="1" thickBot="1">
      <c r="A75" s="1" t="s">
        <v>351</v>
      </c>
      <c r="B75" s="1"/>
      <c r="C75" s="9" t="s">
        <v>436</v>
      </c>
      <c r="D75" s="9"/>
      <c r="E75" s="10"/>
      <c r="F75" s="10"/>
    </row>
    <row r="76" spans="1:6" ht="14.25" customHeight="1">
      <c r="A76" s="1"/>
      <c r="B76" s="1"/>
      <c r="C76" s="12" t="s">
        <v>353</v>
      </c>
      <c r="D76" s="13"/>
      <c r="E76" s="14"/>
      <c r="F76" s="14"/>
    </row>
    <row r="77" spans="1:6" ht="14.25" customHeight="1" thickBot="1">
      <c r="A77" s="1"/>
      <c r="B77" s="1"/>
      <c r="C77" s="12"/>
      <c r="D77" s="13"/>
      <c r="E77" s="14"/>
      <c r="F77" s="14"/>
    </row>
    <row r="78" spans="1:6" ht="14.25" customHeight="1" thickBot="1">
      <c r="A78" s="1"/>
      <c r="B78" s="1"/>
      <c r="C78" s="812" t="s">
        <v>437</v>
      </c>
      <c r="D78" s="812"/>
      <c r="E78" s="812"/>
      <c r="F78" s="14"/>
    </row>
    <row r="79" spans="1:6" ht="14.25" customHeight="1">
      <c r="A79" s="1"/>
      <c r="B79" s="1"/>
      <c r="C79" s="98" t="s">
        <v>438</v>
      </c>
      <c r="D79" s="13"/>
      <c r="E79" s="99">
        <f>E80*SUM(E65,E67)</f>
        <v>0</v>
      </c>
      <c r="F79" s="14"/>
    </row>
    <row r="80" spans="1:6" ht="14.25" customHeight="1">
      <c r="A80" s="1"/>
      <c r="B80" s="1"/>
      <c r="C80" s="98" t="s">
        <v>439</v>
      </c>
      <c r="D80" s="13"/>
      <c r="E80" s="100">
        <f>'Assumptions &amp; Inputs'!F8</f>
        <v>0</v>
      </c>
      <c r="F80" s="14"/>
    </row>
    <row r="81" spans="2:49" ht="14.25" customHeight="1">
      <c r="B81" s="1"/>
      <c r="C81" s="98" t="s">
        <v>440</v>
      </c>
      <c r="D81" s="13"/>
      <c r="E81" s="95">
        <f>IFERROR(SUM(E91:AW91)/SUM(E92:AW92),0)</f>
        <v>0</v>
      </c>
      <c r="F81" s="14"/>
      <c r="G81" s="14"/>
      <c r="H81" s="14"/>
      <c r="I81" s="14"/>
      <c r="J81" s="14"/>
      <c r="K81" s="14"/>
      <c r="L81" s="14"/>
      <c r="M81" s="14"/>
      <c r="N81" s="1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2:49" ht="14.25" customHeight="1">
      <c r="B82" s="1"/>
      <c r="C82" s="98"/>
      <c r="D82" s="13"/>
      <c r="E82" s="95"/>
      <c r="F82" s="14"/>
      <c r="G82" s="14"/>
      <c r="H82" s="14"/>
      <c r="I82" s="14"/>
      <c r="J82" s="14"/>
      <c r="K82" s="14"/>
      <c r="L82" s="14"/>
      <c r="M82" s="14"/>
      <c r="N82" s="1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2:49" ht="14.25" customHeight="1">
      <c r="B83" s="1"/>
      <c r="C83" s="101" t="s">
        <v>441</v>
      </c>
      <c r="D83" s="25"/>
      <c r="E83" s="97">
        <f>XNPV('Assumptions &amp; Inputs'!$E$16,D94:AW94,D90:AW90)</f>
        <v>-60.117005970972954</v>
      </c>
      <c r="F83" s="14"/>
      <c r="G83" s="14"/>
      <c r="H83" s="14"/>
      <c r="I83" s="14"/>
      <c r="J83" s="14"/>
      <c r="K83" s="14"/>
      <c r="L83" s="14"/>
      <c r="M83" s="14"/>
      <c r="N83" s="1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2:49" ht="14.25" customHeight="1" thickBot="1">
      <c r="B84" s="1"/>
      <c r="C84" s="26" t="s">
        <v>442</v>
      </c>
      <c r="D84" s="27"/>
      <c r="E84" s="28">
        <f>IFERROR(XIRR(D94:AW94,D90:AW90),"n.a.")</f>
        <v>5.3446051478385936E-2</v>
      </c>
      <c r="F84" s="14"/>
      <c r="G84" s="14"/>
      <c r="H84" s="14"/>
      <c r="I84" s="14"/>
      <c r="J84" s="14"/>
      <c r="K84" s="14"/>
      <c r="L84" s="14"/>
      <c r="M84" s="14"/>
      <c r="N84" s="1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2:49" ht="14.25" customHeight="1">
      <c r="B85" s="1"/>
      <c r="C85" s="12"/>
      <c r="D85" s="13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2:49" ht="14.25" customHeight="1">
      <c r="B86" s="1"/>
      <c r="C86" s="12"/>
      <c r="D86" s="13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2:49" ht="14.25" customHeight="1">
      <c r="B87" s="1"/>
      <c r="C87" s="1"/>
      <c r="D87" s="90">
        <v>0</v>
      </c>
      <c r="E87" s="90">
        <f t="shared" ref="E87:X87" si="183">D87+1</f>
        <v>1</v>
      </c>
      <c r="F87" s="90">
        <f t="shared" si="183"/>
        <v>2</v>
      </c>
      <c r="G87" s="90">
        <f t="shared" si="183"/>
        <v>3</v>
      </c>
      <c r="H87" s="90">
        <f t="shared" si="183"/>
        <v>4</v>
      </c>
      <c r="I87" s="90">
        <f t="shared" si="183"/>
        <v>5</v>
      </c>
      <c r="J87" s="90">
        <f t="shared" si="183"/>
        <v>6</v>
      </c>
      <c r="K87" s="90">
        <f t="shared" si="183"/>
        <v>7</v>
      </c>
      <c r="L87" s="90">
        <f t="shared" si="183"/>
        <v>8</v>
      </c>
      <c r="M87" s="90">
        <f t="shared" si="183"/>
        <v>9</v>
      </c>
      <c r="N87" s="90">
        <f t="shared" si="183"/>
        <v>10</v>
      </c>
      <c r="O87" s="90">
        <f t="shared" si="183"/>
        <v>11</v>
      </c>
      <c r="P87" s="90">
        <f t="shared" si="183"/>
        <v>12</v>
      </c>
      <c r="Q87" s="90">
        <f t="shared" si="183"/>
        <v>13</v>
      </c>
      <c r="R87" s="90">
        <f t="shared" si="183"/>
        <v>14</v>
      </c>
      <c r="S87" s="90">
        <f t="shared" si="183"/>
        <v>15</v>
      </c>
      <c r="T87" s="90">
        <f t="shared" si="183"/>
        <v>16</v>
      </c>
      <c r="U87" s="90">
        <f t="shared" si="183"/>
        <v>17</v>
      </c>
      <c r="V87" s="90">
        <f t="shared" si="183"/>
        <v>18</v>
      </c>
      <c r="W87" s="90">
        <f t="shared" si="183"/>
        <v>19</v>
      </c>
      <c r="X87" s="90">
        <f t="shared" si="183"/>
        <v>20</v>
      </c>
      <c r="Y87" s="90">
        <f t="shared" ref="Y87" si="184">X87+1</f>
        <v>21</v>
      </c>
      <c r="Z87" s="90">
        <f t="shared" ref="Z87" si="185">Y87+1</f>
        <v>22</v>
      </c>
      <c r="AA87" s="90">
        <f t="shared" ref="AA87" si="186">Z87+1</f>
        <v>23</v>
      </c>
      <c r="AB87" s="90">
        <f t="shared" ref="AB87" si="187">AA87+1</f>
        <v>24</v>
      </c>
      <c r="AC87" s="90">
        <f t="shared" ref="AC87" si="188">AB87+1</f>
        <v>25</v>
      </c>
      <c r="AD87" s="90">
        <f t="shared" ref="AD87" si="189">AC87+1</f>
        <v>26</v>
      </c>
      <c r="AE87" s="90">
        <f t="shared" ref="AE87" si="190">AD87+1</f>
        <v>27</v>
      </c>
      <c r="AF87" s="90">
        <f t="shared" ref="AF87" si="191">AE87+1</f>
        <v>28</v>
      </c>
      <c r="AG87" s="90">
        <f t="shared" ref="AG87" si="192">AF87+1</f>
        <v>29</v>
      </c>
      <c r="AH87" s="90">
        <f t="shared" ref="AH87" si="193">AG87+1</f>
        <v>30</v>
      </c>
      <c r="AI87" s="90">
        <f t="shared" ref="AI87" si="194">AH87+1</f>
        <v>31</v>
      </c>
      <c r="AJ87" s="90">
        <f t="shared" ref="AJ87" si="195">AI87+1</f>
        <v>32</v>
      </c>
      <c r="AK87" s="90">
        <f t="shared" ref="AK87" si="196">AJ87+1</f>
        <v>33</v>
      </c>
      <c r="AL87" s="90">
        <f t="shared" ref="AL87" si="197">AK87+1</f>
        <v>34</v>
      </c>
      <c r="AM87" s="90">
        <f t="shared" ref="AM87" si="198">AL87+1</f>
        <v>35</v>
      </c>
      <c r="AN87" s="90">
        <f t="shared" ref="AN87" si="199">AM87+1</f>
        <v>36</v>
      </c>
      <c r="AO87" s="90">
        <f t="shared" ref="AO87" si="200">AN87+1</f>
        <v>37</v>
      </c>
      <c r="AP87" s="90">
        <f t="shared" ref="AP87" si="201">AO87+1</f>
        <v>38</v>
      </c>
      <c r="AQ87" s="90">
        <f t="shared" ref="AQ87" si="202">AP87+1</f>
        <v>39</v>
      </c>
      <c r="AR87" s="90">
        <f t="shared" ref="AR87" si="203">AQ87+1</f>
        <v>40</v>
      </c>
      <c r="AS87" s="90">
        <f t="shared" ref="AS87" si="204">AR87+1</f>
        <v>41</v>
      </c>
      <c r="AT87" s="90">
        <f t="shared" ref="AT87" si="205">AS87+1</f>
        <v>42</v>
      </c>
      <c r="AU87" s="90">
        <f t="shared" ref="AU87" si="206">AT87+1</f>
        <v>43</v>
      </c>
      <c r="AV87" s="90">
        <f t="shared" ref="AV87" si="207">AU87+1</f>
        <v>44</v>
      </c>
      <c r="AW87" s="90">
        <f t="shared" ref="AW87" si="208">AV87+1</f>
        <v>45</v>
      </c>
    </row>
    <row r="88" spans="2:49" ht="14.25" customHeight="1">
      <c r="B88" s="2"/>
      <c r="C88" s="2"/>
      <c r="D88" s="2"/>
      <c r="E88" s="806" t="s">
        <v>354</v>
      </c>
      <c r="F88" s="806"/>
      <c r="G88" s="806"/>
      <c r="H88" s="806"/>
      <c r="I88" s="806"/>
      <c r="J88" s="806"/>
      <c r="K88" s="806"/>
      <c r="L88" s="806"/>
      <c r="M88" s="806"/>
      <c r="N88" s="806"/>
      <c r="O88" s="806"/>
      <c r="P88" s="806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</row>
    <row r="89" spans="2:49" ht="14.25" customHeight="1">
      <c r="B89" s="2"/>
      <c r="C89" s="2"/>
      <c r="D89" s="3">
        <f>D32</f>
        <v>2026</v>
      </c>
      <c r="E89" s="91">
        <f t="shared" ref="E89:X89" si="209">D89+1</f>
        <v>2027</v>
      </c>
      <c r="F89" s="91">
        <f t="shared" si="209"/>
        <v>2028</v>
      </c>
      <c r="G89" s="91">
        <f t="shared" si="209"/>
        <v>2029</v>
      </c>
      <c r="H89" s="91">
        <f t="shared" si="209"/>
        <v>2030</v>
      </c>
      <c r="I89" s="91">
        <f t="shared" si="209"/>
        <v>2031</v>
      </c>
      <c r="J89" s="91">
        <f t="shared" si="209"/>
        <v>2032</v>
      </c>
      <c r="K89" s="91">
        <f t="shared" si="209"/>
        <v>2033</v>
      </c>
      <c r="L89" s="91">
        <f t="shared" si="209"/>
        <v>2034</v>
      </c>
      <c r="M89" s="91">
        <f t="shared" si="209"/>
        <v>2035</v>
      </c>
      <c r="N89" s="91">
        <f t="shared" si="209"/>
        <v>2036</v>
      </c>
      <c r="O89" s="91">
        <f t="shared" si="209"/>
        <v>2037</v>
      </c>
      <c r="P89" s="91">
        <f t="shared" si="209"/>
        <v>2038</v>
      </c>
      <c r="Q89" s="91">
        <f t="shared" si="209"/>
        <v>2039</v>
      </c>
      <c r="R89" s="91">
        <f t="shared" si="209"/>
        <v>2040</v>
      </c>
      <c r="S89" s="91">
        <f t="shared" si="209"/>
        <v>2041</v>
      </c>
      <c r="T89" s="91">
        <f t="shared" si="209"/>
        <v>2042</v>
      </c>
      <c r="U89" s="91">
        <f t="shared" si="209"/>
        <v>2043</v>
      </c>
      <c r="V89" s="91">
        <f t="shared" si="209"/>
        <v>2044</v>
      </c>
      <c r="W89" s="91">
        <f t="shared" si="209"/>
        <v>2045</v>
      </c>
      <c r="X89" s="91">
        <f t="shared" si="209"/>
        <v>2046</v>
      </c>
      <c r="Y89" s="91">
        <f t="shared" ref="Y89" si="210">X89+1</f>
        <v>2047</v>
      </c>
      <c r="Z89" s="91">
        <f t="shared" ref="Z89" si="211">Y89+1</f>
        <v>2048</v>
      </c>
      <c r="AA89" s="91">
        <f t="shared" ref="AA89" si="212">Z89+1</f>
        <v>2049</v>
      </c>
      <c r="AB89" s="91">
        <f t="shared" ref="AB89" si="213">AA89+1</f>
        <v>2050</v>
      </c>
      <c r="AC89" s="91">
        <f t="shared" ref="AC89" si="214">AB89+1</f>
        <v>2051</v>
      </c>
      <c r="AD89" s="91">
        <f t="shared" ref="AD89" si="215">AC89+1</f>
        <v>2052</v>
      </c>
      <c r="AE89" s="91">
        <f t="shared" ref="AE89" si="216">AD89+1</f>
        <v>2053</v>
      </c>
      <c r="AF89" s="91">
        <f t="shared" ref="AF89" si="217">AE89+1</f>
        <v>2054</v>
      </c>
      <c r="AG89" s="91">
        <f t="shared" ref="AG89" si="218">AF89+1</f>
        <v>2055</v>
      </c>
      <c r="AH89" s="91">
        <f t="shared" ref="AH89" si="219">AG89+1</f>
        <v>2056</v>
      </c>
      <c r="AI89" s="91">
        <f t="shared" ref="AI89" si="220">AH89+1</f>
        <v>2057</v>
      </c>
      <c r="AJ89" s="91">
        <f t="shared" ref="AJ89" si="221">AI89+1</f>
        <v>2058</v>
      </c>
      <c r="AK89" s="91">
        <f t="shared" ref="AK89" si="222">AJ89+1</f>
        <v>2059</v>
      </c>
      <c r="AL89" s="91">
        <f t="shared" ref="AL89" si="223">AK89+1</f>
        <v>2060</v>
      </c>
      <c r="AM89" s="91">
        <f t="shared" ref="AM89" si="224">AL89+1</f>
        <v>2061</v>
      </c>
      <c r="AN89" s="91">
        <f t="shared" ref="AN89" si="225">AM89+1</f>
        <v>2062</v>
      </c>
      <c r="AO89" s="91">
        <f t="shared" ref="AO89" si="226">AN89+1</f>
        <v>2063</v>
      </c>
      <c r="AP89" s="91">
        <f t="shared" ref="AP89" si="227">AO89+1</f>
        <v>2064</v>
      </c>
      <c r="AQ89" s="91">
        <f t="shared" ref="AQ89" si="228">AP89+1</f>
        <v>2065</v>
      </c>
      <c r="AR89" s="91">
        <f t="shared" ref="AR89" si="229">AQ89+1</f>
        <v>2066</v>
      </c>
      <c r="AS89" s="91">
        <f t="shared" ref="AS89" si="230">AR89+1</f>
        <v>2067</v>
      </c>
      <c r="AT89" s="91">
        <f t="shared" ref="AT89" si="231">AS89+1</f>
        <v>2068</v>
      </c>
      <c r="AU89" s="91">
        <f t="shared" ref="AU89" si="232">AT89+1</f>
        <v>2069</v>
      </c>
      <c r="AV89" s="91">
        <f t="shared" ref="AV89" si="233">AU89+1</f>
        <v>2070</v>
      </c>
      <c r="AW89" s="91">
        <f t="shared" ref="AW89" si="234">AV89+1</f>
        <v>2071</v>
      </c>
    </row>
    <row r="90" spans="2:49" ht="14.25" customHeight="1">
      <c r="B90" s="200"/>
      <c r="C90" s="92"/>
      <c r="D90" s="93">
        <f>D33</f>
        <v>46023</v>
      </c>
      <c r="E90" s="93">
        <f t="shared" ref="E90:AW90" si="235">E33</f>
        <v>46752</v>
      </c>
      <c r="F90" s="93">
        <f t="shared" si="235"/>
        <v>47118</v>
      </c>
      <c r="G90" s="93">
        <f t="shared" si="235"/>
        <v>47483</v>
      </c>
      <c r="H90" s="93">
        <f t="shared" si="235"/>
        <v>47848</v>
      </c>
      <c r="I90" s="93">
        <f t="shared" si="235"/>
        <v>48213</v>
      </c>
      <c r="J90" s="93">
        <f t="shared" si="235"/>
        <v>48579</v>
      </c>
      <c r="K90" s="93">
        <f t="shared" si="235"/>
        <v>48944</v>
      </c>
      <c r="L90" s="93">
        <f t="shared" si="235"/>
        <v>49309</v>
      </c>
      <c r="M90" s="93">
        <f t="shared" si="235"/>
        <v>49674</v>
      </c>
      <c r="N90" s="93">
        <f t="shared" si="235"/>
        <v>50040</v>
      </c>
      <c r="O90" s="93">
        <f t="shared" si="235"/>
        <v>50405</v>
      </c>
      <c r="P90" s="93">
        <f t="shared" si="235"/>
        <v>50770</v>
      </c>
      <c r="Q90" s="93">
        <f t="shared" si="235"/>
        <v>51135</v>
      </c>
      <c r="R90" s="93">
        <f t="shared" si="235"/>
        <v>51501</v>
      </c>
      <c r="S90" s="93">
        <f t="shared" si="235"/>
        <v>51866</v>
      </c>
      <c r="T90" s="93">
        <f t="shared" si="235"/>
        <v>52231</v>
      </c>
      <c r="U90" s="93">
        <f t="shared" si="235"/>
        <v>52596</v>
      </c>
      <c r="V90" s="93">
        <f t="shared" si="235"/>
        <v>52962</v>
      </c>
      <c r="W90" s="93">
        <f t="shared" si="235"/>
        <v>53327</v>
      </c>
      <c r="X90" s="93">
        <f t="shared" si="235"/>
        <v>53692</v>
      </c>
      <c r="Y90" s="93">
        <f t="shared" si="235"/>
        <v>54057</v>
      </c>
      <c r="Z90" s="93">
        <f t="shared" si="235"/>
        <v>54423</v>
      </c>
      <c r="AA90" s="93">
        <f t="shared" si="235"/>
        <v>54788</v>
      </c>
      <c r="AB90" s="93">
        <f t="shared" si="235"/>
        <v>55153</v>
      </c>
      <c r="AC90" s="93">
        <f t="shared" si="235"/>
        <v>55518</v>
      </c>
      <c r="AD90" s="93">
        <f t="shared" si="235"/>
        <v>55884</v>
      </c>
      <c r="AE90" s="93">
        <f t="shared" si="235"/>
        <v>56249</v>
      </c>
      <c r="AF90" s="93">
        <f t="shared" si="235"/>
        <v>56614</v>
      </c>
      <c r="AG90" s="93">
        <f t="shared" si="235"/>
        <v>56979</v>
      </c>
      <c r="AH90" s="93">
        <f t="shared" si="235"/>
        <v>57345</v>
      </c>
      <c r="AI90" s="93">
        <f t="shared" si="235"/>
        <v>57710</v>
      </c>
      <c r="AJ90" s="93">
        <f t="shared" si="235"/>
        <v>58075</v>
      </c>
      <c r="AK90" s="93">
        <f t="shared" si="235"/>
        <v>58440</v>
      </c>
      <c r="AL90" s="93">
        <f t="shared" si="235"/>
        <v>58806</v>
      </c>
      <c r="AM90" s="93">
        <f t="shared" si="235"/>
        <v>59171</v>
      </c>
      <c r="AN90" s="93">
        <f t="shared" si="235"/>
        <v>59536</v>
      </c>
      <c r="AO90" s="93">
        <f t="shared" si="235"/>
        <v>59901</v>
      </c>
      <c r="AP90" s="93">
        <f t="shared" si="235"/>
        <v>60267</v>
      </c>
      <c r="AQ90" s="93">
        <f t="shared" si="235"/>
        <v>60632</v>
      </c>
      <c r="AR90" s="93">
        <f t="shared" si="235"/>
        <v>60997</v>
      </c>
      <c r="AS90" s="93">
        <f t="shared" si="235"/>
        <v>61362</v>
      </c>
      <c r="AT90" s="93">
        <f t="shared" si="235"/>
        <v>61728</v>
      </c>
      <c r="AU90" s="93">
        <f t="shared" si="235"/>
        <v>62093</v>
      </c>
      <c r="AV90" s="93">
        <f t="shared" si="235"/>
        <v>62458</v>
      </c>
      <c r="AW90" s="93">
        <f t="shared" si="235"/>
        <v>62823</v>
      </c>
    </row>
    <row r="91" spans="2:49" ht="14.25" customHeight="1">
      <c r="B91" s="1"/>
      <c r="C91" s="1" t="s">
        <v>443</v>
      </c>
      <c r="D91" s="15">
        <f t="shared" ref="D91:AW91" si="236">D40</f>
        <v>-105.41666666666666</v>
      </c>
      <c r="E91" s="15">
        <f t="shared" si="236"/>
        <v>-5.9392122133333318</v>
      </c>
      <c r="F91" s="15">
        <f t="shared" si="236"/>
        <v>8.8886720639999997</v>
      </c>
      <c r="G91" s="15">
        <f t="shared" si="236"/>
        <v>8.9750820652799987</v>
      </c>
      <c r="H91" s="15">
        <f t="shared" si="236"/>
        <v>9.0631013633855986</v>
      </c>
      <c r="I91" s="15">
        <f t="shared" si="236"/>
        <v>9.1527585771573126</v>
      </c>
      <c r="J91" s="15">
        <f t="shared" si="236"/>
        <v>9.2440827907995775</v>
      </c>
      <c r="K91" s="15">
        <f t="shared" si="236"/>
        <v>9.3371035599776615</v>
      </c>
      <c r="L91" s="15">
        <f t="shared" si="236"/>
        <v>9.4318509179401726</v>
      </c>
      <c r="M91" s="15">
        <f t="shared" si="236"/>
        <v>9.5283553816648201</v>
      </c>
      <c r="N91" s="15">
        <f t="shared" si="236"/>
        <v>9.626647958024936</v>
      </c>
      <c r="O91" s="15">
        <f t="shared" si="236"/>
        <v>9.7267601499740604</v>
      </c>
      <c r="P91" s="15">
        <f t="shared" si="236"/>
        <v>9.8287239627458263</v>
      </c>
      <c r="Q91" s="15">
        <f t="shared" si="236"/>
        <v>9.9325719100661942</v>
      </c>
      <c r="R91" s="15">
        <f t="shared" si="236"/>
        <v>10.038337020374936</v>
      </c>
      <c r="S91" s="15">
        <f t="shared" si="236"/>
        <v>10.14605284305307</v>
      </c>
      <c r="T91" s="15">
        <f t="shared" si="236"/>
        <v>10.25575345465289</v>
      </c>
      <c r="U91" s="15">
        <f t="shared" si="236"/>
        <v>10.367473465126869</v>
      </c>
      <c r="V91" s="15">
        <f t="shared" si="236"/>
        <v>10.481248024051753</v>
      </c>
      <c r="W91" s="15">
        <f t="shared" si="236"/>
        <v>10.597112826843807</v>
      </c>
      <c r="X91" s="15">
        <f t="shared" si="236"/>
        <v>10.715104120961033</v>
      </c>
      <c r="Y91" s="15">
        <f t="shared" si="236"/>
        <v>10.835258712088013</v>
      </c>
      <c r="Z91" s="15">
        <f t="shared" si="236"/>
        <v>10.957613970298764</v>
      </c>
      <c r="AA91" s="15">
        <f t="shared" si="236"/>
        <v>11.082207836192801</v>
      </c>
      <c r="AB91" s="15">
        <f t="shared" si="236"/>
        <v>11.20907882699936</v>
      </c>
      <c r="AC91" s="15">
        <f t="shared" si="236"/>
        <v>11.338266042644534</v>
      </c>
      <c r="AD91" s="15">
        <f t="shared" si="236"/>
        <v>11.469809171775765</v>
      </c>
      <c r="AE91" s="15">
        <f t="shared" si="236"/>
        <v>0</v>
      </c>
      <c r="AF91" s="15">
        <f t="shared" si="236"/>
        <v>0</v>
      </c>
      <c r="AG91" s="15">
        <f t="shared" si="236"/>
        <v>0</v>
      </c>
      <c r="AH91" s="15">
        <f t="shared" si="236"/>
        <v>0</v>
      </c>
      <c r="AI91" s="15">
        <f t="shared" si="236"/>
        <v>0</v>
      </c>
      <c r="AJ91" s="15">
        <f t="shared" si="236"/>
        <v>0</v>
      </c>
      <c r="AK91" s="15">
        <f t="shared" si="236"/>
        <v>0</v>
      </c>
      <c r="AL91" s="15">
        <f t="shared" si="236"/>
        <v>0</v>
      </c>
      <c r="AM91" s="15">
        <f t="shared" si="236"/>
        <v>0</v>
      </c>
      <c r="AN91" s="15">
        <f t="shared" si="236"/>
        <v>0</v>
      </c>
      <c r="AO91" s="15">
        <f t="shared" si="236"/>
        <v>0</v>
      </c>
      <c r="AP91" s="15">
        <f t="shared" si="236"/>
        <v>0</v>
      </c>
      <c r="AQ91" s="15">
        <f t="shared" si="236"/>
        <v>0</v>
      </c>
      <c r="AR91" s="15">
        <f t="shared" si="236"/>
        <v>0</v>
      </c>
      <c r="AS91" s="15">
        <f t="shared" si="236"/>
        <v>0</v>
      </c>
      <c r="AT91" s="15">
        <f t="shared" si="236"/>
        <v>0</v>
      </c>
      <c r="AU91" s="15">
        <f t="shared" si="236"/>
        <v>0</v>
      </c>
      <c r="AV91" s="15">
        <f t="shared" si="236"/>
        <v>0</v>
      </c>
      <c r="AW91" s="15">
        <f t="shared" si="236"/>
        <v>0</v>
      </c>
    </row>
    <row r="92" spans="2:49" ht="14.25" customHeight="1">
      <c r="B92" s="1"/>
      <c r="C92" s="1" t="s">
        <v>444</v>
      </c>
      <c r="D92" s="8"/>
      <c r="E92" s="15">
        <f t="shared" ref="E92:X92" si="237">E103</f>
        <v>0</v>
      </c>
      <c r="F92" s="15">
        <f t="shared" si="237"/>
        <v>0</v>
      </c>
      <c r="G92" s="15">
        <f t="shared" si="237"/>
        <v>0</v>
      </c>
      <c r="H92" s="15">
        <f t="shared" si="237"/>
        <v>0</v>
      </c>
      <c r="I92" s="15">
        <f t="shared" si="237"/>
        <v>0</v>
      </c>
      <c r="J92" s="15">
        <f t="shared" si="237"/>
        <v>0</v>
      </c>
      <c r="K92" s="15">
        <f t="shared" si="237"/>
        <v>0</v>
      </c>
      <c r="L92" s="15">
        <f t="shared" si="237"/>
        <v>0</v>
      </c>
      <c r="M92" s="15">
        <f t="shared" si="237"/>
        <v>0</v>
      </c>
      <c r="N92" s="15">
        <f t="shared" si="237"/>
        <v>0</v>
      </c>
      <c r="O92" s="15">
        <f t="shared" si="237"/>
        <v>0</v>
      </c>
      <c r="P92" s="15">
        <f t="shared" si="237"/>
        <v>0</v>
      </c>
      <c r="Q92" s="15">
        <f t="shared" si="237"/>
        <v>0</v>
      </c>
      <c r="R92" s="15">
        <f t="shared" si="237"/>
        <v>0</v>
      </c>
      <c r="S92" s="15">
        <f t="shared" si="237"/>
        <v>0</v>
      </c>
      <c r="T92" s="15">
        <f t="shared" si="237"/>
        <v>0</v>
      </c>
      <c r="U92" s="15">
        <f t="shared" si="237"/>
        <v>0</v>
      </c>
      <c r="V92" s="15">
        <f t="shared" si="237"/>
        <v>0</v>
      </c>
      <c r="W92" s="15">
        <f t="shared" si="237"/>
        <v>0</v>
      </c>
      <c r="X92" s="15">
        <f t="shared" si="237"/>
        <v>0</v>
      </c>
      <c r="Y92" s="15">
        <f t="shared" ref="Y92:AW92" si="238">Y103</f>
        <v>0</v>
      </c>
      <c r="Z92" s="15">
        <f t="shared" si="238"/>
        <v>0</v>
      </c>
      <c r="AA92" s="15">
        <f t="shared" si="238"/>
        <v>0</v>
      </c>
      <c r="AB92" s="15">
        <f t="shared" si="238"/>
        <v>0</v>
      </c>
      <c r="AC92" s="15">
        <f t="shared" si="238"/>
        <v>0</v>
      </c>
      <c r="AD92" s="15">
        <f t="shared" si="238"/>
        <v>0</v>
      </c>
      <c r="AE92" s="15">
        <f t="shared" si="238"/>
        <v>0</v>
      </c>
      <c r="AF92" s="15">
        <f t="shared" si="238"/>
        <v>0</v>
      </c>
      <c r="AG92" s="15">
        <f t="shared" si="238"/>
        <v>0</v>
      </c>
      <c r="AH92" s="15">
        <f t="shared" si="238"/>
        <v>0</v>
      </c>
      <c r="AI92" s="15">
        <f t="shared" si="238"/>
        <v>0</v>
      </c>
      <c r="AJ92" s="15">
        <f t="shared" si="238"/>
        <v>0</v>
      </c>
      <c r="AK92" s="15">
        <f t="shared" si="238"/>
        <v>0</v>
      </c>
      <c r="AL92" s="15">
        <f t="shared" si="238"/>
        <v>0</v>
      </c>
      <c r="AM92" s="15">
        <f t="shared" si="238"/>
        <v>0</v>
      </c>
      <c r="AN92" s="15">
        <f t="shared" si="238"/>
        <v>0</v>
      </c>
      <c r="AO92" s="15">
        <f t="shared" si="238"/>
        <v>0</v>
      </c>
      <c r="AP92" s="15">
        <f t="shared" si="238"/>
        <v>0</v>
      </c>
      <c r="AQ92" s="15">
        <f t="shared" si="238"/>
        <v>0</v>
      </c>
      <c r="AR92" s="15">
        <f t="shared" si="238"/>
        <v>0</v>
      </c>
      <c r="AS92" s="15">
        <f t="shared" si="238"/>
        <v>0</v>
      </c>
      <c r="AT92" s="15">
        <f t="shared" si="238"/>
        <v>0</v>
      </c>
      <c r="AU92" s="15">
        <f t="shared" si="238"/>
        <v>0</v>
      </c>
      <c r="AV92" s="15">
        <f t="shared" si="238"/>
        <v>0</v>
      </c>
      <c r="AW92" s="15">
        <f t="shared" si="238"/>
        <v>0</v>
      </c>
    </row>
    <row r="93" spans="2:49" ht="14.25" customHeight="1">
      <c r="B93" s="1"/>
      <c r="C93" s="1" t="s">
        <v>445</v>
      </c>
      <c r="D93" s="1"/>
      <c r="E93" s="29">
        <f t="shared" ref="E93:X93" si="239">IFERROR(E91/E92,0)</f>
        <v>0</v>
      </c>
      <c r="F93" s="29">
        <f t="shared" si="239"/>
        <v>0</v>
      </c>
      <c r="G93" s="29">
        <f t="shared" si="239"/>
        <v>0</v>
      </c>
      <c r="H93" s="29">
        <f t="shared" si="239"/>
        <v>0</v>
      </c>
      <c r="I93" s="29">
        <f t="shared" si="239"/>
        <v>0</v>
      </c>
      <c r="J93" s="29">
        <f t="shared" si="239"/>
        <v>0</v>
      </c>
      <c r="K93" s="29">
        <f t="shared" si="239"/>
        <v>0</v>
      </c>
      <c r="L93" s="29">
        <f t="shared" si="239"/>
        <v>0</v>
      </c>
      <c r="M93" s="29">
        <f t="shared" si="239"/>
        <v>0</v>
      </c>
      <c r="N93" s="29">
        <f t="shared" si="239"/>
        <v>0</v>
      </c>
      <c r="O93" s="29">
        <f t="shared" si="239"/>
        <v>0</v>
      </c>
      <c r="P93" s="29">
        <f t="shared" si="239"/>
        <v>0</v>
      </c>
      <c r="Q93" s="29">
        <f t="shared" si="239"/>
        <v>0</v>
      </c>
      <c r="R93" s="29">
        <f t="shared" si="239"/>
        <v>0</v>
      </c>
      <c r="S93" s="29">
        <f t="shared" si="239"/>
        <v>0</v>
      </c>
      <c r="T93" s="29">
        <f t="shared" si="239"/>
        <v>0</v>
      </c>
      <c r="U93" s="29">
        <f t="shared" si="239"/>
        <v>0</v>
      </c>
      <c r="V93" s="29">
        <f t="shared" si="239"/>
        <v>0</v>
      </c>
      <c r="W93" s="29">
        <f t="shared" si="239"/>
        <v>0</v>
      </c>
      <c r="X93" s="29">
        <f t="shared" si="239"/>
        <v>0</v>
      </c>
      <c r="Y93" s="29">
        <f t="shared" ref="Y93" si="240">IFERROR(Y91/Y92,0)</f>
        <v>0</v>
      </c>
      <c r="Z93" s="29">
        <f t="shared" ref="Z93" si="241">IFERROR(Z91/Z92,0)</f>
        <v>0</v>
      </c>
      <c r="AA93" s="29">
        <f t="shared" ref="AA93" si="242">IFERROR(AA91/AA92,0)</f>
        <v>0</v>
      </c>
      <c r="AB93" s="29">
        <f t="shared" ref="AB93" si="243">IFERROR(AB91/AB92,0)</f>
        <v>0</v>
      </c>
      <c r="AC93" s="29">
        <f t="shared" ref="AC93" si="244">IFERROR(AC91/AC92,0)</f>
        <v>0</v>
      </c>
      <c r="AD93" s="29">
        <f t="shared" ref="AD93" si="245">IFERROR(AD91/AD92,0)</f>
        <v>0</v>
      </c>
      <c r="AE93" s="29">
        <f t="shared" ref="AE93" si="246">IFERROR(AE91/AE92,0)</f>
        <v>0</v>
      </c>
      <c r="AF93" s="29">
        <f t="shared" ref="AF93" si="247">IFERROR(AF91/AF92,0)</f>
        <v>0</v>
      </c>
      <c r="AG93" s="29">
        <f t="shared" ref="AG93" si="248">IFERROR(AG91/AG92,0)</f>
        <v>0</v>
      </c>
      <c r="AH93" s="29">
        <f t="shared" ref="AH93" si="249">IFERROR(AH91/AH92,0)</f>
        <v>0</v>
      </c>
      <c r="AI93" s="29">
        <f t="shared" ref="AI93" si="250">IFERROR(AI91/AI92,0)</f>
        <v>0</v>
      </c>
      <c r="AJ93" s="29">
        <f t="shared" ref="AJ93" si="251">IFERROR(AJ91/AJ92,0)</f>
        <v>0</v>
      </c>
      <c r="AK93" s="29">
        <f t="shared" ref="AK93" si="252">IFERROR(AK91/AK92,0)</f>
        <v>0</v>
      </c>
      <c r="AL93" s="29">
        <f t="shared" ref="AL93" si="253">IFERROR(AL91/AL92,0)</f>
        <v>0</v>
      </c>
      <c r="AM93" s="29">
        <f t="shared" ref="AM93" si="254">IFERROR(AM91/AM92,0)</f>
        <v>0</v>
      </c>
      <c r="AN93" s="29">
        <f t="shared" ref="AN93" si="255">IFERROR(AN91/AN92,0)</f>
        <v>0</v>
      </c>
      <c r="AO93" s="29">
        <f t="shared" ref="AO93" si="256">IFERROR(AO91/AO92,0)</f>
        <v>0</v>
      </c>
      <c r="AP93" s="29">
        <f t="shared" ref="AP93" si="257">IFERROR(AP91/AP92,0)</f>
        <v>0</v>
      </c>
      <c r="AQ93" s="29">
        <f t="shared" ref="AQ93" si="258">IFERROR(AQ91/AQ92,0)</f>
        <v>0</v>
      </c>
      <c r="AR93" s="29">
        <f t="shared" ref="AR93" si="259">IFERROR(AR91/AR92,0)</f>
        <v>0</v>
      </c>
      <c r="AS93" s="29">
        <f t="shared" ref="AS93" si="260">IFERROR(AS91/AS92,0)</f>
        <v>0</v>
      </c>
      <c r="AT93" s="29">
        <f t="shared" ref="AT93" si="261">IFERROR(AT91/AT92,0)</f>
        <v>0</v>
      </c>
      <c r="AU93" s="29">
        <f t="shared" ref="AU93" si="262">IFERROR(AU91/AU92,0)</f>
        <v>0</v>
      </c>
      <c r="AV93" s="29">
        <f t="shared" ref="AV93" si="263">IFERROR(AV91/AV92,0)</f>
        <v>0</v>
      </c>
      <c r="AW93" s="29">
        <f t="shared" ref="AW93" si="264">IFERROR(AW91/AW92,0)</f>
        <v>0</v>
      </c>
    </row>
    <row r="94" spans="2:49" ht="14.25" customHeight="1">
      <c r="B94" s="2" t="s">
        <v>351</v>
      </c>
      <c r="C94" s="2" t="s">
        <v>446</v>
      </c>
      <c r="D94" s="30">
        <f>-'Assumptions &amp; Inputs'!$F$7*SUM(E65,E67)</f>
        <v>-114.99999999999999</v>
      </c>
      <c r="E94" s="31">
        <f t="shared" ref="E94:X94" si="265">SUM(E91,-E92)</f>
        <v>-5.9392122133333318</v>
      </c>
      <c r="F94" s="31">
        <f t="shared" si="265"/>
        <v>8.8886720639999997</v>
      </c>
      <c r="G94" s="31">
        <f t="shared" si="265"/>
        <v>8.9750820652799987</v>
      </c>
      <c r="H94" s="31">
        <f t="shared" si="265"/>
        <v>9.0631013633855986</v>
      </c>
      <c r="I94" s="31">
        <f t="shared" si="265"/>
        <v>9.1527585771573126</v>
      </c>
      <c r="J94" s="31">
        <f t="shared" si="265"/>
        <v>9.2440827907995775</v>
      </c>
      <c r="K94" s="31">
        <f t="shared" si="265"/>
        <v>9.3371035599776615</v>
      </c>
      <c r="L94" s="31">
        <f t="shared" si="265"/>
        <v>9.4318509179401726</v>
      </c>
      <c r="M94" s="31">
        <f t="shared" si="265"/>
        <v>9.5283553816648201</v>
      </c>
      <c r="N94" s="31">
        <f t="shared" si="265"/>
        <v>9.626647958024936</v>
      </c>
      <c r="O94" s="31">
        <f t="shared" si="265"/>
        <v>9.7267601499740604</v>
      </c>
      <c r="P94" s="31">
        <f t="shared" si="265"/>
        <v>9.8287239627458263</v>
      </c>
      <c r="Q94" s="31">
        <f t="shared" si="265"/>
        <v>9.9325719100661942</v>
      </c>
      <c r="R94" s="31">
        <f t="shared" si="265"/>
        <v>10.038337020374936</v>
      </c>
      <c r="S94" s="31">
        <f t="shared" si="265"/>
        <v>10.14605284305307</v>
      </c>
      <c r="T94" s="31">
        <f t="shared" si="265"/>
        <v>10.25575345465289</v>
      </c>
      <c r="U94" s="31">
        <f t="shared" si="265"/>
        <v>10.367473465126869</v>
      </c>
      <c r="V94" s="31">
        <f t="shared" si="265"/>
        <v>10.481248024051753</v>
      </c>
      <c r="W94" s="31">
        <f t="shared" si="265"/>
        <v>10.597112826843807</v>
      </c>
      <c r="X94" s="31">
        <f t="shared" si="265"/>
        <v>10.715104120961033</v>
      </c>
      <c r="Y94" s="31">
        <f t="shared" ref="Y94:AW94" si="266">SUM(Y91,-Y92)</f>
        <v>10.835258712088013</v>
      </c>
      <c r="Z94" s="31">
        <f t="shared" si="266"/>
        <v>10.957613970298764</v>
      </c>
      <c r="AA94" s="31">
        <f t="shared" si="266"/>
        <v>11.082207836192801</v>
      </c>
      <c r="AB94" s="31">
        <f t="shared" si="266"/>
        <v>11.20907882699936</v>
      </c>
      <c r="AC94" s="31">
        <f t="shared" si="266"/>
        <v>11.338266042644534</v>
      </c>
      <c r="AD94" s="31">
        <f t="shared" si="266"/>
        <v>11.469809171775765</v>
      </c>
      <c r="AE94" s="31">
        <f t="shared" si="266"/>
        <v>0</v>
      </c>
      <c r="AF94" s="31">
        <f t="shared" si="266"/>
        <v>0</v>
      </c>
      <c r="AG94" s="31">
        <f t="shared" si="266"/>
        <v>0</v>
      </c>
      <c r="AH94" s="31">
        <f t="shared" si="266"/>
        <v>0</v>
      </c>
      <c r="AI94" s="31">
        <f t="shared" si="266"/>
        <v>0</v>
      </c>
      <c r="AJ94" s="31">
        <f t="shared" si="266"/>
        <v>0</v>
      </c>
      <c r="AK94" s="31">
        <f t="shared" si="266"/>
        <v>0</v>
      </c>
      <c r="AL94" s="31">
        <f t="shared" si="266"/>
        <v>0</v>
      </c>
      <c r="AM94" s="31">
        <f t="shared" si="266"/>
        <v>0</v>
      </c>
      <c r="AN94" s="31">
        <f t="shared" si="266"/>
        <v>0</v>
      </c>
      <c r="AO94" s="31">
        <f t="shared" si="266"/>
        <v>0</v>
      </c>
      <c r="AP94" s="31">
        <f t="shared" si="266"/>
        <v>0</v>
      </c>
      <c r="AQ94" s="31">
        <f t="shared" si="266"/>
        <v>0</v>
      </c>
      <c r="AR94" s="31">
        <f t="shared" si="266"/>
        <v>0</v>
      </c>
      <c r="AS94" s="31">
        <f t="shared" si="266"/>
        <v>0</v>
      </c>
      <c r="AT94" s="31">
        <f t="shared" si="266"/>
        <v>0</v>
      </c>
      <c r="AU94" s="31">
        <f t="shared" si="266"/>
        <v>0</v>
      </c>
      <c r="AV94" s="31">
        <f t="shared" si="266"/>
        <v>0</v>
      </c>
      <c r="AW94" s="31">
        <f t="shared" si="266"/>
        <v>0</v>
      </c>
    </row>
    <row r="95" spans="2:49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2:49" ht="14.25" customHeight="1">
      <c r="B96" s="1"/>
      <c r="C96" s="1" t="s">
        <v>447</v>
      </c>
      <c r="D96" s="90">
        <v>0</v>
      </c>
      <c r="E96" s="90">
        <f t="shared" ref="E96:X96" si="267">D96+1</f>
        <v>1</v>
      </c>
      <c r="F96" s="90">
        <f t="shared" si="267"/>
        <v>2</v>
      </c>
      <c r="G96" s="90">
        <f t="shared" si="267"/>
        <v>3</v>
      </c>
      <c r="H96" s="90">
        <f t="shared" si="267"/>
        <v>4</v>
      </c>
      <c r="I96" s="90">
        <f t="shared" si="267"/>
        <v>5</v>
      </c>
      <c r="J96" s="90">
        <f t="shared" si="267"/>
        <v>6</v>
      </c>
      <c r="K96" s="90">
        <f t="shared" si="267"/>
        <v>7</v>
      </c>
      <c r="L96" s="90">
        <f t="shared" si="267"/>
        <v>8</v>
      </c>
      <c r="M96" s="90">
        <f t="shared" si="267"/>
        <v>9</v>
      </c>
      <c r="N96" s="90">
        <f t="shared" si="267"/>
        <v>10</v>
      </c>
      <c r="O96" s="90">
        <f t="shared" si="267"/>
        <v>11</v>
      </c>
      <c r="P96" s="90">
        <f t="shared" si="267"/>
        <v>12</v>
      </c>
      <c r="Q96" s="90">
        <f t="shared" si="267"/>
        <v>13</v>
      </c>
      <c r="R96" s="90">
        <f t="shared" si="267"/>
        <v>14</v>
      </c>
      <c r="S96" s="90">
        <f t="shared" si="267"/>
        <v>15</v>
      </c>
      <c r="T96" s="90">
        <f t="shared" si="267"/>
        <v>16</v>
      </c>
      <c r="U96" s="90">
        <f t="shared" si="267"/>
        <v>17</v>
      </c>
      <c r="V96" s="90">
        <f t="shared" si="267"/>
        <v>18</v>
      </c>
      <c r="W96" s="90">
        <f t="shared" si="267"/>
        <v>19</v>
      </c>
      <c r="X96" s="90">
        <f t="shared" si="267"/>
        <v>20</v>
      </c>
      <c r="Y96" s="90">
        <f t="shared" ref="Y96" si="268">X96+1</f>
        <v>21</v>
      </c>
      <c r="Z96" s="90">
        <f t="shared" ref="Z96" si="269">Y96+1</f>
        <v>22</v>
      </c>
      <c r="AA96" s="90">
        <f t="shared" ref="AA96" si="270">Z96+1</f>
        <v>23</v>
      </c>
      <c r="AB96" s="90">
        <f t="shared" ref="AB96" si="271">AA96+1</f>
        <v>24</v>
      </c>
      <c r="AC96" s="90">
        <f t="shared" ref="AC96" si="272">AB96+1</f>
        <v>25</v>
      </c>
      <c r="AD96" s="90">
        <f t="shared" ref="AD96" si="273">AC96+1</f>
        <v>26</v>
      </c>
      <c r="AE96" s="90">
        <f t="shared" ref="AE96" si="274">AD96+1</f>
        <v>27</v>
      </c>
      <c r="AF96" s="90">
        <f t="shared" ref="AF96" si="275">AE96+1</f>
        <v>28</v>
      </c>
      <c r="AG96" s="90">
        <f t="shared" ref="AG96" si="276">AF96+1</f>
        <v>29</v>
      </c>
      <c r="AH96" s="90">
        <f t="shared" ref="AH96" si="277">AG96+1</f>
        <v>30</v>
      </c>
      <c r="AI96" s="90">
        <f t="shared" ref="AI96" si="278">AH96+1</f>
        <v>31</v>
      </c>
      <c r="AJ96" s="90">
        <f t="shared" ref="AJ96" si="279">AI96+1</f>
        <v>32</v>
      </c>
      <c r="AK96" s="90">
        <f t="shared" ref="AK96" si="280">AJ96+1</f>
        <v>33</v>
      </c>
      <c r="AL96" s="90">
        <f t="shared" ref="AL96" si="281">AK96+1</f>
        <v>34</v>
      </c>
      <c r="AM96" s="90">
        <f t="shared" ref="AM96" si="282">AL96+1</f>
        <v>35</v>
      </c>
      <c r="AN96" s="90">
        <f t="shared" ref="AN96" si="283">AM96+1</f>
        <v>36</v>
      </c>
      <c r="AO96" s="90">
        <f t="shared" ref="AO96" si="284">AN96+1</f>
        <v>37</v>
      </c>
      <c r="AP96" s="90">
        <f t="shared" ref="AP96" si="285">AO96+1</f>
        <v>38</v>
      </c>
      <c r="AQ96" s="90">
        <f t="shared" ref="AQ96" si="286">AP96+1</f>
        <v>39</v>
      </c>
      <c r="AR96" s="90">
        <f t="shared" ref="AR96" si="287">AQ96+1</f>
        <v>40</v>
      </c>
      <c r="AS96" s="90">
        <f t="shared" ref="AS96" si="288">AR96+1</f>
        <v>41</v>
      </c>
      <c r="AT96" s="90">
        <f t="shared" ref="AT96" si="289">AS96+1</f>
        <v>42</v>
      </c>
      <c r="AU96" s="90">
        <f t="shared" ref="AU96" si="290">AT96+1</f>
        <v>43</v>
      </c>
      <c r="AV96" s="90">
        <f t="shared" ref="AV96" si="291">AU96+1</f>
        <v>44</v>
      </c>
      <c r="AW96" s="90">
        <f t="shared" ref="AW96" si="292">AV96+1</f>
        <v>45</v>
      </c>
    </row>
    <row r="97" spans="1:49" ht="14.25" customHeight="1">
      <c r="A97" s="1"/>
      <c r="B97" s="1"/>
      <c r="C97" s="1" t="s">
        <v>448</v>
      </c>
      <c r="D97" s="501">
        <f>IF(D89&lt;=YEAR('Assumptions &amp; Inputs'!$F$29), $E$79, IF(ISNUMBER(C99), C99, 0))</f>
        <v>0</v>
      </c>
      <c r="E97" s="501">
        <f>IF(E89&lt;=YEAR('Assumptions &amp; Inputs'!$F$29), $E$79, IF(ISNUMBER(D99), D99, 0))</f>
        <v>0</v>
      </c>
      <c r="F97" s="501">
        <f>IF(F89&lt;=YEAR('Assumptions &amp; Inputs'!$F$29), $E$79, IF(ISNUMBER(E99), E99, 0))</f>
        <v>0</v>
      </c>
      <c r="G97" s="501">
        <f>IF(G89&lt;=YEAR('Assumptions &amp; Inputs'!$F$29), $E$79, IF(ISNUMBER(F99), F99, 0))</f>
        <v>0</v>
      </c>
      <c r="H97" s="501">
        <f>IF(H89&lt;=YEAR('Assumptions &amp; Inputs'!$F$29), $E$79, IF(ISNUMBER(G99), G99, 0))</f>
        <v>0</v>
      </c>
      <c r="I97" s="501">
        <f>IF(I89&lt;=YEAR('Assumptions &amp; Inputs'!$F$29), $E$79, IF(ISNUMBER(H99), H99, 0))</f>
        <v>0</v>
      </c>
      <c r="J97" s="501">
        <f>IF(J89&lt;=YEAR('Assumptions &amp; Inputs'!$F$29), $E$79, IF(ISNUMBER(I99), I99, 0))</f>
        <v>0</v>
      </c>
      <c r="K97" s="501">
        <f>IF(K89&lt;=YEAR('Assumptions &amp; Inputs'!$F$29), $E$79, IF(ISNUMBER(J99), J99, 0))</f>
        <v>0</v>
      </c>
      <c r="L97" s="501">
        <f>IF(L89&lt;=YEAR('Assumptions &amp; Inputs'!$F$29), $E$79, IF(ISNUMBER(K99), K99, 0))</f>
        <v>0</v>
      </c>
      <c r="M97" s="501">
        <f>IF(M89&lt;=YEAR('Assumptions &amp; Inputs'!$F$29), $E$79, IF(ISNUMBER(L99), L99, 0))</f>
        <v>0</v>
      </c>
      <c r="N97" s="501">
        <f>IF(N89&lt;=YEAR('Assumptions &amp; Inputs'!$F$29), $E$79, IF(ISNUMBER(M99), M99, 0))</f>
        <v>0</v>
      </c>
      <c r="O97" s="501">
        <f>IF(O89&lt;=YEAR('Assumptions &amp; Inputs'!$F$29), $E$79, IF(ISNUMBER(N99), N99, 0))</f>
        <v>0</v>
      </c>
      <c r="P97" s="501">
        <f>IF(P89&lt;=YEAR('Assumptions &amp; Inputs'!$F$29), $E$79, IF(ISNUMBER(O99), O99, 0))</f>
        <v>0</v>
      </c>
      <c r="Q97" s="501">
        <f>IF(Q89&lt;=YEAR('Assumptions &amp; Inputs'!$F$29), $E$79, IF(ISNUMBER(P99), P99, 0))</f>
        <v>0</v>
      </c>
      <c r="R97" s="501">
        <f>IF(R89&lt;=YEAR('Assumptions &amp; Inputs'!$F$29), $E$79, IF(ISNUMBER(Q99), Q99, 0))</f>
        <v>0</v>
      </c>
      <c r="S97" s="501">
        <f>IF(S89&lt;=YEAR('Assumptions &amp; Inputs'!$F$29), $E$79, IF(ISNUMBER(R99), R99, 0))</f>
        <v>0</v>
      </c>
      <c r="T97" s="501">
        <f>IF(T89&lt;=YEAR('Assumptions &amp; Inputs'!$F$29), $E$79, IF(ISNUMBER(S99), S99, 0))</f>
        <v>0</v>
      </c>
      <c r="U97" s="501">
        <f>IF(U89&lt;=YEAR('Assumptions &amp; Inputs'!$F$29), $E$79, IF(ISNUMBER(T99), T99, 0))</f>
        <v>0</v>
      </c>
      <c r="V97" s="501">
        <f>IF(V89&lt;=YEAR('Assumptions &amp; Inputs'!$F$29), $E$79, IF(ISNUMBER(U99), U99, 0))</f>
        <v>0</v>
      </c>
      <c r="W97" s="501">
        <f>IF(W89&lt;=YEAR('Assumptions &amp; Inputs'!$F$29), $E$79, IF(ISNUMBER(V99), V99, 0))</f>
        <v>0</v>
      </c>
      <c r="X97" s="501">
        <f>IF(X89&lt;=YEAR('Assumptions &amp; Inputs'!$F$29), $E$79, IF(ISNUMBER(W99), W99, 0))</f>
        <v>0</v>
      </c>
      <c r="Y97" s="501">
        <f>IF(Y89&lt;=YEAR('Assumptions &amp; Inputs'!$F$29), $E$79, IF(ISNUMBER(X99), X99, 0))</f>
        <v>0</v>
      </c>
      <c r="Z97" s="501">
        <f>IF(Z89&lt;=YEAR('Assumptions &amp; Inputs'!$F$29), $E$79, IF(ISNUMBER(Y99), Y99, 0))</f>
        <v>0</v>
      </c>
      <c r="AA97" s="501">
        <f>IF(AA89&lt;=YEAR('Assumptions &amp; Inputs'!$F$29), $E$79, IF(ISNUMBER(Z99), Z99, 0))</f>
        <v>0</v>
      </c>
      <c r="AB97" s="501">
        <f>IF(AB89&lt;=YEAR('Assumptions &amp; Inputs'!$F$29), $E$79, IF(ISNUMBER(AA99), AA99, 0))</f>
        <v>0</v>
      </c>
      <c r="AC97" s="501">
        <f>IF(AC89&lt;=YEAR('Assumptions &amp; Inputs'!$F$29), $E$79, IF(ISNUMBER(AB99), AB99, 0))</f>
        <v>0</v>
      </c>
      <c r="AD97" s="501">
        <f>IF(AD89&lt;=YEAR('Assumptions &amp; Inputs'!$F$29), $E$79, IF(ISNUMBER(AC99), AC99, 0))</f>
        <v>0</v>
      </c>
      <c r="AE97" s="501">
        <f>IF(AE89&lt;=YEAR('Assumptions &amp; Inputs'!$F$29), $E$79, IF(ISNUMBER(AD99), AD99, 0))</f>
        <v>0</v>
      </c>
      <c r="AF97" s="501">
        <f>IF(AF89&lt;=YEAR('Assumptions &amp; Inputs'!$F$29), $E$79, IF(ISNUMBER(AE99), AE99, 0))</f>
        <v>0</v>
      </c>
      <c r="AG97" s="501">
        <f>IF(AG89&lt;=YEAR('Assumptions &amp; Inputs'!$F$29), $E$79, IF(ISNUMBER(AF99), AF99, 0))</f>
        <v>0</v>
      </c>
      <c r="AH97" s="501">
        <f>IF(AH89&lt;=YEAR('Assumptions &amp; Inputs'!$F$29), $E$79, IF(ISNUMBER(AG99), AG99, 0))</f>
        <v>0</v>
      </c>
      <c r="AI97" s="501">
        <f>IF(AI89&lt;=YEAR('Assumptions &amp; Inputs'!$F$29), $E$79, IF(ISNUMBER(AH99), AH99, 0))</f>
        <v>0</v>
      </c>
      <c r="AJ97" s="501">
        <f>IF(AJ89&lt;=YEAR('Assumptions &amp; Inputs'!$F$29), $E$79, IF(ISNUMBER(AI99), AI99, 0))</f>
        <v>0</v>
      </c>
      <c r="AK97" s="501">
        <f>IF(AK89&lt;=YEAR('Assumptions &amp; Inputs'!$F$29), $E$79, IF(ISNUMBER(AJ99), AJ99, 0))</f>
        <v>0</v>
      </c>
      <c r="AL97" s="501">
        <f>IF(AL89&lt;=YEAR('Assumptions &amp; Inputs'!$F$29), $E$79, IF(ISNUMBER(AK99), AK99, 0))</f>
        <v>0</v>
      </c>
      <c r="AM97" s="501">
        <f>IF(AM89&lt;=YEAR('Assumptions &amp; Inputs'!$F$29), $E$79, IF(ISNUMBER(AL99), AL99, 0))</f>
        <v>0</v>
      </c>
      <c r="AN97" s="501">
        <f>IF(AN89&lt;=YEAR('Assumptions &amp; Inputs'!$F$29), $E$79, IF(ISNUMBER(AM99), AM99, 0))</f>
        <v>0</v>
      </c>
      <c r="AO97" s="501">
        <f>IF(AO89&lt;=YEAR('Assumptions &amp; Inputs'!$F$29), $E$79, IF(ISNUMBER(AN99), AN99, 0))</f>
        <v>0</v>
      </c>
      <c r="AP97" s="501">
        <f>IF(AP89&lt;=YEAR('Assumptions &amp; Inputs'!$F$29), $E$79, IF(ISNUMBER(AO99), AO99, 0))</f>
        <v>0</v>
      </c>
      <c r="AQ97" s="501">
        <f>IF(AQ89&lt;=YEAR('Assumptions &amp; Inputs'!$F$29), $E$79, IF(ISNUMBER(AP99), AP99, 0))</f>
        <v>0</v>
      </c>
      <c r="AR97" s="501">
        <f>IF(AR89&lt;=YEAR('Assumptions &amp; Inputs'!$F$29), $E$79, IF(ISNUMBER(AQ99), AQ99, 0))</f>
        <v>0</v>
      </c>
      <c r="AS97" s="501">
        <f>IF(AS89&lt;=YEAR('Assumptions &amp; Inputs'!$F$29), $E$79, IF(ISNUMBER(AR99), AR99, 0))</f>
        <v>0</v>
      </c>
      <c r="AT97" s="501">
        <f>IF(AT89&lt;=YEAR('Assumptions &amp; Inputs'!$F$29), $E$79, IF(ISNUMBER(AS99), AS99, 0))</f>
        <v>0</v>
      </c>
      <c r="AU97" s="501">
        <f>IF(AU89&lt;=YEAR('Assumptions &amp; Inputs'!$F$29), $E$79, IF(ISNUMBER(AT99), AT99, 0))</f>
        <v>0</v>
      </c>
      <c r="AV97" s="501">
        <f>IF(AV89&lt;=YEAR('Assumptions &amp; Inputs'!$F$29), $E$79, IF(ISNUMBER(AU99), AU99, 0))</f>
        <v>0</v>
      </c>
      <c r="AW97" s="501">
        <f>IF(AW89&lt;=YEAR('Assumptions &amp; Inputs'!$F$29), $E$79, IF(ISNUMBER(AV99), AV99, 0))</f>
        <v>0</v>
      </c>
    </row>
    <row r="98" spans="1:49" ht="14.25" customHeight="1">
      <c r="A98" s="1"/>
      <c r="B98" s="1"/>
      <c r="C98" s="1" t="s">
        <v>449</v>
      </c>
      <c r="D98" s="501"/>
      <c r="E98" s="501">
        <f>IFERROR(PPMT('Assumptions &amp; Inputs'!$F$10,E89-YEAR('Assumptions &amp; Inputs'!$F$29),'Assumptions &amp; Inputs'!$F$9,$E$79), 0)</f>
        <v>0</v>
      </c>
      <c r="F98" s="501">
        <f>IFERROR(PPMT('Assumptions &amp; Inputs'!$F$10,F89-YEAR('Assumptions &amp; Inputs'!$F$29),'Assumptions &amp; Inputs'!$F$9,$E$79), 0)</f>
        <v>0</v>
      </c>
      <c r="G98" s="501">
        <f>IFERROR(PPMT('Assumptions &amp; Inputs'!$F$10,G89-YEAR('Assumptions &amp; Inputs'!$F$29),'Assumptions &amp; Inputs'!$F$9,$E$79), 0)</f>
        <v>0</v>
      </c>
      <c r="H98" s="501">
        <f>IFERROR(PPMT('Assumptions &amp; Inputs'!$F$10,H89-YEAR('Assumptions &amp; Inputs'!$F$29),'Assumptions &amp; Inputs'!$F$9,$E$79), 0)</f>
        <v>0</v>
      </c>
      <c r="I98" s="501">
        <f>IFERROR(PPMT('Assumptions &amp; Inputs'!$F$10,I89-YEAR('Assumptions &amp; Inputs'!$F$29),'Assumptions &amp; Inputs'!$F$9,$E$79), 0)</f>
        <v>0</v>
      </c>
      <c r="J98" s="501">
        <f>IFERROR(PPMT('Assumptions &amp; Inputs'!$F$10,J89-YEAR('Assumptions &amp; Inputs'!$F$29),'Assumptions &amp; Inputs'!$F$9,$E$79), 0)</f>
        <v>0</v>
      </c>
      <c r="K98" s="501">
        <f>IFERROR(PPMT('Assumptions &amp; Inputs'!$F$10,K89-YEAR('Assumptions &amp; Inputs'!$F$29),'Assumptions &amp; Inputs'!$F$9,$E$79), 0)</f>
        <v>0</v>
      </c>
      <c r="L98" s="501">
        <f>IFERROR(PPMT('Assumptions &amp; Inputs'!$F$10,L89-YEAR('Assumptions &amp; Inputs'!$F$29),'Assumptions &amp; Inputs'!$F$9,$E$79), 0)</f>
        <v>0</v>
      </c>
      <c r="M98" s="501">
        <f>IFERROR(PPMT('Assumptions &amp; Inputs'!$F$10,M89-YEAR('Assumptions &amp; Inputs'!$F$29),'Assumptions &amp; Inputs'!$F$9,$E$79), 0)</f>
        <v>0</v>
      </c>
      <c r="N98" s="501">
        <f>IFERROR(PPMT('Assumptions &amp; Inputs'!$F$10,N89-YEAR('Assumptions &amp; Inputs'!$F$29),'Assumptions &amp; Inputs'!$F$9,$E$79), 0)</f>
        <v>0</v>
      </c>
      <c r="O98" s="501">
        <f>IFERROR(PPMT('Assumptions &amp; Inputs'!$F$10,O89-YEAR('Assumptions &amp; Inputs'!$F$29),'Assumptions &amp; Inputs'!$F$9,$E$79), 0)</f>
        <v>0</v>
      </c>
      <c r="P98" s="501">
        <f>IFERROR(PPMT('Assumptions &amp; Inputs'!$F$10,P89-YEAR('Assumptions &amp; Inputs'!$F$29),'Assumptions &amp; Inputs'!$F$9,$E$79), 0)</f>
        <v>0</v>
      </c>
      <c r="Q98" s="501">
        <f>IFERROR(PPMT('Assumptions &amp; Inputs'!$F$10,Q89-YEAR('Assumptions &amp; Inputs'!$F$29),'Assumptions &amp; Inputs'!$F$9,$E$79), 0)</f>
        <v>0</v>
      </c>
      <c r="R98" s="501">
        <f>IFERROR(PPMT('Assumptions &amp; Inputs'!$F$10,R89-YEAR('Assumptions &amp; Inputs'!$F$29),'Assumptions &amp; Inputs'!$F$9,$E$79), 0)</f>
        <v>0</v>
      </c>
      <c r="S98" s="501">
        <f>IFERROR(PPMT('Assumptions &amp; Inputs'!$F$10,S89-YEAR('Assumptions &amp; Inputs'!$F$29),'Assumptions &amp; Inputs'!$F$9,$E$79), 0)</f>
        <v>0</v>
      </c>
      <c r="T98" s="501">
        <f>IFERROR(PPMT('Assumptions &amp; Inputs'!$F$10,T89-YEAR('Assumptions &amp; Inputs'!$F$29),'Assumptions &amp; Inputs'!$F$9,$E$79), 0)</f>
        <v>0</v>
      </c>
      <c r="U98" s="501">
        <f>IFERROR(PPMT('Assumptions &amp; Inputs'!$F$10,U89-YEAR('Assumptions &amp; Inputs'!$F$29),'Assumptions &amp; Inputs'!$F$9,$E$79), 0)</f>
        <v>0</v>
      </c>
      <c r="V98" s="501">
        <f>IFERROR(PPMT('Assumptions &amp; Inputs'!$F$10,V89-YEAR('Assumptions &amp; Inputs'!$F$29),'Assumptions &amp; Inputs'!$F$9,$E$79), 0)</f>
        <v>0</v>
      </c>
      <c r="W98" s="501">
        <f>IFERROR(PPMT('Assumptions &amp; Inputs'!$F$10,W89-YEAR('Assumptions &amp; Inputs'!$F$29),'Assumptions &amp; Inputs'!$F$9,$E$79), 0)</f>
        <v>0</v>
      </c>
      <c r="X98" s="501">
        <f>IFERROR(PPMT('Assumptions &amp; Inputs'!$F$10,X89-YEAR('Assumptions &amp; Inputs'!$F$29),'Assumptions &amp; Inputs'!$F$9,$E$79), 0)</f>
        <v>0</v>
      </c>
      <c r="Y98" s="501">
        <f>IFERROR(PPMT('Assumptions &amp; Inputs'!$F$10,Y89-YEAR('Assumptions &amp; Inputs'!$F$29),'Assumptions &amp; Inputs'!$F$9,$E$79), 0)</f>
        <v>0</v>
      </c>
      <c r="Z98" s="501">
        <f>IFERROR(PPMT('Assumptions &amp; Inputs'!$F$10,Z89-YEAR('Assumptions &amp; Inputs'!$F$29),'Assumptions &amp; Inputs'!$F$9,$E$79), 0)</f>
        <v>0</v>
      </c>
      <c r="AA98" s="501">
        <f>IFERROR(PPMT('Assumptions &amp; Inputs'!$F$10,AA89-YEAR('Assumptions &amp; Inputs'!$F$29),'Assumptions &amp; Inputs'!$F$9,$E$79), 0)</f>
        <v>0</v>
      </c>
      <c r="AB98" s="501">
        <f>IFERROR(PPMT('Assumptions &amp; Inputs'!$F$10,AB89-YEAR('Assumptions &amp; Inputs'!$F$29),'Assumptions &amp; Inputs'!$F$9,$E$79), 0)</f>
        <v>0</v>
      </c>
      <c r="AC98" s="501">
        <f>IFERROR(PPMT('Assumptions &amp; Inputs'!$F$10,AC89-YEAR('Assumptions &amp; Inputs'!$F$29),'Assumptions &amp; Inputs'!$F$9,$E$79), 0)</f>
        <v>0</v>
      </c>
      <c r="AD98" s="501">
        <f>IFERROR(PPMT('Assumptions &amp; Inputs'!$F$10,AD89-YEAR('Assumptions &amp; Inputs'!$F$29),'Assumptions &amp; Inputs'!$F$9,$E$79), 0)</f>
        <v>0</v>
      </c>
      <c r="AE98" s="501">
        <f>IFERROR(PPMT('Assumptions &amp; Inputs'!$F$10,AE89-YEAR('Assumptions &amp; Inputs'!$F$29),'Assumptions &amp; Inputs'!$F$9,$E$79), 0)</f>
        <v>0</v>
      </c>
      <c r="AF98" s="501">
        <f>IFERROR(PPMT('Assumptions &amp; Inputs'!$F$10,AF89-YEAR('Assumptions &amp; Inputs'!$F$29),'Assumptions &amp; Inputs'!$F$9,$E$79), 0)</f>
        <v>0</v>
      </c>
      <c r="AG98" s="501">
        <f>IFERROR(PPMT('Assumptions &amp; Inputs'!$F$10,AG89-YEAR('Assumptions &amp; Inputs'!$F$29),'Assumptions &amp; Inputs'!$F$9,$E$79), 0)</f>
        <v>0</v>
      </c>
      <c r="AH98" s="501">
        <f>IFERROR(PPMT('Assumptions &amp; Inputs'!$F$10,AH89-YEAR('Assumptions &amp; Inputs'!$F$29),'Assumptions &amp; Inputs'!$F$9,$E$79), 0)</f>
        <v>0</v>
      </c>
      <c r="AI98" s="501">
        <f>IFERROR(PPMT('Assumptions &amp; Inputs'!$F$10,AI89-YEAR('Assumptions &amp; Inputs'!$F$29),'Assumptions &amp; Inputs'!$F$9,$E$79), 0)</f>
        <v>0</v>
      </c>
      <c r="AJ98" s="501">
        <f>IFERROR(PPMT('Assumptions &amp; Inputs'!$F$10,AJ89-YEAR('Assumptions &amp; Inputs'!$F$29),'Assumptions &amp; Inputs'!$F$9,$E$79), 0)</f>
        <v>0</v>
      </c>
      <c r="AK98" s="501">
        <f>IFERROR(PPMT('Assumptions &amp; Inputs'!$F$10,AK89-YEAR('Assumptions &amp; Inputs'!$F$29),'Assumptions &amp; Inputs'!$F$9,$E$79), 0)</f>
        <v>0</v>
      </c>
      <c r="AL98" s="501">
        <f>IFERROR(PPMT('Assumptions &amp; Inputs'!$F$10,AL89-YEAR('Assumptions &amp; Inputs'!$F$29),'Assumptions &amp; Inputs'!$F$9,$E$79), 0)</f>
        <v>0</v>
      </c>
      <c r="AM98" s="501">
        <f>IFERROR(PPMT('Assumptions &amp; Inputs'!$F$10,AM89-YEAR('Assumptions &amp; Inputs'!$F$29),'Assumptions &amp; Inputs'!$F$9,$E$79), 0)</f>
        <v>0</v>
      </c>
      <c r="AN98" s="501">
        <f>IFERROR(PPMT('Assumptions &amp; Inputs'!$F$10,AN89-YEAR('Assumptions &amp; Inputs'!$F$29),'Assumptions &amp; Inputs'!$F$9,$E$79), 0)</f>
        <v>0</v>
      </c>
      <c r="AO98" s="501">
        <f>IFERROR(PPMT('Assumptions &amp; Inputs'!$F$10,AO89-YEAR('Assumptions &amp; Inputs'!$F$29),'Assumptions &amp; Inputs'!$F$9,$E$79), 0)</f>
        <v>0</v>
      </c>
      <c r="AP98" s="501">
        <f>IFERROR(PPMT('Assumptions &amp; Inputs'!$F$10,AP89-YEAR('Assumptions &amp; Inputs'!$F$29),'Assumptions &amp; Inputs'!$F$9,$E$79), 0)</f>
        <v>0</v>
      </c>
      <c r="AQ98" s="501">
        <f>IFERROR(PPMT('Assumptions &amp; Inputs'!$F$10,AQ89-YEAR('Assumptions &amp; Inputs'!$F$29),'Assumptions &amp; Inputs'!$F$9,$E$79), 0)</f>
        <v>0</v>
      </c>
      <c r="AR98" s="501">
        <f>IFERROR(PPMT('Assumptions &amp; Inputs'!$F$10,AR89-YEAR('Assumptions &amp; Inputs'!$F$29),'Assumptions &amp; Inputs'!$F$9,$E$79), 0)</f>
        <v>0</v>
      </c>
      <c r="AS98" s="501">
        <f>IFERROR(PPMT('Assumptions &amp; Inputs'!$F$10,AS89-YEAR('Assumptions &amp; Inputs'!$F$29),'Assumptions &amp; Inputs'!$F$9,$E$79), 0)</f>
        <v>0</v>
      </c>
      <c r="AT98" s="501">
        <f>IFERROR(PPMT('Assumptions &amp; Inputs'!$F$10,AT89-YEAR('Assumptions &amp; Inputs'!$F$29),'Assumptions &amp; Inputs'!$F$9,$E$79), 0)</f>
        <v>0</v>
      </c>
      <c r="AU98" s="501">
        <f>IFERROR(PPMT('Assumptions &amp; Inputs'!$F$10,AU89-YEAR('Assumptions &amp; Inputs'!$F$29),'Assumptions &amp; Inputs'!$F$9,$E$79), 0)</f>
        <v>0</v>
      </c>
      <c r="AV98" s="501">
        <f>IFERROR(PPMT('Assumptions &amp; Inputs'!$F$10,AV89-YEAR('Assumptions &amp; Inputs'!$F$29),'Assumptions &amp; Inputs'!$F$9,$E$79), 0)</f>
        <v>0</v>
      </c>
      <c r="AW98" s="501">
        <f>IFERROR(PPMT('Assumptions &amp; Inputs'!$F$10,AW89-YEAR('Assumptions &amp; Inputs'!$F$29),'Assumptions &amp; Inputs'!$F$9,$E$79), 0)</f>
        <v>0</v>
      </c>
    </row>
    <row r="99" spans="1:49" ht="14.25" customHeight="1">
      <c r="A99" s="1"/>
      <c r="B99" s="1"/>
      <c r="C99" s="1" t="s">
        <v>450</v>
      </c>
      <c r="D99" s="501">
        <f>D97</f>
        <v>0</v>
      </c>
      <c r="E99" s="501">
        <f>SUM(E97:E98)</f>
        <v>0</v>
      </c>
      <c r="F99" s="501">
        <f t="shared" ref="F99:AW99" si="293">SUM(F97:F98)</f>
        <v>0</v>
      </c>
      <c r="G99" s="501">
        <f t="shared" si="293"/>
        <v>0</v>
      </c>
      <c r="H99" s="501">
        <f t="shared" si="293"/>
        <v>0</v>
      </c>
      <c r="I99" s="501">
        <f t="shared" si="293"/>
        <v>0</v>
      </c>
      <c r="J99" s="501">
        <f t="shared" si="293"/>
        <v>0</v>
      </c>
      <c r="K99" s="501">
        <f t="shared" si="293"/>
        <v>0</v>
      </c>
      <c r="L99" s="501">
        <f t="shared" si="293"/>
        <v>0</v>
      </c>
      <c r="M99" s="501">
        <f t="shared" si="293"/>
        <v>0</v>
      </c>
      <c r="N99" s="501">
        <f t="shared" si="293"/>
        <v>0</v>
      </c>
      <c r="O99" s="501">
        <f t="shared" si="293"/>
        <v>0</v>
      </c>
      <c r="P99" s="501">
        <f t="shared" si="293"/>
        <v>0</v>
      </c>
      <c r="Q99" s="501">
        <f t="shared" si="293"/>
        <v>0</v>
      </c>
      <c r="R99" s="501">
        <f t="shared" si="293"/>
        <v>0</v>
      </c>
      <c r="S99" s="501">
        <f t="shared" si="293"/>
        <v>0</v>
      </c>
      <c r="T99" s="501">
        <f t="shared" si="293"/>
        <v>0</v>
      </c>
      <c r="U99" s="501">
        <f t="shared" si="293"/>
        <v>0</v>
      </c>
      <c r="V99" s="501">
        <f t="shared" si="293"/>
        <v>0</v>
      </c>
      <c r="W99" s="501">
        <f t="shared" si="293"/>
        <v>0</v>
      </c>
      <c r="X99" s="501">
        <f t="shared" si="293"/>
        <v>0</v>
      </c>
      <c r="Y99" s="501">
        <f t="shared" si="293"/>
        <v>0</v>
      </c>
      <c r="Z99" s="501">
        <f t="shared" si="293"/>
        <v>0</v>
      </c>
      <c r="AA99" s="501">
        <f t="shared" si="293"/>
        <v>0</v>
      </c>
      <c r="AB99" s="501">
        <f t="shared" si="293"/>
        <v>0</v>
      </c>
      <c r="AC99" s="501">
        <f t="shared" si="293"/>
        <v>0</v>
      </c>
      <c r="AD99" s="501">
        <f t="shared" si="293"/>
        <v>0</v>
      </c>
      <c r="AE99" s="501">
        <f t="shared" si="293"/>
        <v>0</v>
      </c>
      <c r="AF99" s="501">
        <f t="shared" si="293"/>
        <v>0</v>
      </c>
      <c r="AG99" s="501">
        <f t="shared" si="293"/>
        <v>0</v>
      </c>
      <c r="AH99" s="501">
        <f t="shared" si="293"/>
        <v>0</v>
      </c>
      <c r="AI99" s="501">
        <f t="shared" si="293"/>
        <v>0</v>
      </c>
      <c r="AJ99" s="501">
        <f t="shared" si="293"/>
        <v>0</v>
      </c>
      <c r="AK99" s="501">
        <f t="shared" si="293"/>
        <v>0</v>
      </c>
      <c r="AL99" s="501">
        <f t="shared" si="293"/>
        <v>0</v>
      </c>
      <c r="AM99" s="501">
        <f t="shared" si="293"/>
        <v>0</v>
      </c>
      <c r="AN99" s="501">
        <f t="shared" si="293"/>
        <v>0</v>
      </c>
      <c r="AO99" s="501">
        <f t="shared" si="293"/>
        <v>0</v>
      </c>
      <c r="AP99" s="501">
        <f t="shared" si="293"/>
        <v>0</v>
      </c>
      <c r="AQ99" s="501">
        <f t="shared" si="293"/>
        <v>0</v>
      </c>
      <c r="AR99" s="501">
        <f t="shared" si="293"/>
        <v>0</v>
      </c>
      <c r="AS99" s="501">
        <f t="shared" si="293"/>
        <v>0</v>
      </c>
      <c r="AT99" s="501">
        <f t="shared" si="293"/>
        <v>0</v>
      </c>
      <c r="AU99" s="501">
        <f t="shared" si="293"/>
        <v>0</v>
      </c>
      <c r="AV99" s="501">
        <f t="shared" si="293"/>
        <v>0</v>
      </c>
      <c r="AW99" s="501">
        <f t="shared" si="293"/>
        <v>0</v>
      </c>
    </row>
    <row r="100" spans="1:49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4.25" customHeight="1">
      <c r="A101" s="1"/>
      <c r="B101" s="1"/>
      <c r="C101" s="1" t="s">
        <v>451</v>
      </c>
      <c r="D101" s="1"/>
      <c r="E101" s="8">
        <f>IFERROR(-IPMT('Assumptions &amp; Inputs'!$F$10,E89-YEAR('Assumptions &amp; Inputs'!$F$29),'Assumptions &amp; Inputs'!$F$9,$E$79), 0)</f>
        <v>0</v>
      </c>
      <c r="F101" s="8">
        <f>IFERROR(-IPMT('Assumptions &amp; Inputs'!$F$10,F89-YEAR('Assumptions &amp; Inputs'!$F$29),'Assumptions &amp; Inputs'!$F$9,$E$79), 0)</f>
        <v>0</v>
      </c>
      <c r="G101" s="8">
        <f>IFERROR(-IPMT('Assumptions &amp; Inputs'!$F$10,G89-YEAR('Assumptions &amp; Inputs'!$F$29),'Assumptions &amp; Inputs'!$F$9,$E$79), 0)</f>
        <v>0</v>
      </c>
      <c r="H101" s="8">
        <f>IFERROR(-IPMT('Assumptions &amp; Inputs'!$F$10,H89-YEAR('Assumptions &amp; Inputs'!$F$29),'Assumptions &amp; Inputs'!$F$9,$E$79), 0)</f>
        <v>0</v>
      </c>
      <c r="I101" s="8">
        <f>IFERROR(-IPMT('Assumptions &amp; Inputs'!$F$10,I89-YEAR('Assumptions &amp; Inputs'!$F$29),'Assumptions &amp; Inputs'!$F$9,$E$79), 0)</f>
        <v>0</v>
      </c>
      <c r="J101" s="8">
        <f>IFERROR(-IPMT('Assumptions &amp; Inputs'!$F$10,J89-YEAR('Assumptions &amp; Inputs'!$F$29),'Assumptions &amp; Inputs'!$F$9,$E$79), 0)</f>
        <v>0</v>
      </c>
      <c r="K101" s="8">
        <f>IFERROR(-IPMT('Assumptions &amp; Inputs'!$F$10,K89-YEAR('Assumptions &amp; Inputs'!$F$29),'Assumptions &amp; Inputs'!$F$9,$E$79), 0)</f>
        <v>0</v>
      </c>
      <c r="L101" s="8">
        <f>IFERROR(-IPMT('Assumptions &amp; Inputs'!$F$10,L89-YEAR('Assumptions &amp; Inputs'!$F$29),'Assumptions &amp; Inputs'!$F$9,$E$79), 0)</f>
        <v>0</v>
      </c>
      <c r="M101" s="8">
        <f>IFERROR(-IPMT('Assumptions &amp; Inputs'!$F$10,M89-YEAR('Assumptions &amp; Inputs'!$F$29),'Assumptions &amp; Inputs'!$F$9,$E$79), 0)</f>
        <v>0</v>
      </c>
      <c r="N101" s="8">
        <f>IFERROR(-IPMT('Assumptions &amp; Inputs'!$F$10,N89-YEAR('Assumptions &amp; Inputs'!$F$29),'Assumptions &amp; Inputs'!$F$9,$E$79), 0)</f>
        <v>0</v>
      </c>
      <c r="O101" s="8">
        <f>IFERROR(-IPMT('Assumptions &amp; Inputs'!$F$10,O89-YEAR('Assumptions &amp; Inputs'!$F$29),'Assumptions &amp; Inputs'!$F$9,$E$79), 0)</f>
        <v>0</v>
      </c>
      <c r="P101" s="8">
        <f>IFERROR(-IPMT('Assumptions &amp; Inputs'!$F$10,P89-YEAR('Assumptions &amp; Inputs'!$F$29),'Assumptions &amp; Inputs'!$F$9,$E$79), 0)</f>
        <v>0</v>
      </c>
      <c r="Q101" s="8">
        <f>IFERROR(-IPMT('Assumptions &amp; Inputs'!$F$10,Q89-YEAR('Assumptions &amp; Inputs'!$F$29),'Assumptions &amp; Inputs'!$F$9,$E$79), 0)</f>
        <v>0</v>
      </c>
      <c r="R101" s="8">
        <f>IFERROR(-IPMT('Assumptions &amp; Inputs'!$F$10,R89-YEAR('Assumptions &amp; Inputs'!$F$29),'Assumptions &amp; Inputs'!$F$9,$E$79), 0)</f>
        <v>0</v>
      </c>
      <c r="S101" s="8">
        <f>IFERROR(-IPMT('Assumptions &amp; Inputs'!$F$10,S89-YEAR('Assumptions &amp; Inputs'!$F$29),'Assumptions &amp; Inputs'!$F$9,$E$79), 0)</f>
        <v>0</v>
      </c>
      <c r="T101" s="8">
        <f>IFERROR(-IPMT('Assumptions &amp; Inputs'!$F$10,T89-YEAR('Assumptions &amp; Inputs'!$F$29),'Assumptions &amp; Inputs'!$F$9,$E$79), 0)</f>
        <v>0</v>
      </c>
      <c r="U101" s="8">
        <f>IFERROR(-IPMT('Assumptions &amp; Inputs'!$F$10,U89-YEAR('Assumptions &amp; Inputs'!$F$29),'Assumptions &amp; Inputs'!$F$9,$E$79), 0)</f>
        <v>0</v>
      </c>
      <c r="V101" s="8">
        <f>IFERROR(-IPMT('Assumptions &amp; Inputs'!$F$10,V89-YEAR('Assumptions &amp; Inputs'!$F$29),'Assumptions &amp; Inputs'!$F$9,$E$79), 0)</f>
        <v>0</v>
      </c>
      <c r="W101" s="8">
        <f>IFERROR(-IPMT('Assumptions &amp; Inputs'!$F$10,W89-YEAR('Assumptions &amp; Inputs'!$F$29),'Assumptions &amp; Inputs'!$F$9,$E$79), 0)</f>
        <v>0</v>
      </c>
      <c r="X101" s="8">
        <f>IFERROR(-IPMT('Assumptions &amp; Inputs'!$F$10,X89-YEAR('Assumptions &amp; Inputs'!$F$29),'Assumptions &amp; Inputs'!$F$9,$E$79), 0)</f>
        <v>0</v>
      </c>
      <c r="Y101" s="8">
        <f>IFERROR(-IPMT('Assumptions &amp; Inputs'!$F$10,Y89-YEAR('Assumptions &amp; Inputs'!$F$29),'Assumptions &amp; Inputs'!$F$9,$E$79), 0)</f>
        <v>0</v>
      </c>
      <c r="Z101" s="8">
        <f>IFERROR(-IPMT('Assumptions &amp; Inputs'!$F$10,Z89-YEAR('Assumptions &amp; Inputs'!$F$29),'Assumptions &amp; Inputs'!$F$9,$E$79), 0)</f>
        <v>0</v>
      </c>
      <c r="AA101" s="8">
        <f>IFERROR(-IPMT('Assumptions &amp; Inputs'!$F$10,AA89-YEAR('Assumptions &amp; Inputs'!$F$29),'Assumptions &amp; Inputs'!$F$9,$E$79), 0)</f>
        <v>0</v>
      </c>
      <c r="AB101" s="8">
        <f>IFERROR(-IPMT('Assumptions &amp; Inputs'!$F$10,AB89-YEAR('Assumptions &amp; Inputs'!$F$29),'Assumptions &amp; Inputs'!$F$9,$E$79), 0)</f>
        <v>0</v>
      </c>
      <c r="AC101" s="8">
        <f>IFERROR(-IPMT('Assumptions &amp; Inputs'!$F$10,AC89-YEAR('Assumptions &amp; Inputs'!$F$29),'Assumptions &amp; Inputs'!$F$9,$E$79), 0)</f>
        <v>0</v>
      </c>
      <c r="AD101" s="8">
        <f>IFERROR(-IPMT('Assumptions &amp; Inputs'!$F$10,AD89-YEAR('Assumptions &amp; Inputs'!$F$29),'Assumptions &amp; Inputs'!$F$9,$E$79), 0)</f>
        <v>0</v>
      </c>
      <c r="AE101" s="8">
        <f>IFERROR(-IPMT('Assumptions &amp; Inputs'!$F$10,AE89-YEAR('Assumptions &amp; Inputs'!$F$29),'Assumptions &amp; Inputs'!$F$9,$E$79), 0)</f>
        <v>0</v>
      </c>
      <c r="AF101" s="8">
        <f>IFERROR(-IPMT('Assumptions &amp; Inputs'!$F$10,AF89-YEAR('Assumptions &amp; Inputs'!$F$29),'Assumptions &amp; Inputs'!$F$9,$E$79), 0)</f>
        <v>0</v>
      </c>
      <c r="AG101" s="8">
        <f>IFERROR(-IPMT('Assumptions &amp; Inputs'!$F$10,AG89-YEAR('Assumptions &amp; Inputs'!$F$29),'Assumptions &amp; Inputs'!$F$9,$E$79), 0)</f>
        <v>0</v>
      </c>
      <c r="AH101" s="8">
        <f>IFERROR(-IPMT('Assumptions &amp; Inputs'!$F$10,AH89-YEAR('Assumptions &amp; Inputs'!$F$29),'Assumptions &amp; Inputs'!$F$9,$E$79), 0)</f>
        <v>0</v>
      </c>
      <c r="AI101" s="8">
        <f>IFERROR(-IPMT('Assumptions &amp; Inputs'!$F$10,AI89-YEAR('Assumptions &amp; Inputs'!$F$29),'Assumptions &amp; Inputs'!$F$9,$E$79), 0)</f>
        <v>0</v>
      </c>
      <c r="AJ101" s="8">
        <f>IFERROR(-IPMT('Assumptions &amp; Inputs'!$F$10,AJ89-YEAR('Assumptions &amp; Inputs'!$F$29),'Assumptions &amp; Inputs'!$F$9,$E$79), 0)</f>
        <v>0</v>
      </c>
      <c r="AK101" s="8">
        <f>IFERROR(-IPMT('Assumptions &amp; Inputs'!$F$10,AK89-YEAR('Assumptions &amp; Inputs'!$F$29),'Assumptions &amp; Inputs'!$F$9,$E$79), 0)</f>
        <v>0</v>
      </c>
      <c r="AL101" s="8">
        <f>IFERROR(-IPMT('Assumptions &amp; Inputs'!$F$10,AL89-YEAR('Assumptions &amp; Inputs'!$F$29),'Assumptions &amp; Inputs'!$F$9,$E$79), 0)</f>
        <v>0</v>
      </c>
      <c r="AM101" s="8">
        <f>IFERROR(-IPMT('Assumptions &amp; Inputs'!$F$10,AM89-YEAR('Assumptions &amp; Inputs'!$F$29),'Assumptions &amp; Inputs'!$F$9,$E$79), 0)</f>
        <v>0</v>
      </c>
      <c r="AN101" s="8">
        <f>IFERROR(-IPMT('Assumptions &amp; Inputs'!$F$10,AN89-YEAR('Assumptions &amp; Inputs'!$F$29),'Assumptions &amp; Inputs'!$F$9,$E$79), 0)</f>
        <v>0</v>
      </c>
      <c r="AO101" s="8">
        <f>IFERROR(-IPMT('Assumptions &amp; Inputs'!$F$10,AO89-YEAR('Assumptions &amp; Inputs'!$F$29),'Assumptions &amp; Inputs'!$F$9,$E$79), 0)</f>
        <v>0</v>
      </c>
      <c r="AP101" s="8">
        <f>IFERROR(-IPMT('Assumptions &amp; Inputs'!$F$10,AP89-YEAR('Assumptions &amp; Inputs'!$F$29),'Assumptions &amp; Inputs'!$F$9,$E$79), 0)</f>
        <v>0</v>
      </c>
      <c r="AQ101" s="8">
        <f>IFERROR(-IPMT('Assumptions &amp; Inputs'!$F$10,AQ89-YEAR('Assumptions &amp; Inputs'!$F$29),'Assumptions &amp; Inputs'!$F$9,$E$79), 0)</f>
        <v>0</v>
      </c>
      <c r="AR101" s="8">
        <f>IFERROR(-IPMT('Assumptions &amp; Inputs'!$F$10,AR89-YEAR('Assumptions &amp; Inputs'!$F$29),'Assumptions &amp; Inputs'!$F$9,$E$79), 0)</f>
        <v>0</v>
      </c>
      <c r="AS101" s="8">
        <f>IFERROR(-IPMT('Assumptions &amp; Inputs'!$F$10,AS89-YEAR('Assumptions &amp; Inputs'!$F$29),'Assumptions &amp; Inputs'!$F$9,$E$79), 0)</f>
        <v>0</v>
      </c>
      <c r="AT101" s="8">
        <f>IFERROR(-IPMT('Assumptions &amp; Inputs'!$F$10,AT89-YEAR('Assumptions &amp; Inputs'!$F$29),'Assumptions &amp; Inputs'!$F$9,$E$79), 0)</f>
        <v>0</v>
      </c>
      <c r="AU101" s="8">
        <f>IFERROR(-IPMT('Assumptions &amp; Inputs'!$F$10,AU89-YEAR('Assumptions &amp; Inputs'!$F$29),'Assumptions &amp; Inputs'!$F$9,$E$79), 0)</f>
        <v>0</v>
      </c>
      <c r="AV101" s="8">
        <f>IFERROR(-IPMT('Assumptions &amp; Inputs'!$F$10,AV89-YEAR('Assumptions &amp; Inputs'!$F$29),'Assumptions &amp; Inputs'!$F$9,$E$79), 0)</f>
        <v>0</v>
      </c>
      <c r="AW101" s="8">
        <f>IFERROR(-IPMT('Assumptions &amp; Inputs'!$F$10,AW89-YEAR('Assumptions &amp; Inputs'!$F$29),'Assumptions &amp; Inputs'!$F$9,$E$79), 0)</f>
        <v>0</v>
      </c>
    </row>
    <row r="102" spans="1:49" ht="14.25" customHeight="1">
      <c r="A102" s="1"/>
      <c r="B102" s="1"/>
      <c r="C102" s="1" t="s">
        <v>452</v>
      </c>
      <c r="D102" s="1"/>
      <c r="E102" s="8">
        <f t="shared" ref="E102:AW102" si="294">-E98</f>
        <v>0</v>
      </c>
      <c r="F102" s="8">
        <f t="shared" si="294"/>
        <v>0</v>
      </c>
      <c r="G102" s="8">
        <f t="shared" si="294"/>
        <v>0</v>
      </c>
      <c r="H102" s="8">
        <f t="shared" si="294"/>
        <v>0</v>
      </c>
      <c r="I102" s="8">
        <f t="shared" si="294"/>
        <v>0</v>
      </c>
      <c r="J102" s="8">
        <f t="shared" si="294"/>
        <v>0</v>
      </c>
      <c r="K102" s="8">
        <f t="shared" si="294"/>
        <v>0</v>
      </c>
      <c r="L102" s="8">
        <f t="shared" si="294"/>
        <v>0</v>
      </c>
      <c r="M102" s="8">
        <f t="shared" si="294"/>
        <v>0</v>
      </c>
      <c r="N102" s="8">
        <f t="shared" si="294"/>
        <v>0</v>
      </c>
      <c r="O102" s="8">
        <f t="shared" si="294"/>
        <v>0</v>
      </c>
      <c r="P102" s="8">
        <f t="shared" si="294"/>
        <v>0</v>
      </c>
      <c r="Q102" s="8">
        <f t="shared" si="294"/>
        <v>0</v>
      </c>
      <c r="R102" s="8">
        <f t="shared" si="294"/>
        <v>0</v>
      </c>
      <c r="S102" s="8">
        <f t="shared" si="294"/>
        <v>0</v>
      </c>
      <c r="T102" s="8">
        <f t="shared" si="294"/>
        <v>0</v>
      </c>
      <c r="U102" s="8">
        <f t="shared" si="294"/>
        <v>0</v>
      </c>
      <c r="V102" s="8">
        <f t="shared" si="294"/>
        <v>0</v>
      </c>
      <c r="W102" s="8">
        <f t="shared" si="294"/>
        <v>0</v>
      </c>
      <c r="X102" s="8">
        <f t="shared" si="294"/>
        <v>0</v>
      </c>
      <c r="Y102" s="8">
        <f t="shared" si="294"/>
        <v>0</v>
      </c>
      <c r="Z102" s="8">
        <f t="shared" si="294"/>
        <v>0</v>
      </c>
      <c r="AA102" s="8">
        <f t="shared" si="294"/>
        <v>0</v>
      </c>
      <c r="AB102" s="8">
        <f t="shared" si="294"/>
        <v>0</v>
      </c>
      <c r="AC102" s="8">
        <f t="shared" si="294"/>
        <v>0</v>
      </c>
      <c r="AD102" s="8">
        <f t="shared" si="294"/>
        <v>0</v>
      </c>
      <c r="AE102" s="8">
        <f t="shared" si="294"/>
        <v>0</v>
      </c>
      <c r="AF102" s="8">
        <f t="shared" si="294"/>
        <v>0</v>
      </c>
      <c r="AG102" s="8">
        <f t="shared" si="294"/>
        <v>0</v>
      </c>
      <c r="AH102" s="8">
        <f t="shared" si="294"/>
        <v>0</v>
      </c>
      <c r="AI102" s="8">
        <f t="shared" si="294"/>
        <v>0</v>
      </c>
      <c r="AJ102" s="8">
        <f t="shared" si="294"/>
        <v>0</v>
      </c>
      <c r="AK102" s="8">
        <f t="shared" si="294"/>
        <v>0</v>
      </c>
      <c r="AL102" s="8">
        <f t="shared" si="294"/>
        <v>0</v>
      </c>
      <c r="AM102" s="8">
        <f t="shared" si="294"/>
        <v>0</v>
      </c>
      <c r="AN102" s="8">
        <f t="shared" si="294"/>
        <v>0</v>
      </c>
      <c r="AO102" s="8">
        <f t="shared" si="294"/>
        <v>0</v>
      </c>
      <c r="AP102" s="8">
        <f t="shared" si="294"/>
        <v>0</v>
      </c>
      <c r="AQ102" s="8">
        <f t="shared" si="294"/>
        <v>0</v>
      </c>
      <c r="AR102" s="8">
        <f t="shared" si="294"/>
        <v>0</v>
      </c>
      <c r="AS102" s="8">
        <f t="shared" si="294"/>
        <v>0</v>
      </c>
      <c r="AT102" s="8">
        <f t="shared" si="294"/>
        <v>0</v>
      </c>
      <c r="AU102" s="8">
        <f t="shared" si="294"/>
        <v>0</v>
      </c>
      <c r="AV102" s="8">
        <f t="shared" si="294"/>
        <v>0</v>
      </c>
      <c r="AW102" s="8">
        <f t="shared" si="294"/>
        <v>0</v>
      </c>
    </row>
    <row r="103" spans="1:49" ht="14.25" customHeight="1">
      <c r="A103" s="1"/>
      <c r="B103" s="1" t="s">
        <v>351</v>
      </c>
      <c r="C103" s="2" t="s">
        <v>444</v>
      </c>
      <c r="D103" s="2"/>
      <c r="E103" s="31">
        <f t="shared" ref="E103:AW103" si="295">SUM(E101:E102)</f>
        <v>0</v>
      </c>
      <c r="F103" s="31">
        <f t="shared" si="295"/>
        <v>0</v>
      </c>
      <c r="G103" s="31">
        <f t="shared" si="295"/>
        <v>0</v>
      </c>
      <c r="H103" s="31">
        <f t="shared" si="295"/>
        <v>0</v>
      </c>
      <c r="I103" s="31">
        <f t="shared" si="295"/>
        <v>0</v>
      </c>
      <c r="J103" s="31">
        <f t="shared" si="295"/>
        <v>0</v>
      </c>
      <c r="K103" s="31">
        <f t="shared" si="295"/>
        <v>0</v>
      </c>
      <c r="L103" s="31">
        <f t="shared" si="295"/>
        <v>0</v>
      </c>
      <c r="M103" s="31">
        <f t="shared" si="295"/>
        <v>0</v>
      </c>
      <c r="N103" s="31">
        <f t="shared" si="295"/>
        <v>0</v>
      </c>
      <c r="O103" s="31">
        <f t="shared" si="295"/>
        <v>0</v>
      </c>
      <c r="P103" s="31">
        <f t="shared" si="295"/>
        <v>0</v>
      </c>
      <c r="Q103" s="31">
        <f t="shared" si="295"/>
        <v>0</v>
      </c>
      <c r="R103" s="31">
        <f t="shared" si="295"/>
        <v>0</v>
      </c>
      <c r="S103" s="31">
        <f t="shared" si="295"/>
        <v>0</v>
      </c>
      <c r="T103" s="31">
        <f t="shared" si="295"/>
        <v>0</v>
      </c>
      <c r="U103" s="31">
        <f t="shared" si="295"/>
        <v>0</v>
      </c>
      <c r="V103" s="31">
        <f t="shared" si="295"/>
        <v>0</v>
      </c>
      <c r="W103" s="31">
        <f t="shared" si="295"/>
        <v>0</v>
      </c>
      <c r="X103" s="31">
        <f t="shared" si="295"/>
        <v>0</v>
      </c>
      <c r="Y103" s="31">
        <f t="shared" si="295"/>
        <v>0</v>
      </c>
      <c r="Z103" s="31">
        <f t="shared" si="295"/>
        <v>0</v>
      </c>
      <c r="AA103" s="31">
        <f t="shared" si="295"/>
        <v>0</v>
      </c>
      <c r="AB103" s="31">
        <f t="shared" si="295"/>
        <v>0</v>
      </c>
      <c r="AC103" s="31">
        <f t="shared" si="295"/>
        <v>0</v>
      </c>
      <c r="AD103" s="31">
        <f t="shared" si="295"/>
        <v>0</v>
      </c>
      <c r="AE103" s="31">
        <f t="shared" si="295"/>
        <v>0</v>
      </c>
      <c r="AF103" s="31">
        <f t="shared" si="295"/>
        <v>0</v>
      </c>
      <c r="AG103" s="31">
        <f t="shared" si="295"/>
        <v>0</v>
      </c>
      <c r="AH103" s="31">
        <f t="shared" si="295"/>
        <v>0</v>
      </c>
      <c r="AI103" s="31">
        <f t="shared" si="295"/>
        <v>0</v>
      </c>
      <c r="AJ103" s="31">
        <f t="shared" si="295"/>
        <v>0</v>
      </c>
      <c r="AK103" s="31">
        <f t="shared" si="295"/>
        <v>0</v>
      </c>
      <c r="AL103" s="31">
        <f t="shared" si="295"/>
        <v>0</v>
      </c>
      <c r="AM103" s="31">
        <f t="shared" si="295"/>
        <v>0</v>
      </c>
      <c r="AN103" s="31">
        <f t="shared" si="295"/>
        <v>0</v>
      </c>
      <c r="AO103" s="31">
        <f t="shared" si="295"/>
        <v>0</v>
      </c>
      <c r="AP103" s="31">
        <f t="shared" si="295"/>
        <v>0</v>
      </c>
      <c r="AQ103" s="31">
        <f t="shared" si="295"/>
        <v>0</v>
      </c>
      <c r="AR103" s="31">
        <f t="shared" si="295"/>
        <v>0</v>
      </c>
      <c r="AS103" s="31">
        <f t="shared" si="295"/>
        <v>0</v>
      </c>
      <c r="AT103" s="31">
        <f t="shared" si="295"/>
        <v>0</v>
      </c>
      <c r="AU103" s="31">
        <f t="shared" si="295"/>
        <v>0</v>
      </c>
      <c r="AV103" s="31">
        <f t="shared" si="295"/>
        <v>0</v>
      </c>
      <c r="AW103" s="31">
        <f t="shared" si="295"/>
        <v>0</v>
      </c>
    </row>
    <row r="104" spans="1:49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4.25" customHeight="1" thickBot="1">
      <c r="A106" s="1" t="s">
        <v>351</v>
      </c>
      <c r="B106" s="1"/>
      <c r="C106" s="9" t="s">
        <v>475</v>
      </c>
      <c r="D106" s="9"/>
      <c r="E106" s="10"/>
      <c r="F106" s="10"/>
      <c r="G106" s="10"/>
      <c r="H106" s="10"/>
      <c r="I106" s="10"/>
      <c r="J106" s="1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ht="14.25" customHeight="1">
      <c r="A107" s="1"/>
      <c r="B107" s="1"/>
      <c r="C107" s="12" t="s">
        <v>353</v>
      </c>
      <c r="D107" s="13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4.25" customHeight="1">
      <c r="A108" s="1"/>
      <c r="B108" s="1"/>
      <c r="C108" s="1"/>
      <c r="D108" s="43">
        <v>0</v>
      </c>
      <c r="E108" s="90">
        <f t="shared" ref="E108:X108" si="296">D108+1</f>
        <v>1</v>
      </c>
      <c r="F108" s="90">
        <f t="shared" si="296"/>
        <v>2</v>
      </c>
      <c r="G108" s="90">
        <f t="shared" si="296"/>
        <v>3</v>
      </c>
      <c r="H108" s="90">
        <f t="shared" si="296"/>
        <v>4</v>
      </c>
      <c r="I108" s="90">
        <f t="shared" si="296"/>
        <v>5</v>
      </c>
      <c r="J108" s="90">
        <f t="shared" si="296"/>
        <v>6</v>
      </c>
      <c r="K108" s="90">
        <f t="shared" si="296"/>
        <v>7</v>
      </c>
      <c r="L108" s="90">
        <f t="shared" si="296"/>
        <v>8</v>
      </c>
      <c r="M108" s="90">
        <f t="shared" si="296"/>
        <v>9</v>
      </c>
      <c r="N108" s="90">
        <f t="shared" si="296"/>
        <v>10</v>
      </c>
      <c r="O108" s="90">
        <f t="shared" si="296"/>
        <v>11</v>
      </c>
      <c r="P108" s="90">
        <f t="shared" si="296"/>
        <v>12</v>
      </c>
      <c r="Q108" s="90">
        <f t="shared" si="296"/>
        <v>13</v>
      </c>
      <c r="R108" s="90">
        <f t="shared" si="296"/>
        <v>14</v>
      </c>
      <c r="S108" s="90">
        <f t="shared" si="296"/>
        <v>15</v>
      </c>
      <c r="T108" s="90">
        <f t="shared" si="296"/>
        <v>16</v>
      </c>
      <c r="U108" s="90">
        <f t="shared" si="296"/>
        <v>17</v>
      </c>
      <c r="V108" s="90">
        <f t="shared" si="296"/>
        <v>18</v>
      </c>
      <c r="W108" s="90">
        <f t="shared" si="296"/>
        <v>19</v>
      </c>
      <c r="X108" s="90">
        <f t="shared" si="296"/>
        <v>20</v>
      </c>
      <c r="Y108" s="90">
        <f t="shared" ref="Y108" si="297">X108+1</f>
        <v>21</v>
      </c>
      <c r="Z108" s="90">
        <f t="shared" ref="Z108" si="298">Y108+1</f>
        <v>22</v>
      </c>
      <c r="AA108" s="90">
        <f t="shared" ref="AA108" si="299">Z108+1</f>
        <v>23</v>
      </c>
      <c r="AB108" s="90">
        <f t="shared" ref="AB108" si="300">AA108+1</f>
        <v>24</v>
      </c>
      <c r="AC108" s="90">
        <f t="shared" ref="AC108" si="301">AB108+1</f>
        <v>25</v>
      </c>
      <c r="AD108" s="90">
        <f t="shared" ref="AD108" si="302">AC108+1</f>
        <v>26</v>
      </c>
      <c r="AE108" s="90">
        <f t="shared" ref="AE108" si="303">AD108+1</f>
        <v>27</v>
      </c>
      <c r="AF108" s="90">
        <f t="shared" ref="AF108" si="304">AE108+1</f>
        <v>28</v>
      </c>
      <c r="AG108" s="90">
        <f t="shared" ref="AG108" si="305">AF108+1</f>
        <v>29</v>
      </c>
      <c r="AH108" s="90">
        <f t="shared" ref="AH108" si="306">AG108+1</f>
        <v>30</v>
      </c>
      <c r="AI108" s="90">
        <f t="shared" ref="AI108" si="307">AH108+1</f>
        <v>31</v>
      </c>
      <c r="AJ108" s="90">
        <f t="shared" ref="AJ108" si="308">AI108+1</f>
        <v>32</v>
      </c>
      <c r="AK108" s="90">
        <f t="shared" ref="AK108" si="309">AJ108+1</f>
        <v>33</v>
      </c>
      <c r="AL108" s="90">
        <f t="shared" ref="AL108" si="310">AK108+1</f>
        <v>34</v>
      </c>
      <c r="AM108" s="90">
        <f t="shared" ref="AM108" si="311">AL108+1</f>
        <v>35</v>
      </c>
      <c r="AN108" s="90">
        <f t="shared" ref="AN108" si="312">AM108+1</f>
        <v>36</v>
      </c>
      <c r="AO108" s="90">
        <f t="shared" ref="AO108" si="313">AN108+1</f>
        <v>37</v>
      </c>
      <c r="AP108" s="90">
        <f t="shared" ref="AP108" si="314">AO108+1</f>
        <v>38</v>
      </c>
      <c r="AQ108" s="90">
        <f t="shared" ref="AQ108" si="315">AP108+1</f>
        <v>39</v>
      </c>
      <c r="AR108" s="90">
        <f t="shared" ref="AR108" si="316">AQ108+1</f>
        <v>40</v>
      </c>
      <c r="AS108" s="90">
        <f t="shared" ref="AS108" si="317">AR108+1</f>
        <v>41</v>
      </c>
      <c r="AT108" s="90">
        <f t="shared" ref="AT108" si="318">AS108+1</f>
        <v>42</v>
      </c>
      <c r="AU108" s="90">
        <f t="shared" ref="AU108" si="319">AT108+1</f>
        <v>43</v>
      </c>
      <c r="AV108" s="90">
        <f t="shared" ref="AV108" si="320">AU108+1</f>
        <v>44</v>
      </c>
      <c r="AW108" s="90">
        <f t="shared" ref="AW108" si="321">AV108+1</f>
        <v>45</v>
      </c>
    </row>
    <row r="109" spans="1:49" ht="14.25" customHeight="1">
      <c r="A109" s="44"/>
      <c r="B109" s="44"/>
      <c r="C109" s="45"/>
      <c r="D109" s="2"/>
      <c r="E109" s="806" t="s">
        <v>354</v>
      </c>
      <c r="F109" s="806"/>
      <c r="G109" s="806"/>
      <c r="H109" s="806"/>
      <c r="I109" s="806"/>
      <c r="J109" s="806"/>
      <c r="K109" s="806"/>
      <c r="L109" s="806"/>
      <c r="M109" s="806"/>
      <c r="N109" s="806"/>
      <c r="O109" s="806"/>
      <c r="P109" s="806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</row>
    <row r="110" spans="1:49" ht="14.25" customHeight="1">
      <c r="A110" s="44"/>
      <c r="B110" s="44"/>
      <c r="C110" s="46"/>
      <c r="D110" s="3">
        <f>D89</f>
        <v>2026</v>
      </c>
      <c r="E110" s="91">
        <f t="shared" ref="E110:X110" si="322">D110+1</f>
        <v>2027</v>
      </c>
      <c r="F110" s="91">
        <f t="shared" si="322"/>
        <v>2028</v>
      </c>
      <c r="G110" s="91">
        <f t="shared" si="322"/>
        <v>2029</v>
      </c>
      <c r="H110" s="91">
        <f t="shared" si="322"/>
        <v>2030</v>
      </c>
      <c r="I110" s="91">
        <f t="shared" si="322"/>
        <v>2031</v>
      </c>
      <c r="J110" s="91">
        <f t="shared" si="322"/>
        <v>2032</v>
      </c>
      <c r="K110" s="91">
        <f t="shared" si="322"/>
        <v>2033</v>
      </c>
      <c r="L110" s="91">
        <f t="shared" si="322"/>
        <v>2034</v>
      </c>
      <c r="M110" s="91">
        <f t="shared" si="322"/>
        <v>2035</v>
      </c>
      <c r="N110" s="91">
        <f t="shared" si="322"/>
        <v>2036</v>
      </c>
      <c r="O110" s="91">
        <f t="shared" si="322"/>
        <v>2037</v>
      </c>
      <c r="P110" s="91">
        <f t="shared" si="322"/>
        <v>2038</v>
      </c>
      <c r="Q110" s="91">
        <f t="shared" si="322"/>
        <v>2039</v>
      </c>
      <c r="R110" s="91">
        <f t="shared" si="322"/>
        <v>2040</v>
      </c>
      <c r="S110" s="91">
        <f t="shared" si="322"/>
        <v>2041</v>
      </c>
      <c r="T110" s="91">
        <f t="shared" si="322"/>
        <v>2042</v>
      </c>
      <c r="U110" s="91">
        <f t="shared" si="322"/>
        <v>2043</v>
      </c>
      <c r="V110" s="91">
        <f t="shared" si="322"/>
        <v>2044</v>
      </c>
      <c r="W110" s="91">
        <f t="shared" si="322"/>
        <v>2045</v>
      </c>
      <c r="X110" s="91">
        <f t="shared" si="322"/>
        <v>2046</v>
      </c>
      <c r="Y110" s="91">
        <f t="shared" ref="Y110" si="323">X110+1</f>
        <v>2047</v>
      </c>
      <c r="Z110" s="91">
        <f t="shared" ref="Z110" si="324">Y110+1</f>
        <v>2048</v>
      </c>
      <c r="AA110" s="91">
        <f t="shared" ref="AA110" si="325">Z110+1</f>
        <v>2049</v>
      </c>
      <c r="AB110" s="91">
        <f t="shared" ref="AB110" si="326">AA110+1</f>
        <v>2050</v>
      </c>
      <c r="AC110" s="91">
        <f t="shared" ref="AC110" si="327">AB110+1</f>
        <v>2051</v>
      </c>
      <c r="AD110" s="91">
        <f t="shared" ref="AD110" si="328">AC110+1</f>
        <v>2052</v>
      </c>
      <c r="AE110" s="91">
        <f t="shared" ref="AE110" si="329">AD110+1</f>
        <v>2053</v>
      </c>
      <c r="AF110" s="91">
        <f t="shared" ref="AF110" si="330">AE110+1</f>
        <v>2054</v>
      </c>
      <c r="AG110" s="91">
        <f t="shared" ref="AG110" si="331">AF110+1</f>
        <v>2055</v>
      </c>
      <c r="AH110" s="91">
        <f t="shared" ref="AH110" si="332">AG110+1</f>
        <v>2056</v>
      </c>
      <c r="AI110" s="91">
        <f t="shared" ref="AI110" si="333">AH110+1</f>
        <v>2057</v>
      </c>
      <c r="AJ110" s="91">
        <f t="shared" ref="AJ110" si="334">AI110+1</f>
        <v>2058</v>
      </c>
      <c r="AK110" s="91">
        <f t="shared" ref="AK110" si="335">AJ110+1</f>
        <v>2059</v>
      </c>
      <c r="AL110" s="91">
        <f t="shared" ref="AL110" si="336">AK110+1</f>
        <v>2060</v>
      </c>
      <c r="AM110" s="91">
        <f t="shared" ref="AM110" si="337">AL110+1</f>
        <v>2061</v>
      </c>
      <c r="AN110" s="91">
        <f t="shared" ref="AN110" si="338">AM110+1</f>
        <v>2062</v>
      </c>
      <c r="AO110" s="91">
        <f t="shared" ref="AO110" si="339">AN110+1</f>
        <v>2063</v>
      </c>
      <c r="AP110" s="91">
        <f t="shared" ref="AP110" si="340">AO110+1</f>
        <v>2064</v>
      </c>
      <c r="AQ110" s="91">
        <f t="shared" ref="AQ110" si="341">AP110+1</f>
        <v>2065</v>
      </c>
      <c r="AR110" s="91">
        <f t="shared" ref="AR110" si="342">AQ110+1</f>
        <v>2066</v>
      </c>
      <c r="AS110" s="91">
        <f t="shared" ref="AS110" si="343">AR110+1</f>
        <v>2067</v>
      </c>
      <c r="AT110" s="91">
        <f t="shared" ref="AT110" si="344">AS110+1</f>
        <v>2068</v>
      </c>
      <c r="AU110" s="91">
        <f t="shared" ref="AU110" si="345">AT110+1</f>
        <v>2069</v>
      </c>
      <c r="AV110" s="91">
        <f t="shared" ref="AV110" si="346">AU110+1</f>
        <v>2070</v>
      </c>
      <c r="AW110" s="91">
        <f t="shared" ref="AW110" si="347">AV110+1</f>
        <v>2071</v>
      </c>
    </row>
    <row r="111" spans="1:49" ht="14.25" customHeight="1">
      <c r="A111" s="44"/>
      <c r="B111" s="44"/>
      <c r="C111" s="44"/>
      <c r="D111" s="42">
        <f>D90</f>
        <v>46023</v>
      </c>
      <c r="E111" s="42">
        <f t="shared" ref="E111:X111" si="348">E90</f>
        <v>46752</v>
      </c>
      <c r="F111" s="42">
        <f t="shared" si="348"/>
        <v>47118</v>
      </c>
      <c r="G111" s="42">
        <f t="shared" si="348"/>
        <v>47483</v>
      </c>
      <c r="H111" s="42">
        <f t="shared" si="348"/>
        <v>47848</v>
      </c>
      <c r="I111" s="42">
        <f t="shared" si="348"/>
        <v>48213</v>
      </c>
      <c r="J111" s="42">
        <f t="shared" si="348"/>
        <v>48579</v>
      </c>
      <c r="K111" s="42">
        <f t="shared" si="348"/>
        <v>48944</v>
      </c>
      <c r="L111" s="42">
        <f t="shared" si="348"/>
        <v>49309</v>
      </c>
      <c r="M111" s="42">
        <f t="shared" si="348"/>
        <v>49674</v>
      </c>
      <c r="N111" s="42">
        <f t="shared" si="348"/>
        <v>50040</v>
      </c>
      <c r="O111" s="42">
        <f t="shared" si="348"/>
        <v>50405</v>
      </c>
      <c r="P111" s="42">
        <f t="shared" si="348"/>
        <v>50770</v>
      </c>
      <c r="Q111" s="42">
        <f t="shared" si="348"/>
        <v>51135</v>
      </c>
      <c r="R111" s="42">
        <f t="shared" si="348"/>
        <v>51501</v>
      </c>
      <c r="S111" s="42">
        <f t="shared" si="348"/>
        <v>51866</v>
      </c>
      <c r="T111" s="42">
        <f t="shared" si="348"/>
        <v>52231</v>
      </c>
      <c r="U111" s="42">
        <f t="shared" si="348"/>
        <v>52596</v>
      </c>
      <c r="V111" s="42">
        <f t="shared" si="348"/>
        <v>52962</v>
      </c>
      <c r="W111" s="42">
        <f t="shared" si="348"/>
        <v>53327</v>
      </c>
      <c r="X111" s="42">
        <f t="shared" si="348"/>
        <v>53692</v>
      </c>
      <c r="Y111" s="42">
        <f t="shared" ref="Y111:AW111" si="349">Y90</f>
        <v>54057</v>
      </c>
      <c r="Z111" s="42">
        <f t="shared" si="349"/>
        <v>54423</v>
      </c>
      <c r="AA111" s="42">
        <f t="shared" si="349"/>
        <v>54788</v>
      </c>
      <c r="AB111" s="42">
        <f t="shared" si="349"/>
        <v>55153</v>
      </c>
      <c r="AC111" s="42">
        <f t="shared" si="349"/>
        <v>55518</v>
      </c>
      <c r="AD111" s="42">
        <f t="shared" si="349"/>
        <v>55884</v>
      </c>
      <c r="AE111" s="42">
        <f t="shared" si="349"/>
        <v>56249</v>
      </c>
      <c r="AF111" s="42">
        <f t="shared" si="349"/>
        <v>56614</v>
      </c>
      <c r="AG111" s="42">
        <f t="shared" si="349"/>
        <v>56979</v>
      </c>
      <c r="AH111" s="42">
        <f t="shared" si="349"/>
        <v>57345</v>
      </c>
      <c r="AI111" s="42">
        <f t="shared" si="349"/>
        <v>57710</v>
      </c>
      <c r="AJ111" s="42">
        <f t="shared" si="349"/>
        <v>58075</v>
      </c>
      <c r="AK111" s="42">
        <f t="shared" si="349"/>
        <v>58440</v>
      </c>
      <c r="AL111" s="42">
        <f t="shared" si="349"/>
        <v>58806</v>
      </c>
      <c r="AM111" s="42">
        <f t="shared" si="349"/>
        <v>59171</v>
      </c>
      <c r="AN111" s="42">
        <f t="shared" si="349"/>
        <v>59536</v>
      </c>
      <c r="AO111" s="42">
        <f t="shared" si="349"/>
        <v>59901</v>
      </c>
      <c r="AP111" s="42">
        <f t="shared" si="349"/>
        <v>60267</v>
      </c>
      <c r="AQ111" s="42">
        <f t="shared" si="349"/>
        <v>60632</v>
      </c>
      <c r="AR111" s="42">
        <f t="shared" si="349"/>
        <v>60997</v>
      </c>
      <c r="AS111" s="42">
        <f t="shared" si="349"/>
        <v>61362</v>
      </c>
      <c r="AT111" s="42">
        <f t="shared" si="349"/>
        <v>61728</v>
      </c>
      <c r="AU111" s="42">
        <f t="shared" si="349"/>
        <v>62093</v>
      </c>
      <c r="AV111" s="42">
        <f t="shared" si="349"/>
        <v>62458</v>
      </c>
      <c r="AW111" s="42">
        <f t="shared" si="349"/>
        <v>62823</v>
      </c>
    </row>
    <row r="112" spans="1:49" ht="14.25" customHeight="1">
      <c r="A112" s="44"/>
      <c r="B112" s="44"/>
      <c r="C112" s="136" t="s">
        <v>467</v>
      </c>
      <c r="D112" s="47">
        <f>_xlfn.XLOOKUP(D$110, 'Power Summary'!$C$46:$AV$46, 'Power Summary'!$C47:$AV47)</f>
        <v>60</v>
      </c>
      <c r="E112" s="47">
        <f>_xlfn.XLOOKUP(E$110, 'Power Summary'!$C$46:$AV$46, 'Power Summary'!$C47:$AV47)</f>
        <v>61.2</v>
      </c>
      <c r="F112" s="47">
        <f>_xlfn.XLOOKUP(F$110, 'Power Summary'!$C$46:$AV$46, 'Power Summary'!$C47:$AV47)</f>
        <v>62.423999999999999</v>
      </c>
      <c r="G112" s="47">
        <f>_xlfn.XLOOKUP(G$110, 'Power Summary'!$C$46:$AV$46, 'Power Summary'!$C47:$AV47)</f>
        <v>63.672479999999993</v>
      </c>
      <c r="H112" s="47">
        <f>_xlfn.XLOOKUP(H$110, 'Power Summary'!$C$46:$AV$46, 'Power Summary'!$C47:$AV47)</f>
        <v>64.945929599999999</v>
      </c>
      <c r="I112" s="47">
        <f>_xlfn.XLOOKUP(I$110, 'Power Summary'!$C$46:$AV$46, 'Power Summary'!$C47:$AV47)</f>
        <v>66.244848192000006</v>
      </c>
      <c r="J112" s="47">
        <f>_xlfn.XLOOKUP(J$110, 'Power Summary'!$C$46:$AV$46, 'Power Summary'!$C47:$AV47)</f>
        <v>67.56974515584001</v>
      </c>
      <c r="K112" s="47">
        <f>_xlfn.XLOOKUP(K$110, 'Power Summary'!$C$46:$AV$46, 'Power Summary'!$C47:$AV47)</f>
        <v>68.921140058956794</v>
      </c>
      <c r="L112" s="47">
        <f>_xlfn.XLOOKUP(L$110, 'Power Summary'!$C$46:$AV$46, 'Power Summary'!$C47:$AV47)</f>
        <v>70.299562860135936</v>
      </c>
      <c r="M112" s="47">
        <f>_xlfn.XLOOKUP(M$110, 'Power Summary'!$C$46:$AV$46, 'Power Summary'!$C47:$AV47)</f>
        <v>71.70555411733865</v>
      </c>
      <c r="N112" s="47">
        <f>_xlfn.XLOOKUP(N$110, 'Power Summary'!$C$46:$AV$46, 'Power Summary'!$C47:$AV47)</f>
        <v>73.139665199685425</v>
      </c>
      <c r="O112" s="47">
        <f>_xlfn.XLOOKUP(O$110, 'Power Summary'!$C$46:$AV$46, 'Power Summary'!$C47:$AV47)</f>
        <v>74.602458503679117</v>
      </c>
      <c r="P112" s="47">
        <f>_xlfn.XLOOKUP(P$110, 'Power Summary'!$C$46:$AV$46, 'Power Summary'!$C47:$AV47)</f>
        <v>76.094507673752716</v>
      </c>
      <c r="Q112" s="47">
        <f>_xlfn.XLOOKUP(Q$110, 'Power Summary'!$C$46:$AV$46, 'Power Summary'!$C47:$AV47)</f>
        <v>77.616397827227772</v>
      </c>
      <c r="R112" s="47">
        <f>_xlfn.XLOOKUP(R$110, 'Power Summary'!$C$46:$AV$46, 'Power Summary'!$C47:$AV47)</f>
        <v>79.168725783772331</v>
      </c>
      <c r="S112" s="47">
        <f>_xlfn.XLOOKUP(S$110, 'Power Summary'!$C$46:$AV$46, 'Power Summary'!$C47:$AV47)</f>
        <v>80.752100299447747</v>
      </c>
      <c r="T112" s="47">
        <f>_xlfn.XLOOKUP(T$110, 'Power Summary'!$C$46:$AV$46, 'Power Summary'!$C47:$AV47)</f>
        <v>82.367142305436715</v>
      </c>
      <c r="U112" s="47">
        <f>_xlfn.XLOOKUP(U$110, 'Power Summary'!$C$46:$AV$46, 'Power Summary'!$C47:$AV47)</f>
        <v>84.014485151545458</v>
      </c>
      <c r="V112" s="47">
        <f>_xlfn.XLOOKUP(V$110, 'Power Summary'!$C$46:$AV$46, 'Power Summary'!$C47:$AV47)</f>
        <v>85.694774854576366</v>
      </c>
      <c r="W112" s="47">
        <f>_xlfn.XLOOKUP(W$110, 'Power Summary'!$C$46:$AV$46, 'Power Summary'!$C47:$AV47)</f>
        <v>87.408670351667894</v>
      </c>
      <c r="X112" s="47">
        <f>_xlfn.XLOOKUP(X$110, 'Power Summary'!$C$46:$AV$46, 'Power Summary'!$C47:$AV47)</f>
        <v>89.156843758701257</v>
      </c>
      <c r="Y112" s="47">
        <f>_xlfn.XLOOKUP(Y$110, 'Power Summary'!$C$46:$AV$46, 'Power Summary'!$C47:$AV47)</f>
        <v>90.93998063387528</v>
      </c>
      <c r="Z112" s="47">
        <f>_xlfn.XLOOKUP(Z$110, 'Power Summary'!$C$46:$AV$46, 'Power Summary'!$C47:$AV47)</f>
        <v>92.758780246552789</v>
      </c>
      <c r="AA112" s="47">
        <f>_xlfn.XLOOKUP(AA$110, 'Power Summary'!$C$46:$AV$46, 'Power Summary'!$C47:$AV47)</f>
        <v>94.613955851483823</v>
      </c>
      <c r="AB112" s="47">
        <f>_xlfn.XLOOKUP(AB$110, 'Power Summary'!$C$46:$AV$46, 'Power Summary'!$C47:$AV47)</f>
        <v>96.506234968513496</v>
      </c>
      <c r="AC112" s="47">
        <f>_xlfn.XLOOKUP(AC$110, 'Power Summary'!$C$46:$AV$46, 'Power Summary'!$C47:$AV47)</f>
        <v>98.436359667883778</v>
      </c>
      <c r="AD112" s="47">
        <f>_xlfn.XLOOKUP(AD$110, 'Power Summary'!$C$46:$AV$46, 'Power Summary'!$C47:$AV47)</f>
        <v>100.40508686124146</v>
      </c>
      <c r="AE112" s="47">
        <f>_xlfn.XLOOKUP(AE$110, 'Power Summary'!$C$46:$AV$46, 'Power Summary'!$C47:$AV47)</f>
        <v>102.41318859846626</v>
      </c>
      <c r="AF112" s="47">
        <f>_xlfn.XLOOKUP(AF$110, 'Power Summary'!$C$46:$AV$46, 'Power Summary'!$C47:$AV47)</f>
        <v>104.46145237043562</v>
      </c>
      <c r="AG112" s="47">
        <f>_xlfn.XLOOKUP(AG$110, 'Power Summary'!$C$46:$AV$46, 'Power Summary'!$C47:$AV47)</f>
        <v>106.55068141784432</v>
      </c>
      <c r="AH112" s="47">
        <f>_xlfn.XLOOKUP(AH$110, 'Power Summary'!$C$46:$AV$46, 'Power Summary'!$C47:$AV47)</f>
        <v>108.68169504620121</v>
      </c>
      <c r="AI112" s="47">
        <f>_xlfn.XLOOKUP(AI$110, 'Power Summary'!$C$46:$AV$46, 'Power Summary'!$C47:$AV47)</f>
        <v>110.8553289471252</v>
      </c>
      <c r="AJ112" s="47">
        <f>_xlfn.XLOOKUP(AJ$110, 'Power Summary'!$C$46:$AV$46, 'Power Summary'!$C47:$AV47)</f>
        <v>113.07243552606774</v>
      </c>
      <c r="AK112" s="47">
        <f>_xlfn.XLOOKUP(AK$110, 'Power Summary'!$C$46:$AV$46, 'Power Summary'!$C47:$AV47)</f>
        <v>115.3338842365891</v>
      </c>
      <c r="AL112" s="47">
        <f>_xlfn.XLOOKUP(AL$110, 'Power Summary'!$C$46:$AV$46, 'Power Summary'!$C47:$AV47)</f>
        <v>117.64056192132087</v>
      </c>
      <c r="AM112" s="47">
        <f>_xlfn.XLOOKUP(AM$110, 'Power Summary'!$C$46:$AV$46, 'Power Summary'!$C47:$AV47)</f>
        <v>119.99337315974728</v>
      </c>
      <c r="AN112" s="47">
        <f>_xlfn.XLOOKUP(AN$110, 'Power Summary'!$C$46:$AV$46, 'Power Summary'!$C47:$AV47)</f>
        <v>122.39324062294222</v>
      </c>
      <c r="AO112" s="47">
        <f>_xlfn.XLOOKUP(AO$110, 'Power Summary'!$C$46:$AV$46, 'Power Summary'!$C47:$AV47)</f>
        <v>124.84110543540109</v>
      </c>
      <c r="AP112" s="47">
        <f>_xlfn.XLOOKUP(AP$110, 'Power Summary'!$C$46:$AV$46, 'Power Summary'!$C47:$AV47)</f>
        <v>127.33792754410912</v>
      </c>
      <c r="AQ112" s="47">
        <f>_xlfn.XLOOKUP(AQ$110, 'Power Summary'!$C$46:$AV$46, 'Power Summary'!$C47:$AV47)</f>
        <v>129.88468609499125</v>
      </c>
      <c r="AR112" s="47">
        <f>_xlfn.XLOOKUP(AR$110, 'Power Summary'!$C$46:$AV$46, 'Power Summary'!$C47:$AV47)</f>
        <v>132.4823798168911</v>
      </c>
      <c r="AS112" s="47">
        <f>_xlfn.XLOOKUP(AS$110, 'Power Summary'!$C$46:$AV$46, 'Power Summary'!$C47:$AV47)</f>
        <v>135.13202741322891</v>
      </c>
      <c r="AT112" s="47">
        <f>_xlfn.XLOOKUP(AT$110, 'Power Summary'!$C$46:$AV$46, 'Power Summary'!$C47:$AV47)</f>
        <v>137.83466796149349</v>
      </c>
      <c r="AU112" s="47">
        <f>_xlfn.XLOOKUP(AU$110, 'Power Summary'!$C$46:$AV$46, 'Power Summary'!$C47:$AV47)</f>
        <v>140.59136132072337</v>
      </c>
      <c r="AV112" s="47">
        <f>_xlfn.XLOOKUP(AV$110, 'Power Summary'!$C$46:$AV$46, 'Power Summary'!$C47:$AV47)</f>
        <v>143.40318854713786</v>
      </c>
      <c r="AW112" s="47">
        <f>_xlfn.XLOOKUP(AW$110, 'Power Summary'!$C$46:$AV$46, 'Power Summary'!$C47:$AV47)</f>
        <v>146.2712523180806</v>
      </c>
    </row>
    <row r="113" spans="3:49" ht="14.25" customHeight="1">
      <c r="C113" s="136" t="s">
        <v>468</v>
      </c>
      <c r="D113" s="47">
        <f>_xlfn.XLOOKUP(D$110, 'Power Summary'!$C$46:$AV$46, 'Power Summary'!$C48:$AV48)</f>
        <v>75</v>
      </c>
      <c r="E113" s="47">
        <f>_xlfn.XLOOKUP(E$110, 'Power Summary'!$C$46:$AV$46, 'Power Summary'!$C48:$AV48)</f>
        <v>76.5</v>
      </c>
      <c r="F113" s="47">
        <f>_xlfn.XLOOKUP(F$110, 'Power Summary'!$C$46:$AV$46, 'Power Summary'!$C48:$AV48)</f>
        <v>78.03</v>
      </c>
      <c r="G113" s="47">
        <f>_xlfn.XLOOKUP(G$110, 'Power Summary'!$C$46:$AV$46, 'Power Summary'!$C48:$AV48)</f>
        <v>79.590599999999995</v>
      </c>
      <c r="H113" s="47">
        <f>_xlfn.XLOOKUP(H$110, 'Power Summary'!$C$46:$AV$46, 'Power Summary'!$C48:$AV48)</f>
        <v>81.182411999999999</v>
      </c>
      <c r="I113" s="47">
        <f>_xlfn.XLOOKUP(I$110, 'Power Summary'!$C$46:$AV$46, 'Power Summary'!$C48:$AV48)</f>
        <v>82.806060240000008</v>
      </c>
      <c r="J113" s="47">
        <f>_xlfn.XLOOKUP(J$110, 'Power Summary'!$C$46:$AV$46, 'Power Summary'!$C48:$AV48)</f>
        <v>84.462181444800009</v>
      </c>
      <c r="K113" s="47">
        <f>_xlfn.XLOOKUP(K$110, 'Power Summary'!$C$46:$AV$46, 'Power Summary'!$C48:$AV48)</f>
        <v>86.151425073695989</v>
      </c>
      <c r="L113" s="47">
        <f>_xlfn.XLOOKUP(L$110, 'Power Summary'!$C$46:$AV$46, 'Power Summary'!$C48:$AV48)</f>
        <v>87.874453575169909</v>
      </c>
      <c r="M113" s="47">
        <f>_xlfn.XLOOKUP(M$110, 'Power Summary'!$C$46:$AV$46, 'Power Summary'!$C48:$AV48)</f>
        <v>89.631942646673309</v>
      </c>
      <c r="N113" s="47">
        <f>_xlfn.XLOOKUP(N$110, 'Power Summary'!$C$46:$AV$46, 'Power Summary'!$C48:$AV48)</f>
        <v>91.424581499606788</v>
      </c>
      <c r="O113" s="47">
        <f>_xlfn.XLOOKUP(O$110, 'Power Summary'!$C$46:$AV$46, 'Power Summary'!$C48:$AV48)</f>
        <v>93.253073129598903</v>
      </c>
      <c r="P113" s="47">
        <f>_xlfn.XLOOKUP(P$110, 'Power Summary'!$C$46:$AV$46, 'Power Summary'!$C48:$AV48)</f>
        <v>95.118134592190899</v>
      </c>
      <c r="Q113" s="47">
        <f>_xlfn.XLOOKUP(Q$110, 'Power Summary'!$C$46:$AV$46, 'Power Summary'!$C48:$AV48)</f>
        <v>97.020497284034704</v>
      </c>
      <c r="R113" s="47">
        <f>_xlfn.XLOOKUP(R$110, 'Power Summary'!$C$46:$AV$46, 'Power Summary'!$C48:$AV48)</f>
        <v>98.960907229715417</v>
      </c>
      <c r="S113" s="47">
        <f>_xlfn.XLOOKUP(S$110, 'Power Summary'!$C$46:$AV$46, 'Power Summary'!$C48:$AV48)</f>
        <v>100.94012537430969</v>
      </c>
      <c r="T113" s="47">
        <f>_xlfn.XLOOKUP(T$110, 'Power Summary'!$C$46:$AV$46, 'Power Summary'!$C48:$AV48)</f>
        <v>102.9589278817959</v>
      </c>
      <c r="U113" s="47">
        <f>_xlfn.XLOOKUP(U$110, 'Power Summary'!$C$46:$AV$46, 'Power Summary'!$C48:$AV48)</f>
        <v>105.01810643943183</v>
      </c>
      <c r="V113" s="47">
        <f>_xlfn.XLOOKUP(V$110, 'Power Summary'!$C$46:$AV$46, 'Power Summary'!$C48:$AV48)</f>
        <v>107.11846856822045</v>
      </c>
      <c r="W113" s="47">
        <f>_xlfn.XLOOKUP(W$110, 'Power Summary'!$C$46:$AV$46, 'Power Summary'!$C48:$AV48)</f>
        <v>109.26083793958486</v>
      </c>
      <c r="X113" s="47">
        <f>_xlfn.XLOOKUP(X$110, 'Power Summary'!$C$46:$AV$46, 'Power Summary'!$C48:$AV48)</f>
        <v>111.44605469837657</v>
      </c>
      <c r="Y113" s="47">
        <f>_xlfn.XLOOKUP(Y$110, 'Power Summary'!$C$46:$AV$46, 'Power Summary'!$C48:$AV48)</f>
        <v>113.67497579234409</v>
      </c>
      <c r="Z113" s="47">
        <f>_xlfn.XLOOKUP(Z$110, 'Power Summary'!$C$46:$AV$46, 'Power Summary'!$C48:$AV48)</f>
        <v>115.94847530819098</v>
      </c>
      <c r="AA113" s="47">
        <f>_xlfn.XLOOKUP(AA$110, 'Power Summary'!$C$46:$AV$46, 'Power Summary'!$C48:$AV48)</f>
        <v>118.26744481435477</v>
      </c>
      <c r="AB113" s="47">
        <f>_xlfn.XLOOKUP(AB$110, 'Power Summary'!$C$46:$AV$46, 'Power Summary'!$C48:$AV48)</f>
        <v>120.63279371064188</v>
      </c>
      <c r="AC113" s="47">
        <f>_xlfn.XLOOKUP(AC$110, 'Power Summary'!$C$46:$AV$46, 'Power Summary'!$C48:$AV48)</f>
        <v>123.04544958485472</v>
      </c>
      <c r="AD113" s="47">
        <f>_xlfn.XLOOKUP(AD$110, 'Power Summary'!$C$46:$AV$46, 'Power Summary'!$C48:$AV48)</f>
        <v>125.50635857655182</v>
      </c>
      <c r="AE113" s="47">
        <f>_xlfn.XLOOKUP(AE$110, 'Power Summary'!$C$46:$AV$46, 'Power Summary'!$C48:$AV48)</f>
        <v>128.01648574808283</v>
      </c>
      <c r="AF113" s="47">
        <f>_xlfn.XLOOKUP(AF$110, 'Power Summary'!$C$46:$AV$46, 'Power Summary'!$C48:$AV48)</f>
        <v>130.57681546304451</v>
      </c>
      <c r="AG113" s="47">
        <f>_xlfn.XLOOKUP(AG$110, 'Power Summary'!$C$46:$AV$46, 'Power Summary'!$C48:$AV48)</f>
        <v>133.1883517723054</v>
      </c>
      <c r="AH113" s="47">
        <f>_xlfn.XLOOKUP(AH$110, 'Power Summary'!$C$46:$AV$46, 'Power Summary'!$C48:$AV48)</f>
        <v>135.85211880775151</v>
      </c>
      <c r="AI113" s="47">
        <f>_xlfn.XLOOKUP(AI$110, 'Power Summary'!$C$46:$AV$46, 'Power Summary'!$C48:$AV48)</f>
        <v>138.56916118390652</v>
      </c>
      <c r="AJ113" s="47">
        <f>_xlfn.XLOOKUP(AJ$110, 'Power Summary'!$C$46:$AV$46, 'Power Summary'!$C48:$AV48)</f>
        <v>141.34054440758467</v>
      </c>
      <c r="AK113" s="47">
        <f>_xlfn.XLOOKUP(AK$110, 'Power Summary'!$C$46:$AV$46, 'Power Summary'!$C48:$AV48)</f>
        <v>144.16735529573637</v>
      </c>
      <c r="AL113" s="47">
        <f>_xlfn.XLOOKUP(AL$110, 'Power Summary'!$C$46:$AV$46, 'Power Summary'!$C48:$AV48)</f>
        <v>147.05070240165108</v>
      </c>
      <c r="AM113" s="47">
        <f>_xlfn.XLOOKUP(AM$110, 'Power Summary'!$C$46:$AV$46, 'Power Summary'!$C48:$AV48)</f>
        <v>149.99171644968411</v>
      </c>
      <c r="AN113" s="47">
        <f>_xlfn.XLOOKUP(AN$110, 'Power Summary'!$C$46:$AV$46, 'Power Summary'!$C48:$AV48)</f>
        <v>152.99155077867778</v>
      </c>
      <c r="AO113" s="47">
        <f>_xlfn.XLOOKUP(AO$110, 'Power Summary'!$C$46:$AV$46, 'Power Summary'!$C48:$AV48)</f>
        <v>156.05138179425134</v>
      </c>
      <c r="AP113" s="47">
        <f>_xlfn.XLOOKUP(AP$110, 'Power Summary'!$C$46:$AV$46, 'Power Summary'!$C48:$AV48)</f>
        <v>159.17240943013638</v>
      </c>
      <c r="AQ113" s="47">
        <f>_xlfn.XLOOKUP(AQ$110, 'Power Summary'!$C$46:$AV$46, 'Power Summary'!$C48:$AV48)</f>
        <v>162.35585761873907</v>
      </c>
      <c r="AR113" s="47">
        <f>_xlfn.XLOOKUP(AR$110, 'Power Summary'!$C$46:$AV$46, 'Power Summary'!$C48:$AV48)</f>
        <v>165.60297477111388</v>
      </c>
      <c r="AS113" s="47">
        <f>_xlfn.XLOOKUP(AS$110, 'Power Summary'!$C$46:$AV$46, 'Power Summary'!$C48:$AV48)</f>
        <v>168.91503426653617</v>
      </c>
      <c r="AT113" s="47">
        <f>_xlfn.XLOOKUP(AT$110, 'Power Summary'!$C$46:$AV$46, 'Power Summary'!$C48:$AV48)</f>
        <v>172.29333495186688</v>
      </c>
      <c r="AU113" s="47">
        <f>_xlfn.XLOOKUP(AU$110, 'Power Summary'!$C$46:$AV$46, 'Power Summary'!$C48:$AV48)</f>
        <v>175.73920165090419</v>
      </c>
      <c r="AV113" s="47">
        <f>_xlfn.XLOOKUP(AV$110, 'Power Summary'!$C$46:$AV$46, 'Power Summary'!$C48:$AV48)</f>
        <v>179.25398568392231</v>
      </c>
      <c r="AW113" s="47">
        <f>_xlfn.XLOOKUP(AW$110, 'Power Summary'!$C$46:$AV$46, 'Power Summary'!$C48:$AV48)</f>
        <v>182.83906539760073</v>
      </c>
    </row>
    <row r="114" spans="3:49" ht="14.25" customHeight="1">
      <c r="C114" s="44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</row>
    <row r="115" spans="3:49" ht="14.25" customHeight="1">
      <c r="C115" s="44" t="s">
        <v>510</v>
      </c>
      <c r="D115" s="66">
        <f>'Assumptions &amp; Inputs'!$F$77*'Assumptions &amp; Inputs'!$F$87</f>
        <v>400</v>
      </c>
      <c r="E115" s="66">
        <f>'Assumptions &amp; Inputs'!$F$77*'Assumptions &amp; Inputs'!$F$87</f>
        <v>400</v>
      </c>
      <c r="F115" s="66">
        <f>'Assumptions &amp; Inputs'!$F$77*'Assumptions &amp; Inputs'!$F$87</f>
        <v>400</v>
      </c>
      <c r="G115" s="66">
        <f>'Assumptions &amp; Inputs'!$F$77*'Assumptions &amp; Inputs'!$F$87</f>
        <v>400</v>
      </c>
      <c r="H115" s="66">
        <f>'Assumptions &amp; Inputs'!$F$77*'Assumptions &amp; Inputs'!$F$87</f>
        <v>400</v>
      </c>
      <c r="I115" s="66">
        <f>'Assumptions &amp; Inputs'!$F$77*'Assumptions &amp; Inputs'!$F$87</f>
        <v>400</v>
      </c>
      <c r="J115" s="66">
        <f>'Assumptions &amp; Inputs'!$F$77*'Assumptions &amp; Inputs'!$F$87</f>
        <v>400</v>
      </c>
      <c r="K115" s="66">
        <f>'Assumptions &amp; Inputs'!$F$77*'Assumptions &amp; Inputs'!$F$87</f>
        <v>400</v>
      </c>
      <c r="L115" s="66">
        <f>'Assumptions &amp; Inputs'!$F$77*'Assumptions &amp; Inputs'!$F$87</f>
        <v>400</v>
      </c>
      <c r="M115" s="66">
        <f>'Assumptions &amp; Inputs'!$F$77*'Assumptions &amp; Inputs'!$F$87</f>
        <v>400</v>
      </c>
      <c r="N115" s="66">
        <f>'Assumptions &amp; Inputs'!$F$77*'Assumptions &amp; Inputs'!$F$87</f>
        <v>400</v>
      </c>
      <c r="O115" s="66">
        <f>'Assumptions &amp; Inputs'!$F$77*'Assumptions &amp; Inputs'!$F$87</f>
        <v>400</v>
      </c>
      <c r="P115" s="66">
        <f>'Assumptions &amp; Inputs'!$F$77*'Assumptions &amp; Inputs'!$F$87</f>
        <v>400</v>
      </c>
      <c r="Q115" s="66">
        <f>'Assumptions &amp; Inputs'!$F$77*'Assumptions &amp; Inputs'!$F$87</f>
        <v>400</v>
      </c>
      <c r="R115" s="66">
        <f>'Assumptions &amp; Inputs'!$F$77*'Assumptions &amp; Inputs'!$F$87</f>
        <v>400</v>
      </c>
      <c r="S115" s="66">
        <f>'Assumptions &amp; Inputs'!$F$77*'Assumptions &amp; Inputs'!$F$87</f>
        <v>400</v>
      </c>
      <c r="T115" s="66">
        <f>'Assumptions &amp; Inputs'!$F$77*'Assumptions &amp; Inputs'!$F$87</f>
        <v>400</v>
      </c>
      <c r="U115" s="66">
        <f>'Assumptions &amp; Inputs'!$F$77*'Assumptions &amp; Inputs'!$F$87</f>
        <v>400</v>
      </c>
      <c r="V115" s="66">
        <f>'Assumptions &amp; Inputs'!$F$77*'Assumptions &amp; Inputs'!$F$87</f>
        <v>400</v>
      </c>
      <c r="W115" s="66">
        <f>'Assumptions &amp; Inputs'!$F$77*'Assumptions &amp; Inputs'!$F$87</f>
        <v>400</v>
      </c>
      <c r="X115" s="66">
        <f>'Assumptions &amp; Inputs'!$F$77*'Assumptions &amp; Inputs'!$F$87</f>
        <v>400</v>
      </c>
      <c r="Y115" s="66">
        <f>'Assumptions &amp; Inputs'!$F$77*'Assumptions &amp; Inputs'!$F$87</f>
        <v>400</v>
      </c>
      <c r="Z115" s="66">
        <f>'Assumptions &amp; Inputs'!$F$77*'Assumptions &amp; Inputs'!$F$87</f>
        <v>400</v>
      </c>
      <c r="AA115" s="66">
        <f>'Assumptions &amp; Inputs'!$F$77*'Assumptions &amp; Inputs'!$F$87</f>
        <v>400</v>
      </c>
      <c r="AB115" s="66">
        <f>'Assumptions &amp; Inputs'!$F$77*'Assumptions &amp; Inputs'!$F$87</f>
        <v>400</v>
      </c>
      <c r="AC115" s="66">
        <f>'Assumptions &amp; Inputs'!$F$77*'Assumptions &amp; Inputs'!$F$87</f>
        <v>400</v>
      </c>
      <c r="AD115" s="66">
        <f>'Assumptions &amp; Inputs'!$F$77*'Assumptions &amp; Inputs'!$F$87</f>
        <v>400</v>
      </c>
      <c r="AE115" s="66">
        <f>'Assumptions &amp; Inputs'!$F$77*'Assumptions &amp; Inputs'!$F$87</f>
        <v>400</v>
      </c>
      <c r="AF115" s="66">
        <f>'Assumptions &amp; Inputs'!$F$77*'Assumptions &amp; Inputs'!$F$87</f>
        <v>400</v>
      </c>
      <c r="AG115" s="66">
        <f>'Assumptions &amp; Inputs'!$F$77*'Assumptions &amp; Inputs'!$F$87</f>
        <v>400</v>
      </c>
      <c r="AH115" s="66">
        <f>'Assumptions &amp; Inputs'!$F$77*'Assumptions &amp; Inputs'!$F$87</f>
        <v>400</v>
      </c>
      <c r="AI115" s="66">
        <f>'Assumptions &amp; Inputs'!$F$77*'Assumptions &amp; Inputs'!$F$87</f>
        <v>400</v>
      </c>
      <c r="AJ115" s="66">
        <f>'Assumptions &amp; Inputs'!$F$77*'Assumptions &amp; Inputs'!$F$87</f>
        <v>400</v>
      </c>
      <c r="AK115" s="66">
        <f>'Assumptions &amp; Inputs'!$F$77*'Assumptions &amp; Inputs'!$F$87</f>
        <v>400</v>
      </c>
      <c r="AL115" s="66">
        <f>'Assumptions &amp; Inputs'!$F$77*'Assumptions &amp; Inputs'!$F$87</f>
        <v>400</v>
      </c>
      <c r="AM115" s="66">
        <f>'Assumptions &amp; Inputs'!$F$77*'Assumptions &amp; Inputs'!$F$87</f>
        <v>400</v>
      </c>
      <c r="AN115" s="66">
        <f>'Assumptions &amp; Inputs'!$F$77*'Assumptions &amp; Inputs'!$F$87</f>
        <v>400</v>
      </c>
      <c r="AO115" s="66">
        <f>'Assumptions &amp; Inputs'!$F$77*'Assumptions &amp; Inputs'!$F$87</f>
        <v>400</v>
      </c>
      <c r="AP115" s="66">
        <f>'Assumptions &amp; Inputs'!$F$77*'Assumptions &amp; Inputs'!$F$87</f>
        <v>400</v>
      </c>
      <c r="AQ115" s="66">
        <f>'Assumptions &amp; Inputs'!$F$77*'Assumptions &amp; Inputs'!$F$87</f>
        <v>400</v>
      </c>
      <c r="AR115" s="66">
        <f>'Assumptions &amp; Inputs'!$F$77*'Assumptions &amp; Inputs'!$F$87</f>
        <v>400</v>
      </c>
      <c r="AS115" s="66">
        <f>'Assumptions &amp; Inputs'!$F$77*'Assumptions &amp; Inputs'!$F$87</f>
        <v>400</v>
      </c>
      <c r="AT115" s="66">
        <f>'Assumptions &amp; Inputs'!$F$77*'Assumptions &amp; Inputs'!$F$87</f>
        <v>400</v>
      </c>
      <c r="AU115" s="66">
        <f>'Assumptions &amp; Inputs'!$F$77*'Assumptions &amp; Inputs'!$F$87</f>
        <v>400</v>
      </c>
      <c r="AV115" s="66">
        <f>'Assumptions &amp; Inputs'!$F$77*'Assumptions &amp; Inputs'!$F$87</f>
        <v>400</v>
      </c>
      <c r="AW115" s="66">
        <f>'Assumptions &amp; Inputs'!$F$77*'Assumptions &amp; Inputs'!$F$87</f>
        <v>400</v>
      </c>
    </row>
    <row r="116" spans="3:49" ht="14.25" customHeight="1">
      <c r="C116" s="44" t="s">
        <v>511</v>
      </c>
      <c r="D116" s="66">
        <f>IF(AND(D11=0,D13&lt;&gt;0),0,IF(YEAR('Assumptions &amp; Inputs'!$F$31)&gt;D110,0,IF(D110=YEAR('Assumptions &amp; Inputs'!$F$31),D115*'Assumptions &amp; Inputs'!$F$92*'Assumptions &amp; Inputs'!$F$89*'Assumptions &amp; Inputs'!$F$90*'Assumptions &amp; Inputs'!$F$91*YEARFRAC('Assumptions &amp; Inputs'!$F$31,'Assumptions &amp; Inputs'!$F$32),IF(YEAR('Assumptions &amp; Inputs'!$F$36)&gt;=D110,D115*'Assumptions &amp; Inputs'!$F$92*'Assumptions &amp; Inputs'!$F$89*'Assumptions &amp; Inputs'!$F$90*'Assumptions &amp; Inputs'!$F$91,0)))*(1-'Assumptions &amp; Inputs'!$F$95))</f>
        <v>0</v>
      </c>
      <c r="E116" s="66">
        <f>IF(AND(E11=0,E13&lt;&gt;0),0,IF(YEAR('Assumptions &amp; Inputs'!$F$31)&gt;E110,0,IF(E110=YEAR('Assumptions &amp; Inputs'!$F$31),E115*'Assumptions &amp; Inputs'!$F$92*'Assumptions &amp; Inputs'!$F$89*'Assumptions &amp; Inputs'!$F$90*'Assumptions &amp; Inputs'!$F$91*YEARFRAC('Assumptions &amp; Inputs'!$F$31,'Assumptions &amp; Inputs'!$F$32),IF(YEAR('Assumptions &amp; Inputs'!$F$36)&gt;=E110,E115*'Assumptions &amp; Inputs'!$F$92*'Assumptions &amp; Inputs'!$F$89*'Assumptions &amp; Inputs'!$F$90*'Assumptions &amp; Inputs'!$F$91,0)))*(1-'Assumptions &amp; Inputs'!$F$95))</f>
        <v>88962.222222222219</v>
      </c>
      <c r="F116" s="66">
        <f>IF(AND(F11=0,F13&lt;&gt;0),0,IF(YEAR('Assumptions &amp; Inputs'!$F$31)&gt;F110,0,IF(F110=YEAR('Assumptions &amp; Inputs'!$F$31),F115*'Assumptions &amp; Inputs'!$F$92*'Assumptions &amp; Inputs'!$F$89*'Assumptions &amp; Inputs'!$F$90*'Assumptions &amp; Inputs'!$F$91*YEARFRAC('Assumptions &amp; Inputs'!$F$31,'Assumptions &amp; Inputs'!$F$32),IF(YEAR('Assumptions &amp; Inputs'!$F$36)&gt;=F110,F115*'Assumptions &amp; Inputs'!$F$92*'Assumptions &amp; Inputs'!$F$89*'Assumptions &amp; Inputs'!$F$90*'Assumptions &amp; Inputs'!$F$91,0)))*(1-'Assumptions &amp; Inputs'!$F$95))</f>
        <v>106400</v>
      </c>
      <c r="G116" s="66">
        <f>IF(AND(G11=0,G13&lt;&gt;0),0,IF(YEAR('Assumptions &amp; Inputs'!$F$31)&gt;G110,0,IF(G110=YEAR('Assumptions &amp; Inputs'!$F$31),G115*'Assumptions &amp; Inputs'!$F$92*'Assumptions &amp; Inputs'!$F$89*'Assumptions &amp; Inputs'!$F$90*'Assumptions &amp; Inputs'!$F$91*YEARFRAC('Assumptions &amp; Inputs'!$F$31,'Assumptions &amp; Inputs'!$F$32),IF(YEAR('Assumptions &amp; Inputs'!$F$36)&gt;=G110,G115*'Assumptions &amp; Inputs'!$F$92*'Assumptions &amp; Inputs'!$F$89*'Assumptions &amp; Inputs'!$F$90*'Assumptions &amp; Inputs'!$F$91,0)))*(1-'Assumptions &amp; Inputs'!$F$95))</f>
        <v>106400</v>
      </c>
      <c r="H116" s="66">
        <f>IF(AND(H11=0,H13&lt;&gt;0),0,IF(YEAR('Assumptions &amp; Inputs'!$F$31)&gt;H110,0,IF(H110=YEAR('Assumptions &amp; Inputs'!$F$31),H115*'Assumptions &amp; Inputs'!$F$92*'Assumptions &amp; Inputs'!$F$89*'Assumptions &amp; Inputs'!$F$90*'Assumptions &amp; Inputs'!$F$91*YEARFRAC('Assumptions &amp; Inputs'!$F$31,'Assumptions &amp; Inputs'!$F$32),IF(YEAR('Assumptions &amp; Inputs'!$F$36)&gt;=H110,H115*'Assumptions &amp; Inputs'!$F$92*'Assumptions &amp; Inputs'!$F$89*'Assumptions &amp; Inputs'!$F$90*'Assumptions &amp; Inputs'!$F$91,0)))*(1-'Assumptions &amp; Inputs'!$F$95))</f>
        <v>106400</v>
      </c>
      <c r="I116" s="66">
        <f>IF(AND(I11=0,I13&lt;&gt;0),0,IF(YEAR('Assumptions &amp; Inputs'!$F$31)&gt;I110,0,IF(I110=YEAR('Assumptions &amp; Inputs'!$F$31),I115*'Assumptions &amp; Inputs'!$F$92*'Assumptions &amp; Inputs'!$F$89*'Assumptions &amp; Inputs'!$F$90*'Assumptions &amp; Inputs'!$F$91*YEARFRAC('Assumptions &amp; Inputs'!$F$31,'Assumptions &amp; Inputs'!$F$32),IF(YEAR('Assumptions &amp; Inputs'!$F$36)&gt;=I110,I115*'Assumptions &amp; Inputs'!$F$92*'Assumptions &amp; Inputs'!$F$89*'Assumptions &amp; Inputs'!$F$90*'Assumptions &amp; Inputs'!$F$91,0)))*(1-'Assumptions &amp; Inputs'!$F$95))</f>
        <v>106400</v>
      </c>
      <c r="J116" s="66">
        <f>IF(AND(J11=0,J13&lt;&gt;0),0,IF(YEAR('Assumptions &amp; Inputs'!$F$31)&gt;J110,0,IF(J110=YEAR('Assumptions &amp; Inputs'!$F$31),J115*'Assumptions &amp; Inputs'!$F$92*'Assumptions &amp; Inputs'!$F$89*'Assumptions &amp; Inputs'!$F$90*'Assumptions &amp; Inputs'!$F$91*YEARFRAC('Assumptions &amp; Inputs'!$F$31,'Assumptions &amp; Inputs'!$F$32),IF(YEAR('Assumptions &amp; Inputs'!$F$36)&gt;=J110,J115*'Assumptions &amp; Inputs'!$F$92*'Assumptions &amp; Inputs'!$F$89*'Assumptions &amp; Inputs'!$F$90*'Assumptions &amp; Inputs'!$F$91,0)))*(1-'Assumptions &amp; Inputs'!$F$95))</f>
        <v>106400</v>
      </c>
      <c r="K116" s="66">
        <f>IF(AND(K11=0,K13&lt;&gt;0),0,IF(YEAR('Assumptions &amp; Inputs'!$F$31)&gt;K110,0,IF(K110=YEAR('Assumptions &amp; Inputs'!$F$31),K115*'Assumptions &amp; Inputs'!$F$92*'Assumptions &amp; Inputs'!$F$89*'Assumptions &amp; Inputs'!$F$90*'Assumptions &amp; Inputs'!$F$91*YEARFRAC('Assumptions &amp; Inputs'!$F$31,'Assumptions &amp; Inputs'!$F$32),IF(YEAR('Assumptions &amp; Inputs'!$F$36)&gt;=K110,K115*'Assumptions &amp; Inputs'!$F$92*'Assumptions &amp; Inputs'!$F$89*'Assumptions &amp; Inputs'!$F$90*'Assumptions &amp; Inputs'!$F$91,0)))*(1-'Assumptions &amp; Inputs'!$F$95))</f>
        <v>106400</v>
      </c>
      <c r="L116" s="66">
        <f>IF(AND(L11=0,L13&lt;&gt;0),0,IF(YEAR('Assumptions &amp; Inputs'!$F$31)&gt;L110,0,IF(L110=YEAR('Assumptions &amp; Inputs'!$F$31),L115*'Assumptions &amp; Inputs'!$F$92*'Assumptions &amp; Inputs'!$F$89*'Assumptions &amp; Inputs'!$F$90*'Assumptions &amp; Inputs'!$F$91*YEARFRAC('Assumptions &amp; Inputs'!$F$31,'Assumptions &amp; Inputs'!$F$32),IF(YEAR('Assumptions &amp; Inputs'!$F$36)&gt;=L110,L115*'Assumptions &amp; Inputs'!$F$92*'Assumptions &amp; Inputs'!$F$89*'Assumptions &amp; Inputs'!$F$90*'Assumptions &amp; Inputs'!$F$91,0)))*(1-'Assumptions &amp; Inputs'!$F$95))</f>
        <v>106400</v>
      </c>
      <c r="M116" s="66">
        <f>IF(AND(M11=0,M13&lt;&gt;0),0,IF(YEAR('Assumptions &amp; Inputs'!$F$31)&gt;M110,0,IF(M110=YEAR('Assumptions &amp; Inputs'!$F$31),M115*'Assumptions &amp; Inputs'!$F$92*'Assumptions &amp; Inputs'!$F$89*'Assumptions &amp; Inputs'!$F$90*'Assumptions &amp; Inputs'!$F$91*YEARFRAC('Assumptions &amp; Inputs'!$F$31,'Assumptions &amp; Inputs'!$F$32),IF(YEAR('Assumptions &amp; Inputs'!$F$36)&gt;=M110,M115*'Assumptions &amp; Inputs'!$F$92*'Assumptions &amp; Inputs'!$F$89*'Assumptions &amp; Inputs'!$F$90*'Assumptions &amp; Inputs'!$F$91,0)))*(1-'Assumptions &amp; Inputs'!$F$95))</f>
        <v>106400</v>
      </c>
      <c r="N116" s="66">
        <f>IF(AND(N11=0,N13&lt;&gt;0),0,IF(YEAR('Assumptions &amp; Inputs'!$F$31)&gt;N110,0,IF(N110=YEAR('Assumptions &amp; Inputs'!$F$31),N115*'Assumptions &amp; Inputs'!$F$92*'Assumptions &amp; Inputs'!$F$89*'Assumptions &amp; Inputs'!$F$90*'Assumptions &amp; Inputs'!$F$91*YEARFRAC('Assumptions &amp; Inputs'!$F$31,'Assumptions &amp; Inputs'!$F$32),IF(YEAR('Assumptions &amp; Inputs'!$F$36)&gt;=N110,N115*'Assumptions &amp; Inputs'!$F$92*'Assumptions &amp; Inputs'!$F$89*'Assumptions &amp; Inputs'!$F$90*'Assumptions &amp; Inputs'!$F$91,0)))*(1-'Assumptions &amp; Inputs'!$F$95))</f>
        <v>106400</v>
      </c>
      <c r="O116" s="66">
        <f>IF(AND(O11=0,O13&lt;&gt;0),0,IF(YEAR('Assumptions &amp; Inputs'!$F$31)&gt;O110,0,IF(O110=YEAR('Assumptions &amp; Inputs'!$F$31),O115*'Assumptions &amp; Inputs'!$F$92*'Assumptions &amp; Inputs'!$F$89*'Assumptions &amp; Inputs'!$F$90*'Assumptions &amp; Inputs'!$F$91*YEARFRAC('Assumptions &amp; Inputs'!$F$31,'Assumptions &amp; Inputs'!$F$32),IF(YEAR('Assumptions &amp; Inputs'!$F$36)&gt;=O110,O115*'Assumptions &amp; Inputs'!$F$92*'Assumptions &amp; Inputs'!$F$89*'Assumptions &amp; Inputs'!$F$90*'Assumptions &amp; Inputs'!$F$91,0)))*(1-'Assumptions &amp; Inputs'!$F$95))</f>
        <v>106400</v>
      </c>
      <c r="P116" s="66">
        <f>IF(AND(P11=0,P13&lt;&gt;0),0,IF(YEAR('Assumptions &amp; Inputs'!$F$31)&gt;P110,0,IF(P110=YEAR('Assumptions &amp; Inputs'!$F$31),P115*'Assumptions &amp; Inputs'!$F$92*'Assumptions &amp; Inputs'!$F$89*'Assumptions &amp; Inputs'!$F$90*'Assumptions &amp; Inputs'!$F$91*YEARFRAC('Assumptions &amp; Inputs'!$F$31,'Assumptions &amp; Inputs'!$F$32),IF(YEAR('Assumptions &amp; Inputs'!$F$36)&gt;=P110,P115*'Assumptions &amp; Inputs'!$F$92*'Assumptions &amp; Inputs'!$F$89*'Assumptions &amp; Inputs'!$F$90*'Assumptions &amp; Inputs'!$F$91,0)))*(1-'Assumptions &amp; Inputs'!$F$95))</f>
        <v>106400</v>
      </c>
      <c r="Q116" s="66">
        <f>IF(AND(Q11=0,Q13&lt;&gt;0),0,IF(YEAR('Assumptions &amp; Inputs'!$F$31)&gt;Q110,0,IF(Q110=YEAR('Assumptions &amp; Inputs'!$F$31),Q115*'Assumptions &amp; Inputs'!$F$92*'Assumptions &amp; Inputs'!$F$89*'Assumptions &amp; Inputs'!$F$90*'Assumptions &amp; Inputs'!$F$91*YEARFRAC('Assumptions &amp; Inputs'!$F$31,'Assumptions &amp; Inputs'!$F$32),IF(YEAR('Assumptions &amp; Inputs'!$F$36)&gt;=Q110,Q115*'Assumptions &amp; Inputs'!$F$92*'Assumptions &amp; Inputs'!$F$89*'Assumptions &amp; Inputs'!$F$90*'Assumptions &amp; Inputs'!$F$91,0)))*(1-'Assumptions &amp; Inputs'!$F$95))</f>
        <v>106400</v>
      </c>
      <c r="R116" s="66">
        <f>IF(AND(R11=0,R13&lt;&gt;0),0,IF(YEAR('Assumptions &amp; Inputs'!$F$31)&gt;R110,0,IF(R110=YEAR('Assumptions &amp; Inputs'!$F$31),R115*'Assumptions &amp; Inputs'!$F$92*'Assumptions &amp; Inputs'!$F$89*'Assumptions &amp; Inputs'!$F$90*'Assumptions &amp; Inputs'!$F$91*YEARFRAC('Assumptions &amp; Inputs'!$F$31,'Assumptions &amp; Inputs'!$F$32),IF(YEAR('Assumptions &amp; Inputs'!$F$36)&gt;=R110,R115*'Assumptions &amp; Inputs'!$F$92*'Assumptions &amp; Inputs'!$F$89*'Assumptions &amp; Inputs'!$F$90*'Assumptions &amp; Inputs'!$F$91,0)))*(1-'Assumptions &amp; Inputs'!$F$95))</f>
        <v>106400</v>
      </c>
      <c r="S116" s="66">
        <f>IF(AND(S11=0,S13&lt;&gt;0),0,IF(YEAR('Assumptions &amp; Inputs'!$F$31)&gt;S110,0,IF(S110=YEAR('Assumptions &amp; Inputs'!$F$31),S115*'Assumptions &amp; Inputs'!$F$92*'Assumptions &amp; Inputs'!$F$89*'Assumptions &amp; Inputs'!$F$90*'Assumptions &amp; Inputs'!$F$91*YEARFRAC('Assumptions &amp; Inputs'!$F$31,'Assumptions &amp; Inputs'!$F$32),IF(YEAR('Assumptions &amp; Inputs'!$F$36)&gt;=S110,S115*'Assumptions &amp; Inputs'!$F$92*'Assumptions &amp; Inputs'!$F$89*'Assumptions &amp; Inputs'!$F$90*'Assumptions &amp; Inputs'!$F$91,0)))*(1-'Assumptions &amp; Inputs'!$F$95))</f>
        <v>106400</v>
      </c>
      <c r="T116" s="66">
        <f>IF(AND(T11=0,T13&lt;&gt;0),0,IF(YEAR('Assumptions &amp; Inputs'!$F$31)&gt;T110,0,IF(T110=YEAR('Assumptions &amp; Inputs'!$F$31),T115*'Assumptions &amp; Inputs'!$F$92*'Assumptions &amp; Inputs'!$F$89*'Assumptions &amp; Inputs'!$F$90*'Assumptions &amp; Inputs'!$F$91*YEARFRAC('Assumptions &amp; Inputs'!$F$31,'Assumptions &amp; Inputs'!$F$32),IF(YEAR('Assumptions &amp; Inputs'!$F$36)&gt;=T110,T115*'Assumptions &amp; Inputs'!$F$92*'Assumptions &amp; Inputs'!$F$89*'Assumptions &amp; Inputs'!$F$90*'Assumptions &amp; Inputs'!$F$91,0)))*(1-'Assumptions &amp; Inputs'!$F$95))</f>
        <v>106400</v>
      </c>
      <c r="U116" s="66">
        <f>IF(AND(U11=0,U13&lt;&gt;0),0,IF(YEAR('Assumptions &amp; Inputs'!$F$31)&gt;U110,0,IF(U110=YEAR('Assumptions &amp; Inputs'!$F$31),U115*'Assumptions &amp; Inputs'!$F$92*'Assumptions &amp; Inputs'!$F$89*'Assumptions &amp; Inputs'!$F$90*'Assumptions &amp; Inputs'!$F$91*YEARFRAC('Assumptions &amp; Inputs'!$F$31,'Assumptions &amp; Inputs'!$F$32),IF(YEAR('Assumptions &amp; Inputs'!$F$36)&gt;=U110,U115*'Assumptions &amp; Inputs'!$F$92*'Assumptions &amp; Inputs'!$F$89*'Assumptions &amp; Inputs'!$F$90*'Assumptions &amp; Inputs'!$F$91,0)))*(1-'Assumptions &amp; Inputs'!$F$95))</f>
        <v>106400</v>
      </c>
      <c r="V116" s="66">
        <f>IF(AND(V11=0,V13&lt;&gt;0),0,IF(YEAR('Assumptions &amp; Inputs'!$F$31)&gt;V110,0,IF(V110=YEAR('Assumptions &amp; Inputs'!$F$31),V115*'Assumptions &amp; Inputs'!$F$92*'Assumptions &amp; Inputs'!$F$89*'Assumptions &amp; Inputs'!$F$90*'Assumptions &amp; Inputs'!$F$91*YEARFRAC('Assumptions &amp; Inputs'!$F$31,'Assumptions &amp; Inputs'!$F$32),IF(YEAR('Assumptions &amp; Inputs'!$F$36)&gt;=V110,V115*'Assumptions &amp; Inputs'!$F$92*'Assumptions &amp; Inputs'!$F$89*'Assumptions &amp; Inputs'!$F$90*'Assumptions &amp; Inputs'!$F$91,0)))*(1-'Assumptions &amp; Inputs'!$F$95))</f>
        <v>106400</v>
      </c>
      <c r="W116" s="66">
        <f>IF(AND(W11=0,W13&lt;&gt;0),0,IF(YEAR('Assumptions &amp; Inputs'!$F$31)&gt;W110,0,IF(W110=YEAR('Assumptions &amp; Inputs'!$F$31),W115*'Assumptions &amp; Inputs'!$F$92*'Assumptions &amp; Inputs'!$F$89*'Assumptions &amp; Inputs'!$F$90*'Assumptions &amp; Inputs'!$F$91*YEARFRAC('Assumptions &amp; Inputs'!$F$31,'Assumptions &amp; Inputs'!$F$32),IF(YEAR('Assumptions &amp; Inputs'!$F$36)&gt;=W110,W115*'Assumptions &amp; Inputs'!$F$92*'Assumptions &amp; Inputs'!$F$89*'Assumptions &amp; Inputs'!$F$90*'Assumptions &amp; Inputs'!$F$91,0)))*(1-'Assumptions &amp; Inputs'!$F$95))</f>
        <v>106400</v>
      </c>
      <c r="X116" s="66">
        <f>IF(AND(X11=0,X13&lt;&gt;0),0,IF(YEAR('Assumptions &amp; Inputs'!$F$31)&gt;X110,0,IF(X110=YEAR('Assumptions &amp; Inputs'!$F$31),X115*'Assumptions &amp; Inputs'!$F$92*'Assumptions &amp; Inputs'!$F$89*'Assumptions &amp; Inputs'!$F$90*'Assumptions &amp; Inputs'!$F$91*YEARFRAC('Assumptions &amp; Inputs'!$F$31,'Assumptions &amp; Inputs'!$F$32),IF(YEAR('Assumptions &amp; Inputs'!$F$36)&gt;=X110,X115*'Assumptions &amp; Inputs'!$F$92*'Assumptions &amp; Inputs'!$F$89*'Assumptions &amp; Inputs'!$F$90*'Assumptions &amp; Inputs'!$F$91,0)))*(1-'Assumptions &amp; Inputs'!$F$95))</f>
        <v>106400</v>
      </c>
      <c r="Y116" s="66">
        <f>IF(AND(Y11=0,Y13&lt;&gt;0),0,IF(YEAR('Assumptions &amp; Inputs'!$F$31)&gt;Y110,0,IF(Y110=YEAR('Assumptions &amp; Inputs'!$F$31),Y115*'Assumptions &amp; Inputs'!$F$92*'Assumptions &amp; Inputs'!$F$89*'Assumptions &amp; Inputs'!$F$90*'Assumptions &amp; Inputs'!$F$91*YEARFRAC('Assumptions &amp; Inputs'!$F$31,'Assumptions &amp; Inputs'!$F$32),IF(YEAR('Assumptions &amp; Inputs'!$F$36)&gt;=Y110,Y115*'Assumptions &amp; Inputs'!$F$92*'Assumptions &amp; Inputs'!$F$89*'Assumptions &amp; Inputs'!$F$90*'Assumptions &amp; Inputs'!$F$91,0)))*(1-'Assumptions &amp; Inputs'!$F$95))</f>
        <v>106400</v>
      </c>
      <c r="Z116" s="66">
        <f>IF(AND(Z11=0,Z13&lt;&gt;0),0,IF(YEAR('Assumptions &amp; Inputs'!$F$31)&gt;Z110,0,IF(Z110=YEAR('Assumptions &amp; Inputs'!$F$31),Z115*'Assumptions &amp; Inputs'!$F$92*'Assumptions &amp; Inputs'!$F$89*'Assumptions &amp; Inputs'!$F$90*'Assumptions &amp; Inputs'!$F$91*YEARFRAC('Assumptions &amp; Inputs'!$F$31,'Assumptions &amp; Inputs'!$F$32),IF(YEAR('Assumptions &amp; Inputs'!$F$36)&gt;=Z110,Z115*'Assumptions &amp; Inputs'!$F$92*'Assumptions &amp; Inputs'!$F$89*'Assumptions &amp; Inputs'!$F$90*'Assumptions &amp; Inputs'!$F$91,0)))*(1-'Assumptions &amp; Inputs'!$F$95))</f>
        <v>106400</v>
      </c>
      <c r="AA116" s="66">
        <f>IF(AND(AA11=0,AA13&lt;&gt;0),0,IF(YEAR('Assumptions &amp; Inputs'!$F$31)&gt;AA110,0,IF(AA110=YEAR('Assumptions &amp; Inputs'!$F$31),AA115*'Assumptions &amp; Inputs'!$F$92*'Assumptions &amp; Inputs'!$F$89*'Assumptions &amp; Inputs'!$F$90*'Assumptions &amp; Inputs'!$F$91*YEARFRAC('Assumptions &amp; Inputs'!$F$31,'Assumptions &amp; Inputs'!$F$32),IF(YEAR('Assumptions &amp; Inputs'!$F$36)&gt;=AA110,AA115*'Assumptions &amp; Inputs'!$F$92*'Assumptions &amp; Inputs'!$F$89*'Assumptions &amp; Inputs'!$F$90*'Assumptions &amp; Inputs'!$F$91,0)))*(1-'Assumptions &amp; Inputs'!$F$95))</f>
        <v>106400</v>
      </c>
      <c r="AB116" s="66">
        <f>IF(AND(AB11=0,AB13&lt;&gt;0),0,IF(YEAR('Assumptions &amp; Inputs'!$F$31)&gt;AB110,0,IF(AB110=YEAR('Assumptions &amp; Inputs'!$F$31),AB115*'Assumptions &amp; Inputs'!$F$92*'Assumptions &amp; Inputs'!$F$89*'Assumptions &amp; Inputs'!$F$90*'Assumptions &amp; Inputs'!$F$91*YEARFRAC('Assumptions &amp; Inputs'!$F$31,'Assumptions &amp; Inputs'!$F$32),IF(YEAR('Assumptions &amp; Inputs'!$F$36)&gt;=AB110,AB115*'Assumptions &amp; Inputs'!$F$92*'Assumptions &amp; Inputs'!$F$89*'Assumptions &amp; Inputs'!$F$90*'Assumptions &amp; Inputs'!$F$91,0)))*(1-'Assumptions &amp; Inputs'!$F$95))</f>
        <v>106400</v>
      </c>
      <c r="AC116" s="66">
        <f>IF(AND(AC11=0,AC13&lt;&gt;0),0,IF(YEAR('Assumptions &amp; Inputs'!$F$31)&gt;AC110,0,IF(AC110=YEAR('Assumptions &amp; Inputs'!$F$31),AC115*'Assumptions &amp; Inputs'!$F$92*'Assumptions &amp; Inputs'!$F$89*'Assumptions &amp; Inputs'!$F$90*'Assumptions &amp; Inputs'!$F$91*YEARFRAC('Assumptions &amp; Inputs'!$F$31,'Assumptions &amp; Inputs'!$F$32),IF(YEAR('Assumptions &amp; Inputs'!$F$36)&gt;=AC110,AC115*'Assumptions &amp; Inputs'!$F$92*'Assumptions &amp; Inputs'!$F$89*'Assumptions &amp; Inputs'!$F$90*'Assumptions &amp; Inputs'!$F$91,0)))*(1-'Assumptions &amp; Inputs'!$F$95))</f>
        <v>106400</v>
      </c>
      <c r="AD116" s="66">
        <f>IF(AND(AD11=0,AD13&lt;&gt;0),0,IF(YEAR('Assumptions &amp; Inputs'!$F$31)&gt;AD110,0,IF(AD110=YEAR('Assumptions &amp; Inputs'!$F$31),AD115*'Assumptions &amp; Inputs'!$F$92*'Assumptions &amp; Inputs'!$F$89*'Assumptions &amp; Inputs'!$F$90*'Assumptions &amp; Inputs'!$F$91*YEARFRAC('Assumptions &amp; Inputs'!$F$31,'Assumptions &amp; Inputs'!$F$32),IF(YEAR('Assumptions &amp; Inputs'!$F$36)&gt;=AD110,AD115*'Assumptions &amp; Inputs'!$F$92*'Assumptions &amp; Inputs'!$F$89*'Assumptions &amp; Inputs'!$F$90*'Assumptions &amp; Inputs'!$F$91,0)))*(1-'Assumptions &amp; Inputs'!$F$95))</f>
        <v>106400</v>
      </c>
      <c r="AE116" s="66">
        <f>IF(AND(AE11=0,AE13&lt;&gt;0),0,IF(YEAR('Assumptions &amp; Inputs'!$F$31)&gt;AE110,0,IF(AE110=YEAR('Assumptions &amp; Inputs'!$F$31),AE115*'Assumptions &amp; Inputs'!$F$92*'Assumptions &amp; Inputs'!$F$89*'Assumptions &amp; Inputs'!$F$90*'Assumptions &amp; Inputs'!$F$91*YEARFRAC('Assumptions &amp; Inputs'!$F$31,'Assumptions &amp; Inputs'!$F$32),IF(YEAR('Assumptions &amp; Inputs'!$F$36)&gt;=AE110,AE115*'Assumptions &amp; Inputs'!$F$92*'Assumptions &amp; Inputs'!$F$89*'Assumptions &amp; Inputs'!$F$90*'Assumptions &amp; Inputs'!$F$91,0)))*(1-'Assumptions &amp; Inputs'!$F$95))</f>
        <v>0</v>
      </c>
      <c r="AF116" s="66">
        <f>IF(AND(AF11=0,AF13&lt;&gt;0),0,IF(YEAR('Assumptions &amp; Inputs'!$F$31)&gt;AF110,0,IF(AF110=YEAR('Assumptions &amp; Inputs'!$F$31),AF115*'Assumptions &amp; Inputs'!$F$92*'Assumptions &amp; Inputs'!$F$89*'Assumptions &amp; Inputs'!$F$90*'Assumptions &amp; Inputs'!$F$91*YEARFRAC('Assumptions &amp; Inputs'!$F$31,'Assumptions &amp; Inputs'!$F$32),IF(YEAR('Assumptions &amp; Inputs'!$F$36)&gt;=AF110,AF115*'Assumptions &amp; Inputs'!$F$92*'Assumptions &amp; Inputs'!$F$89*'Assumptions &amp; Inputs'!$F$90*'Assumptions &amp; Inputs'!$F$91,0)))*(1-'Assumptions &amp; Inputs'!$F$95))</f>
        <v>0</v>
      </c>
      <c r="AG116" s="66">
        <f>IF(AND(AG11=0,AG13&lt;&gt;0),0,IF(YEAR('Assumptions &amp; Inputs'!$F$31)&gt;AG110,0,IF(AG110=YEAR('Assumptions &amp; Inputs'!$F$31),AG115*'Assumptions &amp; Inputs'!$F$92*'Assumptions &amp; Inputs'!$F$89*'Assumptions &amp; Inputs'!$F$90*'Assumptions &amp; Inputs'!$F$91*YEARFRAC('Assumptions &amp; Inputs'!$F$31,'Assumptions &amp; Inputs'!$F$32),IF(YEAR('Assumptions &amp; Inputs'!$F$36)&gt;=AG110,AG115*'Assumptions &amp; Inputs'!$F$92*'Assumptions &amp; Inputs'!$F$89*'Assumptions &amp; Inputs'!$F$90*'Assumptions &amp; Inputs'!$F$91,0)))*(1-'Assumptions &amp; Inputs'!$F$95))</f>
        <v>0</v>
      </c>
      <c r="AH116" s="66">
        <f>IF(AND(AH11=0,AH13&lt;&gt;0),0,IF(YEAR('Assumptions &amp; Inputs'!$F$31)&gt;AH110,0,IF(AH110=YEAR('Assumptions &amp; Inputs'!$F$31),AH115*'Assumptions &amp; Inputs'!$F$92*'Assumptions &amp; Inputs'!$F$89*'Assumptions &amp; Inputs'!$F$90*'Assumptions &amp; Inputs'!$F$91*YEARFRAC('Assumptions &amp; Inputs'!$F$31,'Assumptions &amp; Inputs'!$F$32),IF(YEAR('Assumptions &amp; Inputs'!$F$36)&gt;=AH110,AH115*'Assumptions &amp; Inputs'!$F$92*'Assumptions &amp; Inputs'!$F$89*'Assumptions &amp; Inputs'!$F$90*'Assumptions &amp; Inputs'!$F$91,0)))*(1-'Assumptions &amp; Inputs'!$F$95))</f>
        <v>0</v>
      </c>
      <c r="AI116" s="66">
        <f>IF(AND(AI11=0,AI13&lt;&gt;0),0,IF(YEAR('Assumptions &amp; Inputs'!$F$31)&gt;AI110,0,IF(AI110=YEAR('Assumptions &amp; Inputs'!$F$31),AI115*'Assumptions &amp; Inputs'!$F$92*'Assumptions &amp; Inputs'!$F$89*'Assumptions &amp; Inputs'!$F$90*'Assumptions &amp; Inputs'!$F$91*YEARFRAC('Assumptions &amp; Inputs'!$F$31,'Assumptions &amp; Inputs'!$F$32),IF(YEAR('Assumptions &amp; Inputs'!$F$36)&gt;=AI110,AI115*'Assumptions &amp; Inputs'!$F$92*'Assumptions &amp; Inputs'!$F$89*'Assumptions &amp; Inputs'!$F$90*'Assumptions &amp; Inputs'!$F$91,0)))*(1-'Assumptions &amp; Inputs'!$F$95))</f>
        <v>0</v>
      </c>
      <c r="AJ116" s="66">
        <f>IF(AND(AJ11=0,AJ13&lt;&gt;0),0,IF(YEAR('Assumptions &amp; Inputs'!$F$31)&gt;AJ110,0,IF(AJ110=YEAR('Assumptions &amp; Inputs'!$F$31),AJ115*'Assumptions &amp; Inputs'!$F$92*'Assumptions &amp; Inputs'!$F$89*'Assumptions &amp; Inputs'!$F$90*'Assumptions &amp; Inputs'!$F$91*YEARFRAC('Assumptions &amp; Inputs'!$F$31,'Assumptions &amp; Inputs'!$F$32),IF(YEAR('Assumptions &amp; Inputs'!$F$36)&gt;=AJ110,AJ115*'Assumptions &amp; Inputs'!$F$92*'Assumptions &amp; Inputs'!$F$89*'Assumptions &amp; Inputs'!$F$90*'Assumptions &amp; Inputs'!$F$91,0)))*(1-'Assumptions &amp; Inputs'!$F$95))</f>
        <v>0</v>
      </c>
      <c r="AK116" s="66">
        <f>IF(AND(AK11=0,AK13&lt;&gt;0),0,IF(YEAR('Assumptions &amp; Inputs'!$F$31)&gt;AK110,0,IF(AK110=YEAR('Assumptions &amp; Inputs'!$F$31),AK115*'Assumptions &amp; Inputs'!$F$92*'Assumptions &amp; Inputs'!$F$89*'Assumptions &amp; Inputs'!$F$90*'Assumptions &amp; Inputs'!$F$91*YEARFRAC('Assumptions &amp; Inputs'!$F$31,'Assumptions &amp; Inputs'!$F$32),IF(YEAR('Assumptions &amp; Inputs'!$F$36)&gt;=AK110,AK115*'Assumptions &amp; Inputs'!$F$92*'Assumptions &amp; Inputs'!$F$89*'Assumptions &amp; Inputs'!$F$90*'Assumptions &amp; Inputs'!$F$91,0)))*(1-'Assumptions &amp; Inputs'!$F$95))</f>
        <v>0</v>
      </c>
      <c r="AL116" s="66">
        <f>IF(AND(AL11=0,AL13&lt;&gt;0),0,IF(YEAR('Assumptions &amp; Inputs'!$F$31)&gt;AL110,0,IF(AL110=YEAR('Assumptions &amp; Inputs'!$F$31),AL115*'Assumptions &amp; Inputs'!$F$92*'Assumptions &amp; Inputs'!$F$89*'Assumptions &amp; Inputs'!$F$90*'Assumptions &amp; Inputs'!$F$91*YEARFRAC('Assumptions &amp; Inputs'!$F$31,'Assumptions &amp; Inputs'!$F$32),IF(YEAR('Assumptions &amp; Inputs'!$F$36)&gt;=AL110,AL115*'Assumptions &amp; Inputs'!$F$92*'Assumptions &amp; Inputs'!$F$89*'Assumptions &amp; Inputs'!$F$90*'Assumptions &amp; Inputs'!$F$91,0)))*(1-'Assumptions &amp; Inputs'!$F$95))</f>
        <v>0</v>
      </c>
      <c r="AM116" s="66">
        <f>IF(AND(AM11=0,AM13&lt;&gt;0),0,IF(YEAR('Assumptions &amp; Inputs'!$F$31)&gt;AM110,0,IF(AM110=YEAR('Assumptions &amp; Inputs'!$F$31),AM115*'Assumptions &amp; Inputs'!$F$92*'Assumptions &amp; Inputs'!$F$89*'Assumptions &amp; Inputs'!$F$90*'Assumptions &amp; Inputs'!$F$91*YEARFRAC('Assumptions &amp; Inputs'!$F$31,'Assumptions &amp; Inputs'!$F$32),IF(YEAR('Assumptions &amp; Inputs'!$F$36)&gt;=AM110,AM115*'Assumptions &amp; Inputs'!$F$92*'Assumptions &amp; Inputs'!$F$89*'Assumptions &amp; Inputs'!$F$90*'Assumptions &amp; Inputs'!$F$91,0)))*(1-'Assumptions &amp; Inputs'!$F$95))</f>
        <v>0</v>
      </c>
      <c r="AN116" s="66">
        <f>IF(AND(AN11=0,AN13&lt;&gt;0),0,IF(YEAR('Assumptions &amp; Inputs'!$F$31)&gt;AN110,0,IF(AN110=YEAR('Assumptions &amp; Inputs'!$F$31),AN115*'Assumptions &amp; Inputs'!$F$92*'Assumptions &amp; Inputs'!$F$89*'Assumptions &amp; Inputs'!$F$90*'Assumptions &amp; Inputs'!$F$91*YEARFRAC('Assumptions &amp; Inputs'!$F$31,'Assumptions &amp; Inputs'!$F$32),IF(YEAR('Assumptions &amp; Inputs'!$F$36)&gt;=AN110,AN115*'Assumptions &amp; Inputs'!$F$92*'Assumptions &amp; Inputs'!$F$89*'Assumptions &amp; Inputs'!$F$90*'Assumptions &amp; Inputs'!$F$91,0)))*(1-'Assumptions &amp; Inputs'!$F$95))</f>
        <v>0</v>
      </c>
      <c r="AO116" s="66">
        <f>IF(AND(AO11=0,AO13&lt;&gt;0),0,IF(YEAR('Assumptions &amp; Inputs'!$F$31)&gt;AO110,0,IF(AO110=YEAR('Assumptions &amp; Inputs'!$F$31),AO115*'Assumptions &amp; Inputs'!$F$92*'Assumptions &amp; Inputs'!$F$89*'Assumptions &amp; Inputs'!$F$90*'Assumptions &amp; Inputs'!$F$91*YEARFRAC('Assumptions &amp; Inputs'!$F$31,'Assumptions &amp; Inputs'!$F$32),IF(YEAR('Assumptions &amp; Inputs'!$F$36)&gt;=AO110,AO115*'Assumptions &amp; Inputs'!$F$92*'Assumptions &amp; Inputs'!$F$89*'Assumptions &amp; Inputs'!$F$90*'Assumptions &amp; Inputs'!$F$91,0)))*(1-'Assumptions &amp; Inputs'!$F$95))</f>
        <v>0</v>
      </c>
      <c r="AP116" s="66">
        <f>IF(AND(AP11=0,AP13&lt;&gt;0),0,IF(YEAR('Assumptions &amp; Inputs'!$F$31)&gt;AP110,0,IF(AP110=YEAR('Assumptions &amp; Inputs'!$F$31),AP115*'Assumptions &amp; Inputs'!$F$92*'Assumptions &amp; Inputs'!$F$89*'Assumptions &amp; Inputs'!$F$90*'Assumptions &amp; Inputs'!$F$91*YEARFRAC('Assumptions &amp; Inputs'!$F$31,'Assumptions &amp; Inputs'!$F$32),IF(YEAR('Assumptions &amp; Inputs'!$F$36)&gt;=AP110,AP115*'Assumptions &amp; Inputs'!$F$92*'Assumptions &amp; Inputs'!$F$89*'Assumptions &amp; Inputs'!$F$90*'Assumptions &amp; Inputs'!$F$91,0)))*(1-'Assumptions &amp; Inputs'!$F$95))</f>
        <v>0</v>
      </c>
      <c r="AQ116" s="66">
        <f>IF(AND(AQ11=0,AQ13&lt;&gt;0),0,IF(YEAR('Assumptions &amp; Inputs'!$F$31)&gt;AQ110,0,IF(AQ110=YEAR('Assumptions &amp; Inputs'!$F$31),AQ115*'Assumptions &amp; Inputs'!$F$92*'Assumptions &amp; Inputs'!$F$89*'Assumptions &amp; Inputs'!$F$90*'Assumptions &amp; Inputs'!$F$91*YEARFRAC('Assumptions &amp; Inputs'!$F$31,'Assumptions &amp; Inputs'!$F$32),IF(YEAR('Assumptions &amp; Inputs'!$F$36)&gt;=AQ110,AQ115*'Assumptions &amp; Inputs'!$F$92*'Assumptions &amp; Inputs'!$F$89*'Assumptions &amp; Inputs'!$F$90*'Assumptions &amp; Inputs'!$F$91,0)))*(1-'Assumptions &amp; Inputs'!$F$95))</f>
        <v>0</v>
      </c>
      <c r="AR116" s="66">
        <f>IF(AND(AR11=0,AR13&lt;&gt;0),0,IF(YEAR('Assumptions &amp; Inputs'!$F$31)&gt;AR110,0,IF(AR110=YEAR('Assumptions &amp; Inputs'!$F$31),AR115*'Assumptions &amp; Inputs'!$F$92*'Assumptions &amp; Inputs'!$F$89*'Assumptions &amp; Inputs'!$F$90*'Assumptions &amp; Inputs'!$F$91*YEARFRAC('Assumptions &amp; Inputs'!$F$31,'Assumptions &amp; Inputs'!$F$32),IF(YEAR('Assumptions &amp; Inputs'!$F$36)&gt;=AR110,AR115*'Assumptions &amp; Inputs'!$F$92*'Assumptions &amp; Inputs'!$F$89*'Assumptions &amp; Inputs'!$F$90*'Assumptions &amp; Inputs'!$F$91,0)))*(1-'Assumptions &amp; Inputs'!$F$95))</f>
        <v>0</v>
      </c>
      <c r="AS116" s="66">
        <f>IF(AND(AS11=0,AS13&lt;&gt;0),0,IF(YEAR('Assumptions &amp; Inputs'!$F$31)&gt;AS110,0,IF(AS110=YEAR('Assumptions &amp; Inputs'!$F$31),AS115*'Assumptions &amp; Inputs'!$F$92*'Assumptions &amp; Inputs'!$F$89*'Assumptions &amp; Inputs'!$F$90*'Assumptions &amp; Inputs'!$F$91*YEARFRAC('Assumptions &amp; Inputs'!$F$31,'Assumptions &amp; Inputs'!$F$32),IF(YEAR('Assumptions &amp; Inputs'!$F$36)&gt;=AS110,AS115*'Assumptions &amp; Inputs'!$F$92*'Assumptions &amp; Inputs'!$F$89*'Assumptions &amp; Inputs'!$F$90*'Assumptions &amp; Inputs'!$F$91,0)))*(1-'Assumptions &amp; Inputs'!$F$95))</f>
        <v>0</v>
      </c>
      <c r="AT116" s="66">
        <f>IF(AND(AT11=0,AT13&lt;&gt;0),0,IF(YEAR('Assumptions &amp; Inputs'!$F$31)&gt;AT110,0,IF(AT110=YEAR('Assumptions &amp; Inputs'!$F$31),AT115*'Assumptions &amp; Inputs'!$F$92*'Assumptions &amp; Inputs'!$F$89*'Assumptions &amp; Inputs'!$F$90*'Assumptions &amp; Inputs'!$F$91*YEARFRAC('Assumptions &amp; Inputs'!$F$31,'Assumptions &amp; Inputs'!$F$32),IF(YEAR('Assumptions &amp; Inputs'!$F$36)&gt;=AT110,AT115*'Assumptions &amp; Inputs'!$F$92*'Assumptions &amp; Inputs'!$F$89*'Assumptions &amp; Inputs'!$F$90*'Assumptions &amp; Inputs'!$F$91,0)))*(1-'Assumptions &amp; Inputs'!$F$95))</f>
        <v>0</v>
      </c>
      <c r="AU116" s="66">
        <f>IF(AND(AU11=0,AU13&lt;&gt;0),0,IF(YEAR('Assumptions &amp; Inputs'!$F$31)&gt;AU110,0,IF(AU110=YEAR('Assumptions &amp; Inputs'!$F$31),AU115*'Assumptions &amp; Inputs'!$F$92*'Assumptions &amp; Inputs'!$F$89*'Assumptions &amp; Inputs'!$F$90*'Assumptions &amp; Inputs'!$F$91*YEARFRAC('Assumptions &amp; Inputs'!$F$31,'Assumptions &amp; Inputs'!$F$32),IF(YEAR('Assumptions &amp; Inputs'!$F$36)&gt;=AU110,AU115*'Assumptions &amp; Inputs'!$F$92*'Assumptions &amp; Inputs'!$F$89*'Assumptions &amp; Inputs'!$F$90*'Assumptions &amp; Inputs'!$F$91,0)))*(1-'Assumptions &amp; Inputs'!$F$95))</f>
        <v>0</v>
      </c>
      <c r="AV116" s="66">
        <f>IF(AND(AV11=0,AV13&lt;&gt;0),0,IF(YEAR('Assumptions &amp; Inputs'!$F$31)&gt;AV110,0,IF(AV110=YEAR('Assumptions &amp; Inputs'!$F$31),AV115*'Assumptions &amp; Inputs'!$F$92*'Assumptions &amp; Inputs'!$F$89*'Assumptions &amp; Inputs'!$F$90*'Assumptions &amp; Inputs'!$F$91*YEARFRAC('Assumptions &amp; Inputs'!$F$31,'Assumptions &amp; Inputs'!$F$32),IF(YEAR('Assumptions &amp; Inputs'!$F$36)&gt;=AV110,AV115*'Assumptions &amp; Inputs'!$F$92*'Assumptions &amp; Inputs'!$F$89*'Assumptions &amp; Inputs'!$F$90*'Assumptions &amp; Inputs'!$F$91,0)))*(1-'Assumptions &amp; Inputs'!$F$95))</f>
        <v>0</v>
      </c>
      <c r="AW116" s="66">
        <f>IF(AND(AW11=0,AW13&lt;&gt;0),0,IF(YEAR('Assumptions &amp; Inputs'!$F$31)&gt;AW110,0,IF(AW110=YEAR('Assumptions &amp; Inputs'!$F$31),AW115*'Assumptions &amp; Inputs'!$F$92*'Assumptions &amp; Inputs'!$F$89*'Assumptions &amp; Inputs'!$F$90*'Assumptions &amp; Inputs'!$F$91*YEARFRAC('Assumptions &amp; Inputs'!$F$31,'Assumptions &amp; Inputs'!$F$32),IF(YEAR('Assumptions &amp; Inputs'!$F$36)&gt;=AW110,AW115*'Assumptions &amp; Inputs'!$F$92*'Assumptions &amp; Inputs'!$F$89*'Assumptions &amp; Inputs'!$F$90*'Assumptions &amp; Inputs'!$F$91,0)))*(1-'Assumptions &amp; Inputs'!$F$95))</f>
        <v>0</v>
      </c>
    </row>
    <row r="117" spans="3:49" ht="14.25" customHeight="1">
      <c r="C117" s="44" t="s">
        <v>512</v>
      </c>
      <c r="D117" s="68">
        <f>_xlfn.XLOOKUP(D110, 'Power Summary'!$C$3:$AV$3, 'Power Summary'!$C$20:$AV$20)</f>
        <v>0</v>
      </c>
      <c r="E117" s="68">
        <f>_xlfn.XLOOKUP(E110, 'Power Summary'!$C$3:$AV$3, 'Power Summary'!$C$20:$AV$20)</f>
        <v>88962.222222222219</v>
      </c>
      <c r="F117" s="68">
        <f>_xlfn.XLOOKUP(F110, 'Power Summary'!$C$3:$AV$3, 'Power Summary'!$C$20:$AV$20)</f>
        <v>106400</v>
      </c>
      <c r="G117" s="68">
        <f>_xlfn.XLOOKUP(G110, 'Power Summary'!$C$3:$AV$3, 'Power Summary'!$C$20:$AV$20)</f>
        <v>106400</v>
      </c>
      <c r="H117" s="68">
        <f>_xlfn.XLOOKUP(H110, 'Power Summary'!$C$3:$AV$3, 'Power Summary'!$C$20:$AV$20)</f>
        <v>106400</v>
      </c>
      <c r="I117" s="68">
        <f>_xlfn.XLOOKUP(I110, 'Power Summary'!$C$3:$AV$3, 'Power Summary'!$C$20:$AV$20)</f>
        <v>106400</v>
      </c>
      <c r="J117" s="68">
        <f>_xlfn.XLOOKUP(J110, 'Power Summary'!$C$3:$AV$3, 'Power Summary'!$C$20:$AV$20)</f>
        <v>106400</v>
      </c>
      <c r="K117" s="68">
        <f>_xlfn.XLOOKUP(K110, 'Power Summary'!$C$3:$AV$3, 'Power Summary'!$C$20:$AV$20)</f>
        <v>106400</v>
      </c>
      <c r="L117" s="68">
        <f>_xlfn.XLOOKUP(L110, 'Power Summary'!$C$3:$AV$3, 'Power Summary'!$C$20:$AV$20)</f>
        <v>106400</v>
      </c>
      <c r="M117" s="68">
        <f>_xlfn.XLOOKUP(M110, 'Power Summary'!$C$3:$AV$3, 'Power Summary'!$C$20:$AV$20)</f>
        <v>106400</v>
      </c>
      <c r="N117" s="68">
        <f>_xlfn.XLOOKUP(N110, 'Power Summary'!$C$3:$AV$3, 'Power Summary'!$C$20:$AV$20)</f>
        <v>106400</v>
      </c>
      <c r="O117" s="68">
        <f>_xlfn.XLOOKUP(O110, 'Power Summary'!$C$3:$AV$3, 'Power Summary'!$C$20:$AV$20)</f>
        <v>106400</v>
      </c>
      <c r="P117" s="68">
        <f>_xlfn.XLOOKUP(P110, 'Power Summary'!$C$3:$AV$3, 'Power Summary'!$C$20:$AV$20)</f>
        <v>106400</v>
      </c>
      <c r="Q117" s="68">
        <f>_xlfn.XLOOKUP(Q110, 'Power Summary'!$C$3:$AV$3, 'Power Summary'!$C$20:$AV$20)</f>
        <v>106400</v>
      </c>
      <c r="R117" s="68">
        <f>_xlfn.XLOOKUP(R110, 'Power Summary'!$C$3:$AV$3, 'Power Summary'!$C$20:$AV$20)</f>
        <v>106400</v>
      </c>
      <c r="S117" s="68">
        <f>_xlfn.XLOOKUP(S110, 'Power Summary'!$C$3:$AV$3, 'Power Summary'!$C$20:$AV$20)</f>
        <v>106400</v>
      </c>
      <c r="T117" s="68">
        <f>_xlfn.XLOOKUP(T110, 'Power Summary'!$C$3:$AV$3, 'Power Summary'!$C$20:$AV$20)</f>
        <v>106400</v>
      </c>
      <c r="U117" s="68">
        <f>_xlfn.XLOOKUP(U110, 'Power Summary'!$C$3:$AV$3, 'Power Summary'!$C$20:$AV$20)</f>
        <v>106400</v>
      </c>
      <c r="V117" s="68">
        <f>_xlfn.XLOOKUP(V110, 'Power Summary'!$C$3:$AV$3, 'Power Summary'!$C$20:$AV$20)</f>
        <v>106400</v>
      </c>
      <c r="W117" s="68">
        <f>_xlfn.XLOOKUP(W110, 'Power Summary'!$C$3:$AV$3, 'Power Summary'!$C$20:$AV$20)</f>
        <v>106400</v>
      </c>
      <c r="X117" s="68">
        <f>_xlfn.XLOOKUP(X110, 'Power Summary'!$C$3:$AV$3, 'Power Summary'!$C$20:$AV$20)</f>
        <v>106400</v>
      </c>
      <c r="Y117" s="68">
        <f>_xlfn.XLOOKUP(Y110, 'Power Summary'!$C$3:$AV$3, 'Power Summary'!$C$20:$AV$20)</f>
        <v>106400</v>
      </c>
      <c r="Z117" s="68">
        <f>_xlfn.XLOOKUP(Z110, 'Power Summary'!$C$3:$AV$3, 'Power Summary'!$C$20:$AV$20)</f>
        <v>106400</v>
      </c>
      <c r="AA117" s="68">
        <f>_xlfn.XLOOKUP(AA110, 'Power Summary'!$C$3:$AV$3, 'Power Summary'!$C$20:$AV$20)</f>
        <v>106400</v>
      </c>
      <c r="AB117" s="68">
        <f>_xlfn.XLOOKUP(AB110, 'Power Summary'!$C$3:$AV$3, 'Power Summary'!$C$20:$AV$20)</f>
        <v>106400</v>
      </c>
      <c r="AC117" s="68">
        <f>_xlfn.XLOOKUP(AC110, 'Power Summary'!$C$3:$AV$3, 'Power Summary'!$C$20:$AV$20)</f>
        <v>106400</v>
      </c>
      <c r="AD117" s="68">
        <f>_xlfn.XLOOKUP(AD110, 'Power Summary'!$C$3:$AV$3, 'Power Summary'!$C$20:$AV$20)</f>
        <v>106400</v>
      </c>
      <c r="AE117" s="68">
        <f>_xlfn.XLOOKUP(AE110, 'Power Summary'!$C$3:$AV$3, 'Power Summary'!$C$20:$AV$20)</f>
        <v>0</v>
      </c>
      <c r="AF117" s="68">
        <f>_xlfn.XLOOKUP(AF110, 'Power Summary'!$C$3:$AV$3, 'Power Summary'!$C$20:$AV$20)</f>
        <v>0</v>
      </c>
      <c r="AG117" s="68">
        <f>_xlfn.XLOOKUP(AG110, 'Power Summary'!$C$3:$AV$3, 'Power Summary'!$C$20:$AV$20)</f>
        <v>0</v>
      </c>
      <c r="AH117" s="68">
        <f>_xlfn.XLOOKUP(AH110, 'Power Summary'!$C$3:$AV$3, 'Power Summary'!$C$20:$AV$20)</f>
        <v>0</v>
      </c>
      <c r="AI117" s="68">
        <f>_xlfn.XLOOKUP(AI110, 'Power Summary'!$C$3:$AV$3, 'Power Summary'!$C$20:$AV$20)</f>
        <v>0</v>
      </c>
      <c r="AJ117" s="68">
        <f>_xlfn.XLOOKUP(AJ110, 'Power Summary'!$C$3:$AV$3, 'Power Summary'!$C$20:$AV$20)</f>
        <v>0</v>
      </c>
      <c r="AK117" s="68">
        <f>_xlfn.XLOOKUP(AK110, 'Power Summary'!$C$3:$AV$3, 'Power Summary'!$C$20:$AV$20)</f>
        <v>0</v>
      </c>
      <c r="AL117" s="68">
        <f>_xlfn.XLOOKUP(AL110, 'Power Summary'!$C$3:$AV$3, 'Power Summary'!$C$20:$AV$20)</f>
        <v>0</v>
      </c>
      <c r="AM117" s="68">
        <f>_xlfn.XLOOKUP(AM110, 'Power Summary'!$C$3:$AV$3, 'Power Summary'!$C$20:$AV$20)</f>
        <v>0</v>
      </c>
      <c r="AN117" s="68">
        <f>_xlfn.XLOOKUP(AN110, 'Power Summary'!$C$3:$AV$3, 'Power Summary'!$C$20:$AV$20)</f>
        <v>0</v>
      </c>
      <c r="AO117" s="68">
        <f>_xlfn.XLOOKUP(AO110, 'Power Summary'!$C$3:$AV$3, 'Power Summary'!$C$20:$AV$20)</f>
        <v>0</v>
      </c>
      <c r="AP117" s="68">
        <f>_xlfn.XLOOKUP(AP110, 'Power Summary'!$C$3:$AV$3, 'Power Summary'!$C$20:$AV$20)</f>
        <v>0</v>
      </c>
      <c r="AQ117" s="68">
        <f>_xlfn.XLOOKUP(AQ110, 'Power Summary'!$C$3:$AV$3, 'Power Summary'!$C$20:$AV$20)</f>
        <v>0</v>
      </c>
      <c r="AR117" s="68">
        <f>_xlfn.XLOOKUP(AR110, 'Power Summary'!$C$3:$AV$3, 'Power Summary'!$C$20:$AV$20)</f>
        <v>0</v>
      </c>
      <c r="AS117" s="68">
        <f>_xlfn.XLOOKUP(AS110, 'Power Summary'!$C$3:$AV$3, 'Power Summary'!$C$20:$AV$20)</f>
        <v>0</v>
      </c>
      <c r="AT117" s="68">
        <f>_xlfn.XLOOKUP(AT110, 'Power Summary'!$C$3:$AV$3, 'Power Summary'!$C$20:$AV$20)</f>
        <v>0</v>
      </c>
      <c r="AU117" s="68">
        <f>_xlfn.XLOOKUP(AU110, 'Power Summary'!$C$3:$AV$3, 'Power Summary'!$C$20:$AV$20)</f>
        <v>0</v>
      </c>
      <c r="AV117" s="68">
        <f>_xlfn.XLOOKUP(AV110, 'Power Summary'!$C$3:$AV$3, 'Power Summary'!$C$20:$AV$20)</f>
        <v>0</v>
      </c>
      <c r="AW117" s="68">
        <f>_xlfn.XLOOKUP(AW110, 'Power Summary'!$C$3:$AV$3, 'Power Summary'!$C$20:$AV$20)</f>
        <v>0</v>
      </c>
    </row>
    <row r="118" spans="3:49" ht="14.25" customHeight="1">
      <c r="C118" s="48" t="s">
        <v>513</v>
      </c>
      <c r="D118" s="69">
        <f>D112*D117/$E$3</f>
        <v>0</v>
      </c>
      <c r="E118" s="69">
        <f>E112*E117/$E$3</f>
        <v>5.4444879999999998</v>
      </c>
      <c r="F118" s="69">
        <f t="shared" ref="F118:X118" si="350">F112*F117/$E$3</f>
        <v>6.6419135999999996</v>
      </c>
      <c r="G118" s="69">
        <f t="shared" si="350"/>
        <v>6.7747518719999995</v>
      </c>
      <c r="H118" s="69">
        <f t="shared" si="350"/>
        <v>6.9102469094399996</v>
      </c>
      <c r="I118" s="69">
        <f t="shared" si="350"/>
        <v>7.0484518476288009</v>
      </c>
      <c r="J118" s="69">
        <f t="shared" si="350"/>
        <v>7.1894208845813772</v>
      </c>
      <c r="K118" s="69">
        <f t="shared" si="350"/>
        <v>7.3332093022730032</v>
      </c>
      <c r="L118" s="69">
        <f t="shared" si="350"/>
        <v>7.4798734883184634</v>
      </c>
      <c r="M118" s="69">
        <f t="shared" si="350"/>
        <v>7.6294709580848323</v>
      </c>
      <c r="N118" s="69">
        <f t="shared" si="350"/>
        <v>7.7820603772465287</v>
      </c>
      <c r="O118" s="69">
        <f t="shared" si="350"/>
        <v>7.9377015847914585</v>
      </c>
      <c r="P118" s="69">
        <f t="shared" si="350"/>
        <v>8.0964556164872885</v>
      </c>
      <c r="Q118" s="69">
        <f t="shared" si="350"/>
        <v>8.2583847288170347</v>
      </c>
      <c r="R118" s="69">
        <f t="shared" si="350"/>
        <v>8.4235524233933763</v>
      </c>
      <c r="S118" s="69">
        <f t="shared" si="350"/>
        <v>8.5920234718612392</v>
      </c>
      <c r="T118" s="69">
        <f t="shared" si="350"/>
        <v>8.7638639412984656</v>
      </c>
      <c r="U118" s="69">
        <f t="shared" si="350"/>
        <v>8.9391412201244371</v>
      </c>
      <c r="V118" s="69">
        <f t="shared" si="350"/>
        <v>9.1179240445269247</v>
      </c>
      <c r="W118" s="69">
        <f t="shared" si="350"/>
        <v>9.3002825254174635</v>
      </c>
      <c r="X118" s="69">
        <f t="shared" si="350"/>
        <v>9.4862881759258144</v>
      </c>
      <c r="Y118" s="69">
        <f t="shared" ref="Y118:AW118" si="351">Y112*Y117/$E$3</f>
        <v>9.6760139394443296</v>
      </c>
      <c r="Z118" s="69">
        <f t="shared" si="351"/>
        <v>9.8695342182332162</v>
      </c>
      <c r="AA118" s="69">
        <f t="shared" si="351"/>
        <v>10.066924902597878</v>
      </c>
      <c r="AB118" s="69">
        <f t="shared" si="351"/>
        <v>10.268263400649836</v>
      </c>
      <c r="AC118" s="69">
        <f t="shared" si="351"/>
        <v>10.473628668662833</v>
      </c>
      <c r="AD118" s="69">
        <f t="shared" si="351"/>
        <v>10.683101242036091</v>
      </c>
      <c r="AE118" s="69">
        <f t="shared" si="351"/>
        <v>0</v>
      </c>
      <c r="AF118" s="69">
        <f t="shared" si="351"/>
        <v>0</v>
      </c>
      <c r="AG118" s="69">
        <f t="shared" si="351"/>
        <v>0</v>
      </c>
      <c r="AH118" s="69">
        <f t="shared" si="351"/>
        <v>0</v>
      </c>
      <c r="AI118" s="69">
        <f t="shared" si="351"/>
        <v>0</v>
      </c>
      <c r="AJ118" s="69">
        <f t="shared" si="351"/>
        <v>0</v>
      </c>
      <c r="AK118" s="69">
        <f t="shared" si="351"/>
        <v>0</v>
      </c>
      <c r="AL118" s="69">
        <f t="shared" si="351"/>
        <v>0</v>
      </c>
      <c r="AM118" s="69">
        <f t="shared" si="351"/>
        <v>0</v>
      </c>
      <c r="AN118" s="69">
        <f t="shared" si="351"/>
        <v>0</v>
      </c>
      <c r="AO118" s="69">
        <f t="shared" si="351"/>
        <v>0</v>
      </c>
      <c r="AP118" s="69">
        <f t="shared" si="351"/>
        <v>0</v>
      </c>
      <c r="AQ118" s="69">
        <f t="shared" si="351"/>
        <v>0</v>
      </c>
      <c r="AR118" s="69">
        <f t="shared" si="351"/>
        <v>0</v>
      </c>
      <c r="AS118" s="69">
        <f t="shared" si="351"/>
        <v>0</v>
      </c>
      <c r="AT118" s="69">
        <f t="shared" si="351"/>
        <v>0</v>
      </c>
      <c r="AU118" s="69">
        <f t="shared" si="351"/>
        <v>0</v>
      </c>
      <c r="AV118" s="69">
        <f t="shared" si="351"/>
        <v>0</v>
      </c>
      <c r="AW118" s="69">
        <f t="shared" si="351"/>
        <v>0</v>
      </c>
    </row>
    <row r="119" spans="3:49" ht="14.25" customHeight="1">
      <c r="C119" s="46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</row>
    <row r="120" spans="3:49" ht="14.25" customHeight="1">
      <c r="C120" s="48" t="s">
        <v>514</v>
      </c>
      <c r="D120" s="69">
        <f>D118</f>
        <v>0</v>
      </c>
      <c r="E120" s="69">
        <f t="shared" ref="E120:AW120" si="352">E118</f>
        <v>5.4444879999999998</v>
      </c>
      <c r="F120" s="69">
        <f t="shared" si="352"/>
        <v>6.6419135999999996</v>
      </c>
      <c r="G120" s="69">
        <f t="shared" si="352"/>
        <v>6.7747518719999995</v>
      </c>
      <c r="H120" s="69">
        <f t="shared" si="352"/>
        <v>6.9102469094399996</v>
      </c>
      <c r="I120" s="69">
        <f t="shared" si="352"/>
        <v>7.0484518476288009</v>
      </c>
      <c r="J120" s="69">
        <f t="shared" si="352"/>
        <v>7.1894208845813772</v>
      </c>
      <c r="K120" s="69">
        <f t="shared" si="352"/>
        <v>7.3332093022730032</v>
      </c>
      <c r="L120" s="69">
        <f t="shared" si="352"/>
        <v>7.4798734883184634</v>
      </c>
      <c r="M120" s="69">
        <f t="shared" si="352"/>
        <v>7.6294709580848323</v>
      </c>
      <c r="N120" s="69">
        <f t="shared" si="352"/>
        <v>7.7820603772465287</v>
      </c>
      <c r="O120" s="69">
        <f t="shared" si="352"/>
        <v>7.9377015847914585</v>
      </c>
      <c r="P120" s="69">
        <f t="shared" si="352"/>
        <v>8.0964556164872885</v>
      </c>
      <c r="Q120" s="69">
        <f t="shared" si="352"/>
        <v>8.2583847288170347</v>
      </c>
      <c r="R120" s="69">
        <f t="shared" si="352"/>
        <v>8.4235524233933763</v>
      </c>
      <c r="S120" s="69">
        <f t="shared" si="352"/>
        <v>8.5920234718612392</v>
      </c>
      <c r="T120" s="69">
        <f t="shared" si="352"/>
        <v>8.7638639412984656</v>
      </c>
      <c r="U120" s="69">
        <f t="shared" si="352"/>
        <v>8.9391412201244371</v>
      </c>
      <c r="V120" s="69">
        <f t="shared" si="352"/>
        <v>9.1179240445269247</v>
      </c>
      <c r="W120" s="69">
        <f t="shared" si="352"/>
        <v>9.3002825254174635</v>
      </c>
      <c r="X120" s="69">
        <f t="shared" si="352"/>
        <v>9.4862881759258144</v>
      </c>
      <c r="Y120" s="69">
        <f t="shared" si="352"/>
        <v>9.6760139394443296</v>
      </c>
      <c r="Z120" s="69">
        <f t="shared" si="352"/>
        <v>9.8695342182332162</v>
      </c>
      <c r="AA120" s="69">
        <f t="shared" si="352"/>
        <v>10.066924902597878</v>
      </c>
      <c r="AB120" s="69">
        <f t="shared" si="352"/>
        <v>10.268263400649836</v>
      </c>
      <c r="AC120" s="69">
        <f t="shared" si="352"/>
        <v>10.473628668662833</v>
      </c>
      <c r="AD120" s="69">
        <f t="shared" si="352"/>
        <v>10.683101242036091</v>
      </c>
      <c r="AE120" s="69">
        <f t="shared" si="352"/>
        <v>0</v>
      </c>
      <c r="AF120" s="69">
        <f t="shared" si="352"/>
        <v>0</v>
      </c>
      <c r="AG120" s="69">
        <f t="shared" si="352"/>
        <v>0</v>
      </c>
      <c r="AH120" s="69">
        <f t="shared" si="352"/>
        <v>0</v>
      </c>
      <c r="AI120" s="69">
        <f t="shared" si="352"/>
        <v>0</v>
      </c>
      <c r="AJ120" s="69">
        <f t="shared" si="352"/>
        <v>0</v>
      </c>
      <c r="AK120" s="69">
        <f t="shared" si="352"/>
        <v>0</v>
      </c>
      <c r="AL120" s="69">
        <f t="shared" si="352"/>
        <v>0</v>
      </c>
      <c r="AM120" s="69">
        <f t="shared" si="352"/>
        <v>0</v>
      </c>
      <c r="AN120" s="69">
        <f t="shared" si="352"/>
        <v>0</v>
      </c>
      <c r="AO120" s="69">
        <f t="shared" si="352"/>
        <v>0</v>
      </c>
      <c r="AP120" s="69">
        <f t="shared" si="352"/>
        <v>0</v>
      </c>
      <c r="AQ120" s="69">
        <f t="shared" si="352"/>
        <v>0</v>
      </c>
      <c r="AR120" s="69">
        <f t="shared" si="352"/>
        <v>0</v>
      </c>
      <c r="AS120" s="69">
        <f t="shared" si="352"/>
        <v>0</v>
      </c>
      <c r="AT120" s="69">
        <f t="shared" si="352"/>
        <v>0</v>
      </c>
      <c r="AU120" s="69">
        <f t="shared" si="352"/>
        <v>0</v>
      </c>
      <c r="AV120" s="69">
        <f t="shared" si="352"/>
        <v>0</v>
      </c>
      <c r="AW120" s="69">
        <f t="shared" si="352"/>
        <v>0</v>
      </c>
    </row>
    <row r="121" spans="3:49" ht="14.25" customHeight="1">
      <c r="C121" s="49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</row>
    <row r="122" spans="3:49" ht="14.25" customHeight="1">
      <c r="C122" s="44" t="s">
        <v>515</v>
      </c>
      <c r="D122" s="65">
        <f>(D112*_xlfn.XLOOKUP(D$110, 'Power Summary'!$C$30:$AV$30, 'Power Summary'!$C$36:$AV$36)+D113*_xlfn.XLOOKUP(D$110, 'Power Summary'!$C$30:$AV$30, 'Power Summary'!$C$43:$AV$43))/$E$3</f>
        <v>0</v>
      </c>
      <c r="E122" s="65">
        <f>(E112*_xlfn.XLOOKUP(E$110, 'Power Summary'!$C$30:$AV$30, 'Power Summary'!$C$36:$AV$36)+E113*_xlfn.XLOOKUP(E$110, 'Power Summary'!$C$30:$AV$30, 'Power Summary'!$C$43:$AV$43))/$E$3</f>
        <v>7.0927239428727198</v>
      </c>
      <c r="F122" s="65">
        <f>(F112*_xlfn.XLOOKUP(F$110, 'Power Summary'!$C$30:$AV$30, 'Power Summary'!$C$36:$AV$36)+F113*_xlfn.XLOOKUP(F$110, 'Power Summary'!$C$30:$AV$30, 'Power Summary'!$C$43:$AV$43))/$E$3</f>
        <v>8.5839938998911691</v>
      </c>
      <c r="G122" s="65">
        <f>(G112*_xlfn.XLOOKUP(G$110, 'Power Summary'!$C$30:$AV$30, 'Power Summary'!$C$36:$AV$36)+G113*_xlfn.XLOOKUP(G$110, 'Power Summary'!$C$30:$AV$30, 'Power Summary'!$C$43:$AV$43))/$E$3</f>
        <v>8.4756815140896578</v>
      </c>
      <c r="H122" s="65">
        <f>(H112*_xlfn.XLOOKUP(H$110, 'Power Summary'!$C$30:$AV$30, 'Power Summary'!$C$36:$AV$36)+H113*_xlfn.XLOOKUP(H$110, 'Power Summary'!$C$30:$AV$30, 'Power Summary'!$C$43:$AV$43))/$E$3</f>
        <v>8.1189862410640146</v>
      </c>
      <c r="I122" s="65">
        <f>(I112*_xlfn.XLOOKUP(I$110, 'Power Summary'!$C$30:$AV$30, 'Power Summary'!$C$36:$AV$36)+I113*_xlfn.XLOOKUP(I$110, 'Power Summary'!$C$30:$AV$30, 'Power Summary'!$C$43:$AV$43))/$E$3</f>
        <v>8.2067139337355073</v>
      </c>
      <c r="J122" s="65">
        <f>(J112*_xlfn.XLOOKUP(J$110, 'Power Summary'!$C$30:$AV$30, 'Power Summary'!$C$36:$AV$36)+J113*_xlfn.XLOOKUP(J$110, 'Power Summary'!$C$30:$AV$30, 'Power Summary'!$C$43:$AV$43))/$E$3</f>
        <v>8.3741778472543498</v>
      </c>
      <c r="K122" s="65">
        <f>(K112*_xlfn.XLOOKUP(K$110, 'Power Summary'!$C$30:$AV$30, 'Power Summary'!$C$36:$AV$36)+K113*_xlfn.XLOOKUP(K$110, 'Power Summary'!$C$30:$AV$30, 'Power Summary'!$C$43:$AV$43))/$E$3</f>
        <v>8.5450439193592622</v>
      </c>
      <c r="L122" s="65">
        <f>(L112*_xlfn.XLOOKUP(L$110, 'Power Summary'!$C$30:$AV$30, 'Power Summary'!$C$36:$AV$36)+L113*_xlfn.XLOOKUP(L$110, 'Power Summary'!$C$30:$AV$30, 'Power Summary'!$C$43:$AV$43))/$E$3</f>
        <v>8.7193810448614766</v>
      </c>
      <c r="M122" s="65">
        <f>(M112*_xlfn.XLOOKUP(M$110, 'Power Summary'!$C$30:$AV$30, 'Power Summary'!$C$36:$AV$36)+M113*_xlfn.XLOOKUP(M$110, 'Power Summary'!$C$30:$AV$30, 'Power Summary'!$C$43:$AV$43))/$E$3</f>
        <v>8.897259510369409</v>
      </c>
      <c r="N122" s="65">
        <f>(N112*_xlfn.XLOOKUP(N$110, 'Power Summary'!$C$30:$AV$30, 'Power Summary'!$C$36:$AV$36)+N113*_xlfn.XLOOKUP(N$110, 'Power Summary'!$C$30:$AV$30, 'Power Summary'!$C$43:$AV$43))/$E$3</f>
        <v>9.0787510223543606</v>
      </c>
      <c r="O122" s="65">
        <f>(O112*_xlfn.XLOOKUP(O$110, 'Power Summary'!$C$30:$AV$30, 'Power Summary'!$C$36:$AV$36)+O113*_xlfn.XLOOKUP(O$110, 'Power Summary'!$C$30:$AV$30, 'Power Summary'!$C$43:$AV$43))/$E$3</f>
        <v>9.2639287357813664</v>
      </c>
      <c r="P122" s="65">
        <f>(P112*_xlfn.XLOOKUP(P$110, 'Power Summary'!$C$30:$AV$30, 'Power Summary'!$C$36:$AV$36)+P113*_xlfn.XLOOKUP(P$110, 'Power Summary'!$C$30:$AV$30, 'Power Summary'!$C$43:$AV$43))/$E$3</f>
        <v>9.4528672833165697</v>
      </c>
      <c r="Q122" s="65">
        <f>(Q112*_xlfn.XLOOKUP(Q$110, 'Power Summary'!$C$30:$AV$30, 'Power Summary'!$C$36:$AV$36)+Q113*_xlfn.XLOOKUP(Q$110, 'Power Summary'!$C$30:$AV$30, 'Power Summary'!$C$43:$AV$43))/$E$3</f>
        <v>9.6456428051226961</v>
      </c>
      <c r="R122" s="65">
        <f>(R112*_xlfn.XLOOKUP(R$110, 'Power Summary'!$C$30:$AV$30, 'Power Summary'!$C$36:$AV$36)+R113*_xlfn.XLOOKUP(R$110, 'Power Summary'!$C$30:$AV$30, 'Power Summary'!$C$43:$AV$43))/$E$3</f>
        <v>9.8423329792545022</v>
      </c>
      <c r="S122" s="65">
        <f>(S112*_xlfn.XLOOKUP(S$110, 'Power Summary'!$C$30:$AV$30, 'Power Summary'!$C$36:$AV$36)+S113*_xlfn.XLOOKUP(S$110, 'Power Summary'!$C$30:$AV$30, 'Power Summary'!$C$43:$AV$43))/$E$3</f>
        <v>10.043017052666213</v>
      </c>
      <c r="T122" s="65">
        <f>(T112*_xlfn.XLOOKUP(T$110, 'Power Summary'!$C$30:$AV$30, 'Power Summary'!$C$36:$AV$36)+T113*_xlfn.XLOOKUP(T$110, 'Power Summary'!$C$30:$AV$30, 'Power Summary'!$C$43:$AV$43))/$E$3</f>
        <v>10.247775872843325</v>
      </c>
      <c r="U122" s="65">
        <f>(U112*_xlfn.XLOOKUP(U$110, 'Power Summary'!$C$30:$AV$30, 'Power Summary'!$C$36:$AV$36)+U113*_xlfn.XLOOKUP(U$110, 'Power Summary'!$C$30:$AV$30, 'Power Summary'!$C$43:$AV$43))/$E$3</f>
        <v>10.456691920071215</v>
      </c>
      <c r="V122" s="65">
        <f>(V112*_xlfn.XLOOKUP(V$110, 'Power Summary'!$C$30:$AV$30, 'Power Summary'!$C$36:$AV$36)+V113*_xlfn.XLOOKUP(V$110, 'Power Summary'!$C$30:$AV$30, 'Power Summary'!$C$43:$AV$43))/$E$3</f>
        <v>10.669849340353526</v>
      </c>
      <c r="W122" s="65">
        <f>(W112*_xlfn.XLOOKUP(W$110, 'Power Summary'!$C$30:$AV$30, 'Power Summary'!$C$36:$AV$36)+W113*_xlfn.XLOOKUP(W$110, 'Power Summary'!$C$30:$AV$30, 'Power Summary'!$C$43:$AV$43))/$E$3</f>
        <v>10.887333978993269</v>
      </c>
      <c r="X122" s="65">
        <f>(X112*_xlfn.XLOOKUP(X$110, 'Power Summary'!$C$30:$AV$30, 'Power Summary'!$C$36:$AV$36)+X113*_xlfn.XLOOKUP(X$110, 'Power Summary'!$C$30:$AV$30, 'Power Summary'!$C$43:$AV$43))/$E$3</f>
        <v>11.109233414849989</v>
      </c>
      <c r="Y122" s="65">
        <f>(Y112*_xlfn.XLOOKUP(Y$110, 'Power Summary'!$C$30:$AV$30, 'Power Summary'!$C$36:$AV$36)+Y113*_xlfn.XLOOKUP(Y$110, 'Power Summary'!$C$30:$AV$30, 'Power Summary'!$C$43:$AV$43))/$E$3</f>
        <v>11.335636995286674</v>
      </c>
      <c r="Z122" s="65">
        <f>(Z112*_xlfn.XLOOKUP(Z$110, 'Power Summary'!$C$30:$AV$30, 'Power Summary'!$C$36:$AV$36)+Z113*_xlfn.XLOOKUP(Z$110, 'Power Summary'!$C$30:$AV$30, 'Power Summary'!$C$43:$AV$43))/$E$3</f>
        <v>11.566635871820159</v>
      </c>
      <c r="AA122" s="65">
        <f>(AA112*_xlfn.XLOOKUP(AA$110, 'Power Summary'!$C$30:$AV$30, 'Power Summary'!$C$36:$AV$36)+AA113*_xlfn.XLOOKUP(AA$110, 'Power Summary'!$C$30:$AV$30, 'Power Summary'!$C$43:$AV$43))/$E$3</f>
        <v>11.802323036489279</v>
      </c>
      <c r="AB122" s="65">
        <f>(AB112*_xlfn.XLOOKUP(AB$110, 'Power Summary'!$C$30:$AV$30, 'Power Summary'!$C$36:$AV$36)+AB113*_xlfn.XLOOKUP(AB$110, 'Power Summary'!$C$30:$AV$30, 'Power Summary'!$C$43:$AV$43))/$E$3</f>
        <v>12.042793358955134</v>
      </c>
      <c r="AC122" s="65">
        <f>(AC112*_xlfn.XLOOKUP(AC$110, 'Power Summary'!$C$30:$AV$30, 'Power Summary'!$C$36:$AV$36)+AC113*_xlfn.XLOOKUP(AC$110, 'Power Summary'!$C$30:$AV$30, 'Power Summary'!$C$43:$AV$43))/$E$3</f>
        <v>12.288143624348219</v>
      </c>
      <c r="AD122" s="65">
        <f>(AD112*_xlfn.XLOOKUP(AD$110, 'Power Summary'!$C$30:$AV$30, 'Power Summary'!$C$36:$AV$36)+AD113*_xlfn.XLOOKUP(AD$110, 'Power Summary'!$C$30:$AV$30, 'Power Summary'!$C$43:$AV$43))/$E$3</f>
        <v>12.538472571877444</v>
      </c>
      <c r="AE122" s="65">
        <f>(AE112*_xlfn.XLOOKUP(AE$110, 'Power Summary'!$C$30:$AV$30, 'Power Summary'!$C$36:$AV$36)+AE113*_xlfn.XLOOKUP(AE$110, 'Power Summary'!$C$30:$AV$30, 'Power Summary'!$C$43:$AV$43))/$E$3</f>
        <v>0</v>
      </c>
      <c r="AF122" s="65">
        <f>(AF112*_xlfn.XLOOKUP(AF$110, 'Power Summary'!$C$30:$AV$30, 'Power Summary'!$C$36:$AV$36)+AF113*_xlfn.XLOOKUP(AF$110, 'Power Summary'!$C$30:$AV$30, 'Power Summary'!$C$43:$AV$43))/$E$3</f>
        <v>0</v>
      </c>
      <c r="AG122" s="65">
        <f>(AG112*_xlfn.XLOOKUP(AG$110, 'Power Summary'!$C$30:$AV$30, 'Power Summary'!$C$36:$AV$36)+AG113*_xlfn.XLOOKUP(AG$110, 'Power Summary'!$C$30:$AV$30, 'Power Summary'!$C$43:$AV$43))/$E$3</f>
        <v>0</v>
      </c>
      <c r="AH122" s="65">
        <f>(AH112*_xlfn.XLOOKUP(AH$110, 'Power Summary'!$C$30:$AV$30, 'Power Summary'!$C$36:$AV$36)+AH113*_xlfn.XLOOKUP(AH$110, 'Power Summary'!$C$30:$AV$30, 'Power Summary'!$C$43:$AV$43))/$E$3</f>
        <v>0</v>
      </c>
      <c r="AI122" s="65">
        <f>(AI112*_xlfn.XLOOKUP(AI$110, 'Power Summary'!$C$30:$AV$30, 'Power Summary'!$C$36:$AV$36)+AI113*_xlfn.XLOOKUP(AI$110, 'Power Summary'!$C$30:$AV$30, 'Power Summary'!$C$43:$AV$43))/$E$3</f>
        <v>0</v>
      </c>
      <c r="AJ122" s="65">
        <f>(AJ112*_xlfn.XLOOKUP(AJ$110, 'Power Summary'!$C$30:$AV$30, 'Power Summary'!$C$36:$AV$36)+AJ113*_xlfn.XLOOKUP(AJ$110, 'Power Summary'!$C$30:$AV$30, 'Power Summary'!$C$43:$AV$43))/$E$3</f>
        <v>0</v>
      </c>
      <c r="AK122" s="65">
        <f>(AK112*_xlfn.XLOOKUP(AK$110, 'Power Summary'!$C$30:$AV$30, 'Power Summary'!$C$36:$AV$36)+AK113*_xlfn.XLOOKUP(AK$110, 'Power Summary'!$C$30:$AV$30, 'Power Summary'!$C$43:$AV$43))/$E$3</f>
        <v>0</v>
      </c>
      <c r="AL122" s="65">
        <f>(AL112*_xlfn.XLOOKUP(AL$110, 'Power Summary'!$C$30:$AV$30, 'Power Summary'!$C$36:$AV$36)+AL113*_xlfn.XLOOKUP(AL$110, 'Power Summary'!$C$30:$AV$30, 'Power Summary'!$C$43:$AV$43))/$E$3</f>
        <v>0</v>
      </c>
      <c r="AM122" s="65">
        <f>(AM112*_xlfn.XLOOKUP(AM$110, 'Power Summary'!$C$30:$AV$30, 'Power Summary'!$C$36:$AV$36)+AM113*_xlfn.XLOOKUP(AM$110, 'Power Summary'!$C$30:$AV$30, 'Power Summary'!$C$43:$AV$43))/$E$3</f>
        <v>0</v>
      </c>
      <c r="AN122" s="65">
        <f>(AN112*_xlfn.XLOOKUP(AN$110, 'Power Summary'!$C$30:$AV$30, 'Power Summary'!$C$36:$AV$36)+AN113*_xlfn.XLOOKUP(AN$110, 'Power Summary'!$C$30:$AV$30, 'Power Summary'!$C$43:$AV$43))/$E$3</f>
        <v>0</v>
      </c>
      <c r="AO122" s="65">
        <f>(AO112*_xlfn.XLOOKUP(AO$110, 'Power Summary'!$C$30:$AV$30, 'Power Summary'!$C$36:$AV$36)+AO113*_xlfn.XLOOKUP(AO$110, 'Power Summary'!$C$30:$AV$30, 'Power Summary'!$C$43:$AV$43))/$E$3</f>
        <v>0</v>
      </c>
      <c r="AP122" s="65">
        <f>(AP112*_xlfn.XLOOKUP(AP$110, 'Power Summary'!$C$30:$AV$30, 'Power Summary'!$C$36:$AV$36)+AP113*_xlfn.XLOOKUP(AP$110, 'Power Summary'!$C$30:$AV$30, 'Power Summary'!$C$43:$AV$43))/$E$3</f>
        <v>0</v>
      </c>
      <c r="AQ122" s="65">
        <f>(AQ112*_xlfn.XLOOKUP(AQ$110, 'Power Summary'!$C$30:$AV$30, 'Power Summary'!$C$36:$AV$36)+AQ113*_xlfn.XLOOKUP(AQ$110, 'Power Summary'!$C$30:$AV$30, 'Power Summary'!$C$43:$AV$43))/$E$3</f>
        <v>0</v>
      </c>
      <c r="AR122" s="65">
        <f>(AR112*_xlfn.XLOOKUP(AR$110, 'Power Summary'!$C$30:$AV$30, 'Power Summary'!$C$36:$AV$36)+AR113*_xlfn.XLOOKUP(AR$110, 'Power Summary'!$C$30:$AV$30, 'Power Summary'!$C$43:$AV$43))/$E$3</f>
        <v>0</v>
      </c>
      <c r="AS122" s="65">
        <f>(AS112*_xlfn.XLOOKUP(AS$110, 'Power Summary'!$C$30:$AV$30, 'Power Summary'!$C$36:$AV$36)+AS113*_xlfn.XLOOKUP(AS$110, 'Power Summary'!$C$30:$AV$30, 'Power Summary'!$C$43:$AV$43))/$E$3</f>
        <v>0</v>
      </c>
      <c r="AT122" s="65">
        <f>(AT112*_xlfn.XLOOKUP(AT$110, 'Power Summary'!$C$30:$AV$30, 'Power Summary'!$C$36:$AV$36)+AT113*_xlfn.XLOOKUP(AT$110, 'Power Summary'!$C$30:$AV$30, 'Power Summary'!$C$43:$AV$43))/$E$3</f>
        <v>0</v>
      </c>
      <c r="AU122" s="65">
        <f>(AU112*_xlfn.XLOOKUP(AU$110, 'Power Summary'!$C$30:$AV$30, 'Power Summary'!$C$36:$AV$36)+AU113*_xlfn.XLOOKUP(AU$110, 'Power Summary'!$C$30:$AV$30, 'Power Summary'!$C$43:$AV$43))/$E$3</f>
        <v>0</v>
      </c>
      <c r="AV122" s="65">
        <f>(AV112*_xlfn.XLOOKUP(AV$110, 'Power Summary'!$C$30:$AV$30, 'Power Summary'!$C$36:$AV$36)+AV113*_xlfn.XLOOKUP(AV$110, 'Power Summary'!$C$30:$AV$30, 'Power Summary'!$C$43:$AV$43))/$E$3</f>
        <v>0</v>
      </c>
      <c r="AW122" s="65">
        <f>(AW112*_xlfn.XLOOKUP(AW$110, 'Power Summary'!$C$30:$AV$30, 'Power Summary'!$C$36:$AV$36)+AW113*_xlfn.XLOOKUP(AW$110, 'Power Summary'!$C$30:$AV$30, 'Power Summary'!$C$43:$AV$43))/$E$3</f>
        <v>0</v>
      </c>
    </row>
    <row r="123" spans="3:49" ht="14.25" customHeight="1">
      <c r="C123" s="44" t="s">
        <v>250</v>
      </c>
      <c r="D123" s="65">
        <f>'Assumptions &amp; Inputs'!$F$80*'Assumptions &amp; Inputs'!$F$87*'Assumptions &amp; Inputs'!$F$77/$E$3*COUNTIF(D117,"&gt;0")*(1+'Assumptions &amp; Inputs'!$G$20)^(D108-'Assumptions &amp; Inputs'!$F$28/12)</f>
        <v>0</v>
      </c>
      <c r="E123" s="65">
        <f>'Assumptions &amp; Inputs'!$F$80*'Assumptions &amp; Inputs'!$F$87*'Assumptions &amp; Inputs'!$F$77/$E$3*COUNTIF(E117,"&gt;0")*(1+'Assumptions &amp; Inputs'!$G$20)^(E108-'Assumptions &amp; Inputs'!$F$28/12)</f>
        <v>0.52</v>
      </c>
      <c r="F123" s="65">
        <f>'Assumptions &amp; Inputs'!$F$80*'Assumptions &amp; Inputs'!$F$87*'Assumptions &amp; Inputs'!$F$77/$E$3*COUNTIF(F117,"&gt;0")*(1+'Assumptions &amp; Inputs'!$G$20)^(F108-'Assumptions &amp; Inputs'!$F$28/12)</f>
        <v>0.53560000000000008</v>
      </c>
      <c r="G123" s="65">
        <f>'Assumptions &amp; Inputs'!$F$80*'Assumptions &amp; Inputs'!$F$87*'Assumptions &amp; Inputs'!$F$77/$E$3*COUNTIF(G117,"&gt;0")*(1+'Assumptions &amp; Inputs'!$G$20)^(G108-'Assumptions &amp; Inputs'!$F$28/12)</f>
        <v>0.55166800000000005</v>
      </c>
      <c r="H123" s="65">
        <f>'Assumptions &amp; Inputs'!$F$80*'Assumptions &amp; Inputs'!$F$87*'Assumptions &amp; Inputs'!$F$77/$E$3*COUNTIF(H117,"&gt;0")*(1+'Assumptions &amp; Inputs'!$G$20)^(H108-'Assumptions &amp; Inputs'!$F$28/12)</f>
        <v>0.56821803999999998</v>
      </c>
      <c r="I123" s="65">
        <f>'Assumptions &amp; Inputs'!$F$80*'Assumptions &amp; Inputs'!$F$87*'Assumptions &amp; Inputs'!$F$77/$E$3*COUNTIF(I117,"&gt;0")*(1+'Assumptions &amp; Inputs'!$G$20)^(I108-'Assumptions &amp; Inputs'!$F$28/12)</f>
        <v>0.58526458120000002</v>
      </c>
      <c r="J123" s="65">
        <f>'Assumptions &amp; Inputs'!$F$80*'Assumptions &amp; Inputs'!$F$87*'Assumptions &amp; Inputs'!$F$77/$E$3*COUNTIF(J117,"&gt;0")*(1+'Assumptions &amp; Inputs'!$G$20)^(J108-'Assumptions &amp; Inputs'!$F$28/12)</f>
        <v>0.60282251863599989</v>
      </c>
      <c r="K123" s="65">
        <f>'Assumptions &amp; Inputs'!$F$80*'Assumptions &amp; Inputs'!$F$87*'Assumptions &amp; Inputs'!$F$77/$E$3*COUNTIF(K117,"&gt;0")*(1+'Assumptions &amp; Inputs'!$G$20)^(K108-'Assumptions &amp; Inputs'!$F$28/12)</f>
        <v>0.62090719419508</v>
      </c>
      <c r="L123" s="65">
        <f>'Assumptions &amp; Inputs'!$F$80*'Assumptions &amp; Inputs'!$F$87*'Assumptions &amp; Inputs'!$F$77/$E$3*COUNTIF(L117,"&gt;0")*(1+'Assumptions &amp; Inputs'!$G$20)^(L108-'Assumptions &amp; Inputs'!$F$28/12)</f>
        <v>0.63953441002093236</v>
      </c>
      <c r="M123" s="65">
        <f>'Assumptions &amp; Inputs'!$F$80*'Assumptions &amp; Inputs'!$F$87*'Assumptions &amp; Inputs'!$F$77/$E$3*COUNTIF(M117,"&gt;0")*(1+'Assumptions &amp; Inputs'!$G$20)^(M108-'Assumptions &amp; Inputs'!$F$28/12)</f>
        <v>0.65872044232156035</v>
      </c>
      <c r="N123" s="65">
        <f>'Assumptions &amp; Inputs'!$F$80*'Assumptions &amp; Inputs'!$F$87*'Assumptions &amp; Inputs'!$F$77/$E$3*COUNTIF(N117,"&gt;0")*(1+'Assumptions &amp; Inputs'!$G$20)^(N108-'Assumptions &amp; Inputs'!$F$28/12)</f>
        <v>0.67848205559120711</v>
      </c>
      <c r="O123" s="65">
        <f>'Assumptions &amp; Inputs'!$F$80*'Assumptions &amp; Inputs'!$F$87*'Assumptions &amp; Inputs'!$F$77/$E$3*COUNTIF(O117,"&gt;0")*(1+'Assumptions &amp; Inputs'!$G$20)^(O108-'Assumptions &amp; Inputs'!$F$28/12)</f>
        <v>0.69883651725894336</v>
      </c>
      <c r="P123" s="65">
        <f>'Assumptions &amp; Inputs'!$F$80*'Assumptions &amp; Inputs'!$F$87*'Assumptions &amp; Inputs'!$F$77/$E$3*COUNTIF(P117,"&gt;0")*(1+'Assumptions &amp; Inputs'!$G$20)^(P108-'Assumptions &amp; Inputs'!$F$28/12)</f>
        <v>0.71980161277671173</v>
      </c>
      <c r="Q123" s="65">
        <f>'Assumptions &amp; Inputs'!$F$80*'Assumptions &amp; Inputs'!$F$87*'Assumptions &amp; Inputs'!$F$77/$E$3*COUNTIF(Q117,"&gt;0")*(1+'Assumptions &amp; Inputs'!$G$20)^(Q108-'Assumptions &amp; Inputs'!$F$28/12)</f>
        <v>0.74139566116001288</v>
      </c>
      <c r="R123" s="65">
        <f>'Assumptions &amp; Inputs'!$F$80*'Assumptions &amp; Inputs'!$F$87*'Assumptions &amp; Inputs'!$F$77/$E$3*COUNTIF(R117,"&gt;0")*(1+'Assumptions &amp; Inputs'!$G$20)^(R108-'Assumptions &amp; Inputs'!$F$28/12)</f>
        <v>0.76363753099481324</v>
      </c>
      <c r="S123" s="65">
        <f>'Assumptions &amp; Inputs'!$F$80*'Assumptions &amp; Inputs'!$F$87*'Assumptions &amp; Inputs'!$F$77/$E$3*COUNTIF(S117,"&gt;0")*(1+'Assumptions &amp; Inputs'!$G$20)^(S108-'Assumptions &amp; Inputs'!$F$28/12)</f>
        <v>0.78654665692465775</v>
      </c>
      <c r="T123" s="65">
        <f>'Assumptions &amp; Inputs'!$F$80*'Assumptions &amp; Inputs'!$F$87*'Assumptions &amp; Inputs'!$F$77/$E$3*COUNTIF(T117,"&gt;0")*(1+'Assumptions &amp; Inputs'!$G$20)^(T108-'Assumptions &amp; Inputs'!$F$28/12)</f>
        <v>0.8101430566323975</v>
      </c>
      <c r="U123" s="65">
        <f>'Assumptions &amp; Inputs'!$F$80*'Assumptions &amp; Inputs'!$F$87*'Assumptions &amp; Inputs'!$F$77/$E$3*COUNTIF(U117,"&gt;0")*(1+'Assumptions &amp; Inputs'!$G$20)^(U108-'Assumptions &amp; Inputs'!$F$28/12)</f>
        <v>0.83444734833136935</v>
      </c>
      <c r="V123" s="65">
        <f>'Assumptions &amp; Inputs'!$F$80*'Assumptions &amp; Inputs'!$F$87*'Assumptions &amp; Inputs'!$F$77/$E$3*COUNTIF(V117,"&gt;0")*(1+'Assumptions &amp; Inputs'!$G$20)^(V108-'Assumptions &amp; Inputs'!$F$28/12)</f>
        <v>0.85948076878131041</v>
      </c>
      <c r="W123" s="65">
        <f>'Assumptions &amp; Inputs'!$F$80*'Assumptions &amp; Inputs'!$F$87*'Assumptions &amp; Inputs'!$F$77/$E$3*COUNTIF(W117,"&gt;0")*(1+'Assumptions &amp; Inputs'!$G$20)^(W108-'Assumptions &amp; Inputs'!$F$28/12)</f>
        <v>0.88526519184474972</v>
      </c>
      <c r="X123" s="65">
        <f>'Assumptions &amp; Inputs'!$F$80*'Assumptions &amp; Inputs'!$F$87*'Assumptions &amp; Inputs'!$F$77/$E$3*COUNTIF(X117,"&gt;0")*(1+'Assumptions &amp; Inputs'!$G$20)^(X108-'Assumptions &amp; Inputs'!$F$28/12)</f>
        <v>0.9118231476000922</v>
      </c>
      <c r="Y123" s="65">
        <f>'Assumptions &amp; Inputs'!$F$80*'Assumptions &amp; Inputs'!$F$87*'Assumptions &amp; Inputs'!$F$77/$E$3*COUNTIF(Y117,"&gt;0")*(1+'Assumptions &amp; Inputs'!$G$20)^(Y108-'Assumptions &amp; Inputs'!$F$28/12)</f>
        <v>0.93917784202809496</v>
      </c>
      <c r="Z123" s="65">
        <f>'Assumptions &amp; Inputs'!$F$80*'Assumptions &amp; Inputs'!$F$87*'Assumptions &amp; Inputs'!$F$77/$E$3*COUNTIF(Z117,"&gt;0")*(1+'Assumptions &amp; Inputs'!$G$20)^(Z108-'Assumptions &amp; Inputs'!$F$28/12)</f>
        <v>0.96735317728893766</v>
      </c>
      <c r="AA123" s="65">
        <f>'Assumptions &amp; Inputs'!$F$80*'Assumptions &amp; Inputs'!$F$87*'Assumptions &amp; Inputs'!$F$77/$E$3*COUNTIF(AA117,"&gt;0")*(1+'Assumptions &amp; Inputs'!$G$20)^(AA108-'Assumptions &amp; Inputs'!$F$28/12)</f>
        <v>0.99637377260760585</v>
      </c>
      <c r="AB123" s="65">
        <f>'Assumptions &amp; Inputs'!$F$80*'Assumptions &amp; Inputs'!$F$87*'Assumptions &amp; Inputs'!$F$77/$E$3*COUNTIF(AB117,"&gt;0")*(1+'Assumptions &amp; Inputs'!$G$20)^(AB108-'Assumptions &amp; Inputs'!$F$28/12)</f>
        <v>1.0262649857858341</v>
      </c>
      <c r="AC123" s="65">
        <f>'Assumptions &amp; Inputs'!$F$80*'Assumptions &amp; Inputs'!$F$87*'Assumptions &amp; Inputs'!$F$77/$E$3*COUNTIF(AC117,"&gt;0")*(1+'Assumptions &amp; Inputs'!$G$20)^(AC108-'Assumptions &amp; Inputs'!$F$28/12)</f>
        <v>1.0570529353594089</v>
      </c>
      <c r="AD123" s="65">
        <f>'Assumptions &amp; Inputs'!$F$80*'Assumptions &amp; Inputs'!$F$87*'Assumptions &amp; Inputs'!$F$77/$E$3*COUNTIF(AD117,"&gt;0")*(1+'Assumptions &amp; Inputs'!$G$20)^(AD108-'Assumptions &amp; Inputs'!$F$28/12)</f>
        <v>1.0887645234201913</v>
      </c>
      <c r="AE123" s="65">
        <f>'Assumptions &amp; Inputs'!$F$80*'Assumptions &amp; Inputs'!$F$87*'Assumptions &amp; Inputs'!$F$77/$E$3*COUNTIF(AE117,"&gt;0")*(1+'Assumptions &amp; Inputs'!$G$20)^(AE108-'Assumptions &amp; Inputs'!$F$28/12)</f>
        <v>0</v>
      </c>
      <c r="AF123" s="65">
        <f>'Assumptions &amp; Inputs'!$F$80*'Assumptions &amp; Inputs'!$F$87*'Assumptions &amp; Inputs'!$F$77/$E$3*COUNTIF(AF117,"&gt;0")*(1+'Assumptions &amp; Inputs'!$G$20)^(AF108-'Assumptions &amp; Inputs'!$F$28/12)</f>
        <v>0</v>
      </c>
      <c r="AG123" s="65">
        <f>'Assumptions &amp; Inputs'!$F$80*'Assumptions &amp; Inputs'!$F$87*'Assumptions &amp; Inputs'!$F$77/$E$3*COUNTIF(AG117,"&gt;0")*(1+'Assumptions &amp; Inputs'!$G$20)^(AG108-'Assumptions &amp; Inputs'!$F$28/12)</f>
        <v>0</v>
      </c>
      <c r="AH123" s="65">
        <f>'Assumptions &amp; Inputs'!$F$80*'Assumptions &amp; Inputs'!$F$87*'Assumptions &amp; Inputs'!$F$77/$E$3*COUNTIF(AH117,"&gt;0")*(1+'Assumptions &amp; Inputs'!$G$20)^(AH108-'Assumptions &amp; Inputs'!$F$28/12)</f>
        <v>0</v>
      </c>
      <c r="AI123" s="65">
        <f>'Assumptions &amp; Inputs'!$F$80*'Assumptions &amp; Inputs'!$F$87*'Assumptions &amp; Inputs'!$F$77/$E$3*COUNTIF(AI117,"&gt;0")*(1+'Assumptions &amp; Inputs'!$G$20)^(AI108-'Assumptions &amp; Inputs'!$F$28/12)</f>
        <v>0</v>
      </c>
      <c r="AJ123" s="65">
        <f>'Assumptions &amp; Inputs'!$F$80*'Assumptions &amp; Inputs'!$F$87*'Assumptions &amp; Inputs'!$F$77/$E$3*COUNTIF(AJ117,"&gt;0")*(1+'Assumptions &amp; Inputs'!$G$20)^(AJ108-'Assumptions &amp; Inputs'!$F$28/12)</f>
        <v>0</v>
      </c>
      <c r="AK123" s="65">
        <f>'Assumptions &amp; Inputs'!$F$80*'Assumptions &amp; Inputs'!$F$87*'Assumptions &amp; Inputs'!$F$77/$E$3*COUNTIF(AK117,"&gt;0")*(1+'Assumptions &amp; Inputs'!$G$20)^(AK108-'Assumptions &amp; Inputs'!$F$28/12)</f>
        <v>0</v>
      </c>
      <c r="AL123" s="65">
        <f>'Assumptions &amp; Inputs'!$F$80*'Assumptions &amp; Inputs'!$F$87*'Assumptions &amp; Inputs'!$F$77/$E$3*COUNTIF(AL117,"&gt;0")*(1+'Assumptions &amp; Inputs'!$G$20)^(AL108-'Assumptions &amp; Inputs'!$F$28/12)</f>
        <v>0</v>
      </c>
      <c r="AM123" s="65">
        <f>'Assumptions &amp; Inputs'!$F$80*'Assumptions &amp; Inputs'!$F$87*'Assumptions &amp; Inputs'!$F$77/$E$3*COUNTIF(AM117,"&gt;0")*(1+'Assumptions &amp; Inputs'!$G$20)^(AM108-'Assumptions &amp; Inputs'!$F$28/12)</f>
        <v>0</v>
      </c>
      <c r="AN123" s="65">
        <f>'Assumptions &amp; Inputs'!$F$80*'Assumptions &amp; Inputs'!$F$87*'Assumptions &amp; Inputs'!$F$77/$E$3*COUNTIF(AN117,"&gt;0")*(1+'Assumptions &amp; Inputs'!$G$20)^(AN108-'Assumptions &amp; Inputs'!$F$28/12)</f>
        <v>0</v>
      </c>
      <c r="AO123" s="65">
        <f>'Assumptions &amp; Inputs'!$F$80*'Assumptions &amp; Inputs'!$F$87*'Assumptions &amp; Inputs'!$F$77/$E$3*COUNTIF(AO117,"&gt;0")*(1+'Assumptions &amp; Inputs'!$G$20)^(AO108-'Assumptions &amp; Inputs'!$F$28/12)</f>
        <v>0</v>
      </c>
      <c r="AP123" s="65">
        <f>'Assumptions &amp; Inputs'!$F$80*'Assumptions &amp; Inputs'!$F$87*'Assumptions &amp; Inputs'!$F$77/$E$3*COUNTIF(AP117,"&gt;0")*(1+'Assumptions &amp; Inputs'!$G$20)^(AP108-'Assumptions &amp; Inputs'!$F$28/12)</f>
        <v>0</v>
      </c>
      <c r="AQ123" s="65">
        <f>'Assumptions &amp; Inputs'!$F$80*'Assumptions &amp; Inputs'!$F$87*'Assumptions &amp; Inputs'!$F$77/$E$3*COUNTIF(AQ117,"&gt;0")*(1+'Assumptions &amp; Inputs'!$G$20)^(AQ108-'Assumptions &amp; Inputs'!$F$28/12)</f>
        <v>0</v>
      </c>
      <c r="AR123" s="65">
        <f>'Assumptions &amp; Inputs'!$F$80*'Assumptions &amp; Inputs'!$F$87*'Assumptions &amp; Inputs'!$F$77/$E$3*COUNTIF(AR117,"&gt;0")*(1+'Assumptions &amp; Inputs'!$G$20)^(AR108-'Assumptions &amp; Inputs'!$F$28/12)</f>
        <v>0</v>
      </c>
      <c r="AS123" s="65">
        <f>'Assumptions &amp; Inputs'!$F$80*'Assumptions &amp; Inputs'!$F$87*'Assumptions &amp; Inputs'!$F$77/$E$3*COUNTIF(AS117,"&gt;0")*(1+'Assumptions &amp; Inputs'!$G$20)^(AS108-'Assumptions &amp; Inputs'!$F$28/12)</f>
        <v>0</v>
      </c>
      <c r="AT123" s="65">
        <f>'Assumptions &amp; Inputs'!$F$80*'Assumptions &amp; Inputs'!$F$87*'Assumptions &amp; Inputs'!$F$77/$E$3*COUNTIF(AT117,"&gt;0")*(1+'Assumptions &amp; Inputs'!$G$20)^(AT108-'Assumptions &amp; Inputs'!$F$28/12)</f>
        <v>0</v>
      </c>
      <c r="AU123" s="65">
        <f>'Assumptions &amp; Inputs'!$F$80*'Assumptions &amp; Inputs'!$F$87*'Assumptions &amp; Inputs'!$F$77/$E$3*COUNTIF(AU117,"&gt;0")*(1+'Assumptions &amp; Inputs'!$G$20)^(AU108-'Assumptions &amp; Inputs'!$F$28/12)</f>
        <v>0</v>
      </c>
      <c r="AV123" s="65">
        <f>'Assumptions &amp; Inputs'!$F$80*'Assumptions &amp; Inputs'!$F$87*'Assumptions &amp; Inputs'!$F$77/$E$3*COUNTIF(AV117,"&gt;0")*(1+'Assumptions &amp; Inputs'!$G$20)^(AV108-'Assumptions &amp; Inputs'!$F$28/12)</f>
        <v>0</v>
      </c>
      <c r="AW123" s="65">
        <f>'Assumptions &amp; Inputs'!$F$80*'Assumptions &amp; Inputs'!$F$87*'Assumptions &amp; Inputs'!$F$77/$E$3*COUNTIF(AW117,"&gt;0")*(1+'Assumptions &amp; Inputs'!$G$20)^(AW108-'Assumptions &amp; Inputs'!$F$28/12)</f>
        <v>0</v>
      </c>
    </row>
    <row r="124" spans="3:49" ht="14.25" customHeight="1">
      <c r="C124" s="44" t="s">
        <v>239</v>
      </c>
      <c r="D124" s="273">
        <f>_xlfn.XLOOKUP(D110, 'Real Estate'!$D$103:$BA$103, 'Real Estate'!$D$108:$BA$108)</f>
        <v>0</v>
      </c>
      <c r="E124" s="273">
        <f>_xlfn.XLOOKUP(E110, 'Real Estate'!$D$103:$BA$103, 'Real Estate'!$D$108:$BA$108)</f>
        <v>0</v>
      </c>
      <c r="F124" s="273">
        <f>_xlfn.XLOOKUP(F110, 'Real Estate'!$D$103:$BA$103, 'Real Estate'!$D$108:$BA$108)</f>
        <v>0</v>
      </c>
      <c r="G124" s="273">
        <f>_xlfn.XLOOKUP(G110, 'Real Estate'!$D$103:$BA$103, 'Real Estate'!$D$108:$BA$108)</f>
        <v>0</v>
      </c>
      <c r="H124" s="273">
        <f>_xlfn.XLOOKUP(H110, 'Real Estate'!$D$103:$BA$103, 'Real Estate'!$D$108:$BA$108)</f>
        <v>0</v>
      </c>
      <c r="I124" s="273">
        <f>_xlfn.XLOOKUP(I110, 'Real Estate'!$D$103:$BA$103, 'Real Estate'!$D$108:$BA$108)</f>
        <v>0</v>
      </c>
      <c r="J124" s="273">
        <f>_xlfn.XLOOKUP(J110, 'Real Estate'!$D$103:$BA$103, 'Real Estate'!$D$108:$BA$108)</f>
        <v>0</v>
      </c>
      <c r="K124" s="273">
        <f>_xlfn.XLOOKUP(K110, 'Real Estate'!$D$103:$BA$103, 'Real Estate'!$D$108:$BA$108)</f>
        <v>0</v>
      </c>
      <c r="L124" s="273">
        <f>_xlfn.XLOOKUP(L110, 'Real Estate'!$D$103:$BA$103, 'Real Estate'!$D$108:$BA$108)</f>
        <v>0</v>
      </c>
      <c r="M124" s="273">
        <f>_xlfn.XLOOKUP(M110, 'Real Estate'!$D$103:$BA$103, 'Real Estate'!$D$108:$BA$108)</f>
        <v>0</v>
      </c>
      <c r="N124" s="273">
        <f>_xlfn.XLOOKUP(N110, 'Real Estate'!$D$103:$BA$103, 'Real Estate'!$D$108:$BA$108)</f>
        <v>0</v>
      </c>
      <c r="O124" s="273">
        <f>_xlfn.XLOOKUP(O110, 'Real Estate'!$D$103:$BA$103, 'Real Estate'!$D$108:$BA$108)</f>
        <v>0</v>
      </c>
      <c r="P124" s="273">
        <f>_xlfn.XLOOKUP(P110, 'Real Estate'!$D$103:$BA$103, 'Real Estate'!$D$108:$BA$108)</f>
        <v>0</v>
      </c>
      <c r="Q124" s="273">
        <f>_xlfn.XLOOKUP(Q110, 'Real Estate'!$D$103:$BA$103, 'Real Estate'!$D$108:$BA$108)</f>
        <v>0</v>
      </c>
      <c r="R124" s="273">
        <f>_xlfn.XLOOKUP(R110, 'Real Estate'!$D$103:$BA$103, 'Real Estate'!$D$108:$BA$108)</f>
        <v>0</v>
      </c>
      <c r="S124" s="273">
        <f>_xlfn.XLOOKUP(S110, 'Real Estate'!$D$103:$BA$103, 'Real Estate'!$D$108:$BA$108)</f>
        <v>0</v>
      </c>
      <c r="T124" s="273">
        <f>_xlfn.XLOOKUP(T110, 'Real Estate'!$D$103:$BA$103, 'Real Estate'!$D$108:$BA$108)</f>
        <v>0</v>
      </c>
      <c r="U124" s="273">
        <f>_xlfn.XLOOKUP(U110, 'Real Estate'!$D$103:$BA$103, 'Real Estate'!$D$108:$BA$108)</f>
        <v>0</v>
      </c>
      <c r="V124" s="273">
        <f>_xlfn.XLOOKUP(V110, 'Real Estate'!$D$103:$BA$103, 'Real Estate'!$D$108:$BA$108)</f>
        <v>0</v>
      </c>
      <c r="W124" s="273">
        <f>_xlfn.XLOOKUP(W110, 'Real Estate'!$D$103:$BA$103, 'Real Estate'!$D$108:$BA$108)</f>
        <v>0</v>
      </c>
      <c r="X124" s="273">
        <f>_xlfn.XLOOKUP(X110, 'Real Estate'!$D$103:$BA$103, 'Real Estate'!$D$108:$BA$108)</f>
        <v>0</v>
      </c>
      <c r="Y124" s="273">
        <f>_xlfn.XLOOKUP(Y110, 'Real Estate'!$D$103:$BA$103, 'Real Estate'!$D$108:$BA$108)</f>
        <v>0</v>
      </c>
      <c r="Z124" s="273">
        <f>_xlfn.XLOOKUP(Z110, 'Real Estate'!$D$103:$BA$103, 'Real Estate'!$D$108:$BA$108)</f>
        <v>0</v>
      </c>
      <c r="AA124" s="273">
        <f>_xlfn.XLOOKUP(AA110, 'Real Estate'!$D$103:$BA$103, 'Real Estate'!$D$108:$BA$108)</f>
        <v>0</v>
      </c>
      <c r="AB124" s="273">
        <f>_xlfn.XLOOKUP(AB110, 'Real Estate'!$D$103:$BA$103, 'Real Estate'!$D$108:$BA$108)</f>
        <v>0</v>
      </c>
      <c r="AC124" s="273">
        <f>_xlfn.XLOOKUP(AC110, 'Real Estate'!$D$103:$BA$103, 'Real Estate'!$D$108:$BA$108)</f>
        <v>0</v>
      </c>
      <c r="AD124" s="273">
        <f>_xlfn.XLOOKUP(AD110, 'Real Estate'!$D$103:$BA$103, 'Real Estate'!$D$108:$BA$108)</f>
        <v>0</v>
      </c>
      <c r="AE124" s="273">
        <f>_xlfn.XLOOKUP(AE110, 'Real Estate'!$D$103:$BA$103, 'Real Estate'!$D$108:$BA$108)</f>
        <v>0</v>
      </c>
      <c r="AF124" s="273">
        <f>_xlfn.XLOOKUP(AF110, 'Real Estate'!$D$103:$BA$103, 'Real Estate'!$D$108:$BA$108)</f>
        <v>0</v>
      </c>
      <c r="AG124" s="273">
        <f>_xlfn.XLOOKUP(AG110, 'Real Estate'!$D$103:$BA$103, 'Real Estate'!$D$108:$BA$108)</f>
        <v>0</v>
      </c>
      <c r="AH124" s="273">
        <f>_xlfn.XLOOKUP(AH110, 'Real Estate'!$D$103:$BA$103, 'Real Estate'!$D$108:$BA$108)</f>
        <v>0</v>
      </c>
      <c r="AI124" s="273">
        <f>_xlfn.XLOOKUP(AI110, 'Real Estate'!$D$103:$BA$103, 'Real Estate'!$D$108:$BA$108)</f>
        <v>0</v>
      </c>
      <c r="AJ124" s="273">
        <f>_xlfn.XLOOKUP(AJ110, 'Real Estate'!$D$103:$BA$103, 'Real Estate'!$D$108:$BA$108)</f>
        <v>0</v>
      </c>
      <c r="AK124" s="273">
        <f>_xlfn.XLOOKUP(AK110, 'Real Estate'!$D$103:$BA$103, 'Real Estate'!$D$108:$BA$108)</f>
        <v>0</v>
      </c>
      <c r="AL124" s="273">
        <f>_xlfn.XLOOKUP(AL110, 'Real Estate'!$D$103:$BA$103, 'Real Estate'!$D$108:$BA$108)</f>
        <v>0</v>
      </c>
      <c r="AM124" s="273">
        <f>_xlfn.XLOOKUP(AM110, 'Real Estate'!$D$103:$BA$103, 'Real Estate'!$D$108:$BA$108)</f>
        <v>0</v>
      </c>
      <c r="AN124" s="273">
        <f>_xlfn.XLOOKUP(AN110, 'Real Estate'!$D$103:$BA$103, 'Real Estate'!$D$108:$BA$108)</f>
        <v>0</v>
      </c>
      <c r="AO124" s="273">
        <f>_xlfn.XLOOKUP(AO110, 'Real Estate'!$D$103:$BA$103, 'Real Estate'!$D$108:$BA$108)</f>
        <v>0</v>
      </c>
      <c r="AP124" s="273">
        <f>_xlfn.XLOOKUP(AP110, 'Real Estate'!$D$103:$BA$103, 'Real Estate'!$D$108:$BA$108)</f>
        <v>0</v>
      </c>
      <c r="AQ124" s="273">
        <f>_xlfn.XLOOKUP(AQ110, 'Real Estate'!$D$103:$BA$103, 'Real Estate'!$D$108:$BA$108)</f>
        <v>0</v>
      </c>
      <c r="AR124" s="273">
        <f>_xlfn.XLOOKUP(AR110, 'Real Estate'!$D$103:$BA$103, 'Real Estate'!$D$108:$BA$108)</f>
        <v>0</v>
      </c>
      <c r="AS124" s="273">
        <f>_xlfn.XLOOKUP(AS110, 'Real Estate'!$D$103:$BA$103, 'Real Estate'!$D$108:$BA$108)</f>
        <v>0</v>
      </c>
      <c r="AT124" s="273">
        <f>_xlfn.XLOOKUP(AT110, 'Real Estate'!$D$103:$BA$103, 'Real Estate'!$D$108:$BA$108)</f>
        <v>0</v>
      </c>
      <c r="AU124" s="273">
        <f>_xlfn.XLOOKUP(AU110, 'Real Estate'!$D$103:$BA$103, 'Real Estate'!$D$108:$BA$108)</f>
        <v>0</v>
      </c>
      <c r="AV124" s="273">
        <f>_xlfn.XLOOKUP(AV110, 'Real Estate'!$D$103:$BA$103, 'Real Estate'!$D$108:$BA$108)</f>
        <v>0</v>
      </c>
      <c r="AW124" s="273">
        <f>_xlfn.XLOOKUP(AW110, 'Real Estate'!$D$103:$BA$103, 'Real Estate'!$D$108:$BA$108)</f>
        <v>0</v>
      </c>
    </row>
    <row r="125" spans="3:49" ht="14.25" customHeight="1">
      <c r="C125" s="51" t="s">
        <v>516</v>
      </c>
      <c r="D125" s="71">
        <f>SUM(D123:D124)</f>
        <v>0</v>
      </c>
      <c r="E125" s="71">
        <f t="shared" ref="E125:AW125" si="353">SUM(E123:E124)</f>
        <v>0.52</v>
      </c>
      <c r="F125" s="71">
        <f t="shared" si="353"/>
        <v>0.53560000000000008</v>
      </c>
      <c r="G125" s="71">
        <f t="shared" si="353"/>
        <v>0.55166800000000005</v>
      </c>
      <c r="H125" s="71">
        <f t="shared" si="353"/>
        <v>0.56821803999999998</v>
      </c>
      <c r="I125" s="71">
        <f t="shared" si="353"/>
        <v>0.58526458120000002</v>
      </c>
      <c r="J125" s="71">
        <f t="shared" si="353"/>
        <v>0.60282251863599989</v>
      </c>
      <c r="K125" s="71">
        <f t="shared" si="353"/>
        <v>0.62090719419508</v>
      </c>
      <c r="L125" s="71">
        <f t="shared" si="353"/>
        <v>0.63953441002093236</v>
      </c>
      <c r="M125" s="71">
        <f t="shared" si="353"/>
        <v>0.65872044232156035</v>
      </c>
      <c r="N125" s="71">
        <f t="shared" si="353"/>
        <v>0.67848205559120711</v>
      </c>
      <c r="O125" s="71">
        <f t="shared" si="353"/>
        <v>0.69883651725894336</v>
      </c>
      <c r="P125" s="71">
        <f t="shared" si="353"/>
        <v>0.71980161277671173</v>
      </c>
      <c r="Q125" s="71">
        <f t="shared" si="353"/>
        <v>0.74139566116001288</v>
      </c>
      <c r="R125" s="71">
        <f t="shared" si="353"/>
        <v>0.76363753099481324</v>
      </c>
      <c r="S125" s="71">
        <f t="shared" si="353"/>
        <v>0.78654665692465775</v>
      </c>
      <c r="T125" s="71">
        <f t="shared" si="353"/>
        <v>0.8101430566323975</v>
      </c>
      <c r="U125" s="71">
        <f t="shared" si="353"/>
        <v>0.83444734833136935</v>
      </c>
      <c r="V125" s="71">
        <f t="shared" si="353"/>
        <v>0.85948076878131041</v>
      </c>
      <c r="W125" s="71">
        <f t="shared" si="353"/>
        <v>0.88526519184474972</v>
      </c>
      <c r="X125" s="71">
        <f t="shared" si="353"/>
        <v>0.9118231476000922</v>
      </c>
      <c r="Y125" s="71">
        <f t="shared" si="353"/>
        <v>0.93917784202809496</v>
      </c>
      <c r="Z125" s="71">
        <f t="shared" si="353"/>
        <v>0.96735317728893766</v>
      </c>
      <c r="AA125" s="71">
        <f t="shared" si="353"/>
        <v>0.99637377260760585</v>
      </c>
      <c r="AB125" s="71">
        <f t="shared" si="353"/>
        <v>1.0262649857858341</v>
      </c>
      <c r="AC125" s="71">
        <f t="shared" si="353"/>
        <v>1.0570529353594089</v>
      </c>
      <c r="AD125" s="71">
        <f t="shared" si="353"/>
        <v>1.0887645234201913</v>
      </c>
      <c r="AE125" s="71">
        <f t="shared" si="353"/>
        <v>0</v>
      </c>
      <c r="AF125" s="71">
        <f t="shared" si="353"/>
        <v>0</v>
      </c>
      <c r="AG125" s="71">
        <f t="shared" si="353"/>
        <v>0</v>
      </c>
      <c r="AH125" s="71">
        <f t="shared" si="353"/>
        <v>0</v>
      </c>
      <c r="AI125" s="71">
        <f t="shared" si="353"/>
        <v>0</v>
      </c>
      <c r="AJ125" s="71">
        <f t="shared" si="353"/>
        <v>0</v>
      </c>
      <c r="AK125" s="71">
        <f t="shared" si="353"/>
        <v>0</v>
      </c>
      <c r="AL125" s="71">
        <f t="shared" si="353"/>
        <v>0</v>
      </c>
      <c r="AM125" s="71">
        <f t="shared" si="353"/>
        <v>0</v>
      </c>
      <c r="AN125" s="71">
        <f t="shared" si="353"/>
        <v>0</v>
      </c>
      <c r="AO125" s="71">
        <f t="shared" si="353"/>
        <v>0</v>
      </c>
      <c r="AP125" s="71">
        <f t="shared" si="353"/>
        <v>0</v>
      </c>
      <c r="AQ125" s="71">
        <f t="shared" si="353"/>
        <v>0</v>
      </c>
      <c r="AR125" s="71">
        <f t="shared" si="353"/>
        <v>0</v>
      </c>
      <c r="AS125" s="71">
        <f t="shared" si="353"/>
        <v>0</v>
      </c>
      <c r="AT125" s="71">
        <f t="shared" si="353"/>
        <v>0</v>
      </c>
      <c r="AU125" s="71">
        <f t="shared" si="353"/>
        <v>0</v>
      </c>
      <c r="AV125" s="71">
        <f t="shared" si="353"/>
        <v>0</v>
      </c>
      <c r="AW125" s="71">
        <f t="shared" si="353"/>
        <v>0</v>
      </c>
    </row>
    <row r="126" spans="3:49" ht="14.25" customHeight="1">
      <c r="C126" s="44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</row>
    <row r="127" spans="3:49" ht="14.25" customHeight="1">
      <c r="C127" s="44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</row>
    <row r="128" spans="3:49" ht="14.25" customHeight="1">
      <c r="C128" s="109" t="s">
        <v>481</v>
      </c>
      <c r="D128" s="108">
        <f>SUM(D120,-D125)</f>
        <v>0</v>
      </c>
      <c r="E128" s="108">
        <f t="shared" ref="E128:AW128" si="354">SUM(E120,-E125)</f>
        <v>4.9244880000000002</v>
      </c>
      <c r="F128" s="108">
        <f t="shared" si="354"/>
        <v>6.1063136</v>
      </c>
      <c r="G128" s="108">
        <f t="shared" si="354"/>
        <v>6.2230838719999992</v>
      </c>
      <c r="H128" s="108">
        <f t="shared" si="354"/>
        <v>6.34202886944</v>
      </c>
      <c r="I128" s="108">
        <f t="shared" si="354"/>
        <v>6.4631872664288013</v>
      </c>
      <c r="J128" s="108">
        <f t="shared" si="354"/>
        <v>6.5865983659453775</v>
      </c>
      <c r="K128" s="108">
        <f t="shared" si="354"/>
        <v>6.7123021080779228</v>
      </c>
      <c r="L128" s="108">
        <f t="shared" si="354"/>
        <v>6.8403390782975313</v>
      </c>
      <c r="M128" s="108">
        <f t="shared" si="354"/>
        <v>6.9707505157632719</v>
      </c>
      <c r="N128" s="108">
        <f t="shared" si="354"/>
        <v>7.1035783216553217</v>
      </c>
      <c r="O128" s="108">
        <f t="shared" si="354"/>
        <v>7.2388650675325152</v>
      </c>
      <c r="P128" s="108">
        <f t="shared" si="354"/>
        <v>7.376654003710577</v>
      </c>
      <c r="Q128" s="108">
        <f t="shared" si="354"/>
        <v>7.5169890676570219</v>
      </c>
      <c r="R128" s="108">
        <f t="shared" si="354"/>
        <v>7.6599148923985627</v>
      </c>
      <c r="S128" s="108">
        <f t="shared" si="354"/>
        <v>7.805476814936581</v>
      </c>
      <c r="T128" s="108">
        <f t="shared" si="354"/>
        <v>7.9537208846660681</v>
      </c>
      <c r="U128" s="108">
        <f t="shared" si="354"/>
        <v>8.1046938717930672</v>
      </c>
      <c r="V128" s="108">
        <f t="shared" si="354"/>
        <v>8.2584432757456145</v>
      </c>
      <c r="W128" s="108">
        <f t="shared" si="354"/>
        <v>8.4150173335727132</v>
      </c>
      <c r="X128" s="108">
        <f t="shared" si="354"/>
        <v>8.5744650283257222</v>
      </c>
      <c r="Y128" s="108">
        <f t="shared" si="354"/>
        <v>8.7368360974162353</v>
      </c>
      <c r="Z128" s="108">
        <f t="shared" si="354"/>
        <v>8.9021810409442779</v>
      </c>
      <c r="AA128" s="108">
        <f t="shared" si="354"/>
        <v>9.070551129990271</v>
      </c>
      <c r="AB128" s="108">
        <f t="shared" si="354"/>
        <v>9.2419984148640015</v>
      </c>
      <c r="AC128" s="108">
        <f t="shared" si="354"/>
        <v>9.416575733303425</v>
      </c>
      <c r="AD128" s="108">
        <f t="shared" si="354"/>
        <v>9.5943367186158994</v>
      </c>
      <c r="AE128" s="108">
        <f t="shared" si="354"/>
        <v>0</v>
      </c>
      <c r="AF128" s="108">
        <f t="shared" si="354"/>
        <v>0</v>
      </c>
      <c r="AG128" s="108">
        <f t="shared" si="354"/>
        <v>0</v>
      </c>
      <c r="AH128" s="108">
        <f t="shared" si="354"/>
        <v>0</v>
      </c>
      <c r="AI128" s="108">
        <f t="shared" si="354"/>
        <v>0</v>
      </c>
      <c r="AJ128" s="108">
        <f t="shared" si="354"/>
        <v>0</v>
      </c>
      <c r="AK128" s="108">
        <f t="shared" si="354"/>
        <v>0</v>
      </c>
      <c r="AL128" s="108">
        <f t="shared" si="354"/>
        <v>0</v>
      </c>
      <c r="AM128" s="108">
        <f t="shared" si="354"/>
        <v>0</v>
      </c>
      <c r="AN128" s="108">
        <f t="shared" si="354"/>
        <v>0</v>
      </c>
      <c r="AO128" s="108">
        <f t="shared" si="354"/>
        <v>0</v>
      </c>
      <c r="AP128" s="108">
        <f t="shared" si="354"/>
        <v>0</v>
      </c>
      <c r="AQ128" s="108">
        <f t="shared" si="354"/>
        <v>0</v>
      </c>
      <c r="AR128" s="108">
        <f t="shared" si="354"/>
        <v>0</v>
      </c>
      <c r="AS128" s="108">
        <f t="shared" si="354"/>
        <v>0</v>
      </c>
      <c r="AT128" s="108">
        <f t="shared" si="354"/>
        <v>0</v>
      </c>
      <c r="AU128" s="108">
        <f t="shared" si="354"/>
        <v>0</v>
      </c>
      <c r="AV128" s="108">
        <f t="shared" si="354"/>
        <v>0</v>
      </c>
      <c r="AW128" s="108">
        <f t="shared" si="354"/>
        <v>0</v>
      </c>
    </row>
    <row r="130" spans="3:49" ht="14.25" customHeight="1">
      <c r="C130" s="46" t="s">
        <v>482</v>
      </c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</row>
    <row r="131" spans="3:49" ht="14.25" customHeight="1">
      <c r="C131" s="54" t="s">
        <v>517</v>
      </c>
      <c r="D131" s="70"/>
      <c r="E131" s="73">
        <f t="shared" ref="E131:AW131" si="355">-E101</f>
        <v>0</v>
      </c>
      <c r="F131" s="73">
        <f t="shared" si="355"/>
        <v>0</v>
      </c>
      <c r="G131" s="73">
        <f t="shared" si="355"/>
        <v>0</v>
      </c>
      <c r="H131" s="73">
        <f t="shared" si="355"/>
        <v>0</v>
      </c>
      <c r="I131" s="73">
        <f t="shared" si="355"/>
        <v>0</v>
      </c>
      <c r="J131" s="73">
        <f t="shared" si="355"/>
        <v>0</v>
      </c>
      <c r="K131" s="73">
        <f t="shared" si="355"/>
        <v>0</v>
      </c>
      <c r="L131" s="73">
        <f t="shared" si="355"/>
        <v>0</v>
      </c>
      <c r="M131" s="73">
        <f t="shared" si="355"/>
        <v>0</v>
      </c>
      <c r="N131" s="73">
        <f t="shared" si="355"/>
        <v>0</v>
      </c>
      <c r="O131" s="73">
        <f t="shared" si="355"/>
        <v>0</v>
      </c>
      <c r="P131" s="73">
        <f t="shared" si="355"/>
        <v>0</v>
      </c>
      <c r="Q131" s="73">
        <f t="shared" si="355"/>
        <v>0</v>
      </c>
      <c r="R131" s="73">
        <f t="shared" si="355"/>
        <v>0</v>
      </c>
      <c r="S131" s="73">
        <f t="shared" si="355"/>
        <v>0</v>
      </c>
      <c r="T131" s="73">
        <f t="shared" si="355"/>
        <v>0</v>
      </c>
      <c r="U131" s="73">
        <f t="shared" si="355"/>
        <v>0</v>
      </c>
      <c r="V131" s="73">
        <f t="shared" si="355"/>
        <v>0</v>
      </c>
      <c r="W131" s="73">
        <f t="shared" si="355"/>
        <v>0</v>
      </c>
      <c r="X131" s="73">
        <f t="shared" si="355"/>
        <v>0</v>
      </c>
      <c r="Y131" s="73">
        <f t="shared" si="355"/>
        <v>0</v>
      </c>
      <c r="Z131" s="73">
        <f t="shared" si="355"/>
        <v>0</v>
      </c>
      <c r="AA131" s="73">
        <f t="shared" si="355"/>
        <v>0</v>
      </c>
      <c r="AB131" s="73">
        <f t="shared" si="355"/>
        <v>0</v>
      </c>
      <c r="AC131" s="73">
        <f t="shared" si="355"/>
        <v>0</v>
      </c>
      <c r="AD131" s="73">
        <f t="shared" si="355"/>
        <v>0</v>
      </c>
      <c r="AE131" s="73">
        <f t="shared" si="355"/>
        <v>0</v>
      </c>
      <c r="AF131" s="73">
        <f t="shared" si="355"/>
        <v>0</v>
      </c>
      <c r="AG131" s="73">
        <f t="shared" si="355"/>
        <v>0</v>
      </c>
      <c r="AH131" s="73">
        <f t="shared" si="355"/>
        <v>0</v>
      </c>
      <c r="AI131" s="73">
        <f t="shared" si="355"/>
        <v>0</v>
      </c>
      <c r="AJ131" s="73">
        <f t="shared" si="355"/>
        <v>0</v>
      </c>
      <c r="AK131" s="73">
        <f t="shared" si="355"/>
        <v>0</v>
      </c>
      <c r="AL131" s="73">
        <f t="shared" si="355"/>
        <v>0</v>
      </c>
      <c r="AM131" s="73">
        <f t="shared" si="355"/>
        <v>0</v>
      </c>
      <c r="AN131" s="73">
        <f t="shared" si="355"/>
        <v>0</v>
      </c>
      <c r="AO131" s="73">
        <f t="shared" si="355"/>
        <v>0</v>
      </c>
      <c r="AP131" s="73">
        <f t="shared" si="355"/>
        <v>0</v>
      </c>
      <c r="AQ131" s="73">
        <f t="shared" si="355"/>
        <v>0</v>
      </c>
      <c r="AR131" s="73">
        <f t="shared" si="355"/>
        <v>0</v>
      </c>
      <c r="AS131" s="73">
        <f t="shared" si="355"/>
        <v>0</v>
      </c>
      <c r="AT131" s="73">
        <f t="shared" si="355"/>
        <v>0</v>
      </c>
      <c r="AU131" s="73">
        <f t="shared" si="355"/>
        <v>0</v>
      </c>
      <c r="AV131" s="73">
        <f t="shared" si="355"/>
        <v>0</v>
      </c>
      <c r="AW131" s="73">
        <f t="shared" si="355"/>
        <v>0</v>
      </c>
    </row>
    <row r="132" spans="3:49" ht="14.25" customHeight="1">
      <c r="C132" s="54" t="s">
        <v>485</v>
      </c>
      <c r="D132" s="70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</row>
    <row r="133" spans="3:49" ht="14.25" customHeight="1">
      <c r="C133" s="57" t="s">
        <v>518</v>
      </c>
      <c r="D133" s="70"/>
      <c r="E133" s="73"/>
      <c r="F133" s="73"/>
      <c r="G133" s="73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</row>
    <row r="134" spans="3:49" ht="14.25" customHeight="1">
      <c r="C134" s="59" t="s">
        <v>486</v>
      </c>
      <c r="D134" s="74">
        <f t="shared" ref="D134:X134" si="356">SUM(D131:D133)</f>
        <v>0</v>
      </c>
      <c r="E134" s="74">
        <f t="shared" si="356"/>
        <v>0</v>
      </c>
      <c r="F134" s="74">
        <f t="shared" si="356"/>
        <v>0</v>
      </c>
      <c r="G134" s="74">
        <f t="shared" si="356"/>
        <v>0</v>
      </c>
      <c r="H134" s="74">
        <f t="shared" si="356"/>
        <v>0</v>
      </c>
      <c r="I134" s="74">
        <f t="shared" si="356"/>
        <v>0</v>
      </c>
      <c r="J134" s="74">
        <f t="shared" si="356"/>
        <v>0</v>
      </c>
      <c r="K134" s="74">
        <f t="shared" si="356"/>
        <v>0</v>
      </c>
      <c r="L134" s="74">
        <f t="shared" si="356"/>
        <v>0</v>
      </c>
      <c r="M134" s="74">
        <f t="shared" si="356"/>
        <v>0</v>
      </c>
      <c r="N134" s="74">
        <f t="shared" si="356"/>
        <v>0</v>
      </c>
      <c r="O134" s="74">
        <f t="shared" si="356"/>
        <v>0</v>
      </c>
      <c r="P134" s="74">
        <f t="shared" si="356"/>
        <v>0</v>
      </c>
      <c r="Q134" s="74">
        <f t="shared" si="356"/>
        <v>0</v>
      </c>
      <c r="R134" s="74">
        <f t="shared" si="356"/>
        <v>0</v>
      </c>
      <c r="S134" s="74">
        <f t="shared" si="356"/>
        <v>0</v>
      </c>
      <c r="T134" s="74">
        <f t="shared" si="356"/>
        <v>0</v>
      </c>
      <c r="U134" s="74">
        <f t="shared" si="356"/>
        <v>0</v>
      </c>
      <c r="V134" s="74">
        <f t="shared" si="356"/>
        <v>0</v>
      </c>
      <c r="W134" s="74">
        <f t="shared" si="356"/>
        <v>0</v>
      </c>
      <c r="X134" s="74">
        <f t="shared" si="356"/>
        <v>0</v>
      </c>
      <c r="Y134" s="74">
        <f t="shared" ref="Y134:AW134" si="357">SUM(Y131:Y133)</f>
        <v>0</v>
      </c>
      <c r="Z134" s="74">
        <f t="shared" si="357"/>
        <v>0</v>
      </c>
      <c r="AA134" s="74">
        <f t="shared" si="357"/>
        <v>0</v>
      </c>
      <c r="AB134" s="74">
        <f t="shared" si="357"/>
        <v>0</v>
      </c>
      <c r="AC134" s="74">
        <f t="shared" si="357"/>
        <v>0</v>
      </c>
      <c r="AD134" s="74">
        <f t="shared" si="357"/>
        <v>0</v>
      </c>
      <c r="AE134" s="74">
        <f t="shared" si="357"/>
        <v>0</v>
      </c>
      <c r="AF134" s="74">
        <f t="shared" si="357"/>
        <v>0</v>
      </c>
      <c r="AG134" s="74">
        <f t="shared" si="357"/>
        <v>0</v>
      </c>
      <c r="AH134" s="74">
        <f t="shared" si="357"/>
        <v>0</v>
      </c>
      <c r="AI134" s="74">
        <f t="shared" si="357"/>
        <v>0</v>
      </c>
      <c r="AJ134" s="74">
        <f t="shared" si="357"/>
        <v>0</v>
      </c>
      <c r="AK134" s="74">
        <f t="shared" si="357"/>
        <v>0</v>
      </c>
      <c r="AL134" s="74">
        <f t="shared" si="357"/>
        <v>0</v>
      </c>
      <c r="AM134" s="74">
        <f t="shared" si="357"/>
        <v>0</v>
      </c>
      <c r="AN134" s="74">
        <f t="shared" si="357"/>
        <v>0</v>
      </c>
      <c r="AO134" s="74">
        <f t="shared" si="357"/>
        <v>0</v>
      </c>
      <c r="AP134" s="74">
        <f t="shared" si="357"/>
        <v>0</v>
      </c>
      <c r="AQ134" s="74">
        <f t="shared" si="357"/>
        <v>0</v>
      </c>
      <c r="AR134" s="74">
        <f t="shared" si="357"/>
        <v>0</v>
      </c>
      <c r="AS134" s="74">
        <f t="shared" si="357"/>
        <v>0</v>
      </c>
      <c r="AT134" s="74">
        <f t="shared" si="357"/>
        <v>0</v>
      </c>
      <c r="AU134" s="74">
        <f t="shared" si="357"/>
        <v>0</v>
      </c>
      <c r="AV134" s="74">
        <f t="shared" si="357"/>
        <v>0</v>
      </c>
      <c r="AW134" s="74">
        <f t="shared" si="357"/>
        <v>0</v>
      </c>
    </row>
    <row r="135" spans="3:49" ht="14.25" customHeight="1">
      <c r="C135" s="44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</row>
    <row r="136" spans="3:49" ht="14.25" customHeight="1">
      <c r="C136" s="44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</row>
    <row r="137" spans="3:49" ht="14.25" customHeight="1">
      <c r="C137" s="109" t="s">
        <v>487</v>
      </c>
      <c r="D137" s="108">
        <f>+SUM(D128,D134)</f>
        <v>0</v>
      </c>
      <c r="E137" s="108">
        <f>+SUM(E128,E134)</f>
        <v>4.9244880000000002</v>
      </c>
      <c r="F137" s="108">
        <f t="shared" ref="F137:X137" si="358">+SUM(F128,F134)</f>
        <v>6.1063136</v>
      </c>
      <c r="G137" s="108">
        <f t="shared" si="358"/>
        <v>6.2230838719999992</v>
      </c>
      <c r="H137" s="108">
        <f t="shared" si="358"/>
        <v>6.34202886944</v>
      </c>
      <c r="I137" s="108">
        <f t="shared" si="358"/>
        <v>6.4631872664288013</v>
      </c>
      <c r="J137" s="108">
        <f t="shared" si="358"/>
        <v>6.5865983659453775</v>
      </c>
      <c r="K137" s="108">
        <f t="shared" si="358"/>
        <v>6.7123021080779228</v>
      </c>
      <c r="L137" s="108">
        <f t="shared" si="358"/>
        <v>6.8403390782975313</v>
      </c>
      <c r="M137" s="108">
        <f t="shared" si="358"/>
        <v>6.9707505157632719</v>
      </c>
      <c r="N137" s="108">
        <f t="shared" si="358"/>
        <v>7.1035783216553217</v>
      </c>
      <c r="O137" s="108">
        <f t="shared" si="358"/>
        <v>7.2388650675325152</v>
      </c>
      <c r="P137" s="108">
        <f t="shared" si="358"/>
        <v>7.376654003710577</v>
      </c>
      <c r="Q137" s="108">
        <f t="shared" si="358"/>
        <v>7.5169890676570219</v>
      </c>
      <c r="R137" s="108">
        <f t="shared" si="358"/>
        <v>7.6599148923985627</v>
      </c>
      <c r="S137" s="108">
        <f t="shared" si="358"/>
        <v>7.805476814936581</v>
      </c>
      <c r="T137" s="108">
        <f t="shared" si="358"/>
        <v>7.9537208846660681</v>
      </c>
      <c r="U137" s="108">
        <f t="shared" si="358"/>
        <v>8.1046938717930672</v>
      </c>
      <c r="V137" s="108">
        <f t="shared" si="358"/>
        <v>8.2584432757456145</v>
      </c>
      <c r="W137" s="108">
        <f t="shared" si="358"/>
        <v>8.4150173335727132</v>
      </c>
      <c r="X137" s="108">
        <f t="shared" si="358"/>
        <v>8.5744650283257222</v>
      </c>
      <c r="Y137" s="108">
        <f t="shared" ref="Y137:AW137" si="359">+SUM(Y128,Y134)</f>
        <v>8.7368360974162353</v>
      </c>
      <c r="Z137" s="108">
        <f t="shared" si="359"/>
        <v>8.9021810409442779</v>
      </c>
      <c r="AA137" s="108">
        <f t="shared" si="359"/>
        <v>9.070551129990271</v>
      </c>
      <c r="AB137" s="108">
        <f t="shared" si="359"/>
        <v>9.2419984148640015</v>
      </c>
      <c r="AC137" s="108">
        <f t="shared" si="359"/>
        <v>9.416575733303425</v>
      </c>
      <c r="AD137" s="108">
        <f t="shared" si="359"/>
        <v>9.5943367186158994</v>
      </c>
      <c r="AE137" s="108">
        <f t="shared" si="359"/>
        <v>0</v>
      </c>
      <c r="AF137" s="108">
        <f t="shared" si="359"/>
        <v>0</v>
      </c>
      <c r="AG137" s="108">
        <f t="shared" si="359"/>
        <v>0</v>
      </c>
      <c r="AH137" s="108">
        <f t="shared" si="359"/>
        <v>0</v>
      </c>
      <c r="AI137" s="108">
        <f t="shared" si="359"/>
        <v>0</v>
      </c>
      <c r="AJ137" s="108">
        <f t="shared" si="359"/>
        <v>0</v>
      </c>
      <c r="AK137" s="108">
        <f t="shared" si="359"/>
        <v>0</v>
      </c>
      <c r="AL137" s="108">
        <f t="shared" si="359"/>
        <v>0</v>
      </c>
      <c r="AM137" s="108">
        <f t="shared" si="359"/>
        <v>0</v>
      </c>
      <c r="AN137" s="108">
        <f t="shared" si="359"/>
        <v>0</v>
      </c>
      <c r="AO137" s="108">
        <f t="shared" si="359"/>
        <v>0</v>
      </c>
      <c r="AP137" s="108">
        <f t="shared" si="359"/>
        <v>0</v>
      </c>
      <c r="AQ137" s="108">
        <f t="shared" si="359"/>
        <v>0</v>
      </c>
      <c r="AR137" s="108">
        <f t="shared" si="359"/>
        <v>0</v>
      </c>
      <c r="AS137" s="108">
        <f t="shared" si="359"/>
        <v>0</v>
      </c>
      <c r="AT137" s="108">
        <f t="shared" si="359"/>
        <v>0</v>
      </c>
      <c r="AU137" s="108">
        <f t="shared" si="359"/>
        <v>0</v>
      </c>
      <c r="AV137" s="108">
        <f t="shared" si="359"/>
        <v>0</v>
      </c>
      <c r="AW137" s="108">
        <f t="shared" si="359"/>
        <v>0</v>
      </c>
    </row>
    <row r="138" spans="3:49" ht="14.25" customHeight="1">
      <c r="C138" s="102" t="s">
        <v>488</v>
      </c>
      <c r="D138" s="110">
        <f>IF(D137&gt;0,-D137*'Assumptions &amp; Inputs'!$F$12,0)</f>
        <v>0</v>
      </c>
      <c r="E138" s="110">
        <f>IF(E137&gt;0,-E137*'Assumptions &amp; Inputs'!$F$12,0)</f>
        <v>-1.2803668800000001</v>
      </c>
      <c r="F138" s="110">
        <f>IF(F137&gt;0,-F137*'Assumptions &amp; Inputs'!$F$12,0)</f>
        <v>-1.587641536</v>
      </c>
      <c r="G138" s="110">
        <f>IF(G137&gt;0,-G137*'Assumptions &amp; Inputs'!$F$12,0)</f>
        <v>-1.6180018067199999</v>
      </c>
      <c r="H138" s="110">
        <f>IF(H137&gt;0,-H137*'Assumptions &amp; Inputs'!$F$12,0)</f>
        <v>-1.6489275060544</v>
      </c>
      <c r="I138" s="110">
        <f>IF(I137&gt;0,-I137*'Assumptions &amp; Inputs'!$F$12,0)</f>
        <v>-1.6804286892714884</v>
      </c>
      <c r="J138" s="110">
        <f>IF(J137&gt;0,-J137*'Assumptions &amp; Inputs'!$F$12,0)</f>
        <v>-1.7125155751457981</v>
      </c>
      <c r="K138" s="110">
        <f>IF(K137&gt;0,-K137*'Assumptions &amp; Inputs'!$F$12,0)</f>
        <v>-1.7451985481002601</v>
      </c>
      <c r="L138" s="110">
        <f>IF(L137&gt;0,-L137*'Assumptions &amp; Inputs'!$F$12,0)</f>
        <v>-1.7784881603573581</v>
      </c>
      <c r="M138" s="110">
        <f>IF(M137&gt;0,-M137*'Assumptions &amp; Inputs'!$F$12,0)</f>
        <v>-1.8123951340984508</v>
      </c>
      <c r="N138" s="110">
        <f>IF(N137&gt;0,-N137*'Assumptions &amp; Inputs'!$F$12,0)</f>
        <v>-1.8469303636303838</v>
      </c>
      <c r="O138" s="110">
        <f>IF(O137&gt;0,-O137*'Assumptions &amp; Inputs'!$F$12,0)</f>
        <v>-1.8821049175584541</v>
      </c>
      <c r="P138" s="110">
        <f>IF(P137&gt;0,-P137*'Assumptions &amp; Inputs'!$F$12,0)</f>
        <v>-1.9179300409647502</v>
      </c>
      <c r="Q138" s="110">
        <f>IF(Q137&gt;0,-Q137*'Assumptions &amp; Inputs'!$F$12,0)</f>
        <v>-1.9544171575908258</v>
      </c>
      <c r="R138" s="110">
        <f>IF(R137&gt;0,-R137*'Assumptions &amp; Inputs'!$F$12,0)</f>
        <v>-1.9915778720236263</v>
      </c>
      <c r="S138" s="110">
        <f>IF(S137&gt;0,-S137*'Assumptions &amp; Inputs'!$F$12,0)</f>
        <v>-2.029423971883511</v>
      </c>
      <c r="T138" s="110">
        <f>IF(T137&gt;0,-T137*'Assumptions &amp; Inputs'!$F$12,0)</f>
        <v>-2.0679674300131778</v>
      </c>
      <c r="U138" s="110">
        <f>IF(U137&gt;0,-U137*'Assumptions &amp; Inputs'!$F$12,0)</f>
        <v>-2.1072204066661975</v>
      </c>
      <c r="V138" s="110">
        <f>IF(V137&gt;0,-V137*'Assumptions &amp; Inputs'!$F$12,0)</f>
        <v>-2.1471952516938599</v>
      </c>
      <c r="W138" s="110">
        <f>IF(W137&gt;0,-W137*'Assumptions &amp; Inputs'!$F$12,0)</f>
        <v>-2.1879045067289056</v>
      </c>
      <c r="X138" s="110">
        <f>IF(X137&gt;0,-X137*'Assumptions &amp; Inputs'!$F$12,0)</f>
        <v>-2.2293609073646881</v>
      </c>
      <c r="Y138" s="110">
        <f>IF(Y137&gt;0,-Y137*'Assumptions &amp; Inputs'!$F$12,0)</f>
        <v>-2.2715773853282211</v>
      </c>
      <c r="Z138" s="110">
        <f>IF(Z137&gt;0,-Z137*'Assumptions &amp; Inputs'!$F$12,0)</f>
        <v>-2.3145670706455124</v>
      </c>
      <c r="AA138" s="110">
        <f>IF(AA137&gt;0,-AA137*'Assumptions &amp; Inputs'!$F$12,0)</f>
        <v>-2.3583432937974704</v>
      </c>
      <c r="AB138" s="110">
        <f>IF(AB137&gt;0,-AB137*'Assumptions &amp; Inputs'!$F$12,0)</f>
        <v>-2.4029195878646403</v>
      </c>
      <c r="AC138" s="110">
        <f>IF(AC137&gt;0,-AC137*'Assumptions &amp; Inputs'!$F$12,0)</f>
        <v>-2.4483096906588906</v>
      </c>
      <c r="AD138" s="110">
        <f>IF(AD137&gt;0,-AD137*'Assumptions &amp; Inputs'!$F$12,0)</f>
        <v>-2.4945275468401338</v>
      </c>
      <c r="AE138" s="110">
        <f>IF(AE137&gt;0,-AE137*'Assumptions &amp; Inputs'!$F$12,0)</f>
        <v>0</v>
      </c>
      <c r="AF138" s="110">
        <f>IF(AF137&gt;0,-AF137*'Assumptions &amp; Inputs'!$F$12,0)</f>
        <v>0</v>
      </c>
      <c r="AG138" s="110">
        <f>IF(AG137&gt;0,-AG137*'Assumptions &amp; Inputs'!$F$12,0)</f>
        <v>0</v>
      </c>
      <c r="AH138" s="110">
        <f>IF(AH137&gt;0,-AH137*'Assumptions &amp; Inputs'!$F$12,0)</f>
        <v>0</v>
      </c>
      <c r="AI138" s="110">
        <f>IF(AI137&gt;0,-AI137*'Assumptions &amp; Inputs'!$F$12,0)</f>
        <v>0</v>
      </c>
      <c r="AJ138" s="110">
        <f>IF(AJ137&gt;0,-AJ137*'Assumptions &amp; Inputs'!$F$12,0)</f>
        <v>0</v>
      </c>
      <c r="AK138" s="110">
        <f>IF(AK137&gt;0,-AK137*'Assumptions &amp; Inputs'!$F$12,0)</f>
        <v>0</v>
      </c>
      <c r="AL138" s="110">
        <f>IF(AL137&gt;0,-AL137*'Assumptions &amp; Inputs'!$F$12,0)</f>
        <v>0</v>
      </c>
      <c r="AM138" s="110">
        <f>IF(AM137&gt;0,-AM137*'Assumptions &amp; Inputs'!$F$12,0)</f>
        <v>0</v>
      </c>
      <c r="AN138" s="110">
        <f>IF(AN137&gt;0,-AN137*'Assumptions &amp; Inputs'!$F$12,0)</f>
        <v>0</v>
      </c>
      <c r="AO138" s="110">
        <f>IF(AO137&gt;0,-AO137*'Assumptions &amp; Inputs'!$F$12,0)</f>
        <v>0</v>
      </c>
      <c r="AP138" s="110">
        <f>IF(AP137&gt;0,-AP137*'Assumptions &amp; Inputs'!$F$12,0)</f>
        <v>0</v>
      </c>
      <c r="AQ138" s="110">
        <f>IF(AQ137&gt;0,-AQ137*'Assumptions &amp; Inputs'!$F$12,0)</f>
        <v>0</v>
      </c>
      <c r="AR138" s="110">
        <f>IF(AR137&gt;0,-AR137*'Assumptions &amp; Inputs'!$F$12,0)</f>
        <v>0</v>
      </c>
      <c r="AS138" s="110">
        <f>IF(AS137&gt;0,-AS137*'Assumptions &amp; Inputs'!$F$12,0)</f>
        <v>0</v>
      </c>
      <c r="AT138" s="110">
        <f>IF(AT137&gt;0,-AT137*'Assumptions &amp; Inputs'!$F$12,0)</f>
        <v>0</v>
      </c>
      <c r="AU138" s="110">
        <f>IF(AU137&gt;0,-AU137*'Assumptions &amp; Inputs'!$F$12,0)</f>
        <v>0</v>
      </c>
      <c r="AV138" s="110">
        <f>IF(AV137&gt;0,-AV137*'Assumptions &amp; Inputs'!$F$12,0)</f>
        <v>0</v>
      </c>
      <c r="AW138" s="110">
        <f>IF(AW137&gt;0,-AW137*'Assumptions &amp; Inputs'!$F$12,0)</f>
        <v>0</v>
      </c>
    </row>
    <row r="139" spans="3:49" s="149" customFormat="1" ht="14.25" customHeight="1">
      <c r="C139" s="147" t="s">
        <v>519</v>
      </c>
      <c r="D139" s="148">
        <f>IF(AND(D24=0,D138&lt;0,D138&lt;$D$24*'Assumptions &amp; Inputs'!$W$5),MIN(-D138,$D$24*'Assumptions &amp; Inputs'!$W$5,$D$24*'Assumptions &amp; Inputs'!$W$5-D138),0)*'Assumptions &amp; Inputs'!$W$4</f>
        <v>0</v>
      </c>
      <c r="E139" s="148">
        <f>IF(AND(E24=0,E138&lt;0,E138&lt;$D$24*'Assumptions &amp; Inputs'!$W$5),MIN(-E138,$D$24*'Assumptions &amp; Inputs'!$W$5,$D$24*'Assumptions &amp; Inputs'!$W$5-E138),0)*'Assumptions &amp; Inputs'!$W$4</f>
        <v>0</v>
      </c>
      <c r="F139" s="148">
        <f>IF(AND(F24=0,F138&lt;0,F138&lt;$D$24*'Assumptions &amp; Inputs'!$W$5),MIN(-F138,$D$24*'Assumptions &amp; Inputs'!$W$5,$D$24*'Assumptions &amp; Inputs'!$W$5-F138),0)*'Assumptions &amp; Inputs'!$W$4</f>
        <v>0</v>
      </c>
      <c r="G139" s="148">
        <f>IF(AND(G24=0,G138&lt;0,G138&lt;$D$24*'Assumptions &amp; Inputs'!$W$5),MIN(-G138,$D$24*'Assumptions &amp; Inputs'!$W$5,$D$24*'Assumptions &amp; Inputs'!$W$5-G138),0)*'Assumptions &amp; Inputs'!$W$4</f>
        <v>0</v>
      </c>
      <c r="H139" s="148">
        <f>IF(AND(H24=0,H138&lt;0,H138&lt;$D$24*'Assumptions &amp; Inputs'!$W$5),MIN(-H138,$D$24*'Assumptions &amp; Inputs'!$W$5,$D$24*'Assumptions &amp; Inputs'!$W$5-H138),0)*'Assumptions &amp; Inputs'!$W$4</f>
        <v>0</v>
      </c>
      <c r="I139" s="148">
        <f>IF(AND(I24=0,I138&lt;0,I138&lt;$D$24*'Assumptions &amp; Inputs'!$W$5),MIN(-I138,$D$24*'Assumptions &amp; Inputs'!$W$5,$D$24*'Assumptions &amp; Inputs'!$W$5-I138),0)*'Assumptions &amp; Inputs'!$W$4</f>
        <v>0</v>
      </c>
      <c r="J139" s="148">
        <f>IF(AND(J24=0,J138&lt;0,J138&lt;$D$24*'Assumptions &amp; Inputs'!$W$5),MIN(-J138,$D$24*'Assumptions &amp; Inputs'!$W$5,$D$24*'Assumptions &amp; Inputs'!$W$5-J138),0)*'Assumptions &amp; Inputs'!$W$4</f>
        <v>0</v>
      </c>
      <c r="K139" s="148">
        <f>IF(AND(K24=0,K138&lt;0,J140&lt;$D$24*'Assumptions &amp; Inputs'!$W$5),MIN(-K138,$D$24*'Assumptions &amp; Inputs'!$W$5,$D$24*'Assumptions &amp; Inputs'!$W$5-J140),0)*'Assumptions &amp; Inputs'!$W$4</f>
        <v>0</v>
      </c>
      <c r="L139" s="148">
        <f>IF(AND(L24=0,L138&lt;0,K140&lt;$D$24*'Assumptions &amp; Inputs'!$W$5),MIN(-L138,$D$24*'Assumptions &amp; Inputs'!$W$5,$D$24*'Assumptions &amp; Inputs'!$W$5-K140),0)*'Assumptions &amp; Inputs'!$W$4</f>
        <v>0</v>
      </c>
      <c r="M139" s="148">
        <f>IF(AND(M24=0,M138&lt;0,L140&lt;$D$24*'Assumptions &amp; Inputs'!$W$5),MIN(-M138,$D$24*'Assumptions &amp; Inputs'!$W$5,$D$24*'Assumptions &amp; Inputs'!$W$5-L140),0)*'Assumptions &amp; Inputs'!$W$4</f>
        <v>0</v>
      </c>
      <c r="N139" s="148">
        <f>IF(AND(N24=0,N138&lt;0,M140&lt;$D$24*'Assumptions &amp; Inputs'!$W$5),MIN(-N138,$D$24*'Assumptions &amp; Inputs'!$W$5,$D$24*'Assumptions &amp; Inputs'!$W$5-M140),0)*'Assumptions &amp; Inputs'!$W$4</f>
        <v>0</v>
      </c>
      <c r="O139" s="148">
        <f>IF(AND(O24=0,O138&lt;0,N140&lt;$D$24*'Assumptions &amp; Inputs'!$W$5),MIN(-O138,$D$24*'Assumptions &amp; Inputs'!$W$5,$D$24*'Assumptions &amp; Inputs'!$W$5-N140),0)*'Assumptions &amp; Inputs'!$W$4</f>
        <v>0</v>
      </c>
      <c r="P139" s="148">
        <f>IF(AND(P24=0,P138&lt;0,O140&lt;$D$24*'Assumptions &amp; Inputs'!$W$5),MIN(-P138,$D$24*'Assumptions &amp; Inputs'!$W$5,$D$24*'Assumptions &amp; Inputs'!$W$5-O140),0)*'Assumptions &amp; Inputs'!$W$4</f>
        <v>0</v>
      </c>
      <c r="Q139" s="148">
        <f>IF(AND(Q24=0,Q138&lt;0,P140&lt;$D$24*'Assumptions &amp; Inputs'!$W$5),MIN(-Q138,$D$24*'Assumptions &amp; Inputs'!$W$5,$D$24*'Assumptions &amp; Inputs'!$W$5-P140),0)*'Assumptions &amp; Inputs'!$W$4</f>
        <v>0</v>
      </c>
      <c r="R139" s="148">
        <f>IF(AND(R24=0,R138&lt;0,Q140&lt;$D$24*'Assumptions &amp; Inputs'!$W$5),MIN(-R138,$D$24*'Assumptions &amp; Inputs'!$W$5,$D$24*'Assumptions &amp; Inputs'!$W$5-Q140),0)*'Assumptions &amp; Inputs'!$W$4</f>
        <v>0</v>
      </c>
      <c r="S139" s="148">
        <f>IF(AND(S24=0,S138&lt;0,R140&lt;$D$24*'Assumptions &amp; Inputs'!$W$5),MIN(-S138,$D$24*'Assumptions &amp; Inputs'!$W$5,$D$24*'Assumptions &amp; Inputs'!$W$5-R140),0)*'Assumptions &amp; Inputs'!$W$4</f>
        <v>0</v>
      </c>
      <c r="T139" s="148">
        <f>IF(AND(T24=0,T138&lt;0,S140&lt;$D$24*'Assumptions &amp; Inputs'!$W$5),MIN(-T138,$D$24*'Assumptions &amp; Inputs'!$W$5,$D$24*'Assumptions &amp; Inputs'!$W$5-S140),0)*'Assumptions &amp; Inputs'!$W$4</f>
        <v>0</v>
      </c>
      <c r="U139" s="148">
        <f>IF(AND(U24=0,U138&lt;0,T140&lt;$D$24*'Assumptions &amp; Inputs'!$W$5),MIN(-U138,$D$24*'Assumptions &amp; Inputs'!$W$5,$D$24*'Assumptions &amp; Inputs'!$W$5-T140),0)*'Assumptions &amp; Inputs'!$W$4</f>
        <v>0</v>
      </c>
      <c r="V139" s="148">
        <f>IF(AND(V24=0,V138&lt;0,U140&lt;$D$24*'Assumptions &amp; Inputs'!$W$5),MIN(-V138,$D$24*'Assumptions &amp; Inputs'!$W$5,$D$24*'Assumptions &amp; Inputs'!$W$5-U140),0)*'Assumptions &amp; Inputs'!$W$4</f>
        <v>0</v>
      </c>
      <c r="W139" s="148">
        <f>IF(AND(W24=0,W138&lt;0,V140&lt;$D$24*'Assumptions &amp; Inputs'!$W$5),MIN(-W138,$D$24*'Assumptions &amp; Inputs'!$W$5,$D$24*'Assumptions &amp; Inputs'!$W$5-V140),0)*'Assumptions &amp; Inputs'!$W$4</f>
        <v>0</v>
      </c>
      <c r="X139" s="148">
        <f>IF(AND(X24=0,X138&lt;0,W140&lt;$D$24*'Assumptions &amp; Inputs'!$W$5),MIN(-X138,$D$24*'Assumptions &amp; Inputs'!$W$5,$D$24*'Assumptions &amp; Inputs'!$W$5-W140),0)*'Assumptions &amp; Inputs'!$W$4</f>
        <v>0</v>
      </c>
      <c r="Y139" s="148">
        <f>IF(AND(Y24=0,Y138&lt;0,X140&lt;$D$24*'Assumptions &amp; Inputs'!$W$5),MIN(-Y138,$D$24*'Assumptions &amp; Inputs'!$W$5,$D$24*'Assumptions &amp; Inputs'!$W$5-X140),0)*'Assumptions &amp; Inputs'!$W$4</f>
        <v>0</v>
      </c>
      <c r="Z139" s="148">
        <f>IF(AND(Z24=0,Z138&lt;0,Y140&lt;$D$24*'Assumptions &amp; Inputs'!$W$5),MIN(-Z138,$D$24*'Assumptions &amp; Inputs'!$W$5,$D$24*'Assumptions &amp; Inputs'!$W$5-Y140),0)*'Assumptions &amp; Inputs'!$W$4</f>
        <v>0</v>
      </c>
      <c r="AA139" s="148">
        <f>IF(AND(AA24=0,AA138&lt;0,Z140&lt;$D$24*'Assumptions &amp; Inputs'!$W$5),MIN(-AA138,$D$24*'Assumptions &amp; Inputs'!$W$5,$D$24*'Assumptions &amp; Inputs'!$W$5-Z140),0)*'Assumptions &amp; Inputs'!$W$4</f>
        <v>0</v>
      </c>
      <c r="AB139" s="148">
        <f>IF(AND(AB24=0,AB138&lt;0,AA140&lt;$D$24*'Assumptions &amp; Inputs'!$W$5),MIN(-AB138,$D$24*'Assumptions &amp; Inputs'!$W$5,$D$24*'Assumptions &amp; Inputs'!$W$5-AA140),0)*'Assumptions &amp; Inputs'!$W$4</f>
        <v>0</v>
      </c>
      <c r="AC139" s="148">
        <f>IF(AND(AC24=0,AC138&lt;0,AB140&lt;$D$24*'Assumptions &amp; Inputs'!$W$5),MIN(-AC138,$D$24*'Assumptions &amp; Inputs'!$W$5,$D$24*'Assumptions &amp; Inputs'!$W$5-AB140),0)*'Assumptions &amp; Inputs'!$W$4</f>
        <v>0</v>
      </c>
      <c r="AD139" s="148">
        <f>IF(AND(AD24=0,AD138&lt;0,AC140&lt;$D$24*'Assumptions &amp; Inputs'!$W$5),MIN(-AD138,$D$24*'Assumptions &amp; Inputs'!$W$5,$D$24*'Assumptions &amp; Inputs'!$W$5-AC140),0)*'Assumptions &amp; Inputs'!$W$4</f>
        <v>0</v>
      </c>
      <c r="AE139" s="148">
        <f>IF(AND(AE24=0,AE138&lt;0,AD140&lt;$D$24*'Assumptions &amp; Inputs'!$W$5),MIN(-AE138,$D$24*'Assumptions &amp; Inputs'!$W$5,$D$24*'Assumptions &amp; Inputs'!$W$5-AD140),0)*'Assumptions &amp; Inputs'!$W$4</f>
        <v>0</v>
      </c>
      <c r="AF139" s="148">
        <f>IF(AND(AF24=0,AF138&lt;0,AE140&lt;$D$24*'Assumptions &amp; Inputs'!$W$5),MIN(-AF138,$D$24*'Assumptions &amp; Inputs'!$W$5,$D$24*'Assumptions &amp; Inputs'!$W$5-AE140),0)*'Assumptions &amp; Inputs'!$W$4</f>
        <v>0</v>
      </c>
      <c r="AG139" s="148">
        <f>IF(AND(AG24=0,AG138&lt;0,AF140&lt;$D$24*'Assumptions &amp; Inputs'!$W$5),MIN(-AG138,$D$24*'Assumptions &amp; Inputs'!$W$5,$D$24*'Assumptions &amp; Inputs'!$W$5-AF140),0)*'Assumptions &amp; Inputs'!$W$4</f>
        <v>0</v>
      </c>
      <c r="AH139" s="148">
        <f>IF(AND(AH24=0,AH138&lt;0,AG140&lt;$D$24*'Assumptions &amp; Inputs'!$W$5),MIN(-AH138,$D$24*'Assumptions &amp; Inputs'!$W$5,$D$24*'Assumptions &amp; Inputs'!$W$5-AG140),0)*'Assumptions &amp; Inputs'!$W$4</f>
        <v>0</v>
      </c>
      <c r="AI139" s="148">
        <f>IF(AND(AI24=0,AI138&lt;0,AH140&lt;$D$24*'Assumptions &amp; Inputs'!$W$5),MIN(-AI138,$D$24*'Assumptions &amp; Inputs'!$W$5,$D$24*'Assumptions &amp; Inputs'!$W$5-AH140),0)*'Assumptions &amp; Inputs'!$W$4</f>
        <v>0</v>
      </c>
      <c r="AJ139" s="148">
        <f>IF(AND(AJ24=0,AJ138&lt;0,AI140&lt;$D$24*'Assumptions &amp; Inputs'!$W$5),MIN(-AJ138,$D$24*'Assumptions &amp; Inputs'!$W$5,$D$24*'Assumptions &amp; Inputs'!$W$5-AI140),0)*'Assumptions &amp; Inputs'!$W$4</f>
        <v>0</v>
      </c>
      <c r="AK139" s="148">
        <f>IF(AND(AK24=0,AK138&lt;0,AJ140&lt;$D$24*'Assumptions &amp; Inputs'!$W$5),MIN(-AK138,$D$24*'Assumptions &amp; Inputs'!$W$5,$D$24*'Assumptions &amp; Inputs'!$W$5-AJ140),0)*'Assumptions &amp; Inputs'!$W$4</f>
        <v>0</v>
      </c>
      <c r="AL139" s="148">
        <f>IF(AND(AL24=0,AL138&lt;0,AK140&lt;$D$24*'Assumptions &amp; Inputs'!$W$5),MIN(-AL138,$D$24*'Assumptions &amp; Inputs'!$W$5,$D$24*'Assumptions &amp; Inputs'!$W$5-AK140),0)*'Assumptions &amp; Inputs'!$W$4</f>
        <v>0</v>
      </c>
      <c r="AM139" s="148">
        <f>IF(AND(AM24=0,AM138&lt;0,AL140&lt;$D$24*'Assumptions &amp; Inputs'!$W$5),MIN(-AM138,$D$24*'Assumptions &amp; Inputs'!$W$5,$D$24*'Assumptions &amp; Inputs'!$W$5-AL140),0)*'Assumptions &amp; Inputs'!$W$4</f>
        <v>0</v>
      </c>
      <c r="AN139" s="148">
        <f>IF(AND(AN24=0,AN138&lt;0,AM140&lt;$D$24*'Assumptions &amp; Inputs'!$W$5),MIN(-AN138,$D$24*'Assumptions &amp; Inputs'!$W$5,$D$24*'Assumptions &amp; Inputs'!$W$5-AM140),0)*'Assumptions &amp; Inputs'!$W$4</f>
        <v>0</v>
      </c>
      <c r="AO139" s="148">
        <f>IF(AND(AO24=0,AO138&lt;0,AN140&lt;$D$24*'Assumptions &amp; Inputs'!$W$5),MIN(-AO138,$D$24*'Assumptions &amp; Inputs'!$W$5,$D$24*'Assumptions &amp; Inputs'!$W$5-AN140),0)*'Assumptions &amp; Inputs'!$W$4</f>
        <v>0</v>
      </c>
      <c r="AP139" s="148">
        <f>IF(AND(AP24=0,AP138&lt;0,AO140&lt;$D$24*'Assumptions &amp; Inputs'!$W$5),MIN(-AP138,$D$24*'Assumptions &amp; Inputs'!$W$5,$D$24*'Assumptions &amp; Inputs'!$W$5-AO140),0)*'Assumptions &amp; Inputs'!$W$4</f>
        <v>0</v>
      </c>
      <c r="AQ139" s="148">
        <f>IF(AND(AQ24=0,AQ138&lt;0,AP140&lt;$D$24*'Assumptions &amp; Inputs'!$W$5),MIN(-AQ138,$D$24*'Assumptions &amp; Inputs'!$W$5,$D$24*'Assumptions &amp; Inputs'!$W$5-AP140),0)*'Assumptions &amp; Inputs'!$W$4</f>
        <v>0</v>
      </c>
      <c r="AR139" s="148">
        <f>IF(AND(AR24=0,AR138&lt;0,AQ140&lt;$D$24*'Assumptions &amp; Inputs'!$W$5),MIN(-AR138,$D$24*'Assumptions &amp; Inputs'!$W$5,$D$24*'Assumptions &amp; Inputs'!$W$5-AQ140),0)*'Assumptions &amp; Inputs'!$W$4</f>
        <v>0</v>
      </c>
      <c r="AS139" s="148">
        <f>IF(AND(AS24=0,AS138&lt;0,AR140&lt;$D$24*'Assumptions &amp; Inputs'!$W$5),MIN(-AS138,$D$24*'Assumptions &amp; Inputs'!$W$5,$D$24*'Assumptions &amp; Inputs'!$W$5-AR140),0)*'Assumptions &amp; Inputs'!$W$4</f>
        <v>0</v>
      </c>
      <c r="AT139" s="148">
        <f>IF(AND(AT24=0,AT138&lt;0,AS140&lt;$D$24*'Assumptions &amp; Inputs'!$W$5),MIN(-AT138,$D$24*'Assumptions &amp; Inputs'!$W$5,$D$24*'Assumptions &amp; Inputs'!$W$5-AS140),0)*'Assumptions &amp; Inputs'!$W$4</f>
        <v>0</v>
      </c>
      <c r="AU139" s="148">
        <f>IF(AND(AU24=0,AU138&lt;0,AT140&lt;$D$24*'Assumptions &amp; Inputs'!$W$5),MIN(-AU138,$D$24*'Assumptions &amp; Inputs'!$W$5,$D$24*'Assumptions &amp; Inputs'!$W$5-AT140),0)*'Assumptions &amp; Inputs'!$W$4</f>
        <v>0</v>
      </c>
      <c r="AV139" s="148">
        <f>IF(AND(AV24=0,AV138&lt;0,AU140&lt;$D$24*'Assumptions &amp; Inputs'!$W$5),MIN(-AV138,$D$24*'Assumptions &amp; Inputs'!$W$5,$D$24*'Assumptions &amp; Inputs'!$W$5-AU140),0)*'Assumptions &amp; Inputs'!$W$4</f>
        <v>0</v>
      </c>
      <c r="AW139" s="148">
        <f>IF(AND(AW24=0,AW138&lt;0,AV140&lt;$D$24*'Assumptions &amp; Inputs'!$W$5),MIN(-AW138,$D$24*'Assumptions &amp; Inputs'!$W$5,$D$24*'Assumptions &amp; Inputs'!$W$5-AV140),0)*'Assumptions &amp; Inputs'!$W$4</f>
        <v>0</v>
      </c>
    </row>
    <row r="140" spans="3:49" s="149" customFormat="1" ht="14.25" customHeight="1">
      <c r="C140" s="147" t="s">
        <v>520</v>
      </c>
      <c r="D140" s="148">
        <f>SUM($D$139:D139)</f>
        <v>0</v>
      </c>
      <c r="E140" s="148">
        <f>SUM($D$139:E139)</f>
        <v>0</v>
      </c>
      <c r="F140" s="148">
        <f>SUM($D$139:F139)</f>
        <v>0</v>
      </c>
      <c r="G140" s="148">
        <f>SUM($D$139:G139)</f>
        <v>0</v>
      </c>
      <c r="H140" s="148">
        <f>SUM($D$139:H139)</f>
        <v>0</v>
      </c>
      <c r="I140" s="148">
        <f>SUM($D$139:I139)</f>
        <v>0</v>
      </c>
      <c r="J140" s="148">
        <f>SUM($D$139:J139)</f>
        <v>0</v>
      </c>
      <c r="K140" s="148">
        <f>SUM($D$139:K139)</f>
        <v>0</v>
      </c>
      <c r="L140" s="148">
        <f>SUM($D$139:L139)</f>
        <v>0</v>
      </c>
      <c r="M140" s="148">
        <f>SUM($D$139:M139)</f>
        <v>0</v>
      </c>
      <c r="N140" s="148">
        <f>SUM($D$139:N139)</f>
        <v>0</v>
      </c>
      <c r="O140" s="148">
        <f>SUM($D$139:O139)</f>
        <v>0</v>
      </c>
      <c r="P140" s="148">
        <f>SUM($D$139:P139)</f>
        <v>0</v>
      </c>
      <c r="Q140" s="148">
        <f>SUM($D$139:Q139)</f>
        <v>0</v>
      </c>
      <c r="R140" s="148">
        <f>SUM($D$139:R139)</f>
        <v>0</v>
      </c>
      <c r="S140" s="148">
        <f>SUM($D$139:S139)</f>
        <v>0</v>
      </c>
      <c r="T140" s="148">
        <f>SUM($D$139:T139)</f>
        <v>0</v>
      </c>
      <c r="U140" s="148">
        <f>SUM($D$139:U139)</f>
        <v>0</v>
      </c>
      <c r="V140" s="148">
        <f>SUM($D$139:V139)</f>
        <v>0</v>
      </c>
      <c r="W140" s="148">
        <f>SUM($D$139:W139)</f>
        <v>0</v>
      </c>
      <c r="X140" s="148">
        <f>SUM($D$139:X139)</f>
        <v>0</v>
      </c>
      <c r="Y140" s="148">
        <f>SUM($D$139:Y139)</f>
        <v>0</v>
      </c>
      <c r="Z140" s="148">
        <f>SUM($D$139:Z139)</f>
        <v>0</v>
      </c>
      <c r="AA140" s="148">
        <f>SUM($D$139:AA139)</f>
        <v>0</v>
      </c>
      <c r="AB140" s="148">
        <f>SUM($D$139:AB139)</f>
        <v>0</v>
      </c>
      <c r="AC140" s="148">
        <f>SUM($D$139:AC139)</f>
        <v>0</v>
      </c>
      <c r="AD140" s="148">
        <f>SUM($D$139:AD139)</f>
        <v>0</v>
      </c>
      <c r="AE140" s="148">
        <f>SUM($D$139:AE139)</f>
        <v>0</v>
      </c>
      <c r="AF140" s="148">
        <f>SUM($D$139:AF139)</f>
        <v>0</v>
      </c>
      <c r="AG140" s="148">
        <f>SUM($D$139:AG139)</f>
        <v>0</v>
      </c>
      <c r="AH140" s="148">
        <f>SUM($D$139:AH139)</f>
        <v>0</v>
      </c>
      <c r="AI140" s="148">
        <f>SUM($D$139:AI139)</f>
        <v>0</v>
      </c>
      <c r="AJ140" s="148">
        <f>SUM($D$139:AJ139)</f>
        <v>0</v>
      </c>
      <c r="AK140" s="148">
        <f>SUM($D$139:AK139)</f>
        <v>0</v>
      </c>
      <c r="AL140" s="148">
        <f>SUM($D$139:AL139)</f>
        <v>0</v>
      </c>
      <c r="AM140" s="148">
        <f>SUM($D$139:AM139)</f>
        <v>0</v>
      </c>
      <c r="AN140" s="148">
        <f>SUM($D$139:AN139)</f>
        <v>0</v>
      </c>
      <c r="AO140" s="148">
        <f>SUM($D$139:AO139)</f>
        <v>0</v>
      </c>
      <c r="AP140" s="148">
        <f>SUM($D$139:AP139)</f>
        <v>0</v>
      </c>
      <c r="AQ140" s="148">
        <f>SUM($D$139:AQ139)</f>
        <v>0</v>
      </c>
      <c r="AR140" s="148">
        <f>SUM($D$139:AR139)</f>
        <v>0</v>
      </c>
      <c r="AS140" s="148">
        <f>SUM($D$139:AS139)</f>
        <v>0</v>
      </c>
      <c r="AT140" s="148">
        <f>SUM($D$139:AT139)</f>
        <v>0</v>
      </c>
      <c r="AU140" s="148">
        <f>SUM($D$139:AU139)</f>
        <v>0</v>
      </c>
      <c r="AV140" s="148">
        <f>SUM($D$139:AV139)</f>
        <v>0</v>
      </c>
      <c r="AW140" s="148">
        <f>SUM($D$139:AW139)</f>
        <v>0</v>
      </c>
    </row>
    <row r="141" spans="3:49" ht="14.25" customHeight="1">
      <c r="C141" s="44"/>
      <c r="D141" s="44"/>
      <c r="E141" s="55"/>
      <c r="F141" s="55"/>
      <c r="G141" s="55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</row>
    <row r="142" spans="3:49" ht="14.25" customHeight="1">
      <c r="C142" s="7" t="s">
        <v>489</v>
      </c>
      <c r="D142" s="72">
        <f>SUM(D137,D138,D139)</f>
        <v>0</v>
      </c>
      <c r="E142" s="72">
        <f t="shared" ref="E142:X142" si="360">SUM(E137,E138,E139)</f>
        <v>3.6441211200000003</v>
      </c>
      <c r="F142" s="72">
        <f t="shared" si="360"/>
        <v>4.5186720640000004</v>
      </c>
      <c r="G142" s="72">
        <f t="shared" si="360"/>
        <v>4.6050820652799995</v>
      </c>
      <c r="H142" s="72">
        <f t="shared" si="360"/>
        <v>4.6931013633856002</v>
      </c>
      <c r="I142" s="72">
        <f t="shared" si="360"/>
        <v>4.7827585771573133</v>
      </c>
      <c r="J142" s="72">
        <f t="shared" si="360"/>
        <v>4.8740827907995792</v>
      </c>
      <c r="K142" s="72">
        <f t="shared" si="360"/>
        <v>4.9671035599776623</v>
      </c>
      <c r="L142" s="72">
        <f t="shared" si="360"/>
        <v>5.0618509179401734</v>
      </c>
      <c r="M142" s="72">
        <f t="shared" si="360"/>
        <v>5.1583553816648209</v>
      </c>
      <c r="N142" s="72">
        <f t="shared" si="360"/>
        <v>5.2566479580249377</v>
      </c>
      <c r="O142" s="72">
        <f t="shared" si="360"/>
        <v>5.3567601499740611</v>
      </c>
      <c r="P142" s="72">
        <f t="shared" si="360"/>
        <v>5.4587239627458271</v>
      </c>
      <c r="Q142" s="72">
        <f t="shared" si="360"/>
        <v>5.5625719100661959</v>
      </c>
      <c r="R142" s="72">
        <f t="shared" si="360"/>
        <v>5.6683370203749366</v>
      </c>
      <c r="S142" s="72">
        <f t="shared" si="360"/>
        <v>5.77605284305307</v>
      </c>
      <c r="T142" s="72">
        <f t="shared" si="360"/>
        <v>5.8857534546528907</v>
      </c>
      <c r="U142" s="72">
        <f t="shared" si="360"/>
        <v>5.9974734651268697</v>
      </c>
      <c r="V142" s="72">
        <f t="shared" si="360"/>
        <v>6.1112480240517542</v>
      </c>
      <c r="W142" s="72">
        <f t="shared" si="360"/>
        <v>6.2271128268438076</v>
      </c>
      <c r="X142" s="72">
        <f t="shared" si="360"/>
        <v>6.3451041209610342</v>
      </c>
      <c r="Y142" s="72">
        <f t="shared" ref="Y142:AW142" si="361">SUM(Y137,Y138,Y139)</f>
        <v>6.4652587120880138</v>
      </c>
      <c r="Z142" s="72">
        <f t="shared" si="361"/>
        <v>6.5876139702987651</v>
      </c>
      <c r="AA142" s="72">
        <f t="shared" si="361"/>
        <v>6.7122078361928006</v>
      </c>
      <c r="AB142" s="72">
        <f t="shared" si="361"/>
        <v>6.8390788269993612</v>
      </c>
      <c r="AC142" s="72">
        <f t="shared" si="361"/>
        <v>6.9682660426445349</v>
      </c>
      <c r="AD142" s="72">
        <f t="shared" si="361"/>
        <v>7.0998091717757656</v>
      </c>
      <c r="AE142" s="72">
        <f t="shared" si="361"/>
        <v>0</v>
      </c>
      <c r="AF142" s="72">
        <f t="shared" si="361"/>
        <v>0</v>
      </c>
      <c r="AG142" s="72">
        <f t="shared" si="361"/>
        <v>0</v>
      </c>
      <c r="AH142" s="72">
        <f t="shared" si="361"/>
        <v>0</v>
      </c>
      <c r="AI142" s="72">
        <f t="shared" si="361"/>
        <v>0</v>
      </c>
      <c r="AJ142" s="72">
        <f t="shared" si="361"/>
        <v>0</v>
      </c>
      <c r="AK142" s="72">
        <f t="shared" si="361"/>
        <v>0</v>
      </c>
      <c r="AL142" s="72">
        <f t="shared" si="361"/>
        <v>0</v>
      </c>
      <c r="AM142" s="72">
        <f t="shared" si="361"/>
        <v>0</v>
      </c>
      <c r="AN142" s="72">
        <f t="shared" si="361"/>
        <v>0</v>
      </c>
      <c r="AO142" s="72">
        <f t="shared" si="361"/>
        <v>0</v>
      </c>
      <c r="AP142" s="72">
        <f t="shared" si="361"/>
        <v>0</v>
      </c>
      <c r="AQ142" s="72">
        <f t="shared" si="361"/>
        <v>0</v>
      </c>
      <c r="AR142" s="72">
        <f t="shared" si="361"/>
        <v>0</v>
      </c>
      <c r="AS142" s="72">
        <f t="shared" si="361"/>
        <v>0</v>
      </c>
      <c r="AT142" s="72">
        <f t="shared" si="361"/>
        <v>0</v>
      </c>
      <c r="AU142" s="72">
        <f t="shared" si="361"/>
        <v>0</v>
      </c>
      <c r="AV142" s="72">
        <f t="shared" si="361"/>
        <v>0</v>
      </c>
      <c r="AW142" s="72">
        <f t="shared" si="361"/>
        <v>0</v>
      </c>
    </row>
    <row r="143" spans="3:49" ht="14.25" customHeight="1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3:49" ht="14.25" customHeight="1">
      <c r="C144" s="2" t="s">
        <v>490</v>
      </c>
      <c r="D144" s="67">
        <f>D$24</f>
        <v>-105.41666666666666</v>
      </c>
      <c r="E144" s="67">
        <f t="shared" ref="E144:AW144" si="362">E$24</f>
        <v>-9.5833333333333321</v>
      </c>
      <c r="F144" s="67">
        <f t="shared" si="362"/>
        <v>0</v>
      </c>
      <c r="G144" s="67">
        <f t="shared" si="362"/>
        <v>0</v>
      </c>
      <c r="H144" s="67">
        <f t="shared" si="362"/>
        <v>0</v>
      </c>
      <c r="I144" s="67">
        <f t="shared" si="362"/>
        <v>0</v>
      </c>
      <c r="J144" s="67">
        <f t="shared" si="362"/>
        <v>0</v>
      </c>
      <c r="K144" s="67">
        <f t="shared" si="362"/>
        <v>0</v>
      </c>
      <c r="L144" s="67">
        <f t="shared" si="362"/>
        <v>0</v>
      </c>
      <c r="M144" s="67">
        <f t="shared" si="362"/>
        <v>0</v>
      </c>
      <c r="N144" s="67">
        <f t="shared" si="362"/>
        <v>0</v>
      </c>
      <c r="O144" s="67">
        <f t="shared" si="362"/>
        <v>0</v>
      </c>
      <c r="P144" s="67">
        <f t="shared" si="362"/>
        <v>0</v>
      </c>
      <c r="Q144" s="67">
        <f t="shared" si="362"/>
        <v>0</v>
      </c>
      <c r="R144" s="67">
        <f t="shared" si="362"/>
        <v>0</v>
      </c>
      <c r="S144" s="67">
        <f t="shared" si="362"/>
        <v>0</v>
      </c>
      <c r="T144" s="67">
        <f t="shared" si="362"/>
        <v>0</v>
      </c>
      <c r="U144" s="67">
        <f t="shared" si="362"/>
        <v>0</v>
      </c>
      <c r="V144" s="67">
        <f t="shared" si="362"/>
        <v>0</v>
      </c>
      <c r="W144" s="67">
        <f t="shared" si="362"/>
        <v>0</v>
      </c>
      <c r="X144" s="67">
        <f t="shared" si="362"/>
        <v>0</v>
      </c>
      <c r="Y144" s="67">
        <f t="shared" si="362"/>
        <v>0</v>
      </c>
      <c r="Z144" s="67">
        <f t="shared" si="362"/>
        <v>0</v>
      </c>
      <c r="AA144" s="67">
        <f t="shared" si="362"/>
        <v>0</v>
      </c>
      <c r="AB144" s="67">
        <f t="shared" si="362"/>
        <v>0</v>
      </c>
      <c r="AC144" s="67">
        <f t="shared" si="362"/>
        <v>0</v>
      </c>
      <c r="AD144" s="67">
        <f t="shared" si="362"/>
        <v>0</v>
      </c>
      <c r="AE144" s="67">
        <f t="shared" si="362"/>
        <v>0</v>
      </c>
      <c r="AF144" s="67">
        <f t="shared" si="362"/>
        <v>0</v>
      </c>
      <c r="AG144" s="67">
        <f t="shared" si="362"/>
        <v>0</v>
      </c>
      <c r="AH144" s="67">
        <f t="shared" si="362"/>
        <v>0</v>
      </c>
      <c r="AI144" s="67">
        <f t="shared" si="362"/>
        <v>0</v>
      </c>
      <c r="AJ144" s="67">
        <f t="shared" si="362"/>
        <v>0</v>
      </c>
      <c r="AK144" s="67">
        <f t="shared" si="362"/>
        <v>0</v>
      </c>
      <c r="AL144" s="67">
        <f t="shared" si="362"/>
        <v>0</v>
      </c>
      <c r="AM144" s="67">
        <f t="shared" si="362"/>
        <v>0</v>
      </c>
      <c r="AN144" s="67">
        <f t="shared" si="362"/>
        <v>0</v>
      </c>
      <c r="AO144" s="67">
        <f t="shared" si="362"/>
        <v>0</v>
      </c>
      <c r="AP144" s="67">
        <f t="shared" si="362"/>
        <v>0</v>
      </c>
      <c r="AQ144" s="67">
        <f t="shared" si="362"/>
        <v>0</v>
      </c>
      <c r="AR144" s="67">
        <f t="shared" si="362"/>
        <v>0</v>
      </c>
      <c r="AS144" s="67">
        <f t="shared" si="362"/>
        <v>0</v>
      </c>
      <c r="AT144" s="67">
        <f t="shared" si="362"/>
        <v>0</v>
      </c>
      <c r="AU144" s="67">
        <f t="shared" si="362"/>
        <v>0</v>
      </c>
      <c r="AV144" s="67">
        <f t="shared" si="362"/>
        <v>0</v>
      </c>
      <c r="AW144" s="67">
        <f t="shared" si="362"/>
        <v>0</v>
      </c>
    </row>
    <row r="145" spans="3:49" ht="14.25" customHeight="1">
      <c r="C145" s="4" t="s">
        <v>506</v>
      </c>
      <c r="D145" s="503">
        <f>0</f>
        <v>0</v>
      </c>
      <c r="E145" s="503">
        <f>D144+D145-D146</f>
        <v>-105.41666666666666</v>
      </c>
      <c r="F145" s="503">
        <f t="shared" ref="F145:AW145" si="363">E144+E145-E146</f>
        <v>-114.99999999999999</v>
      </c>
      <c r="G145" s="503">
        <f t="shared" si="363"/>
        <v>-114.99999999999999</v>
      </c>
      <c r="H145" s="503">
        <f t="shared" si="363"/>
        <v>-114.99999999999999</v>
      </c>
      <c r="I145" s="503">
        <f t="shared" si="363"/>
        <v>-114.99999999999999</v>
      </c>
      <c r="J145" s="503">
        <f t="shared" si="363"/>
        <v>-114.99999999999999</v>
      </c>
      <c r="K145" s="503">
        <f t="shared" si="363"/>
        <v>-114.99999999999999</v>
      </c>
      <c r="L145" s="503">
        <f t="shared" si="363"/>
        <v>-114.99999999999999</v>
      </c>
      <c r="M145" s="503">
        <f t="shared" si="363"/>
        <v>-114.99999999999999</v>
      </c>
      <c r="N145" s="503">
        <f t="shared" si="363"/>
        <v>-114.99999999999999</v>
      </c>
      <c r="O145" s="503">
        <f t="shared" si="363"/>
        <v>-114.99999999999999</v>
      </c>
      <c r="P145" s="503">
        <f t="shared" si="363"/>
        <v>-114.99999999999999</v>
      </c>
      <c r="Q145" s="503">
        <f t="shared" si="363"/>
        <v>-114.99999999999999</v>
      </c>
      <c r="R145" s="503">
        <f t="shared" si="363"/>
        <v>-114.99999999999999</v>
      </c>
      <c r="S145" s="503">
        <f t="shared" si="363"/>
        <v>-114.99999999999999</v>
      </c>
      <c r="T145" s="503">
        <f t="shared" si="363"/>
        <v>-114.99999999999999</v>
      </c>
      <c r="U145" s="503">
        <f t="shared" si="363"/>
        <v>-114.99999999999999</v>
      </c>
      <c r="V145" s="503">
        <f t="shared" si="363"/>
        <v>-114.99999999999999</v>
      </c>
      <c r="W145" s="503">
        <f t="shared" si="363"/>
        <v>-114.99999999999999</v>
      </c>
      <c r="X145" s="503">
        <f t="shared" si="363"/>
        <v>-114.99999999999999</v>
      </c>
      <c r="Y145" s="503">
        <f t="shared" si="363"/>
        <v>-114.99999999999999</v>
      </c>
      <c r="Z145" s="503">
        <f t="shared" si="363"/>
        <v>-114.99999999999999</v>
      </c>
      <c r="AA145" s="503">
        <f t="shared" si="363"/>
        <v>-114.99999999999999</v>
      </c>
      <c r="AB145" s="503">
        <f t="shared" si="363"/>
        <v>-114.99999999999999</v>
      </c>
      <c r="AC145" s="503">
        <f t="shared" si="363"/>
        <v>-114.99999999999999</v>
      </c>
      <c r="AD145" s="503">
        <f t="shared" si="363"/>
        <v>-114.99999999999999</v>
      </c>
      <c r="AE145" s="503">
        <f t="shared" si="363"/>
        <v>0</v>
      </c>
      <c r="AF145" s="503">
        <f t="shared" si="363"/>
        <v>0</v>
      </c>
      <c r="AG145" s="503">
        <f t="shared" si="363"/>
        <v>0</v>
      </c>
      <c r="AH145" s="503">
        <f t="shared" si="363"/>
        <v>0</v>
      </c>
      <c r="AI145" s="503">
        <f t="shared" si="363"/>
        <v>0</v>
      </c>
      <c r="AJ145" s="503">
        <f t="shared" si="363"/>
        <v>0</v>
      </c>
      <c r="AK145" s="503">
        <f t="shared" si="363"/>
        <v>0</v>
      </c>
      <c r="AL145" s="503">
        <f t="shared" si="363"/>
        <v>0</v>
      </c>
      <c r="AM145" s="503">
        <f t="shared" si="363"/>
        <v>0</v>
      </c>
      <c r="AN145" s="503">
        <f t="shared" si="363"/>
        <v>0</v>
      </c>
      <c r="AO145" s="503">
        <f t="shared" si="363"/>
        <v>0</v>
      </c>
      <c r="AP145" s="503">
        <f t="shared" si="363"/>
        <v>0</v>
      </c>
      <c r="AQ145" s="503">
        <f t="shared" si="363"/>
        <v>0</v>
      </c>
      <c r="AR145" s="503">
        <f t="shared" si="363"/>
        <v>0</v>
      </c>
      <c r="AS145" s="503">
        <f t="shared" si="363"/>
        <v>0</v>
      </c>
      <c r="AT145" s="503">
        <f t="shared" si="363"/>
        <v>0</v>
      </c>
      <c r="AU145" s="503">
        <f t="shared" si="363"/>
        <v>0</v>
      </c>
      <c r="AV145" s="503">
        <f t="shared" si="363"/>
        <v>0</v>
      </c>
      <c r="AW145" s="503">
        <f t="shared" si="363"/>
        <v>0</v>
      </c>
    </row>
    <row r="146" spans="3:49" ht="14.25" customHeight="1">
      <c r="C146" s="4" t="s">
        <v>507</v>
      </c>
      <c r="D146" s="503">
        <f>IF(D46=0, 0, D145)</f>
        <v>0</v>
      </c>
      <c r="E146" s="503">
        <f t="shared" ref="E146:AW146" si="364">IF(E42=0, 0, E145)</f>
        <v>0</v>
      </c>
      <c r="F146" s="503">
        <f t="shared" si="364"/>
        <v>0</v>
      </c>
      <c r="G146" s="503">
        <f t="shared" si="364"/>
        <v>0</v>
      </c>
      <c r="H146" s="503">
        <f t="shared" si="364"/>
        <v>0</v>
      </c>
      <c r="I146" s="503">
        <f t="shared" si="364"/>
        <v>0</v>
      </c>
      <c r="J146" s="503">
        <f t="shared" si="364"/>
        <v>0</v>
      </c>
      <c r="K146" s="503">
        <f t="shared" si="364"/>
        <v>0</v>
      </c>
      <c r="L146" s="503">
        <f t="shared" si="364"/>
        <v>0</v>
      </c>
      <c r="M146" s="503">
        <f t="shared" si="364"/>
        <v>0</v>
      </c>
      <c r="N146" s="503">
        <f t="shared" si="364"/>
        <v>0</v>
      </c>
      <c r="O146" s="503">
        <f t="shared" si="364"/>
        <v>0</v>
      </c>
      <c r="P146" s="503">
        <f t="shared" si="364"/>
        <v>0</v>
      </c>
      <c r="Q146" s="503">
        <f t="shared" si="364"/>
        <v>0</v>
      </c>
      <c r="R146" s="503">
        <f t="shared" si="364"/>
        <v>0</v>
      </c>
      <c r="S146" s="503">
        <f t="shared" si="364"/>
        <v>0</v>
      </c>
      <c r="T146" s="503">
        <f t="shared" si="364"/>
        <v>0</v>
      </c>
      <c r="U146" s="503">
        <f t="shared" si="364"/>
        <v>0</v>
      </c>
      <c r="V146" s="503">
        <f t="shared" si="364"/>
        <v>0</v>
      </c>
      <c r="W146" s="503">
        <f t="shared" si="364"/>
        <v>0</v>
      </c>
      <c r="X146" s="503">
        <f t="shared" si="364"/>
        <v>0</v>
      </c>
      <c r="Y146" s="503">
        <f t="shared" si="364"/>
        <v>0</v>
      </c>
      <c r="Z146" s="503">
        <f t="shared" si="364"/>
        <v>0</v>
      </c>
      <c r="AA146" s="503">
        <f t="shared" si="364"/>
        <v>0</v>
      </c>
      <c r="AB146" s="503">
        <f t="shared" si="364"/>
        <v>0</v>
      </c>
      <c r="AC146" s="503">
        <f t="shared" si="364"/>
        <v>0</v>
      </c>
      <c r="AD146" s="503">
        <f t="shared" si="364"/>
        <v>-114.99999999999999</v>
      </c>
      <c r="AE146" s="503">
        <f t="shared" si="364"/>
        <v>0</v>
      </c>
      <c r="AF146" s="503">
        <f t="shared" si="364"/>
        <v>0</v>
      </c>
      <c r="AG146" s="503">
        <f t="shared" si="364"/>
        <v>0</v>
      </c>
      <c r="AH146" s="503">
        <f t="shared" si="364"/>
        <v>0</v>
      </c>
      <c r="AI146" s="503">
        <f t="shared" si="364"/>
        <v>0</v>
      </c>
      <c r="AJ146" s="503">
        <f t="shared" si="364"/>
        <v>0</v>
      </c>
      <c r="AK146" s="503">
        <f t="shared" si="364"/>
        <v>0</v>
      </c>
      <c r="AL146" s="503">
        <f t="shared" si="364"/>
        <v>0</v>
      </c>
      <c r="AM146" s="503">
        <f t="shared" si="364"/>
        <v>0</v>
      </c>
      <c r="AN146" s="503">
        <f t="shared" si="364"/>
        <v>0</v>
      </c>
      <c r="AO146" s="503">
        <f t="shared" si="364"/>
        <v>0</v>
      </c>
      <c r="AP146" s="503">
        <f t="shared" si="364"/>
        <v>0</v>
      </c>
      <c r="AQ146" s="503">
        <f t="shared" si="364"/>
        <v>0</v>
      </c>
      <c r="AR146" s="503">
        <f t="shared" si="364"/>
        <v>0</v>
      </c>
      <c r="AS146" s="503">
        <f t="shared" si="364"/>
        <v>0</v>
      </c>
      <c r="AT146" s="503">
        <f t="shared" si="364"/>
        <v>0</v>
      </c>
      <c r="AU146" s="503">
        <f t="shared" si="364"/>
        <v>0</v>
      </c>
      <c r="AV146" s="503">
        <f t="shared" si="364"/>
        <v>0</v>
      </c>
      <c r="AW146" s="503">
        <f t="shared" si="364"/>
        <v>0</v>
      </c>
    </row>
    <row r="147" spans="3:49" ht="14.25" customHeight="1">
      <c r="C147" s="1" t="s">
        <v>491</v>
      </c>
      <c r="D147" s="8">
        <f>IF(AND(D144=0, C149&lt;$D$25*'Assumptions &amp; Inputs'!$F$37),MIN($D$25*(1-'Assumptions &amp; Inputs'!$F$37)/'Assumptions &amp; Inputs'!$F$35,-C149),0)</f>
        <v>0</v>
      </c>
      <c r="E147" s="8">
        <f>IF(AND(E$110&gt;YEAR('Assumptions &amp; Inputs'!$F$31), ROUND(D149, 7)&lt;SUMIF($D$110:$AW$110, "="&amp;E$110-'Assumptions &amp; Inputs'!$F$34-1, $D144:$AW144)*'Assumptions &amp; Inputs'!$F$37),MIN(E145*(1-'Assumptions &amp; Inputs'!$F$37)/'Assumptions &amp; Inputs'!$F$34,-D149),0)</f>
        <v>0</v>
      </c>
      <c r="F147" s="8">
        <f>IF(AND(F$110&gt;YEAR('Assumptions &amp; Inputs'!$F$31), ROUND(E149, 7)&lt;SUMIF($D$110:$AW$110, "="&amp;F$110-'Assumptions &amp; Inputs'!$F$34-1, $D144:$AW144)*'Assumptions &amp; Inputs'!$F$37),MIN(F145*(1-'Assumptions &amp; Inputs'!$F$37)/'Assumptions &amp; Inputs'!$F$34,-E149),0)</f>
        <v>-4.3699999999999992</v>
      </c>
      <c r="G147" s="8">
        <f>IF(AND(G$110&gt;YEAR('Assumptions &amp; Inputs'!$F$31), ROUND(F149, 7)&lt;SUMIF($D$110:$AW$110, "="&amp;G$110-'Assumptions &amp; Inputs'!$F$34-1, $D144:$AW144)*'Assumptions &amp; Inputs'!$F$37),MIN(G145*(1-'Assumptions &amp; Inputs'!$F$37)/'Assumptions &amp; Inputs'!$F$34,-F149),0)</f>
        <v>-4.3699999999999992</v>
      </c>
      <c r="H147" s="8">
        <f>IF(AND(H$110&gt;YEAR('Assumptions &amp; Inputs'!$F$31), ROUND(G149, 7)&lt;SUMIF($D$110:$AW$110, "="&amp;H$110-'Assumptions &amp; Inputs'!$F$34-1, $D144:$AW144)*'Assumptions &amp; Inputs'!$F$37),MIN(H145*(1-'Assumptions &amp; Inputs'!$F$37)/'Assumptions &amp; Inputs'!$F$34,-G149),0)</f>
        <v>-4.3699999999999992</v>
      </c>
      <c r="I147" s="8">
        <f>IF(AND(I$110&gt;YEAR('Assumptions &amp; Inputs'!$F$31), ROUND(H149, 7)&lt;SUMIF($D$110:$AW$110, "="&amp;I$110-'Assumptions &amp; Inputs'!$F$34-1, $D144:$AW144)*'Assumptions &amp; Inputs'!$F$37),MIN(I145*(1-'Assumptions &amp; Inputs'!$F$37)/'Assumptions &amp; Inputs'!$F$34,-H149),0)</f>
        <v>-4.3699999999999992</v>
      </c>
      <c r="J147" s="8">
        <f>IF(AND(J$110&gt;YEAR('Assumptions &amp; Inputs'!$F$31), ROUND(I149, 7)&lt;SUMIF($D$110:$AW$110, "="&amp;J$110-'Assumptions &amp; Inputs'!$F$34-1, $D144:$AW144)*'Assumptions &amp; Inputs'!$F$37),MIN(J145*(1-'Assumptions &amp; Inputs'!$F$37)/'Assumptions &amp; Inputs'!$F$34,-I149),0)</f>
        <v>-4.3699999999999992</v>
      </c>
      <c r="K147" s="8">
        <f>IF(AND(K$110&gt;YEAR('Assumptions &amp; Inputs'!$F$31), ROUND(J149, 7)&lt;SUMIF($D$110:$AW$110, "="&amp;K$110-'Assumptions &amp; Inputs'!$F$34-1, $D144:$AW144)*'Assumptions &amp; Inputs'!$F$37),MIN(K145*(1-'Assumptions &amp; Inputs'!$F$37)/'Assumptions &amp; Inputs'!$F$34,-J149),0)</f>
        <v>-4.3699999999999992</v>
      </c>
      <c r="L147" s="8">
        <f>IF(AND(L$110&gt;YEAR('Assumptions &amp; Inputs'!$F$31), ROUND(K149, 7)&lt;SUMIF($D$110:$AW$110, "="&amp;L$110-'Assumptions &amp; Inputs'!$F$34-1, $D144:$AW144)*'Assumptions &amp; Inputs'!$F$37),MIN(L145*(1-'Assumptions &amp; Inputs'!$F$37)/'Assumptions &amp; Inputs'!$F$34,-K149),0)</f>
        <v>-4.3699999999999992</v>
      </c>
      <c r="M147" s="8">
        <f>IF(AND(M$110&gt;YEAR('Assumptions &amp; Inputs'!$F$31), ROUND(L149, 7)&lt;SUMIF($D$110:$AW$110, "="&amp;M$110-'Assumptions &amp; Inputs'!$F$34-1, $D144:$AW144)*'Assumptions &amp; Inputs'!$F$37),MIN(M145*(1-'Assumptions &amp; Inputs'!$F$37)/'Assumptions &amp; Inputs'!$F$34,-L149),0)</f>
        <v>-4.3699999999999992</v>
      </c>
      <c r="N147" s="8">
        <f>IF(AND(N$110&gt;YEAR('Assumptions &amp; Inputs'!$F$31), ROUND(M149, 7)&lt;SUMIF($D$110:$AW$110, "="&amp;N$110-'Assumptions &amp; Inputs'!$F$34-1, $D144:$AW144)*'Assumptions &amp; Inputs'!$F$37),MIN(N145*(1-'Assumptions &amp; Inputs'!$F$37)/'Assumptions &amp; Inputs'!$F$34,-M149),0)</f>
        <v>-4.3699999999999992</v>
      </c>
      <c r="O147" s="8">
        <f>IF(AND(O$110&gt;YEAR('Assumptions &amp; Inputs'!$F$31), ROUND(N149, 7)&lt;SUMIF($D$110:$AW$110, "="&amp;O$110-'Assumptions &amp; Inputs'!$F$34-1, $D144:$AW144)*'Assumptions &amp; Inputs'!$F$37),MIN(O145*(1-'Assumptions &amp; Inputs'!$F$37)/'Assumptions &amp; Inputs'!$F$34,-N149),0)</f>
        <v>-4.3699999999999992</v>
      </c>
      <c r="P147" s="8">
        <f>IF(AND(P$110&gt;YEAR('Assumptions &amp; Inputs'!$F$31), ROUND(O149, 7)&lt;SUMIF($D$110:$AW$110, "="&amp;P$110-'Assumptions &amp; Inputs'!$F$34-1, $D144:$AW144)*'Assumptions &amp; Inputs'!$F$37),MIN(P145*(1-'Assumptions &amp; Inputs'!$F$37)/'Assumptions &amp; Inputs'!$F$34,-O149),0)</f>
        <v>-4.3699999999999992</v>
      </c>
      <c r="Q147" s="8">
        <f>IF(AND(Q$110&gt;YEAR('Assumptions &amp; Inputs'!$F$31), ROUND(P149, 7)&lt;SUMIF($D$110:$AW$110, "="&amp;Q$110-'Assumptions &amp; Inputs'!$F$34-1, $D144:$AW144)*'Assumptions &amp; Inputs'!$F$37),MIN(Q145*(1-'Assumptions &amp; Inputs'!$F$37)/'Assumptions &amp; Inputs'!$F$34,-P149),0)</f>
        <v>-4.3699999999999992</v>
      </c>
      <c r="R147" s="8">
        <f>IF(AND(R$110&gt;YEAR('Assumptions &amp; Inputs'!$F$31), ROUND(Q149, 7)&lt;SUMIF($D$110:$AW$110, "="&amp;R$110-'Assumptions &amp; Inputs'!$F$34-1, $D144:$AW144)*'Assumptions &amp; Inputs'!$F$37),MIN(R145*(1-'Assumptions &amp; Inputs'!$F$37)/'Assumptions &amp; Inputs'!$F$34,-Q149),0)</f>
        <v>-4.3699999999999992</v>
      </c>
      <c r="S147" s="8">
        <f>IF(AND(S$110&gt;YEAR('Assumptions &amp; Inputs'!$F$31), ROUND(R149, 7)&lt;SUMIF($D$110:$AW$110, "="&amp;S$110-'Assumptions &amp; Inputs'!$F$34-1, $D144:$AW144)*'Assumptions &amp; Inputs'!$F$37),MIN(S145*(1-'Assumptions &amp; Inputs'!$F$37)/'Assumptions &amp; Inputs'!$F$34,-R149),0)</f>
        <v>-4.3699999999999992</v>
      </c>
      <c r="T147" s="8">
        <f>IF(AND(T$110&gt;YEAR('Assumptions &amp; Inputs'!$F$31), ROUND(S149, 7)&lt;SUMIF($D$110:$AW$110, "="&amp;T$110-'Assumptions &amp; Inputs'!$F$34-1, $D144:$AW144)*'Assumptions &amp; Inputs'!$F$37),MIN(T145*(1-'Assumptions &amp; Inputs'!$F$37)/'Assumptions &amp; Inputs'!$F$34,-S149),0)</f>
        <v>-4.3699999999999992</v>
      </c>
      <c r="U147" s="8">
        <f>IF(AND(U$110&gt;YEAR('Assumptions &amp; Inputs'!$F$31), ROUND(T149, 7)&lt;SUMIF($D$110:$AW$110, "="&amp;U$110-'Assumptions &amp; Inputs'!$F$34-1, $D144:$AW144)*'Assumptions &amp; Inputs'!$F$37),MIN(U145*(1-'Assumptions &amp; Inputs'!$F$37)/'Assumptions &amp; Inputs'!$F$34,-T149),0)</f>
        <v>-4.3699999999999992</v>
      </c>
      <c r="V147" s="8">
        <f>IF(AND(V$110&gt;YEAR('Assumptions &amp; Inputs'!$F$31), ROUND(U149, 7)&lt;SUMIF($D$110:$AW$110, "="&amp;V$110-'Assumptions &amp; Inputs'!$F$34-1, $D144:$AW144)*'Assumptions &amp; Inputs'!$F$37),MIN(V145*(1-'Assumptions &amp; Inputs'!$F$37)/'Assumptions &amp; Inputs'!$F$34,-U149),0)</f>
        <v>-4.3699999999999992</v>
      </c>
      <c r="W147" s="8">
        <f>IF(AND(W$110&gt;YEAR('Assumptions &amp; Inputs'!$F$31), ROUND(V149, 7)&lt;SUMIF($D$110:$AW$110, "="&amp;W$110-'Assumptions &amp; Inputs'!$F$34-1, $D144:$AW144)*'Assumptions &amp; Inputs'!$F$37),MIN(W145*(1-'Assumptions &amp; Inputs'!$F$37)/'Assumptions &amp; Inputs'!$F$34,-V149),0)</f>
        <v>-4.3699999999999992</v>
      </c>
      <c r="X147" s="8">
        <f>IF(AND(X$110&gt;YEAR('Assumptions &amp; Inputs'!$F$31), ROUND(W149, 7)&lt;SUMIF($D$110:$AW$110, "="&amp;X$110-'Assumptions &amp; Inputs'!$F$34-1, $D144:$AW144)*'Assumptions &amp; Inputs'!$F$37),MIN(X145*(1-'Assumptions &amp; Inputs'!$F$37)/'Assumptions &amp; Inputs'!$F$34,-W149),0)</f>
        <v>-4.3699999999999992</v>
      </c>
      <c r="Y147" s="8">
        <f>IF(AND(Y$110&gt;YEAR('Assumptions &amp; Inputs'!$F$31), ROUND(X149, 7)&lt;SUMIF($D$110:$AW$110, "="&amp;Y$110-'Assumptions &amp; Inputs'!$F$34-1, $D144:$AW144)*'Assumptions &amp; Inputs'!$F$37),MIN(Y145*(1-'Assumptions &amp; Inputs'!$F$37)/'Assumptions &amp; Inputs'!$F$34,-X149),0)</f>
        <v>-4.3699999999999992</v>
      </c>
      <c r="Z147" s="8">
        <f>IF(AND(Z$110&gt;YEAR('Assumptions &amp; Inputs'!$F$31), ROUND(Y149, 7)&lt;SUMIF($D$110:$AW$110, "="&amp;Z$110-'Assumptions &amp; Inputs'!$F$34-1, $D144:$AW144)*'Assumptions &amp; Inputs'!$F$37),MIN(Z145*(1-'Assumptions &amp; Inputs'!$F$37)/'Assumptions &amp; Inputs'!$F$34,-Y149),0)</f>
        <v>-4.3699999999999992</v>
      </c>
      <c r="AA147" s="8">
        <f>IF(AND(AA$110&gt;YEAR('Assumptions &amp; Inputs'!$F$31), ROUND(Z149, 7)&lt;SUMIF($D$110:$AW$110, "="&amp;AA$110-'Assumptions &amp; Inputs'!$F$34-1, $D144:$AW144)*'Assumptions &amp; Inputs'!$F$37),MIN(AA145*(1-'Assumptions &amp; Inputs'!$F$37)/'Assumptions &amp; Inputs'!$F$34,-Z149),0)</f>
        <v>-4.3699999999999992</v>
      </c>
      <c r="AB147" s="8">
        <f>IF(AND(AB$110&gt;YEAR('Assumptions &amp; Inputs'!$F$31), ROUND(AA149, 7)&lt;SUMIF($D$110:$AW$110, "="&amp;AB$110-'Assumptions &amp; Inputs'!$F$34-1, $D144:$AW144)*'Assumptions &amp; Inputs'!$F$37),MIN(AB145*(1-'Assumptions &amp; Inputs'!$F$37)/'Assumptions &amp; Inputs'!$F$34,-AA149),0)</f>
        <v>-4.3699999999999992</v>
      </c>
      <c r="AC147" s="8">
        <f>IF(AND(AC$110&gt;YEAR('Assumptions &amp; Inputs'!$F$31), ROUND(AB149, 7)&lt;SUMIF($D$110:$AW$110, "="&amp;AC$110-'Assumptions &amp; Inputs'!$F$34-1, $D144:$AW144)*'Assumptions &amp; Inputs'!$F$37),MIN(AC145*(1-'Assumptions &amp; Inputs'!$F$37)/'Assumptions &amp; Inputs'!$F$34,-AB149),0)</f>
        <v>-4.3699999999999992</v>
      </c>
      <c r="AD147" s="8">
        <f>IF(AND(AD$110&gt;YEAR('Assumptions &amp; Inputs'!$F$31), ROUND(AC149, 7)&lt;SUMIF($D$110:$AW$110, "="&amp;AD$110-'Assumptions &amp; Inputs'!$F$34-1, $D144:$AW144)*'Assumptions &amp; Inputs'!$F$37),MIN(AD145*(1-'Assumptions &amp; Inputs'!$F$37)/'Assumptions &amp; Inputs'!$F$34,-AC149),0)</f>
        <v>-4.3699999999999992</v>
      </c>
      <c r="AE147" s="8">
        <f>IF(AND(AE$110&gt;YEAR('Assumptions &amp; Inputs'!$F$31), ROUND(AD149, 7)&lt;SUMIF($D$110:$AW$110, "="&amp;AE$110-'Assumptions &amp; Inputs'!$F$34-1, $D144:$AW144)*'Assumptions &amp; Inputs'!$F$37),MIN(AE145*(1-'Assumptions &amp; Inputs'!$F$37)/'Assumptions &amp; Inputs'!$F$34,-AD149),0)</f>
        <v>0</v>
      </c>
      <c r="AF147" s="8">
        <f>IF(AND(AF$110&gt;YEAR('Assumptions &amp; Inputs'!$F$31), ROUND(AE149, 7)&lt;SUMIF($D$110:$AW$110, "="&amp;AF$110-'Assumptions &amp; Inputs'!$F$34-1, $D144:$AW144)*'Assumptions &amp; Inputs'!$F$37),MIN(AF145*(1-'Assumptions &amp; Inputs'!$F$37)/'Assumptions &amp; Inputs'!$F$34,-AE149),0)</f>
        <v>0</v>
      </c>
      <c r="AG147" s="8">
        <f>IF(AND(AG$110&gt;YEAR('Assumptions &amp; Inputs'!$F$31), ROUND(AF149, 7)&lt;SUMIF($D$110:$AW$110, "="&amp;AG$110-'Assumptions &amp; Inputs'!$F$34-1, $D144:$AW144)*'Assumptions &amp; Inputs'!$F$37),MIN(AG145*(1-'Assumptions &amp; Inputs'!$F$37)/'Assumptions &amp; Inputs'!$F$34,-AF149),0)</f>
        <v>0</v>
      </c>
      <c r="AH147" s="8">
        <f>IF(AND(AH$110&gt;YEAR('Assumptions &amp; Inputs'!$F$31), ROUND(AG149, 7)&lt;SUMIF($D$110:$AW$110, "="&amp;AH$110-'Assumptions &amp; Inputs'!$F$34-1, $D144:$AW144)*'Assumptions &amp; Inputs'!$F$37),MIN(AH145*(1-'Assumptions &amp; Inputs'!$F$37)/'Assumptions &amp; Inputs'!$F$34,-AG149),0)</f>
        <v>0</v>
      </c>
      <c r="AI147" s="8">
        <f>IF(AND(AI$110&gt;YEAR('Assumptions &amp; Inputs'!$F$31), ROUND(AH149, 7)&lt;SUMIF($D$110:$AW$110, "="&amp;AI$110-'Assumptions &amp; Inputs'!$F$34-1, $D144:$AW144)*'Assumptions &amp; Inputs'!$F$37),MIN(AI145*(1-'Assumptions &amp; Inputs'!$F$37)/'Assumptions &amp; Inputs'!$F$34,-AH149),0)</f>
        <v>0</v>
      </c>
      <c r="AJ147" s="8">
        <f>IF(AND(AJ$110&gt;YEAR('Assumptions &amp; Inputs'!$F$31), ROUND(AI149, 7)&lt;SUMIF($D$110:$AW$110, "="&amp;AJ$110-'Assumptions &amp; Inputs'!$F$34-1, $D144:$AW144)*'Assumptions &amp; Inputs'!$F$37),MIN(AJ145*(1-'Assumptions &amp; Inputs'!$F$37)/'Assumptions &amp; Inputs'!$F$34,-AI149),0)</f>
        <v>0</v>
      </c>
      <c r="AK147" s="8">
        <f>IF(AND(AK$110&gt;YEAR('Assumptions &amp; Inputs'!$F$31), ROUND(AJ149, 7)&lt;SUMIF($D$110:$AW$110, "="&amp;AK$110-'Assumptions &amp; Inputs'!$F$34-1, $D144:$AW144)*'Assumptions &amp; Inputs'!$F$37),MIN(AK145*(1-'Assumptions &amp; Inputs'!$F$37)/'Assumptions &amp; Inputs'!$F$34,-AJ149),0)</f>
        <v>0</v>
      </c>
      <c r="AL147" s="8">
        <f>IF(AND(AL$110&gt;YEAR('Assumptions &amp; Inputs'!$F$31), ROUND(AK149, 7)&lt;SUMIF($D$110:$AW$110, "="&amp;AL$110-'Assumptions &amp; Inputs'!$F$34-1, $D144:$AW144)*'Assumptions &amp; Inputs'!$F$37),MIN(AL145*(1-'Assumptions &amp; Inputs'!$F$37)/'Assumptions &amp; Inputs'!$F$34,-AK149),0)</f>
        <v>0</v>
      </c>
      <c r="AM147" s="8">
        <f>IF(AND(AM$110&gt;YEAR('Assumptions &amp; Inputs'!$F$31), ROUND(AL149, 7)&lt;SUMIF($D$110:$AW$110, "="&amp;AM$110-'Assumptions &amp; Inputs'!$F$34-1, $D144:$AW144)*'Assumptions &amp; Inputs'!$F$37),MIN(AM145*(1-'Assumptions &amp; Inputs'!$F$37)/'Assumptions &amp; Inputs'!$F$34,-AL149),0)</f>
        <v>0</v>
      </c>
      <c r="AN147" s="8">
        <f>IF(AND(AN$110&gt;YEAR('Assumptions &amp; Inputs'!$F$31), ROUND(AM149, 7)&lt;SUMIF($D$110:$AW$110, "="&amp;AN$110-'Assumptions &amp; Inputs'!$F$34-1, $D144:$AW144)*'Assumptions &amp; Inputs'!$F$37),MIN(AN145*(1-'Assumptions &amp; Inputs'!$F$37)/'Assumptions &amp; Inputs'!$F$34,-AM149),0)</f>
        <v>0</v>
      </c>
      <c r="AO147" s="8">
        <f>IF(AND(AO$110&gt;YEAR('Assumptions &amp; Inputs'!$F$31), ROUND(AN149, 7)&lt;SUMIF($D$110:$AW$110, "="&amp;AO$110-'Assumptions &amp; Inputs'!$F$34-1, $D144:$AW144)*'Assumptions &amp; Inputs'!$F$37),MIN(AO145*(1-'Assumptions &amp; Inputs'!$F$37)/'Assumptions &amp; Inputs'!$F$34,-AN149),0)</f>
        <v>0</v>
      </c>
      <c r="AP147" s="8">
        <f>IF(AND(AP$110&gt;YEAR('Assumptions &amp; Inputs'!$F$31), ROUND(AO149, 7)&lt;SUMIF($D$110:$AW$110, "="&amp;AP$110-'Assumptions &amp; Inputs'!$F$34-1, $D144:$AW144)*'Assumptions &amp; Inputs'!$F$37),MIN(AP145*(1-'Assumptions &amp; Inputs'!$F$37)/'Assumptions &amp; Inputs'!$F$34,-AO149),0)</f>
        <v>0</v>
      </c>
      <c r="AQ147" s="8">
        <f>IF(AND(AQ$110&gt;YEAR('Assumptions &amp; Inputs'!$F$31), ROUND(AP149, 7)&lt;SUMIF($D$110:$AW$110, "="&amp;AQ$110-'Assumptions &amp; Inputs'!$F$34-1, $D144:$AW144)*'Assumptions &amp; Inputs'!$F$37),MIN(AQ145*(1-'Assumptions &amp; Inputs'!$F$37)/'Assumptions &amp; Inputs'!$F$34,-AP149),0)</f>
        <v>0</v>
      </c>
      <c r="AR147" s="8">
        <f>IF(AND(AR$110&gt;YEAR('Assumptions &amp; Inputs'!$F$31), ROUND(AQ149, 7)&lt;SUMIF($D$110:$AW$110, "="&amp;AR$110-'Assumptions &amp; Inputs'!$F$34-1, $D144:$AW144)*'Assumptions &amp; Inputs'!$F$37),MIN(AR145*(1-'Assumptions &amp; Inputs'!$F$37)/'Assumptions &amp; Inputs'!$F$34,-AQ149),0)</f>
        <v>0</v>
      </c>
      <c r="AS147" s="8">
        <f>IF(AND(AS$110&gt;YEAR('Assumptions &amp; Inputs'!$F$31), ROUND(AR149, 7)&lt;SUMIF($D$110:$AW$110, "="&amp;AS$110-'Assumptions &amp; Inputs'!$F$34-1, $D144:$AW144)*'Assumptions &amp; Inputs'!$F$37),MIN(AS145*(1-'Assumptions &amp; Inputs'!$F$37)/'Assumptions &amp; Inputs'!$F$34,-AR149),0)</f>
        <v>0</v>
      </c>
      <c r="AT147" s="8">
        <f>IF(AND(AT$110&gt;YEAR('Assumptions &amp; Inputs'!$F$31), ROUND(AS149, 7)&lt;SUMIF($D$110:$AW$110, "="&amp;AT$110-'Assumptions &amp; Inputs'!$F$34-1, $D144:$AW144)*'Assumptions &amp; Inputs'!$F$37),MIN(AT145*(1-'Assumptions &amp; Inputs'!$F$37)/'Assumptions &amp; Inputs'!$F$34,-AS149),0)</f>
        <v>0</v>
      </c>
      <c r="AU147" s="8">
        <f>IF(AND(AU$110&gt;YEAR('Assumptions &amp; Inputs'!$F$31), ROUND(AT149, 7)&lt;SUMIF($D$110:$AW$110, "="&amp;AU$110-'Assumptions &amp; Inputs'!$F$34-1, $D144:$AW144)*'Assumptions &amp; Inputs'!$F$37),MIN(AU145*(1-'Assumptions &amp; Inputs'!$F$37)/'Assumptions &amp; Inputs'!$F$34,-AT149),0)</f>
        <v>0</v>
      </c>
      <c r="AV147" s="8">
        <f>IF(AND(AV$110&gt;YEAR('Assumptions &amp; Inputs'!$F$31), ROUND(AU149, 7)&lt;SUMIF($D$110:$AW$110, "="&amp;AV$110-'Assumptions &amp; Inputs'!$F$34-1, $D144:$AW144)*'Assumptions &amp; Inputs'!$F$37),MIN(AV145*(1-'Assumptions &amp; Inputs'!$F$37)/'Assumptions &amp; Inputs'!$F$34,-AU149),0)</f>
        <v>0</v>
      </c>
      <c r="AW147" s="8">
        <f>IF(AND(AW$110&gt;YEAR('Assumptions &amp; Inputs'!$F$31), ROUND(AV149, 7)&lt;SUMIF($D$110:$AW$110, "="&amp;AW$110-'Assumptions &amp; Inputs'!$F$34-1, $D144:$AW144)*'Assumptions &amp; Inputs'!$F$37),MIN(AW145*(1-'Assumptions &amp; Inputs'!$F$37)/'Assumptions &amp; Inputs'!$F$34,-AV149),0)</f>
        <v>0</v>
      </c>
    </row>
    <row r="148" spans="3:49" s="182" customFormat="1" ht="14.25" customHeight="1">
      <c r="C148" s="4" t="s">
        <v>508</v>
      </c>
      <c r="D148" s="23">
        <f>D147</f>
        <v>0</v>
      </c>
      <c r="E148" s="23">
        <f>MAX(E147+D148, $D$25)</f>
        <v>0</v>
      </c>
      <c r="F148" s="23">
        <f>MAX(F147+E148, $D$25)</f>
        <v>-4.3699999999999992</v>
      </c>
      <c r="G148" s="23">
        <f t="shared" ref="G148:X148" si="365">MAX(G147+F148, $D$25)</f>
        <v>-8.7399999999999984</v>
      </c>
      <c r="H148" s="23">
        <f t="shared" si="365"/>
        <v>-13.109999999999998</v>
      </c>
      <c r="I148" s="23">
        <f t="shared" si="365"/>
        <v>-17.479999999999997</v>
      </c>
      <c r="J148" s="23">
        <f t="shared" si="365"/>
        <v>-21.849999999999994</v>
      </c>
      <c r="K148" s="23">
        <f t="shared" si="365"/>
        <v>-26.219999999999992</v>
      </c>
      <c r="L148" s="23">
        <f t="shared" si="365"/>
        <v>-30.589999999999989</v>
      </c>
      <c r="M148" s="23">
        <f t="shared" si="365"/>
        <v>-34.959999999999987</v>
      </c>
      <c r="N148" s="23">
        <f t="shared" si="365"/>
        <v>-39.329999999999984</v>
      </c>
      <c r="O148" s="23">
        <f t="shared" si="365"/>
        <v>-43.699999999999982</v>
      </c>
      <c r="P148" s="23">
        <f t="shared" si="365"/>
        <v>-48.069999999999979</v>
      </c>
      <c r="Q148" s="23">
        <f t="shared" si="365"/>
        <v>-52.439999999999976</v>
      </c>
      <c r="R148" s="23">
        <f t="shared" si="365"/>
        <v>-56.809999999999974</v>
      </c>
      <c r="S148" s="23">
        <f t="shared" si="365"/>
        <v>-61.179999999999971</v>
      </c>
      <c r="T148" s="23">
        <f t="shared" si="365"/>
        <v>-65.549999999999969</v>
      </c>
      <c r="U148" s="23">
        <f t="shared" si="365"/>
        <v>-69.919999999999973</v>
      </c>
      <c r="V148" s="23">
        <f t="shared" si="365"/>
        <v>-74.289999999999978</v>
      </c>
      <c r="W148" s="23">
        <f t="shared" si="365"/>
        <v>-78.659999999999982</v>
      </c>
      <c r="X148" s="23">
        <f t="shared" si="365"/>
        <v>-83.029999999999987</v>
      </c>
      <c r="Y148" s="23">
        <f t="shared" ref="Y148" si="366">MAX(Y147+X148, $D$25)</f>
        <v>-87.399999999999991</v>
      </c>
      <c r="Z148" s="23">
        <f t="shared" ref="Z148" si="367">MAX(Z147+Y148, $D$25)</f>
        <v>-91.77</v>
      </c>
      <c r="AA148" s="23">
        <f t="shared" ref="AA148" si="368">MAX(AA147+Z148, $D$25)</f>
        <v>-96.14</v>
      </c>
      <c r="AB148" s="23">
        <f t="shared" ref="AB148" si="369">MAX(AB147+AA148, $D$25)</f>
        <v>-100.51</v>
      </c>
      <c r="AC148" s="23">
        <f t="shared" ref="AC148" si="370">MAX(AC147+AB148, $D$25)</f>
        <v>-104.88000000000001</v>
      </c>
      <c r="AD148" s="23">
        <f t="shared" ref="AD148" si="371">MAX(AD147+AC148, $D$25)</f>
        <v>-109.25000000000001</v>
      </c>
      <c r="AE148" s="23">
        <f t="shared" ref="AE148" si="372">MAX(AE147+AD148, $D$25)</f>
        <v>-109.25000000000001</v>
      </c>
      <c r="AF148" s="23">
        <f t="shared" ref="AF148" si="373">MAX(AF147+AE148, $D$25)</f>
        <v>-109.25000000000001</v>
      </c>
      <c r="AG148" s="23">
        <f t="shared" ref="AG148" si="374">MAX(AG147+AF148, $D$25)</f>
        <v>-109.25000000000001</v>
      </c>
      <c r="AH148" s="23">
        <f t="shared" ref="AH148" si="375">MAX(AH147+AG148, $D$25)</f>
        <v>-109.25000000000001</v>
      </c>
      <c r="AI148" s="23">
        <f t="shared" ref="AI148" si="376">MAX(AI147+AH148, $D$25)</f>
        <v>-109.25000000000001</v>
      </c>
      <c r="AJ148" s="23">
        <f t="shared" ref="AJ148" si="377">MAX(AJ147+AI148, $D$25)</f>
        <v>-109.25000000000001</v>
      </c>
      <c r="AK148" s="23">
        <f t="shared" ref="AK148" si="378">MAX(AK147+AJ148, $D$25)</f>
        <v>-109.25000000000001</v>
      </c>
      <c r="AL148" s="23">
        <f t="shared" ref="AL148" si="379">MAX(AL147+AK148, $D$25)</f>
        <v>-109.25000000000001</v>
      </c>
      <c r="AM148" s="23">
        <f t="shared" ref="AM148" si="380">MAX(AM147+AL148, $D$25)</f>
        <v>-109.25000000000001</v>
      </c>
      <c r="AN148" s="23">
        <f t="shared" ref="AN148" si="381">MAX(AN147+AM148, $D$25)</f>
        <v>-109.25000000000001</v>
      </c>
      <c r="AO148" s="23">
        <f t="shared" ref="AO148" si="382">MAX(AO147+AN148, $D$25)</f>
        <v>-109.25000000000001</v>
      </c>
      <c r="AP148" s="23">
        <f t="shared" ref="AP148" si="383">MAX(AP147+AO148, $D$25)</f>
        <v>-109.25000000000001</v>
      </c>
      <c r="AQ148" s="23">
        <f t="shared" ref="AQ148" si="384">MAX(AQ147+AP148, $D$25)</f>
        <v>-109.25000000000001</v>
      </c>
      <c r="AR148" s="23">
        <f t="shared" ref="AR148" si="385">MAX(AR147+AQ148, $D$25)</f>
        <v>-109.25000000000001</v>
      </c>
      <c r="AS148" s="23">
        <f t="shared" ref="AS148" si="386">MAX(AS147+AR148, $D$25)</f>
        <v>-109.25000000000001</v>
      </c>
      <c r="AT148" s="23">
        <f t="shared" ref="AT148" si="387">MAX(AT147+AS148, $D$25)</f>
        <v>-109.25000000000001</v>
      </c>
      <c r="AU148" s="23">
        <f t="shared" ref="AU148" si="388">MAX(AU147+AT148, $D$25)</f>
        <v>-109.25000000000001</v>
      </c>
      <c r="AV148" s="23">
        <f t="shared" ref="AV148" si="389">MAX(AV147+AU148, $D$25)</f>
        <v>-109.25000000000001</v>
      </c>
      <c r="AW148" s="23">
        <f t="shared" ref="AW148" si="390">MAX(AW147+AV148, $D$25)</f>
        <v>-109.25000000000001</v>
      </c>
    </row>
    <row r="149" spans="3:49" s="182" customFormat="1" ht="14.25" customHeight="1">
      <c r="C149" s="4" t="s">
        <v>509</v>
      </c>
      <c r="D149" s="23">
        <f>SUM(-D148, D144)</f>
        <v>-105.41666666666666</v>
      </c>
      <c r="E149" s="23">
        <f>SUM(D149,-E147, E$42, E144)</f>
        <v>-114.99999999999999</v>
      </c>
      <c r="F149" s="23">
        <f t="shared" ref="F149:AW149" si="391">SUM(E149,-F147, F$42, F144)</f>
        <v>-110.62999999999998</v>
      </c>
      <c r="G149" s="23">
        <f t="shared" si="391"/>
        <v>-106.25999999999998</v>
      </c>
      <c r="H149" s="23">
        <f t="shared" si="391"/>
        <v>-101.88999999999997</v>
      </c>
      <c r="I149" s="23">
        <f t="shared" si="391"/>
        <v>-97.519999999999968</v>
      </c>
      <c r="J149" s="23">
        <f t="shared" si="391"/>
        <v>-93.149999999999963</v>
      </c>
      <c r="K149" s="23">
        <f t="shared" si="391"/>
        <v>-88.779999999999959</v>
      </c>
      <c r="L149" s="23">
        <f t="shared" si="391"/>
        <v>-84.409999999999954</v>
      </c>
      <c r="M149" s="23">
        <f t="shared" si="391"/>
        <v>-80.039999999999949</v>
      </c>
      <c r="N149" s="23">
        <f t="shared" si="391"/>
        <v>-75.669999999999945</v>
      </c>
      <c r="O149" s="23">
        <f t="shared" si="391"/>
        <v>-71.29999999999994</v>
      </c>
      <c r="P149" s="23">
        <f t="shared" si="391"/>
        <v>-66.929999999999936</v>
      </c>
      <c r="Q149" s="23">
        <f t="shared" si="391"/>
        <v>-62.559999999999938</v>
      </c>
      <c r="R149" s="23">
        <f t="shared" si="391"/>
        <v>-58.189999999999941</v>
      </c>
      <c r="S149" s="23">
        <f t="shared" si="391"/>
        <v>-53.819999999999943</v>
      </c>
      <c r="T149" s="23">
        <f t="shared" si="391"/>
        <v>-49.449999999999946</v>
      </c>
      <c r="U149" s="23">
        <f t="shared" si="391"/>
        <v>-45.079999999999949</v>
      </c>
      <c r="V149" s="23">
        <f t="shared" si="391"/>
        <v>-40.709999999999951</v>
      </c>
      <c r="W149" s="23">
        <f t="shared" si="391"/>
        <v>-36.339999999999954</v>
      </c>
      <c r="X149" s="23">
        <f t="shared" si="391"/>
        <v>-31.969999999999956</v>
      </c>
      <c r="Y149" s="23">
        <f t="shared" si="391"/>
        <v>-27.599999999999959</v>
      </c>
      <c r="Z149" s="23">
        <f t="shared" si="391"/>
        <v>-23.229999999999961</v>
      </c>
      <c r="AA149" s="23">
        <f t="shared" si="391"/>
        <v>-18.859999999999964</v>
      </c>
      <c r="AB149" s="23">
        <f t="shared" si="391"/>
        <v>-14.489999999999965</v>
      </c>
      <c r="AC149" s="23">
        <f t="shared" si="391"/>
        <v>-10.119999999999965</v>
      </c>
      <c r="AD149" s="23">
        <f t="shared" si="391"/>
        <v>3.3750779948604759E-14</v>
      </c>
      <c r="AE149" s="23">
        <f t="shared" si="391"/>
        <v>3.3750779948604759E-14</v>
      </c>
      <c r="AF149" s="23">
        <f t="shared" si="391"/>
        <v>3.3750779948604759E-14</v>
      </c>
      <c r="AG149" s="23">
        <f t="shared" si="391"/>
        <v>3.3750779948604759E-14</v>
      </c>
      <c r="AH149" s="23">
        <f t="shared" si="391"/>
        <v>3.3750779948604759E-14</v>
      </c>
      <c r="AI149" s="23">
        <f t="shared" si="391"/>
        <v>3.3750779948604759E-14</v>
      </c>
      <c r="AJ149" s="23">
        <f t="shared" si="391"/>
        <v>3.3750779948604759E-14</v>
      </c>
      <c r="AK149" s="23">
        <f t="shared" si="391"/>
        <v>3.3750779948604759E-14</v>
      </c>
      <c r="AL149" s="23">
        <f t="shared" si="391"/>
        <v>3.3750779948604759E-14</v>
      </c>
      <c r="AM149" s="23">
        <f t="shared" si="391"/>
        <v>3.3750779948604759E-14</v>
      </c>
      <c r="AN149" s="23">
        <f t="shared" si="391"/>
        <v>3.3750779948604759E-14</v>
      </c>
      <c r="AO149" s="23">
        <f t="shared" si="391"/>
        <v>3.3750779948604759E-14</v>
      </c>
      <c r="AP149" s="23">
        <f t="shared" si="391"/>
        <v>3.3750779948604759E-14</v>
      </c>
      <c r="AQ149" s="23">
        <f t="shared" si="391"/>
        <v>3.3750779948604759E-14</v>
      </c>
      <c r="AR149" s="23">
        <f t="shared" si="391"/>
        <v>3.3750779948604759E-14</v>
      </c>
      <c r="AS149" s="23">
        <f t="shared" si="391"/>
        <v>3.3750779948604759E-14</v>
      </c>
      <c r="AT149" s="23">
        <f t="shared" si="391"/>
        <v>3.3750779948604759E-14</v>
      </c>
      <c r="AU149" s="23">
        <f t="shared" si="391"/>
        <v>3.3750779948604759E-14</v>
      </c>
      <c r="AV149" s="23">
        <f t="shared" si="391"/>
        <v>3.3750779948604759E-14</v>
      </c>
      <c r="AW149" s="23">
        <f t="shared" si="391"/>
        <v>3.3750779948604759E-14</v>
      </c>
    </row>
    <row r="150" spans="3:49" s="182" customFormat="1" ht="14.25" customHeight="1">
      <c r="C150" s="184" t="s">
        <v>459</v>
      </c>
      <c r="D150" s="178">
        <f>IF(-SUM(D147:AW147)=ROUND($D$25*(1-'Assumptions &amp; Inputs'!$F$37),0),"yes",ROUND(SUM(D147:AW147)-$D$25*(1-'Assumptions &amp; Inputs'!$F$37),0))</f>
        <v>0</v>
      </c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</row>
    <row r="151" spans="3:49" ht="14.25" customHeight="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3:49" ht="14.25" customHeight="1">
      <c r="C152" s="2" t="s">
        <v>492</v>
      </c>
      <c r="D152" s="31"/>
      <c r="E152" s="31">
        <f t="shared" ref="E152:X152" si="392">SUM(E128,E147)</f>
        <v>4.9244880000000002</v>
      </c>
      <c r="F152" s="31">
        <f t="shared" si="392"/>
        <v>1.7363136000000008</v>
      </c>
      <c r="G152" s="31">
        <f t="shared" si="392"/>
        <v>1.853083872</v>
      </c>
      <c r="H152" s="31">
        <f t="shared" si="392"/>
        <v>1.9720288694400008</v>
      </c>
      <c r="I152" s="31">
        <f t="shared" si="392"/>
        <v>2.093187266428802</v>
      </c>
      <c r="J152" s="31">
        <f t="shared" si="392"/>
        <v>2.2165983659453783</v>
      </c>
      <c r="K152" s="31">
        <f t="shared" si="392"/>
        <v>2.3423021080779236</v>
      </c>
      <c r="L152" s="31">
        <f t="shared" si="392"/>
        <v>2.4703390782975321</v>
      </c>
      <c r="M152" s="31">
        <f t="shared" si="392"/>
        <v>2.6007505157632727</v>
      </c>
      <c r="N152" s="31">
        <f t="shared" si="392"/>
        <v>2.7335783216553224</v>
      </c>
      <c r="O152" s="31">
        <f t="shared" si="392"/>
        <v>2.868865067532516</v>
      </c>
      <c r="P152" s="31">
        <f t="shared" si="392"/>
        <v>3.0066540037105778</v>
      </c>
      <c r="Q152" s="31">
        <f t="shared" si="392"/>
        <v>3.1469890676570227</v>
      </c>
      <c r="R152" s="31">
        <f t="shared" si="392"/>
        <v>3.2899148923985635</v>
      </c>
      <c r="S152" s="31">
        <f t="shared" si="392"/>
        <v>3.4354768149365817</v>
      </c>
      <c r="T152" s="31">
        <f t="shared" si="392"/>
        <v>3.5837208846660689</v>
      </c>
      <c r="U152" s="31">
        <f t="shared" si="392"/>
        <v>3.734693871793068</v>
      </c>
      <c r="V152" s="31">
        <f t="shared" si="392"/>
        <v>3.8884432757456153</v>
      </c>
      <c r="W152" s="31">
        <f t="shared" si="392"/>
        <v>4.045017333572714</v>
      </c>
      <c r="X152" s="31">
        <f t="shared" si="392"/>
        <v>4.204465028325723</v>
      </c>
      <c r="Y152" s="31">
        <f t="shared" ref="Y152:AW152" si="393">SUM(Y128,Y147)</f>
        <v>4.3668360974162361</v>
      </c>
      <c r="Z152" s="31">
        <f t="shared" si="393"/>
        <v>4.5321810409442786</v>
      </c>
      <c r="AA152" s="31">
        <f t="shared" si="393"/>
        <v>4.7005511299902718</v>
      </c>
      <c r="AB152" s="31">
        <f t="shared" si="393"/>
        <v>4.8719984148640023</v>
      </c>
      <c r="AC152" s="31">
        <f t="shared" si="393"/>
        <v>5.0465757333034258</v>
      </c>
      <c r="AD152" s="31">
        <f t="shared" si="393"/>
        <v>5.2243367186159002</v>
      </c>
      <c r="AE152" s="31">
        <f t="shared" si="393"/>
        <v>0</v>
      </c>
      <c r="AF152" s="31">
        <f t="shared" si="393"/>
        <v>0</v>
      </c>
      <c r="AG152" s="31">
        <f t="shared" si="393"/>
        <v>0</v>
      </c>
      <c r="AH152" s="31">
        <f t="shared" si="393"/>
        <v>0</v>
      </c>
      <c r="AI152" s="31">
        <f t="shared" si="393"/>
        <v>0</v>
      </c>
      <c r="AJ152" s="31">
        <f t="shared" si="393"/>
        <v>0</v>
      </c>
      <c r="AK152" s="31">
        <f t="shared" si="393"/>
        <v>0</v>
      </c>
      <c r="AL152" s="31">
        <f t="shared" si="393"/>
        <v>0</v>
      </c>
      <c r="AM152" s="31">
        <f t="shared" si="393"/>
        <v>0</v>
      </c>
      <c r="AN152" s="31">
        <f t="shared" si="393"/>
        <v>0</v>
      </c>
      <c r="AO152" s="31">
        <f t="shared" si="393"/>
        <v>0</v>
      </c>
      <c r="AP152" s="31">
        <f t="shared" si="393"/>
        <v>0</v>
      </c>
      <c r="AQ152" s="31">
        <f t="shared" si="393"/>
        <v>0</v>
      </c>
      <c r="AR152" s="31">
        <f t="shared" si="393"/>
        <v>0</v>
      </c>
      <c r="AS152" s="31">
        <f t="shared" si="393"/>
        <v>0</v>
      </c>
      <c r="AT152" s="31">
        <f t="shared" si="393"/>
        <v>0</v>
      </c>
      <c r="AU152" s="31">
        <f t="shared" si="393"/>
        <v>0</v>
      </c>
      <c r="AV152" s="31">
        <f t="shared" si="393"/>
        <v>0</v>
      </c>
      <c r="AW152" s="31">
        <f t="shared" si="393"/>
        <v>0</v>
      </c>
    </row>
  </sheetData>
  <mergeCells count="6">
    <mergeCell ref="E109:P109"/>
    <mergeCell ref="E8:P8"/>
    <mergeCell ref="E31:P31"/>
    <mergeCell ref="C64:E64"/>
    <mergeCell ref="C78:E78"/>
    <mergeCell ref="E88:P88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B2F2-07A3-49DA-ACDA-09F5ACB6D0E4}">
  <sheetPr codeName="Sheet9">
    <tabColor theme="9" tint="0.59999389629810485"/>
  </sheetPr>
  <dimension ref="A2:AW147"/>
  <sheetViews>
    <sheetView tabSelected="1" workbookViewId="0">
      <selection activeCell="D108" sqref="D108:AW108"/>
    </sheetView>
  </sheetViews>
  <sheetFormatPr baseColWidth="10" defaultColWidth="14.33203125" defaultRowHeight="15" customHeight="1"/>
  <cols>
    <col min="1" max="1" width="3.33203125" customWidth="1"/>
    <col min="2" max="2" width="3.5" customWidth="1"/>
    <col min="3" max="3" width="42.83203125" customWidth="1"/>
  </cols>
  <sheetData>
    <row r="2" spans="1:49" ht="14.25" customHeight="1">
      <c r="A2" s="1"/>
      <c r="B2" s="1"/>
      <c r="C2" s="63" t="s">
        <v>469</v>
      </c>
      <c r="D2" s="89"/>
      <c r="E2" s="105">
        <v>1000</v>
      </c>
      <c r="F2" s="6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49" ht="14.25" customHeight="1">
      <c r="A3" s="1"/>
      <c r="B3" s="1"/>
      <c r="C3" s="63" t="s">
        <v>470</v>
      </c>
      <c r="D3" s="64"/>
      <c r="E3" s="106">
        <v>1000000</v>
      </c>
      <c r="F3" s="6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49" ht="14.25" customHeight="1">
      <c r="A4" s="1"/>
      <c r="B4" s="1"/>
      <c r="C4" s="172"/>
      <c r="D4" s="167"/>
      <c r="E4" s="167"/>
      <c r="F4" s="167"/>
      <c r="G4" s="173"/>
      <c r="H4" s="174"/>
      <c r="I4" s="174"/>
      <c r="J4" s="174"/>
      <c r="K4" s="174"/>
      <c r="L4" s="174"/>
      <c r="M4" s="174"/>
      <c r="N4" s="174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"/>
      <c r="Z4" s="1"/>
    </row>
    <row r="5" spans="1:49" ht="14.25" customHeight="1" thickBot="1">
      <c r="A5" s="1" t="s">
        <v>351</v>
      </c>
      <c r="B5" s="1"/>
      <c r="C5" s="9" t="s">
        <v>352</v>
      </c>
      <c r="D5" s="9"/>
      <c r="E5" s="10"/>
      <c r="F5" s="10"/>
      <c r="G5" s="10"/>
      <c r="H5" s="10"/>
      <c r="I5" s="10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"/>
      <c r="Z5" s="1"/>
    </row>
    <row r="6" spans="1:49" ht="14.25" customHeight="1">
      <c r="A6" s="1"/>
      <c r="B6" s="1"/>
      <c r="C6" s="12" t="s">
        <v>353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14.25" customHeight="1">
      <c r="A7" s="1"/>
      <c r="B7" s="1"/>
      <c r="C7" s="1"/>
      <c r="D7" s="43">
        <v>0</v>
      </c>
      <c r="E7" s="119">
        <f t="shared" ref="E7:X7" si="0">D7+1</f>
        <v>1</v>
      </c>
      <c r="F7" s="119">
        <f t="shared" si="0"/>
        <v>2</v>
      </c>
      <c r="G7" s="119">
        <f t="shared" si="0"/>
        <v>3</v>
      </c>
      <c r="H7" s="119">
        <f t="shared" si="0"/>
        <v>4</v>
      </c>
      <c r="I7" s="119">
        <f t="shared" si="0"/>
        <v>5</v>
      </c>
      <c r="J7" s="119">
        <f t="shared" si="0"/>
        <v>6</v>
      </c>
      <c r="K7" s="119">
        <f t="shared" si="0"/>
        <v>7</v>
      </c>
      <c r="L7" s="119">
        <f t="shared" si="0"/>
        <v>8</v>
      </c>
      <c r="M7" s="119">
        <f t="shared" si="0"/>
        <v>9</v>
      </c>
      <c r="N7" s="119">
        <f t="shared" si="0"/>
        <v>10</v>
      </c>
      <c r="O7" s="119">
        <f t="shared" si="0"/>
        <v>11</v>
      </c>
      <c r="P7" s="119">
        <f t="shared" si="0"/>
        <v>12</v>
      </c>
      <c r="Q7" s="119">
        <f t="shared" si="0"/>
        <v>13</v>
      </c>
      <c r="R7" s="119">
        <f t="shared" si="0"/>
        <v>14</v>
      </c>
      <c r="S7" s="119">
        <f t="shared" si="0"/>
        <v>15</v>
      </c>
      <c r="T7" s="119">
        <f t="shared" si="0"/>
        <v>16</v>
      </c>
      <c r="U7" s="119">
        <f t="shared" si="0"/>
        <v>17</v>
      </c>
      <c r="V7" s="119">
        <f t="shared" si="0"/>
        <v>18</v>
      </c>
      <c r="W7" s="119">
        <f t="shared" si="0"/>
        <v>19</v>
      </c>
      <c r="X7" s="119">
        <f t="shared" si="0"/>
        <v>20</v>
      </c>
      <c r="Y7" s="119">
        <f t="shared" ref="Y7:AU7" si="1">X7+1</f>
        <v>21</v>
      </c>
      <c r="Z7" s="119">
        <f t="shared" si="1"/>
        <v>22</v>
      </c>
      <c r="AA7" s="119">
        <f t="shared" si="1"/>
        <v>23</v>
      </c>
      <c r="AB7" s="119">
        <f t="shared" si="1"/>
        <v>24</v>
      </c>
      <c r="AC7" s="119">
        <f t="shared" si="1"/>
        <v>25</v>
      </c>
      <c r="AD7" s="119">
        <f t="shared" si="1"/>
        <v>26</v>
      </c>
      <c r="AE7" s="119">
        <f t="shared" si="1"/>
        <v>27</v>
      </c>
      <c r="AF7" s="119">
        <f t="shared" si="1"/>
        <v>28</v>
      </c>
      <c r="AG7" s="119">
        <f t="shared" si="1"/>
        <v>29</v>
      </c>
      <c r="AH7" s="119">
        <f t="shared" si="1"/>
        <v>30</v>
      </c>
      <c r="AI7" s="119">
        <f t="shared" si="1"/>
        <v>31</v>
      </c>
      <c r="AJ7" s="119">
        <f t="shared" si="1"/>
        <v>32</v>
      </c>
      <c r="AK7" s="119">
        <f t="shared" si="1"/>
        <v>33</v>
      </c>
      <c r="AL7" s="119">
        <f t="shared" si="1"/>
        <v>34</v>
      </c>
      <c r="AM7" s="119">
        <f t="shared" si="1"/>
        <v>35</v>
      </c>
      <c r="AN7" s="119">
        <f t="shared" si="1"/>
        <v>36</v>
      </c>
      <c r="AO7" s="119">
        <f t="shared" si="1"/>
        <v>37</v>
      </c>
      <c r="AP7" s="119">
        <f t="shared" si="1"/>
        <v>38</v>
      </c>
      <c r="AQ7" s="119">
        <f t="shared" si="1"/>
        <v>39</v>
      </c>
      <c r="AR7" s="119">
        <f t="shared" si="1"/>
        <v>40</v>
      </c>
      <c r="AS7" s="119">
        <f t="shared" si="1"/>
        <v>41</v>
      </c>
      <c r="AT7" s="119">
        <f t="shared" si="1"/>
        <v>42</v>
      </c>
      <c r="AU7" s="119">
        <f t="shared" si="1"/>
        <v>43</v>
      </c>
      <c r="AV7" s="119">
        <f t="shared" ref="AV7:AW7" si="2">AU7+1</f>
        <v>44</v>
      </c>
      <c r="AW7" s="119">
        <f t="shared" si="2"/>
        <v>45</v>
      </c>
    </row>
    <row r="8" spans="1:49" ht="14.25" customHeight="1" thickBot="1">
      <c r="A8" s="1"/>
      <c r="B8" s="1"/>
      <c r="C8" s="200"/>
      <c r="D8" s="83"/>
      <c r="E8" s="806" t="s">
        <v>354</v>
      </c>
      <c r="F8" s="806"/>
      <c r="G8" s="806"/>
      <c r="H8" s="806"/>
      <c r="I8" s="806"/>
      <c r="J8" s="806"/>
      <c r="K8" s="806"/>
      <c r="L8" s="806"/>
      <c r="M8" s="806"/>
      <c r="N8" s="806"/>
      <c r="O8" s="806"/>
      <c r="P8" s="806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</row>
    <row r="9" spans="1:49" ht="14.25" customHeight="1">
      <c r="A9" s="1"/>
      <c r="B9" s="84"/>
      <c r="C9" s="202"/>
      <c r="D9" s="40">
        <f>YEAR(D10)</f>
        <v>2026</v>
      </c>
      <c r="E9" s="40">
        <f t="shared" ref="E9:X9" si="3">D9+1</f>
        <v>2027</v>
      </c>
      <c r="F9" s="40">
        <f t="shared" si="3"/>
        <v>2028</v>
      </c>
      <c r="G9" s="40">
        <f t="shared" si="3"/>
        <v>2029</v>
      </c>
      <c r="H9" s="40">
        <f t="shared" si="3"/>
        <v>2030</v>
      </c>
      <c r="I9" s="40">
        <f t="shared" si="3"/>
        <v>2031</v>
      </c>
      <c r="J9" s="40">
        <f t="shared" si="3"/>
        <v>2032</v>
      </c>
      <c r="K9" s="40">
        <f t="shared" si="3"/>
        <v>2033</v>
      </c>
      <c r="L9" s="40">
        <f t="shared" si="3"/>
        <v>2034</v>
      </c>
      <c r="M9" s="40">
        <f t="shared" si="3"/>
        <v>2035</v>
      </c>
      <c r="N9" s="40">
        <f t="shared" si="3"/>
        <v>2036</v>
      </c>
      <c r="O9" s="40">
        <f t="shared" si="3"/>
        <v>2037</v>
      </c>
      <c r="P9" s="40">
        <f t="shared" si="3"/>
        <v>2038</v>
      </c>
      <c r="Q9" s="40">
        <f t="shared" si="3"/>
        <v>2039</v>
      </c>
      <c r="R9" s="40">
        <f t="shared" si="3"/>
        <v>2040</v>
      </c>
      <c r="S9" s="40">
        <f t="shared" si="3"/>
        <v>2041</v>
      </c>
      <c r="T9" s="40">
        <f t="shared" si="3"/>
        <v>2042</v>
      </c>
      <c r="U9" s="40">
        <f t="shared" si="3"/>
        <v>2043</v>
      </c>
      <c r="V9" s="40">
        <f t="shared" si="3"/>
        <v>2044</v>
      </c>
      <c r="W9" s="40">
        <f t="shared" si="3"/>
        <v>2045</v>
      </c>
      <c r="X9" s="40">
        <f t="shared" si="3"/>
        <v>2046</v>
      </c>
      <c r="Y9" s="40">
        <f t="shared" ref="Y9:AU9" si="4">X9+1</f>
        <v>2047</v>
      </c>
      <c r="Z9" s="40">
        <f t="shared" si="4"/>
        <v>2048</v>
      </c>
      <c r="AA9" s="40">
        <f t="shared" si="4"/>
        <v>2049</v>
      </c>
      <c r="AB9" s="40">
        <f t="shared" si="4"/>
        <v>2050</v>
      </c>
      <c r="AC9" s="40">
        <f t="shared" si="4"/>
        <v>2051</v>
      </c>
      <c r="AD9" s="40">
        <f t="shared" si="4"/>
        <v>2052</v>
      </c>
      <c r="AE9" s="40">
        <f t="shared" si="4"/>
        <v>2053</v>
      </c>
      <c r="AF9" s="40">
        <f t="shared" si="4"/>
        <v>2054</v>
      </c>
      <c r="AG9" s="40">
        <f t="shared" si="4"/>
        <v>2055</v>
      </c>
      <c r="AH9" s="40">
        <f t="shared" si="4"/>
        <v>2056</v>
      </c>
      <c r="AI9" s="40">
        <f t="shared" si="4"/>
        <v>2057</v>
      </c>
      <c r="AJ9" s="40">
        <f t="shared" si="4"/>
        <v>2058</v>
      </c>
      <c r="AK9" s="40">
        <f t="shared" si="4"/>
        <v>2059</v>
      </c>
      <c r="AL9" s="40">
        <f t="shared" si="4"/>
        <v>2060</v>
      </c>
      <c r="AM9" s="40">
        <f t="shared" si="4"/>
        <v>2061</v>
      </c>
      <c r="AN9" s="40">
        <f t="shared" si="4"/>
        <v>2062</v>
      </c>
      <c r="AO9" s="40">
        <f t="shared" si="4"/>
        <v>2063</v>
      </c>
      <c r="AP9" s="40">
        <f t="shared" si="4"/>
        <v>2064</v>
      </c>
      <c r="AQ9" s="40">
        <f t="shared" si="4"/>
        <v>2065</v>
      </c>
      <c r="AR9" s="40">
        <f t="shared" si="4"/>
        <v>2066</v>
      </c>
      <c r="AS9" s="40">
        <f t="shared" si="4"/>
        <v>2067</v>
      </c>
      <c r="AT9" s="40">
        <f t="shared" si="4"/>
        <v>2068</v>
      </c>
      <c r="AU9" s="40">
        <f t="shared" si="4"/>
        <v>2069</v>
      </c>
      <c r="AV9" s="40">
        <f t="shared" ref="AV9:AW9" si="5">AU9+1</f>
        <v>2070</v>
      </c>
      <c r="AW9" s="41">
        <f t="shared" si="5"/>
        <v>2071</v>
      </c>
    </row>
    <row r="10" spans="1:49" ht="14.25" customHeight="1">
      <c r="A10" s="1"/>
      <c r="B10" s="84"/>
      <c r="C10" s="94"/>
      <c r="D10" s="142">
        <f>'Assumptions &amp; Inputs'!G27</f>
        <v>46023</v>
      </c>
      <c r="E10" s="142">
        <f t="shared" ref="E10:X10" si="6">DATE(E9, 12, 31)</f>
        <v>46752</v>
      </c>
      <c r="F10" s="142">
        <f t="shared" si="6"/>
        <v>47118</v>
      </c>
      <c r="G10" s="142">
        <f t="shared" si="6"/>
        <v>47483</v>
      </c>
      <c r="H10" s="142">
        <f t="shared" si="6"/>
        <v>47848</v>
      </c>
      <c r="I10" s="142">
        <f t="shared" si="6"/>
        <v>48213</v>
      </c>
      <c r="J10" s="142">
        <f t="shared" si="6"/>
        <v>48579</v>
      </c>
      <c r="K10" s="142">
        <f t="shared" si="6"/>
        <v>48944</v>
      </c>
      <c r="L10" s="142">
        <f t="shared" si="6"/>
        <v>49309</v>
      </c>
      <c r="M10" s="142">
        <f t="shared" si="6"/>
        <v>49674</v>
      </c>
      <c r="N10" s="142">
        <f t="shared" si="6"/>
        <v>50040</v>
      </c>
      <c r="O10" s="142">
        <f t="shared" si="6"/>
        <v>50405</v>
      </c>
      <c r="P10" s="142">
        <f t="shared" si="6"/>
        <v>50770</v>
      </c>
      <c r="Q10" s="142">
        <f t="shared" si="6"/>
        <v>51135</v>
      </c>
      <c r="R10" s="142">
        <f t="shared" si="6"/>
        <v>51501</v>
      </c>
      <c r="S10" s="142">
        <f t="shared" si="6"/>
        <v>51866</v>
      </c>
      <c r="T10" s="142">
        <f t="shared" si="6"/>
        <v>52231</v>
      </c>
      <c r="U10" s="142">
        <f t="shared" si="6"/>
        <v>52596</v>
      </c>
      <c r="V10" s="142">
        <f t="shared" si="6"/>
        <v>52962</v>
      </c>
      <c r="W10" s="142">
        <f t="shared" si="6"/>
        <v>53327</v>
      </c>
      <c r="X10" s="142">
        <f t="shared" si="6"/>
        <v>53692</v>
      </c>
      <c r="Y10" s="142">
        <f t="shared" ref="Y10:AU10" si="7">DATE(Y9, 12, 31)</f>
        <v>54057</v>
      </c>
      <c r="Z10" s="142">
        <f t="shared" si="7"/>
        <v>54423</v>
      </c>
      <c r="AA10" s="142">
        <f t="shared" si="7"/>
        <v>54788</v>
      </c>
      <c r="AB10" s="142">
        <f t="shared" si="7"/>
        <v>55153</v>
      </c>
      <c r="AC10" s="142">
        <f t="shared" si="7"/>
        <v>55518</v>
      </c>
      <c r="AD10" s="142">
        <f t="shared" si="7"/>
        <v>55884</v>
      </c>
      <c r="AE10" s="142">
        <f t="shared" si="7"/>
        <v>56249</v>
      </c>
      <c r="AF10" s="142">
        <f t="shared" si="7"/>
        <v>56614</v>
      </c>
      <c r="AG10" s="142">
        <f t="shared" si="7"/>
        <v>56979</v>
      </c>
      <c r="AH10" s="142">
        <f t="shared" si="7"/>
        <v>57345</v>
      </c>
      <c r="AI10" s="142">
        <f t="shared" si="7"/>
        <v>57710</v>
      </c>
      <c r="AJ10" s="142">
        <f t="shared" si="7"/>
        <v>58075</v>
      </c>
      <c r="AK10" s="142">
        <f t="shared" si="7"/>
        <v>58440</v>
      </c>
      <c r="AL10" s="142">
        <f t="shared" si="7"/>
        <v>58806</v>
      </c>
      <c r="AM10" s="142">
        <f t="shared" si="7"/>
        <v>59171</v>
      </c>
      <c r="AN10" s="142">
        <f t="shared" si="7"/>
        <v>59536</v>
      </c>
      <c r="AO10" s="142">
        <f t="shared" si="7"/>
        <v>59901</v>
      </c>
      <c r="AP10" s="142">
        <f t="shared" si="7"/>
        <v>60267</v>
      </c>
      <c r="AQ10" s="142">
        <f t="shared" si="7"/>
        <v>60632</v>
      </c>
      <c r="AR10" s="142">
        <f t="shared" si="7"/>
        <v>60997</v>
      </c>
      <c r="AS10" s="142">
        <f t="shared" si="7"/>
        <v>61362</v>
      </c>
      <c r="AT10" s="142">
        <f t="shared" si="7"/>
        <v>61728</v>
      </c>
      <c r="AU10" s="142">
        <f t="shared" si="7"/>
        <v>62093</v>
      </c>
      <c r="AV10" s="142">
        <f t="shared" ref="AV10" si="8">DATE(AV9, 12, 31)</f>
        <v>62458</v>
      </c>
      <c r="AW10" s="107">
        <f t="shared" ref="AW10" si="9">DATE(AW9, 12, 31)</f>
        <v>62823</v>
      </c>
    </row>
    <row r="11" spans="1:49" ht="14.25" customHeight="1">
      <c r="A11" s="1"/>
      <c r="B11" s="84"/>
      <c r="C11" s="252" t="s">
        <v>471</v>
      </c>
      <c r="D11" s="186">
        <f>IF(DATEDIF('Assumptions &amp; Inputs'!$G$27,DATE(YEAR('Assumptions &amp; Inputs'!$G$27),12,31),"m")&gt;'Assumptions &amp; Inputs'!$G$28, 'Assumptions &amp; Inputs'!$G$28, DATEDIF('Assumptions &amp; Inputs'!$G$27,DATE(YEAR('Assumptions &amp; Inputs'!$G$27),12,31),"m"))</f>
        <v>11</v>
      </c>
      <c r="E11" s="186">
        <f>IF('Assumptions &amp; Inputs'!$G$28-D12&lt;=12,MIN('Assumptions &amp; Inputs'!$G$28-D12,12), 12)</f>
        <v>12</v>
      </c>
      <c r="F11" s="186">
        <f>IF('Assumptions &amp; Inputs'!$G$28-E12&lt;=12,MIN('Assumptions &amp; Inputs'!$G$28-E12,12), 12)</f>
        <v>12</v>
      </c>
      <c r="G11" s="186">
        <f>IF('Assumptions &amp; Inputs'!$G$28-F12&lt;=12,MIN('Assumptions &amp; Inputs'!$G$28-F12,12), 12)</f>
        <v>1</v>
      </c>
      <c r="H11" s="186">
        <f>IF('Assumptions &amp; Inputs'!$G$28-G12&lt;=12,MIN('Assumptions &amp; Inputs'!$G$28-G12,12), 12)</f>
        <v>0</v>
      </c>
      <c r="I11" s="186">
        <f>IF('Assumptions &amp; Inputs'!$G$28-H12&lt;=12,MIN('Assumptions &amp; Inputs'!$G$28-H12,12), 12)</f>
        <v>0</v>
      </c>
      <c r="J11" s="186">
        <f>IF('Assumptions &amp; Inputs'!$G$28-I12&lt;=12,MIN('Assumptions &amp; Inputs'!$G$28-I12,12), 12)</f>
        <v>0</v>
      </c>
      <c r="K11" s="186">
        <f>IF('Assumptions &amp; Inputs'!$G$28-J12&lt;=12,MIN('Assumptions &amp; Inputs'!$G$28-J12,12), 12)</f>
        <v>0</v>
      </c>
      <c r="L11" s="186">
        <f>IF('Assumptions &amp; Inputs'!$G$28-K12&lt;=12,MIN('Assumptions &amp; Inputs'!$G$28-K12,12), 12)</f>
        <v>0</v>
      </c>
      <c r="M11" s="186">
        <f>IF('Assumptions &amp; Inputs'!$G$28-L12&lt;=12,MIN('Assumptions &amp; Inputs'!$G$28-L12,12), 12)</f>
        <v>0</v>
      </c>
      <c r="N11" s="186">
        <f>IF('Assumptions &amp; Inputs'!$G$28-M12&lt;=12,MIN('Assumptions &amp; Inputs'!$G$28-M12,12), 12)</f>
        <v>0</v>
      </c>
      <c r="O11" s="186">
        <f>IF('Assumptions &amp; Inputs'!$G$28-N12&lt;=12,MIN('Assumptions &amp; Inputs'!$G$28-N12,12), 12)</f>
        <v>0</v>
      </c>
      <c r="P11" s="186">
        <f>IF('Assumptions &amp; Inputs'!$G$28-O12&lt;=12,MIN('Assumptions &amp; Inputs'!$G$28-O12,12), 12)</f>
        <v>0</v>
      </c>
      <c r="Q11" s="186">
        <f>IF('Assumptions &amp; Inputs'!$G$28-P12&lt;=12,MIN('Assumptions &amp; Inputs'!$G$28-P12,12), 12)</f>
        <v>0</v>
      </c>
      <c r="R11" s="186">
        <f>IF('Assumptions &amp; Inputs'!$G$28-Q12&lt;=12,MIN('Assumptions &amp; Inputs'!$G$28-Q12,12), 12)</f>
        <v>0</v>
      </c>
      <c r="S11" s="186">
        <f>IF('Assumptions &amp; Inputs'!$G$28-R12&lt;=12,MIN('Assumptions &amp; Inputs'!$G$28-R12,12), 12)</f>
        <v>0</v>
      </c>
      <c r="T11" s="186">
        <f>IF('Assumptions &amp; Inputs'!$G$28-S12&lt;=12,MIN('Assumptions &amp; Inputs'!$G$28-S12,12), 12)</f>
        <v>0</v>
      </c>
      <c r="U11" s="186">
        <f>IF('Assumptions &amp; Inputs'!$G$28-T12&lt;=12,MIN('Assumptions &amp; Inputs'!$G$28-T12,12), 12)</f>
        <v>0</v>
      </c>
      <c r="V11" s="186">
        <f>IF('Assumptions &amp; Inputs'!$G$28-U12&lt;=12,MIN('Assumptions &amp; Inputs'!$G$28-U12,12), 12)</f>
        <v>0</v>
      </c>
      <c r="W11" s="186">
        <f>IF('Assumptions &amp; Inputs'!$G$28-V12&lt;=12,MIN('Assumptions &amp; Inputs'!$G$28-V12,12), 12)</f>
        <v>0</v>
      </c>
      <c r="X11" s="186">
        <f>IF('Assumptions &amp; Inputs'!$G$28-W12&lt;=12,MIN('Assumptions &amp; Inputs'!$G$28-W12,12), 12)</f>
        <v>0</v>
      </c>
      <c r="Y11" s="186">
        <f>IF('Assumptions &amp; Inputs'!$G$28-X12&lt;=12,MIN('Assumptions &amp; Inputs'!$G$28-X12,12), 12)</f>
        <v>0</v>
      </c>
      <c r="Z11" s="186">
        <f>IF('Assumptions &amp; Inputs'!$G$28-Y12&lt;=12,MIN('Assumptions &amp; Inputs'!$G$28-Y12,12), 12)</f>
        <v>0</v>
      </c>
      <c r="AA11" s="186">
        <f>IF('Assumptions &amp; Inputs'!$G$28-Z12&lt;=12,MIN('Assumptions &amp; Inputs'!$G$28-Z12,12), 12)</f>
        <v>0</v>
      </c>
      <c r="AB11" s="186">
        <f>IF('Assumptions &amp; Inputs'!$G$28-AA12&lt;=12,MIN('Assumptions &amp; Inputs'!$G$28-AA12,12), 12)</f>
        <v>0</v>
      </c>
      <c r="AC11" s="186">
        <f>IF('Assumptions &amp; Inputs'!$G$28-AB12&lt;=12,MIN('Assumptions &amp; Inputs'!$G$28-AB12,12), 12)</f>
        <v>0</v>
      </c>
      <c r="AD11" s="186">
        <f>IF('Assumptions &amp; Inputs'!$G$28-AC12&lt;=12,MIN('Assumptions &amp; Inputs'!$G$28-AC12,12), 12)</f>
        <v>0</v>
      </c>
      <c r="AE11" s="186">
        <f>IF('Assumptions &amp; Inputs'!$G$28-AD12&lt;=12,MIN('Assumptions &amp; Inputs'!$G$28-AD12,12), 12)</f>
        <v>0</v>
      </c>
      <c r="AF11" s="186">
        <f>IF('Assumptions &amp; Inputs'!$G$28-AE12&lt;=12,MIN('Assumptions &amp; Inputs'!$G$28-AE12,12), 12)</f>
        <v>0</v>
      </c>
      <c r="AG11" s="186">
        <f>IF('Assumptions &amp; Inputs'!$G$28-AF12&lt;=12,MIN('Assumptions &amp; Inputs'!$G$28-AF12,12), 12)</f>
        <v>0</v>
      </c>
      <c r="AH11" s="186">
        <f>IF('Assumptions &amp; Inputs'!$G$28-AG12&lt;=12,MIN('Assumptions &amp; Inputs'!$G$28-AG12,12), 12)</f>
        <v>0</v>
      </c>
      <c r="AI11" s="186">
        <f>IF('Assumptions &amp; Inputs'!$G$28-AH12&lt;=12,MIN('Assumptions &amp; Inputs'!$G$28-AH12,12), 12)</f>
        <v>0</v>
      </c>
      <c r="AJ11" s="186">
        <f>IF('Assumptions &amp; Inputs'!$G$28-AI12&lt;=12,MIN('Assumptions &amp; Inputs'!$G$28-AI12,12), 12)</f>
        <v>0</v>
      </c>
      <c r="AK11" s="186">
        <f>IF('Assumptions &amp; Inputs'!$G$28-AJ12&lt;=12,MIN('Assumptions &amp; Inputs'!$G$28-AJ12,12), 12)</f>
        <v>0</v>
      </c>
      <c r="AL11" s="186">
        <f>IF('Assumptions &amp; Inputs'!$G$28-AK12&lt;=12,MIN('Assumptions &amp; Inputs'!$G$28-AK12,12), 12)</f>
        <v>0</v>
      </c>
      <c r="AM11" s="186">
        <f>IF('Assumptions &amp; Inputs'!$G$28-AL12&lt;=12,MIN('Assumptions &amp; Inputs'!$G$28-AL12,12), 12)</f>
        <v>0</v>
      </c>
      <c r="AN11" s="186">
        <f>IF('Assumptions &amp; Inputs'!$G$28-AM12&lt;=12,MIN('Assumptions &amp; Inputs'!$G$28-AM12,12), 12)</f>
        <v>0</v>
      </c>
      <c r="AO11" s="186">
        <f>IF('Assumptions &amp; Inputs'!$G$28-AN12&lt;=12,MIN('Assumptions &amp; Inputs'!$G$28-AN12,12), 12)</f>
        <v>0</v>
      </c>
      <c r="AP11" s="186">
        <f>IF('Assumptions &amp; Inputs'!$G$28-AO12&lt;=12,MIN('Assumptions &amp; Inputs'!$G$28-AO12,12), 12)</f>
        <v>0</v>
      </c>
      <c r="AQ11" s="186">
        <f>IF('Assumptions &amp; Inputs'!$G$28-AP12&lt;=12,MIN('Assumptions &amp; Inputs'!$G$28-AP12,12), 12)</f>
        <v>0</v>
      </c>
      <c r="AR11" s="186">
        <f>IF('Assumptions &amp; Inputs'!$G$28-AQ12&lt;=12,MIN('Assumptions &amp; Inputs'!$G$28-AQ12,12), 12)</f>
        <v>0</v>
      </c>
      <c r="AS11" s="186">
        <f>IF('Assumptions &amp; Inputs'!$G$28-AR12&lt;=12,MIN('Assumptions &amp; Inputs'!$G$28-AR12,12), 12)</f>
        <v>0</v>
      </c>
      <c r="AT11" s="186">
        <f>IF('Assumptions &amp; Inputs'!$G$28-AS12&lt;=12,MIN('Assumptions &amp; Inputs'!$G$28-AS12,12), 12)</f>
        <v>0</v>
      </c>
      <c r="AU11" s="186">
        <f>IF('Assumptions &amp; Inputs'!$G$28-AT12&lt;=12,MIN('Assumptions &amp; Inputs'!$G$28-AT12,12), 12)</f>
        <v>0</v>
      </c>
      <c r="AV11" s="186">
        <f>IF('Assumptions &amp; Inputs'!$G$28-AU12&lt;=12,MIN('Assumptions &amp; Inputs'!$G$28-AU12,12), 12)</f>
        <v>0</v>
      </c>
      <c r="AW11" s="197">
        <f>IF('Assumptions &amp; Inputs'!$G$28-AV12&lt;=12,MIN('Assumptions &amp; Inputs'!$G$28-AV12,12), 12)</f>
        <v>0</v>
      </c>
    </row>
    <row r="12" spans="1:49" ht="14.25" customHeight="1">
      <c r="A12" s="1"/>
      <c r="B12" s="84"/>
      <c r="C12" s="252" t="s">
        <v>472</v>
      </c>
      <c r="D12" s="186">
        <f>D11</f>
        <v>11</v>
      </c>
      <c r="E12" s="186">
        <f t="shared" ref="E12:X12" si="10">E11+D12</f>
        <v>23</v>
      </c>
      <c r="F12" s="186">
        <f t="shared" si="10"/>
        <v>35</v>
      </c>
      <c r="G12" s="186">
        <f t="shared" si="10"/>
        <v>36</v>
      </c>
      <c r="H12" s="186">
        <f t="shared" si="10"/>
        <v>36</v>
      </c>
      <c r="I12" s="186">
        <f t="shared" si="10"/>
        <v>36</v>
      </c>
      <c r="J12" s="186">
        <f t="shared" si="10"/>
        <v>36</v>
      </c>
      <c r="K12" s="186">
        <f t="shared" si="10"/>
        <v>36</v>
      </c>
      <c r="L12" s="186">
        <f t="shared" si="10"/>
        <v>36</v>
      </c>
      <c r="M12" s="186">
        <f t="shared" si="10"/>
        <v>36</v>
      </c>
      <c r="N12" s="186">
        <f t="shared" si="10"/>
        <v>36</v>
      </c>
      <c r="O12" s="186">
        <f t="shared" si="10"/>
        <v>36</v>
      </c>
      <c r="P12" s="186">
        <f t="shared" si="10"/>
        <v>36</v>
      </c>
      <c r="Q12" s="186">
        <f t="shared" si="10"/>
        <v>36</v>
      </c>
      <c r="R12" s="186">
        <f t="shared" si="10"/>
        <v>36</v>
      </c>
      <c r="S12" s="186">
        <f t="shared" si="10"/>
        <v>36</v>
      </c>
      <c r="T12" s="186">
        <f t="shared" si="10"/>
        <v>36</v>
      </c>
      <c r="U12" s="186">
        <f t="shared" si="10"/>
        <v>36</v>
      </c>
      <c r="V12" s="186">
        <f t="shared" si="10"/>
        <v>36</v>
      </c>
      <c r="W12" s="186">
        <f t="shared" si="10"/>
        <v>36</v>
      </c>
      <c r="X12" s="186">
        <f t="shared" si="10"/>
        <v>36</v>
      </c>
      <c r="Y12" s="186">
        <f t="shared" ref="Y12:AU12" si="11">Y11+X12</f>
        <v>36</v>
      </c>
      <c r="Z12" s="186">
        <f t="shared" si="11"/>
        <v>36</v>
      </c>
      <c r="AA12" s="186">
        <f t="shared" si="11"/>
        <v>36</v>
      </c>
      <c r="AB12" s="186">
        <f t="shared" si="11"/>
        <v>36</v>
      </c>
      <c r="AC12" s="186">
        <f t="shared" si="11"/>
        <v>36</v>
      </c>
      <c r="AD12" s="186">
        <f t="shared" si="11"/>
        <v>36</v>
      </c>
      <c r="AE12" s="186">
        <f t="shared" si="11"/>
        <v>36</v>
      </c>
      <c r="AF12" s="186">
        <f t="shared" si="11"/>
        <v>36</v>
      </c>
      <c r="AG12" s="186">
        <f t="shared" si="11"/>
        <v>36</v>
      </c>
      <c r="AH12" s="186">
        <f t="shared" si="11"/>
        <v>36</v>
      </c>
      <c r="AI12" s="186">
        <f t="shared" si="11"/>
        <v>36</v>
      </c>
      <c r="AJ12" s="186">
        <f t="shared" si="11"/>
        <v>36</v>
      </c>
      <c r="AK12" s="186">
        <f t="shared" si="11"/>
        <v>36</v>
      </c>
      <c r="AL12" s="186">
        <f t="shared" si="11"/>
        <v>36</v>
      </c>
      <c r="AM12" s="186">
        <f t="shared" si="11"/>
        <v>36</v>
      </c>
      <c r="AN12" s="186">
        <f t="shared" si="11"/>
        <v>36</v>
      </c>
      <c r="AO12" s="186">
        <f t="shared" si="11"/>
        <v>36</v>
      </c>
      <c r="AP12" s="186">
        <f t="shared" si="11"/>
        <v>36</v>
      </c>
      <c r="AQ12" s="186">
        <f t="shared" si="11"/>
        <v>36</v>
      </c>
      <c r="AR12" s="186">
        <f t="shared" si="11"/>
        <v>36</v>
      </c>
      <c r="AS12" s="186">
        <f t="shared" si="11"/>
        <v>36</v>
      </c>
      <c r="AT12" s="186">
        <f t="shared" si="11"/>
        <v>36</v>
      </c>
      <c r="AU12" s="186">
        <f t="shared" si="11"/>
        <v>36</v>
      </c>
      <c r="AV12" s="186">
        <f t="shared" ref="AV12" si="12">AV11+AU12</f>
        <v>36</v>
      </c>
      <c r="AW12" s="197">
        <f t="shared" ref="AW12" si="13">AW11+AV12</f>
        <v>36</v>
      </c>
    </row>
    <row r="13" spans="1:49" ht="14.25" customHeight="1">
      <c r="A13" s="1"/>
      <c r="B13" s="84"/>
      <c r="C13" s="96" t="s">
        <v>493</v>
      </c>
      <c r="D13" s="187">
        <f>IF(AND(MOD(D9-YEAR('Assumptions &amp; Inputs'!$G$31),'Assumptions &amp; Inputs'!$G$34)=0, D9&lt;YEAR('Assumptions &amp; Inputs'!$G$36), D9&gt;YEAR('Assumptions &amp; Inputs'!$G$31)), (-'Assumptions &amp; Inputs'!$G$38)*'Assumptions &amp; Inputs'!$G$33, -D11/'Assumptions &amp; Inputs'!$G$28*'Assumptions &amp; Inputs'!$G$38)</f>
        <v>-33.611111111111114</v>
      </c>
      <c r="E13" s="187">
        <f>IF(AND(MOD(E9-YEAR('Assumptions &amp; Inputs'!$G$31),'Assumptions &amp; Inputs'!$G$34)=0, E9&lt;YEAR('Assumptions &amp; Inputs'!$G$36), E9&gt;YEAR('Assumptions &amp; Inputs'!$G$31)), (-'Assumptions &amp; Inputs'!$G$38)*'Assumptions &amp; Inputs'!$G$33, -E11/'Assumptions &amp; Inputs'!$G$28*'Assumptions &amp; Inputs'!$G$38)</f>
        <v>-36.666666666666664</v>
      </c>
      <c r="F13" s="187">
        <f>IF(AND(MOD(F9-YEAR('Assumptions &amp; Inputs'!$G$31),'Assumptions &amp; Inputs'!$G$34)=0, F9&lt;YEAR('Assumptions &amp; Inputs'!$G$36), F9&gt;YEAR('Assumptions &amp; Inputs'!$G$31)), (-'Assumptions &amp; Inputs'!$G$38)*'Assumptions &amp; Inputs'!$G$33, -F11/'Assumptions &amp; Inputs'!$G$28*'Assumptions &amp; Inputs'!$G$38)</f>
        <v>-36.666666666666664</v>
      </c>
      <c r="G13" s="187">
        <f>IF(AND(MOD(G9-YEAR('Assumptions &amp; Inputs'!$G$31),'Assumptions &amp; Inputs'!$G$34)=0, G9&lt;YEAR('Assumptions &amp; Inputs'!$G$36), G9&gt;YEAR('Assumptions &amp; Inputs'!$G$31)), (-'Assumptions &amp; Inputs'!$G$38)*'Assumptions &amp; Inputs'!$G$33, -G11/'Assumptions &amp; Inputs'!$G$28*'Assumptions &amp; Inputs'!$G$38)</f>
        <v>-3.0555555555555554</v>
      </c>
      <c r="H13" s="187">
        <f>IF(AND(MOD(H9-YEAR('Assumptions &amp; Inputs'!$G$31),'Assumptions &amp; Inputs'!$G$34)=0, H9&lt;YEAR('Assumptions &amp; Inputs'!$G$36), H9&gt;YEAR('Assumptions &amp; Inputs'!$G$31)), (-'Assumptions &amp; Inputs'!$G$38)*'Assumptions &amp; Inputs'!$G$33, -H11/'Assumptions &amp; Inputs'!$G$28*'Assumptions &amp; Inputs'!$G$38)</f>
        <v>0</v>
      </c>
      <c r="I13" s="187">
        <f>IF(AND(MOD(I9-YEAR('Assumptions &amp; Inputs'!$G$31),'Assumptions &amp; Inputs'!$G$34)=0, I9&lt;YEAR('Assumptions &amp; Inputs'!$G$36), I9&gt;YEAR('Assumptions &amp; Inputs'!$G$31)), (-'Assumptions &amp; Inputs'!$G$38)*'Assumptions &amp; Inputs'!$G$33, -I11/'Assumptions &amp; Inputs'!$G$28*'Assumptions &amp; Inputs'!$G$38)</f>
        <v>0</v>
      </c>
      <c r="J13" s="187">
        <f>IF(AND(MOD(J9-YEAR('Assumptions &amp; Inputs'!$G$31),'Assumptions &amp; Inputs'!$G$34)=0, J9&lt;YEAR('Assumptions &amp; Inputs'!$G$36), J9&gt;YEAR('Assumptions &amp; Inputs'!$G$31)), (-'Assumptions &amp; Inputs'!$G$38)*'Assumptions &amp; Inputs'!$G$33, -J11/'Assumptions &amp; Inputs'!$G$28*'Assumptions &amp; Inputs'!$G$38)</f>
        <v>0</v>
      </c>
      <c r="K13" s="187">
        <f>IF(AND(MOD(K9-YEAR('Assumptions &amp; Inputs'!$G$31),'Assumptions &amp; Inputs'!$G$34)=0, K9&lt;YEAR('Assumptions &amp; Inputs'!$G$36), K9&gt;YEAR('Assumptions &amp; Inputs'!$G$31)), (-'Assumptions &amp; Inputs'!$G$38)*'Assumptions &amp; Inputs'!$G$33, -K11/'Assumptions &amp; Inputs'!$G$28*'Assumptions &amp; Inputs'!$G$38)</f>
        <v>0</v>
      </c>
      <c r="L13" s="187">
        <f>IF(AND(MOD(L9-YEAR('Assumptions &amp; Inputs'!$G$31),'Assumptions &amp; Inputs'!$G$34)=0, L9&lt;YEAR('Assumptions &amp; Inputs'!$G$36), L9&gt;YEAR('Assumptions &amp; Inputs'!$G$31)), (-'Assumptions &amp; Inputs'!$G$38)*'Assumptions &amp; Inputs'!$G$33, -L11/'Assumptions &amp; Inputs'!$G$28*'Assumptions &amp; Inputs'!$G$38)</f>
        <v>0</v>
      </c>
      <c r="M13" s="187">
        <f>IF(AND(MOD(M9-YEAR('Assumptions &amp; Inputs'!$G$31),'Assumptions &amp; Inputs'!$G$34)=0, M9&lt;YEAR('Assumptions &amp; Inputs'!$G$36), M9&gt;YEAR('Assumptions &amp; Inputs'!$G$31)), (-'Assumptions &amp; Inputs'!$G$38)*'Assumptions &amp; Inputs'!$G$33, -M11/'Assumptions &amp; Inputs'!$G$28*'Assumptions &amp; Inputs'!$G$38)</f>
        <v>0</v>
      </c>
      <c r="N13" s="187">
        <f>IF(AND(MOD(N9-YEAR('Assumptions &amp; Inputs'!$G$31),'Assumptions &amp; Inputs'!$G$34)=0, N9&lt;YEAR('Assumptions &amp; Inputs'!$G$36), N9&gt;YEAR('Assumptions &amp; Inputs'!$G$31)), (-'Assumptions &amp; Inputs'!$G$38)*'Assumptions &amp; Inputs'!$G$33, -N11/'Assumptions &amp; Inputs'!$G$28*'Assumptions &amp; Inputs'!$G$38)</f>
        <v>0</v>
      </c>
      <c r="O13" s="187">
        <f>IF(AND(MOD(O9-YEAR('Assumptions &amp; Inputs'!$G$31),'Assumptions &amp; Inputs'!$G$34)=0, O9&lt;YEAR('Assumptions &amp; Inputs'!$G$36), O9&gt;YEAR('Assumptions &amp; Inputs'!$G$31)), (-'Assumptions &amp; Inputs'!$G$38)*'Assumptions &amp; Inputs'!$G$33, -O11/'Assumptions &amp; Inputs'!$G$28*'Assumptions &amp; Inputs'!$G$38)</f>
        <v>0</v>
      </c>
      <c r="P13" s="187">
        <f>IF(AND(MOD(P9-YEAR('Assumptions &amp; Inputs'!$G$31),'Assumptions &amp; Inputs'!$G$34)=0, P9&lt;YEAR('Assumptions &amp; Inputs'!$G$36), P9&gt;YEAR('Assumptions &amp; Inputs'!$G$31)), (-'Assumptions &amp; Inputs'!$G$38)*'Assumptions &amp; Inputs'!$G$33, -P11/'Assumptions &amp; Inputs'!$G$28*'Assumptions &amp; Inputs'!$G$38)</f>
        <v>0</v>
      </c>
      <c r="Q13" s="187">
        <f>IF(AND(MOD(Q9-YEAR('Assumptions &amp; Inputs'!$G$31),'Assumptions &amp; Inputs'!$G$34)=0, Q9&lt;YEAR('Assumptions &amp; Inputs'!$G$36), Q9&gt;YEAR('Assumptions &amp; Inputs'!$G$31)), (-'Assumptions &amp; Inputs'!$G$38)*'Assumptions &amp; Inputs'!$G$33, -Q11/'Assumptions &amp; Inputs'!$G$28*'Assumptions &amp; Inputs'!$G$38)</f>
        <v>0</v>
      </c>
      <c r="R13" s="187">
        <f>IF(AND(MOD(R9-YEAR('Assumptions &amp; Inputs'!$G$31),'Assumptions &amp; Inputs'!$G$34)=0, R9&lt;YEAR('Assumptions &amp; Inputs'!$G$36), R9&gt;YEAR('Assumptions &amp; Inputs'!$G$31)), (-'Assumptions &amp; Inputs'!$G$38)*'Assumptions &amp; Inputs'!$G$33, -R11/'Assumptions &amp; Inputs'!$G$28*'Assumptions &amp; Inputs'!$G$38)</f>
        <v>0</v>
      </c>
      <c r="S13" s="187">
        <f>IF(AND(MOD(S9-YEAR('Assumptions &amp; Inputs'!$G$31),'Assumptions &amp; Inputs'!$G$34)=0, S9&lt;YEAR('Assumptions &amp; Inputs'!$G$36), S9&gt;YEAR('Assumptions &amp; Inputs'!$G$31)), (-'Assumptions &amp; Inputs'!$G$38)*'Assumptions &amp; Inputs'!$G$33, -S11/'Assumptions &amp; Inputs'!$G$28*'Assumptions &amp; Inputs'!$G$38)</f>
        <v>0</v>
      </c>
      <c r="T13" s="187">
        <f>IF(AND(MOD(T9-YEAR('Assumptions &amp; Inputs'!$G$31),'Assumptions &amp; Inputs'!$G$34)=0, T9&lt;YEAR('Assumptions &amp; Inputs'!$G$36), T9&gt;YEAR('Assumptions &amp; Inputs'!$G$31)), (-'Assumptions &amp; Inputs'!$G$38)*'Assumptions &amp; Inputs'!$G$33, -T11/'Assumptions &amp; Inputs'!$G$28*'Assumptions &amp; Inputs'!$G$38)</f>
        <v>0</v>
      </c>
      <c r="U13" s="187">
        <f>IF(AND(MOD(U9-YEAR('Assumptions &amp; Inputs'!$G$31),'Assumptions &amp; Inputs'!$G$34)=0, U9&lt;YEAR('Assumptions &amp; Inputs'!$G$36), U9&gt;YEAR('Assumptions &amp; Inputs'!$G$31)), (-'Assumptions &amp; Inputs'!$G$38)*'Assumptions &amp; Inputs'!$G$33, -U11/'Assumptions &amp; Inputs'!$G$28*'Assumptions &amp; Inputs'!$G$38)</f>
        <v>0</v>
      </c>
      <c r="V13" s="187">
        <f>IF(AND(MOD(V9-YEAR('Assumptions &amp; Inputs'!$G$31),'Assumptions &amp; Inputs'!$G$34)=0, V9&lt;YEAR('Assumptions &amp; Inputs'!$G$36), V9&gt;YEAR('Assumptions &amp; Inputs'!$G$31)), (-'Assumptions &amp; Inputs'!$G$38)*'Assumptions &amp; Inputs'!$G$33, -V11/'Assumptions &amp; Inputs'!$G$28*'Assumptions &amp; Inputs'!$G$38)</f>
        <v>0</v>
      </c>
      <c r="W13" s="187">
        <f>IF(AND(MOD(W9-YEAR('Assumptions &amp; Inputs'!$G$31),'Assumptions &amp; Inputs'!$G$34)=0, W9&lt;YEAR('Assumptions &amp; Inputs'!$G$36), W9&gt;YEAR('Assumptions &amp; Inputs'!$G$31)), (-'Assumptions &amp; Inputs'!$G$38)*'Assumptions &amp; Inputs'!$G$33, -W11/'Assumptions &amp; Inputs'!$G$28*'Assumptions &amp; Inputs'!$G$38)</f>
        <v>0</v>
      </c>
      <c r="X13" s="187">
        <f>IF(AND(MOD(X9-YEAR('Assumptions &amp; Inputs'!$G$31),'Assumptions &amp; Inputs'!$G$34)=0, X9&lt;YEAR('Assumptions &amp; Inputs'!$G$36), X9&gt;YEAR('Assumptions &amp; Inputs'!$G$31)), (-'Assumptions &amp; Inputs'!$G$38)*'Assumptions &amp; Inputs'!$G$33, -X11/'Assumptions &amp; Inputs'!$G$28*'Assumptions &amp; Inputs'!$G$38)</f>
        <v>0</v>
      </c>
      <c r="Y13" s="187">
        <f>IF(AND(MOD(Y9-YEAR('Assumptions &amp; Inputs'!$G$31),'Assumptions &amp; Inputs'!$G$34)=0, Y9&lt;YEAR('Assumptions &amp; Inputs'!$G$36), Y9&gt;YEAR('Assumptions &amp; Inputs'!$G$31)), (-'Assumptions &amp; Inputs'!$G$38)*'Assumptions &amp; Inputs'!$G$33, -Y11/'Assumptions &amp; Inputs'!$G$28*'Assumptions &amp; Inputs'!$G$38)</f>
        <v>0</v>
      </c>
      <c r="Z13" s="187">
        <f>IF(AND(MOD(Z9-YEAR('Assumptions &amp; Inputs'!$G$31),'Assumptions &amp; Inputs'!$G$34)=0, Z9&lt;YEAR('Assumptions &amp; Inputs'!$G$36), Z9&gt;YEAR('Assumptions &amp; Inputs'!$G$31)), (-'Assumptions &amp; Inputs'!$G$38)*'Assumptions &amp; Inputs'!$G$33, -Z11/'Assumptions &amp; Inputs'!$G$28*'Assumptions &amp; Inputs'!$G$38)</f>
        <v>0</v>
      </c>
      <c r="AA13" s="187">
        <f>IF(AND(MOD(AA9-YEAR('Assumptions &amp; Inputs'!$G$31),'Assumptions &amp; Inputs'!$G$34)=0, AA9&lt;YEAR('Assumptions &amp; Inputs'!$G$36), AA9&gt;YEAR('Assumptions &amp; Inputs'!$G$31)), (-'Assumptions &amp; Inputs'!$G$38)*'Assumptions &amp; Inputs'!$G$33, -AA11/'Assumptions &amp; Inputs'!$G$28*'Assumptions &amp; Inputs'!$G$38)</f>
        <v>0</v>
      </c>
      <c r="AB13" s="187">
        <f>IF(AND(MOD(AB9-YEAR('Assumptions &amp; Inputs'!$G$31),'Assumptions &amp; Inputs'!$G$34)=0, AB9&lt;YEAR('Assumptions &amp; Inputs'!$G$36), AB9&gt;YEAR('Assumptions &amp; Inputs'!$G$31)), (-'Assumptions &amp; Inputs'!$G$38)*'Assumptions &amp; Inputs'!$G$33, -AB11/'Assumptions &amp; Inputs'!$G$28*'Assumptions &amp; Inputs'!$G$38)</f>
        <v>0</v>
      </c>
      <c r="AC13" s="187">
        <f>IF(AND(MOD(AC9-YEAR('Assumptions &amp; Inputs'!$G$31),'Assumptions &amp; Inputs'!$G$34)=0, AC9&lt;YEAR('Assumptions &amp; Inputs'!$G$36), AC9&gt;YEAR('Assumptions &amp; Inputs'!$G$31)), (-'Assumptions &amp; Inputs'!$G$38)*'Assumptions &amp; Inputs'!$G$33, -AC11/'Assumptions &amp; Inputs'!$G$28*'Assumptions &amp; Inputs'!$G$38)</f>
        <v>0</v>
      </c>
      <c r="AD13" s="187">
        <f>IF(AND(MOD(AD9-YEAR('Assumptions &amp; Inputs'!$G$31),'Assumptions &amp; Inputs'!$G$34)=0, AD9&lt;YEAR('Assumptions &amp; Inputs'!$G$36), AD9&gt;YEAR('Assumptions &amp; Inputs'!$G$31)), (-'Assumptions &amp; Inputs'!$G$38)*'Assumptions &amp; Inputs'!$G$33, -AD11/'Assumptions &amp; Inputs'!$G$28*'Assumptions &amp; Inputs'!$G$38)</f>
        <v>0</v>
      </c>
      <c r="AE13" s="187">
        <f>IF(AND(MOD(AE9-YEAR('Assumptions &amp; Inputs'!$G$31),'Assumptions &amp; Inputs'!$G$34)=0, AE9&lt;YEAR('Assumptions &amp; Inputs'!$G$36), AE9&gt;YEAR('Assumptions &amp; Inputs'!$G$31)), (-'Assumptions &amp; Inputs'!$G$38)*'Assumptions &amp; Inputs'!$G$33, -AE11/'Assumptions &amp; Inputs'!$G$28*'Assumptions &amp; Inputs'!$G$38)</f>
        <v>0</v>
      </c>
      <c r="AF13" s="187">
        <f>IF(AND(MOD(AF9-YEAR('Assumptions &amp; Inputs'!$G$31),'Assumptions &amp; Inputs'!$G$34)=0, AF9&lt;YEAR('Assumptions &amp; Inputs'!$G$36), AF9&gt;YEAR('Assumptions &amp; Inputs'!$G$31)), (-'Assumptions &amp; Inputs'!$G$38)*'Assumptions &amp; Inputs'!$G$33, -AF11/'Assumptions &amp; Inputs'!$G$28*'Assumptions &amp; Inputs'!$G$38)</f>
        <v>0</v>
      </c>
      <c r="AG13" s="187">
        <f>IF(AND(MOD(AG9-YEAR('Assumptions &amp; Inputs'!$G$31),'Assumptions &amp; Inputs'!$G$34)=0, AG9&lt;YEAR('Assumptions &amp; Inputs'!$G$36), AG9&gt;YEAR('Assumptions &amp; Inputs'!$G$31)), (-'Assumptions &amp; Inputs'!$G$38)*'Assumptions &amp; Inputs'!$G$33, -AG11/'Assumptions &amp; Inputs'!$G$28*'Assumptions &amp; Inputs'!$G$38)</f>
        <v>0</v>
      </c>
      <c r="AH13" s="187">
        <f>IF(AND(MOD(AH9-YEAR('Assumptions &amp; Inputs'!$G$31),'Assumptions &amp; Inputs'!$G$34)=0, AH9&lt;YEAR('Assumptions &amp; Inputs'!$G$36), AH9&gt;YEAR('Assumptions &amp; Inputs'!$G$31)), (-'Assumptions &amp; Inputs'!$G$38)*'Assumptions &amp; Inputs'!$G$33, -AH11/'Assumptions &amp; Inputs'!$G$28*'Assumptions &amp; Inputs'!$G$38)</f>
        <v>0</v>
      </c>
      <c r="AI13" s="187">
        <f>IF(AND(MOD(AI9-YEAR('Assumptions &amp; Inputs'!$G$31),'Assumptions &amp; Inputs'!$G$34)=0, AI9&lt;YEAR('Assumptions &amp; Inputs'!$G$36), AI9&gt;YEAR('Assumptions &amp; Inputs'!$G$31)), (-'Assumptions &amp; Inputs'!$G$38)*'Assumptions &amp; Inputs'!$G$33, -AI11/'Assumptions &amp; Inputs'!$G$28*'Assumptions &amp; Inputs'!$G$38)</f>
        <v>0</v>
      </c>
      <c r="AJ13" s="187">
        <f>IF(AND(MOD(AJ9-YEAR('Assumptions &amp; Inputs'!$G$31),'Assumptions &amp; Inputs'!$G$34)=0, AJ9&lt;YEAR('Assumptions &amp; Inputs'!$G$36), AJ9&gt;YEAR('Assumptions &amp; Inputs'!$G$31)), (-'Assumptions &amp; Inputs'!$G$38)*'Assumptions &amp; Inputs'!$G$33, -AJ11/'Assumptions &amp; Inputs'!$G$28*'Assumptions &amp; Inputs'!$G$38)</f>
        <v>0</v>
      </c>
      <c r="AK13" s="187">
        <f>IF(AND(MOD(AK9-YEAR('Assumptions &amp; Inputs'!$G$31),'Assumptions &amp; Inputs'!$G$34)=0, AK9&lt;YEAR('Assumptions &amp; Inputs'!$G$36), AK9&gt;YEAR('Assumptions &amp; Inputs'!$G$31)), (-'Assumptions &amp; Inputs'!$G$38)*'Assumptions &amp; Inputs'!$G$33, -AK11/'Assumptions &amp; Inputs'!$G$28*'Assumptions &amp; Inputs'!$G$38)</f>
        <v>0</v>
      </c>
      <c r="AL13" s="187">
        <f>IF(AND(MOD(AL9-YEAR('Assumptions &amp; Inputs'!$G$31),'Assumptions &amp; Inputs'!$G$34)=0, AL9&lt;YEAR('Assumptions &amp; Inputs'!$G$36), AL9&gt;YEAR('Assumptions &amp; Inputs'!$G$31)), (-'Assumptions &amp; Inputs'!$G$38)*'Assumptions &amp; Inputs'!$G$33, -AL11/'Assumptions &amp; Inputs'!$G$28*'Assumptions &amp; Inputs'!$G$38)</f>
        <v>0</v>
      </c>
      <c r="AM13" s="187">
        <f>IF(AND(MOD(AM9-YEAR('Assumptions &amp; Inputs'!$G$31),'Assumptions &amp; Inputs'!$G$34)=0, AM9&lt;YEAR('Assumptions &amp; Inputs'!$G$36), AM9&gt;YEAR('Assumptions &amp; Inputs'!$G$31)), (-'Assumptions &amp; Inputs'!$G$38)*'Assumptions &amp; Inputs'!$G$33, -AM11/'Assumptions &amp; Inputs'!$G$28*'Assumptions &amp; Inputs'!$G$38)</f>
        <v>0</v>
      </c>
      <c r="AN13" s="187">
        <f>IF(AND(MOD(AN9-YEAR('Assumptions &amp; Inputs'!$G$31),'Assumptions &amp; Inputs'!$G$34)=0, AN9&lt;YEAR('Assumptions &amp; Inputs'!$G$36), AN9&gt;YEAR('Assumptions &amp; Inputs'!$G$31)), (-'Assumptions &amp; Inputs'!$G$38)*'Assumptions &amp; Inputs'!$G$33, -AN11/'Assumptions &amp; Inputs'!$G$28*'Assumptions &amp; Inputs'!$G$38)</f>
        <v>0</v>
      </c>
      <c r="AO13" s="187">
        <f>IF(AND(MOD(AO9-YEAR('Assumptions &amp; Inputs'!$G$31),'Assumptions &amp; Inputs'!$G$34)=0, AO9&lt;YEAR('Assumptions &amp; Inputs'!$G$36), AO9&gt;YEAR('Assumptions &amp; Inputs'!$G$31)), (-'Assumptions &amp; Inputs'!$G$38)*'Assumptions &amp; Inputs'!$G$33, -AO11/'Assumptions &amp; Inputs'!$G$28*'Assumptions &amp; Inputs'!$G$38)</f>
        <v>0</v>
      </c>
      <c r="AP13" s="187">
        <f>IF(AND(MOD(AP9-YEAR('Assumptions &amp; Inputs'!$G$31),'Assumptions &amp; Inputs'!$G$34)=0, AP9&lt;YEAR('Assumptions &amp; Inputs'!$G$36), AP9&gt;YEAR('Assumptions &amp; Inputs'!$G$31)), (-'Assumptions &amp; Inputs'!$G$38)*'Assumptions &amp; Inputs'!$G$33, -AP11/'Assumptions &amp; Inputs'!$G$28*'Assumptions &amp; Inputs'!$G$38)</f>
        <v>0</v>
      </c>
      <c r="AQ13" s="187">
        <f>IF(AND(MOD(AQ9-YEAR('Assumptions &amp; Inputs'!$G$31),'Assumptions &amp; Inputs'!$G$34)=0, AQ9&lt;YEAR('Assumptions &amp; Inputs'!$G$36), AQ9&gt;YEAR('Assumptions &amp; Inputs'!$G$31)), (-'Assumptions &amp; Inputs'!$G$38)*'Assumptions &amp; Inputs'!$G$33, -AQ11/'Assumptions &amp; Inputs'!$G$28*'Assumptions &amp; Inputs'!$G$38)</f>
        <v>0</v>
      </c>
      <c r="AR13" s="187">
        <f>IF(AND(MOD(AR9-YEAR('Assumptions &amp; Inputs'!$G$31),'Assumptions &amp; Inputs'!$G$34)=0, AR9&lt;YEAR('Assumptions &amp; Inputs'!$G$36), AR9&gt;YEAR('Assumptions &amp; Inputs'!$G$31)), (-'Assumptions &amp; Inputs'!$G$38)*'Assumptions &amp; Inputs'!$G$33, -AR11/'Assumptions &amp; Inputs'!$G$28*'Assumptions &amp; Inputs'!$G$38)</f>
        <v>0</v>
      </c>
      <c r="AS13" s="187">
        <f>IF(AND(MOD(AS9-YEAR('Assumptions &amp; Inputs'!$G$31),'Assumptions &amp; Inputs'!$G$34)=0, AS9&lt;YEAR('Assumptions &amp; Inputs'!$G$36), AS9&gt;YEAR('Assumptions &amp; Inputs'!$G$31)), (-'Assumptions &amp; Inputs'!$G$38)*'Assumptions &amp; Inputs'!$G$33, -AS11/'Assumptions &amp; Inputs'!$G$28*'Assumptions &amp; Inputs'!$G$38)</f>
        <v>0</v>
      </c>
      <c r="AT13" s="187">
        <f>IF(AND(MOD(AT9-YEAR('Assumptions &amp; Inputs'!$G$31),'Assumptions &amp; Inputs'!$G$34)=0, AT9&lt;YEAR('Assumptions &amp; Inputs'!$G$36), AT9&gt;YEAR('Assumptions &amp; Inputs'!$G$31)), (-'Assumptions &amp; Inputs'!$G$38)*'Assumptions &amp; Inputs'!$G$33, -AT11/'Assumptions &amp; Inputs'!$G$28*'Assumptions &amp; Inputs'!$G$38)</f>
        <v>0</v>
      </c>
      <c r="AU13" s="187">
        <f>IF(AND(MOD(AU9-YEAR('Assumptions &amp; Inputs'!$G$31),'Assumptions &amp; Inputs'!$G$34)=0, AU9&lt;YEAR('Assumptions &amp; Inputs'!$G$36), AU9&gt;YEAR('Assumptions &amp; Inputs'!$G$31)), (-'Assumptions &amp; Inputs'!$G$38)*'Assumptions &amp; Inputs'!$G$33, -AU11/'Assumptions &amp; Inputs'!$G$28*'Assumptions &amp; Inputs'!$G$38)</f>
        <v>0</v>
      </c>
      <c r="AV13" s="187">
        <f>IF(AND(MOD(AV9-YEAR('Assumptions &amp; Inputs'!$G$31),'Assumptions &amp; Inputs'!$G$34)=0, AV9&lt;YEAR('Assumptions &amp; Inputs'!$G$36), AV9&gt;YEAR('Assumptions &amp; Inputs'!$G$31)), (-'Assumptions &amp; Inputs'!$G$38)*'Assumptions &amp; Inputs'!$G$33, -AV11/'Assumptions &amp; Inputs'!$G$28*'Assumptions &amp; Inputs'!$G$38)</f>
        <v>0</v>
      </c>
      <c r="AW13" s="187">
        <f>IF(AND(MOD(AW9-YEAR('Assumptions &amp; Inputs'!$G$31),'Assumptions &amp; Inputs'!$G$34)=0, AW9&lt;YEAR('Assumptions &amp; Inputs'!$G$36), AW9&gt;YEAR('Assumptions &amp; Inputs'!$G$31)), (-'Assumptions &amp; Inputs'!$G$38)*'Assumptions &amp; Inputs'!$G$33, -AW11/'Assumptions &amp; Inputs'!$G$28*'Assumptions &amp; Inputs'!$G$38)</f>
        <v>0</v>
      </c>
    </row>
    <row r="14" spans="1:49" ht="14.25" customHeight="1">
      <c r="A14" s="1"/>
      <c r="B14" s="84"/>
      <c r="C14" s="94" t="s">
        <v>219</v>
      </c>
      <c r="D14" s="519">
        <f>D$13*'Assumptions &amp; Inputs'!$G39</f>
        <v>-1.6805555555555558</v>
      </c>
      <c r="E14" s="519">
        <f>E$13*'Assumptions &amp; Inputs'!$G39</f>
        <v>-1.8333333333333333</v>
      </c>
      <c r="F14" s="519">
        <f>F$13*'Assumptions &amp; Inputs'!$G39</f>
        <v>-1.8333333333333333</v>
      </c>
      <c r="G14" s="519">
        <f>G$13*'Assumptions &amp; Inputs'!$G39</f>
        <v>-0.15277777777777779</v>
      </c>
      <c r="H14" s="519">
        <f>H$13*'Assumptions &amp; Inputs'!$G39</f>
        <v>0</v>
      </c>
      <c r="I14" s="519">
        <f>I$13*'Assumptions &amp; Inputs'!$G39</f>
        <v>0</v>
      </c>
      <c r="J14" s="519">
        <f>J$13*'Assumptions &amp; Inputs'!$G39</f>
        <v>0</v>
      </c>
      <c r="K14" s="519">
        <f>K$13*'Assumptions &amp; Inputs'!$G39</f>
        <v>0</v>
      </c>
      <c r="L14" s="519">
        <f>L$13*'Assumptions &amp; Inputs'!$G39</f>
        <v>0</v>
      </c>
      <c r="M14" s="519">
        <f>M$13*'Assumptions &amp; Inputs'!$G39</f>
        <v>0</v>
      </c>
      <c r="N14" s="519">
        <f>N$13*'Assumptions &amp; Inputs'!$G39</f>
        <v>0</v>
      </c>
      <c r="O14" s="519">
        <f>O$13*'Assumptions &amp; Inputs'!$G39</f>
        <v>0</v>
      </c>
      <c r="P14" s="519">
        <f>P$13*'Assumptions &amp; Inputs'!$G39</f>
        <v>0</v>
      </c>
      <c r="Q14" s="519">
        <f>Q$13*'Assumptions &amp; Inputs'!$G39</f>
        <v>0</v>
      </c>
      <c r="R14" s="519">
        <f>R$13*'Assumptions &amp; Inputs'!$G39</f>
        <v>0</v>
      </c>
      <c r="S14" s="519">
        <f>S$13*'Assumptions &amp; Inputs'!$G39</f>
        <v>0</v>
      </c>
      <c r="T14" s="519">
        <f>T$13*'Assumptions &amp; Inputs'!$G39</f>
        <v>0</v>
      </c>
      <c r="U14" s="519">
        <f>U$13*'Assumptions &amp; Inputs'!$G39</f>
        <v>0</v>
      </c>
      <c r="V14" s="519">
        <f>V$13*'Assumptions &amp; Inputs'!$G39</f>
        <v>0</v>
      </c>
      <c r="W14" s="519">
        <f>W$13*'Assumptions &amp; Inputs'!$G39</f>
        <v>0</v>
      </c>
      <c r="X14" s="519">
        <f>X$13*'Assumptions &amp; Inputs'!$G39</f>
        <v>0</v>
      </c>
      <c r="Y14" s="519">
        <f>Y$13*'Assumptions &amp; Inputs'!$G39</f>
        <v>0</v>
      </c>
      <c r="Z14" s="519">
        <f>Z$13*'Assumptions &amp; Inputs'!$G39</f>
        <v>0</v>
      </c>
      <c r="AA14" s="519">
        <f>AA$13*'Assumptions &amp; Inputs'!$G39</f>
        <v>0</v>
      </c>
      <c r="AB14" s="519">
        <f>AB$13*'Assumptions &amp; Inputs'!$G39</f>
        <v>0</v>
      </c>
      <c r="AC14" s="519">
        <f>AC$13*'Assumptions &amp; Inputs'!$G39</f>
        <v>0</v>
      </c>
      <c r="AD14" s="519">
        <f>AD$13*'Assumptions &amp; Inputs'!$G39</f>
        <v>0</v>
      </c>
      <c r="AE14" s="519">
        <f>AE$13*'Assumptions &amp; Inputs'!$G39</f>
        <v>0</v>
      </c>
      <c r="AF14" s="519">
        <f>AF$13*'Assumptions &amp; Inputs'!$G39</f>
        <v>0</v>
      </c>
      <c r="AG14" s="519">
        <f>AG$13*'Assumptions &amp; Inputs'!$G39</f>
        <v>0</v>
      </c>
      <c r="AH14" s="519">
        <f>AH$13*'Assumptions &amp; Inputs'!$G39</f>
        <v>0</v>
      </c>
      <c r="AI14" s="519">
        <f>AI$13*'Assumptions &amp; Inputs'!$G39</f>
        <v>0</v>
      </c>
      <c r="AJ14" s="519">
        <f>AJ$13*'Assumptions &amp; Inputs'!$G39</f>
        <v>0</v>
      </c>
      <c r="AK14" s="519">
        <f>AK$13*'Assumptions &amp; Inputs'!$G39</f>
        <v>0</v>
      </c>
      <c r="AL14" s="519">
        <f>AL$13*'Assumptions &amp; Inputs'!$G39</f>
        <v>0</v>
      </c>
      <c r="AM14" s="519">
        <f>AM$13*'Assumptions &amp; Inputs'!$G39</f>
        <v>0</v>
      </c>
      <c r="AN14" s="519">
        <f>AN$13*'Assumptions &amp; Inputs'!$G39</f>
        <v>0</v>
      </c>
      <c r="AO14" s="519">
        <f>AO$13*'Assumptions &amp; Inputs'!$G39</f>
        <v>0</v>
      </c>
      <c r="AP14" s="519">
        <f>AP$13*'Assumptions &amp; Inputs'!$G39</f>
        <v>0</v>
      </c>
      <c r="AQ14" s="519">
        <f>AQ$13*'Assumptions &amp; Inputs'!$G39</f>
        <v>0</v>
      </c>
      <c r="AR14" s="519">
        <f>AR$13*'Assumptions &amp; Inputs'!$G39</f>
        <v>0</v>
      </c>
      <c r="AS14" s="519">
        <f>AS$13*'Assumptions &amp; Inputs'!$G39</f>
        <v>0</v>
      </c>
      <c r="AT14" s="519">
        <f>AT$13*'Assumptions &amp; Inputs'!$G39</f>
        <v>0</v>
      </c>
      <c r="AU14" s="519">
        <f>AU$13*'Assumptions &amp; Inputs'!$G39</f>
        <v>0</v>
      </c>
      <c r="AV14" s="519">
        <f>AV$13*'Assumptions &amp; Inputs'!$G39</f>
        <v>0</v>
      </c>
      <c r="AW14" s="520">
        <f>AW$13*'Assumptions &amp; Inputs'!$G39</f>
        <v>0</v>
      </c>
    </row>
    <row r="15" spans="1:49" ht="13.5" customHeight="1">
      <c r="A15" s="1"/>
      <c r="B15" s="84"/>
      <c r="C15" s="94" t="s">
        <v>220</v>
      </c>
      <c r="D15" s="519">
        <f>D$13*'Assumptions &amp; Inputs'!$G40</f>
        <v>-5.041666666666667</v>
      </c>
      <c r="E15" s="519">
        <f>E$13*'Assumptions &amp; Inputs'!$G40</f>
        <v>-5.4999999999999991</v>
      </c>
      <c r="F15" s="519">
        <f>F$13*'Assumptions &amp; Inputs'!$G40</f>
        <v>-5.4999999999999991</v>
      </c>
      <c r="G15" s="519">
        <f>G$13*'Assumptions &amp; Inputs'!$G40</f>
        <v>-0.45833333333333326</v>
      </c>
      <c r="H15" s="519">
        <f>H$13*'Assumptions &amp; Inputs'!$G40</f>
        <v>0</v>
      </c>
      <c r="I15" s="519">
        <f>I$13*'Assumptions &amp; Inputs'!$G40</f>
        <v>0</v>
      </c>
      <c r="J15" s="519">
        <f>J$13*'Assumptions &amp; Inputs'!$G40</f>
        <v>0</v>
      </c>
      <c r="K15" s="519">
        <f>K$13*'Assumptions &amp; Inputs'!$G40</f>
        <v>0</v>
      </c>
      <c r="L15" s="519">
        <f>L$13*'Assumptions &amp; Inputs'!$G40</f>
        <v>0</v>
      </c>
      <c r="M15" s="519">
        <f>M$13*'Assumptions &amp; Inputs'!$G40</f>
        <v>0</v>
      </c>
      <c r="N15" s="519">
        <f>N$13*'Assumptions &amp; Inputs'!$G40</f>
        <v>0</v>
      </c>
      <c r="O15" s="519">
        <f>O$13*'Assumptions &amp; Inputs'!$G40</f>
        <v>0</v>
      </c>
      <c r="P15" s="519">
        <f>P$13*'Assumptions &amp; Inputs'!$G40</f>
        <v>0</v>
      </c>
      <c r="Q15" s="519">
        <f>Q$13*'Assumptions &amp; Inputs'!$G40</f>
        <v>0</v>
      </c>
      <c r="R15" s="519">
        <f>R$13*'Assumptions &amp; Inputs'!$G40</f>
        <v>0</v>
      </c>
      <c r="S15" s="519">
        <f>S$13*'Assumptions &amp; Inputs'!$G40</f>
        <v>0</v>
      </c>
      <c r="T15" s="519">
        <f>T$13*'Assumptions &amp; Inputs'!$G40</f>
        <v>0</v>
      </c>
      <c r="U15" s="519">
        <f>U$13*'Assumptions &amp; Inputs'!$G40</f>
        <v>0</v>
      </c>
      <c r="V15" s="519">
        <f>V$13*'Assumptions &amp; Inputs'!$G40</f>
        <v>0</v>
      </c>
      <c r="W15" s="519">
        <f>W$13*'Assumptions &amp; Inputs'!$G40</f>
        <v>0</v>
      </c>
      <c r="X15" s="519">
        <f>X$13*'Assumptions &amp; Inputs'!$G40</f>
        <v>0</v>
      </c>
      <c r="Y15" s="519">
        <f>Y$13*'Assumptions &amp; Inputs'!$G40</f>
        <v>0</v>
      </c>
      <c r="Z15" s="519">
        <f>Z$13*'Assumptions &amp; Inputs'!$G40</f>
        <v>0</v>
      </c>
      <c r="AA15" s="519">
        <f>AA$13*'Assumptions &amp; Inputs'!$G40</f>
        <v>0</v>
      </c>
      <c r="AB15" s="519">
        <f>AB$13*'Assumptions &amp; Inputs'!$G40</f>
        <v>0</v>
      </c>
      <c r="AC15" s="519">
        <f>AC$13*'Assumptions &amp; Inputs'!$G40</f>
        <v>0</v>
      </c>
      <c r="AD15" s="519">
        <f>AD$13*'Assumptions &amp; Inputs'!$G40</f>
        <v>0</v>
      </c>
      <c r="AE15" s="519">
        <f>AE$13*'Assumptions &amp; Inputs'!$G40</f>
        <v>0</v>
      </c>
      <c r="AF15" s="519">
        <f>AF$13*'Assumptions &amp; Inputs'!$G40</f>
        <v>0</v>
      </c>
      <c r="AG15" s="519">
        <f>AG$13*'Assumptions &amp; Inputs'!$G40</f>
        <v>0</v>
      </c>
      <c r="AH15" s="519">
        <f>AH$13*'Assumptions &amp; Inputs'!$G40</f>
        <v>0</v>
      </c>
      <c r="AI15" s="519">
        <f>AI$13*'Assumptions &amp; Inputs'!$G40</f>
        <v>0</v>
      </c>
      <c r="AJ15" s="519">
        <f>AJ$13*'Assumptions &amp; Inputs'!$G40</f>
        <v>0</v>
      </c>
      <c r="AK15" s="519">
        <f>AK$13*'Assumptions &amp; Inputs'!$G40</f>
        <v>0</v>
      </c>
      <c r="AL15" s="519">
        <f>AL$13*'Assumptions &amp; Inputs'!$G40</f>
        <v>0</v>
      </c>
      <c r="AM15" s="519">
        <f>AM$13*'Assumptions &amp; Inputs'!$G40</f>
        <v>0</v>
      </c>
      <c r="AN15" s="519">
        <f>AN$13*'Assumptions &amp; Inputs'!$G40</f>
        <v>0</v>
      </c>
      <c r="AO15" s="519">
        <f>AO$13*'Assumptions &amp; Inputs'!$G40</f>
        <v>0</v>
      </c>
      <c r="AP15" s="519">
        <f>AP$13*'Assumptions &amp; Inputs'!$G40</f>
        <v>0</v>
      </c>
      <c r="AQ15" s="519">
        <f>AQ$13*'Assumptions &amp; Inputs'!$G40</f>
        <v>0</v>
      </c>
      <c r="AR15" s="519">
        <f>AR$13*'Assumptions &amp; Inputs'!$G40</f>
        <v>0</v>
      </c>
      <c r="AS15" s="519">
        <f>AS$13*'Assumptions &amp; Inputs'!$G40</f>
        <v>0</v>
      </c>
      <c r="AT15" s="519">
        <f>AT$13*'Assumptions &amp; Inputs'!$G40</f>
        <v>0</v>
      </c>
      <c r="AU15" s="519">
        <f>AU$13*'Assumptions &amp; Inputs'!$G40</f>
        <v>0</v>
      </c>
      <c r="AV15" s="519">
        <f>AV$13*'Assumptions &amp; Inputs'!$G40</f>
        <v>0</v>
      </c>
      <c r="AW15" s="520">
        <f>AW$13*'Assumptions &amp; Inputs'!$G40</f>
        <v>0</v>
      </c>
    </row>
    <row r="16" spans="1:49" ht="13.5" customHeight="1">
      <c r="A16" s="1"/>
      <c r="B16" s="84"/>
      <c r="C16" s="94" t="s">
        <v>221</v>
      </c>
      <c r="D16" s="519">
        <f>D$13*'Assumptions &amp; Inputs'!$G41</f>
        <v>-0.33611111111111114</v>
      </c>
      <c r="E16" s="519">
        <f>E$13*'Assumptions &amp; Inputs'!$G41</f>
        <v>-0.36666666666666664</v>
      </c>
      <c r="F16" s="519">
        <f>F$13*'Assumptions &amp; Inputs'!$G41</f>
        <v>-0.36666666666666664</v>
      </c>
      <c r="G16" s="519">
        <f>G$13*'Assumptions &amp; Inputs'!$G41</f>
        <v>-3.0555555555555555E-2</v>
      </c>
      <c r="H16" s="519">
        <f>H$13*'Assumptions &amp; Inputs'!$G41</f>
        <v>0</v>
      </c>
      <c r="I16" s="519">
        <f>I$13*'Assumptions &amp; Inputs'!$G41</f>
        <v>0</v>
      </c>
      <c r="J16" s="519">
        <f>J$13*'Assumptions &amp; Inputs'!$G41</f>
        <v>0</v>
      </c>
      <c r="K16" s="519">
        <f>K$13*'Assumptions &amp; Inputs'!$G41</f>
        <v>0</v>
      </c>
      <c r="L16" s="519">
        <f>L$13*'Assumptions &amp; Inputs'!$G41</f>
        <v>0</v>
      </c>
      <c r="M16" s="519">
        <f>M$13*'Assumptions &amp; Inputs'!$G41</f>
        <v>0</v>
      </c>
      <c r="N16" s="519">
        <f>N$13*'Assumptions &amp; Inputs'!$G41</f>
        <v>0</v>
      </c>
      <c r="O16" s="519">
        <f>O$13*'Assumptions &amp; Inputs'!$G41</f>
        <v>0</v>
      </c>
      <c r="P16" s="519">
        <f>P$13*'Assumptions &amp; Inputs'!$G41</f>
        <v>0</v>
      </c>
      <c r="Q16" s="519">
        <f>Q$13*'Assumptions &amp; Inputs'!$G41</f>
        <v>0</v>
      </c>
      <c r="R16" s="519">
        <f>R$13*'Assumptions &amp; Inputs'!$G41</f>
        <v>0</v>
      </c>
      <c r="S16" s="519">
        <f>S$13*'Assumptions &amp; Inputs'!$G41</f>
        <v>0</v>
      </c>
      <c r="T16" s="519">
        <f>T$13*'Assumptions &amp; Inputs'!$G41</f>
        <v>0</v>
      </c>
      <c r="U16" s="519">
        <f>U$13*'Assumptions &amp; Inputs'!$G41</f>
        <v>0</v>
      </c>
      <c r="V16" s="519">
        <f>V$13*'Assumptions &amp; Inputs'!$G41</f>
        <v>0</v>
      </c>
      <c r="W16" s="519">
        <f>W$13*'Assumptions &amp; Inputs'!$G41</f>
        <v>0</v>
      </c>
      <c r="X16" s="519">
        <f>X$13*'Assumptions &amp; Inputs'!$G41</f>
        <v>0</v>
      </c>
      <c r="Y16" s="519">
        <f>Y$13*'Assumptions &amp; Inputs'!$G41</f>
        <v>0</v>
      </c>
      <c r="Z16" s="519">
        <f>Z$13*'Assumptions &amp; Inputs'!$G41</f>
        <v>0</v>
      </c>
      <c r="AA16" s="519">
        <f>AA$13*'Assumptions &amp; Inputs'!$G41</f>
        <v>0</v>
      </c>
      <c r="AB16" s="519">
        <f>AB$13*'Assumptions &amp; Inputs'!$G41</f>
        <v>0</v>
      </c>
      <c r="AC16" s="519">
        <f>AC$13*'Assumptions &amp; Inputs'!$G41</f>
        <v>0</v>
      </c>
      <c r="AD16" s="519">
        <f>AD$13*'Assumptions &amp; Inputs'!$G41</f>
        <v>0</v>
      </c>
      <c r="AE16" s="519">
        <f>AE$13*'Assumptions &amp; Inputs'!$G41</f>
        <v>0</v>
      </c>
      <c r="AF16" s="519">
        <f>AF$13*'Assumptions &amp; Inputs'!$G41</f>
        <v>0</v>
      </c>
      <c r="AG16" s="519">
        <f>AG$13*'Assumptions &amp; Inputs'!$G41</f>
        <v>0</v>
      </c>
      <c r="AH16" s="519">
        <f>AH$13*'Assumptions &amp; Inputs'!$G41</f>
        <v>0</v>
      </c>
      <c r="AI16" s="519">
        <f>AI$13*'Assumptions &amp; Inputs'!$G41</f>
        <v>0</v>
      </c>
      <c r="AJ16" s="519">
        <f>AJ$13*'Assumptions &amp; Inputs'!$G41</f>
        <v>0</v>
      </c>
      <c r="AK16" s="519">
        <f>AK$13*'Assumptions &amp; Inputs'!$G41</f>
        <v>0</v>
      </c>
      <c r="AL16" s="519">
        <f>AL$13*'Assumptions &amp; Inputs'!$G41</f>
        <v>0</v>
      </c>
      <c r="AM16" s="519">
        <f>AM$13*'Assumptions &amp; Inputs'!$G41</f>
        <v>0</v>
      </c>
      <c r="AN16" s="519">
        <f>AN$13*'Assumptions &amp; Inputs'!$G41</f>
        <v>0</v>
      </c>
      <c r="AO16" s="519">
        <f>AO$13*'Assumptions &amp; Inputs'!$G41</f>
        <v>0</v>
      </c>
      <c r="AP16" s="519">
        <f>AP$13*'Assumptions &amp; Inputs'!$G41</f>
        <v>0</v>
      </c>
      <c r="AQ16" s="519">
        <f>AQ$13*'Assumptions &amp; Inputs'!$G41</f>
        <v>0</v>
      </c>
      <c r="AR16" s="519">
        <f>AR$13*'Assumptions &amp; Inputs'!$G41</f>
        <v>0</v>
      </c>
      <c r="AS16" s="519">
        <f>AS$13*'Assumptions &amp; Inputs'!$G41</f>
        <v>0</v>
      </c>
      <c r="AT16" s="519">
        <f>AT$13*'Assumptions &amp; Inputs'!$G41</f>
        <v>0</v>
      </c>
      <c r="AU16" s="519">
        <f>AU$13*'Assumptions &amp; Inputs'!$G41</f>
        <v>0</v>
      </c>
      <c r="AV16" s="519">
        <f>AV$13*'Assumptions &amp; Inputs'!$G41</f>
        <v>0</v>
      </c>
      <c r="AW16" s="520">
        <f>AW$13*'Assumptions &amp; Inputs'!$G41</f>
        <v>0</v>
      </c>
    </row>
    <row r="17" spans="1:49" ht="13.5" customHeight="1">
      <c r="A17" s="1"/>
      <c r="B17" s="84"/>
      <c r="C17" s="94" t="s">
        <v>222</v>
      </c>
      <c r="D17" s="519">
        <f>D$13*'Assumptions &amp; Inputs'!$G42</f>
        <v>-2.6888888888888891</v>
      </c>
      <c r="E17" s="519">
        <f>E$13*'Assumptions &amp; Inputs'!$G42</f>
        <v>-2.9333333333333331</v>
      </c>
      <c r="F17" s="519">
        <f>F$13*'Assumptions &amp; Inputs'!$G42</f>
        <v>-2.9333333333333331</v>
      </c>
      <c r="G17" s="519">
        <f>G$13*'Assumptions &amp; Inputs'!$G42</f>
        <v>-0.24444444444444444</v>
      </c>
      <c r="H17" s="519">
        <f>H$13*'Assumptions &amp; Inputs'!$G42</f>
        <v>0</v>
      </c>
      <c r="I17" s="519">
        <f>I$13*'Assumptions &amp; Inputs'!$G42</f>
        <v>0</v>
      </c>
      <c r="J17" s="519">
        <f>J$13*'Assumptions &amp; Inputs'!$G42</f>
        <v>0</v>
      </c>
      <c r="K17" s="519">
        <f>K$13*'Assumptions &amp; Inputs'!$G42</f>
        <v>0</v>
      </c>
      <c r="L17" s="519">
        <f>L$13*'Assumptions &amp; Inputs'!$G42</f>
        <v>0</v>
      </c>
      <c r="M17" s="519">
        <f>M$13*'Assumptions &amp; Inputs'!$G42</f>
        <v>0</v>
      </c>
      <c r="N17" s="519">
        <f>N$13*'Assumptions &amp; Inputs'!$G42</f>
        <v>0</v>
      </c>
      <c r="O17" s="519">
        <f>O$13*'Assumptions &amp; Inputs'!$G42</f>
        <v>0</v>
      </c>
      <c r="P17" s="519">
        <f>P$13*'Assumptions &amp; Inputs'!$G42</f>
        <v>0</v>
      </c>
      <c r="Q17" s="519">
        <f>Q$13*'Assumptions &amp; Inputs'!$G42</f>
        <v>0</v>
      </c>
      <c r="R17" s="519">
        <f>R$13*'Assumptions &amp; Inputs'!$G42</f>
        <v>0</v>
      </c>
      <c r="S17" s="519">
        <f>S$13*'Assumptions &amp; Inputs'!$G42</f>
        <v>0</v>
      </c>
      <c r="T17" s="519">
        <f>T$13*'Assumptions &amp; Inputs'!$G42</f>
        <v>0</v>
      </c>
      <c r="U17" s="519">
        <f>U$13*'Assumptions &amp; Inputs'!$G42</f>
        <v>0</v>
      </c>
      <c r="V17" s="519">
        <f>V$13*'Assumptions &amp; Inputs'!$G42</f>
        <v>0</v>
      </c>
      <c r="W17" s="519">
        <f>W$13*'Assumptions &amp; Inputs'!$G42</f>
        <v>0</v>
      </c>
      <c r="X17" s="519">
        <f>X$13*'Assumptions &amp; Inputs'!$G42</f>
        <v>0</v>
      </c>
      <c r="Y17" s="519">
        <f>Y$13*'Assumptions &amp; Inputs'!$G42</f>
        <v>0</v>
      </c>
      <c r="Z17" s="519">
        <f>Z$13*'Assumptions &amp; Inputs'!$G42</f>
        <v>0</v>
      </c>
      <c r="AA17" s="519">
        <f>AA$13*'Assumptions &amp; Inputs'!$G42</f>
        <v>0</v>
      </c>
      <c r="AB17" s="519">
        <f>AB$13*'Assumptions &amp; Inputs'!$G42</f>
        <v>0</v>
      </c>
      <c r="AC17" s="519">
        <f>AC$13*'Assumptions &amp; Inputs'!$G42</f>
        <v>0</v>
      </c>
      <c r="AD17" s="519">
        <f>AD$13*'Assumptions &amp; Inputs'!$G42</f>
        <v>0</v>
      </c>
      <c r="AE17" s="519">
        <f>AE$13*'Assumptions &amp; Inputs'!$G42</f>
        <v>0</v>
      </c>
      <c r="AF17" s="519">
        <f>AF$13*'Assumptions &amp; Inputs'!$G42</f>
        <v>0</v>
      </c>
      <c r="AG17" s="519">
        <f>AG$13*'Assumptions &amp; Inputs'!$G42</f>
        <v>0</v>
      </c>
      <c r="AH17" s="519">
        <f>AH$13*'Assumptions &amp; Inputs'!$G42</f>
        <v>0</v>
      </c>
      <c r="AI17" s="519">
        <f>AI$13*'Assumptions &amp; Inputs'!$G42</f>
        <v>0</v>
      </c>
      <c r="AJ17" s="519">
        <f>AJ$13*'Assumptions &amp; Inputs'!$G42</f>
        <v>0</v>
      </c>
      <c r="AK17" s="519">
        <f>AK$13*'Assumptions &amp; Inputs'!$G42</f>
        <v>0</v>
      </c>
      <c r="AL17" s="519">
        <f>AL$13*'Assumptions &amp; Inputs'!$G42</f>
        <v>0</v>
      </c>
      <c r="AM17" s="519">
        <f>AM$13*'Assumptions &amp; Inputs'!$G42</f>
        <v>0</v>
      </c>
      <c r="AN17" s="519">
        <f>AN$13*'Assumptions &amp; Inputs'!$G42</f>
        <v>0</v>
      </c>
      <c r="AO17" s="519">
        <f>AO$13*'Assumptions &amp; Inputs'!$G42</f>
        <v>0</v>
      </c>
      <c r="AP17" s="519">
        <f>AP$13*'Assumptions &amp; Inputs'!$G42</f>
        <v>0</v>
      </c>
      <c r="AQ17" s="519">
        <f>AQ$13*'Assumptions &amp; Inputs'!$G42</f>
        <v>0</v>
      </c>
      <c r="AR17" s="519">
        <f>AR$13*'Assumptions &amp; Inputs'!$G42</f>
        <v>0</v>
      </c>
      <c r="AS17" s="519">
        <f>AS$13*'Assumptions &amp; Inputs'!$G42</f>
        <v>0</v>
      </c>
      <c r="AT17" s="519">
        <f>AT$13*'Assumptions &amp; Inputs'!$G42</f>
        <v>0</v>
      </c>
      <c r="AU17" s="519">
        <f>AU$13*'Assumptions &amp; Inputs'!$G42</f>
        <v>0</v>
      </c>
      <c r="AV17" s="519">
        <f>AV$13*'Assumptions &amp; Inputs'!$G42</f>
        <v>0</v>
      </c>
      <c r="AW17" s="520">
        <f>AW$13*'Assumptions &amp; Inputs'!$G42</f>
        <v>0</v>
      </c>
    </row>
    <row r="18" spans="1:49" ht="13.5" customHeight="1">
      <c r="A18" s="1"/>
      <c r="B18" s="84"/>
      <c r="C18" s="94" t="s">
        <v>223</v>
      </c>
      <c r="D18" s="519">
        <f>D$13*'Assumptions &amp; Inputs'!$G43</f>
        <v>-3.3611111111111116</v>
      </c>
      <c r="E18" s="519">
        <f>E$13*'Assumptions &amp; Inputs'!$G43</f>
        <v>-3.6666666666666665</v>
      </c>
      <c r="F18" s="519">
        <f>F$13*'Assumptions &amp; Inputs'!$G43</f>
        <v>-3.6666666666666665</v>
      </c>
      <c r="G18" s="519">
        <f>G$13*'Assumptions &amp; Inputs'!$G43</f>
        <v>-0.30555555555555558</v>
      </c>
      <c r="H18" s="519">
        <f>H$13*'Assumptions &amp; Inputs'!$G43</f>
        <v>0</v>
      </c>
      <c r="I18" s="519">
        <f>I$13*'Assumptions &amp; Inputs'!$G43</f>
        <v>0</v>
      </c>
      <c r="J18" s="519">
        <f>J$13*'Assumptions &amp; Inputs'!$G43</f>
        <v>0</v>
      </c>
      <c r="K18" s="519">
        <f>K$13*'Assumptions &amp; Inputs'!$G43</f>
        <v>0</v>
      </c>
      <c r="L18" s="519">
        <f>L$13*'Assumptions &amp; Inputs'!$G43</f>
        <v>0</v>
      </c>
      <c r="M18" s="519">
        <f>M$13*'Assumptions &amp; Inputs'!$G43</f>
        <v>0</v>
      </c>
      <c r="N18" s="519">
        <f>N$13*'Assumptions &amp; Inputs'!$G43</f>
        <v>0</v>
      </c>
      <c r="O18" s="519">
        <f>O$13*'Assumptions &amp; Inputs'!$G43</f>
        <v>0</v>
      </c>
      <c r="P18" s="519">
        <f>P$13*'Assumptions &amp; Inputs'!$G43</f>
        <v>0</v>
      </c>
      <c r="Q18" s="519">
        <f>Q$13*'Assumptions &amp; Inputs'!$G43</f>
        <v>0</v>
      </c>
      <c r="R18" s="519">
        <f>R$13*'Assumptions &amp; Inputs'!$G43</f>
        <v>0</v>
      </c>
      <c r="S18" s="519">
        <f>S$13*'Assumptions &amp; Inputs'!$G43</f>
        <v>0</v>
      </c>
      <c r="T18" s="519">
        <f>T$13*'Assumptions &amp; Inputs'!$G43</f>
        <v>0</v>
      </c>
      <c r="U18" s="519">
        <f>U$13*'Assumptions &amp; Inputs'!$G43</f>
        <v>0</v>
      </c>
      <c r="V18" s="519">
        <f>V$13*'Assumptions &amp; Inputs'!$G43</f>
        <v>0</v>
      </c>
      <c r="W18" s="519">
        <f>W$13*'Assumptions &amp; Inputs'!$G43</f>
        <v>0</v>
      </c>
      <c r="X18" s="519">
        <f>X$13*'Assumptions &amp; Inputs'!$G43</f>
        <v>0</v>
      </c>
      <c r="Y18" s="519">
        <f>Y$13*'Assumptions &amp; Inputs'!$G43</f>
        <v>0</v>
      </c>
      <c r="Z18" s="519">
        <f>Z$13*'Assumptions &amp; Inputs'!$G43</f>
        <v>0</v>
      </c>
      <c r="AA18" s="519">
        <f>AA$13*'Assumptions &amp; Inputs'!$G43</f>
        <v>0</v>
      </c>
      <c r="AB18" s="519">
        <f>AB$13*'Assumptions &amp; Inputs'!$G43</f>
        <v>0</v>
      </c>
      <c r="AC18" s="519">
        <f>AC$13*'Assumptions &amp; Inputs'!$G43</f>
        <v>0</v>
      </c>
      <c r="AD18" s="519">
        <f>AD$13*'Assumptions &amp; Inputs'!$G43</f>
        <v>0</v>
      </c>
      <c r="AE18" s="519">
        <f>AE$13*'Assumptions &amp; Inputs'!$G43</f>
        <v>0</v>
      </c>
      <c r="AF18" s="519">
        <f>AF$13*'Assumptions &amp; Inputs'!$G43</f>
        <v>0</v>
      </c>
      <c r="AG18" s="519">
        <f>AG$13*'Assumptions &amp; Inputs'!$G43</f>
        <v>0</v>
      </c>
      <c r="AH18" s="519">
        <f>AH$13*'Assumptions &amp; Inputs'!$G43</f>
        <v>0</v>
      </c>
      <c r="AI18" s="519">
        <f>AI$13*'Assumptions &amp; Inputs'!$G43</f>
        <v>0</v>
      </c>
      <c r="AJ18" s="519">
        <f>AJ$13*'Assumptions &amp; Inputs'!$G43</f>
        <v>0</v>
      </c>
      <c r="AK18" s="519">
        <f>AK$13*'Assumptions &amp; Inputs'!$G43</f>
        <v>0</v>
      </c>
      <c r="AL18" s="519">
        <f>AL$13*'Assumptions &amp; Inputs'!$G43</f>
        <v>0</v>
      </c>
      <c r="AM18" s="519">
        <f>AM$13*'Assumptions &amp; Inputs'!$G43</f>
        <v>0</v>
      </c>
      <c r="AN18" s="519">
        <f>AN$13*'Assumptions &amp; Inputs'!$G43</f>
        <v>0</v>
      </c>
      <c r="AO18" s="519">
        <f>AO$13*'Assumptions &amp; Inputs'!$G43</f>
        <v>0</v>
      </c>
      <c r="AP18" s="519">
        <f>AP$13*'Assumptions &amp; Inputs'!$G43</f>
        <v>0</v>
      </c>
      <c r="AQ18" s="519">
        <f>AQ$13*'Assumptions &amp; Inputs'!$G43</f>
        <v>0</v>
      </c>
      <c r="AR18" s="519">
        <f>AR$13*'Assumptions &amp; Inputs'!$G43</f>
        <v>0</v>
      </c>
      <c r="AS18" s="519">
        <f>AS$13*'Assumptions &amp; Inputs'!$G43</f>
        <v>0</v>
      </c>
      <c r="AT18" s="519">
        <f>AT$13*'Assumptions &amp; Inputs'!$G43</f>
        <v>0</v>
      </c>
      <c r="AU18" s="519">
        <f>AU$13*'Assumptions &amp; Inputs'!$G43</f>
        <v>0</v>
      </c>
      <c r="AV18" s="519">
        <f>AV$13*'Assumptions &amp; Inputs'!$G43</f>
        <v>0</v>
      </c>
      <c r="AW18" s="520">
        <f>AW$13*'Assumptions &amp; Inputs'!$G43</f>
        <v>0</v>
      </c>
    </row>
    <row r="19" spans="1:49" ht="13.5" customHeight="1">
      <c r="A19" s="1"/>
      <c r="B19" s="84"/>
      <c r="C19" s="94" t="s">
        <v>224</v>
      </c>
      <c r="D19" s="519">
        <f>D$13*'Assumptions &amp; Inputs'!$G44</f>
        <v>-5.041666666666667</v>
      </c>
      <c r="E19" s="519">
        <f>E$13*'Assumptions &amp; Inputs'!$G44</f>
        <v>-5.4999999999999991</v>
      </c>
      <c r="F19" s="519">
        <f>F$13*'Assumptions &amp; Inputs'!$G44</f>
        <v>-5.4999999999999991</v>
      </c>
      <c r="G19" s="519">
        <f>G$13*'Assumptions &amp; Inputs'!$G44</f>
        <v>-0.45833333333333326</v>
      </c>
      <c r="H19" s="519">
        <f>H$13*'Assumptions &amp; Inputs'!$G44</f>
        <v>0</v>
      </c>
      <c r="I19" s="519">
        <f>I$13*'Assumptions &amp; Inputs'!$G44</f>
        <v>0</v>
      </c>
      <c r="J19" s="519">
        <f>J$13*'Assumptions &amp; Inputs'!$G44</f>
        <v>0</v>
      </c>
      <c r="K19" s="519">
        <f>K$13*'Assumptions &amp; Inputs'!$G44</f>
        <v>0</v>
      </c>
      <c r="L19" s="519">
        <f>L$13*'Assumptions &amp; Inputs'!$G44</f>
        <v>0</v>
      </c>
      <c r="M19" s="519">
        <f>M$13*'Assumptions &amp; Inputs'!$G44</f>
        <v>0</v>
      </c>
      <c r="N19" s="519">
        <f>N$13*'Assumptions &amp; Inputs'!$G44</f>
        <v>0</v>
      </c>
      <c r="O19" s="519">
        <f>O$13*'Assumptions &amp; Inputs'!$G44</f>
        <v>0</v>
      </c>
      <c r="P19" s="519">
        <f>P$13*'Assumptions &amp; Inputs'!$G44</f>
        <v>0</v>
      </c>
      <c r="Q19" s="519">
        <f>Q$13*'Assumptions &amp; Inputs'!$G44</f>
        <v>0</v>
      </c>
      <c r="R19" s="519">
        <f>R$13*'Assumptions &amp; Inputs'!$G44</f>
        <v>0</v>
      </c>
      <c r="S19" s="519">
        <f>S$13*'Assumptions &amp; Inputs'!$G44</f>
        <v>0</v>
      </c>
      <c r="T19" s="519">
        <f>T$13*'Assumptions &amp; Inputs'!$G44</f>
        <v>0</v>
      </c>
      <c r="U19" s="519">
        <f>U$13*'Assumptions &amp; Inputs'!$G44</f>
        <v>0</v>
      </c>
      <c r="V19" s="519">
        <f>V$13*'Assumptions &amp; Inputs'!$G44</f>
        <v>0</v>
      </c>
      <c r="W19" s="519">
        <f>W$13*'Assumptions &amp; Inputs'!$G44</f>
        <v>0</v>
      </c>
      <c r="X19" s="519">
        <f>X$13*'Assumptions &amp; Inputs'!$G44</f>
        <v>0</v>
      </c>
      <c r="Y19" s="519">
        <f>Y$13*'Assumptions &amp; Inputs'!$G44</f>
        <v>0</v>
      </c>
      <c r="Z19" s="519">
        <f>Z$13*'Assumptions &amp; Inputs'!$G44</f>
        <v>0</v>
      </c>
      <c r="AA19" s="519">
        <f>AA$13*'Assumptions &amp; Inputs'!$G44</f>
        <v>0</v>
      </c>
      <c r="AB19" s="519">
        <f>AB$13*'Assumptions &amp; Inputs'!$G44</f>
        <v>0</v>
      </c>
      <c r="AC19" s="519">
        <f>AC$13*'Assumptions &amp; Inputs'!$G44</f>
        <v>0</v>
      </c>
      <c r="AD19" s="519">
        <f>AD$13*'Assumptions &amp; Inputs'!$G44</f>
        <v>0</v>
      </c>
      <c r="AE19" s="519">
        <f>AE$13*'Assumptions &amp; Inputs'!$G44</f>
        <v>0</v>
      </c>
      <c r="AF19" s="519">
        <f>AF$13*'Assumptions &amp; Inputs'!$G44</f>
        <v>0</v>
      </c>
      <c r="AG19" s="519">
        <f>AG$13*'Assumptions &amp; Inputs'!$G44</f>
        <v>0</v>
      </c>
      <c r="AH19" s="519">
        <f>AH$13*'Assumptions &amp; Inputs'!$G44</f>
        <v>0</v>
      </c>
      <c r="AI19" s="519">
        <f>AI$13*'Assumptions &amp; Inputs'!$G44</f>
        <v>0</v>
      </c>
      <c r="AJ19" s="519">
        <f>AJ$13*'Assumptions &amp; Inputs'!$G44</f>
        <v>0</v>
      </c>
      <c r="AK19" s="519">
        <f>AK$13*'Assumptions &amp; Inputs'!$G44</f>
        <v>0</v>
      </c>
      <c r="AL19" s="519">
        <f>AL$13*'Assumptions &amp; Inputs'!$G44</f>
        <v>0</v>
      </c>
      <c r="AM19" s="519">
        <f>AM$13*'Assumptions &amp; Inputs'!$G44</f>
        <v>0</v>
      </c>
      <c r="AN19" s="519">
        <f>AN$13*'Assumptions &amp; Inputs'!$G44</f>
        <v>0</v>
      </c>
      <c r="AO19" s="519">
        <f>AO$13*'Assumptions &amp; Inputs'!$G44</f>
        <v>0</v>
      </c>
      <c r="AP19" s="519">
        <f>AP$13*'Assumptions &amp; Inputs'!$G44</f>
        <v>0</v>
      </c>
      <c r="AQ19" s="519">
        <f>AQ$13*'Assumptions &amp; Inputs'!$G44</f>
        <v>0</v>
      </c>
      <c r="AR19" s="519">
        <f>AR$13*'Assumptions &amp; Inputs'!$G44</f>
        <v>0</v>
      </c>
      <c r="AS19" s="519">
        <f>AS$13*'Assumptions &amp; Inputs'!$G44</f>
        <v>0</v>
      </c>
      <c r="AT19" s="519">
        <f>AT$13*'Assumptions &amp; Inputs'!$G44</f>
        <v>0</v>
      </c>
      <c r="AU19" s="519">
        <f>AU$13*'Assumptions &amp; Inputs'!$G44</f>
        <v>0</v>
      </c>
      <c r="AV19" s="519">
        <f>AV$13*'Assumptions &amp; Inputs'!$G44</f>
        <v>0</v>
      </c>
      <c r="AW19" s="520">
        <f>AW$13*'Assumptions &amp; Inputs'!$G44</f>
        <v>0</v>
      </c>
    </row>
    <row r="20" spans="1:49" ht="13.5" customHeight="1">
      <c r="A20" s="1"/>
      <c r="B20" s="84"/>
      <c r="C20" s="94" t="s">
        <v>225</v>
      </c>
      <c r="D20" s="519">
        <f>D$13*'Assumptions &amp; Inputs'!$G45</f>
        <v>-6.7222222222222232</v>
      </c>
      <c r="E20" s="519">
        <f>E$13*'Assumptions &amp; Inputs'!$G45</f>
        <v>-7.333333333333333</v>
      </c>
      <c r="F20" s="519">
        <f>F$13*'Assumptions &amp; Inputs'!$G45</f>
        <v>-7.333333333333333</v>
      </c>
      <c r="G20" s="519">
        <f>G$13*'Assumptions &amp; Inputs'!$G45</f>
        <v>-0.61111111111111116</v>
      </c>
      <c r="H20" s="519">
        <f>H$13*'Assumptions &amp; Inputs'!$G45</f>
        <v>0</v>
      </c>
      <c r="I20" s="519">
        <f>I$13*'Assumptions &amp; Inputs'!$G45</f>
        <v>0</v>
      </c>
      <c r="J20" s="519">
        <f>J$13*'Assumptions &amp; Inputs'!$G45</f>
        <v>0</v>
      </c>
      <c r="K20" s="519">
        <f>K$13*'Assumptions &amp; Inputs'!$G45</f>
        <v>0</v>
      </c>
      <c r="L20" s="519">
        <f>L$13*'Assumptions &amp; Inputs'!$G45</f>
        <v>0</v>
      </c>
      <c r="M20" s="519">
        <f>M$13*'Assumptions &amp; Inputs'!$G45</f>
        <v>0</v>
      </c>
      <c r="N20" s="519">
        <f>N$13*'Assumptions &amp; Inputs'!$G45</f>
        <v>0</v>
      </c>
      <c r="O20" s="519">
        <f>O$13*'Assumptions &amp; Inputs'!$G45</f>
        <v>0</v>
      </c>
      <c r="P20" s="519">
        <f>P$13*'Assumptions &amp; Inputs'!$G45</f>
        <v>0</v>
      </c>
      <c r="Q20" s="519">
        <f>Q$13*'Assumptions &amp; Inputs'!$G45</f>
        <v>0</v>
      </c>
      <c r="R20" s="519">
        <f>R$13*'Assumptions &amp; Inputs'!$G45</f>
        <v>0</v>
      </c>
      <c r="S20" s="519">
        <f>S$13*'Assumptions &amp; Inputs'!$G45</f>
        <v>0</v>
      </c>
      <c r="T20" s="519">
        <f>T$13*'Assumptions &amp; Inputs'!$G45</f>
        <v>0</v>
      </c>
      <c r="U20" s="519">
        <f>U$13*'Assumptions &amp; Inputs'!$G45</f>
        <v>0</v>
      </c>
      <c r="V20" s="519">
        <f>V$13*'Assumptions &amp; Inputs'!$G45</f>
        <v>0</v>
      </c>
      <c r="W20" s="519">
        <f>W$13*'Assumptions &amp; Inputs'!$G45</f>
        <v>0</v>
      </c>
      <c r="X20" s="519">
        <f>X$13*'Assumptions &amp; Inputs'!$G45</f>
        <v>0</v>
      </c>
      <c r="Y20" s="519">
        <f>Y$13*'Assumptions &amp; Inputs'!$G45</f>
        <v>0</v>
      </c>
      <c r="Z20" s="519">
        <f>Z$13*'Assumptions &amp; Inputs'!$G45</f>
        <v>0</v>
      </c>
      <c r="AA20" s="519">
        <f>AA$13*'Assumptions &amp; Inputs'!$G45</f>
        <v>0</v>
      </c>
      <c r="AB20" s="519">
        <f>AB$13*'Assumptions &amp; Inputs'!$G45</f>
        <v>0</v>
      </c>
      <c r="AC20" s="519">
        <f>AC$13*'Assumptions &amp; Inputs'!$G45</f>
        <v>0</v>
      </c>
      <c r="AD20" s="519">
        <f>AD$13*'Assumptions &amp; Inputs'!$G45</f>
        <v>0</v>
      </c>
      <c r="AE20" s="519">
        <f>AE$13*'Assumptions &amp; Inputs'!$G45</f>
        <v>0</v>
      </c>
      <c r="AF20" s="519">
        <f>AF$13*'Assumptions &amp; Inputs'!$G45</f>
        <v>0</v>
      </c>
      <c r="AG20" s="519">
        <f>AG$13*'Assumptions &amp; Inputs'!$G45</f>
        <v>0</v>
      </c>
      <c r="AH20" s="519">
        <f>AH$13*'Assumptions &amp; Inputs'!$G45</f>
        <v>0</v>
      </c>
      <c r="AI20" s="519">
        <f>AI$13*'Assumptions &amp; Inputs'!$G45</f>
        <v>0</v>
      </c>
      <c r="AJ20" s="519">
        <f>AJ$13*'Assumptions &amp; Inputs'!$G45</f>
        <v>0</v>
      </c>
      <c r="AK20" s="519">
        <f>AK$13*'Assumptions &amp; Inputs'!$G45</f>
        <v>0</v>
      </c>
      <c r="AL20" s="519">
        <f>AL$13*'Assumptions &amp; Inputs'!$G45</f>
        <v>0</v>
      </c>
      <c r="AM20" s="519">
        <f>AM$13*'Assumptions &amp; Inputs'!$G45</f>
        <v>0</v>
      </c>
      <c r="AN20" s="519">
        <f>AN$13*'Assumptions &amp; Inputs'!$G45</f>
        <v>0</v>
      </c>
      <c r="AO20" s="519">
        <f>AO$13*'Assumptions &amp; Inputs'!$G45</f>
        <v>0</v>
      </c>
      <c r="AP20" s="519">
        <f>AP$13*'Assumptions &amp; Inputs'!$G45</f>
        <v>0</v>
      </c>
      <c r="AQ20" s="519">
        <f>AQ$13*'Assumptions &amp; Inputs'!$G45</f>
        <v>0</v>
      </c>
      <c r="AR20" s="519">
        <f>AR$13*'Assumptions &amp; Inputs'!$G45</f>
        <v>0</v>
      </c>
      <c r="AS20" s="519">
        <f>AS$13*'Assumptions &amp; Inputs'!$G45</f>
        <v>0</v>
      </c>
      <c r="AT20" s="519">
        <f>AT$13*'Assumptions &amp; Inputs'!$G45</f>
        <v>0</v>
      </c>
      <c r="AU20" s="519">
        <f>AU$13*'Assumptions &amp; Inputs'!$G45</f>
        <v>0</v>
      </c>
      <c r="AV20" s="519">
        <f>AV$13*'Assumptions &amp; Inputs'!$G45</f>
        <v>0</v>
      </c>
      <c r="AW20" s="520">
        <f>AW$13*'Assumptions &amp; Inputs'!$G45</f>
        <v>0</v>
      </c>
    </row>
    <row r="21" spans="1:49" ht="13.5" customHeight="1">
      <c r="A21" s="1"/>
      <c r="B21" s="84"/>
      <c r="C21" s="94" t="s">
        <v>226</v>
      </c>
      <c r="D21" s="519">
        <f>D$13*'Assumptions &amp; Inputs'!$G46</f>
        <v>-6.7222222222222232</v>
      </c>
      <c r="E21" s="519">
        <f>E$13*'Assumptions &amp; Inputs'!$G46</f>
        <v>-7.333333333333333</v>
      </c>
      <c r="F21" s="519">
        <f>F$13*'Assumptions &amp; Inputs'!$G46</f>
        <v>-7.333333333333333</v>
      </c>
      <c r="G21" s="519">
        <f>G$13*'Assumptions &amp; Inputs'!$G46</f>
        <v>-0.61111111111111116</v>
      </c>
      <c r="H21" s="519">
        <f>H$13*'Assumptions &amp; Inputs'!$G46</f>
        <v>0</v>
      </c>
      <c r="I21" s="519">
        <f>I$13*'Assumptions &amp; Inputs'!$G46</f>
        <v>0</v>
      </c>
      <c r="J21" s="519">
        <f>J$13*'Assumptions &amp; Inputs'!$G46</f>
        <v>0</v>
      </c>
      <c r="K21" s="519">
        <f>K$13*'Assumptions &amp; Inputs'!$G46</f>
        <v>0</v>
      </c>
      <c r="L21" s="519">
        <f>L$13*'Assumptions &amp; Inputs'!$G46</f>
        <v>0</v>
      </c>
      <c r="M21" s="519">
        <f>M$13*'Assumptions &amp; Inputs'!$G46</f>
        <v>0</v>
      </c>
      <c r="N21" s="519">
        <f>N$13*'Assumptions &amp; Inputs'!$G46</f>
        <v>0</v>
      </c>
      <c r="O21" s="519">
        <f>O$13*'Assumptions &amp; Inputs'!$G46</f>
        <v>0</v>
      </c>
      <c r="P21" s="519">
        <f>P$13*'Assumptions &amp; Inputs'!$G46</f>
        <v>0</v>
      </c>
      <c r="Q21" s="519">
        <f>Q$13*'Assumptions &amp; Inputs'!$G46</f>
        <v>0</v>
      </c>
      <c r="R21" s="519">
        <f>R$13*'Assumptions &amp; Inputs'!$G46</f>
        <v>0</v>
      </c>
      <c r="S21" s="519">
        <f>S$13*'Assumptions &amp; Inputs'!$G46</f>
        <v>0</v>
      </c>
      <c r="T21" s="519">
        <f>T$13*'Assumptions &amp; Inputs'!$G46</f>
        <v>0</v>
      </c>
      <c r="U21" s="519">
        <f>U$13*'Assumptions &amp; Inputs'!$G46</f>
        <v>0</v>
      </c>
      <c r="V21" s="519">
        <f>V$13*'Assumptions &amp; Inputs'!$G46</f>
        <v>0</v>
      </c>
      <c r="W21" s="519">
        <f>W$13*'Assumptions &amp; Inputs'!$G46</f>
        <v>0</v>
      </c>
      <c r="X21" s="519">
        <f>X$13*'Assumptions &amp; Inputs'!$G46</f>
        <v>0</v>
      </c>
      <c r="Y21" s="519">
        <f>Y$13*'Assumptions &amp; Inputs'!$G46</f>
        <v>0</v>
      </c>
      <c r="Z21" s="519">
        <f>Z$13*'Assumptions &amp; Inputs'!$G46</f>
        <v>0</v>
      </c>
      <c r="AA21" s="519">
        <f>AA$13*'Assumptions &amp; Inputs'!$G46</f>
        <v>0</v>
      </c>
      <c r="AB21" s="519">
        <f>AB$13*'Assumptions &amp; Inputs'!$G46</f>
        <v>0</v>
      </c>
      <c r="AC21" s="519">
        <f>AC$13*'Assumptions &amp; Inputs'!$G46</f>
        <v>0</v>
      </c>
      <c r="AD21" s="519">
        <f>AD$13*'Assumptions &amp; Inputs'!$G46</f>
        <v>0</v>
      </c>
      <c r="AE21" s="519">
        <f>AE$13*'Assumptions &amp; Inputs'!$G46</f>
        <v>0</v>
      </c>
      <c r="AF21" s="519">
        <f>AF$13*'Assumptions &amp; Inputs'!$G46</f>
        <v>0</v>
      </c>
      <c r="AG21" s="519">
        <f>AG$13*'Assumptions &amp; Inputs'!$G46</f>
        <v>0</v>
      </c>
      <c r="AH21" s="519">
        <f>AH$13*'Assumptions &amp; Inputs'!$G46</f>
        <v>0</v>
      </c>
      <c r="AI21" s="519">
        <f>AI$13*'Assumptions &amp; Inputs'!$G46</f>
        <v>0</v>
      </c>
      <c r="AJ21" s="519">
        <f>AJ$13*'Assumptions &amp; Inputs'!$G46</f>
        <v>0</v>
      </c>
      <c r="AK21" s="519">
        <f>AK$13*'Assumptions &amp; Inputs'!$G46</f>
        <v>0</v>
      </c>
      <c r="AL21" s="519">
        <f>AL$13*'Assumptions &amp; Inputs'!$G46</f>
        <v>0</v>
      </c>
      <c r="AM21" s="519">
        <f>AM$13*'Assumptions &amp; Inputs'!$G46</f>
        <v>0</v>
      </c>
      <c r="AN21" s="519">
        <f>AN$13*'Assumptions &amp; Inputs'!$G46</f>
        <v>0</v>
      </c>
      <c r="AO21" s="519">
        <f>AO$13*'Assumptions &amp; Inputs'!$G46</f>
        <v>0</v>
      </c>
      <c r="AP21" s="519">
        <f>AP$13*'Assumptions &amp; Inputs'!$G46</f>
        <v>0</v>
      </c>
      <c r="AQ21" s="519">
        <f>AQ$13*'Assumptions &amp; Inputs'!$G46</f>
        <v>0</v>
      </c>
      <c r="AR21" s="519">
        <f>AR$13*'Assumptions &amp; Inputs'!$G46</f>
        <v>0</v>
      </c>
      <c r="AS21" s="519">
        <f>AS$13*'Assumptions &amp; Inputs'!$G46</f>
        <v>0</v>
      </c>
      <c r="AT21" s="519">
        <f>AT$13*'Assumptions &amp; Inputs'!$G46</f>
        <v>0</v>
      </c>
      <c r="AU21" s="519">
        <f>AU$13*'Assumptions &amp; Inputs'!$G46</f>
        <v>0</v>
      </c>
      <c r="AV21" s="519">
        <f>AV$13*'Assumptions &amp; Inputs'!$G46</f>
        <v>0</v>
      </c>
      <c r="AW21" s="520">
        <f>AW$13*'Assumptions &amp; Inputs'!$G46</f>
        <v>0</v>
      </c>
    </row>
    <row r="22" spans="1:49" ht="13.5" customHeight="1">
      <c r="A22" s="1"/>
      <c r="B22" s="84"/>
      <c r="C22" s="94" t="s">
        <v>227</v>
      </c>
      <c r="D22" s="519">
        <f>D$13*'Assumptions &amp; Inputs'!$G47</f>
        <v>-2.0166666666666666</v>
      </c>
      <c r="E22" s="519">
        <f>E$13*'Assumptions &amp; Inputs'!$G47</f>
        <v>-2.1999999999999997</v>
      </c>
      <c r="F22" s="519">
        <f>F$13*'Assumptions &amp; Inputs'!$G47</f>
        <v>-2.1999999999999997</v>
      </c>
      <c r="G22" s="519">
        <f>G$13*'Assumptions &amp; Inputs'!$G47</f>
        <v>-0.18333333333333332</v>
      </c>
      <c r="H22" s="519">
        <f>H$13*'Assumptions &amp; Inputs'!$G47</f>
        <v>0</v>
      </c>
      <c r="I22" s="519">
        <f>I$13*'Assumptions &amp; Inputs'!$G47</f>
        <v>0</v>
      </c>
      <c r="J22" s="519">
        <f>J$13*'Assumptions &amp; Inputs'!$G47</f>
        <v>0</v>
      </c>
      <c r="K22" s="519">
        <f>K$13*'Assumptions &amp; Inputs'!$G47</f>
        <v>0</v>
      </c>
      <c r="L22" s="519">
        <f>L$13*'Assumptions &amp; Inputs'!$G47</f>
        <v>0</v>
      </c>
      <c r="M22" s="519">
        <f>M$13*'Assumptions &amp; Inputs'!$G47</f>
        <v>0</v>
      </c>
      <c r="N22" s="519">
        <f>N$13*'Assumptions &amp; Inputs'!$G47</f>
        <v>0</v>
      </c>
      <c r="O22" s="519">
        <f>O$13*'Assumptions &amp; Inputs'!$G47</f>
        <v>0</v>
      </c>
      <c r="P22" s="519">
        <f>P$13*'Assumptions &amp; Inputs'!$G47</f>
        <v>0</v>
      </c>
      <c r="Q22" s="519">
        <f>Q$13*'Assumptions &amp; Inputs'!$G47</f>
        <v>0</v>
      </c>
      <c r="R22" s="519">
        <f>R$13*'Assumptions &amp; Inputs'!$G47</f>
        <v>0</v>
      </c>
      <c r="S22" s="519">
        <f>S$13*'Assumptions &amp; Inputs'!$G47</f>
        <v>0</v>
      </c>
      <c r="T22" s="519">
        <f>T$13*'Assumptions &amp; Inputs'!$G47</f>
        <v>0</v>
      </c>
      <c r="U22" s="519">
        <f>U$13*'Assumptions &amp; Inputs'!$G47</f>
        <v>0</v>
      </c>
      <c r="V22" s="519">
        <f>V$13*'Assumptions &amp; Inputs'!$G47</f>
        <v>0</v>
      </c>
      <c r="W22" s="519">
        <f>W$13*'Assumptions &amp; Inputs'!$G47</f>
        <v>0</v>
      </c>
      <c r="X22" s="519">
        <f>X$13*'Assumptions &amp; Inputs'!$G47</f>
        <v>0</v>
      </c>
      <c r="Y22" s="519">
        <f>Y$13*'Assumptions &amp; Inputs'!$G47</f>
        <v>0</v>
      </c>
      <c r="Z22" s="519">
        <f>Z$13*'Assumptions &amp; Inputs'!$G47</f>
        <v>0</v>
      </c>
      <c r="AA22" s="519">
        <f>AA$13*'Assumptions &amp; Inputs'!$G47</f>
        <v>0</v>
      </c>
      <c r="AB22" s="519">
        <f>AB$13*'Assumptions &amp; Inputs'!$G47</f>
        <v>0</v>
      </c>
      <c r="AC22" s="519">
        <f>AC$13*'Assumptions &amp; Inputs'!$G47</f>
        <v>0</v>
      </c>
      <c r="AD22" s="519">
        <f>AD$13*'Assumptions &amp; Inputs'!$G47</f>
        <v>0</v>
      </c>
      <c r="AE22" s="519">
        <f>AE$13*'Assumptions &amp; Inputs'!$G47</f>
        <v>0</v>
      </c>
      <c r="AF22" s="519">
        <f>AF$13*'Assumptions &amp; Inputs'!$G47</f>
        <v>0</v>
      </c>
      <c r="AG22" s="519">
        <f>AG$13*'Assumptions &amp; Inputs'!$G47</f>
        <v>0</v>
      </c>
      <c r="AH22" s="519">
        <f>AH$13*'Assumptions &amp; Inputs'!$G47</f>
        <v>0</v>
      </c>
      <c r="AI22" s="519">
        <f>AI$13*'Assumptions &amp; Inputs'!$G47</f>
        <v>0</v>
      </c>
      <c r="AJ22" s="519">
        <f>AJ$13*'Assumptions &amp; Inputs'!$G47</f>
        <v>0</v>
      </c>
      <c r="AK22" s="519">
        <f>AK$13*'Assumptions &amp; Inputs'!$G47</f>
        <v>0</v>
      </c>
      <c r="AL22" s="519">
        <f>AL$13*'Assumptions &amp; Inputs'!$G47</f>
        <v>0</v>
      </c>
      <c r="AM22" s="519">
        <f>AM$13*'Assumptions &amp; Inputs'!$G47</f>
        <v>0</v>
      </c>
      <c r="AN22" s="519">
        <f>AN$13*'Assumptions &amp; Inputs'!$G47</f>
        <v>0</v>
      </c>
      <c r="AO22" s="519">
        <f>AO$13*'Assumptions &amp; Inputs'!$G47</f>
        <v>0</v>
      </c>
      <c r="AP22" s="519">
        <f>AP$13*'Assumptions &amp; Inputs'!$G47</f>
        <v>0</v>
      </c>
      <c r="AQ22" s="519">
        <f>AQ$13*'Assumptions &amp; Inputs'!$G47</f>
        <v>0</v>
      </c>
      <c r="AR22" s="519">
        <f>AR$13*'Assumptions &amp; Inputs'!$G47</f>
        <v>0</v>
      </c>
      <c r="AS22" s="519">
        <f>AS$13*'Assumptions &amp; Inputs'!$G47</f>
        <v>0</v>
      </c>
      <c r="AT22" s="519">
        <f>AT$13*'Assumptions &amp; Inputs'!$G47</f>
        <v>0</v>
      </c>
      <c r="AU22" s="519">
        <f>AU$13*'Assumptions &amp; Inputs'!$G47</f>
        <v>0</v>
      </c>
      <c r="AV22" s="519">
        <f>AV$13*'Assumptions &amp; Inputs'!$G47</f>
        <v>0</v>
      </c>
      <c r="AW22" s="520">
        <f>AW$13*'Assumptions &amp; Inputs'!$G47</f>
        <v>0</v>
      </c>
    </row>
    <row r="23" spans="1:49" ht="13.5" customHeight="1">
      <c r="A23" s="1"/>
      <c r="B23" s="84"/>
      <c r="C23" s="96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98"/>
    </row>
    <row r="24" spans="1:49" ht="14.25" customHeight="1">
      <c r="A24" s="1"/>
      <c r="B24" s="84"/>
      <c r="C24" s="150" t="s">
        <v>359</v>
      </c>
      <c r="D24" s="517">
        <f t="shared" ref="D24:X24" si="14">D13</f>
        <v>-33.611111111111114</v>
      </c>
      <c r="E24" s="517">
        <f t="shared" si="14"/>
        <v>-36.666666666666664</v>
      </c>
      <c r="F24" s="517">
        <f t="shared" si="14"/>
        <v>-36.666666666666664</v>
      </c>
      <c r="G24" s="517">
        <f t="shared" si="14"/>
        <v>-3.0555555555555554</v>
      </c>
      <c r="H24" s="517">
        <f t="shared" si="14"/>
        <v>0</v>
      </c>
      <c r="I24" s="517">
        <f t="shared" si="14"/>
        <v>0</v>
      </c>
      <c r="J24" s="517">
        <f t="shared" si="14"/>
        <v>0</v>
      </c>
      <c r="K24" s="517">
        <f t="shared" si="14"/>
        <v>0</v>
      </c>
      <c r="L24" s="517">
        <f t="shared" si="14"/>
        <v>0</v>
      </c>
      <c r="M24" s="517">
        <f t="shared" si="14"/>
        <v>0</v>
      </c>
      <c r="N24" s="517">
        <f t="shared" si="14"/>
        <v>0</v>
      </c>
      <c r="O24" s="517">
        <f t="shared" si="14"/>
        <v>0</v>
      </c>
      <c r="P24" s="517">
        <f t="shared" si="14"/>
        <v>0</v>
      </c>
      <c r="Q24" s="517">
        <f t="shared" si="14"/>
        <v>0</v>
      </c>
      <c r="R24" s="517">
        <f t="shared" si="14"/>
        <v>0</v>
      </c>
      <c r="S24" s="517">
        <f t="shared" si="14"/>
        <v>0</v>
      </c>
      <c r="T24" s="517">
        <f t="shared" si="14"/>
        <v>0</v>
      </c>
      <c r="U24" s="517">
        <f t="shared" si="14"/>
        <v>0</v>
      </c>
      <c r="V24" s="517">
        <f t="shared" si="14"/>
        <v>0</v>
      </c>
      <c r="W24" s="517">
        <f t="shared" si="14"/>
        <v>0</v>
      </c>
      <c r="X24" s="517">
        <f t="shared" si="14"/>
        <v>0</v>
      </c>
      <c r="Y24" s="517">
        <f t="shared" ref="Y24:AU24" si="15">Y13</f>
        <v>0</v>
      </c>
      <c r="Z24" s="517">
        <f t="shared" si="15"/>
        <v>0</v>
      </c>
      <c r="AA24" s="517">
        <f t="shared" si="15"/>
        <v>0</v>
      </c>
      <c r="AB24" s="517">
        <f t="shared" si="15"/>
        <v>0</v>
      </c>
      <c r="AC24" s="517">
        <f t="shared" si="15"/>
        <v>0</v>
      </c>
      <c r="AD24" s="517">
        <f t="shared" si="15"/>
        <v>0</v>
      </c>
      <c r="AE24" s="517">
        <f t="shared" si="15"/>
        <v>0</v>
      </c>
      <c r="AF24" s="517">
        <f t="shared" si="15"/>
        <v>0</v>
      </c>
      <c r="AG24" s="517">
        <f t="shared" si="15"/>
        <v>0</v>
      </c>
      <c r="AH24" s="517">
        <f t="shared" si="15"/>
        <v>0</v>
      </c>
      <c r="AI24" s="517">
        <f t="shared" si="15"/>
        <v>0</v>
      </c>
      <c r="AJ24" s="517">
        <f t="shared" si="15"/>
        <v>0</v>
      </c>
      <c r="AK24" s="517">
        <f t="shared" si="15"/>
        <v>0</v>
      </c>
      <c r="AL24" s="517">
        <f t="shared" si="15"/>
        <v>0</v>
      </c>
      <c r="AM24" s="517">
        <f t="shared" si="15"/>
        <v>0</v>
      </c>
      <c r="AN24" s="517">
        <f t="shared" si="15"/>
        <v>0</v>
      </c>
      <c r="AO24" s="517">
        <f t="shared" si="15"/>
        <v>0</v>
      </c>
      <c r="AP24" s="517">
        <f t="shared" si="15"/>
        <v>0</v>
      </c>
      <c r="AQ24" s="517">
        <f t="shared" si="15"/>
        <v>0</v>
      </c>
      <c r="AR24" s="517">
        <f t="shared" si="15"/>
        <v>0</v>
      </c>
      <c r="AS24" s="517">
        <f t="shared" si="15"/>
        <v>0</v>
      </c>
      <c r="AT24" s="517">
        <f t="shared" si="15"/>
        <v>0</v>
      </c>
      <c r="AU24" s="517">
        <f t="shared" si="15"/>
        <v>0</v>
      </c>
      <c r="AV24" s="517">
        <f t="shared" ref="AV24:AW24" si="16">AV13</f>
        <v>0</v>
      </c>
      <c r="AW24" s="521">
        <f t="shared" si="16"/>
        <v>0</v>
      </c>
    </row>
    <row r="25" spans="1:49" ht="14.25" customHeight="1" thickBot="1">
      <c r="A25" s="1"/>
      <c r="B25" s="84"/>
      <c r="C25" s="151" t="s">
        <v>360</v>
      </c>
      <c r="D25" s="176">
        <f>SUM(D24:BA24)</f>
        <v>-109.99999999999999</v>
      </c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9"/>
    </row>
    <row r="26" spans="1:49" ht="14.25" customHeight="1">
      <c r="A26" s="1"/>
      <c r="B26" s="1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</row>
    <row r="27" spans="1:49" ht="14.25" customHeight="1">
      <c r="A27" s="1"/>
      <c r="B27" s="1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</row>
    <row r="28" spans="1:49" ht="14.25" customHeight="1" thickBot="1">
      <c r="A28" s="1" t="s">
        <v>351</v>
      </c>
      <c r="B28" s="1"/>
      <c r="C28" s="9" t="s">
        <v>402</v>
      </c>
      <c r="D28" s="9"/>
      <c r="E28" s="10"/>
      <c r="F28" s="10"/>
      <c r="G28" s="10"/>
      <c r="H28" s="10"/>
      <c r="I28" s="10"/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ht="14.25" customHeight="1">
      <c r="A29" s="1"/>
      <c r="B29" s="1"/>
      <c r="C29" s="12" t="s">
        <v>353</v>
      </c>
      <c r="D29" s="1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4.25" customHeight="1">
      <c r="A30" s="1"/>
      <c r="B30" s="1"/>
      <c r="C30" s="1"/>
      <c r="D30" s="119">
        <v>0</v>
      </c>
      <c r="E30" s="119">
        <f t="shared" ref="E30:X30" si="17">D30+1</f>
        <v>1</v>
      </c>
      <c r="F30" s="119">
        <f t="shared" si="17"/>
        <v>2</v>
      </c>
      <c r="G30" s="119">
        <f t="shared" si="17"/>
        <v>3</v>
      </c>
      <c r="H30" s="119">
        <f t="shared" si="17"/>
        <v>4</v>
      </c>
      <c r="I30" s="119">
        <f t="shared" si="17"/>
        <v>5</v>
      </c>
      <c r="J30" s="119">
        <f t="shared" si="17"/>
        <v>6</v>
      </c>
      <c r="K30" s="119">
        <f t="shared" si="17"/>
        <v>7</v>
      </c>
      <c r="L30" s="119">
        <f t="shared" si="17"/>
        <v>8</v>
      </c>
      <c r="M30" s="119">
        <f t="shared" si="17"/>
        <v>9</v>
      </c>
      <c r="N30" s="119">
        <f t="shared" si="17"/>
        <v>10</v>
      </c>
      <c r="O30" s="119">
        <f t="shared" si="17"/>
        <v>11</v>
      </c>
      <c r="P30" s="119">
        <f t="shared" si="17"/>
        <v>12</v>
      </c>
      <c r="Q30" s="119">
        <f t="shared" si="17"/>
        <v>13</v>
      </c>
      <c r="R30" s="119">
        <f t="shared" si="17"/>
        <v>14</v>
      </c>
      <c r="S30" s="119">
        <f t="shared" si="17"/>
        <v>15</v>
      </c>
      <c r="T30" s="119">
        <f t="shared" si="17"/>
        <v>16</v>
      </c>
      <c r="U30" s="119">
        <f t="shared" si="17"/>
        <v>17</v>
      </c>
      <c r="V30" s="119">
        <f t="shared" si="17"/>
        <v>18</v>
      </c>
      <c r="W30" s="119">
        <f t="shared" si="17"/>
        <v>19</v>
      </c>
      <c r="X30" s="119">
        <f t="shared" si="17"/>
        <v>20</v>
      </c>
      <c r="Y30" s="119">
        <f t="shared" ref="Y30:AU30" si="18">X30+1</f>
        <v>21</v>
      </c>
      <c r="Z30" s="119">
        <f t="shared" si="18"/>
        <v>22</v>
      </c>
      <c r="AA30" s="119">
        <f t="shared" si="18"/>
        <v>23</v>
      </c>
      <c r="AB30" s="119">
        <f t="shared" si="18"/>
        <v>24</v>
      </c>
      <c r="AC30" s="119">
        <f t="shared" si="18"/>
        <v>25</v>
      </c>
      <c r="AD30" s="119">
        <f t="shared" si="18"/>
        <v>26</v>
      </c>
      <c r="AE30" s="119">
        <f t="shared" si="18"/>
        <v>27</v>
      </c>
      <c r="AF30" s="119">
        <f t="shared" si="18"/>
        <v>28</v>
      </c>
      <c r="AG30" s="119">
        <f t="shared" si="18"/>
        <v>29</v>
      </c>
      <c r="AH30" s="119">
        <f t="shared" si="18"/>
        <v>30</v>
      </c>
      <c r="AI30" s="119">
        <f t="shared" si="18"/>
        <v>31</v>
      </c>
      <c r="AJ30" s="119">
        <f t="shared" si="18"/>
        <v>32</v>
      </c>
      <c r="AK30" s="119">
        <f t="shared" si="18"/>
        <v>33</v>
      </c>
      <c r="AL30" s="119">
        <f t="shared" si="18"/>
        <v>34</v>
      </c>
      <c r="AM30" s="119">
        <f t="shared" si="18"/>
        <v>35</v>
      </c>
      <c r="AN30" s="119">
        <f t="shared" si="18"/>
        <v>36</v>
      </c>
      <c r="AO30" s="119">
        <f t="shared" si="18"/>
        <v>37</v>
      </c>
      <c r="AP30" s="119">
        <f t="shared" si="18"/>
        <v>38</v>
      </c>
      <c r="AQ30" s="119">
        <f t="shared" si="18"/>
        <v>39</v>
      </c>
      <c r="AR30" s="119">
        <f t="shared" si="18"/>
        <v>40</v>
      </c>
      <c r="AS30" s="119">
        <f t="shared" si="18"/>
        <v>41</v>
      </c>
      <c r="AT30" s="119">
        <f t="shared" si="18"/>
        <v>42</v>
      </c>
      <c r="AU30" s="119">
        <f t="shared" si="18"/>
        <v>43</v>
      </c>
      <c r="AV30" s="119">
        <f t="shared" ref="AV30:AW30" si="19">AU30+1</f>
        <v>44</v>
      </c>
      <c r="AW30" s="119">
        <f t="shared" si="19"/>
        <v>45</v>
      </c>
    </row>
    <row r="31" spans="1:49" ht="14.25" customHeight="1">
      <c r="A31" s="2"/>
      <c r="B31" s="2"/>
      <c r="C31" s="2"/>
      <c r="D31" s="2"/>
      <c r="E31" s="807" t="s">
        <v>354</v>
      </c>
      <c r="F31" s="820"/>
      <c r="G31" s="820"/>
      <c r="H31" s="820"/>
      <c r="I31" s="820"/>
      <c r="J31" s="820"/>
      <c r="K31" s="820"/>
      <c r="L31" s="820"/>
      <c r="M31" s="820"/>
      <c r="N31" s="820"/>
      <c r="O31" s="820"/>
      <c r="P31" s="8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</row>
    <row r="32" spans="1:49" ht="14.25" customHeight="1">
      <c r="A32" s="2"/>
      <c r="B32" s="2"/>
      <c r="C32" s="2"/>
      <c r="D32" s="3">
        <f>D9</f>
        <v>2026</v>
      </c>
      <c r="E32" s="120">
        <f t="shared" ref="E32:X32" si="20">D32+1</f>
        <v>2027</v>
      </c>
      <c r="F32" s="120">
        <f t="shared" si="20"/>
        <v>2028</v>
      </c>
      <c r="G32" s="120">
        <f t="shared" si="20"/>
        <v>2029</v>
      </c>
      <c r="H32" s="120">
        <f t="shared" si="20"/>
        <v>2030</v>
      </c>
      <c r="I32" s="120">
        <f t="shared" si="20"/>
        <v>2031</v>
      </c>
      <c r="J32" s="120">
        <f t="shared" si="20"/>
        <v>2032</v>
      </c>
      <c r="K32" s="120">
        <f t="shared" si="20"/>
        <v>2033</v>
      </c>
      <c r="L32" s="120">
        <f t="shared" si="20"/>
        <v>2034</v>
      </c>
      <c r="M32" s="120">
        <f t="shared" si="20"/>
        <v>2035</v>
      </c>
      <c r="N32" s="120">
        <f t="shared" si="20"/>
        <v>2036</v>
      </c>
      <c r="O32" s="120">
        <f t="shared" si="20"/>
        <v>2037</v>
      </c>
      <c r="P32" s="120">
        <f t="shared" si="20"/>
        <v>2038</v>
      </c>
      <c r="Q32" s="120">
        <f t="shared" si="20"/>
        <v>2039</v>
      </c>
      <c r="R32" s="120">
        <f t="shared" si="20"/>
        <v>2040</v>
      </c>
      <c r="S32" s="120">
        <f t="shared" si="20"/>
        <v>2041</v>
      </c>
      <c r="T32" s="120">
        <f t="shared" si="20"/>
        <v>2042</v>
      </c>
      <c r="U32" s="120">
        <f t="shared" si="20"/>
        <v>2043</v>
      </c>
      <c r="V32" s="120">
        <f t="shared" si="20"/>
        <v>2044</v>
      </c>
      <c r="W32" s="120">
        <f t="shared" si="20"/>
        <v>2045</v>
      </c>
      <c r="X32" s="120">
        <f t="shared" si="20"/>
        <v>2046</v>
      </c>
      <c r="Y32" s="120">
        <f t="shared" ref="Y32:AU32" si="21">X32+1</f>
        <v>2047</v>
      </c>
      <c r="Z32" s="120">
        <f t="shared" si="21"/>
        <v>2048</v>
      </c>
      <c r="AA32" s="120">
        <f t="shared" si="21"/>
        <v>2049</v>
      </c>
      <c r="AB32" s="120">
        <f t="shared" si="21"/>
        <v>2050</v>
      </c>
      <c r="AC32" s="120">
        <f t="shared" si="21"/>
        <v>2051</v>
      </c>
      <c r="AD32" s="120">
        <f t="shared" si="21"/>
        <v>2052</v>
      </c>
      <c r="AE32" s="120">
        <f t="shared" si="21"/>
        <v>2053</v>
      </c>
      <c r="AF32" s="120">
        <f t="shared" si="21"/>
        <v>2054</v>
      </c>
      <c r="AG32" s="120">
        <f t="shared" si="21"/>
        <v>2055</v>
      </c>
      <c r="AH32" s="120">
        <f t="shared" si="21"/>
        <v>2056</v>
      </c>
      <c r="AI32" s="120">
        <f t="shared" si="21"/>
        <v>2057</v>
      </c>
      <c r="AJ32" s="120">
        <f t="shared" si="21"/>
        <v>2058</v>
      </c>
      <c r="AK32" s="120">
        <f t="shared" si="21"/>
        <v>2059</v>
      </c>
      <c r="AL32" s="120">
        <f t="shared" si="21"/>
        <v>2060</v>
      </c>
      <c r="AM32" s="120">
        <f t="shared" si="21"/>
        <v>2061</v>
      </c>
      <c r="AN32" s="120">
        <f t="shared" si="21"/>
        <v>2062</v>
      </c>
      <c r="AO32" s="120">
        <f t="shared" si="21"/>
        <v>2063</v>
      </c>
      <c r="AP32" s="120">
        <f t="shared" si="21"/>
        <v>2064</v>
      </c>
      <c r="AQ32" s="120">
        <f t="shared" si="21"/>
        <v>2065</v>
      </c>
      <c r="AR32" s="120">
        <f t="shared" si="21"/>
        <v>2066</v>
      </c>
      <c r="AS32" s="120">
        <f t="shared" si="21"/>
        <v>2067</v>
      </c>
      <c r="AT32" s="120">
        <f t="shared" si="21"/>
        <v>2068</v>
      </c>
      <c r="AU32" s="120">
        <f t="shared" si="21"/>
        <v>2069</v>
      </c>
      <c r="AV32" s="120">
        <f t="shared" ref="AV32:AW32" si="22">AU32+1</f>
        <v>2070</v>
      </c>
      <c r="AW32" s="120">
        <f t="shared" si="22"/>
        <v>2071</v>
      </c>
    </row>
    <row r="33" spans="1:49" ht="14.25" customHeight="1">
      <c r="A33" s="200"/>
      <c r="B33" s="200"/>
      <c r="C33" s="121"/>
      <c r="D33" s="122">
        <f>D10</f>
        <v>46023</v>
      </c>
      <c r="E33" s="122">
        <f t="shared" ref="E33:AW33" si="23">E10</f>
        <v>46752</v>
      </c>
      <c r="F33" s="122">
        <f t="shared" si="23"/>
        <v>47118</v>
      </c>
      <c r="G33" s="122">
        <f t="shared" si="23"/>
        <v>47483</v>
      </c>
      <c r="H33" s="122">
        <f t="shared" si="23"/>
        <v>47848</v>
      </c>
      <c r="I33" s="122">
        <f t="shared" si="23"/>
        <v>48213</v>
      </c>
      <c r="J33" s="122">
        <f t="shared" si="23"/>
        <v>48579</v>
      </c>
      <c r="K33" s="122">
        <f t="shared" si="23"/>
        <v>48944</v>
      </c>
      <c r="L33" s="122">
        <f t="shared" si="23"/>
        <v>49309</v>
      </c>
      <c r="M33" s="122">
        <f t="shared" si="23"/>
        <v>49674</v>
      </c>
      <c r="N33" s="122">
        <f t="shared" si="23"/>
        <v>50040</v>
      </c>
      <c r="O33" s="122">
        <f t="shared" si="23"/>
        <v>50405</v>
      </c>
      <c r="P33" s="122">
        <f t="shared" si="23"/>
        <v>50770</v>
      </c>
      <c r="Q33" s="122">
        <f t="shared" si="23"/>
        <v>51135</v>
      </c>
      <c r="R33" s="122">
        <f t="shared" si="23"/>
        <v>51501</v>
      </c>
      <c r="S33" s="122">
        <f t="shared" si="23"/>
        <v>51866</v>
      </c>
      <c r="T33" s="122">
        <f t="shared" si="23"/>
        <v>52231</v>
      </c>
      <c r="U33" s="122">
        <f t="shared" si="23"/>
        <v>52596</v>
      </c>
      <c r="V33" s="122">
        <f t="shared" si="23"/>
        <v>52962</v>
      </c>
      <c r="W33" s="122">
        <f t="shared" si="23"/>
        <v>53327</v>
      </c>
      <c r="X33" s="122">
        <f t="shared" si="23"/>
        <v>53692</v>
      </c>
      <c r="Y33" s="122">
        <f t="shared" si="23"/>
        <v>54057</v>
      </c>
      <c r="Z33" s="122">
        <f t="shared" si="23"/>
        <v>54423</v>
      </c>
      <c r="AA33" s="122">
        <f t="shared" si="23"/>
        <v>54788</v>
      </c>
      <c r="AB33" s="122">
        <f t="shared" si="23"/>
        <v>55153</v>
      </c>
      <c r="AC33" s="122">
        <f t="shared" si="23"/>
        <v>55518</v>
      </c>
      <c r="AD33" s="122">
        <f t="shared" si="23"/>
        <v>55884</v>
      </c>
      <c r="AE33" s="122">
        <f t="shared" si="23"/>
        <v>56249</v>
      </c>
      <c r="AF33" s="122">
        <f t="shared" si="23"/>
        <v>56614</v>
      </c>
      <c r="AG33" s="122">
        <f t="shared" si="23"/>
        <v>56979</v>
      </c>
      <c r="AH33" s="122">
        <f t="shared" si="23"/>
        <v>57345</v>
      </c>
      <c r="AI33" s="122">
        <f t="shared" si="23"/>
        <v>57710</v>
      </c>
      <c r="AJ33" s="122">
        <f t="shared" si="23"/>
        <v>58075</v>
      </c>
      <c r="AK33" s="122">
        <f t="shared" si="23"/>
        <v>58440</v>
      </c>
      <c r="AL33" s="122">
        <f t="shared" si="23"/>
        <v>58806</v>
      </c>
      <c r="AM33" s="122">
        <f t="shared" si="23"/>
        <v>59171</v>
      </c>
      <c r="AN33" s="122">
        <f t="shared" si="23"/>
        <v>59536</v>
      </c>
      <c r="AO33" s="122">
        <f t="shared" si="23"/>
        <v>59901</v>
      </c>
      <c r="AP33" s="122">
        <f t="shared" si="23"/>
        <v>60267</v>
      </c>
      <c r="AQ33" s="122">
        <f t="shared" si="23"/>
        <v>60632</v>
      </c>
      <c r="AR33" s="122">
        <f t="shared" si="23"/>
        <v>60997</v>
      </c>
      <c r="AS33" s="122">
        <f t="shared" si="23"/>
        <v>61362</v>
      </c>
      <c r="AT33" s="122">
        <f t="shared" si="23"/>
        <v>61728</v>
      </c>
      <c r="AU33" s="122">
        <f t="shared" si="23"/>
        <v>62093</v>
      </c>
      <c r="AV33" s="122">
        <f t="shared" si="23"/>
        <v>62458</v>
      </c>
      <c r="AW33" s="122">
        <f t="shared" si="23"/>
        <v>62823</v>
      </c>
    </row>
    <row r="34" spans="1:49" ht="14.25" customHeight="1">
      <c r="A34" s="1"/>
      <c r="B34" s="1"/>
      <c r="C34" s="1" t="s">
        <v>403</v>
      </c>
      <c r="D34" s="15">
        <f t="shared" ref="D34:X34" si="24">D126</f>
        <v>0</v>
      </c>
      <c r="E34" s="15">
        <f t="shared" si="24"/>
        <v>0</v>
      </c>
      <c r="F34" s="15">
        <f t="shared" si="24"/>
        <v>0</v>
      </c>
      <c r="G34" s="15">
        <f t="shared" si="24"/>
        <v>16.851286556927995</v>
      </c>
      <c r="H34" s="15">
        <f t="shared" si="24"/>
        <v>26.175010380099842</v>
      </c>
      <c r="I34" s="15">
        <f t="shared" si="24"/>
        <v>27.018288907487598</v>
      </c>
      <c r="J34" s="15">
        <f t="shared" si="24"/>
        <v>27.874599518867306</v>
      </c>
      <c r="K34" s="15">
        <f t="shared" si="24"/>
        <v>28.744152327475788</v>
      </c>
      <c r="L34" s="15">
        <f t="shared" si="24"/>
        <v>29.627160511134132</v>
      </c>
      <c r="M34" s="15">
        <f t="shared" si="24"/>
        <v>30.5238403478753</v>
      </c>
      <c r="N34" s="15">
        <f t="shared" si="24"/>
        <v>31.434411251657647</v>
      </c>
      <c r="O34" s="15">
        <f t="shared" si="24"/>
        <v>32.359095808149434</v>
      </c>
      <c r="P34" s="15">
        <f t="shared" si="24"/>
        <v>33.298119810569276</v>
      </c>
      <c r="Q34" s="15">
        <f t="shared" si="24"/>
        <v>34.251712295566065</v>
      </c>
      <c r="R34" s="15">
        <f t="shared" si="24"/>
        <v>35.22010557912202</v>
      </c>
      <c r="S34" s="15">
        <f t="shared" si="24"/>
        <v>36.203535292460693</v>
      </c>
      <c r="T34" s="15">
        <f t="shared" si="24"/>
        <v>37.202240417941731</v>
      </c>
      <c r="U34" s="15">
        <f t="shared" si="24"/>
        <v>38.216463324922522</v>
      </c>
      <c r="V34" s="15">
        <f t="shared" si="24"/>
        <v>39.246449805566982</v>
      </c>
      <c r="W34" s="15">
        <f t="shared" si="24"/>
        <v>40.29244911057971</v>
      </c>
      <c r="X34" s="15">
        <f t="shared" si="24"/>
        <v>41.354713984843315</v>
      </c>
      <c r="Y34" s="15">
        <f t="shared" ref="Y34:AU34" si="25">Y126</f>
        <v>42.433500702935817</v>
      </c>
      <c r="Z34" s="15">
        <f t="shared" si="25"/>
        <v>43.529069104503606</v>
      </c>
      <c r="AA34" s="15">
        <f t="shared" si="25"/>
        <v>44.641682629464441</v>
      </c>
      <c r="AB34" s="15">
        <f t="shared" si="25"/>
        <v>45.771608353014258</v>
      </c>
      <c r="AC34" s="15">
        <f t="shared" si="25"/>
        <v>46.91911702040953</v>
      </c>
      <c r="AD34" s="15">
        <f t="shared" si="25"/>
        <v>48.084483081496572</v>
      </c>
      <c r="AE34" s="15">
        <f t="shared" si="25"/>
        <v>49.267984724957742</v>
      </c>
      <c r="AF34" s="15">
        <f t="shared" si="25"/>
        <v>50.469903912242401</v>
      </c>
      <c r="AG34" s="15">
        <f t="shared" si="25"/>
        <v>0</v>
      </c>
      <c r="AH34" s="15">
        <f t="shared" si="25"/>
        <v>0</v>
      </c>
      <c r="AI34" s="15">
        <f t="shared" si="25"/>
        <v>0</v>
      </c>
      <c r="AJ34" s="15">
        <f t="shared" si="25"/>
        <v>0</v>
      </c>
      <c r="AK34" s="15">
        <f t="shared" si="25"/>
        <v>0</v>
      </c>
      <c r="AL34" s="15">
        <f t="shared" si="25"/>
        <v>0</v>
      </c>
      <c r="AM34" s="15">
        <f t="shared" si="25"/>
        <v>0</v>
      </c>
      <c r="AN34" s="15">
        <f t="shared" si="25"/>
        <v>0</v>
      </c>
      <c r="AO34" s="15">
        <f t="shared" si="25"/>
        <v>0</v>
      </c>
      <c r="AP34" s="15">
        <f t="shared" si="25"/>
        <v>0</v>
      </c>
      <c r="AQ34" s="15">
        <f t="shared" si="25"/>
        <v>0</v>
      </c>
      <c r="AR34" s="15">
        <f t="shared" si="25"/>
        <v>0</v>
      </c>
      <c r="AS34" s="15">
        <f t="shared" si="25"/>
        <v>0</v>
      </c>
      <c r="AT34" s="15">
        <f t="shared" si="25"/>
        <v>0</v>
      </c>
      <c r="AU34" s="15">
        <f t="shared" si="25"/>
        <v>0</v>
      </c>
      <c r="AV34" s="15">
        <f t="shared" ref="AV34:AW34" si="26">AV126</f>
        <v>0</v>
      </c>
      <c r="AW34" s="15">
        <f t="shared" si="26"/>
        <v>0</v>
      </c>
    </row>
    <row r="35" spans="1:49" ht="14.25" customHeight="1">
      <c r="A35" s="1"/>
      <c r="B35" s="1"/>
      <c r="C35" s="4" t="str">
        <f>"   Less: Taxes @ "&amp;TEXT('Assumptions &amp; Inputs'!G12,"0.0%")</f>
        <v xml:space="preserve">   Less: Taxes @ 26.0%</v>
      </c>
      <c r="D35" s="16">
        <f t="shared" ref="D35:X35" si="27">D135</f>
        <v>0</v>
      </c>
      <c r="E35" s="16">
        <f t="shared" si="27"/>
        <v>0</v>
      </c>
      <c r="F35" s="16">
        <f t="shared" si="27"/>
        <v>0</v>
      </c>
      <c r="G35" s="16">
        <f t="shared" si="27"/>
        <v>-4.3813345048012788</v>
      </c>
      <c r="H35" s="16">
        <f t="shared" si="27"/>
        <v>-6.8055026988259595</v>
      </c>
      <c r="I35" s="16">
        <f t="shared" si="27"/>
        <v>-7.0247551159467756</v>
      </c>
      <c r="J35" s="16">
        <f t="shared" si="27"/>
        <v>-7.2473958749055001</v>
      </c>
      <c r="K35" s="16">
        <f t="shared" si="27"/>
        <v>-7.4734796051437051</v>
      </c>
      <c r="L35" s="16">
        <f t="shared" si="27"/>
        <v>-7.7030617328948745</v>
      </c>
      <c r="M35" s="16">
        <f t="shared" si="27"/>
        <v>-7.9361984904475786</v>
      </c>
      <c r="N35" s="16">
        <f t="shared" si="27"/>
        <v>-8.1729469254309883</v>
      </c>
      <c r="O35" s="16">
        <f t="shared" si="27"/>
        <v>-8.4133649101188528</v>
      </c>
      <c r="P35" s="16">
        <f t="shared" si="27"/>
        <v>-8.6575111507480127</v>
      </c>
      <c r="Q35" s="16">
        <f t="shared" si="27"/>
        <v>-8.9054451968471771</v>
      </c>
      <c r="R35" s="16">
        <f t="shared" si="27"/>
        <v>-9.1572274505717246</v>
      </c>
      <c r="S35" s="16">
        <f t="shared" si="27"/>
        <v>-9.4129191760397806</v>
      </c>
      <c r="T35" s="16">
        <f t="shared" si="27"/>
        <v>-9.6725825086648509</v>
      </c>
      <c r="U35" s="16">
        <f t="shared" si="27"/>
        <v>-9.9362804644798555</v>
      </c>
      <c r="V35" s="16">
        <f t="shared" si="27"/>
        <v>-10.204076949447416</v>
      </c>
      <c r="W35" s="16">
        <f t="shared" si="27"/>
        <v>-10.476036768750726</v>
      </c>
      <c r="X35" s="16">
        <f t="shared" si="27"/>
        <v>-10.752225636059261</v>
      </c>
      <c r="Y35" s="16">
        <f t="shared" ref="Y35:AU35" si="28">Y135</f>
        <v>-11.032710182763312</v>
      </c>
      <c r="Z35" s="16">
        <f t="shared" si="28"/>
        <v>-11.317557967170938</v>
      </c>
      <c r="AA35" s="16">
        <f t="shared" si="28"/>
        <v>-11.606837483660755</v>
      </c>
      <c r="AB35" s="16">
        <f t="shared" si="28"/>
        <v>-11.900618171783707</v>
      </c>
      <c r="AC35" s="16">
        <f t="shared" si="28"/>
        <v>-12.198970425306479</v>
      </c>
      <c r="AD35" s="16">
        <f t="shared" si="28"/>
        <v>-12.501965601189109</v>
      </c>
      <c r="AE35" s="16">
        <f t="shared" si="28"/>
        <v>-12.809676028489013</v>
      </c>
      <c r="AF35" s="16">
        <f t="shared" si="28"/>
        <v>-13.122175017183025</v>
      </c>
      <c r="AG35" s="16">
        <f t="shared" si="28"/>
        <v>0</v>
      </c>
      <c r="AH35" s="16">
        <f t="shared" si="28"/>
        <v>0</v>
      </c>
      <c r="AI35" s="16">
        <f t="shared" si="28"/>
        <v>0</v>
      </c>
      <c r="AJ35" s="16">
        <f t="shared" si="28"/>
        <v>0</v>
      </c>
      <c r="AK35" s="16">
        <f t="shared" si="28"/>
        <v>0</v>
      </c>
      <c r="AL35" s="16">
        <f t="shared" si="28"/>
        <v>0</v>
      </c>
      <c r="AM35" s="16">
        <f t="shared" si="28"/>
        <v>0</v>
      </c>
      <c r="AN35" s="16">
        <f t="shared" si="28"/>
        <v>0</v>
      </c>
      <c r="AO35" s="16">
        <f t="shared" si="28"/>
        <v>0</v>
      </c>
      <c r="AP35" s="16">
        <f t="shared" si="28"/>
        <v>0</v>
      </c>
      <c r="AQ35" s="16">
        <f t="shared" si="28"/>
        <v>0</v>
      </c>
      <c r="AR35" s="16">
        <f t="shared" si="28"/>
        <v>0</v>
      </c>
      <c r="AS35" s="16">
        <f t="shared" si="28"/>
        <v>0</v>
      </c>
      <c r="AT35" s="16">
        <f t="shared" si="28"/>
        <v>0</v>
      </c>
      <c r="AU35" s="16">
        <f t="shared" si="28"/>
        <v>0</v>
      </c>
      <c r="AV35" s="16">
        <f t="shared" ref="AV35:AW35" si="29">AV135</f>
        <v>0</v>
      </c>
      <c r="AW35" s="16">
        <f t="shared" si="29"/>
        <v>0</v>
      </c>
    </row>
    <row r="36" spans="1:49" ht="14.25" customHeight="1">
      <c r="A36" s="1"/>
      <c r="B36" s="1"/>
      <c r="C36" s="1" t="s">
        <v>404</v>
      </c>
      <c r="D36" s="8">
        <f t="shared" ref="D36:X36" si="30">SUM(D34:D35)</f>
        <v>0</v>
      </c>
      <c r="E36" s="8">
        <f t="shared" si="30"/>
        <v>0</v>
      </c>
      <c r="F36" s="8">
        <f t="shared" si="30"/>
        <v>0</v>
      </c>
      <c r="G36" s="8">
        <f t="shared" si="30"/>
        <v>12.469952052126716</v>
      </c>
      <c r="H36" s="8">
        <f t="shared" si="30"/>
        <v>19.36950768127388</v>
      </c>
      <c r="I36" s="8">
        <f t="shared" si="30"/>
        <v>19.993533791540823</v>
      </c>
      <c r="J36" s="8">
        <f t="shared" si="30"/>
        <v>20.627203643961806</v>
      </c>
      <c r="K36" s="8">
        <f t="shared" si="30"/>
        <v>21.270672722332083</v>
      </c>
      <c r="L36" s="8">
        <f t="shared" si="30"/>
        <v>21.924098778239259</v>
      </c>
      <c r="M36" s="8">
        <f t="shared" si="30"/>
        <v>22.58764185742772</v>
      </c>
      <c r="N36" s="8">
        <f t="shared" si="30"/>
        <v>23.261464326226658</v>
      </c>
      <c r="O36" s="8">
        <f t="shared" si="30"/>
        <v>23.945730898030583</v>
      </c>
      <c r="P36" s="8">
        <f t="shared" si="30"/>
        <v>24.640608659821261</v>
      </c>
      <c r="Q36" s="8">
        <f t="shared" si="30"/>
        <v>25.34626709871889</v>
      </c>
      <c r="R36" s="8">
        <f t="shared" si="30"/>
        <v>26.062878128550295</v>
      </c>
      <c r="S36" s="8">
        <f t="shared" si="30"/>
        <v>26.790616116420914</v>
      </c>
      <c r="T36" s="8">
        <f t="shared" si="30"/>
        <v>27.529657909276878</v>
      </c>
      <c r="U36" s="8">
        <f t="shared" si="30"/>
        <v>28.280182860442665</v>
      </c>
      <c r="V36" s="8">
        <f t="shared" si="30"/>
        <v>29.042372856119567</v>
      </c>
      <c r="W36" s="8">
        <f t="shared" si="30"/>
        <v>29.816412341828986</v>
      </c>
      <c r="X36" s="8">
        <f t="shared" si="30"/>
        <v>30.602488348784053</v>
      </c>
      <c r="Y36" s="8">
        <f t="shared" ref="Y36:AU36" si="31">SUM(Y34:Y35)</f>
        <v>31.400790520172507</v>
      </c>
      <c r="Z36" s="8">
        <f t="shared" si="31"/>
        <v>32.211511137332664</v>
      </c>
      <c r="AA36" s="8">
        <f t="shared" si="31"/>
        <v>33.034845145803686</v>
      </c>
      <c r="AB36" s="8">
        <f t="shared" si="31"/>
        <v>33.870990181230553</v>
      </c>
      <c r="AC36" s="8">
        <f t="shared" si="31"/>
        <v>34.720146595103053</v>
      </c>
      <c r="AD36" s="8">
        <f t="shared" si="31"/>
        <v>35.582517480307459</v>
      </c>
      <c r="AE36" s="8">
        <f t="shared" si="31"/>
        <v>36.458308696468727</v>
      </c>
      <c r="AF36" s="8">
        <f t="shared" si="31"/>
        <v>37.347728895059376</v>
      </c>
      <c r="AG36" s="8">
        <f t="shared" si="31"/>
        <v>0</v>
      </c>
      <c r="AH36" s="8">
        <f t="shared" si="31"/>
        <v>0</v>
      </c>
      <c r="AI36" s="8">
        <f t="shared" si="31"/>
        <v>0</v>
      </c>
      <c r="AJ36" s="8">
        <f t="shared" si="31"/>
        <v>0</v>
      </c>
      <c r="AK36" s="8">
        <f t="shared" si="31"/>
        <v>0</v>
      </c>
      <c r="AL36" s="8">
        <f t="shared" si="31"/>
        <v>0</v>
      </c>
      <c r="AM36" s="8">
        <f t="shared" si="31"/>
        <v>0</v>
      </c>
      <c r="AN36" s="8">
        <f t="shared" si="31"/>
        <v>0</v>
      </c>
      <c r="AO36" s="8">
        <f t="shared" si="31"/>
        <v>0</v>
      </c>
      <c r="AP36" s="8">
        <f t="shared" si="31"/>
        <v>0</v>
      </c>
      <c r="AQ36" s="8">
        <f t="shared" si="31"/>
        <v>0</v>
      </c>
      <c r="AR36" s="8">
        <f t="shared" si="31"/>
        <v>0</v>
      </c>
      <c r="AS36" s="8">
        <f t="shared" si="31"/>
        <v>0</v>
      </c>
      <c r="AT36" s="8">
        <f t="shared" si="31"/>
        <v>0</v>
      </c>
      <c r="AU36" s="8">
        <f t="shared" si="31"/>
        <v>0</v>
      </c>
      <c r="AV36" s="8">
        <f t="shared" ref="AV36" si="32">SUM(AV34:AV35)</f>
        <v>0</v>
      </c>
      <c r="AW36" s="8">
        <f t="shared" ref="AW36" si="33">SUM(AW34:AW35)</f>
        <v>0</v>
      </c>
    </row>
    <row r="37" spans="1:49" ht="14.25" customHeight="1">
      <c r="A37" s="1"/>
      <c r="B37" s="1"/>
      <c r="C37" s="17" t="s">
        <v>405</v>
      </c>
      <c r="D37" s="15">
        <f>-D142</f>
        <v>0</v>
      </c>
      <c r="E37" s="15">
        <f t="shared" ref="E37:X37" si="34">-E142</f>
        <v>0</v>
      </c>
      <c r="F37" s="15">
        <f t="shared" si="34"/>
        <v>0</v>
      </c>
      <c r="G37" s="15">
        <f t="shared" si="34"/>
        <v>0</v>
      </c>
      <c r="H37" s="15">
        <f t="shared" si="34"/>
        <v>4.18</v>
      </c>
      <c r="I37" s="15">
        <f t="shared" si="34"/>
        <v>4.18</v>
      </c>
      <c r="J37" s="15">
        <f t="shared" si="34"/>
        <v>4.18</v>
      </c>
      <c r="K37" s="15">
        <f t="shared" si="34"/>
        <v>4.18</v>
      </c>
      <c r="L37" s="15">
        <f t="shared" si="34"/>
        <v>4.18</v>
      </c>
      <c r="M37" s="15">
        <f t="shared" si="34"/>
        <v>4.18</v>
      </c>
      <c r="N37" s="15">
        <f t="shared" si="34"/>
        <v>4.18</v>
      </c>
      <c r="O37" s="15">
        <f t="shared" si="34"/>
        <v>4.18</v>
      </c>
      <c r="P37" s="15">
        <f t="shared" si="34"/>
        <v>4.18</v>
      </c>
      <c r="Q37" s="15">
        <f t="shared" si="34"/>
        <v>4.18</v>
      </c>
      <c r="R37" s="15">
        <f t="shared" si="34"/>
        <v>4.18</v>
      </c>
      <c r="S37" s="15">
        <f t="shared" si="34"/>
        <v>4.18</v>
      </c>
      <c r="T37" s="15">
        <f t="shared" si="34"/>
        <v>4.18</v>
      </c>
      <c r="U37" s="15">
        <f t="shared" si="34"/>
        <v>4.18</v>
      </c>
      <c r="V37" s="15">
        <f t="shared" si="34"/>
        <v>4.18</v>
      </c>
      <c r="W37" s="15">
        <f t="shared" si="34"/>
        <v>4.18</v>
      </c>
      <c r="X37" s="15">
        <f t="shared" si="34"/>
        <v>4.18</v>
      </c>
      <c r="Y37" s="15">
        <f t="shared" ref="Y37:AU37" si="35">-Y142</f>
        <v>4.18</v>
      </c>
      <c r="Z37" s="15">
        <f t="shared" si="35"/>
        <v>4.18</v>
      </c>
      <c r="AA37" s="15">
        <f t="shared" si="35"/>
        <v>4.18</v>
      </c>
      <c r="AB37" s="15">
        <f t="shared" si="35"/>
        <v>4.18</v>
      </c>
      <c r="AC37" s="15">
        <f t="shared" si="35"/>
        <v>4.18</v>
      </c>
      <c r="AD37" s="15">
        <f t="shared" si="35"/>
        <v>4.18</v>
      </c>
      <c r="AE37" s="15">
        <f t="shared" si="35"/>
        <v>4.18</v>
      </c>
      <c r="AF37" s="15">
        <f t="shared" si="35"/>
        <v>4.18</v>
      </c>
      <c r="AG37" s="15">
        <f t="shared" si="35"/>
        <v>0</v>
      </c>
      <c r="AH37" s="15">
        <f t="shared" si="35"/>
        <v>0</v>
      </c>
      <c r="AI37" s="15">
        <f t="shared" si="35"/>
        <v>0</v>
      </c>
      <c r="AJ37" s="15">
        <f t="shared" si="35"/>
        <v>0</v>
      </c>
      <c r="AK37" s="15">
        <f t="shared" si="35"/>
        <v>0</v>
      </c>
      <c r="AL37" s="15">
        <f t="shared" si="35"/>
        <v>0</v>
      </c>
      <c r="AM37" s="15">
        <f t="shared" si="35"/>
        <v>0</v>
      </c>
      <c r="AN37" s="15">
        <f t="shared" si="35"/>
        <v>0</v>
      </c>
      <c r="AO37" s="15">
        <f t="shared" si="35"/>
        <v>0</v>
      </c>
      <c r="AP37" s="15">
        <f t="shared" si="35"/>
        <v>0</v>
      </c>
      <c r="AQ37" s="15">
        <f t="shared" si="35"/>
        <v>0</v>
      </c>
      <c r="AR37" s="15">
        <f t="shared" si="35"/>
        <v>0</v>
      </c>
      <c r="AS37" s="15">
        <f t="shared" si="35"/>
        <v>0</v>
      </c>
      <c r="AT37" s="15">
        <f t="shared" si="35"/>
        <v>0</v>
      </c>
      <c r="AU37" s="15">
        <f t="shared" si="35"/>
        <v>0</v>
      </c>
      <c r="AV37" s="15">
        <f t="shared" ref="AV37:AW37" si="36">-AV142</f>
        <v>0</v>
      </c>
      <c r="AW37" s="15">
        <f t="shared" si="36"/>
        <v>0</v>
      </c>
    </row>
    <row r="38" spans="1:49" ht="14.25" customHeight="1">
      <c r="A38" s="1"/>
      <c r="B38" s="1"/>
      <c r="C38" s="17" t="s">
        <v>406</v>
      </c>
      <c r="D38" s="18">
        <f t="shared" ref="D38:AW38" si="37">D24</f>
        <v>-33.611111111111114</v>
      </c>
      <c r="E38" s="18">
        <f t="shared" si="37"/>
        <v>-36.666666666666664</v>
      </c>
      <c r="F38" s="18">
        <f t="shared" si="37"/>
        <v>-36.666666666666664</v>
      </c>
      <c r="G38" s="18">
        <f t="shared" si="37"/>
        <v>-3.0555555555555554</v>
      </c>
      <c r="H38" s="18">
        <f t="shared" si="37"/>
        <v>0</v>
      </c>
      <c r="I38" s="18">
        <f t="shared" si="37"/>
        <v>0</v>
      </c>
      <c r="J38" s="18">
        <f t="shared" si="37"/>
        <v>0</v>
      </c>
      <c r="K38" s="18">
        <f t="shared" si="37"/>
        <v>0</v>
      </c>
      <c r="L38" s="18">
        <f t="shared" si="37"/>
        <v>0</v>
      </c>
      <c r="M38" s="18">
        <f t="shared" si="37"/>
        <v>0</v>
      </c>
      <c r="N38" s="18">
        <f t="shared" si="37"/>
        <v>0</v>
      </c>
      <c r="O38" s="18">
        <f t="shared" si="37"/>
        <v>0</v>
      </c>
      <c r="P38" s="18">
        <f t="shared" si="37"/>
        <v>0</v>
      </c>
      <c r="Q38" s="18">
        <f t="shared" si="37"/>
        <v>0</v>
      </c>
      <c r="R38" s="18">
        <f t="shared" si="37"/>
        <v>0</v>
      </c>
      <c r="S38" s="18">
        <f t="shared" si="37"/>
        <v>0</v>
      </c>
      <c r="T38" s="18">
        <f t="shared" si="37"/>
        <v>0</v>
      </c>
      <c r="U38" s="18">
        <f t="shared" si="37"/>
        <v>0</v>
      </c>
      <c r="V38" s="18">
        <f t="shared" si="37"/>
        <v>0</v>
      </c>
      <c r="W38" s="18">
        <f t="shared" si="37"/>
        <v>0</v>
      </c>
      <c r="X38" s="18">
        <f t="shared" si="37"/>
        <v>0</v>
      </c>
      <c r="Y38" s="18">
        <f t="shared" si="37"/>
        <v>0</v>
      </c>
      <c r="Z38" s="18">
        <f t="shared" si="37"/>
        <v>0</v>
      </c>
      <c r="AA38" s="18">
        <f t="shared" si="37"/>
        <v>0</v>
      </c>
      <c r="AB38" s="18">
        <f t="shared" si="37"/>
        <v>0</v>
      </c>
      <c r="AC38" s="18">
        <f t="shared" si="37"/>
        <v>0</v>
      </c>
      <c r="AD38" s="18">
        <f t="shared" si="37"/>
        <v>0</v>
      </c>
      <c r="AE38" s="18">
        <f t="shared" si="37"/>
        <v>0</v>
      </c>
      <c r="AF38" s="18">
        <f t="shared" si="37"/>
        <v>0</v>
      </c>
      <c r="AG38" s="18">
        <f t="shared" si="37"/>
        <v>0</v>
      </c>
      <c r="AH38" s="18">
        <f t="shared" si="37"/>
        <v>0</v>
      </c>
      <c r="AI38" s="18">
        <f t="shared" si="37"/>
        <v>0</v>
      </c>
      <c r="AJ38" s="18">
        <f t="shared" si="37"/>
        <v>0</v>
      </c>
      <c r="AK38" s="18">
        <f t="shared" si="37"/>
        <v>0</v>
      </c>
      <c r="AL38" s="18">
        <f t="shared" si="37"/>
        <v>0</v>
      </c>
      <c r="AM38" s="18">
        <f t="shared" si="37"/>
        <v>0</v>
      </c>
      <c r="AN38" s="18">
        <f t="shared" si="37"/>
        <v>0</v>
      </c>
      <c r="AO38" s="18">
        <f t="shared" si="37"/>
        <v>0</v>
      </c>
      <c r="AP38" s="18">
        <f t="shared" si="37"/>
        <v>0</v>
      </c>
      <c r="AQ38" s="18">
        <f t="shared" si="37"/>
        <v>0</v>
      </c>
      <c r="AR38" s="18">
        <f t="shared" si="37"/>
        <v>0</v>
      </c>
      <c r="AS38" s="18">
        <f t="shared" si="37"/>
        <v>0</v>
      </c>
      <c r="AT38" s="18">
        <f t="shared" si="37"/>
        <v>0</v>
      </c>
      <c r="AU38" s="18">
        <f t="shared" si="37"/>
        <v>0</v>
      </c>
      <c r="AV38" s="18">
        <f t="shared" si="37"/>
        <v>0</v>
      </c>
      <c r="AW38" s="18">
        <f t="shared" si="37"/>
        <v>0</v>
      </c>
    </row>
    <row r="39" spans="1:49" ht="14.25" customHeight="1">
      <c r="A39" s="1"/>
      <c r="B39" s="1"/>
      <c r="C39" s="17" t="s">
        <v>407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</row>
    <row r="40" spans="1:49" ht="14.25" customHeight="1">
      <c r="A40" s="1"/>
      <c r="B40" s="1"/>
      <c r="C40" s="20" t="s">
        <v>408</v>
      </c>
      <c r="D40" s="21">
        <f t="shared" ref="D40:X40" si="38">SUM(D36:D39)</f>
        <v>-33.611111111111114</v>
      </c>
      <c r="E40" s="21">
        <f t="shared" si="38"/>
        <v>-36.666666666666664</v>
      </c>
      <c r="F40" s="21">
        <f t="shared" si="38"/>
        <v>-36.666666666666664</v>
      </c>
      <c r="G40" s="21">
        <f t="shared" si="38"/>
        <v>9.4143964965711611</v>
      </c>
      <c r="H40" s="21">
        <f t="shared" si="38"/>
        <v>23.54950768127388</v>
      </c>
      <c r="I40" s="21">
        <f t="shared" si="38"/>
        <v>24.173533791540823</v>
      </c>
      <c r="J40" s="21">
        <f t="shared" si="38"/>
        <v>24.807203643961806</v>
      </c>
      <c r="K40" s="21">
        <f t="shared" si="38"/>
        <v>25.450672722332083</v>
      </c>
      <c r="L40" s="21">
        <f t="shared" si="38"/>
        <v>26.104098778239258</v>
      </c>
      <c r="M40" s="21">
        <f t="shared" si="38"/>
        <v>26.767641857427719</v>
      </c>
      <c r="N40" s="21">
        <f t="shared" si="38"/>
        <v>27.441464326226658</v>
      </c>
      <c r="O40" s="21">
        <f t="shared" si="38"/>
        <v>28.125730898030582</v>
      </c>
      <c r="P40" s="21">
        <f t="shared" si="38"/>
        <v>28.820608659821261</v>
      </c>
      <c r="Q40" s="21">
        <f t="shared" si="38"/>
        <v>29.52626709871889</v>
      </c>
      <c r="R40" s="21">
        <f t="shared" si="38"/>
        <v>30.242878128550295</v>
      </c>
      <c r="S40" s="21">
        <f t="shared" si="38"/>
        <v>30.970616116420913</v>
      </c>
      <c r="T40" s="21">
        <f t="shared" si="38"/>
        <v>31.709657909276878</v>
      </c>
      <c r="U40" s="21">
        <f t="shared" si="38"/>
        <v>32.460182860442664</v>
      </c>
      <c r="V40" s="21">
        <f t="shared" si="38"/>
        <v>33.222372856119563</v>
      </c>
      <c r="W40" s="21">
        <f t="shared" si="38"/>
        <v>33.996412341828986</v>
      </c>
      <c r="X40" s="21">
        <f t="shared" si="38"/>
        <v>34.782488348784057</v>
      </c>
      <c r="Y40" s="21">
        <f t="shared" ref="Y40:AU40" si="39">SUM(Y36:Y39)</f>
        <v>35.580790520172506</v>
      </c>
      <c r="Z40" s="21">
        <f t="shared" si="39"/>
        <v>36.391511137332664</v>
      </c>
      <c r="AA40" s="21">
        <f t="shared" si="39"/>
        <v>37.214845145803686</v>
      </c>
      <c r="AB40" s="21">
        <f t="shared" si="39"/>
        <v>38.050990181230553</v>
      </c>
      <c r="AC40" s="21">
        <f t="shared" si="39"/>
        <v>38.900146595103053</v>
      </c>
      <c r="AD40" s="21">
        <f t="shared" si="39"/>
        <v>39.762517480307459</v>
      </c>
      <c r="AE40" s="21">
        <f t="shared" si="39"/>
        <v>40.638308696468727</v>
      </c>
      <c r="AF40" s="21">
        <f t="shared" si="39"/>
        <v>41.527728895059376</v>
      </c>
      <c r="AG40" s="21">
        <f t="shared" si="39"/>
        <v>0</v>
      </c>
      <c r="AH40" s="21">
        <f t="shared" si="39"/>
        <v>0</v>
      </c>
      <c r="AI40" s="21">
        <f t="shared" si="39"/>
        <v>0</v>
      </c>
      <c r="AJ40" s="21">
        <f t="shared" si="39"/>
        <v>0</v>
      </c>
      <c r="AK40" s="21">
        <f t="shared" si="39"/>
        <v>0</v>
      </c>
      <c r="AL40" s="21">
        <f t="shared" si="39"/>
        <v>0</v>
      </c>
      <c r="AM40" s="21">
        <f t="shared" si="39"/>
        <v>0</v>
      </c>
      <c r="AN40" s="21">
        <f t="shared" si="39"/>
        <v>0</v>
      </c>
      <c r="AO40" s="21">
        <f t="shared" si="39"/>
        <v>0</v>
      </c>
      <c r="AP40" s="21">
        <f t="shared" si="39"/>
        <v>0</v>
      </c>
      <c r="AQ40" s="21">
        <f t="shared" si="39"/>
        <v>0</v>
      </c>
      <c r="AR40" s="21">
        <f t="shared" si="39"/>
        <v>0</v>
      </c>
      <c r="AS40" s="21">
        <f t="shared" si="39"/>
        <v>0</v>
      </c>
      <c r="AT40" s="21">
        <f t="shared" si="39"/>
        <v>0</v>
      </c>
      <c r="AU40" s="21">
        <f t="shared" si="39"/>
        <v>0</v>
      </c>
      <c r="AV40" s="21">
        <f t="shared" ref="AV40" si="40">SUM(AV36:AV39)</f>
        <v>0</v>
      </c>
      <c r="AW40" s="21">
        <f t="shared" ref="AW40" si="41">SUM(AW36:AW39)</f>
        <v>0</v>
      </c>
    </row>
    <row r="41" spans="1:49" ht="14.25" customHeight="1">
      <c r="A41" s="1"/>
      <c r="B41" s="1"/>
      <c r="C41" s="1" t="s">
        <v>409</v>
      </c>
      <c r="D41" s="15">
        <f>-E65</f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4.25" customHeight="1">
      <c r="A42" s="1"/>
      <c r="B42" s="1"/>
      <c r="C42" s="1" t="s">
        <v>410</v>
      </c>
      <c r="D42" s="1">
        <f>IF(AND(MOD(D32-YEAR('Assumptions &amp; Inputs'!$G$31),'Assumptions &amp; Inputs'!$G$34)=0, D32&lt;=YEAR('Assumptions &amp; Inputs'!$G$36), D9&gt;YEAR('Assumptions &amp; Inputs'!$G$31)),'Assumptions &amp; Inputs'!$G$37*'Assumptions &amp; Inputs'!$G$38*IF(D32-'Assumptions &amp; Inputs'!$G$34&gt;YEAR('Assumptions &amp; Inputs'!$G$31), 'Assumptions &amp; Inputs'!$G$33, 1), 0)</f>
        <v>0</v>
      </c>
      <c r="E42" s="1">
        <f>IF(AND(MOD(E32-YEAR('Assumptions &amp; Inputs'!$G$31),'Assumptions &amp; Inputs'!$G$34)=0, E32&lt;=YEAR('Assumptions &amp; Inputs'!$G$36), E9&gt;YEAR('Assumptions &amp; Inputs'!$G$31)),'Assumptions &amp; Inputs'!$G$37*'Assumptions &amp; Inputs'!$G$38*IF(E32-'Assumptions &amp; Inputs'!$G$34&gt;YEAR('Assumptions &amp; Inputs'!$G$31), 'Assumptions &amp; Inputs'!$G$33, 1), 0)</f>
        <v>0</v>
      </c>
      <c r="F42" s="1">
        <f>IF(AND(MOD(F32-YEAR('Assumptions &amp; Inputs'!$G$31),'Assumptions &amp; Inputs'!$G$34)=0, F32&lt;=YEAR('Assumptions &amp; Inputs'!$G$36), F9&gt;YEAR('Assumptions &amp; Inputs'!$G$31)),'Assumptions &amp; Inputs'!$G$37*'Assumptions &amp; Inputs'!$G$38*IF(F32-'Assumptions &amp; Inputs'!$G$34&gt;YEAR('Assumptions &amp; Inputs'!$G$31), 'Assumptions &amp; Inputs'!$G$33, 1), 0)</f>
        <v>0</v>
      </c>
      <c r="G42" s="1">
        <f>IF(AND(MOD(G32-YEAR('Assumptions &amp; Inputs'!$G$31),'Assumptions &amp; Inputs'!$G$34)=0, G32&lt;=YEAR('Assumptions &amp; Inputs'!$G$36), G9&gt;YEAR('Assumptions &amp; Inputs'!$G$31)),'Assumptions &amp; Inputs'!$G$37*'Assumptions &amp; Inputs'!$G$38*IF(G32-'Assumptions &amp; Inputs'!$G$34&gt;YEAR('Assumptions &amp; Inputs'!$G$31), 'Assumptions &amp; Inputs'!$G$33, 1), 0)</f>
        <v>0</v>
      </c>
      <c r="H42" s="1">
        <f>IF(AND(MOD(H32-YEAR('Assumptions &amp; Inputs'!$G$31),'Assumptions &amp; Inputs'!$G$34)=0, H32&lt;=YEAR('Assumptions &amp; Inputs'!$G$36), H9&gt;YEAR('Assumptions &amp; Inputs'!$G$31)),'Assumptions &amp; Inputs'!$G$37*'Assumptions &amp; Inputs'!$G$38*IF(H32-'Assumptions &amp; Inputs'!$G$34&gt;YEAR('Assumptions &amp; Inputs'!$G$31), 'Assumptions &amp; Inputs'!$G$33, 1), 0)</f>
        <v>0</v>
      </c>
      <c r="I42" s="1">
        <f>IF(AND(MOD(I32-YEAR('Assumptions &amp; Inputs'!$G$31),'Assumptions &amp; Inputs'!$G$34)=0, I32&lt;=YEAR('Assumptions &amp; Inputs'!$G$36), I9&gt;YEAR('Assumptions &amp; Inputs'!$G$31)),'Assumptions &amp; Inputs'!$G$37*'Assumptions &amp; Inputs'!$G$38*IF(I32-'Assumptions &amp; Inputs'!$G$34&gt;YEAR('Assumptions &amp; Inputs'!$G$31), 'Assumptions &amp; Inputs'!$G$33, 1), 0)</f>
        <v>0</v>
      </c>
      <c r="J42" s="1">
        <f>IF(AND(MOD(J32-YEAR('Assumptions &amp; Inputs'!$G$31),'Assumptions &amp; Inputs'!$G$34)=0, J32&lt;=YEAR('Assumptions &amp; Inputs'!$G$36), J9&gt;YEAR('Assumptions &amp; Inputs'!$G$31)),'Assumptions &amp; Inputs'!$G$37*'Assumptions &amp; Inputs'!$G$38*IF(J32-'Assumptions &amp; Inputs'!$G$34&gt;YEAR('Assumptions &amp; Inputs'!$G$31), 'Assumptions &amp; Inputs'!$G$33, 1), 0)</f>
        <v>0</v>
      </c>
      <c r="K42" s="1">
        <f>IF(AND(MOD(K32-YEAR('Assumptions &amp; Inputs'!$G$31),'Assumptions &amp; Inputs'!$G$34)=0, K32&lt;=YEAR('Assumptions &amp; Inputs'!$G$36), K9&gt;YEAR('Assumptions &amp; Inputs'!$G$31)),'Assumptions &amp; Inputs'!$G$37*'Assumptions &amp; Inputs'!$G$38*IF(K32-'Assumptions &amp; Inputs'!$G$34&gt;YEAR('Assumptions &amp; Inputs'!$G$31), 'Assumptions &amp; Inputs'!$G$33, 1), 0)</f>
        <v>0</v>
      </c>
      <c r="L42" s="1">
        <f>IF(AND(MOD(L32-YEAR('Assumptions &amp; Inputs'!$G$31),'Assumptions &amp; Inputs'!$G$34)=0, L32&lt;=YEAR('Assumptions &amp; Inputs'!$G$36), L9&gt;YEAR('Assumptions &amp; Inputs'!$G$31)),'Assumptions &amp; Inputs'!$G$37*'Assumptions &amp; Inputs'!$G$38*IF(L32-'Assumptions &amp; Inputs'!$G$34&gt;YEAR('Assumptions &amp; Inputs'!$G$31), 'Assumptions &amp; Inputs'!$G$33, 1), 0)</f>
        <v>0</v>
      </c>
      <c r="M42" s="1">
        <f>IF(AND(MOD(M32-YEAR('Assumptions &amp; Inputs'!$G$31),'Assumptions &amp; Inputs'!$G$34)=0, M32&lt;=YEAR('Assumptions &amp; Inputs'!$G$36), M9&gt;YEAR('Assumptions &amp; Inputs'!$G$31)),'Assumptions &amp; Inputs'!$G$37*'Assumptions &amp; Inputs'!$G$38*IF(M32-'Assumptions &amp; Inputs'!$G$34&gt;YEAR('Assumptions &amp; Inputs'!$G$31), 'Assumptions &amp; Inputs'!$G$33, 1), 0)</f>
        <v>0</v>
      </c>
      <c r="N42" s="1">
        <f>IF(AND(MOD(N32-YEAR('Assumptions &amp; Inputs'!$G$31),'Assumptions &amp; Inputs'!$G$34)=0, N32&lt;=YEAR('Assumptions &amp; Inputs'!$G$36), N9&gt;YEAR('Assumptions &amp; Inputs'!$G$31)),'Assumptions &amp; Inputs'!$G$37*'Assumptions &amp; Inputs'!$G$38*IF(N32-'Assumptions &amp; Inputs'!$G$34&gt;YEAR('Assumptions &amp; Inputs'!$G$31), 'Assumptions &amp; Inputs'!$G$33, 1), 0)</f>
        <v>0</v>
      </c>
      <c r="O42" s="1">
        <f>IF(AND(MOD(O32-YEAR('Assumptions &amp; Inputs'!$G$31),'Assumptions &amp; Inputs'!$G$34)=0, O32&lt;=YEAR('Assumptions &amp; Inputs'!$G$36), O9&gt;YEAR('Assumptions &amp; Inputs'!$G$31)),'Assumptions &amp; Inputs'!$G$37*'Assumptions &amp; Inputs'!$G$38*IF(O32-'Assumptions &amp; Inputs'!$G$34&gt;YEAR('Assumptions &amp; Inputs'!$G$31), 'Assumptions &amp; Inputs'!$G$33, 1), 0)</f>
        <v>0</v>
      </c>
      <c r="P42" s="1">
        <f>IF(AND(MOD(P32-YEAR('Assumptions &amp; Inputs'!$G$31),'Assumptions &amp; Inputs'!$G$34)=0, P32&lt;=YEAR('Assumptions &amp; Inputs'!$G$36), P9&gt;YEAR('Assumptions &amp; Inputs'!$G$31)),'Assumptions &amp; Inputs'!$G$37*'Assumptions &amp; Inputs'!$G$38*IF(P32-'Assumptions &amp; Inputs'!$G$34&gt;YEAR('Assumptions &amp; Inputs'!$G$31), 'Assumptions &amp; Inputs'!$G$33, 1), 0)</f>
        <v>0</v>
      </c>
      <c r="Q42" s="1">
        <f>IF(AND(MOD(Q32-YEAR('Assumptions &amp; Inputs'!$G$31),'Assumptions &amp; Inputs'!$G$34)=0, Q32&lt;=YEAR('Assumptions &amp; Inputs'!$G$36), Q9&gt;YEAR('Assumptions &amp; Inputs'!$G$31)),'Assumptions &amp; Inputs'!$G$37*'Assumptions &amp; Inputs'!$G$38*IF(Q32-'Assumptions &amp; Inputs'!$G$34&gt;YEAR('Assumptions &amp; Inputs'!$G$31), 'Assumptions &amp; Inputs'!$G$33, 1), 0)</f>
        <v>0</v>
      </c>
      <c r="R42" s="1">
        <f>IF(AND(MOD(R32-YEAR('Assumptions &amp; Inputs'!$G$31),'Assumptions &amp; Inputs'!$G$34)=0, R32&lt;=YEAR('Assumptions &amp; Inputs'!$G$36), R9&gt;YEAR('Assumptions &amp; Inputs'!$G$31)),'Assumptions &amp; Inputs'!$G$37*'Assumptions &amp; Inputs'!$G$38*IF(R32-'Assumptions &amp; Inputs'!$G$34&gt;YEAR('Assumptions &amp; Inputs'!$G$31), 'Assumptions &amp; Inputs'!$G$33, 1), 0)</f>
        <v>0</v>
      </c>
      <c r="S42" s="1">
        <f>IF(AND(MOD(S32-YEAR('Assumptions &amp; Inputs'!$G$31),'Assumptions &amp; Inputs'!$G$34)=0, S32&lt;=YEAR('Assumptions &amp; Inputs'!$G$36), S9&gt;YEAR('Assumptions &amp; Inputs'!$G$31)),'Assumptions &amp; Inputs'!$G$37*'Assumptions &amp; Inputs'!$G$38*IF(S32-'Assumptions &amp; Inputs'!$G$34&gt;YEAR('Assumptions &amp; Inputs'!$G$31), 'Assumptions &amp; Inputs'!$G$33, 1), 0)</f>
        <v>0</v>
      </c>
      <c r="T42" s="1">
        <f>IF(AND(MOD(T32-YEAR('Assumptions &amp; Inputs'!$G$31),'Assumptions &amp; Inputs'!$G$34)=0, T32&lt;=YEAR('Assumptions &amp; Inputs'!$G$36), T9&gt;YEAR('Assumptions &amp; Inputs'!$G$31)),'Assumptions &amp; Inputs'!$G$37*'Assumptions &amp; Inputs'!$G$38*IF(T32-'Assumptions &amp; Inputs'!$G$34&gt;YEAR('Assumptions &amp; Inputs'!$G$31), 'Assumptions &amp; Inputs'!$G$33, 1), 0)</f>
        <v>0</v>
      </c>
      <c r="U42" s="1">
        <f>IF(AND(MOD(U32-YEAR('Assumptions &amp; Inputs'!$G$31),'Assumptions &amp; Inputs'!$G$34)=0, U32&lt;=YEAR('Assumptions &amp; Inputs'!$G$36), U9&gt;YEAR('Assumptions &amp; Inputs'!$G$31)),'Assumptions &amp; Inputs'!$G$37*'Assumptions &amp; Inputs'!$G$38*IF(U32-'Assumptions &amp; Inputs'!$G$34&gt;YEAR('Assumptions &amp; Inputs'!$G$31), 'Assumptions &amp; Inputs'!$G$33, 1), 0)</f>
        <v>0</v>
      </c>
      <c r="V42" s="1">
        <f>IF(AND(MOD(V32-YEAR('Assumptions &amp; Inputs'!$G$31),'Assumptions &amp; Inputs'!$G$34)=0, V32&lt;=YEAR('Assumptions &amp; Inputs'!$G$36), V9&gt;YEAR('Assumptions &amp; Inputs'!$G$31)),'Assumptions &amp; Inputs'!$G$37*'Assumptions &amp; Inputs'!$G$38*IF(V32-'Assumptions &amp; Inputs'!$G$34&gt;YEAR('Assumptions &amp; Inputs'!$G$31), 'Assumptions &amp; Inputs'!$G$33, 1), 0)</f>
        <v>0</v>
      </c>
      <c r="W42" s="1">
        <f>IF(AND(MOD(W32-YEAR('Assumptions &amp; Inputs'!$G$31),'Assumptions &amp; Inputs'!$G$34)=0, W32&lt;=YEAR('Assumptions &amp; Inputs'!$G$36), W9&gt;YEAR('Assumptions &amp; Inputs'!$G$31)),'Assumptions &amp; Inputs'!$G$37*'Assumptions &amp; Inputs'!$G$38*IF(W32-'Assumptions &amp; Inputs'!$G$34&gt;YEAR('Assumptions &amp; Inputs'!$G$31), 'Assumptions &amp; Inputs'!$G$33, 1), 0)</f>
        <v>0</v>
      </c>
      <c r="X42" s="1">
        <f>IF(AND(MOD(X32-YEAR('Assumptions &amp; Inputs'!$G$31),'Assumptions &amp; Inputs'!$G$34)=0, X32&lt;=YEAR('Assumptions &amp; Inputs'!$G$36), X9&gt;YEAR('Assumptions &amp; Inputs'!$G$31)),'Assumptions &amp; Inputs'!$G$37*'Assumptions &amp; Inputs'!$G$38*IF(X32-'Assumptions &amp; Inputs'!$G$34&gt;YEAR('Assumptions &amp; Inputs'!$G$31), 'Assumptions &amp; Inputs'!$G$33, 1), 0)</f>
        <v>0</v>
      </c>
      <c r="Y42" s="1">
        <f>IF(AND(MOD(Y32-YEAR('Assumptions &amp; Inputs'!$G$31),'Assumptions &amp; Inputs'!$G$34)=0, Y32&lt;=YEAR('Assumptions &amp; Inputs'!$G$36), Y9&gt;YEAR('Assumptions &amp; Inputs'!$G$31)),'Assumptions &amp; Inputs'!$G$37*'Assumptions &amp; Inputs'!$G$38*IF(Y32-'Assumptions &amp; Inputs'!$G$34&gt;YEAR('Assumptions &amp; Inputs'!$G$31), 'Assumptions &amp; Inputs'!$G$33, 1), 0)</f>
        <v>0</v>
      </c>
      <c r="Z42" s="1">
        <f>IF(AND(MOD(Z32-YEAR('Assumptions &amp; Inputs'!$G$31),'Assumptions &amp; Inputs'!$G$34)=0, Z32&lt;=YEAR('Assumptions &amp; Inputs'!$G$36), Z9&gt;YEAR('Assumptions &amp; Inputs'!$G$31)),'Assumptions &amp; Inputs'!$G$37*'Assumptions &amp; Inputs'!$G$38*IF(Z32-'Assumptions &amp; Inputs'!$G$34&gt;YEAR('Assumptions &amp; Inputs'!$G$31), 'Assumptions &amp; Inputs'!$G$33, 1), 0)</f>
        <v>0</v>
      </c>
      <c r="AA42" s="1">
        <f>IF(AND(MOD(AA32-YEAR('Assumptions &amp; Inputs'!$G$31),'Assumptions &amp; Inputs'!$G$34)=0, AA32&lt;=YEAR('Assumptions &amp; Inputs'!$G$36), AA9&gt;YEAR('Assumptions &amp; Inputs'!$G$31)),'Assumptions &amp; Inputs'!$G$37*'Assumptions &amp; Inputs'!$G$38*IF(AA32-'Assumptions &amp; Inputs'!$G$34&gt;YEAR('Assumptions &amp; Inputs'!$G$31), 'Assumptions &amp; Inputs'!$G$33, 1), 0)</f>
        <v>0</v>
      </c>
      <c r="AB42" s="1">
        <f>IF(AND(MOD(AB32-YEAR('Assumptions &amp; Inputs'!$G$31),'Assumptions &amp; Inputs'!$G$34)=0, AB32&lt;=YEAR('Assumptions &amp; Inputs'!$G$36), AB9&gt;YEAR('Assumptions &amp; Inputs'!$G$31)),'Assumptions &amp; Inputs'!$G$37*'Assumptions &amp; Inputs'!$G$38*IF(AB32-'Assumptions &amp; Inputs'!$G$34&gt;YEAR('Assumptions &amp; Inputs'!$G$31), 'Assumptions &amp; Inputs'!$G$33, 1), 0)</f>
        <v>0</v>
      </c>
      <c r="AC42" s="1">
        <f>IF(AND(MOD(AC32-YEAR('Assumptions &amp; Inputs'!$G$31),'Assumptions &amp; Inputs'!$G$34)=0, AC32&lt;=YEAR('Assumptions &amp; Inputs'!$G$36), AC9&gt;YEAR('Assumptions &amp; Inputs'!$G$31)),'Assumptions &amp; Inputs'!$G$37*'Assumptions &amp; Inputs'!$G$38*IF(AC32-'Assumptions &amp; Inputs'!$G$34&gt;YEAR('Assumptions &amp; Inputs'!$G$31), 'Assumptions &amp; Inputs'!$G$33, 1), 0)</f>
        <v>0</v>
      </c>
      <c r="AD42" s="1">
        <f>IF(AND(MOD(AD32-YEAR('Assumptions &amp; Inputs'!$G$31),'Assumptions &amp; Inputs'!$G$34)=0, AD32&lt;=YEAR('Assumptions &amp; Inputs'!$G$36), AD9&gt;YEAR('Assumptions &amp; Inputs'!$G$31)),'Assumptions &amp; Inputs'!$G$37*'Assumptions &amp; Inputs'!$G$38*IF(AD32-'Assumptions &amp; Inputs'!$G$34&gt;YEAR('Assumptions &amp; Inputs'!$G$31), 'Assumptions &amp; Inputs'!$G$33, 1), 0)</f>
        <v>0</v>
      </c>
      <c r="AE42" s="1">
        <f>IF(AND(MOD(AE32-YEAR('Assumptions &amp; Inputs'!$G$31),'Assumptions &amp; Inputs'!$G$34)=0, AE32&lt;=YEAR('Assumptions &amp; Inputs'!$G$36), AE9&gt;YEAR('Assumptions &amp; Inputs'!$G$31)),'Assumptions &amp; Inputs'!$G$37*'Assumptions &amp; Inputs'!$G$38*IF(AE32-'Assumptions &amp; Inputs'!$G$34&gt;YEAR('Assumptions &amp; Inputs'!$G$31), 'Assumptions &amp; Inputs'!$G$33, 1), 0)</f>
        <v>0</v>
      </c>
      <c r="AF42" s="1">
        <f>IF(AND(MOD(AF32-YEAR('Assumptions &amp; Inputs'!$G$31),'Assumptions &amp; Inputs'!$G$34)=0, AF32&lt;=YEAR('Assumptions &amp; Inputs'!$G$36), AF9&gt;YEAR('Assumptions &amp; Inputs'!$G$31)),'Assumptions &amp; Inputs'!$G$37*'Assumptions &amp; Inputs'!$G$38*IF(AF32-'Assumptions &amp; Inputs'!$G$34&gt;YEAR('Assumptions &amp; Inputs'!$G$31), 'Assumptions &amp; Inputs'!$G$33, 1), 0)</f>
        <v>5.5</v>
      </c>
      <c r="AG42" s="1">
        <f>IF(AND(MOD(AG32-YEAR('Assumptions &amp; Inputs'!$G$31),'Assumptions &amp; Inputs'!$G$34)=0, AG32&lt;=YEAR('Assumptions &amp; Inputs'!$G$36), AG9&gt;YEAR('Assumptions &amp; Inputs'!$G$31)),'Assumptions &amp; Inputs'!$G$37*'Assumptions &amp; Inputs'!$G$38*IF(AG32-'Assumptions &amp; Inputs'!$G$34&gt;YEAR('Assumptions &amp; Inputs'!$G$31), 'Assumptions &amp; Inputs'!$G$33, 1), 0)</f>
        <v>0</v>
      </c>
      <c r="AH42" s="1">
        <f>IF(AND(MOD(AH32-YEAR('Assumptions &amp; Inputs'!$G$31),'Assumptions &amp; Inputs'!$G$34)=0, AH32&lt;=YEAR('Assumptions &amp; Inputs'!$G$36), AH9&gt;YEAR('Assumptions &amp; Inputs'!$G$31)),'Assumptions &amp; Inputs'!$G$37*'Assumptions &amp; Inputs'!$G$38*IF(AH32-'Assumptions &amp; Inputs'!$G$34&gt;YEAR('Assumptions &amp; Inputs'!$G$31), 'Assumptions &amp; Inputs'!$G$33, 1), 0)</f>
        <v>0</v>
      </c>
      <c r="AI42" s="1">
        <f>IF(AND(MOD(AI32-YEAR('Assumptions &amp; Inputs'!$G$31),'Assumptions &amp; Inputs'!$G$34)=0, AI32&lt;=YEAR('Assumptions &amp; Inputs'!$G$36), AI9&gt;YEAR('Assumptions &amp; Inputs'!$G$31)),'Assumptions &amp; Inputs'!$G$37*'Assumptions &amp; Inputs'!$G$38*IF(AI32-'Assumptions &amp; Inputs'!$G$34&gt;YEAR('Assumptions &amp; Inputs'!$G$31), 'Assumptions &amp; Inputs'!$G$33, 1), 0)</f>
        <v>0</v>
      </c>
      <c r="AJ42" s="1">
        <f>IF(AND(MOD(AJ32-YEAR('Assumptions &amp; Inputs'!$G$31),'Assumptions &amp; Inputs'!$G$34)=0, AJ32&lt;=YEAR('Assumptions &amp; Inputs'!$G$36), AJ9&gt;YEAR('Assumptions &amp; Inputs'!$G$31)),'Assumptions &amp; Inputs'!$G$37*'Assumptions &amp; Inputs'!$G$38*IF(AJ32-'Assumptions &amp; Inputs'!$G$34&gt;YEAR('Assumptions &amp; Inputs'!$G$31), 'Assumptions &amp; Inputs'!$G$33, 1), 0)</f>
        <v>0</v>
      </c>
      <c r="AK42" s="1">
        <f>IF(AND(MOD(AK32-YEAR('Assumptions &amp; Inputs'!$G$31),'Assumptions &amp; Inputs'!$G$34)=0, AK32&lt;=YEAR('Assumptions &amp; Inputs'!$G$36), AK9&gt;YEAR('Assumptions &amp; Inputs'!$G$31)),'Assumptions &amp; Inputs'!$G$37*'Assumptions &amp; Inputs'!$G$38*IF(AK32-'Assumptions &amp; Inputs'!$G$34&gt;YEAR('Assumptions &amp; Inputs'!$G$31), 'Assumptions &amp; Inputs'!$G$33, 1), 0)</f>
        <v>0</v>
      </c>
      <c r="AL42" s="1">
        <f>IF(AND(MOD(AL32-YEAR('Assumptions &amp; Inputs'!$G$31),'Assumptions &amp; Inputs'!$G$34)=0, AL32&lt;=YEAR('Assumptions &amp; Inputs'!$G$36), AL9&gt;YEAR('Assumptions &amp; Inputs'!$G$31)),'Assumptions &amp; Inputs'!$G$37*'Assumptions &amp; Inputs'!$G$38*IF(AL32-'Assumptions &amp; Inputs'!$G$34&gt;YEAR('Assumptions &amp; Inputs'!$G$31), 'Assumptions &amp; Inputs'!$G$33, 1), 0)</f>
        <v>0</v>
      </c>
      <c r="AM42" s="1">
        <f>IF(AND(MOD(AM32-YEAR('Assumptions &amp; Inputs'!$G$31),'Assumptions &amp; Inputs'!$G$34)=0, AM32&lt;=YEAR('Assumptions &amp; Inputs'!$G$36), AM9&gt;YEAR('Assumptions &amp; Inputs'!$G$31)),'Assumptions &amp; Inputs'!$G$37*'Assumptions &amp; Inputs'!$G$38*IF(AM32-'Assumptions &amp; Inputs'!$G$34&gt;YEAR('Assumptions &amp; Inputs'!$G$31), 'Assumptions &amp; Inputs'!$G$33, 1), 0)</f>
        <v>0</v>
      </c>
      <c r="AN42" s="1">
        <f>IF(AND(MOD(AN32-YEAR('Assumptions &amp; Inputs'!$G$31),'Assumptions &amp; Inputs'!$G$34)=0, AN32&lt;=YEAR('Assumptions &amp; Inputs'!$G$36), AN9&gt;YEAR('Assumptions &amp; Inputs'!$G$31)),'Assumptions &amp; Inputs'!$G$37*'Assumptions &amp; Inputs'!$G$38*IF(AN32-'Assumptions &amp; Inputs'!$G$34&gt;YEAR('Assumptions &amp; Inputs'!$G$31), 'Assumptions &amp; Inputs'!$G$33, 1), 0)</f>
        <v>0</v>
      </c>
      <c r="AO42" s="1">
        <f>IF(AND(MOD(AO32-YEAR('Assumptions &amp; Inputs'!$G$31),'Assumptions &amp; Inputs'!$G$34)=0, AO32&lt;=YEAR('Assumptions &amp; Inputs'!$G$36), AO9&gt;YEAR('Assumptions &amp; Inputs'!$G$31)),'Assumptions &amp; Inputs'!$G$37*'Assumptions &amp; Inputs'!$G$38*IF(AO32-'Assumptions &amp; Inputs'!$G$34&gt;YEAR('Assumptions &amp; Inputs'!$G$31), 'Assumptions &amp; Inputs'!$G$33, 1), 0)</f>
        <v>0</v>
      </c>
      <c r="AP42" s="1">
        <f>IF(AND(MOD(AP32-YEAR('Assumptions &amp; Inputs'!$G$31),'Assumptions &amp; Inputs'!$G$34)=0, AP32&lt;=YEAR('Assumptions &amp; Inputs'!$G$36), AP9&gt;YEAR('Assumptions &amp; Inputs'!$G$31)),'Assumptions &amp; Inputs'!$G$37*'Assumptions &amp; Inputs'!$G$38*IF(AP32-'Assumptions &amp; Inputs'!$G$34&gt;YEAR('Assumptions &amp; Inputs'!$G$31), 'Assumptions &amp; Inputs'!$G$33, 1), 0)</f>
        <v>0</v>
      </c>
      <c r="AQ42" s="1">
        <f>IF(AND(MOD(AQ32-YEAR('Assumptions &amp; Inputs'!$G$31),'Assumptions &amp; Inputs'!$G$34)=0, AQ32&lt;=YEAR('Assumptions &amp; Inputs'!$G$36), AQ9&gt;YEAR('Assumptions &amp; Inputs'!$G$31)),'Assumptions &amp; Inputs'!$G$37*'Assumptions &amp; Inputs'!$G$38*IF(AQ32-'Assumptions &amp; Inputs'!$G$34&gt;YEAR('Assumptions &amp; Inputs'!$G$31), 'Assumptions &amp; Inputs'!$G$33, 1), 0)</f>
        <v>0</v>
      </c>
      <c r="AR42" s="1">
        <f>IF(AND(MOD(AR32-YEAR('Assumptions &amp; Inputs'!$G$31),'Assumptions &amp; Inputs'!$G$34)=0, AR32&lt;=YEAR('Assumptions &amp; Inputs'!$G$36), AR9&gt;YEAR('Assumptions &amp; Inputs'!$G$31)),'Assumptions &amp; Inputs'!$G$37*'Assumptions &amp; Inputs'!$G$38*IF(AR32-'Assumptions &amp; Inputs'!$G$34&gt;YEAR('Assumptions &amp; Inputs'!$G$31), 'Assumptions &amp; Inputs'!$G$33, 1), 0)</f>
        <v>0</v>
      </c>
      <c r="AS42" s="1">
        <f>IF(AND(MOD(AS32-YEAR('Assumptions &amp; Inputs'!$G$31),'Assumptions &amp; Inputs'!$G$34)=0, AS32&lt;=YEAR('Assumptions &amp; Inputs'!$G$36), AS9&gt;YEAR('Assumptions &amp; Inputs'!$G$31)),'Assumptions &amp; Inputs'!$G$37*'Assumptions &amp; Inputs'!$G$38*IF(AS32-'Assumptions &amp; Inputs'!$G$34&gt;YEAR('Assumptions &amp; Inputs'!$G$31), 'Assumptions &amp; Inputs'!$G$33, 1), 0)</f>
        <v>0</v>
      </c>
      <c r="AT42" s="1">
        <f>IF(AND(MOD(AT32-YEAR('Assumptions &amp; Inputs'!$G$31),'Assumptions &amp; Inputs'!$G$34)=0, AT32&lt;=YEAR('Assumptions &amp; Inputs'!$G$36), AT9&gt;YEAR('Assumptions &amp; Inputs'!$G$31)),'Assumptions &amp; Inputs'!$G$37*'Assumptions &amp; Inputs'!$G$38*IF(AT32-'Assumptions &amp; Inputs'!$G$34&gt;YEAR('Assumptions &amp; Inputs'!$G$31), 'Assumptions &amp; Inputs'!$G$33, 1), 0)</f>
        <v>0</v>
      </c>
      <c r="AU42" s="1">
        <f>IF(AND(MOD(AU32-YEAR('Assumptions &amp; Inputs'!$G$31),'Assumptions &amp; Inputs'!$G$34)=0, AU32&lt;=YEAR('Assumptions &amp; Inputs'!$G$36), AU9&gt;YEAR('Assumptions &amp; Inputs'!$G$31)),'Assumptions &amp; Inputs'!$G$37*'Assumptions &amp; Inputs'!$G$38*IF(AU32-'Assumptions &amp; Inputs'!$G$34&gt;YEAR('Assumptions &amp; Inputs'!$G$31), 'Assumptions &amp; Inputs'!$G$33, 1), 0)</f>
        <v>0</v>
      </c>
      <c r="AV42" s="1">
        <f>IF(AND(MOD(AV32-YEAR('Assumptions &amp; Inputs'!$G$31),'Assumptions &amp; Inputs'!$G$34)=0, AV32&lt;=YEAR('Assumptions &amp; Inputs'!$G$36), AV9&gt;YEAR('Assumptions &amp; Inputs'!$G$31)),'Assumptions &amp; Inputs'!$G$37*'Assumptions &amp; Inputs'!$G$38*IF(AV32-'Assumptions &amp; Inputs'!$G$34&gt;YEAR('Assumptions &amp; Inputs'!$G$31), 'Assumptions &amp; Inputs'!$G$33, 1), 0)</f>
        <v>0</v>
      </c>
      <c r="AW42" s="1">
        <f>IF(AND(MOD(AW32-YEAR('Assumptions &amp; Inputs'!$G$31),'Assumptions &amp; Inputs'!$G$34)=0, AW32&lt;=YEAR('Assumptions &amp; Inputs'!$G$36), AW9&gt;YEAR('Assumptions &amp; Inputs'!$G$31)),'Assumptions &amp; Inputs'!$G$37*'Assumptions &amp; Inputs'!$G$38*IF(AW32-'Assumptions &amp; Inputs'!$G$34&gt;YEAR('Assumptions &amp; Inputs'!$G$31), 'Assumptions &amp; Inputs'!$G$33, 1), 0)</f>
        <v>0</v>
      </c>
    </row>
    <row r="43" spans="1:49" ht="14.25" customHeight="1">
      <c r="A43" s="1"/>
      <c r="B43" s="1" t="s">
        <v>351</v>
      </c>
      <c r="C43" s="22" t="s">
        <v>411</v>
      </c>
      <c r="D43" s="21">
        <f t="shared" ref="D43:X43" si="42">SUM(D40:D42)</f>
        <v>-33.611111111111114</v>
      </c>
      <c r="E43" s="21">
        <f t="shared" si="42"/>
        <v>-36.666666666666664</v>
      </c>
      <c r="F43" s="21">
        <f t="shared" si="42"/>
        <v>-36.666666666666664</v>
      </c>
      <c r="G43" s="21">
        <f t="shared" si="42"/>
        <v>9.4143964965711611</v>
      </c>
      <c r="H43" s="21">
        <f t="shared" si="42"/>
        <v>23.54950768127388</v>
      </c>
      <c r="I43" s="21">
        <f t="shared" si="42"/>
        <v>24.173533791540823</v>
      </c>
      <c r="J43" s="21">
        <f t="shared" si="42"/>
        <v>24.807203643961806</v>
      </c>
      <c r="K43" s="21">
        <f t="shared" si="42"/>
        <v>25.450672722332083</v>
      </c>
      <c r="L43" s="21">
        <f t="shared" si="42"/>
        <v>26.104098778239258</v>
      </c>
      <c r="M43" s="21">
        <f t="shared" si="42"/>
        <v>26.767641857427719</v>
      </c>
      <c r="N43" s="21">
        <f t="shared" si="42"/>
        <v>27.441464326226658</v>
      </c>
      <c r="O43" s="21">
        <f t="shared" si="42"/>
        <v>28.125730898030582</v>
      </c>
      <c r="P43" s="21">
        <f t="shared" si="42"/>
        <v>28.820608659821261</v>
      </c>
      <c r="Q43" s="21">
        <f t="shared" si="42"/>
        <v>29.52626709871889</v>
      </c>
      <c r="R43" s="21">
        <f t="shared" si="42"/>
        <v>30.242878128550295</v>
      </c>
      <c r="S43" s="21">
        <f t="shared" si="42"/>
        <v>30.970616116420913</v>
      </c>
      <c r="T43" s="21">
        <f t="shared" si="42"/>
        <v>31.709657909276878</v>
      </c>
      <c r="U43" s="21">
        <f t="shared" si="42"/>
        <v>32.460182860442664</v>
      </c>
      <c r="V43" s="21">
        <f t="shared" si="42"/>
        <v>33.222372856119563</v>
      </c>
      <c r="W43" s="21">
        <f t="shared" si="42"/>
        <v>33.996412341828986</v>
      </c>
      <c r="X43" s="21">
        <f t="shared" si="42"/>
        <v>34.782488348784057</v>
      </c>
      <c r="Y43" s="21">
        <f t="shared" ref="Y43:AU43" si="43">SUM(Y40:Y42)</f>
        <v>35.580790520172506</v>
      </c>
      <c r="Z43" s="21">
        <f t="shared" si="43"/>
        <v>36.391511137332664</v>
      </c>
      <c r="AA43" s="21">
        <f t="shared" si="43"/>
        <v>37.214845145803686</v>
      </c>
      <c r="AB43" s="21">
        <f t="shared" si="43"/>
        <v>38.050990181230553</v>
      </c>
      <c r="AC43" s="21">
        <f t="shared" si="43"/>
        <v>38.900146595103053</v>
      </c>
      <c r="AD43" s="21">
        <f t="shared" si="43"/>
        <v>39.762517480307459</v>
      </c>
      <c r="AE43" s="21">
        <f t="shared" si="43"/>
        <v>40.638308696468727</v>
      </c>
      <c r="AF43" s="21">
        <f t="shared" si="43"/>
        <v>47.027728895059376</v>
      </c>
      <c r="AG43" s="21">
        <f t="shared" si="43"/>
        <v>0</v>
      </c>
      <c r="AH43" s="21">
        <f t="shared" si="43"/>
        <v>0</v>
      </c>
      <c r="AI43" s="21">
        <f t="shared" si="43"/>
        <v>0</v>
      </c>
      <c r="AJ43" s="21">
        <f t="shared" si="43"/>
        <v>0</v>
      </c>
      <c r="AK43" s="21">
        <f t="shared" si="43"/>
        <v>0</v>
      </c>
      <c r="AL43" s="21">
        <f t="shared" si="43"/>
        <v>0</v>
      </c>
      <c r="AM43" s="21">
        <f t="shared" si="43"/>
        <v>0</v>
      </c>
      <c r="AN43" s="21">
        <f t="shared" si="43"/>
        <v>0</v>
      </c>
      <c r="AO43" s="21">
        <f t="shared" si="43"/>
        <v>0</v>
      </c>
      <c r="AP43" s="21">
        <f t="shared" si="43"/>
        <v>0</v>
      </c>
      <c r="AQ43" s="21">
        <f t="shared" si="43"/>
        <v>0</v>
      </c>
      <c r="AR43" s="21">
        <f t="shared" si="43"/>
        <v>0</v>
      </c>
      <c r="AS43" s="21">
        <f t="shared" si="43"/>
        <v>0</v>
      </c>
      <c r="AT43" s="21">
        <f t="shared" si="43"/>
        <v>0</v>
      </c>
      <c r="AU43" s="21">
        <f t="shared" si="43"/>
        <v>0</v>
      </c>
      <c r="AV43" s="21">
        <f t="shared" ref="AV43" si="44">SUM(AV40:AV42)</f>
        <v>0</v>
      </c>
      <c r="AW43" s="21">
        <f t="shared" ref="AW43" si="45">SUM(AW40:AW42)</f>
        <v>0</v>
      </c>
    </row>
    <row r="44" spans="1:49" ht="14.25" customHeight="1">
      <c r="A44" s="4"/>
      <c r="B44" s="4"/>
      <c r="C44" s="4" t="s">
        <v>412</v>
      </c>
      <c r="D44" s="23">
        <f>D43</f>
        <v>-33.611111111111114</v>
      </c>
      <c r="E44" s="23">
        <f t="shared" ref="E44:X44" si="46">D44+E43</f>
        <v>-70.277777777777771</v>
      </c>
      <c r="F44" s="23">
        <f t="shared" si="46"/>
        <v>-106.94444444444443</v>
      </c>
      <c r="G44" s="23">
        <f t="shared" si="46"/>
        <v>-97.530047947873271</v>
      </c>
      <c r="H44" s="23">
        <f t="shared" si="46"/>
        <v>-73.980540266599391</v>
      </c>
      <c r="I44" s="23">
        <f t="shared" si="46"/>
        <v>-49.807006475058571</v>
      </c>
      <c r="J44" s="23">
        <f t="shared" si="46"/>
        <v>-24.999802831096765</v>
      </c>
      <c r="K44" s="23">
        <f t="shared" si="46"/>
        <v>0.45086989123531751</v>
      </c>
      <c r="L44" s="23">
        <f t="shared" si="46"/>
        <v>26.554968669474576</v>
      </c>
      <c r="M44" s="23">
        <f t="shared" si="46"/>
        <v>53.322610526902295</v>
      </c>
      <c r="N44" s="23">
        <f t="shared" si="46"/>
        <v>80.76407485312896</v>
      </c>
      <c r="O44" s="23">
        <f t="shared" si="46"/>
        <v>108.88980575115954</v>
      </c>
      <c r="P44" s="23">
        <f t="shared" si="46"/>
        <v>137.7104144109808</v>
      </c>
      <c r="Q44" s="23">
        <f t="shared" si="46"/>
        <v>167.23668150969968</v>
      </c>
      <c r="R44" s="23">
        <f t="shared" si="46"/>
        <v>197.47955963824998</v>
      </c>
      <c r="S44" s="23">
        <f t="shared" si="46"/>
        <v>228.45017575467091</v>
      </c>
      <c r="T44" s="23">
        <f t="shared" si="46"/>
        <v>260.15983366394778</v>
      </c>
      <c r="U44" s="23">
        <f t="shared" si="46"/>
        <v>292.62001652439045</v>
      </c>
      <c r="V44" s="23">
        <f t="shared" si="46"/>
        <v>325.84238938050999</v>
      </c>
      <c r="W44" s="23">
        <f t="shared" si="46"/>
        <v>359.83880172233899</v>
      </c>
      <c r="X44" s="23">
        <f t="shared" si="46"/>
        <v>394.62129007112304</v>
      </c>
      <c r="Y44" s="23">
        <f t="shared" ref="Y44:AU44" si="47">X44+Y43</f>
        <v>430.20208059129556</v>
      </c>
      <c r="Z44" s="23">
        <f t="shared" si="47"/>
        <v>466.59359172862821</v>
      </c>
      <c r="AA44" s="23">
        <f t="shared" si="47"/>
        <v>503.80843687443189</v>
      </c>
      <c r="AB44" s="23">
        <f t="shared" si="47"/>
        <v>541.85942705566242</v>
      </c>
      <c r="AC44" s="23">
        <f t="shared" si="47"/>
        <v>580.75957365076545</v>
      </c>
      <c r="AD44" s="23">
        <f t="shared" si="47"/>
        <v>620.5220911310729</v>
      </c>
      <c r="AE44" s="23">
        <f t="shared" si="47"/>
        <v>661.1603998275416</v>
      </c>
      <c r="AF44" s="23">
        <f t="shared" si="47"/>
        <v>708.18812872260094</v>
      </c>
      <c r="AG44" s="23">
        <f t="shared" si="47"/>
        <v>708.18812872260094</v>
      </c>
      <c r="AH44" s="23">
        <f t="shared" si="47"/>
        <v>708.18812872260094</v>
      </c>
      <c r="AI44" s="23">
        <f t="shared" si="47"/>
        <v>708.18812872260094</v>
      </c>
      <c r="AJ44" s="23">
        <f t="shared" si="47"/>
        <v>708.18812872260094</v>
      </c>
      <c r="AK44" s="23">
        <f t="shared" si="47"/>
        <v>708.18812872260094</v>
      </c>
      <c r="AL44" s="23">
        <f t="shared" si="47"/>
        <v>708.18812872260094</v>
      </c>
      <c r="AM44" s="23">
        <f t="shared" si="47"/>
        <v>708.18812872260094</v>
      </c>
      <c r="AN44" s="23">
        <f t="shared" si="47"/>
        <v>708.18812872260094</v>
      </c>
      <c r="AO44" s="23">
        <f t="shared" si="47"/>
        <v>708.18812872260094</v>
      </c>
      <c r="AP44" s="23">
        <f t="shared" si="47"/>
        <v>708.18812872260094</v>
      </c>
      <c r="AQ44" s="23">
        <f t="shared" si="47"/>
        <v>708.18812872260094</v>
      </c>
      <c r="AR44" s="23">
        <f t="shared" si="47"/>
        <v>708.18812872260094</v>
      </c>
      <c r="AS44" s="23">
        <f t="shared" si="47"/>
        <v>708.18812872260094</v>
      </c>
      <c r="AT44" s="23">
        <f t="shared" si="47"/>
        <v>708.18812872260094</v>
      </c>
      <c r="AU44" s="23">
        <f t="shared" si="47"/>
        <v>708.18812872260094</v>
      </c>
      <c r="AV44" s="23">
        <f t="shared" ref="AV44" si="48">AU44+AV43</f>
        <v>708.18812872260094</v>
      </c>
      <c r="AW44" s="23">
        <f t="shared" ref="AW44" si="49">AV44+AW43</f>
        <v>708.18812872260094</v>
      </c>
    </row>
    <row r="45" spans="1:49" ht="14.25" customHeight="1">
      <c r="A45" s="4"/>
      <c r="B45" s="4"/>
      <c r="C45" s="4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ht="14.25" customHeight="1">
      <c r="A46" s="4"/>
      <c r="B46" s="4"/>
      <c r="C46" s="2" t="s">
        <v>413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ht="14.25" customHeight="1">
      <c r="A47" s="4"/>
      <c r="B47" s="4"/>
      <c r="C47" s="1" t="s">
        <v>414</v>
      </c>
      <c r="D47" s="15">
        <f>D36</f>
        <v>0</v>
      </c>
      <c r="E47" s="15">
        <f>E36</f>
        <v>0</v>
      </c>
      <c r="F47" s="15">
        <f>F36</f>
        <v>0</v>
      </c>
      <c r="G47" s="15">
        <f>G36</f>
        <v>12.469952052126716</v>
      </c>
      <c r="H47" s="15">
        <f>H36</f>
        <v>19.36950768127388</v>
      </c>
      <c r="I47" s="15">
        <f t="shared" ref="I47:AW47" si="50">I36</f>
        <v>19.993533791540823</v>
      </c>
      <c r="J47" s="15">
        <f t="shared" si="50"/>
        <v>20.627203643961806</v>
      </c>
      <c r="K47" s="15">
        <f t="shared" si="50"/>
        <v>21.270672722332083</v>
      </c>
      <c r="L47" s="15">
        <f t="shared" si="50"/>
        <v>21.924098778239259</v>
      </c>
      <c r="M47" s="15">
        <f t="shared" si="50"/>
        <v>22.58764185742772</v>
      </c>
      <c r="N47" s="15">
        <f t="shared" si="50"/>
        <v>23.261464326226658</v>
      </c>
      <c r="O47" s="15">
        <f t="shared" si="50"/>
        <v>23.945730898030583</v>
      </c>
      <c r="P47" s="15">
        <f t="shared" si="50"/>
        <v>24.640608659821261</v>
      </c>
      <c r="Q47" s="15">
        <f t="shared" si="50"/>
        <v>25.34626709871889</v>
      </c>
      <c r="R47" s="15">
        <f t="shared" si="50"/>
        <v>26.062878128550295</v>
      </c>
      <c r="S47" s="15">
        <f t="shared" si="50"/>
        <v>26.790616116420914</v>
      </c>
      <c r="T47" s="15">
        <f t="shared" si="50"/>
        <v>27.529657909276878</v>
      </c>
      <c r="U47" s="15">
        <f t="shared" si="50"/>
        <v>28.280182860442665</v>
      </c>
      <c r="V47" s="15">
        <f t="shared" si="50"/>
        <v>29.042372856119567</v>
      </c>
      <c r="W47" s="15">
        <f t="shared" si="50"/>
        <v>29.816412341828986</v>
      </c>
      <c r="X47" s="15">
        <f t="shared" si="50"/>
        <v>30.602488348784053</v>
      </c>
      <c r="Y47" s="15">
        <f t="shared" si="50"/>
        <v>31.400790520172507</v>
      </c>
      <c r="Z47" s="15">
        <f t="shared" si="50"/>
        <v>32.211511137332664</v>
      </c>
      <c r="AA47" s="15">
        <f t="shared" si="50"/>
        <v>33.034845145803686</v>
      </c>
      <c r="AB47" s="15">
        <f t="shared" si="50"/>
        <v>33.870990181230553</v>
      </c>
      <c r="AC47" s="15">
        <f t="shared" si="50"/>
        <v>34.720146595103053</v>
      </c>
      <c r="AD47" s="15">
        <f t="shared" si="50"/>
        <v>35.582517480307459</v>
      </c>
      <c r="AE47" s="15">
        <f t="shared" si="50"/>
        <v>36.458308696468727</v>
      </c>
      <c r="AF47" s="15">
        <f t="shared" si="50"/>
        <v>37.347728895059376</v>
      </c>
      <c r="AG47" s="15">
        <f t="shared" si="50"/>
        <v>0</v>
      </c>
      <c r="AH47" s="15">
        <f t="shared" si="50"/>
        <v>0</v>
      </c>
      <c r="AI47" s="15">
        <f t="shared" si="50"/>
        <v>0</v>
      </c>
      <c r="AJ47" s="15">
        <f t="shared" si="50"/>
        <v>0</v>
      </c>
      <c r="AK47" s="15">
        <f t="shared" si="50"/>
        <v>0</v>
      </c>
      <c r="AL47" s="15">
        <f t="shared" si="50"/>
        <v>0</v>
      </c>
      <c r="AM47" s="15">
        <f t="shared" si="50"/>
        <v>0</v>
      </c>
      <c r="AN47" s="15">
        <f t="shared" si="50"/>
        <v>0</v>
      </c>
      <c r="AO47" s="15">
        <f t="shared" si="50"/>
        <v>0</v>
      </c>
      <c r="AP47" s="15">
        <f t="shared" si="50"/>
        <v>0</v>
      </c>
      <c r="AQ47" s="15">
        <f t="shared" si="50"/>
        <v>0</v>
      </c>
      <c r="AR47" s="15">
        <f t="shared" si="50"/>
        <v>0</v>
      </c>
      <c r="AS47" s="15">
        <f t="shared" si="50"/>
        <v>0</v>
      </c>
      <c r="AT47" s="15">
        <f t="shared" si="50"/>
        <v>0</v>
      </c>
      <c r="AU47" s="15">
        <f t="shared" si="50"/>
        <v>0</v>
      </c>
      <c r="AV47" s="15">
        <f t="shared" si="50"/>
        <v>0</v>
      </c>
      <c r="AW47" s="15">
        <f t="shared" si="50"/>
        <v>0</v>
      </c>
    </row>
    <row r="48" spans="1:49" ht="14.25" customHeight="1">
      <c r="A48" s="4"/>
      <c r="B48" s="4"/>
      <c r="C48" s="1" t="s">
        <v>415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</row>
    <row r="49" spans="2:49" ht="14.25" customHeight="1">
      <c r="B49" s="4"/>
      <c r="C49" s="1" t="s">
        <v>416</v>
      </c>
      <c r="D49" s="15">
        <f>-D24</f>
        <v>33.611111111111114</v>
      </c>
      <c r="E49" s="15">
        <f t="shared" ref="E49:AW49" si="51">-E24</f>
        <v>36.666666666666664</v>
      </c>
      <c r="F49" s="15">
        <f t="shared" si="51"/>
        <v>36.666666666666664</v>
      </c>
      <c r="G49" s="15">
        <f t="shared" si="51"/>
        <v>3.0555555555555554</v>
      </c>
      <c r="H49" s="15">
        <f t="shared" si="51"/>
        <v>0</v>
      </c>
      <c r="I49" s="15">
        <f t="shared" si="51"/>
        <v>0</v>
      </c>
      <c r="J49" s="15">
        <f t="shared" si="51"/>
        <v>0</v>
      </c>
      <c r="K49" s="15">
        <f t="shared" si="51"/>
        <v>0</v>
      </c>
      <c r="L49" s="15">
        <f t="shared" si="51"/>
        <v>0</v>
      </c>
      <c r="M49" s="15">
        <f t="shared" si="51"/>
        <v>0</v>
      </c>
      <c r="N49" s="15">
        <f t="shared" si="51"/>
        <v>0</v>
      </c>
      <c r="O49" s="15">
        <f t="shared" si="51"/>
        <v>0</v>
      </c>
      <c r="P49" s="15">
        <f t="shared" si="51"/>
        <v>0</v>
      </c>
      <c r="Q49" s="15">
        <f t="shared" si="51"/>
        <v>0</v>
      </c>
      <c r="R49" s="15">
        <f t="shared" si="51"/>
        <v>0</v>
      </c>
      <c r="S49" s="15">
        <f t="shared" si="51"/>
        <v>0</v>
      </c>
      <c r="T49" s="15">
        <f t="shared" si="51"/>
        <v>0</v>
      </c>
      <c r="U49" s="15">
        <f t="shared" si="51"/>
        <v>0</v>
      </c>
      <c r="V49" s="15">
        <f t="shared" si="51"/>
        <v>0</v>
      </c>
      <c r="W49" s="15">
        <f t="shared" si="51"/>
        <v>0</v>
      </c>
      <c r="X49" s="15">
        <f t="shared" si="51"/>
        <v>0</v>
      </c>
      <c r="Y49" s="15">
        <f t="shared" si="51"/>
        <v>0</v>
      </c>
      <c r="Z49" s="15">
        <f t="shared" si="51"/>
        <v>0</v>
      </c>
      <c r="AA49" s="15">
        <f t="shared" si="51"/>
        <v>0</v>
      </c>
      <c r="AB49" s="15">
        <f t="shared" si="51"/>
        <v>0</v>
      </c>
      <c r="AC49" s="15">
        <f t="shared" si="51"/>
        <v>0</v>
      </c>
      <c r="AD49" s="15">
        <f t="shared" si="51"/>
        <v>0</v>
      </c>
      <c r="AE49" s="15">
        <f t="shared" si="51"/>
        <v>0</v>
      </c>
      <c r="AF49" s="15">
        <f t="shared" si="51"/>
        <v>0</v>
      </c>
      <c r="AG49" s="15">
        <f t="shared" si="51"/>
        <v>0</v>
      </c>
      <c r="AH49" s="15">
        <f t="shared" si="51"/>
        <v>0</v>
      </c>
      <c r="AI49" s="15">
        <f t="shared" si="51"/>
        <v>0</v>
      </c>
      <c r="AJ49" s="15">
        <f t="shared" si="51"/>
        <v>0</v>
      </c>
      <c r="AK49" s="15">
        <f t="shared" si="51"/>
        <v>0</v>
      </c>
      <c r="AL49" s="15">
        <f t="shared" si="51"/>
        <v>0</v>
      </c>
      <c r="AM49" s="15">
        <f t="shared" si="51"/>
        <v>0</v>
      </c>
      <c r="AN49" s="15">
        <f t="shared" si="51"/>
        <v>0</v>
      </c>
      <c r="AO49" s="15">
        <f t="shared" si="51"/>
        <v>0</v>
      </c>
      <c r="AP49" s="15">
        <f t="shared" si="51"/>
        <v>0</v>
      </c>
      <c r="AQ49" s="15">
        <f t="shared" si="51"/>
        <v>0</v>
      </c>
      <c r="AR49" s="15">
        <f t="shared" si="51"/>
        <v>0</v>
      </c>
      <c r="AS49" s="15">
        <f t="shared" si="51"/>
        <v>0</v>
      </c>
      <c r="AT49" s="15">
        <f t="shared" si="51"/>
        <v>0</v>
      </c>
      <c r="AU49" s="15">
        <f t="shared" si="51"/>
        <v>0</v>
      </c>
      <c r="AV49" s="15">
        <f t="shared" si="51"/>
        <v>0</v>
      </c>
      <c r="AW49" s="15">
        <f t="shared" si="51"/>
        <v>0</v>
      </c>
    </row>
    <row r="50" spans="2:49" ht="14.25" customHeight="1">
      <c r="B50" s="4"/>
      <c r="C50" s="1" t="s">
        <v>417</v>
      </c>
      <c r="D50" s="324">
        <f>D142</f>
        <v>0</v>
      </c>
      <c r="E50" s="324">
        <f t="shared" ref="E50:AW50" si="52">E142</f>
        <v>0</v>
      </c>
      <c r="F50" s="324">
        <f t="shared" si="52"/>
        <v>0</v>
      </c>
      <c r="G50" s="324">
        <f t="shared" si="52"/>
        <v>0</v>
      </c>
      <c r="H50" s="324">
        <f t="shared" si="52"/>
        <v>-4.18</v>
      </c>
      <c r="I50" s="324">
        <f t="shared" si="52"/>
        <v>-4.18</v>
      </c>
      <c r="J50" s="324">
        <f t="shared" si="52"/>
        <v>-4.18</v>
      </c>
      <c r="K50" s="324">
        <f t="shared" si="52"/>
        <v>-4.18</v>
      </c>
      <c r="L50" s="324">
        <f t="shared" si="52"/>
        <v>-4.18</v>
      </c>
      <c r="M50" s="324">
        <f t="shared" si="52"/>
        <v>-4.18</v>
      </c>
      <c r="N50" s="324">
        <f t="shared" si="52"/>
        <v>-4.18</v>
      </c>
      <c r="O50" s="324">
        <f t="shared" si="52"/>
        <v>-4.18</v>
      </c>
      <c r="P50" s="324">
        <f t="shared" si="52"/>
        <v>-4.18</v>
      </c>
      <c r="Q50" s="324">
        <f t="shared" si="52"/>
        <v>-4.18</v>
      </c>
      <c r="R50" s="324">
        <f t="shared" si="52"/>
        <v>-4.18</v>
      </c>
      <c r="S50" s="324">
        <f t="shared" si="52"/>
        <v>-4.18</v>
      </c>
      <c r="T50" s="324">
        <f t="shared" si="52"/>
        <v>-4.18</v>
      </c>
      <c r="U50" s="324">
        <f t="shared" si="52"/>
        <v>-4.18</v>
      </c>
      <c r="V50" s="324">
        <f t="shared" si="52"/>
        <v>-4.18</v>
      </c>
      <c r="W50" s="324">
        <f t="shared" si="52"/>
        <v>-4.18</v>
      </c>
      <c r="X50" s="324">
        <f t="shared" si="52"/>
        <v>-4.18</v>
      </c>
      <c r="Y50" s="324">
        <f t="shared" si="52"/>
        <v>-4.18</v>
      </c>
      <c r="Z50" s="324">
        <f t="shared" si="52"/>
        <v>-4.18</v>
      </c>
      <c r="AA50" s="324">
        <f t="shared" si="52"/>
        <v>-4.18</v>
      </c>
      <c r="AB50" s="324">
        <f t="shared" si="52"/>
        <v>-4.18</v>
      </c>
      <c r="AC50" s="324">
        <f t="shared" si="52"/>
        <v>-4.18</v>
      </c>
      <c r="AD50" s="324">
        <f t="shared" si="52"/>
        <v>-4.18</v>
      </c>
      <c r="AE50" s="324">
        <f t="shared" si="52"/>
        <v>-4.18</v>
      </c>
      <c r="AF50" s="324">
        <f t="shared" si="52"/>
        <v>-4.18</v>
      </c>
      <c r="AG50" s="324">
        <f t="shared" si="52"/>
        <v>0</v>
      </c>
      <c r="AH50" s="324">
        <f t="shared" si="52"/>
        <v>0</v>
      </c>
      <c r="AI50" s="324">
        <f t="shared" si="52"/>
        <v>0</v>
      </c>
      <c r="AJ50" s="324">
        <f t="shared" si="52"/>
        <v>0</v>
      </c>
      <c r="AK50" s="324">
        <f t="shared" si="52"/>
        <v>0</v>
      </c>
      <c r="AL50" s="324">
        <f t="shared" si="52"/>
        <v>0</v>
      </c>
      <c r="AM50" s="324">
        <f t="shared" si="52"/>
        <v>0</v>
      </c>
      <c r="AN50" s="324">
        <f t="shared" si="52"/>
        <v>0</v>
      </c>
      <c r="AO50" s="324">
        <f t="shared" si="52"/>
        <v>0</v>
      </c>
      <c r="AP50" s="324">
        <f t="shared" si="52"/>
        <v>0</v>
      </c>
      <c r="AQ50" s="324">
        <f t="shared" si="52"/>
        <v>0</v>
      </c>
      <c r="AR50" s="324">
        <f t="shared" si="52"/>
        <v>0</v>
      </c>
      <c r="AS50" s="324">
        <f t="shared" si="52"/>
        <v>0</v>
      </c>
      <c r="AT50" s="324">
        <f t="shared" si="52"/>
        <v>0</v>
      </c>
      <c r="AU50" s="324">
        <f t="shared" si="52"/>
        <v>0</v>
      </c>
      <c r="AV50" s="324">
        <f t="shared" si="52"/>
        <v>0</v>
      </c>
      <c r="AW50" s="324">
        <f t="shared" si="52"/>
        <v>0</v>
      </c>
    </row>
    <row r="51" spans="2:49" ht="14.25" customHeight="1">
      <c r="B51" s="4"/>
      <c r="C51" s="1" t="s">
        <v>418</v>
      </c>
      <c r="D51" s="8">
        <f>SUM(E65,D49:D50)</f>
        <v>33.611111111111114</v>
      </c>
      <c r="E51" s="8">
        <f>SUM(D51,E49:E50)</f>
        <v>70.277777777777771</v>
      </c>
      <c r="F51" s="8">
        <f t="shared" ref="F51:AW51" si="53">SUM(E51,F49:F50)</f>
        <v>106.94444444444443</v>
      </c>
      <c r="G51" s="8">
        <f t="shared" si="53"/>
        <v>109.99999999999999</v>
      </c>
      <c r="H51" s="8">
        <f t="shared" si="53"/>
        <v>105.82</v>
      </c>
      <c r="I51" s="8">
        <f t="shared" si="53"/>
        <v>101.63999999999999</v>
      </c>
      <c r="J51" s="8">
        <f t="shared" si="53"/>
        <v>97.45999999999998</v>
      </c>
      <c r="K51" s="8">
        <f t="shared" si="53"/>
        <v>93.279999999999973</v>
      </c>
      <c r="L51" s="8">
        <f t="shared" si="53"/>
        <v>89.099999999999966</v>
      </c>
      <c r="M51" s="8">
        <f t="shared" si="53"/>
        <v>84.919999999999959</v>
      </c>
      <c r="N51" s="8">
        <f t="shared" si="53"/>
        <v>80.739999999999952</v>
      </c>
      <c r="O51" s="8">
        <f t="shared" si="53"/>
        <v>76.559999999999945</v>
      </c>
      <c r="P51" s="8">
        <f t="shared" si="53"/>
        <v>72.379999999999939</v>
      </c>
      <c r="Q51" s="8">
        <f t="shared" si="53"/>
        <v>68.199999999999932</v>
      </c>
      <c r="R51" s="8">
        <f t="shared" si="53"/>
        <v>64.019999999999925</v>
      </c>
      <c r="S51" s="8">
        <f t="shared" si="53"/>
        <v>59.839999999999925</v>
      </c>
      <c r="T51" s="8">
        <f t="shared" si="53"/>
        <v>55.659999999999926</v>
      </c>
      <c r="U51" s="8">
        <f t="shared" si="53"/>
        <v>51.479999999999926</v>
      </c>
      <c r="V51" s="8">
        <f t="shared" si="53"/>
        <v>47.299999999999926</v>
      </c>
      <c r="W51" s="8">
        <f t="shared" si="53"/>
        <v>43.119999999999926</v>
      </c>
      <c r="X51" s="8">
        <f t="shared" si="53"/>
        <v>38.939999999999927</v>
      </c>
      <c r="Y51" s="8">
        <f t="shared" si="53"/>
        <v>34.759999999999927</v>
      </c>
      <c r="Z51" s="8">
        <f t="shared" si="53"/>
        <v>30.579999999999927</v>
      </c>
      <c r="AA51" s="8">
        <f t="shared" si="53"/>
        <v>26.399999999999928</v>
      </c>
      <c r="AB51" s="8">
        <f t="shared" si="53"/>
        <v>22.219999999999928</v>
      </c>
      <c r="AC51" s="8">
        <f t="shared" si="53"/>
        <v>18.039999999999928</v>
      </c>
      <c r="AD51" s="8">
        <f t="shared" si="53"/>
        <v>13.859999999999928</v>
      </c>
      <c r="AE51" s="8">
        <f t="shared" si="53"/>
        <v>9.6799999999999287</v>
      </c>
      <c r="AF51" s="8">
        <f t="shared" si="53"/>
        <v>5.4999999999999289</v>
      </c>
      <c r="AG51" s="8">
        <f t="shared" si="53"/>
        <v>5.4999999999999289</v>
      </c>
      <c r="AH51" s="8">
        <f t="shared" si="53"/>
        <v>5.4999999999999289</v>
      </c>
      <c r="AI51" s="8">
        <f t="shared" si="53"/>
        <v>5.4999999999999289</v>
      </c>
      <c r="AJ51" s="8">
        <f t="shared" si="53"/>
        <v>5.4999999999999289</v>
      </c>
      <c r="AK51" s="8">
        <f t="shared" si="53"/>
        <v>5.4999999999999289</v>
      </c>
      <c r="AL51" s="8">
        <f t="shared" si="53"/>
        <v>5.4999999999999289</v>
      </c>
      <c r="AM51" s="8">
        <f t="shared" si="53"/>
        <v>5.4999999999999289</v>
      </c>
      <c r="AN51" s="8">
        <f t="shared" si="53"/>
        <v>5.4999999999999289</v>
      </c>
      <c r="AO51" s="8">
        <f t="shared" si="53"/>
        <v>5.4999999999999289</v>
      </c>
      <c r="AP51" s="8">
        <f t="shared" si="53"/>
        <v>5.4999999999999289</v>
      </c>
      <c r="AQ51" s="8">
        <f t="shared" si="53"/>
        <v>5.4999999999999289</v>
      </c>
      <c r="AR51" s="8">
        <f t="shared" si="53"/>
        <v>5.4999999999999289</v>
      </c>
      <c r="AS51" s="8">
        <f t="shared" si="53"/>
        <v>5.4999999999999289</v>
      </c>
      <c r="AT51" s="8">
        <f t="shared" si="53"/>
        <v>5.4999999999999289</v>
      </c>
      <c r="AU51" s="8">
        <f t="shared" si="53"/>
        <v>5.4999999999999289</v>
      </c>
      <c r="AV51" s="8">
        <f t="shared" si="53"/>
        <v>5.4999999999999289</v>
      </c>
      <c r="AW51" s="8">
        <f t="shared" si="53"/>
        <v>5.4999999999999289</v>
      </c>
    </row>
    <row r="52" spans="2:49" ht="14.25" customHeight="1">
      <c r="B52" s="4"/>
      <c r="C52" s="325" t="s">
        <v>419</v>
      </c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  <c r="AR52" s="326"/>
      <c r="AS52" s="326"/>
      <c r="AT52" s="326"/>
      <c r="AU52" s="326"/>
      <c r="AV52" s="326"/>
      <c r="AW52" s="326"/>
    </row>
    <row r="53" spans="2:49" ht="14.25" customHeight="1">
      <c r="B53" s="4"/>
      <c r="C53" s="1" t="s">
        <v>420</v>
      </c>
      <c r="D53" s="8">
        <f>SUM(D51:D52)</f>
        <v>33.611111111111114</v>
      </c>
      <c r="E53" s="8">
        <f t="shared" ref="E53:AW53" si="54">SUM(E51:E52)</f>
        <v>70.277777777777771</v>
      </c>
      <c r="F53" s="8">
        <f t="shared" si="54"/>
        <v>106.94444444444443</v>
      </c>
      <c r="G53" s="8">
        <f t="shared" si="54"/>
        <v>109.99999999999999</v>
      </c>
      <c r="H53" s="8">
        <f t="shared" si="54"/>
        <v>105.82</v>
      </c>
      <c r="I53" s="8">
        <f t="shared" si="54"/>
        <v>101.63999999999999</v>
      </c>
      <c r="J53" s="8">
        <f t="shared" si="54"/>
        <v>97.45999999999998</v>
      </c>
      <c r="K53" s="8">
        <f t="shared" si="54"/>
        <v>93.279999999999973</v>
      </c>
      <c r="L53" s="8">
        <f t="shared" si="54"/>
        <v>89.099999999999966</v>
      </c>
      <c r="M53" s="8">
        <f t="shared" si="54"/>
        <v>84.919999999999959</v>
      </c>
      <c r="N53" s="8">
        <f t="shared" si="54"/>
        <v>80.739999999999952</v>
      </c>
      <c r="O53" s="8">
        <f t="shared" si="54"/>
        <v>76.559999999999945</v>
      </c>
      <c r="P53" s="8">
        <f t="shared" si="54"/>
        <v>72.379999999999939</v>
      </c>
      <c r="Q53" s="8">
        <f t="shared" si="54"/>
        <v>68.199999999999932</v>
      </c>
      <c r="R53" s="8">
        <f t="shared" si="54"/>
        <v>64.019999999999925</v>
      </c>
      <c r="S53" s="8">
        <f t="shared" si="54"/>
        <v>59.839999999999925</v>
      </c>
      <c r="T53" s="8">
        <f t="shared" si="54"/>
        <v>55.659999999999926</v>
      </c>
      <c r="U53" s="8">
        <f t="shared" si="54"/>
        <v>51.479999999999926</v>
      </c>
      <c r="V53" s="8">
        <f t="shared" si="54"/>
        <v>47.299999999999926</v>
      </c>
      <c r="W53" s="8">
        <f t="shared" si="54"/>
        <v>43.119999999999926</v>
      </c>
      <c r="X53" s="8">
        <f t="shared" si="54"/>
        <v>38.939999999999927</v>
      </c>
      <c r="Y53" s="8">
        <f t="shared" si="54"/>
        <v>34.759999999999927</v>
      </c>
      <c r="Z53" s="8">
        <f t="shared" si="54"/>
        <v>30.579999999999927</v>
      </c>
      <c r="AA53" s="8">
        <f t="shared" si="54"/>
        <v>26.399999999999928</v>
      </c>
      <c r="AB53" s="8">
        <f t="shared" si="54"/>
        <v>22.219999999999928</v>
      </c>
      <c r="AC53" s="8">
        <f t="shared" si="54"/>
        <v>18.039999999999928</v>
      </c>
      <c r="AD53" s="8">
        <f t="shared" si="54"/>
        <v>13.859999999999928</v>
      </c>
      <c r="AE53" s="8">
        <f t="shared" si="54"/>
        <v>9.6799999999999287</v>
      </c>
      <c r="AF53" s="8">
        <f t="shared" si="54"/>
        <v>5.4999999999999289</v>
      </c>
      <c r="AG53" s="8">
        <f t="shared" si="54"/>
        <v>5.4999999999999289</v>
      </c>
      <c r="AH53" s="8">
        <f t="shared" si="54"/>
        <v>5.4999999999999289</v>
      </c>
      <c r="AI53" s="8">
        <f t="shared" si="54"/>
        <v>5.4999999999999289</v>
      </c>
      <c r="AJ53" s="8">
        <f t="shared" si="54"/>
        <v>5.4999999999999289</v>
      </c>
      <c r="AK53" s="8">
        <f t="shared" si="54"/>
        <v>5.4999999999999289</v>
      </c>
      <c r="AL53" s="8">
        <f t="shared" si="54"/>
        <v>5.4999999999999289</v>
      </c>
      <c r="AM53" s="8">
        <f t="shared" si="54"/>
        <v>5.4999999999999289</v>
      </c>
      <c r="AN53" s="8">
        <f t="shared" si="54"/>
        <v>5.4999999999999289</v>
      </c>
      <c r="AO53" s="8">
        <f t="shared" si="54"/>
        <v>5.4999999999999289</v>
      </c>
      <c r="AP53" s="8">
        <f t="shared" si="54"/>
        <v>5.4999999999999289</v>
      </c>
      <c r="AQ53" s="8">
        <f t="shared" si="54"/>
        <v>5.4999999999999289</v>
      </c>
      <c r="AR53" s="8">
        <f t="shared" si="54"/>
        <v>5.4999999999999289</v>
      </c>
      <c r="AS53" s="8">
        <f t="shared" si="54"/>
        <v>5.4999999999999289</v>
      </c>
      <c r="AT53" s="8">
        <f t="shared" si="54"/>
        <v>5.4999999999999289</v>
      </c>
      <c r="AU53" s="8">
        <f t="shared" si="54"/>
        <v>5.4999999999999289</v>
      </c>
      <c r="AV53" s="8">
        <f t="shared" si="54"/>
        <v>5.4999999999999289</v>
      </c>
      <c r="AW53" s="8">
        <f t="shared" si="54"/>
        <v>5.4999999999999289</v>
      </c>
    </row>
    <row r="54" spans="2:49" s="76" customFormat="1" ht="14.25" customHeight="1">
      <c r="B54" s="2" t="s">
        <v>351</v>
      </c>
      <c r="C54" s="2" t="s">
        <v>421</v>
      </c>
      <c r="D54" s="328">
        <f>IFERROR(D47/D53,"n.a.")</f>
        <v>0</v>
      </c>
      <c r="E54" s="328">
        <f t="shared" ref="E54:AW54" si="55">IFERROR(E47/E53,"n.a.")</f>
        <v>0</v>
      </c>
      <c r="F54" s="328">
        <f t="shared" si="55"/>
        <v>0</v>
      </c>
      <c r="G54" s="328">
        <f t="shared" si="55"/>
        <v>0.11336320047387925</v>
      </c>
      <c r="H54" s="328">
        <f t="shared" si="55"/>
        <v>0.18304203063006882</v>
      </c>
      <c r="I54" s="328">
        <f t="shared" si="55"/>
        <v>0.19670930530835129</v>
      </c>
      <c r="J54" s="328">
        <f t="shared" si="55"/>
        <v>0.21164789291978053</v>
      </c>
      <c r="K54" s="328">
        <f t="shared" si="55"/>
        <v>0.22803036794952927</v>
      </c>
      <c r="L54" s="328">
        <f t="shared" si="55"/>
        <v>0.24606171468282007</v>
      </c>
      <c r="M54" s="328">
        <f t="shared" si="55"/>
        <v>0.26598730402058091</v>
      </c>
      <c r="N54" s="328">
        <f t="shared" si="55"/>
        <v>0.28810334810783594</v>
      </c>
      <c r="O54" s="328">
        <f t="shared" si="55"/>
        <v>0.31277077975484063</v>
      </c>
      <c r="P54" s="328">
        <f t="shared" si="55"/>
        <v>0.34043394114149328</v>
      </c>
      <c r="Q54" s="328">
        <f t="shared" si="55"/>
        <v>0.3716461451425061</v>
      </c>
      <c r="R54" s="328">
        <f t="shared" si="55"/>
        <v>0.40710525036785888</v>
      </c>
      <c r="S54" s="328">
        <f t="shared" si="55"/>
        <v>0.44770414633056393</v>
      </c>
      <c r="T54" s="328">
        <f t="shared" si="55"/>
        <v>0.49460398687166574</v>
      </c>
      <c r="U54" s="328">
        <f t="shared" si="55"/>
        <v>0.549343101407201</v>
      </c>
      <c r="V54" s="328">
        <f t="shared" si="55"/>
        <v>0.61400365446341676</v>
      </c>
      <c r="W54" s="328">
        <f t="shared" si="55"/>
        <v>0.6914752398383357</v>
      </c>
      <c r="X54" s="328">
        <f t="shared" si="55"/>
        <v>0.78588824727231921</v>
      </c>
      <c r="Y54" s="328">
        <f t="shared" si="55"/>
        <v>0.90335991139736971</v>
      </c>
      <c r="Z54" s="328">
        <f t="shared" si="55"/>
        <v>1.0533522281665384</v>
      </c>
      <c r="AA54" s="328">
        <f t="shared" si="55"/>
        <v>1.2513198918865067</v>
      </c>
      <c r="AB54" s="328">
        <f t="shared" si="55"/>
        <v>1.5243469928546654</v>
      </c>
      <c r="AC54" s="328">
        <f t="shared" si="55"/>
        <v>1.9246200995068288</v>
      </c>
      <c r="AD54" s="328">
        <f t="shared" si="55"/>
        <v>2.5672812034854</v>
      </c>
      <c r="AE54" s="328">
        <f t="shared" si="55"/>
        <v>3.7663542041806815</v>
      </c>
      <c r="AF54" s="328">
        <f t="shared" si="55"/>
        <v>6.7904961627381564</v>
      </c>
      <c r="AG54" s="328">
        <f t="shared" si="55"/>
        <v>0</v>
      </c>
      <c r="AH54" s="328">
        <f t="shared" si="55"/>
        <v>0</v>
      </c>
      <c r="AI54" s="328">
        <f t="shared" si="55"/>
        <v>0</v>
      </c>
      <c r="AJ54" s="328">
        <f t="shared" si="55"/>
        <v>0</v>
      </c>
      <c r="AK54" s="328">
        <f t="shared" si="55"/>
        <v>0</v>
      </c>
      <c r="AL54" s="328">
        <f t="shared" si="55"/>
        <v>0</v>
      </c>
      <c r="AM54" s="328">
        <f t="shared" si="55"/>
        <v>0</v>
      </c>
      <c r="AN54" s="328">
        <f t="shared" si="55"/>
        <v>0</v>
      </c>
      <c r="AO54" s="328">
        <f t="shared" si="55"/>
        <v>0</v>
      </c>
      <c r="AP54" s="328">
        <f t="shared" si="55"/>
        <v>0</v>
      </c>
      <c r="AQ54" s="328">
        <f t="shared" si="55"/>
        <v>0</v>
      </c>
      <c r="AR54" s="328">
        <f t="shared" si="55"/>
        <v>0</v>
      </c>
      <c r="AS54" s="328">
        <f t="shared" si="55"/>
        <v>0</v>
      </c>
      <c r="AT54" s="328">
        <f t="shared" si="55"/>
        <v>0</v>
      </c>
      <c r="AU54" s="328">
        <f t="shared" si="55"/>
        <v>0</v>
      </c>
      <c r="AV54" s="328">
        <f t="shared" si="55"/>
        <v>0</v>
      </c>
      <c r="AW54" s="328">
        <f t="shared" si="55"/>
        <v>0</v>
      </c>
    </row>
    <row r="55" spans="2:49" s="76" customFormat="1" ht="14.25" customHeight="1">
      <c r="B55" s="2"/>
      <c r="C55" s="2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28"/>
      <c r="AG55" s="328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328"/>
      <c r="AV55" s="328"/>
      <c r="AW55" s="328"/>
    </row>
    <row r="56" spans="2:49" s="76" customFormat="1" ht="14.25" customHeight="1">
      <c r="B56" s="2"/>
      <c r="C56" s="2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328"/>
      <c r="AV56" s="328"/>
      <c r="AW56" s="328"/>
    </row>
    <row r="57" spans="2:49" s="76" customFormat="1" ht="14.25" customHeight="1">
      <c r="B57" s="2"/>
      <c r="C57" s="2" t="s">
        <v>422</v>
      </c>
      <c r="D57" s="329">
        <f>D30</f>
        <v>0</v>
      </c>
      <c r="E57" s="329">
        <f t="shared" ref="E57:AW57" si="56">E30</f>
        <v>1</v>
      </c>
      <c r="F57" s="329">
        <f t="shared" si="56"/>
        <v>2</v>
      </c>
      <c r="G57" s="329">
        <f t="shared" si="56"/>
        <v>3</v>
      </c>
      <c r="H57" s="329">
        <f t="shared" si="56"/>
        <v>4</v>
      </c>
      <c r="I57" s="329">
        <f t="shared" si="56"/>
        <v>5</v>
      </c>
      <c r="J57" s="329">
        <f t="shared" si="56"/>
        <v>6</v>
      </c>
      <c r="K57" s="329">
        <f t="shared" si="56"/>
        <v>7</v>
      </c>
      <c r="L57" s="329">
        <f t="shared" si="56"/>
        <v>8</v>
      </c>
      <c r="M57" s="329">
        <f t="shared" si="56"/>
        <v>9</v>
      </c>
      <c r="N57" s="329">
        <f t="shared" si="56"/>
        <v>10</v>
      </c>
      <c r="O57" s="329">
        <f t="shared" si="56"/>
        <v>11</v>
      </c>
      <c r="P57" s="329">
        <f t="shared" si="56"/>
        <v>12</v>
      </c>
      <c r="Q57" s="329">
        <f t="shared" si="56"/>
        <v>13</v>
      </c>
      <c r="R57" s="329">
        <f t="shared" si="56"/>
        <v>14</v>
      </c>
      <c r="S57" s="329">
        <f t="shared" si="56"/>
        <v>15</v>
      </c>
      <c r="T57" s="329">
        <f t="shared" si="56"/>
        <v>16</v>
      </c>
      <c r="U57" s="329">
        <f t="shared" si="56"/>
        <v>17</v>
      </c>
      <c r="V57" s="329">
        <f t="shared" si="56"/>
        <v>18</v>
      </c>
      <c r="W57" s="329">
        <f t="shared" si="56"/>
        <v>19</v>
      </c>
      <c r="X57" s="329">
        <f t="shared" si="56"/>
        <v>20</v>
      </c>
      <c r="Y57" s="329">
        <f t="shared" si="56"/>
        <v>21</v>
      </c>
      <c r="Z57" s="329">
        <f t="shared" si="56"/>
        <v>22</v>
      </c>
      <c r="AA57" s="329">
        <f t="shared" si="56"/>
        <v>23</v>
      </c>
      <c r="AB57" s="329">
        <f t="shared" si="56"/>
        <v>24</v>
      </c>
      <c r="AC57" s="329">
        <f t="shared" si="56"/>
        <v>25</v>
      </c>
      <c r="AD57" s="329">
        <f t="shared" si="56"/>
        <v>26</v>
      </c>
      <c r="AE57" s="329">
        <f t="shared" si="56"/>
        <v>27</v>
      </c>
      <c r="AF57" s="329">
        <f t="shared" si="56"/>
        <v>28</v>
      </c>
      <c r="AG57" s="329">
        <f t="shared" si="56"/>
        <v>29</v>
      </c>
      <c r="AH57" s="329">
        <f t="shared" si="56"/>
        <v>30</v>
      </c>
      <c r="AI57" s="329">
        <f t="shared" si="56"/>
        <v>31</v>
      </c>
      <c r="AJ57" s="329">
        <f t="shared" si="56"/>
        <v>32</v>
      </c>
      <c r="AK57" s="329">
        <f t="shared" si="56"/>
        <v>33</v>
      </c>
      <c r="AL57" s="329">
        <f t="shared" si="56"/>
        <v>34</v>
      </c>
      <c r="AM57" s="329">
        <f t="shared" si="56"/>
        <v>35</v>
      </c>
      <c r="AN57" s="329">
        <f t="shared" si="56"/>
        <v>36</v>
      </c>
      <c r="AO57" s="329">
        <f t="shared" si="56"/>
        <v>37</v>
      </c>
      <c r="AP57" s="329">
        <f t="shared" si="56"/>
        <v>38</v>
      </c>
      <c r="AQ57" s="329">
        <f t="shared" si="56"/>
        <v>39</v>
      </c>
      <c r="AR57" s="329">
        <f t="shared" si="56"/>
        <v>40</v>
      </c>
      <c r="AS57" s="329">
        <f t="shared" si="56"/>
        <v>41</v>
      </c>
      <c r="AT57" s="329">
        <f t="shared" si="56"/>
        <v>42</v>
      </c>
      <c r="AU57" s="329">
        <f t="shared" si="56"/>
        <v>43</v>
      </c>
      <c r="AV57" s="329">
        <f t="shared" si="56"/>
        <v>44</v>
      </c>
      <c r="AW57" s="329">
        <f t="shared" si="56"/>
        <v>45</v>
      </c>
    </row>
    <row r="58" spans="2:49" s="76" customFormat="1" ht="14.25" customHeight="1">
      <c r="B58" s="2"/>
      <c r="C58" s="1" t="s">
        <v>423</v>
      </c>
      <c r="D58" s="330">
        <f>D44</f>
        <v>-33.611111111111114</v>
      </c>
      <c r="E58" s="330">
        <f t="shared" ref="E58:AW58" si="57">E44</f>
        <v>-70.277777777777771</v>
      </c>
      <c r="F58" s="330">
        <f t="shared" si="57"/>
        <v>-106.94444444444443</v>
      </c>
      <c r="G58" s="330">
        <f t="shared" si="57"/>
        <v>-97.530047947873271</v>
      </c>
      <c r="H58" s="330">
        <f t="shared" si="57"/>
        <v>-73.980540266599391</v>
      </c>
      <c r="I58" s="330">
        <f t="shared" si="57"/>
        <v>-49.807006475058571</v>
      </c>
      <c r="J58" s="330">
        <f t="shared" si="57"/>
        <v>-24.999802831096765</v>
      </c>
      <c r="K58" s="330">
        <f t="shared" si="57"/>
        <v>0.45086989123531751</v>
      </c>
      <c r="L58" s="330">
        <f t="shared" si="57"/>
        <v>26.554968669474576</v>
      </c>
      <c r="M58" s="330">
        <f t="shared" si="57"/>
        <v>53.322610526902295</v>
      </c>
      <c r="N58" s="330">
        <f t="shared" si="57"/>
        <v>80.76407485312896</v>
      </c>
      <c r="O58" s="330">
        <f t="shared" si="57"/>
        <v>108.88980575115954</v>
      </c>
      <c r="P58" s="330">
        <f t="shared" si="57"/>
        <v>137.7104144109808</v>
      </c>
      <c r="Q58" s="330">
        <f t="shared" si="57"/>
        <v>167.23668150969968</v>
      </c>
      <c r="R58" s="330">
        <f t="shared" si="57"/>
        <v>197.47955963824998</v>
      </c>
      <c r="S58" s="330">
        <f t="shared" si="57"/>
        <v>228.45017575467091</v>
      </c>
      <c r="T58" s="330">
        <f t="shared" si="57"/>
        <v>260.15983366394778</v>
      </c>
      <c r="U58" s="330">
        <f t="shared" si="57"/>
        <v>292.62001652439045</v>
      </c>
      <c r="V58" s="330">
        <f t="shared" si="57"/>
        <v>325.84238938050999</v>
      </c>
      <c r="W58" s="330">
        <f t="shared" si="57"/>
        <v>359.83880172233899</v>
      </c>
      <c r="X58" s="330">
        <f t="shared" si="57"/>
        <v>394.62129007112304</v>
      </c>
      <c r="Y58" s="330">
        <f t="shared" si="57"/>
        <v>430.20208059129556</v>
      </c>
      <c r="Z58" s="330">
        <f t="shared" si="57"/>
        <v>466.59359172862821</v>
      </c>
      <c r="AA58" s="330">
        <f t="shared" si="57"/>
        <v>503.80843687443189</v>
      </c>
      <c r="AB58" s="330">
        <f t="shared" si="57"/>
        <v>541.85942705566242</v>
      </c>
      <c r="AC58" s="330">
        <f t="shared" si="57"/>
        <v>580.75957365076545</v>
      </c>
      <c r="AD58" s="330">
        <f t="shared" si="57"/>
        <v>620.5220911310729</v>
      </c>
      <c r="AE58" s="330">
        <f t="shared" si="57"/>
        <v>661.1603998275416</v>
      </c>
      <c r="AF58" s="330">
        <f t="shared" si="57"/>
        <v>708.18812872260094</v>
      </c>
      <c r="AG58" s="330">
        <f t="shared" si="57"/>
        <v>708.18812872260094</v>
      </c>
      <c r="AH58" s="330">
        <f t="shared" si="57"/>
        <v>708.18812872260094</v>
      </c>
      <c r="AI58" s="330">
        <f t="shared" si="57"/>
        <v>708.18812872260094</v>
      </c>
      <c r="AJ58" s="330">
        <f t="shared" si="57"/>
        <v>708.18812872260094</v>
      </c>
      <c r="AK58" s="330">
        <f t="shared" si="57"/>
        <v>708.18812872260094</v>
      </c>
      <c r="AL58" s="330">
        <f t="shared" si="57"/>
        <v>708.18812872260094</v>
      </c>
      <c r="AM58" s="330">
        <f t="shared" si="57"/>
        <v>708.18812872260094</v>
      </c>
      <c r="AN58" s="330">
        <f t="shared" si="57"/>
        <v>708.18812872260094</v>
      </c>
      <c r="AO58" s="330">
        <f t="shared" si="57"/>
        <v>708.18812872260094</v>
      </c>
      <c r="AP58" s="330">
        <f t="shared" si="57"/>
        <v>708.18812872260094</v>
      </c>
      <c r="AQ58" s="330">
        <f t="shared" si="57"/>
        <v>708.18812872260094</v>
      </c>
      <c r="AR58" s="330">
        <f t="shared" si="57"/>
        <v>708.18812872260094</v>
      </c>
      <c r="AS58" s="330">
        <f t="shared" si="57"/>
        <v>708.18812872260094</v>
      </c>
      <c r="AT58" s="330">
        <f t="shared" si="57"/>
        <v>708.18812872260094</v>
      </c>
      <c r="AU58" s="330">
        <f t="shared" si="57"/>
        <v>708.18812872260094</v>
      </c>
      <c r="AV58" s="330">
        <f t="shared" si="57"/>
        <v>708.18812872260094</v>
      </c>
      <c r="AW58" s="330">
        <f t="shared" si="57"/>
        <v>708.18812872260094</v>
      </c>
    </row>
    <row r="59" spans="2:49" s="76" customFormat="1" ht="14.25" customHeight="1">
      <c r="B59" s="2"/>
      <c r="C59" s="1" t="s">
        <v>424</v>
      </c>
      <c r="D59" s="331">
        <f>IF(AND(C58&lt;0,D58&gt;=0),1,0)</f>
        <v>0</v>
      </c>
      <c r="E59" s="331">
        <f>IF(AND(D58&lt;0,E58&gt;=0),1,0)</f>
        <v>0</v>
      </c>
      <c r="F59" s="331">
        <f t="shared" ref="F59:AW59" si="58">IF(AND(E58&lt;0,F58&gt;=0),1,0)</f>
        <v>0</v>
      </c>
      <c r="G59" s="331">
        <f t="shared" si="58"/>
        <v>0</v>
      </c>
      <c r="H59" s="331">
        <f t="shared" si="58"/>
        <v>0</v>
      </c>
      <c r="I59" s="331">
        <f t="shared" si="58"/>
        <v>0</v>
      </c>
      <c r="J59" s="331">
        <f t="shared" si="58"/>
        <v>0</v>
      </c>
      <c r="K59" s="331">
        <f t="shared" si="58"/>
        <v>1</v>
      </c>
      <c r="L59" s="331">
        <f t="shared" si="58"/>
        <v>0</v>
      </c>
      <c r="M59" s="331">
        <f t="shared" si="58"/>
        <v>0</v>
      </c>
      <c r="N59" s="331">
        <f t="shared" si="58"/>
        <v>0</v>
      </c>
      <c r="O59" s="331">
        <f t="shared" si="58"/>
        <v>0</v>
      </c>
      <c r="P59" s="331">
        <f t="shared" si="58"/>
        <v>0</v>
      </c>
      <c r="Q59" s="331">
        <f t="shared" si="58"/>
        <v>0</v>
      </c>
      <c r="R59" s="331">
        <f t="shared" si="58"/>
        <v>0</v>
      </c>
      <c r="S59" s="331">
        <f t="shared" si="58"/>
        <v>0</v>
      </c>
      <c r="T59" s="331">
        <f t="shared" si="58"/>
        <v>0</v>
      </c>
      <c r="U59" s="331">
        <f t="shared" si="58"/>
        <v>0</v>
      </c>
      <c r="V59" s="331">
        <f t="shared" si="58"/>
        <v>0</v>
      </c>
      <c r="W59" s="331">
        <f t="shared" si="58"/>
        <v>0</v>
      </c>
      <c r="X59" s="331">
        <f t="shared" si="58"/>
        <v>0</v>
      </c>
      <c r="Y59" s="331">
        <f t="shared" si="58"/>
        <v>0</v>
      </c>
      <c r="Z59" s="331">
        <f t="shared" si="58"/>
        <v>0</v>
      </c>
      <c r="AA59" s="331">
        <f t="shared" si="58"/>
        <v>0</v>
      </c>
      <c r="AB59" s="331">
        <f t="shared" si="58"/>
        <v>0</v>
      </c>
      <c r="AC59" s="331">
        <f t="shared" si="58"/>
        <v>0</v>
      </c>
      <c r="AD59" s="331">
        <f t="shared" si="58"/>
        <v>0</v>
      </c>
      <c r="AE59" s="331">
        <f t="shared" si="58"/>
        <v>0</v>
      </c>
      <c r="AF59" s="331">
        <f t="shared" si="58"/>
        <v>0</v>
      </c>
      <c r="AG59" s="331">
        <f t="shared" si="58"/>
        <v>0</v>
      </c>
      <c r="AH59" s="331">
        <f t="shared" si="58"/>
        <v>0</v>
      </c>
      <c r="AI59" s="331">
        <f t="shared" si="58"/>
        <v>0</v>
      </c>
      <c r="AJ59" s="331">
        <f t="shared" si="58"/>
        <v>0</v>
      </c>
      <c r="AK59" s="331">
        <f t="shared" si="58"/>
        <v>0</v>
      </c>
      <c r="AL59" s="331">
        <f t="shared" si="58"/>
        <v>0</v>
      </c>
      <c r="AM59" s="331">
        <f t="shared" si="58"/>
        <v>0</v>
      </c>
      <c r="AN59" s="331">
        <f t="shared" si="58"/>
        <v>0</v>
      </c>
      <c r="AO59" s="331">
        <f t="shared" si="58"/>
        <v>0</v>
      </c>
      <c r="AP59" s="331">
        <f t="shared" si="58"/>
        <v>0</v>
      </c>
      <c r="AQ59" s="331">
        <f t="shared" si="58"/>
        <v>0</v>
      </c>
      <c r="AR59" s="331">
        <f t="shared" si="58"/>
        <v>0</v>
      </c>
      <c r="AS59" s="331">
        <f t="shared" si="58"/>
        <v>0</v>
      </c>
      <c r="AT59" s="331">
        <f t="shared" si="58"/>
        <v>0</v>
      </c>
      <c r="AU59" s="331">
        <f t="shared" si="58"/>
        <v>0</v>
      </c>
      <c r="AV59" s="331">
        <f t="shared" si="58"/>
        <v>0</v>
      </c>
      <c r="AW59" s="331">
        <f t="shared" si="58"/>
        <v>0</v>
      </c>
    </row>
    <row r="60" spans="2:49" s="76" customFormat="1" ht="14.25" customHeight="1">
      <c r="B60" s="2"/>
      <c r="C60" s="1" t="s">
        <v>425</v>
      </c>
      <c r="D60" s="331">
        <f>IF(D59=1,C58/D43,0)*-1</f>
        <v>0</v>
      </c>
      <c r="E60" s="331">
        <f>IF(E59=1,D58/E43,0)*-1</f>
        <v>0</v>
      </c>
      <c r="F60" s="331">
        <f t="shared" ref="F60:AW60" si="59">IF(F59=1,E58/F43,0)*-1</f>
        <v>0</v>
      </c>
      <c r="G60" s="331">
        <f t="shared" si="59"/>
        <v>0</v>
      </c>
      <c r="H60" s="331">
        <f t="shared" si="59"/>
        <v>0</v>
      </c>
      <c r="I60" s="331">
        <f t="shared" si="59"/>
        <v>0</v>
      </c>
      <c r="J60" s="331">
        <f t="shared" si="59"/>
        <v>0</v>
      </c>
      <c r="K60" s="331">
        <f t="shared" si="59"/>
        <v>0.98228455899164913</v>
      </c>
      <c r="L60" s="331">
        <f t="shared" si="59"/>
        <v>0</v>
      </c>
      <c r="M60" s="331">
        <f t="shared" si="59"/>
        <v>0</v>
      </c>
      <c r="N60" s="331">
        <f t="shared" si="59"/>
        <v>0</v>
      </c>
      <c r="O60" s="331">
        <f t="shared" si="59"/>
        <v>0</v>
      </c>
      <c r="P60" s="331">
        <f t="shared" si="59"/>
        <v>0</v>
      </c>
      <c r="Q60" s="331">
        <f t="shared" si="59"/>
        <v>0</v>
      </c>
      <c r="R60" s="331">
        <f t="shared" si="59"/>
        <v>0</v>
      </c>
      <c r="S60" s="331">
        <f t="shared" si="59"/>
        <v>0</v>
      </c>
      <c r="T60" s="331">
        <f t="shared" si="59"/>
        <v>0</v>
      </c>
      <c r="U60" s="331">
        <f t="shared" si="59"/>
        <v>0</v>
      </c>
      <c r="V60" s="331">
        <f t="shared" si="59"/>
        <v>0</v>
      </c>
      <c r="W60" s="331">
        <f t="shared" si="59"/>
        <v>0</v>
      </c>
      <c r="X60" s="331">
        <f t="shared" si="59"/>
        <v>0</v>
      </c>
      <c r="Y60" s="331">
        <f t="shared" si="59"/>
        <v>0</v>
      </c>
      <c r="Z60" s="331">
        <f t="shared" si="59"/>
        <v>0</v>
      </c>
      <c r="AA60" s="331">
        <f t="shared" si="59"/>
        <v>0</v>
      </c>
      <c r="AB60" s="331">
        <f t="shared" si="59"/>
        <v>0</v>
      </c>
      <c r="AC60" s="331">
        <f t="shared" si="59"/>
        <v>0</v>
      </c>
      <c r="AD60" s="331">
        <f t="shared" si="59"/>
        <v>0</v>
      </c>
      <c r="AE60" s="331">
        <f t="shared" si="59"/>
        <v>0</v>
      </c>
      <c r="AF60" s="331">
        <f t="shared" si="59"/>
        <v>0</v>
      </c>
      <c r="AG60" s="331">
        <f t="shared" si="59"/>
        <v>0</v>
      </c>
      <c r="AH60" s="331">
        <f t="shared" si="59"/>
        <v>0</v>
      </c>
      <c r="AI60" s="331">
        <f t="shared" si="59"/>
        <v>0</v>
      </c>
      <c r="AJ60" s="331">
        <f t="shared" si="59"/>
        <v>0</v>
      </c>
      <c r="AK60" s="331">
        <f t="shared" si="59"/>
        <v>0</v>
      </c>
      <c r="AL60" s="331">
        <f t="shared" si="59"/>
        <v>0</v>
      </c>
      <c r="AM60" s="331">
        <f t="shared" si="59"/>
        <v>0</v>
      </c>
      <c r="AN60" s="331">
        <f t="shared" si="59"/>
        <v>0</v>
      </c>
      <c r="AO60" s="331">
        <f t="shared" si="59"/>
        <v>0</v>
      </c>
      <c r="AP60" s="331">
        <f t="shared" si="59"/>
        <v>0</v>
      </c>
      <c r="AQ60" s="331">
        <f t="shared" si="59"/>
        <v>0</v>
      </c>
      <c r="AR60" s="331">
        <f t="shared" si="59"/>
        <v>0</v>
      </c>
      <c r="AS60" s="331">
        <f t="shared" si="59"/>
        <v>0</v>
      </c>
      <c r="AT60" s="331">
        <f t="shared" si="59"/>
        <v>0</v>
      </c>
      <c r="AU60" s="331">
        <f t="shared" si="59"/>
        <v>0</v>
      </c>
      <c r="AV60" s="331">
        <f t="shared" si="59"/>
        <v>0</v>
      </c>
      <c r="AW60" s="331">
        <f t="shared" si="59"/>
        <v>0</v>
      </c>
    </row>
    <row r="61" spans="2:49" s="76" customFormat="1" ht="14.25" customHeight="1">
      <c r="B61" s="2"/>
      <c r="C61" s="1" t="s">
        <v>426</v>
      </c>
      <c r="D61" s="331">
        <f>IF(D59&lt;&gt;1,0,D57*D59-1+D60)</f>
        <v>0</v>
      </c>
      <c r="E61" s="331">
        <f>IF(E59&lt;&gt;1,0,E57*E59-1+E60)</f>
        <v>0</v>
      </c>
      <c r="F61" s="331">
        <f t="shared" ref="F61:AW61" si="60">IF(F59&lt;&gt;1,0,F57*F59-1+F60)</f>
        <v>0</v>
      </c>
      <c r="G61" s="331">
        <f t="shared" si="60"/>
        <v>0</v>
      </c>
      <c r="H61" s="331">
        <f t="shared" si="60"/>
        <v>0</v>
      </c>
      <c r="I61" s="331">
        <f t="shared" si="60"/>
        <v>0</v>
      </c>
      <c r="J61" s="331">
        <f t="shared" si="60"/>
        <v>0</v>
      </c>
      <c r="K61" s="331">
        <f t="shared" si="60"/>
        <v>6.9822845589916493</v>
      </c>
      <c r="L61" s="331">
        <f t="shared" si="60"/>
        <v>0</v>
      </c>
      <c r="M61" s="331">
        <f t="shared" si="60"/>
        <v>0</v>
      </c>
      <c r="N61" s="331">
        <f t="shared" si="60"/>
        <v>0</v>
      </c>
      <c r="O61" s="331">
        <f t="shared" si="60"/>
        <v>0</v>
      </c>
      <c r="P61" s="331">
        <f t="shared" si="60"/>
        <v>0</v>
      </c>
      <c r="Q61" s="331">
        <f t="shared" si="60"/>
        <v>0</v>
      </c>
      <c r="R61" s="331">
        <f t="shared" si="60"/>
        <v>0</v>
      </c>
      <c r="S61" s="331">
        <f t="shared" si="60"/>
        <v>0</v>
      </c>
      <c r="T61" s="331">
        <f t="shared" si="60"/>
        <v>0</v>
      </c>
      <c r="U61" s="331">
        <f t="shared" si="60"/>
        <v>0</v>
      </c>
      <c r="V61" s="331">
        <f t="shared" si="60"/>
        <v>0</v>
      </c>
      <c r="W61" s="331">
        <f t="shared" si="60"/>
        <v>0</v>
      </c>
      <c r="X61" s="331">
        <f t="shared" si="60"/>
        <v>0</v>
      </c>
      <c r="Y61" s="331">
        <f t="shared" si="60"/>
        <v>0</v>
      </c>
      <c r="Z61" s="331">
        <f t="shared" si="60"/>
        <v>0</v>
      </c>
      <c r="AA61" s="331">
        <f t="shared" si="60"/>
        <v>0</v>
      </c>
      <c r="AB61" s="331">
        <f t="shared" si="60"/>
        <v>0</v>
      </c>
      <c r="AC61" s="331">
        <f t="shared" si="60"/>
        <v>0</v>
      </c>
      <c r="AD61" s="331">
        <f t="shared" si="60"/>
        <v>0</v>
      </c>
      <c r="AE61" s="331">
        <f t="shared" si="60"/>
        <v>0</v>
      </c>
      <c r="AF61" s="331">
        <f t="shared" si="60"/>
        <v>0</v>
      </c>
      <c r="AG61" s="331">
        <f t="shared" si="60"/>
        <v>0</v>
      </c>
      <c r="AH61" s="331">
        <f t="shared" si="60"/>
        <v>0</v>
      </c>
      <c r="AI61" s="331">
        <f t="shared" si="60"/>
        <v>0</v>
      </c>
      <c r="AJ61" s="331">
        <f t="shared" si="60"/>
        <v>0</v>
      </c>
      <c r="AK61" s="331">
        <f t="shared" si="60"/>
        <v>0</v>
      </c>
      <c r="AL61" s="331">
        <f t="shared" si="60"/>
        <v>0</v>
      </c>
      <c r="AM61" s="331">
        <f t="shared" si="60"/>
        <v>0</v>
      </c>
      <c r="AN61" s="331">
        <f t="shared" si="60"/>
        <v>0</v>
      </c>
      <c r="AO61" s="331">
        <f t="shared" si="60"/>
        <v>0</v>
      </c>
      <c r="AP61" s="331">
        <f t="shared" si="60"/>
        <v>0</v>
      </c>
      <c r="AQ61" s="331">
        <f t="shared" si="60"/>
        <v>0</v>
      </c>
      <c r="AR61" s="331">
        <f t="shared" si="60"/>
        <v>0</v>
      </c>
      <c r="AS61" s="331">
        <f t="shared" si="60"/>
        <v>0</v>
      </c>
      <c r="AT61" s="331">
        <f t="shared" si="60"/>
        <v>0</v>
      </c>
      <c r="AU61" s="331">
        <f t="shared" si="60"/>
        <v>0</v>
      </c>
      <c r="AV61" s="331">
        <f t="shared" si="60"/>
        <v>0</v>
      </c>
      <c r="AW61" s="331">
        <f t="shared" si="60"/>
        <v>0</v>
      </c>
    </row>
    <row r="62" spans="2:49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:49" ht="14.25" customHeight="1" thickBo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:49" ht="14.25" customHeight="1" thickBot="1">
      <c r="B64" s="1"/>
      <c r="C64" s="809" t="s">
        <v>427</v>
      </c>
      <c r="D64" s="821"/>
      <c r="E64" s="82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6" ht="14.25" customHeight="1">
      <c r="A65" s="1"/>
      <c r="B65" s="1"/>
      <c r="C65" s="278" t="s">
        <v>428</v>
      </c>
      <c r="D65" s="84"/>
      <c r="E65" s="334">
        <f>'Assumptions &amp; Inputs'!G5</f>
        <v>0</v>
      </c>
      <c r="F65" s="4" t="s">
        <v>429</v>
      </c>
    </row>
    <row r="66" spans="1:6" ht="14.25" customHeight="1">
      <c r="A66" s="1"/>
      <c r="B66" s="1"/>
      <c r="C66" s="278" t="s">
        <v>430</v>
      </c>
      <c r="D66" s="84"/>
      <c r="E66" s="333">
        <f>IFERROR(E65/SUM(E36:E37),0)</f>
        <v>0</v>
      </c>
      <c r="F66" s="1"/>
    </row>
    <row r="67" spans="1:6" ht="14.25" customHeight="1">
      <c r="A67" s="1"/>
      <c r="B67" s="1"/>
      <c r="C67" s="278" t="s">
        <v>431</v>
      </c>
      <c r="D67" s="84"/>
      <c r="E67" s="334">
        <f>-SUM(D38:G38)</f>
        <v>109.99999999999999</v>
      </c>
      <c r="F67" s="1"/>
    </row>
    <row r="68" spans="1:6" ht="14.25" customHeight="1">
      <c r="A68" s="1"/>
      <c r="B68" s="1"/>
      <c r="C68" s="278"/>
      <c r="D68" s="84"/>
      <c r="E68" s="335"/>
      <c r="F68" s="1"/>
    </row>
    <row r="69" spans="1:6" ht="14.25" customHeight="1">
      <c r="A69" s="1"/>
      <c r="B69" s="1"/>
      <c r="C69" s="336" t="s">
        <v>432</v>
      </c>
      <c r="D69" s="83"/>
      <c r="E69" s="337">
        <f>XNPV('Assumptions &amp; Inputs'!$E$16,D43:AW43,D33:AW33)</f>
        <v>57.542395677575065</v>
      </c>
      <c r="F69" s="1"/>
    </row>
    <row r="70" spans="1:6" ht="14.25" customHeight="1">
      <c r="A70" s="1"/>
      <c r="B70" s="1"/>
      <c r="C70" s="336" t="s">
        <v>433</v>
      </c>
      <c r="D70" s="83"/>
      <c r="E70" s="338">
        <f>IFERROR(XIRR(D43:BA43,D33:BA33),"n.a.")</f>
        <v>0.17796422839164738</v>
      </c>
      <c r="F70" s="1"/>
    </row>
    <row r="71" spans="1:6" ht="14.25" customHeight="1">
      <c r="A71" s="1"/>
      <c r="B71" s="1"/>
      <c r="C71" s="322" t="s">
        <v>434</v>
      </c>
      <c r="D71" s="84"/>
      <c r="E71" s="340">
        <f>I54</f>
        <v>0.19670930530835129</v>
      </c>
      <c r="F71" s="1"/>
    </row>
    <row r="72" spans="1:6" ht="14.25" customHeight="1" thickBot="1">
      <c r="A72" s="1"/>
      <c r="B72" s="1"/>
      <c r="C72" s="339" t="s">
        <v>435</v>
      </c>
      <c r="D72" s="86"/>
      <c r="E72" s="341">
        <f>E61</f>
        <v>0</v>
      </c>
      <c r="F72" s="1"/>
    </row>
    <row r="73" spans="1:6" ht="14.25" customHeight="1">
      <c r="A73" s="1"/>
      <c r="B73" s="1"/>
      <c r="C73" s="1"/>
      <c r="D73" s="1"/>
      <c r="E73" s="1"/>
      <c r="F73" s="1"/>
    </row>
    <row r="74" spans="1:6" ht="14.25" customHeight="1">
      <c r="A74" s="1"/>
      <c r="B74" s="1"/>
      <c r="C74" s="1"/>
      <c r="D74" s="1"/>
      <c r="E74" s="1"/>
      <c r="F74" s="1"/>
    </row>
    <row r="75" spans="1:6" ht="14.25" customHeight="1" thickBot="1">
      <c r="A75" s="1" t="s">
        <v>351</v>
      </c>
      <c r="B75" s="1"/>
      <c r="C75" s="9" t="s">
        <v>436</v>
      </c>
      <c r="D75" s="9"/>
      <c r="E75" s="10"/>
      <c r="F75" s="10"/>
    </row>
    <row r="76" spans="1:6" ht="14.25" customHeight="1">
      <c r="A76" s="1"/>
      <c r="B76" s="1"/>
      <c r="C76" s="12" t="s">
        <v>353</v>
      </c>
      <c r="D76" s="13"/>
      <c r="E76" s="14"/>
      <c r="F76" s="14"/>
    </row>
    <row r="77" spans="1:6" ht="14.25" customHeight="1" thickBot="1">
      <c r="A77" s="1"/>
      <c r="B77" s="1"/>
      <c r="C77" s="12"/>
      <c r="D77" s="13"/>
      <c r="E77" s="14"/>
      <c r="F77" s="14"/>
    </row>
    <row r="78" spans="1:6" ht="14.25" customHeight="1" thickBot="1">
      <c r="A78" s="1"/>
      <c r="B78" s="1"/>
      <c r="C78" s="812" t="s">
        <v>437</v>
      </c>
      <c r="D78" s="823"/>
      <c r="E78" s="824"/>
      <c r="F78" s="14"/>
    </row>
    <row r="79" spans="1:6" ht="14.25" customHeight="1">
      <c r="A79" s="1"/>
      <c r="B79" s="1"/>
      <c r="C79" s="98" t="s">
        <v>438</v>
      </c>
      <c r="D79" s="13"/>
      <c r="E79" s="99">
        <f>E80*SUM(E65,E67)</f>
        <v>0</v>
      </c>
      <c r="F79" s="14"/>
    </row>
    <row r="80" spans="1:6" ht="14.25" customHeight="1">
      <c r="A80" s="1"/>
      <c r="B80" s="1"/>
      <c r="C80" s="98" t="s">
        <v>439</v>
      </c>
      <c r="D80" s="13"/>
      <c r="E80" s="100">
        <f>'Assumptions &amp; Inputs'!G8</f>
        <v>0</v>
      </c>
      <c r="F80" s="14"/>
    </row>
    <row r="81" spans="2:49" ht="14.25" customHeight="1">
      <c r="B81" s="1"/>
      <c r="C81" s="98" t="s">
        <v>440</v>
      </c>
      <c r="D81" s="13"/>
      <c r="E81" s="95" t="e">
        <f>SUM(E91:X91)/SUM(E92:X92)</f>
        <v>#DIV/0!</v>
      </c>
      <c r="F81" s="14"/>
      <c r="G81" s="14"/>
      <c r="H81" s="14"/>
      <c r="I81" s="14"/>
      <c r="J81" s="14"/>
      <c r="K81" s="14"/>
      <c r="L81" s="14"/>
      <c r="M81" s="14"/>
      <c r="N81" s="1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2:49" ht="14.25" customHeight="1">
      <c r="B82" s="1"/>
      <c r="C82" s="98"/>
      <c r="D82" s="13"/>
      <c r="E82" s="95"/>
      <c r="F82" s="14"/>
      <c r="G82" s="14"/>
      <c r="H82" s="14"/>
      <c r="I82" s="14"/>
      <c r="J82" s="14"/>
      <c r="K82" s="14"/>
      <c r="L82" s="14"/>
      <c r="M82" s="14"/>
      <c r="N82" s="1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2:49" ht="14.25" customHeight="1">
      <c r="B83" s="1"/>
      <c r="C83" s="101" t="s">
        <v>441</v>
      </c>
      <c r="D83" s="25"/>
      <c r="E83" s="97">
        <f>XNPV('Assumptions &amp; Inputs'!$E$16,D94:AW94,D90:AW90)</f>
        <v>-19.051718544146038</v>
      </c>
      <c r="F83" s="14"/>
      <c r="G83" s="14"/>
      <c r="H83" s="14"/>
      <c r="I83" s="14"/>
      <c r="J83" s="14"/>
      <c r="K83" s="14"/>
      <c r="L83" s="14"/>
      <c r="M83" s="14"/>
      <c r="N83" s="1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2:49" ht="14.25" customHeight="1" thickBot="1">
      <c r="B84" s="1"/>
      <c r="C84" s="26" t="s">
        <v>442</v>
      </c>
      <c r="D84" s="27"/>
      <c r="E84" s="28">
        <f>IFERROR(XIRR(D94:AW94,D90:AW90),"n.a.")</f>
        <v>0.10837679505348205</v>
      </c>
      <c r="F84" s="14"/>
      <c r="G84" s="14"/>
      <c r="H84" s="14"/>
      <c r="I84" s="14"/>
      <c r="J84" s="14"/>
      <c r="K84" s="14"/>
      <c r="L84" s="14"/>
      <c r="M84" s="14"/>
      <c r="N84" s="1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2:49" ht="14.25" customHeight="1">
      <c r="B85" s="1"/>
      <c r="C85" s="12"/>
      <c r="D85" s="13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2:49" ht="14.25" customHeight="1">
      <c r="B86" s="1"/>
      <c r="C86" s="12"/>
      <c r="D86" s="13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2:49" ht="14.25" customHeight="1">
      <c r="B87" s="1"/>
      <c r="C87" s="1"/>
      <c r="D87" s="90">
        <v>0</v>
      </c>
      <c r="E87" s="90">
        <f t="shared" ref="E87:X87" si="61">D87+1</f>
        <v>1</v>
      </c>
      <c r="F87" s="90">
        <f t="shared" si="61"/>
        <v>2</v>
      </c>
      <c r="G87" s="90">
        <f t="shared" si="61"/>
        <v>3</v>
      </c>
      <c r="H87" s="90">
        <f t="shared" si="61"/>
        <v>4</v>
      </c>
      <c r="I87" s="90">
        <f t="shared" si="61"/>
        <v>5</v>
      </c>
      <c r="J87" s="90">
        <f t="shared" si="61"/>
        <v>6</v>
      </c>
      <c r="K87" s="90">
        <f t="shared" si="61"/>
        <v>7</v>
      </c>
      <c r="L87" s="90">
        <f t="shared" si="61"/>
        <v>8</v>
      </c>
      <c r="M87" s="90">
        <f t="shared" si="61"/>
        <v>9</v>
      </c>
      <c r="N87" s="90">
        <f t="shared" si="61"/>
        <v>10</v>
      </c>
      <c r="O87" s="90">
        <f t="shared" si="61"/>
        <v>11</v>
      </c>
      <c r="P87" s="90">
        <f t="shared" si="61"/>
        <v>12</v>
      </c>
      <c r="Q87" s="90">
        <f t="shared" si="61"/>
        <v>13</v>
      </c>
      <c r="R87" s="90">
        <f t="shared" si="61"/>
        <v>14</v>
      </c>
      <c r="S87" s="90">
        <f t="shared" si="61"/>
        <v>15</v>
      </c>
      <c r="T87" s="90">
        <f t="shared" si="61"/>
        <v>16</v>
      </c>
      <c r="U87" s="90">
        <f t="shared" si="61"/>
        <v>17</v>
      </c>
      <c r="V87" s="90">
        <f t="shared" si="61"/>
        <v>18</v>
      </c>
      <c r="W87" s="90">
        <f t="shared" si="61"/>
        <v>19</v>
      </c>
      <c r="X87" s="90">
        <f t="shared" si="61"/>
        <v>20</v>
      </c>
      <c r="Y87" s="90">
        <f t="shared" ref="Y87:AU87" si="62">X87+1</f>
        <v>21</v>
      </c>
      <c r="Z87" s="90">
        <f t="shared" si="62"/>
        <v>22</v>
      </c>
      <c r="AA87" s="90">
        <f t="shared" si="62"/>
        <v>23</v>
      </c>
      <c r="AB87" s="90">
        <f t="shared" si="62"/>
        <v>24</v>
      </c>
      <c r="AC87" s="90">
        <f t="shared" si="62"/>
        <v>25</v>
      </c>
      <c r="AD87" s="90">
        <f t="shared" si="62"/>
        <v>26</v>
      </c>
      <c r="AE87" s="90">
        <f t="shared" si="62"/>
        <v>27</v>
      </c>
      <c r="AF87" s="90">
        <f t="shared" si="62"/>
        <v>28</v>
      </c>
      <c r="AG87" s="90">
        <f t="shared" si="62"/>
        <v>29</v>
      </c>
      <c r="AH87" s="90">
        <f t="shared" si="62"/>
        <v>30</v>
      </c>
      <c r="AI87" s="90">
        <f t="shared" si="62"/>
        <v>31</v>
      </c>
      <c r="AJ87" s="90">
        <f t="shared" si="62"/>
        <v>32</v>
      </c>
      <c r="AK87" s="90">
        <f t="shared" si="62"/>
        <v>33</v>
      </c>
      <c r="AL87" s="90">
        <f t="shared" si="62"/>
        <v>34</v>
      </c>
      <c r="AM87" s="90">
        <f t="shared" si="62"/>
        <v>35</v>
      </c>
      <c r="AN87" s="90">
        <f t="shared" si="62"/>
        <v>36</v>
      </c>
      <c r="AO87" s="90">
        <f t="shared" si="62"/>
        <v>37</v>
      </c>
      <c r="AP87" s="90">
        <f t="shared" si="62"/>
        <v>38</v>
      </c>
      <c r="AQ87" s="90">
        <f t="shared" si="62"/>
        <v>39</v>
      </c>
      <c r="AR87" s="90">
        <f t="shared" si="62"/>
        <v>40</v>
      </c>
      <c r="AS87" s="90">
        <f t="shared" si="62"/>
        <v>41</v>
      </c>
      <c r="AT87" s="90">
        <f t="shared" si="62"/>
        <v>42</v>
      </c>
      <c r="AU87" s="90">
        <f t="shared" si="62"/>
        <v>43</v>
      </c>
      <c r="AV87" s="90">
        <f t="shared" ref="AV87:AW87" si="63">AU87+1</f>
        <v>44</v>
      </c>
      <c r="AW87" s="90">
        <f t="shared" si="63"/>
        <v>45</v>
      </c>
    </row>
    <row r="88" spans="2:49" ht="14.25" customHeight="1">
      <c r="B88" s="2"/>
      <c r="C88" s="2"/>
      <c r="D88" s="2"/>
      <c r="E88" s="806" t="s">
        <v>354</v>
      </c>
      <c r="F88" s="819"/>
      <c r="G88" s="819"/>
      <c r="H88" s="819"/>
      <c r="I88" s="819"/>
      <c r="J88" s="819"/>
      <c r="K88" s="819"/>
      <c r="L88" s="819"/>
      <c r="M88" s="819"/>
      <c r="N88" s="819"/>
      <c r="O88" s="819"/>
      <c r="P88" s="819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</row>
    <row r="89" spans="2:49" ht="14.25" customHeight="1">
      <c r="B89" s="2"/>
      <c r="C89" s="2"/>
      <c r="D89" s="3">
        <f>D32</f>
        <v>2026</v>
      </c>
      <c r="E89" s="91">
        <f t="shared" ref="E89:X89" si="64">D89+1</f>
        <v>2027</v>
      </c>
      <c r="F89" s="91">
        <f t="shared" si="64"/>
        <v>2028</v>
      </c>
      <c r="G89" s="91">
        <f t="shared" si="64"/>
        <v>2029</v>
      </c>
      <c r="H89" s="91">
        <f t="shared" si="64"/>
        <v>2030</v>
      </c>
      <c r="I89" s="91">
        <f t="shared" si="64"/>
        <v>2031</v>
      </c>
      <c r="J89" s="91">
        <f t="shared" si="64"/>
        <v>2032</v>
      </c>
      <c r="K89" s="91">
        <f t="shared" si="64"/>
        <v>2033</v>
      </c>
      <c r="L89" s="91">
        <f t="shared" si="64"/>
        <v>2034</v>
      </c>
      <c r="M89" s="91">
        <f t="shared" si="64"/>
        <v>2035</v>
      </c>
      <c r="N89" s="91">
        <f t="shared" si="64"/>
        <v>2036</v>
      </c>
      <c r="O89" s="91">
        <f t="shared" si="64"/>
        <v>2037</v>
      </c>
      <c r="P89" s="91">
        <f t="shared" si="64"/>
        <v>2038</v>
      </c>
      <c r="Q89" s="91">
        <f t="shared" si="64"/>
        <v>2039</v>
      </c>
      <c r="R89" s="91">
        <f t="shared" si="64"/>
        <v>2040</v>
      </c>
      <c r="S89" s="91">
        <f t="shared" si="64"/>
        <v>2041</v>
      </c>
      <c r="T89" s="91">
        <f t="shared" si="64"/>
        <v>2042</v>
      </c>
      <c r="U89" s="91">
        <f t="shared" si="64"/>
        <v>2043</v>
      </c>
      <c r="V89" s="91">
        <f t="shared" si="64"/>
        <v>2044</v>
      </c>
      <c r="W89" s="91">
        <f t="shared" si="64"/>
        <v>2045</v>
      </c>
      <c r="X89" s="91">
        <f t="shared" si="64"/>
        <v>2046</v>
      </c>
      <c r="Y89" s="91">
        <f t="shared" ref="Y89:AU89" si="65">X89+1</f>
        <v>2047</v>
      </c>
      <c r="Z89" s="91">
        <f t="shared" si="65"/>
        <v>2048</v>
      </c>
      <c r="AA89" s="91">
        <f t="shared" si="65"/>
        <v>2049</v>
      </c>
      <c r="AB89" s="91">
        <f t="shared" si="65"/>
        <v>2050</v>
      </c>
      <c r="AC89" s="91">
        <f t="shared" si="65"/>
        <v>2051</v>
      </c>
      <c r="AD89" s="91">
        <f t="shared" si="65"/>
        <v>2052</v>
      </c>
      <c r="AE89" s="91">
        <f t="shared" si="65"/>
        <v>2053</v>
      </c>
      <c r="AF89" s="91">
        <f t="shared" si="65"/>
        <v>2054</v>
      </c>
      <c r="AG89" s="91">
        <f t="shared" si="65"/>
        <v>2055</v>
      </c>
      <c r="AH89" s="91">
        <f t="shared" si="65"/>
        <v>2056</v>
      </c>
      <c r="AI89" s="91">
        <f t="shared" si="65"/>
        <v>2057</v>
      </c>
      <c r="AJ89" s="91">
        <f t="shared" si="65"/>
        <v>2058</v>
      </c>
      <c r="AK89" s="91">
        <f t="shared" si="65"/>
        <v>2059</v>
      </c>
      <c r="AL89" s="91">
        <f t="shared" si="65"/>
        <v>2060</v>
      </c>
      <c r="AM89" s="91">
        <f t="shared" si="65"/>
        <v>2061</v>
      </c>
      <c r="AN89" s="91">
        <f t="shared" si="65"/>
        <v>2062</v>
      </c>
      <c r="AO89" s="91">
        <f t="shared" si="65"/>
        <v>2063</v>
      </c>
      <c r="AP89" s="91">
        <f t="shared" si="65"/>
        <v>2064</v>
      </c>
      <c r="AQ89" s="91">
        <f t="shared" si="65"/>
        <v>2065</v>
      </c>
      <c r="AR89" s="91">
        <f t="shared" si="65"/>
        <v>2066</v>
      </c>
      <c r="AS89" s="91">
        <f t="shared" si="65"/>
        <v>2067</v>
      </c>
      <c r="AT89" s="91">
        <f t="shared" si="65"/>
        <v>2068</v>
      </c>
      <c r="AU89" s="91">
        <f t="shared" si="65"/>
        <v>2069</v>
      </c>
      <c r="AV89" s="91">
        <f t="shared" ref="AV89:AW89" si="66">AU89+1</f>
        <v>2070</v>
      </c>
      <c r="AW89" s="91">
        <f t="shared" si="66"/>
        <v>2071</v>
      </c>
    </row>
    <row r="90" spans="2:49" ht="14.25" customHeight="1">
      <c r="B90" s="200"/>
      <c r="C90" s="92"/>
      <c r="D90" s="93">
        <f>D33</f>
        <v>46023</v>
      </c>
      <c r="E90" s="93">
        <f t="shared" ref="E90:X90" si="67">E33</f>
        <v>46752</v>
      </c>
      <c r="F90" s="93">
        <f t="shared" si="67"/>
        <v>47118</v>
      </c>
      <c r="G90" s="93">
        <f t="shared" si="67"/>
        <v>47483</v>
      </c>
      <c r="H90" s="93">
        <f t="shared" si="67"/>
        <v>47848</v>
      </c>
      <c r="I90" s="93">
        <f t="shared" si="67"/>
        <v>48213</v>
      </c>
      <c r="J90" s="93">
        <f t="shared" si="67"/>
        <v>48579</v>
      </c>
      <c r="K90" s="93">
        <f t="shared" si="67"/>
        <v>48944</v>
      </c>
      <c r="L90" s="93">
        <f t="shared" si="67"/>
        <v>49309</v>
      </c>
      <c r="M90" s="93">
        <f t="shared" si="67"/>
        <v>49674</v>
      </c>
      <c r="N90" s="93">
        <f t="shared" si="67"/>
        <v>50040</v>
      </c>
      <c r="O90" s="93">
        <f t="shared" si="67"/>
        <v>50405</v>
      </c>
      <c r="P90" s="93">
        <f t="shared" si="67"/>
        <v>50770</v>
      </c>
      <c r="Q90" s="93">
        <f t="shared" si="67"/>
        <v>51135</v>
      </c>
      <c r="R90" s="93">
        <f t="shared" si="67"/>
        <v>51501</v>
      </c>
      <c r="S90" s="93">
        <f t="shared" si="67"/>
        <v>51866</v>
      </c>
      <c r="T90" s="93">
        <f t="shared" si="67"/>
        <v>52231</v>
      </c>
      <c r="U90" s="93">
        <f t="shared" si="67"/>
        <v>52596</v>
      </c>
      <c r="V90" s="93">
        <f t="shared" si="67"/>
        <v>52962</v>
      </c>
      <c r="W90" s="93">
        <f t="shared" si="67"/>
        <v>53327</v>
      </c>
      <c r="X90" s="93">
        <f t="shared" si="67"/>
        <v>53692</v>
      </c>
      <c r="Y90" s="93">
        <f t="shared" ref="Y90:AU90" si="68">Y33</f>
        <v>54057</v>
      </c>
      <c r="Z90" s="93">
        <f t="shared" si="68"/>
        <v>54423</v>
      </c>
      <c r="AA90" s="93">
        <f t="shared" si="68"/>
        <v>54788</v>
      </c>
      <c r="AB90" s="93">
        <f t="shared" si="68"/>
        <v>55153</v>
      </c>
      <c r="AC90" s="93">
        <f t="shared" si="68"/>
        <v>55518</v>
      </c>
      <c r="AD90" s="93">
        <f t="shared" si="68"/>
        <v>55884</v>
      </c>
      <c r="AE90" s="93">
        <f t="shared" si="68"/>
        <v>56249</v>
      </c>
      <c r="AF90" s="93">
        <f t="shared" si="68"/>
        <v>56614</v>
      </c>
      <c r="AG90" s="93">
        <f t="shared" si="68"/>
        <v>56979</v>
      </c>
      <c r="AH90" s="93">
        <f t="shared" si="68"/>
        <v>57345</v>
      </c>
      <c r="AI90" s="93">
        <f t="shared" si="68"/>
        <v>57710</v>
      </c>
      <c r="AJ90" s="93">
        <f t="shared" si="68"/>
        <v>58075</v>
      </c>
      <c r="AK90" s="93">
        <f t="shared" si="68"/>
        <v>58440</v>
      </c>
      <c r="AL90" s="93">
        <f t="shared" si="68"/>
        <v>58806</v>
      </c>
      <c r="AM90" s="93">
        <f t="shared" si="68"/>
        <v>59171</v>
      </c>
      <c r="AN90" s="93">
        <f t="shared" si="68"/>
        <v>59536</v>
      </c>
      <c r="AO90" s="93">
        <f t="shared" si="68"/>
        <v>59901</v>
      </c>
      <c r="AP90" s="93">
        <f t="shared" si="68"/>
        <v>60267</v>
      </c>
      <c r="AQ90" s="93">
        <f t="shared" si="68"/>
        <v>60632</v>
      </c>
      <c r="AR90" s="93">
        <f t="shared" si="68"/>
        <v>60997</v>
      </c>
      <c r="AS90" s="93">
        <f t="shared" si="68"/>
        <v>61362</v>
      </c>
      <c r="AT90" s="93">
        <f t="shared" si="68"/>
        <v>61728</v>
      </c>
      <c r="AU90" s="93">
        <f t="shared" si="68"/>
        <v>62093</v>
      </c>
      <c r="AV90" s="93">
        <f t="shared" ref="AV90:AW90" si="69">AV33</f>
        <v>62458</v>
      </c>
      <c r="AW90" s="93">
        <f t="shared" si="69"/>
        <v>62823</v>
      </c>
    </row>
    <row r="91" spans="2:49" ht="14.25" customHeight="1">
      <c r="B91" s="1"/>
      <c r="C91" s="1" t="s">
        <v>443</v>
      </c>
      <c r="D91" s="15">
        <f>D40</f>
        <v>-33.611111111111114</v>
      </c>
      <c r="E91" s="15">
        <f t="shared" ref="E91:X91" si="70">E40</f>
        <v>-36.666666666666664</v>
      </c>
      <c r="F91" s="15">
        <f t="shared" si="70"/>
        <v>-36.666666666666664</v>
      </c>
      <c r="G91" s="15">
        <f t="shared" si="70"/>
        <v>9.4143964965711611</v>
      </c>
      <c r="H91" s="15">
        <f t="shared" si="70"/>
        <v>23.54950768127388</v>
      </c>
      <c r="I91" s="15">
        <f t="shared" si="70"/>
        <v>24.173533791540823</v>
      </c>
      <c r="J91" s="15">
        <f t="shared" si="70"/>
        <v>24.807203643961806</v>
      </c>
      <c r="K91" s="15">
        <f t="shared" si="70"/>
        <v>25.450672722332083</v>
      </c>
      <c r="L91" s="15">
        <f t="shared" si="70"/>
        <v>26.104098778239258</v>
      </c>
      <c r="M91" s="15">
        <f t="shared" si="70"/>
        <v>26.767641857427719</v>
      </c>
      <c r="N91" s="15">
        <f t="shared" si="70"/>
        <v>27.441464326226658</v>
      </c>
      <c r="O91" s="15">
        <f t="shared" si="70"/>
        <v>28.125730898030582</v>
      </c>
      <c r="P91" s="15">
        <f t="shared" si="70"/>
        <v>28.820608659821261</v>
      </c>
      <c r="Q91" s="15">
        <f t="shared" si="70"/>
        <v>29.52626709871889</v>
      </c>
      <c r="R91" s="15">
        <f t="shared" si="70"/>
        <v>30.242878128550295</v>
      </c>
      <c r="S91" s="15">
        <f t="shared" si="70"/>
        <v>30.970616116420913</v>
      </c>
      <c r="T91" s="15">
        <f t="shared" si="70"/>
        <v>31.709657909276878</v>
      </c>
      <c r="U91" s="15">
        <f t="shared" si="70"/>
        <v>32.460182860442664</v>
      </c>
      <c r="V91" s="15">
        <f t="shared" si="70"/>
        <v>33.222372856119563</v>
      </c>
      <c r="W91" s="15">
        <f t="shared" si="70"/>
        <v>33.996412341828986</v>
      </c>
      <c r="X91" s="15">
        <f t="shared" si="70"/>
        <v>34.782488348784057</v>
      </c>
      <c r="Y91" s="15">
        <f t="shared" ref="Y91:AU91" si="71">Y40</f>
        <v>35.580790520172506</v>
      </c>
      <c r="Z91" s="15">
        <f t="shared" si="71"/>
        <v>36.391511137332664</v>
      </c>
      <c r="AA91" s="15">
        <f t="shared" si="71"/>
        <v>37.214845145803686</v>
      </c>
      <c r="AB91" s="15">
        <f t="shared" si="71"/>
        <v>38.050990181230553</v>
      </c>
      <c r="AC91" s="15">
        <f t="shared" si="71"/>
        <v>38.900146595103053</v>
      </c>
      <c r="AD91" s="15">
        <f t="shared" si="71"/>
        <v>39.762517480307459</v>
      </c>
      <c r="AE91" s="15">
        <f t="shared" si="71"/>
        <v>40.638308696468727</v>
      </c>
      <c r="AF91" s="15">
        <f t="shared" si="71"/>
        <v>41.527728895059376</v>
      </c>
      <c r="AG91" s="15">
        <f t="shared" si="71"/>
        <v>0</v>
      </c>
      <c r="AH91" s="15">
        <f t="shared" si="71"/>
        <v>0</v>
      </c>
      <c r="AI91" s="15">
        <f t="shared" si="71"/>
        <v>0</v>
      </c>
      <c r="AJ91" s="15">
        <f t="shared" si="71"/>
        <v>0</v>
      </c>
      <c r="AK91" s="15">
        <f t="shared" si="71"/>
        <v>0</v>
      </c>
      <c r="AL91" s="15">
        <f t="shared" si="71"/>
        <v>0</v>
      </c>
      <c r="AM91" s="15">
        <f t="shared" si="71"/>
        <v>0</v>
      </c>
      <c r="AN91" s="15">
        <f t="shared" si="71"/>
        <v>0</v>
      </c>
      <c r="AO91" s="15">
        <f t="shared" si="71"/>
        <v>0</v>
      </c>
      <c r="AP91" s="15">
        <f t="shared" si="71"/>
        <v>0</v>
      </c>
      <c r="AQ91" s="15">
        <f t="shared" si="71"/>
        <v>0</v>
      </c>
      <c r="AR91" s="15">
        <f t="shared" si="71"/>
        <v>0</v>
      </c>
      <c r="AS91" s="15">
        <f t="shared" si="71"/>
        <v>0</v>
      </c>
      <c r="AT91" s="15">
        <f t="shared" si="71"/>
        <v>0</v>
      </c>
      <c r="AU91" s="15">
        <f t="shared" si="71"/>
        <v>0</v>
      </c>
      <c r="AV91" s="15">
        <f t="shared" ref="AV91:AW91" si="72">AV40</f>
        <v>0</v>
      </c>
      <c r="AW91" s="15">
        <f t="shared" si="72"/>
        <v>0</v>
      </c>
    </row>
    <row r="92" spans="2:49" ht="14.25" customHeight="1">
      <c r="B92" s="1"/>
      <c r="C92" s="1" t="s">
        <v>444</v>
      </c>
      <c r="D92" s="8"/>
      <c r="E92" s="15">
        <f>E103</f>
        <v>0</v>
      </c>
      <c r="F92" s="15">
        <f t="shared" ref="F92:X92" si="73">F103</f>
        <v>0</v>
      </c>
      <c r="G92" s="15">
        <f t="shared" si="73"/>
        <v>0</v>
      </c>
      <c r="H92" s="15">
        <f t="shared" si="73"/>
        <v>0</v>
      </c>
      <c r="I92" s="15">
        <f t="shared" si="73"/>
        <v>0</v>
      </c>
      <c r="J92" s="15">
        <f t="shared" si="73"/>
        <v>0</v>
      </c>
      <c r="K92" s="15">
        <f t="shared" si="73"/>
        <v>0</v>
      </c>
      <c r="L92" s="15">
        <f t="shared" si="73"/>
        <v>0</v>
      </c>
      <c r="M92" s="15">
        <f t="shared" si="73"/>
        <v>0</v>
      </c>
      <c r="N92" s="15">
        <f t="shared" si="73"/>
        <v>0</v>
      </c>
      <c r="O92" s="15">
        <f t="shared" si="73"/>
        <v>0</v>
      </c>
      <c r="P92" s="15">
        <f t="shared" si="73"/>
        <v>0</v>
      </c>
      <c r="Q92" s="15">
        <f t="shared" si="73"/>
        <v>0</v>
      </c>
      <c r="R92" s="15">
        <f t="shared" si="73"/>
        <v>0</v>
      </c>
      <c r="S92" s="15">
        <f t="shared" si="73"/>
        <v>0</v>
      </c>
      <c r="T92" s="15">
        <f t="shared" si="73"/>
        <v>0</v>
      </c>
      <c r="U92" s="15">
        <f t="shared" si="73"/>
        <v>0</v>
      </c>
      <c r="V92" s="15">
        <f t="shared" si="73"/>
        <v>0</v>
      </c>
      <c r="W92" s="15">
        <f t="shared" si="73"/>
        <v>0</v>
      </c>
      <c r="X92" s="15">
        <f t="shared" si="73"/>
        <v>0</v>
      </c>
      <c r="Y92" s="15">
        <f t="shared" ref="Y92:AU92" si="74">Y103</f>
        <v>0</v>
      </c>
      <c r="Z92" s="15">
        <f t="shared" si="74"/>
        <v>0</v>
      </c>
      <c r="AA92" s="15">
        <f t="shared" si="74"/>
        <v>0</v>
      </c>
      <c r="AB92" s="15">
        <f t="shared" si="74"/>
        <v>0</v>
      </c>
      <c r="AC92" s="15">
        <f t="shared" si="74"/>
        <v>0</v>
      </c>
      <c r="AD92" s="15">
        <f t="shared" si="74"/>
        <v>0</v>
      </c>
      <c r="AE92" s="15">
        <f t="shared" si="74"/>
        <v>0</v>
      </c>
      <c r="AF92" s="15">
        <f t="shared" si="74"/>
        <v>0</v>
      </c>
      <c r="AG92" s="15">
        <f t="shared" si="74"/>
        <v>0</v>
      </c>
      <c r="AH92" s="15">
        <f t="shared" si="74"/>
        <v>0</v>
      </c>
      <c r="AI92" s="15">
        <f t="shared" si="74"/>
        <v>0</v>
      </c>
      <c r="AJ92" s="15">
        <f t="shared" si="74"/>
        <v>0</v>
      </c>
      <c r="AK92" s="15">
        <f t="shared" si="74"/>
        <v>0</v>
      </c>
      <c r="AL92" s="15">
        <f t="shared" si="74"/>
        <v>0</v>
      </c>
      <c r="AM92" s="15">
        <f t="shared" si="74"/>
        <v>0</v>
      </c>
      <c r="AN92" s="15">
        <f t="shared" si="74"/>
        <v>0</v>
      </c>
      <c r="AO92" s="15">
        <f t="shared" si="74"/>
        <v>0</v>
      </c>
      <c r="AP92" s="15">
        <f t="shared" si="74"/>
        <v>0</v>
      </c>
      <c r="AQ92" s="15">
        <f t="shared" si="74"/>
        <v>0</v>
      </c>
      <c r="AR92" s="15">
        <f t="shared" si="74"/>
        <v>0</v>
      </c>
      <c r="AS92" s="15">
        <f t="shared" si="74"/>
        <v>0</v>
      </c>
      <c r="AT92" s="15">
        <f t="shared" si="74"/>
        <v>0</v>
      </c>
      <c r="AU92" s="15">
        <f t="shared" si="74"/>
        <v>0</v>
      </c>
      <c r="AV92" s="15">
        <f t="shared" ref="AV92:AW92" si="75">AV103</f>
        <v>0</v>
      </c>
      <c r="AW92" s="15">
        <f t="shared" si="75"/>
        <v>0</v>
      </c>
    </row>
    <row r="93" spans="2:49" ht="14.25" customHeight="1">
      <c r="B93" s="1"/>
      <c r="C93" s="1" t="s">
        <v>445</v>
      </c>
      <c r="D93" s="1"/>
      <c r="E93" s="29">
        <f t="shared" ref="E93:X93" si="76">IFERROR(E91/E92,0)</f>
        <v>0</v>
      </c>
      <c r="F93" s="29">
        <f t="shared" si="76"/>
        <v>0</v>
      </c>
      <c r="G93" s="29">
        <f t="shared" si="76"/>
        <v>0</v>
      </c>
      <c r="H93" s="29">
        <f t="shared" si="76"/>
        <v>0</v>
      </c>
      <c r="I93" s="29">
        <f t="shared" si="76"/>
        <v>0</v>
      </c>
      <c r="J93" s="29">
        <f t="shared" si="76"/>
        <v>0</v>
      </c>
      <c r="K93" s="29">
        <f t="shared" si="76"/>
        <v>0</v>
      </c>
      <c r="L93" s="29">
        <f t="shared" si="76"/>
        <v>0</v>
      </c>
      <c r="M93" s="29">
        <f t="shared" si="76"/>
        <v>0</v>
      </c>
      <c r="N93" s="29">
        <f t="shared" si="76"/>
        <v>0</v>
      </c>
      <c r="O93" s="29">
        <f t="shared" si="76"/>
        <v>0</v>
      </c>
      <c r="P93" s="29">
        <f t="shared" si="76"/>
        <v>0</v>
      </c>
      <c r="Q93" s="29">
        <f t="shared" si="76"/>
        <v>0</v>
      </c>
      <c r="R93" s="29">
        <f t="shared" si="76"/>
        <v>0</v>
      </c>
      <c r="S93" s="29">
        <f t="shared" si="76"/>
        <v>0</v>
      </c>
      <c r="T93" s="29">
        <f t="shared" si="76"/>
        <v>0</v>
      </c>
      <c r="U93" s="29">
        <f t="shared" si="76"/>
        <v>0</v>
      </c>
      <c r="V93" s="29">
        <f t="shared" si="76"/>
        <v>0</v>
      </c>
      <c r="W93" s="29">
        <f t="shared" si="76"/>
        <v>0</v>
      </c>
      <c r="X93" s="29">
        <f t="shared" si="76"/>
        <v>0</v>
      </c>
      <c r="Y93" s="29">
        <f t="shared" ref="Y93:AU93" si="77">IFERROR(Y91/Y92,0)</f>
        <v>0</v>
      </c>
      <c r="Z93" s="29">
        <f t="shared" si="77"/>
        <v>0</v>
      </c>
      <c r="AA93" s="29">
        <f t="shared" si="77"/>
        <v>0</v>
      </c>
      <c r="AB93" s="29">
        <f t="shared" si="77"/>
        <v>0</v>
      </c>
      <c r="AC93" s="29">
        <f t="shared" si="77"/>
        <v>0</v>
      </c>
      <c r="AD93" s="29">
        <f t="shared" si="77"/>
        <v>0</v>
      </c>
      <c r="AE93" s="29">
        <f t="shared" si="77"/>
        <v>0</v>
      </c>
      <c r="AF93" s="29">
        <f t="shared" si="77"/>
        <v>0</v>
      </c>
      <c r="AG93" s="29">
        <f t="shared" si="77"/>
        <v>0</v>
      </c>
      <c r="AH93" s="29">
        <f t="shared" si="77"/>
        <v>0</v>
      </c>
      <c r="AI93" s="29">
        <f t="shared" si="77"/>
        <v>0</v>
      </c>
      <c r="AJ93" s="29">
        <f t="shared" si="77"/>
        <v>0</v>
      </c>
      <c r="AK93" s="29">
        <f t="shared" si="77"/>
        <v>0</v>
      </c>
      <c r="AL93" s="29">
        <f t="shared" si="77"/>
        <v>0</v>
      </c>
      <c r="AM93" s="29">
        <f t="shared" si="77"/>
        <v>0</v>
      </c>
      <c r="AN93" s="29">
        <f t="shared" si="77"/>
        <v>0</v>
      </c>
      <c r="AO93" s="29">
        <f t="shared" si="77"/>
        <v>0</v>
      </c>
      <c r="AP93" s="29">
        <f t="shared" si="77"/>
        <v>0</v>
      </c>
      <c r="AQ93" s="29">
        <f t="shared" si="77"/>
        <v>0</v>
      </c>
      <c r="AR93" s="29">
        <f t="shared" si="77"/>
        <v>0</v>
      </c>
      <c r="AS93" s="29">
        <f t="shared" si="77"/>
        <v>0</v>
      </c>
      <c r="AT93" s="29">
        <f t="shared" si="77"/>
        <v>0</v>
      </c>
      <c r="AU93" s="29">
        <f t="shared" si="77"/>
        <v>0</v>
      </c>
      <c r="AV93" s="29">
        <f t="shared" ref="AV93" si="78">IFERROR(AV91/AV92,0)</f>
        <v>0</v>
      </c>
      <c r="AW93" s="29">
        <f t="shared" ref="AW93" si="79">IFERROR(AW91/AW92,0)</f>
        <v>0</v>
      </c>
    </row>
    <row r="94" spans="2:49" ht="14.25" customHeight="1">
      <c r="B94" s="2" t="s">
        <v>351</v>
      </c>
      <c r="C94" s="2" t="s">
        <v>446</v>
      </c>
      <c r="D94" s="30">
        <f>-'Assumptions &amp; Inputs'!G7*SUM(E65,E67)</f>
        <v>-109.99999999999999</v>
      </c>
      <c r="E94" s="31">
        <f>SUM(E91,-E92)</f>
        <v>-36.666666666666664</v>
      </c>
      <c r="F94" s="31">
        <f t="shared" ref="F94:X94" si="80">SUM(F91,-F92)</f>
        <v>-36.666666666666664</v>
      </c>
      <c r="G94" s="31">
        <f t="shared" si="80"/>
        <v>9.4143964965711611</v>
      </c>
      <c r="H94" s="31">
        <f t="shared" si="80"/>
        <v>23.54950768127388</v>
      </c>
      <c r="I94" s="31">
        <f t="shared" si="80"/>
        <v>24.173533791540823</v>
      </c>
      <c r="J94" s="31">
        <f t="shared" si="80"/>
        <v>24.807203643961806</v>
      </c>
      <c r="K94" s="31">
        <f t="shared" si="80"/>
        <v>25.450672722332083</v>
      </c>
      <c r="L94" s="31">
        <f t="shared" si="80"/>
        <v>26.104098778239258</v>
      </c>
      <c r="M94" s="31">
        <f>SUM(M91,-M92)</f>
        <v>26.767641857427719</v>
      </c>
      <c r="N94" s="31">
        <f t="shared" si="80"/>
        <v>27.441464326226658</v>
      </c>
      <c r="O94" s="31">
        <f t="shared" si="80"/>
        <v>28.125730898030582</v>
      </c>
      <c r="P94" s="31">
        <f t="shared" si="80"/>
        <v>28.820608659821261</v>
      </c>
      <c r="Q94" s="31">
        <f t="shared" si="80"/>
        <v>29.52626709871889</v>
      </c>
      <c r="R94" s="31">
        <f t="shared" si="80"/>
        <v>30.242878128550295</v>
      </c>
      <c r="S94" s="31">
        <f t="shared" si="80"/>
        <v>30.970616116420913</v>
      </c>
      <c r="T94" s="31">
        <f t="shared" si="80"/>
        <v>31.709657909276878</v>
      </c>
      <c r="U94" s="31">
        <f t="shared" si="80"/>
        <v>32.460182860442664</v>
      </c>
      <c r="V94" s="31">
        <f t="shared" si="80"/>
        <v>33.222372856119563</v>
      </c>
      <c r="W94" s="31">
        <f t="shared" si="80"/>
        <v>33.996412341828986</v>
      </c>
      <c r="X94" s="31">
        <f t="shared" si="80"/>
        <v>34.782488348784057</v>
      </c>
      <c r="Y94" s="31">
        <f t="shared" ref="Y94:AU94" si="81">SUM(Y91,-Y92)</f>
        <v>35.580790520172506</v>
      </c>
      <c r="Z94" s="31">
        <f t="shared" si="81"/>
        <v>36.391511137332664</v>
      </c>
      <c r="AA94" s="31">
        <f t="shared" si="81"/>
        <v>37.214845145803686</v>
      </c>
      <c r="AB94" s="31">
        <f t="shared" si="81"/>
        <v>38.050990181230553</v>
      </c>
      <c r="AC94" s="31">
        <f t="shared" si="81"/>
        <v>38.900146595103053</v>
      </c>
      <c r="AD94" s="31">
        <f t="shared" si="81"/>
        <v>39.762517480307459</v>
      </c>
      <c r="AE94" s="31">
        <f t="shared" si="81"/>
        <v>40.638308696468727</v>
      </c>
      <c r="AF94" s="31">
        <f t="shared" si="81"/>
        <v>41.527728895059376</v>
      </c>
      <c r="AG94" s="31">
        <f t="shared" si="81"/>
        <v>0</v>
      </c>
      <c r="AH94" s="31">
        <f t="shared" si="81"/>
        <v>0</v>
      </c>
      <c r="AI94" s="31">
        <f t="shared" si="81"/>
        <v>0</v>
      </c>
      <c r="AJ94" s="31">
        <f t="shared" si="81"/>
        <v>0</v>
      </c>
      <c r="AK94" s="31">
        <f t="shared" si="81"/>
        <v>0</v>
      </c>
      <c r="AL94" s="31">
        <f t="shared" si="81"/>
        <v>0</v>
      </c>
      <c r="AM94" s="31">
        <f t="shared" si="81"/>
        <v>0</v>
      </c>
      <c r="AN94" s="31">
        <f t="shared" si="81"/>
        <v>0</v>
      </c>
      <c r="AO94" s="31">
        <f t="shared" si="81"/>
        <v>0</v>
      </c>
      <c r="AP94" s="31">
        <f t="shared" si="81"/>
        <v>0</v>
      </c>
      <c r="AQ94" s="31">
        <f t="shared" si="81"/>
        <v>0</v>
      </c>
      <c r="AR94" s="31">
        <f t="shared" si="81"/>
        <v>0</v>
      </c>
      <c r="AS94" s="31">
        <f t="shared" si="81"/>
        <v>0</v>
      </c>
      <c r="AT94" s="31">
        <f t="shared" si="81"/>
        <v>0</v>
      </c>
      <c r="AU94" s="31">
        <f t="shared" si="81"/>
        <v>0</v>
      </c>
      <c r="AV94" s="31">
        <f t="shared" ref="AV94:AW94" si="82">SUM(AV91,-AV92)</f>
        <v>0</v>
      </c>
      <c r="AW94" s="31">
        <f t="shared" si="82"/>
        <v>0</v>
      </c>
    </row>
    <row r="95" spans="2:49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2:49" ht="14.25" customHeight="1">
      <c r="B96" s="1"/>
      <c r="C96" s="1" t="s">
        <v>447</v>
      </c>
      <c r="D96" s="90">
        <v>0</v>
      </c>
      <c r="E96" s="90">
        <f t="shared" ref="E96:X96" si="83">D96+1</f>
        <v>1</v>
      </c>
      <c r="F96" s="90">
        <f t="shared" si="83"/>
        <v>2</v>
      </c>
      <c r="G96" s="90">
        <f t="shared" si="83"/>
        <v>3</v>
      </c>
      <c r="H96" s="90">
        <f t="shared" si="83"/>
        <v>4</v>
      </c>
      <c r="I96" s="90">
        <f t="shared" si="83"/>
        <v>5</v>
      </c>
      <c r="J96" s="90">
        <f t="shared" si="83"/>
        <v>6</v>
      </c>
      <c r="K96" s="90">
        <f t="shared" si="83"/>
        <v>7</v>
      </c>
      <c r="L96" s="90">
        <f t="shared" si="83"/>
        <v>8</v>
      </c>
      <c r="M96" s="90">
        <f t="shared" si="83"/>
        <v>9</v>
      </c>
      <c r="N96" s="90">
        <f t="shared" si="83"/>
        <v>10</v>
      </c>
      <c r="O96" s="90">
        <f t="shared" si="83"/>
        <v>11</v>
      </c>
      <c r="P96" s="90">
        <f t="shared" si="83"/>
        <v>12</v>
      </c>
      <c r="Q96" s="90">
        <f t="shared" si="83"/>
        <v>13</v>
      </c>
      <c r="R96" s="90">
        <f t="shared" si="83"/>
        <v>14</v>
      </c>
      <c r="S96" s="90">
        <f t="shared" si="83"/>
        <v>15</v>
      </c>
      <c r="T96" s="90">
        <f t="shared" si="83"/>
        <v>16</v>
      </c>
      <c r="U96" s="90">
        <f t="shared" si="83"/>
        <v>17</v>
      </c>
      <c r="V96" s="90">
        <f t="shared" si="83"/>
        <v>18</v>
      </c>
      <c r="W96" s="90">
        <f t="shared" si="83"/>
        <v>19</v>
      </c>
      <c r="X96" s="90">
        <f t="shared" si="83"/>
        <v>20</v>
      </c>
      <c r="Y96" s="90">
        <f t="shared" ref="Y96:AU96" si="84">X96+1</f>
        <v>21</v>
      </c>
      <c r="Z96" s="90">
        <f t="shared" si="84"/>
        <v>22</v>
      </c>
      <c r="AA96" s="90">
        <f t="shared" si="84"/>
        <v>23</v>
      </c>
      <c r="AB96" s="90">
        <f t="shared" si="84"/>
        <v>24</v>
      </c>
      <c r="AC96" s="90">
        <f t="shared" si="84"/>
        <v>25</v>
      </c>
      <c r="AD96" s="90">
        <f t="shared" si="84"/>
        <v>26</v>
      </c>
      <c r="AE96" s="90">
        <f t="shared" si="84"/>
        <v>27</v>
      </c>
      <c r="AF96" s="90">
        <f t="shared" si="84"/>
        <v>28</v>
      </c>
      <c r="AG96" s="90">
        <f t="shared" si="84"/>
        <v>29</v>
      </c>
      <c r="AH96" s="90">
        <f t="shared" si="84"/>
        <v>30</v>
      </c>
      <c r="AI96" s="90">
        <f t="shared" si="84"/>
        <v>31</v>
      </c>
      <c r="AJ96" s="90">
        <f t="shared" si="84"/>
        <v>32</v>
      </c>
      <c r="AK96" s="90">
        <f t="shared" si="84"/>
        <v>33</v>
      </c>
      <c r="AL96" s="90">
        <f t="shared" si="84"/>
        <v>34</v>
      </c>
      <c r="AM96" s="90">
        <f t="shared" si="84"/>
        <v>35</v>
      </c>
      <c r="AN96" s="90">
        <f t="shared" si="84"/>
        <v>36</v>
      </c>
      <c r="AO96" s="90">
        <f t="shared" si="84"/>
        <v>37</v>
      </c>
      <c r="AP96" s="90">
        <f t="shared" si="84"/>
        <v>38</v>
      </c>
      <c r="AQ96" s="90">
        <f t="shared" si="84"/>
        <v>39</v>
      </c>
      <c r="AR96" s="90">
        <f t="shared" si="84"/>
        <v>40</v>
      </c>
      <c r="AS96" s="90">
        <f t="shared" si="84"/>
        <v>41</v>
      </c>
      <c r="AT96" s="90">
        <f t="shared" si="84"/>
        <v>42</v>
      </c>
      <c r="AU96" s="90">
        <f t="shared" si="84"/>
        <v>43</v>
      </c>
      <c r="AV96" s="90">
        <f t="shared" ref="AV96:AW96" si="85">AU96+1</f>
        <v>44</v>
      </c>
      <c r="AW96" s="90">
        <f t="shared" si="85"/>
        <v>45</v>
      </c>
    </row>
    <row r="97" spans="1:49" ht="14.25" customHeight="1">
      <c r="A97" s="1"/>
      <c r="B97" s="1"/>
      <c r="C97" s="1" t="s">
        <v>448</v>
      </c>
      <c r="D97" s="501">
        <f>IF(D89&lt;=YEAR('Assumptions &amp; Inputs'!$G$29), $E$79, IF(ISNUMBER(C99), C99, 0))</f>
        <v>0</v>
      </c>
      <c r="E97" s="501">
        <f>IF(E89&lt;=YEAR('Assumptions &amp; Inputs'!$G$29), $E$79, IF(ISNUMBER(D99), D99, 0))</f>
        <v>0</v>
      </c>
      <c r="F97" s="501">
        <f>IF(F89&lt;=YEAR('Assumptions &amp; Inputs'!$G$29), $E$79, IF(ISNUMBER(E99), E99, 0))</f>
        <v>0</v>
      </c>
      <c r="G97" s="501">
        <f>IF(G89&lt;=YEAR('Assumptions &amp; Inputs'!$G$29), $E$79, IF(ISNUMBER(F99), F99, 0))</f>
        <v>0</v>
      </c>
      <c r="H97" s="501">
        <f>IF(H89&lt;=YEAR('Assumptions &amp; Inputs'!$G$29), $E$79, IF(ISNUMBER(G99), G99, 0))</f>
        <v>0</v>
      </c>
      <c r="I97" s="501">
        <f>IF(I89&lt;=YEAR('Assumptions &amp; Inputs'!$G$29), $E$79, IF(ISNUMBER(H99), H99, 0))</f>
        <v>0</v>
      </c>
      <c r="J97" s="501">
        <f>IF(J89&lt;=YEAR('Assumptions &amp; Inputs'!$G$29), $E$79, IF(ISNUMBER(I99), I99, 0))</f>
        <v>0</v>
      </c>
      <c r="K97" s="501">
        <f>IF(K89&lt;=YEAR('Assumptions &amp; Inputs'!$G$29), $E$79, IF(ISNUMBER(J99), J99, 0))</f>
        <v>0</v>
      </c>
      <c r="L97" s="501">
        <f>IF(L89&lt;=YEAR('Assumptions &amp; Inputs'!$G$29), $E$79, IF(ISNUMBER(K99), K99, 0))</f>
        <v>0</v>
      </c>
      <c r="M97" s="501">
        <f>IF(M89&lt;=YEAR('Assumptions &amp; Inputs'!$G$29), $E$79, IF(ISNUMBER(L99), L99, 0))</f>
        <v>0</v>
      </c>
      <c r="N97" s="501">
        <f>IF(N89&lt;=YEAR('Assumptions &amp; Inputs'!$G$29), $E$79, IF(ISNUMBER(M99), M99, 0))</f>
        <v>0</v>
      </c>
      <c r="O97" s="501">
        <f>IF(O89&lt;=YEAR('Assumptions &amp; Inputs'!$G$29), $E$79, IF(ISNUMBER(N99), N99, 0))</f>
        <v>0</v>
      </c>
      <c r="P97" s="501">
        <f>IF(P89&lt;=YEAR('Assumptions &amp; Inputs'!$G$29), $E$79, IF(ISNUMBER(O99), O99, 0))</f>
        <v>0</v>
      </c>
      <c r="Q97" s="501">
        <f>IF(Q89&lt;=YEAR('Assumptions &amp; Inputs'!$G$29), $E$79, IF(ISNUMBER(P99), P99, 0))</f>
        <v>0</v>
      </c>
      <c r="R97" s="501">
        <f>IF(R89&lt;=YEAR('Assumptions &amp; Inputs'!$G$29), $E$79, IF(ISNUMBER(Q99), Q99, 0))</f>
        <v>0</v>
      </c>
      <c r="S97" s="501">
        <f>IF(S89&lt;=YEAR('Assumptions &amp; Inputs'!$G$29), $E$79, IF(ISNUMBER(R99), R99, 0))</f>
        <v>0</v>
      </c>
      <c r="T97" s="501">
        <f>IF(T89&lt;=YEAR('Assumptions &amp; Inputs'!$G$29), $E$79, IF(ISNUMBER(S99), S99, 0))</f>
        <v>0</v>
      </c>
      <c r="U97" s="501">
        <f>IF(U89&lt;=YEAR('Assumptions &amp; Inputs'!$G$29), $E$79, IF(ISNUMBER(T99), T99, 0))</f>
        <v>0</v>
      </c>
      <c r="V97" s="501">
        <f>IF(V89&lt;=YEAR('Assumptions &amp; Inputs'!$G$29), $E$79, IF(ISNUMBER(U99), U99, 0))</f>
        <v>0</v>
      </c>
      <c r="W97" s="501">
        <f>IF(W89&lt;=YEAR('Assumptions &amp; Inputs'!$G$29), $E$79, IF(ISNUMBER(V99), V99, 0))</f>
        <v>0</v>
      </c>
      <c r="X97" s="501">
        <f>IF(X89&lt;=YEAR('Assumptions &amp; Inputs'!$G$29), $E$79, IF(ISNUMBER(W99), W99, 0))</f>
        <v>0</v>
      </c>
      <c r="Y97" s="501">
        <f>IF(Y89&lt;=YEAR('Assumptions &amp; Inputs'!$G$29), $E$79, IF(ISNUMBER(X99), X99, 0))</f>
        <v>0</v>
      </c>
      <c r="Z97" s="501">
        <f>IF(Z89&lt;=YEAR('Assumptions &amp; Inputs'!$G$29), $E$79, IF(ISNUMBER(Y99), Y99, 0))</f>
        <v>0</v>
      </c>
      <c r="AA97" s="501">
        <f>IF(AA89&lt;=YEAR('Assumptions &amp; Inputs'!$G$29), $E$79, IF(ISNUMBER(Z99), Z99, 0))</f>
        <v>0</v>
      </c>
      <c r="AB97" s="501">
        <f>IF(AB89&lt;=YEAR('Assumptions &amp; Inputs'!$G$29), $E$79, IF(ISNUMBER(AA99), AA99, 0))</f>
        <v>0</v>
      </c>
      <c r="AC97" s="501">
        <f>IF(AC89&lt;=YEAR('Assumptions &amp; Inputs'!$G$29), $E$79, IF(ISNUMBER(AB99), AB99, 0))</f>
        <v>0</v>
      </c>
      <c r="AD97" s="501">
        <f>IF(AD89&lt;=YEAR('Assumptions &amp; Inputs'!$G$29), $E$79, IF(ISNUMBER(AC99), AC99, 0))</f>
        <v>0</v>
      </c>
      <c r="AE97" s="501">
        <f>IF(AE89&lt;=YEAR('Assumptions &amp; Inputs'!$G$29), $E$79, IF(ISNUMBER(AD99), AD99, 0))</f>
        <v>0</v>
      </c>
      <c r="AF97" s="501">
        <f>IF(AF89&lt;=YEAR('Assumptions &amp; Inputs'!$G$29), $E$79, IF(ISNUMBER(AE99), AE99, 0))</f>
        <v>0</v>
      </c>
      <c r="AG97" s="501">
        <f>IF(AG89&lt;=YEAR('Assumptions &amp; Inputs'!$G$29), $E$79, IF(ISNUMBER(AF99), AF99, 0))</f>
        <v>0</v>
      </c>
      <c r="AH97" s="501">
        <f>IF(AH89&lt;=YEAR('Assumptions &amp; Inputs'!$G$29), $E$79, IF(ISNUMBER(AG99), AG99, 0))</f>
        <v>0</v>
      </c>
      <c r="AI97" s="501">
        <f>IF(AI89&lt;=YEAR('Assumptions &amp; Inputs'!$G$29), $E$79, IF(ISNUMBER(AH99), AH99, 0))</f>
        <v>0</v>
      </c>
      <c r="AJ97" s="501">
        <f>IF(AJ89&lt;=YEAR('Assumptions &amp; Inputs'!$G$29), $E$79, IF(ISNUMBER(AI99), AI99, 0))</f>
        <v>0</v>
      </c>
      <c r="AK97" s="501">
        <f>IF(AK89&lt;=YEAR('Assumptions &amp; Inputs'!$G$29), $E$79, IF(ISNUMBER(AJ99), AJ99, 0))</f>
        <v>0</v>
      </c>
      <c r="AL97" s="501">
        <f>IF(AL89&lt;=YEAR('Assumptions &amp; Inputs'!$G$29), $E$79, IF(ISNUMBER(AK99), AK99, 0))</f>
        <v>0</v>
      </c>
      <c r="AM97" s="501">
        <f>IF(AM89&lt;=YEAR('Assumptions &amp; Inputs'!$G$29), $E$79, IF(ISNUMBER(AL99), AL99, 0))</f>
        <v>0</v>
      </c>
      <c r="AN97" s="501">
        <f>IF(AN89&lt;=YEAR('Assumptions &amp; Inputs'!$G$29), $E$79, IF(ISNUMBER(AM99), AM99, 0))</f>
        <v>0</v>
      </c>
      <c r="AO97" s="501">
        <f>IF(AO89&lt;=YEAR('Assumptions &amp; Inputs'!$G$29), $E$79, IF(ISNUMBER(AN99), AN99, 0))</f>
        <v>0</v>
      </c>
      <c r="AP97" s="501">
        <f>IF(AP89&lt;=YEAR('Assumptions &amp; Inputs'!$G$29), $E$79, IF(ISNUMBER(AO99), AO99, 0))</f>
        <v>0</v>
      </c>
      <c r="AQ97" s="501">
        <f>IF(AQ89&lt;=YEAR('Assumptions &amp; Inputs'!$G$29), $E$79, IF(ISNUMBER(AP99), AP99, 0))</f>
        <v>0</v>
      </c>
      <c r="AR97" s="501">
        <f>IF(AR89&lt;=YEAR('Assumptions &amp; Inputs'!$G$29), $E$79, IF(ISNUMBER(AQ99), AQ99, 0))</f>
        <v>0</v>
      </c>
      <c r="AS97" s="501">
        <f>IF(AS89&lt;=YEAR('Assumptions &amp; Inputs'!$G$29), $E$79, IF(ISNUMBER(AR99), AR99, 0))</f>
        <v>0</v>
      </c>
      <c r="AT97" s="501">
        <f>IF(AT89&lt;=YEAR('Assumptions &amp; Inputs'!$G$29), $E$79, IF(ISNUMBER(AS99), AS99, 0))</f>
        <v>0</v>
      </c>
      <c r="AU97" s="501">
        <f>IF(AU89&lt;=YEAR('Assumptions &amp; Inputs'!$G$29), $E$79, IF(ISNUMBER(AT99), AT99, 0))</f>
        <v>0</v>
      </c>
      <c r="AV97" s="501">
        <f>IF(AV89&lt;=YEAR('Assumptions &amp; Inputs'!$G$29), $E$79, IF(ISNUMBER(AU99), AU99, 0))</f>
        <v>0</v>
      </c>
      <c r="AW97" s="501">
        <f>IF(AW89&lt;=YEAR('Assumptions &amp; Inputs'!$G$29), $E$79, IF(ISNUMBER(AV99), AV99, 0))</f>
        <v>0</v>
      </c>
    </row>
    <row r="98" spans="1:49" ht="14.25" customHeight="1">
      <c r="A98" s="1"/>
      <c r="B98" s="1"/>
      <c r="C98" s="1" t="s">
        <v>449</v>
      </c>
      <c r="D98" s="501"/>
      <c r="E98" s="501">
        <f>IFERROR(PPMT('Assumptions &amp; Inputs'!$G$10,E89-YEAR('Assumptions &amp; Inputs'!$G$29),'Assumptions &amp; Inputs'!$G$9,$E$79), 0)</f>
        <v>0</v>
      </c>
      <c r="F98" s="501">
        <f>IFERROR(PPMT('Assumptions &amp; Inputs'!$G$10,F89-YEAR('Assumptions &amp; Inputs'!$G$29),'Assumptions &amp; Inputs'!$G$9,$E$79), 0)</f>
        <v>0</v>
      </c>
      <c r="G98" s="501">
        <f>IFERROR(PPMT('Assumptions &amp; Inputs'!$G$10,G89-YEAR('Assumptions &amp; Inputs'!$G$29),'Assumptions &amp; Inputs'!$G$9,$E$79), 0)</f>
        <v>0</v>
      </c>
      <c r="H98" s="501">
        <f>IFERROR(PPMT('Assumptions &amp; Inputs'!$G$10,H89-YEAR('Assumptions &amp; Inputs'!$G$29),'Assumptions &amp; Inputs'!$G$9,$E$79), 0)</f>
        <v>0</v>
      </c>
      <c r="I98" s="501">
        <f>IFERROR(PPMT('Assumptions &amp; Inputs'!$G$10,I89-YEAR('Assumptions &amp; Inputs'!$G$29),'Assumptions &amp; Inputs'!$G$9,$E$79), 0)</f>
        <v>0</v>
      </c>
      <c r="J98" s="501">
        <f>IFERROR(PPMT('Assumptions &amp; Inputs'!$G$10,J89-YEAR('Assumptions &amp; Inputs'!$G$29),'Assumptions &amp; Inputs'!$G$9,$E$79), 0)</f>
        <v>0</v>
      </c>
      <c r="K98" s="501">
        <f>IFERROR(PPMT('Assumptions &amp; Inputs'!$G$10,K89-YEAR('Assumptions &amp; Inputs'!$G$29),'Assumptions &amp; Inputs'!$G$9,$E$79), 0)</f>
        <v>0</v>
      </c>
      <c r="L98" s="501">
        <f>IFERROR(PPMT('Assumptions &amp; Inputs'!$G$10,L89-YEAR('Assumptions &amp; Inputs'!$G$29),'Assumptions &amp; Inputs'!$G$9,$E$79), 0)</f>
        <v>0</v>
      </c>
      <c r="M98" s="501">
        <f>IFERROR(PPMT('Assumptions &amp; Inputs'!$G$10,M89-YEAR('Assumptions &amp; Inputs'!$G$29),'Assumptions &amp; Inputs'!$G$9,$E$79), 0)</f>
        <v>0</v>
      </c>
      <c r="N98" s="501">
        <f>IFERROR(PPMT('Assumptions &amp; Inputs'!$G$10,N89-YEAR('Assumptions &amp; Inputs'!$G$29),'Assumptions &amp; Inputs'!$G$9,$E$79), 0)</f>
        <v>0</v>
      </c>
      <c r="O98" s="501">
        <f>IFERROR(PPMT('Assumptions &amp; Inputs'!$G$10,O89-YEAR('Assumptions &amp; Inputs'!$G$29),'Assumptions &amp; Inputs'!$G$9,$E$79), 0)</f>
        <v>0</v>
      </c>
      <c r="P98" s="501">
        <f>IFERROR(PPMT('Assumptions &amp; Inputs'!$G$10,P89-YEAR('Assumptions &amp; Inputs'!$G$29),'Assumptions &amp; Inputs'!$G$9,$E$79), 0)</f>
        <v>0</v>
      </c>
      <c r="Q98" s="501">
        <f>IFERROR(PPMT('Assumptions &amp; Inputs'!$G$10,Q89-YEAR('Assumptions &amp; Inputs'!$G$29),'Assumptions &amp; Inputs'!$G$9,$E$79), 0)</f>
        <v>0</v>
      </c>
      <c r="R98" s="501">
        <f>IFERROR(PPMT('Assumptions &amp; Inputs'!$G$10,R89-YEAR('Assumptions &amp; Inputs'!$G$29),'Assumptions &amp; Inputs'!$G$9,$E$79), 0)</f>
        <v>0</v>
      </c>
      <c r="S98" s="501">
        <f>IFERROR(PPMT('Assumptions &amp; Inputs'!$G$10,S89-YEAR('Assumptions &amp; Inputs'!$G$29),'Assumptions &amp; Inputs'!$G$9,$E$79), 0)</f>
        <v>0</v>
      </c>
      <c r="T98" s="501">
        <f>IFERROR(PPMT('Assumptions &amp; Inputs'!$G$10,T89-YEAR('Assumptions &amp; Inputs'!$G$29),'Assumptions &amp; Inputs'!$G$9,$E$79), 0)</f>
        <v>0</v>
      </c>
      <c r="U98" s="501">
        <f>IFERROR(PPMT('Assumptions &amp; Inputs'!$G$10,U89-YEAR('Assumptions &amp; Inputs'!$G$29),'Assumptions &amp; Inputs'!$G$9,$E$79), 0)</f>
        <v>0</v>
      </c>
      <c r="V98" s="501">
        <f>IFERROR(PPMT('Assumptions &amp; Inputs'!$G$10,V89-YEAR('Assumptions &amp; Inputs'!$G$29),'Assumptions &amp; Inputs'!$G$9,$E$79), 0)</f>
        <v>0</v>
      </c>
      <c r="W98" s="501">
        <f>IFERROR(PPMT('Assumptions &amp; Inputs'!$G$10,W89-YEAR('Assumptions &amp; Inputs'!$G$29),'Assumptions &amp; Inputs'!$G$9,$E$79), 0)</f>
        <v>0</v>
      </c>
      <c r="X98" s="501">
        <f>IFERROR(PPMT('Assumptions &amp; Inputs'!$G$10,X89-YEAR('Assumptions &amp; Inputs'!$G$29),'Assumptions &amp; Inputs'!$G$9,$E$79), 0)</f>
        <v>0</v>
      </c>
      <c r="Y98" s="501">
        <f>IFERROR(PPMT('Assumptions &amp; Inputs'!$G$10,Y89-YEAR('Assumptions &amp; Inputs'!$G$29),'Assumptions &amp; Inputs'!$G$9,$E$79), 0)</f>
        <v>0</v>
      </c>
      <c r="Z98" s="501">
        <f>IFERROR(PPMT('Assumptions &amp; Inputs'!$G$10,Z89-YEAR('Assumptions &amp; Inputs'!$G$29),'Assumptions &amp; Inputs'!$G$9,$E$79), 0)</f>
        <v>0</v>
      </c>
      <c r="AA98" s="501">
        <f>IFERROR(PPMT('Assumptions &amp; Inputs'!$G$10,AA89-YEAR('Assumptions &amp; Inputs'!$G$29),'Assumptions &amp; Inputs'!$G$9,$E$79), 0)</f>
        <v>0</v>
      </c>
      <c r="AB98" s="501">
        <f>IFERROR(PPMT('Assumptions &amp; Inputs'!$G$10,AB89-YEAR('Assumptions &amp; Inputs'!$G$29),'Assumptions &amp; Inputs'!$G$9,$E$79), 0)</f>
        <v>0</v>
      </c>
      <c r="AC98" s="501">
        <f>IFERROR(PPMT('Assumptions &amp; Inputs'!$G$10,AC89-YEAR('Assumptions &amp; Inputs'!$G$29),'Assumptions &amp; Inputs'!$G$9,$E$79), 0)</f>
        <v>0</v>
      </c>
      <c r="AD98" s="501">
        <f>IFERROR(PPMT('Assumptions &amp; Inputs'!$G$10,AD89-YEAR('Assumptions &amp; Inputs'!$G$29),'Assumptions &amp; Inputs'!$G$9,$E$79), 0)</f>
        <v>0</v>
      </c>
      <c r="AE98" s="501">
        <f>IFERROR(PPMT('Assumptions &amp; Inputs'!$G$10,AE89-YEAR('Assumptions &amp; Inputs'!$G$29),'Assumptions &amp; Inputs'!$G$9,$E$79), 0)</f>
        <v>0</v>
      </c>
      <c r="AF98" s="501">
        <f>IFERROR(PPMT('Assumptions &amp; Inputs'!$G$10,AF89-YEAR('Assumptions &amp; Inputs'!$G$29),'Assumptions &amp; Inputs'!$G$9,$E$79), 0)</f>
        <v>0</v>
      </c>
      <c r="AG98" s="501">
        <f>IFERROR(PPMT('Assumptions &amp; Inputs'!$G$10,AG89-YEAR('Assumptions &amp; Inputs'!$G$29),'Assumptions &amp; Inputs'!$G$9,$E$79), 0)</f>
        <v>0</v>
      </c>
      <c r="AH98" s="501">
        <f>IFERROR(PPMT('Assumptions &amp; Inputs'!$G$10,AH89-YEAR('Assumptions &amp; Inputs'!$G$29),'Assumptions &amp; Inputs'!$G$9,$E$79), 0)</f>
        <v>0</v>
      </c>
      <c r="AI98" s="501">
        <f>IFERROR(PPMT('Assumptions &amp; Inputs'!$G$10,AI89-YEAR('Assumptions &amp; Inputs'!$G$29),'Assumptions &amp; Inputs'!$G$9,$E$79), 0)</f>
        <v>0</v>
      </c>
      <c r="AJ98" s="501">
        <f>IFERROR(PPMT('Assumptions &amp; Inputs'!$G$10,AJ89-YEAR('Assumptions &amp; Inputs'!$G$29),'Assumptions &amp; Inputs'!$G$9,$E$79), 0)</f>
        <v>0</v>
      </c>
      <c r="AK98" s="501">
        <f>IFERROR(PPMT('Assumptions &amp; Inputs'!$G$10,AK89-YEAR('Assumptions &amp; Inputs'!$G$29),'Assumptions &amp; Inputs'!$G$9,$E$79), 0)</f>
        <v>0</v>
      </c>
      <c r="AL98" s="501">
        <f>IFERROR(PPMT('Assumptions &amp; Inputs'!$G$10,AL89-YEAR('Assumptions &amp; Inputs'!$G$29),'Assumptions &amp; Inputs'!$G$9,$E$79), 0)</f>
        <v>0</v>
      </c>
      <c r="AM98" s="501">
        <f>IFERROR(PPMT('Assumptions &amp; Inputs'!$G$10,AM89-YEAR('Assumptions &amp; Inputs'!$G$29),'Assumptions &amp; Inputs'!$G$9,$E$79), 0)</f>
        <v>0</v>
      </c>
      <c r="AN98" s="501">
        <f>IFERROR(PPMT('Assumptions &amp; Inputs'!$G$10,AN89-YEAR('Assumptions &amp; Inputs'!$G$29),'Assumptions &amp; Inputs'!$G$9,$E$79), 0)</f>
        <v>0</v>
      </c>
      <c r="AO98" s="501">
        <f>IFERROR(PPMT('Assumptions &amp; Inputs'!$G$10,AO89-YEAR('Assumptions &amp; Inputs'!$G$29),'Assumptions &amp; Inputs'!$G$9,$E$79), 0)</f>
        <v>0</v>
      </c>
      <c r="AP98" s="501">
        <f>IFERROR(PPMT('Assumptions &amp; Inputs'!$G$10,AP89-YEAR('Assumptions &amp; Inputs'!$G$29),'Assumptions &amp; Inputs'!$G$9,$E$79), 0)</f>
        <v>0</v>
      </c>
      <c r="AQ98" s="501">
        <f>IFERROR(PPMT('Assumptions &amp; Inputs'!$G$10,AQ89-YEAR('Assumptions &amp; Inputs'!$G$29),'Assumptions &amp; Inputs'!$G$9,$E$79), 0)</f>
        <v>0</v>
      </c>
      <c r="AR98" s="501">
        <f>IFERROR(PPMT('Assumptions &amp; Inputs'!$G$10,AR89-YEAR('Assumptions &amp; Inputs'!$G$29),'Assumptions &amp; Inputs'!$G$9,$E$79), 0)</f>
        <v>0</v>
      </c>
      <c r="AS98" s="501">
        <f>IFERROR(PPMT('Assumptions &amp; Inputs'!$G$10,AS89-YEAR('Assumptions &amp; Inputs'!$G$29),'Assumptions &amp; Inputs'!$G$9,$E$79), 0)</f>
        <v>0</v>
      </c>
      <c r="AT98" s="501">
        <f>IFERROR(PPMT('Assumptions &amp; Inputs'!$G$10,AT89-YEAR('Assumptions &amp; Inputs'!$G$29),'Assumptions &amp; Inputs'!$G$9,$E$79), 0)</f>
        <v>0</v>
      </c>
      <c r="AU98" s="501">
        <f>IFERROR(PPMT('Assumptions &amp; Inputs'!$G$10,AU89-YEAR('Assumptions &amp; Inputs'!$G$29),'Assumptions &amp; Inputs'!$G$9,$E$79), 0)</f>
        <v>0</v>
      </c>
      <c r="AV98" s="501">
        <f>IFERROR(PPMT('Assumptions &amp; Inputs'!$G$10,AV89-YEAR('Assumptions &amp; Inputs'!$G$29),'Assumptions &amp; Inputs'!$G$9,$E$79), 0)</f>
        <v>0</v>
      </c>
      <c r="AW98" s="501">
        <f>IFERROR(PPMT('Assumptions &amp; Inputs'!$G$10,AW89-YEAR('Assumptions &amp; Inputs'!$G$29),'Assumptions &amp; Inputs'!$G$9,$E$79), 0)</f>
        <v>0</v>
      </c>
    </row>
    <row r="99" spans="1:49" ht="14.25" customHeight="1">
      <c r="A99" s="1"/>
      <c r="B99" s="1"/>
      <c r="C99" s="1" t="s">
        <v>450</v>
      </c>
      <c r="D99" s="501">
        <f>D97</f>
        <v>0</v>
      </c>
      <c r="E99" s="501">
        <f>SUM(E97:E98)</f>
        <v>0</v>
      </c>
      <c r="F99" s="501">
        <f t="shared" ref="F99:J99" si="86">SUM(F97:F98)</f>
        <v>0</v>
      </c>
      <c r="G99" s="501">
        <f>SUM(G97:G98)</f>
        <v>0</v>
      </c>
      <c r="H99" s="501">
        <f t="shared" si="86"/>
        <v>0</v>
      </c>
      <c r="I99" s="501">
        <f t="shared" si="86"/>
        <v>0</v>
      </c>
      <c r="J99" s="501">
        <f t="shared" si="86"/>
        <v>0</v>
      </c>
      <c r="K99" s="501">
        <f t="shared" ref="K99:AW99" si="87">SUM(K97:K98)</f>
        <v>0</v>
      </c>
      <c r="L99" s="501">
        <f t="shared" si="87"/>
        <v>0</v>
      </c>
      <c r="M99" s="501">
        <f t="shared" si="87"/>
        <v>0</v>
      </c>
      <c r="N99" s="501">
        <f t="shared" si="87"/>
        <v>0</v>
      </c>
      <c r="O99" s="501">
        <f t="shared" si="87"/>
        <v>0</v>
      </c>
      <c r="P99" s="501">
        <f t="shared" si="87"/>
        <v>0</v>
      </c>
      <c r="Q99" s="501">
        <f t="shared" si="87"/>
        <v>0</v>
      </c>
      <c r="R99" s="501">
        <f t="shared" si="87"/>
        <v>0</v>
      </c>
      <c r="S99" s="501">
        <f t="shared" si="87"/>
        <v>0</v>
      </c>
      <c r="T99" s="501">
        <f t="shared" si="87"/>
        <v>0</v>
      </c>
      <c r="U99" s="501">
        <f t="shared" si="87"/>
        <v>0</v>
      </c>
      <c r="V99" s="501">
        <f t="shared" si="87"/>
        <v>0</v>
      </c>
      <c r="W99" s="501">
        <f t="shared" si="87"/>
        <v>0</v>
      </c>
      <c r="X99" s="501">
        <f t="shared" si="87"/>
        <v>0</v>
      </c>
      <c r="Y99" s="501">
        <f t="shared" si="87"/>
        <v>0</v>
      </c>
      <c r="Z99" s="501">
        <f t="shared" si="87"/>
        <v>0</v>
      </c>
      <c r="AA99" s="501">
        <f t="shared" si="87"/>
        <v>0</v>
      </c>
      <c r="AB99" s="501">
        <f t="shared" si="87"/>
        <v>0</v>
      </c>
      <c r="AC99" s="501">
        <f t="shared" si="87"/>
        <v>0</v>
      </c>
      <c r="AD99" s="501">
        <f t="shared" si="87"/>
        <v>0</v>
      </c>
      <c r="AE99" s="501">
        <f t="shared" si="87"/>
        <v>0</v>
      </c>
      <c r="AF99" s="501">
        <f t="shared" si="87"/>
        <v>0</v>
      </c>
      <c r="AG99" s="501">
        <f t="shared" si="87"/>
        <v>0</v>
      </c>
      <c r="AH99" s="501">
        <f t="shared" si="87"/>
        <v>0</v>
      </c>
      <c r="AI99" s="501">
        <f t="shared" si="87"/>
        <v>0</v>
      </c>
      <c r="AJ99" s="501">
        <f t="shared" si="87"/>
        <v>0</v>
      </c>
      <c r="AK99" s="501">
        <f t="shared" si="87"/>
        <v>0</v>
      </c>
      <c r="AL99" s="501">
        <f t="shared" si="87"/>
        <v>0</v>
      </c>
      <c r="AM99" s="501">
        <f t="shared" si="87"/>
        <v>0</v>
      </c>
      <c r="AN99" s="501">
        <f t="shared" si="87"/>
        <v>0</v>
      </c>
      <c r="AO99" s="501">
        <f t="shared" si="87"/>
        <v>0</v>
      </c>
      <c r="AP99" s="501">
        <f t="shared" si="87"/>
        <v>0</v>
      </c>
      <c r="AQ99" s="501">
        <f t="shared" si="87"/>
        <v>0</v>
      </c>
      <c r="AR99" s="501">
        <f t="shared" si="87"/>
        <v>0</v>
      </c>
      <c r="AS99" s="501">
        <f t="shared" si="87"/>
        <v>0</v>
      </c>
      <c r="AT99" s="501">
        <f t="shared" si="87"/>
        <v>0</v>
      </c>
      <c r="AU99" s="501">
        <f t="shared" si="87"/>
        <v>0</v>
      </c>
      <c r="AV99" s="501">
        <f t="shared" si="87"/>
        <v>0</v>
      </c>
      <c r="AW99" s="501">
        <f t="shared" si="87"/>
        <v>0</v>
      </c>
    </row>
    <row r="100" spans="1:49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4.25" customHeight="1">
      <c r="A101" s="1"/>
      <c r="B101" s="1"/>
      <c r="C101" s="1" t="s">
        <v>451</v>
      </c>
      <c r="D101" s="1"/>
      <c r="E101" s="8">
        <f>IFERROR(-IPMT('Assumptions &amp; Inputs'!$G$10,E89-YEAR('Assumptions &amp; Inputs'!$G$29),'Assumptions &amp; Inputs'!$G$9,$E$79), 0)</f>
        <v>0</v>
      </c>
      <c r="F101" s="8">
        <f>IFERROR(-IPMT('Assumptions &amp; Inputs'!$G$10,F89-YEAR('Assumptions &amp; Inputs'!$G$29),'Assumptions &amp; Inputs'!$G$9,$E$79), 0)</f>
        <v>0</v>
      </c>
      <c r="G101" s="8">
        <f>IFERROR(-IPMT('Assumptions &amp; Inputs'!$G$10,G89-YEAR('Assumptions &amp; Inputs'!$G$29),'Assumptions &amp; Inputs'!$G$9,$E$79), 0)</f>
        <v>0</v>
      </c>
      <c r="H101" s="8">
        <f>IFERROR(-IPMT('Assumptions &amp; Inputs'!$G$10,H89-YEAR('Assumptions &amp; Inputs'!$G$29),'Assumptions &amp; Inputs'!$G$9,$E$79), 0)</f>
        <v>0</v>
      </c>
      <c r="I101" s="8">
        <f>IFERROR(-IPMT('Assumptions &amp; Inputs'!$G$10,I89-YEAR('Assumptions &amp; Inputs'!$G$29),'Assumptions &amp; Inputs'!$G$9,$E$79), 0)</f>
        <v>0</v>
      </c>
      <c r="J101" s="8">
        <f>IFERROR(-IPMT('Assumptions &amp; Inputs'!$G$10,J89-YEAR('Assumptions &amp; Inputs'!$G$29),'Assumptions &amp; Inputs'!$G$9,$E$79), 0)</f>
        <v>0</v>
      </c>
      <c r="K101" s="8">
        <f>IFERROR(-IPMT('Assumptions &amp; Inputs'!$G$10,K89-YEAR('Assumptions &amp; Inputs'!$G$29),'Assumptions &amp; Inputs'!$G$9,$E$79), 0)</f>
        <v>0</v>
      </c>
      <c r="L101" s="8">
        <f>IFERROR(-IPMT('Assumptions &amp; Inputs'!$G$10,L89-YEAR('Assumptions &amp; Inputs'!$G$29),'Assumptions &amp; Inputs'!$G$9,$E$79), 0)</f>
        <v>0</v>
      </c>
      <c r="M101" s="8">
        <f>IFERROR(-IPMT('Assumptions &amp; Inputs'!$G$10,M89-YEAR('Assumptions &amp; Inputs'!$G$29),'Assumptions &amp; Inputs'!$G$9,$E$79), 0)</f>
        <v>0</v>
      </c>
      <c r="N101" s="8">
        <f>IFERROR(-IPMT('Assumptions &amp; Inputs'!$G$10,N89-YEAR('Assumptions &amp; Inputs'!$G$29),'Assumptions &amp; Inputs'!$G$9,$E$79), 0)</f>
        <v>0</v>
      </c>
      <c r="O101" s="8">
        <f>IFERROR(-IPMT('Assumptions &amp; Inputs'!$G$10,O89-YEAR('Assumptions &amp; Inputs'!$G$29),'Assumptions &amp; Inputs'!$G$9,$E$79), 0)</f>
        <v>0</v>
      </c>
      <c r="P101" s="8">
        <f>IFERROR(-IPMT('Assumptions &amp; Inputs'!$G$10,P89-YEAR('Assumptions &amp; Inputs'!$G$29),'Assumptions &amp; Inputs'!$G$9,$E$79), 0)</f>
        <v>0</v>
      </c>
      <c r="Q101" s="8">
        <f>IFERROR(-IPMT('Assumptions &amp; Inputs'!$G$10,Q89-YEAR('Assumptions &amp; Inputs'!$G$29),'Assumptions &amp; Inputs'!$G$9,$E$79), 0)</f>
        <v>0</v>
      </c>
      <c r="R101" s="8">
        <f>IFERROR(-IPMT('Assumptions &amp; Inputs'!$G$10,R89-YEAR('Assumptions &amp; Inputs'!$G$29),'Assumptions &amp; Inputs'!$G$9,$E$79), 0)</f>
        <v>0</v>
      </c>
      <c r="S101" s="8">
        <f>IFERROR(-IPMT('Assumptions &amp; Inputs'!$G$10,S89-YEAR('Assumptions &amp; Inputs'!$G$29),'Assumptions &amp; Inputs'!$G$9,$E$79), 0)</f>
        <v>0</v>
      </c>
      <c r="T101" s="8">
        <f>IFERROR(-IPMT('Assumptions &amp; Inputs'!$G$10,T89-YEAR('Assumptions &amp; Inputs'!$G$29),'Assumptions &amp; Inputs'!$G$9,$E$79), 0)</f>
        <v>0</v>
      </c>
      <c r="U101" s="8">
        <f>IFERROR(-IPMT('Assumptions &amp; Inputs'!$G$10,U89-YEAR('Assumptions &amp; Inputs'!$G$29),'Assumptions &amp; Inputs'!$G$9,$E$79), 0)</f>
        <v>0</v>
      </c>
      <c r="V101" s="8">
        <f>IFERROR(-IPMT('Assumptions &amp; Inputs'!$G$10,V89-YEAR('Assumptions &amp; Inputs'!$G$29),'Assumptions &amp; Inputs'!$G$9,$E$79), 0)</f>
        <v>0</v>
      </c>
      <c r="W101" s="8">
        <f>IFERROR(-IPMT('Assumptions &amp; Inputs'!$G$10,W89-YEAR('Assumptions &amp; Inputs'!$G$29),'Assumptions &amp; Inputs'!$G$9,$E$79), 0)</f>
        <v>0</v>
      </c>
      <c r="X101" s="8">
        <f>IFERROR(-IPMT('Assumptions &amp; Inputs'!$G$10,X89-YEAR('Assumptions &amp; Inputs'!$G$29),'Assumptions &amp; Inputs'!$G$9,$E$79), 0)</f>
        <v>0</v>
      </c>
      <c r="Y101" s="8">
        <f>IFERROR(-IPMT('Assumptions &amp; Inputs'!$G$10,Y89-YEAR('Assumptions &amp; Inputs'!$G$29),'Assumptions &amp; Inputs'!$G$9,$E$79), 0)</f>
        <v>0</v>
      </c>
      <c r="Z101" s="8">
        <f>IFERROR(-IPMT('Assumptions &amp; Inputs'!$G$10,Z89-YEAR('Assumptions &amp; Inputs'!$G$29),'Assumptions &amp; Inputs'!$G$9,$E$79), 0)</f>
        <v>0</v>
      </c>
      <c r="AA101" s="8">
        <f>IFERROR(-IPMT('Assumptions &amp; Inputs'!$G$10,AA89-YEAR('Assumptions &amp; Inputs'!$G$29),'Assumptions &amp; Inputs'!$G$9,$E$79), 0)</f>
        <v>0</v>
      </c>
      <c r="AB101" s="8">
        <f>IFERROR(-IPMT('Assumptions &amp; Inputs'!$G$10,AB89-YEAR('Assumptions &amp; Inputs'!$G$29),'Assumptions &amp; Inputs'!$G$9,$E$79), 0)</f>
        <v>0</v>
      </c>
      <c r="AC101" s="8">
        <f>IFERROR(-IPMT('Assumptions &amp; Inputs'!$G$10,AC89-YEAR('Assumptions &amp; Inputs'!$G$29),'Assumptions &amp; Inputs'!$G$9,$E$79), 0)</f>
        <v>0</v>
      </c>
      <c r="AD101" s="8">
        <f>IFERROR(-IPMT('Assumptions &amp; Inputs'!$G$10,AD89-YEAR('Assumptions &amp; Inputs'!$G$29),'Assumptions &amp; Inputs'!$G$9,$E$79), 0)</f>
        <v>0</v>
      </c>
      <c r="AE101" s="8">
        <f>IFERROR(-IPMT('Assumptions &amp; Inputs'!$G$10,AE89-YEAR('Assumptions &amp; Inputs'!$G$29),'Assumptions &amp; Inputs'!$G$9,$E$79), 0)</f>
        <v>0</v>
      </c>
      <c r="AF101" s="8">
        <f>IFERROR(-IPMT('Assumptions &amp; Inputs'!$G$10,AF89-YEAR('Assumptions &amp; Inputs'!$G$29),'Assumptions &amp; Inputs'!$G$9,$E$79), 0)</f>
        <v>0</v>
      </c>
      <c r="AG101" s="8">
        <f>IFERROR(-IPMT('Assumptions &amp; Inputs'!$G$10,AG89-YEAR('Assumptions &amp; Inputs'!$G$29),'Assumptions &amp; Inputs'!$G$9,$E$79), 0)</f>
        <v>0</v>
      </c>
      <c r="AH101" s="8">
        <f>IFERROR(-IPMT('Assumptions &amp; Inputs'!$G$10,AH89-YEAR('Assumptions &amp; Inputs'!$G$29),'Assumptions &amp; Inputs'!$G$9,$E$79), 0)</f>
        <v>0</v>
      </c>
      <c r="AI101" s="8">
        <f>IFERROR(-IPMT('Assumptions &amp; Inputs'!$G$10,AI89-YEAR('Assumptions &amp; Inputs'!$G$29),'Assumptions &amp; Inputs'!$G$9,$E$79), 0)</f>
        <v>0</v>
      </c>
      <c r="AJ101" s="8">
        <f>IFERROR(-IPMT('Assumptions &amp; Inputs'!$G$10,AJ89-YEAR('Assumptions &amp; Inputs'!$G$29),'Assumptions &amp; Inputs'!$G$9,$E$79), 0)</f>
        <v>0</v>
      </c>
      <c r="AK101" s="8">
        <f>IFERROR(-IPMT('Assumptions &amp; Inputs'!$G$10,AK89-YEAR('Assumptions &amp; Inputs'!$G$29),'Assumptions &amp; Inputs'!$G$9,$E$79), 0)</f>
        <v>0</v>
      </c>
      <c r="AL101" s="8">
        <f>IFERROR(-IPMT('Assumptions &amp; Inputs'!$G$10,AL89-YEAR('Assumptions &amp; Inputs'!$G$29),'Assumptions &amp; Inputs'!$G$9,$E$79), 0)</f>
        <v>0</v>
      </c>
      <c r="AM101" s="8">
        <f>IFERROR(-IPMT('Assumptions &amp; Inputs'!$G$10,AM89-YEAR('Assumptions &amp; Inputs'!$G$29),'Assumptions &amp; Inputs'!$G$9,$E$79), 0)</f>
        <v>0</v>
      </c>
      <c r="AN101" s="8">
        <f>IFERROR(-IPMT('Assumptions &amp; Inputs'!$G$10,AN89-YEAR('Assumptions &amp; Inputs'!$G$29),'Assumptions &amp; Inputs'!$G$9,$E$79), 0)</f>
        <v>0</v>
      </c>
      <c r="AO101" s="8">
        <f>IFERROR(-IPMT('Assumptions &amp; Inputs'!$G$10,AO89-YEAR('Assumptions &amp; Inputs'!$G$29),'Assumptions &amp; Inputs'!$G$9,$E$79), 0)</f>
        <v>0</v>
      </c>
      <c r="AP101" s="8">
        <f>IFERROR(-IPMT('Assumptions &amp; Inputs'!$G$10,AP89-YEAR('Assumptions &amp; Inputs'!$G$29),'Assumptions &amp; Inputs'!$G$9,$E$79), 0)</f>
        <v>0</v>
      </c>
      <c r="AQ101" s="8">
        <f>IFERROR(-IPMT('Assumptions &amp; Inputs'!$G$10,AQ89-YEAR('Assumptions &amp; Inputs'!$G$29),'Assumptions &amp; Inputs'!$G$9,$E$79), 0)</f>
        <v>0</v>
      </c>
      <c r="AR101" s="8">
        <f>IFERROR(-IPMT('Assumptions &amp; Inputs'!$G$10,AR89-YEAR('Assumptions &amp; Inputs'!$G$29),'Assumptions &amp; Inputs'!$G$9,$E$79), 0)</f>
        <v>0</v>
      </c>
      <c r="AS101" s="8">
        <f>IFERROR(-IPMT('Assumptions &amp; Inputs'!$G$10,AS89-YEAR('Assumptions &amp; Inputs'!$G$29),'Assumptions &amp; Inputs'!$G$9,$E$79), 0)</f>
        <v>0</v>
      </c>
      <c r="AT101" s="8">
        <f>IFERROR(-IPMT('Assumptions &amp; Inputs'!$G$10,AT89-YEAR('Assumptions &amp; Inputs'!$G$29),'Assumptions &amp; Inputs'!$G$9,$E$79), 0)</f>
        <v>0</v>
      </c>
      <c r="AU101" s="8">
        <f>IFERROR(-IPMT('Assumptions &amp; Inputs'!$G$10,AU89-YEAR('Assumptions &amp; Inputs'!$G$29),'Assumptions &amp; Inputs'!$G$9,$E$79), 0)</f>
        <v>0</v>
      </c>
      <c r="AV101" s="8">
        <f>IFERROR(-IPMT('Assumptions &amp; Inputs'!$G$10,AV89-YEAR('Assumptions &amp; Inputs'!$G$29),'Assumptions &amp; Inputs'!$G$9,$E$79), 0)</f>
        <v>0</v>
      </c>
      <c r="AW101" s="8">
        <f>IFERROR(-IPMT('Assumptions &amp; Inputs'!$G$10,AW89-YEAR('Assumptions &amp; Inputs'!$G$29),'Assumptions &amp; Inputs'!$G$9,$E$79), 0)</f>
        <v>0</v>
      </c>
    </row>
    <row r="102" spans="1:49" ht="14.25" customHeight="1">
      <c r="A102" s="1"/>
      <c r="B102" s="1"/>
      <c r="C102" s="1" t="s">
        <v>452</v>
      </c>
      <c r="D102" s="1"/>
      <c r="E102" s="8">
        <f t="shared" ref="E102" si="88">-E98</f>
        <v>0</v>
      </c>
      <c r="F102" s="8">
        <f t="shared" ref="F102:X102" si="89">-F98</f>
        <v>0</v>
      </c>
      <c r="G102" s="8">
        <f t="shared" si="89"/>
        <v>0</v>
      </c>
      <c r="H102" s="8">
        <f t="shared" si="89"/>
        <v>0</v>
      </c>
      <c r="I102" s="8">
        <f t="shared" si="89"/>
        <v>0</v>
      </c>
      <c r="J102" s="8">
        <f t="shared" si="89"/>
        <v>0</v>
      </c>
      <c r="K102" s="8">
        <f t="shared" si="89"/>
        <v>0</v>
      </c>
      <c r="L102" s="8">
        <f t="shared" si="89"/>
        <v>0</v>
      </c>
      <c r="M102" s="8">
        <f t="shared" si="89"/>
        <v>0</v>
      </c>
      <c r="N102" s="8">
        <f t="shared" si="89"/>
        <v>0</v>
      </c>
      <c r="O102" s="8">
        <f t="shared" si="89"/>
        <v>0</v>
      </c>
      <c r="P102" s="8">
        <f t="shared" si="89"/>
        <v>0</v>
      </c>
      <c r="Q102" s="8">
        <f t="shared" si="89"/>
        <v>0</v>
      </c>
      <c r="R102" s="8">
        <f t="shared" si="89"/>
        <v>0</v>
      </c>
      <c r="S102" s="8">
        <f t="shared" si="89"/>
        <v>0</v>
      </c>
      <c r="T102" s="8">
        <f t="shared" si="89"/>
        <v>0</v>
      </c>
      <c r="U102" s="8">
        <f t="shared" si="89"/>
        <v>0</v>
      </c>
      <c r="V102" s="8">
        <f t="shared" si="89"/>
        <v>0</v>
      </c>
      <c r="W102" s="8">
        <f t="shared" si="89"/>
        <v>0</v>
      </c>
      <c r="X102" s="8">
        <f t="shared" si="89"/>
        <v>0</v>
      </c>
      <c r="Y102" s="8">
        <f t="shared" ref="Y102:AU102" si="90">-Y98</f>
        <v>0</v>
      </c>
      <c r="Z102" s="8">
        <f t="shared" si="90"/>
        <v>0</v>
      </c>
      <c r="AA102" s="8">
        <f t="shared" si="90"/>
        <v>0</v>
      </c>
      <c r="AB102" s="8">
        <f t="shared" si="90"/>
        <v>0</v>
      </c>
      <c r="AC102" s="8">
        <f t="shared" si="90"/>
        <v>0</v>
      </c>
      <c r="AD102" s="8">
        <f t="shared" si="90"/>
        <v>0</v>
      </c>
      <c r="AE102" s="8">
        <f t="shared" si="90"/>
        <v>0</v>
      </c>
      <c r="AF102" s="8">
        <f t="shared" si="90"/>
        <v>0</v>
      </c>
      <c r="AG102" s="8">
        <f t="shared" si="90"/>
        <v>0</v>
      </c>
      <c r="AH102" s="8">
        <f t="shared" si="90"/>
        <v>0</v>
      </c>
      <c r="AI102" s="8">
        <f t="shared" si="90"/>
        <v>0</v>
      </c>
      <c r="AJ102" s="8">
        <f t="shared" si="90"/>
        <v>0</v>
      </c>
      <c r="AK102" s="8">
        <f t="shared" si="90"/>
        <v>0</v>
      </c>
      <c r="AL102" s="8">
        <f t="shared" si="90"/>
        <v>0</v>
      </c>
      <c r="AM102" s="8">
        <f t="shared" si="90"/>
        <v>0</v>
      </c>
      <c r="AN102" s="8">
        <f t="shared" si="90"/>
        <v>0</v>
      </c>
      <c r="AO102" s="8">
        <f t="shared" si="90"/>
        <v>0</v>
      </c>
      <c r="AP102" s="8">
        <f t="shared" si="90"/>
        <v>0</v>
      </c>
      <c r="AQ102" s="8">
        <f t="shared" si="90"/>
        <v>0</v>
      </c>
      <c r="AR102" s="8">
        <f t="shared" si="90"/>
        <v>0</v>
      </c>
      <c r="AS102" s="8">
        <f t="shared" si="90"/>
        <v>0</v>
      </c>
      <c r="AT102" s="8">
        <f t="shared" si="90"/>
        <v>0</v>
      </c>
      <c r="AU102" s="8">
        <f t="shared" si="90"/>
        <v>0</v>
      </c>
      <c r="AV102" s="8">
        <f t="shared" ref="AV102:AW102" si="91">-AV98</f>
        <v>0</v>
      </c>
      <c r="AW102" s="8">
        <f t="shared" si="91"/>
        <v>0</v>
      </c>
    </row>
    <row r="103" spans="1:49" ht="14.25" customHeight="1">
      <c r="A103" s="1"/>
      <c r="B103" s="1" t="s">
        <v>351</v>
      </c>
      <c r="C103" s="2" t="s">
        <v>444</v>
      </c>
      <c r="D103" s="2"/>
      <c r="E103" s="31">
        <f t="shared" ref="E103" si="92">SUM(E101:E102)</f>
        <v>0</v>
      </c>
      <c r="F103" s="31">
        <f t="shared" ref="F103:X103" si="93">SUM(F101:F102)</f>
        <v>0</v>
      </c>
      <c r="G103" s="31">
        <f t="shared" si="93"/>
        <v>0</v>
      </c>
      <c r="H103" s="31">
        <f t="shared" si="93"/>
        <v>0</v>
      </c>
      <c r="I103" s="31">
        <f t="shared" si="93"/>
        <v>0</v>
      </c>
      <c r="J103" s="31">
        <f t="shared" si="93"/>
        <v>0</v>
      </c>
      <c r="K103" s="31">
        <f t="shared" si="93"/>
        <v>0</v>
      </c>
      <c r="L103" s="31">
        <f t="shared" si="93"/>
        <v>0</v>
      </c>
      <c r="M103" s="31">
        <f t="shared" si="93"/>
        <v>0</v>
      </c>
      <c r="N103" s="31">
        <f t="shared" si="93"/>
        <v>0</v>
      </c>
      <c r="O103" s="31">
        <f t="shared" si="93"/>
        <v>0</v>
      </c>
      <c r="P103" s="31">
        <f t="shared" si="93"/>
        <v>0</v>
      </c>
      <c r="Q103" s="31">
        <f t="shared" si="93"/>
        <v>0</v>
      </c>
      <c r="R103" s="31">
        <f t="shared" si="93"/>
        <v>0</v>
      </c>
      <c r="S103" s="31">
        <f t="shared" si="93"/>
        <v>0</v>
      </c>
      <c r="T103" s="31">
        <f t="shared" si="93"/>
        <v>0</v>
      </c>
      <c r="U103" s="31">
        <f t="shared" si="93"/>
        <v>0</v>
      </c>
      <c r="V103" s="31">
        <f t="shared" si="93"/>
        <v>0</v>
      </c>
      <c r="W103" s="31">
        <f t="shared" si="93"/>
        <v>0</v>
      </c>
      <c r="X103" s="31">
        <f t="shared" si="93"/>
        <v>0</v>
      </c>
      <c r="Y103" s="31">
        <f t="shared" ref="Y103:AU103" si="94">SUM(Y101:Y102)</f>
        <v>0</v>
      </c>
      <c r="Z103" s="31">
        <f t="shared" si="94"/>
        <v>0</v>
      </c>
      <c r="AA103" s="31">
        <f t="shared" si="94"/>
        <v>0</v>
      </c>
      <c r="AB103" s="31">
        <f t="shared" si="94"/>
        <v>0</v>
      </c>
      <c r="AC103" s="31">
        <f t="shared" si="94"/>
        <v>0</v>
      </c>
      <c r="AD103" s="31">
        <f t="shared" si="94"/>
        <v>0</v>
      </c>
      <c r="AE103" s="31">
        <f t="shared" si="94"/>
        <v>0</v>
      </c>
      <c r="AF103" s="31">
        <f t="shared" si="94"/>
        <v>0</v>
      </c>
      <c r="AG103" s="31">
        <f t="shared" si="94"/>
        <v>0</v>
      </c>
      <c r="AH103" s="31">
        <f t="shared" si="94"/>
        <v>0</v>
      </c>
      <c r="AI103" s="31">
        <f t="shared" si="94"/>
        <v>0</v>
      </c>
      <c r="AJ103" s="31">
        <f t="shared" si="94"/>
        <v>0</v>
      </c>
      <c r="AK103" s="31">
        <f t="shared" si="94"/>
        <v>0</v>
      </c>
      <c r="AL103" s="31">
        <f t="shared" si="94"/>
        <v>0</v>
      </c>
      <c r="AM103" s="31">
        <f t="shared" si="94"/>
        <v>0</v>
      </c>
      <c r="AN103" s="31">
        <f t="shared" si="94"/>
        <v>0</v>
      </c>
      <c r="AO103" s="31">
        <f t="shared" si="94"/>
        <v>0</v>
      </c>
      <c r="AP103" s="31">
        <f t="shared" si="94"/>
        <v>0</v>
      </c>
      <c r="AQ103" s="31">
        <f t="shared" si="94"/>
        <v>0</v>
      </c>
      <c r="AR103" s="31">
        <f t="shared" si="94"/>
        <v>0</v>
      </c>
      <c r="AS103" s="31">
        <f t="shared" si="94"/>
        <v>0</v>
      </c>
      <c r="AT103" s="31">
        <f t="shared" si="94"/>
        <v>0</v>
      </c>
      <c r="AU103" s="31">
        <f t="shared" si="94"/>
        <v>0</v>
      </c>
      <c r="AV103" s="31">
        <f t="shared" ref="AV103" si="95">SUM(AV101:AV102)</f>
        <v>0</v>
      </c>
      <c r="AW103" s="31">
        <f t="shared" ref="AW103" si="96">SUM(AW101:AW102)</f>
        <v>0</v>
      </c>
    </row>
    <row r="104" spans="1:49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4.25" customHeight="1" thickBot="1">
      <c r="A106" s="1" t="s">
        <v>351</v>
      </c>
      <c r="B106" s="1"/>
      <c r="C106" s="9" t="s">
        <v>475</v>
      </c>
      <c r="D106" s="9"/>
      <c r="E106" s="10"/>
      <c r="F106" s="10"/>
      <c r="G106" s="10"/>
      <c r="H106" s="10"/>
      <c r="I106" s="10"/>
      <c r="J106" s="1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ht="14.25" customHeight="1">
      <c r="A107" s="1"/>
      <c r="B107" s="1"/>
      <c r="C107" s="12" t="s">
        <v>353</v>
      </c>
      <c r="D107" s="13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4.25" customHeight="1">
      <c r="A108" s="1"/>
      <c r="B108" s="1"/>
      <c r="C108" s="1"/>
      <c r="D108" s="43">
        <v>0</v>
      </c>
      <c r="E108" s="90">
        <f t="shared" ref="E108:X108" si="97">D108+1</f>
        <v>1</v>
      </c>
      <c r="F108" s="90">
        <f t="shared" si="97"/>
        <v>2</v>
      </c>
      <c r="G108" s="90">
        <f t="shared" si="97"/>
        <v>3</v>
      </c>
      <c r="H108" s="90">
        <f t="shared" si="97"/>
        <v>4</v>
      </c>
      <c r="I108" s="90">
        <f t="shared" si="97"/>
        <v>5</v>
      </c>
      <c r="J108" s="90">
        <f t="shared" si="97"/>
        <v>6</v>
      </c>
      <c r="K108" s="90">
        <f t="shared" si="97"/>
        <v>7</v>
      </c>
      <c r="L108" s="90">
        <f t="shared" si="97"/>
        <v>8</v>
      </c>
      <c r="M108" s="90">
        <f t="shared" si="97"/>
        <v>9</v>
      </c>
      <c r="N108" s="90">
        <f t="shared" si="97"/>
        <v>10</v>
      </c>
      <c r="O108" s="90">
        <f t="shared" si="97"/>
        <v>11</v>
      </c>
      <c r="P108" s="90">
        <f t="shared" si="97"/>
        <v>12</v>
      </c>
      <c r="Q108" s="90">
        <f t="shared" si="97"/>
        <v>13</v>
      </c>
      <c r="R108" s="90">
        <f t="shared" si="97"/>
        <v>14</v>
      </c>
      <c r="S108" s="90">
        <f t="shared" si="97"/>
        <v>15</v>
      </c>
      <c r="T108" s="90">
        <f t="shared" si="97"/>
        <v>16</v>
      </c>
      <c r="U108" s="90">
        <f t="shared" si="97"/>
        <v>17</v>
      </c>
      <c r="V108" s="90">
        <f t="shared" si="97"/>
        <v>18</v>
      </c>
      <c r="W108" s="90">
        <f t="shared" si="97"/>
        <v>19</v>
      </c>
      <c r="X108" s="90">
        <f t="shared" si="97"/>
        <v>20</v>
      </c>
      <c r="Y108" s="90">
        <f t="shared" ref="Y108:AU108" si="98">X108+1</f>
        <v>21</v>
      </c>
      <c r="Z108" s="90">
        <f t="shared" si="98"/>
        <v>22</v>
      </c>
      <c r="AA108" s="90">
        <f t="shared" si="98"/>
        <v>23</v>
      </c>
      <c r="AB108" s="90">
        <f t="shared" si="98"/>
        <v>24</v>
      </c>
      <c r="AC108" s="90">
        <f t="shared" si="98"/>
        <v>25</v>
      </c>
      <c r="AD108" s="90">
        <f t="shared" si="98"/>
        <v>26</v>
      </c>
      <c r="AE108" s="90">
        <f t="shared" si="98"/>
        <v>27</v>
      </c>
      <c r="AF108" s="90">
        <f t="shared" si="98"/>
        <v>28</v>
      </c>
      <c r="AG108" s="90">
        <f t="shared" si="98"/>
        <v>29</v>
      </c>
      <c r="AH108" s="90">
        <f t="shared" si="98"/>
        <v>30</v>
      </c>
      <c r="AI108" s="90">
        <f t="shared" si="98"/>
        <v>31</v>
      </c>
      <c r="AJ108" s="90">
        <f t="shared" si="98"/>
        <v>32</v>
      </c>
      <c r="AK108" s="90">
        <f t="shared" si="98"/>
        <v>33</v>
      </c>
      <c r="AL108" s="90">
        <f t="shared" si="98"/>
        <v>34</v>
      </c>
      <c r="AM108" s="90">
        <f t="shared" si="98"/>
        <v>35</v>
      </c>
      <c r="AN108" s="90">
        <f t="shared" si="98"/>
        <v>36</v>
      </c>
      <c r="AO108" s="90">
        <f t="shared" si="98"/>
        <v>37</v>
      </c>
      <c r="AP108" s="90">
        <f t="shared" si="98"/>
        <v>38</v>
      </c>
      <c r="AQ108" s="90">
        <f t="shared" si="98"/>
        <v>39</v>
      </c>
      <c r="AR108" s="90">
        <f t="shared" si="98"/>
        <v>40</v>
      </c>
      <c r="AS108" s="90">
        <f t="shared" si="98"/>
        <v>41</v>
      </c>
      <c r="AT108" s="90">
        <f t="shared" si="98"/>
        <v>42</v>
      </c>
      <c r="AU108" s="90">
        <f t="shared" si="98"/>
        <v>43</v>
      </c>
      <c r="AV108" s="90">
        <f t="shared" ref="AV108:AW108" si="99">AU108+1</f>
        <v>44</v>
      </c>
      <c r="AW108" s="90">
        <f t="shared" si="99"/>
        <v>45</v>
      </c>
    </row>
    <row r="109" spans="1:49" ht="14.25" customHeight="1">
      <c r="A109" s="44"/>
      <c r="B109" s="44"/>
      <c r="C109" s="45"/>
      <c r="D109" s="2"/>
      <c r="E109" s="806" t="s">
        <v>354</v>
      </c>
      <c r="F109" s="819"/>
      <c r="G109" s="819"/>
      <c r="H109" s="819"/>
      <c r="I109" s="819"/>
      <c r="J109" s="819"/>
      <c r="K109" s="819"/>
      <c r="L109" s="819"/>
      <c r="M109" s="819"/>
      <c r="N109" s="819"/>
      <c r="O109" s="819"/>
      <c r="P109" s="819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</row>
    <row r="110" spans="1:49" ht="14.25" customHeight="1">
      <c r="A110" s="44"/>
      <c r="B110" s="44"/>
      <c r="C110" s="46"/>
      <c r="D110" s="3">
        <f>D89</f>
        <v>2026</v>
      </c>
      <c r="E110" s="91">
        <f t="shared" ref="E110:X110" si="100">D110+1</f>
        <v>2027</v>
      </c>
      <c r="F110" s="91">
        <f t="shared" si="100"/>
        <v>2028</v>
      </c>
      <c r="G110" s="91">
        <f t="shared" si="100"/>
        <v>2029</v>
      </c>
      <c r="H110" s="91">
        <f t="shared" si="100"/>
        <v>2030</v>
      </c>
      <c r="I110" s="91">
        <f t="shared" si="100"/>
        <v>2031</v>
      </c>
      <c r="J110" s="91">
        <f t="shared" si="100"/>
        <v>2032</v>
      </c>
      <c r="K110" s="91">
        <f t="shared" si="100"/>
        <v>2033</v>
      </c>
      <c r="L110" s="91">
        <f t="shared" si="100"/>
        <v>2034</v>
      </c>
      <c r="M110" s="91">
        <f t="shared" si="100"/>
        <v>2035</v>
      </c>
      <c r="N110" s="91">
        <f t="shared" si="100"/>
        <v>2036</v>
      </c>
      <c r="O110" s="91">
        <f t="shared" si="100"/>
        <v>2037</v>
      </c>
      <c r="P110" s="91">
        <f t="shared" si="100"/>
        <v>2038</v>
      </c>
      <c r="Q110" s="91">
        <f t="shared" si="100"/>
        <v>2039</v>
      </c>
      <c r="R110" s="91">
        <f t="shared" si="100"/>
        <v>2040</v>
      </c>
      <c r="S110" s="91">
        <f t="shared" si="100"/>
        <v>2041</v>
      </c>
      <c r="T110" s="91">
        <f t="shared" si="100"/>
        <v>2042</v>
      </c>
      <c r="U110" s="91">
        <f t="shared" si="100"/>
        <v>2043</v>
      </c>
      <c r="V110" s="91">
        <f t="shared" si="100"/>
        <v>2044</v>
      </c>
      <c r="W110" s="91">
        <f t="shared" si="100"/>
        <v>2045</v>
      </c>
      <c r="X110" s="91">
        <f t="shared" si="100"/>
        <v>2046</v>
      </c>
      <c r="Y110" s="91">
        <f t="shared" ref="Y110:AU110" si="101">X110+1</f>
        <v>2047</v>
      </c>
      <c r="Z110" s="91">
        <f t="shared" si="101"/>
        <v>2048</v>
      </c>
      <c r="AA110" s="91">
        <f t="shared" si="101"/>
        <v>2049</v>
      </c>
      <c r="AB110" s="91">
        <f t="shared" si="101"/>
        <v>2050</v>
      </c>
      <c r="AC110" s="91">
        <f t="shared" si="101"/>
        <v>2051</v>
      </c>
      <c r="AD110" s="91">
        <f t="shared" si="101"/>
        <v>2052</v>
      </c>
      <c r="AE110" s="91">
        <f t="shared" si="101"/>
        <v>2053</v>
      </c>
      <c r="AF110" s="91">
        <f t="shared" si="101"/>
        <v>2054</v>
      </c>
      <c r="AG110" s="91">
        <f t="shared" si="101"/>
        <v>2055</v>
      </c>
      <c r="AH110" s="91">
        <f t="shared" si="101"/>
        <v>2056</v>
      </c>
      <c r="AI110" s="91">
        <f t="shared" si="101"/>
        <v>2057</v>
      </c>
      <c r="AJ110" s="91">
        <f t="shared" si="101"/>
        <v>2058</v>
      </c>
      <c r="AK110" s="91">
        <f t="shared" si="101"/>
        <v>2059</v>
      </c>
      <c r="AL110" s="91">
        <f t="shared" si="101"/>
        <v>2060</v>
      </c>
      <c r="AM110" s="91">
        <f t="shared" si="101"/>
        <v>2061</v>
      </c>
      <c r="AN110" s="91">
        <f t="shared" si="101"/>
        <v>2062</v>
      </c>
      <c r="AO110" s="91">
        <f t="shared" si="101"/>
        <v>2063</v>
      </c>
      <c r="AP110" s="91">
        <f t="shared" si="101"/>
        <v>2064</v>
      </c>
      <c r="AQ110" s="91">
        <f t="shared" si="101"/>
        <v>2065</v>
      </c>
      <c r="AR110" s="91">
        <f t="shared" si="101"/>
        <v>2066</v>
      </c>
      <c r="AS110" s="91">
        <f t="shared" si="101"/>
        <v>2067</v>
      </c>
      <c r="AT110" s="91">
        <f t="shared" si="101"/>
        <v>2068</v>
      </c>
      <c r="AU110" s="91">
        <f t="shared" si="101"/>
        <v>2069</v>
      </c>
      <c r="AV110" s="91">
        <f t="shared" ref="AV110:AW110" si="102">AU110+1</f>
        <v>2070</v>
      </c>
      <c r="AW110" s="91">
        <f t="shared" si="102"/>
        <v>2071</v>
      </c>
    </row>
    <row r="111" spans="1:49" ht="14.25" customHeight="1">
      <c r="A111" s="44"/>
      <c r="B111" s="44"/>
      <c r="C111" s="44"/>
      <c r="D111" s="93">
        <f>D90</f>
        <v>46023</v>
      </c>
      <c r="E111" s="93">
        <f t="shared" ref="E111:X111" si="103">E90</f>
        <v>46752</v>
      </c>
      <c r="F111" s="93">
        <f t="shared" si="103"/>
        <v>47118</v>
      </c>
      <c r="G111" s="93">
        <f t="shared" si="103"/>
        <v>47483</v>
      </c>
      <c r="H111" s="93">
        <f t="shared" si="103"/>
        <v>47848</v>
      </c>
      <c r="I111" s="93">
        <f t="shared" si="103"/>
        <v>48213</v>
      </c>
      <c r="J111" s="93">
        <f t="shared" si="103"/>
        <v>48579</v>
      </c>
      <c r="K111" s="93">
        <f t="shared" si="103"/>
        <v>48944</v>
      </c>
      <c r="L111" s="93">
        <f t="shared" si="103"/>
        <v>49309</v>
      </c>
      <c r="M111" s="93">
        <f t="shared" si="103"/>
        <v>49674</v>
      </c>
      <c r="N111" s="93">
        <f t="shared" si="103"/>
        <v>50040</v>
      </c>
      <c r="O111" s="93">
        <f t="shared" si="103"/>
        <v>50405</v>
      </c>
      <c r="P111" s="93">
        <f t="shared" si="103"/>
        <v>50770</v>
      </c>
      <c r="Q111" s="93">
        <f t="shared" si="103"/>
        <v>51135</v>
      </c>
      <c r="R111" s="93">
        <f t="shared" si="103"/>
        <v>51501</v>
      </c>
      <c r="S111" s="93">
        <f t="shared" si="103"/>
        <v>51866</v>
      </c>
      <c r="T111" s="93">
        <f t="shared" si="103"/>
        <v>52231</v>
      </c>
      <c r="U111" s="93">
        <f t="shared" si="103"/>
        <v>52596</v>
      </c>
      <c r="V111" s="93">
        <f t="shared" si="103"/>
        <v>52962</v>
      </c>
      <c r="W111" s="93">
        <f t="shared" si="103"/>
        <v>53327</v>
      </c>
      <c r="X111" s="93">
        <f t="shared" si="103"/>
        <v>53692</v>
      </c>
      <c r="Y111" s="93">
        <f t="shared" ref="Y111:AU111" si="104">Y90</f>
        <v>54057</v>
      </c>
      <c r="Z111" s="93">
        <f t="shared" si="104"/>
        <v>54423</v>
      </c>
      <c r="AA111" s="93">
        <f t="shared" si="104"/>
        <v>54788</v>
      </c>
      <c r="AB111" s="93">
        <f t="shared" si="104"/>
        <v>55153</v>
      </c>
      <c r="AC111" s="93">
        <f t="shared" si="104"/>
        <v>55518</v>
      </c>
      <c r="AD111" s="93">
        <f t="shared" si="104"/>
        <v>55884</v>
      </c>
      <c r="AE111" s="93">
        <f t="shared" si="104"/>
        <v>56249</v>
      </c>
      <c r="AF111" s="93">
        <f t="shared" si="104"/>
        <v>56614</v>
      </c>
      <c r="AG111" s="93">
        <f t="shared" si="104"/>
        <v>56979</v>
      </c>
      <c r="AH111" s="93">
        <f t="shared" si="104"/>
        <v>57345</v>
      </c>
      <c r="AI111" s="93">
        <f t="shared" si="104"/>
        <v>57710</v>
      </c>
      <c r="AJ111" s="93">
        <f t="shared" si="104"/>
        <v>58075</v>
      </c>
      <c r="AK111" s="93">
        <f t="shared" si="104"/>
        <v>58440</v>
      </c>
      <c r="AL111" s="93">
        <f t="shared" si="104"/>
        <v>58806</v>
      </c>
      <c r="AM111" s="93">
        <f t="shared" si="104"/>
        <v>59171</v>
      </c>
      <c r="AN111" s="93">
        <f t="shared" si="104"/>
        <v>59536</v>
      </c>
      <c r="AO111" s="93">
        <f t="shared" si="104"/>
        <v>59901</v>
      </c>
      <c r="AP111" s="93">
        <f t="shared" si="104"/>
        <v>60267</v>
      </c>
      <c r="AQ111" s="93">
        <f t="shared" si="104"/>
        <v>60632</v>
      </c>
      <c r="AR111" s="93">
        <f t="shared" si="104"/>
        <v>60997</v>
      </c>
      <c r="AS111" s="93">
        <f t="shared" si="104"/>
        <v>61362</v>
      </c>
      <c r="AT111" s="93">
        <f t="shared" si="104"/>
        <v>61728</v>
      </c>
      <c r="AU111" s="93">
        <f t="shared" si="104"/>
        <v>62093</v>
      </c>
      <c r="AV111" s="93">
        <f t="shared" ref="AV111:AW111" si="105">AV90</f>
        <v>62458</v>
      </c>
      <c r="AW111" s="93">
        <f t="shared" si="105"/>
        <v>62823</v>
      </c>
    </row>
    <row r="112" spans="1:49" ht="14.25" customHeight="1">
      <c r="A112" s="44"/>
      <c r="B112" s="44"/>
      <c r="C112" s="136" t="s">
        <v>467</v>
      </c>
      <c r="D112" s="47">
        <f>_xlfn.XLOOKUP(D110, 'Power Summary'!$C$46:$AV$46, 'Power Summary'!$C$47:$AV$47)</f>
        <v>60</v>
      </c>
      <c r="E112" s="47">
        <f>_xlfn.XLOOKUP(E110, 'Power Summary'!$C$46:$AV$46, 'Power Summary'!$C$47:$AV$47)</f>
        <v>61.2</v>
      </c>
      <c r="F112" s="47">
        <f>_xlfn.XLOOKUP(F110, 'Power Summary'!$C$46:$AV$46, 'Power Summary'!$C$47:$AV$47)</f>
        <v>62.423999999999999</v>
      </c>
      <c r="G112" s="47">
        <f>_xlfn.XLOOKUP(G110, 'Power Summary'!$C$46:$AV$46, 'Power Summary'!$C$47:$AV$47)</f>
        <v>63.672479999999993</v>
      </c>
      <c r="H112" s="47">
        <f>_xlfn.XLOOKUP(H110, 'Power Summary'!$C$46:$AV$46, 'Power Summary'!$C$47:$AV$47)</f>
        <v>64.945929599999999</v>
      </c>
      <c r="I112" s="47">
        <f>_xlfn.XLOOKUP(I110, 'Power Summary'!$C$46:$AV$46, 'Power Summary'!$C$47:$AV$47)</f>
        <v>66.244848192000006</v>
      </c>
      <c r="J112" s="47">
        <f>_xlfn.XLOOKUP(J110, 'Power Summary'!$C$46:$AV$46, 'Power Summary'!$C$47:$AV$47)</f>
        <v>67.56974515584001</v>
      </c>
      <c r="K112" s="47">
        <f>_xlfn.XLOOKUP(K110, 'Power Summary'!$C$46:$AV$46, 'Power Summary'!$C$47:$AV$47)</f>
        <v>68.921140058956794</v>
      </c>
      <c r="L112" s="47">
        <f>_xlfn.XLOOKUP(L110, 'Power Summary'!$C$46:$AV$46, 'Power Summary'!$C$47:$AV$47)</f>
        <v>70.299562860135936</v>
      </c>
      <c r="M112" s="47">
        <f>_xlfn.XLOOKUP(M110, 'Power Summary'!$C$46:$AV$46, 'Power Summary'!$C$47:$AV$47)</f>
        <v>71.70555411733865</v>
      </c>
      <c r="N112" s="47">
        <f>_xlfn.XLOOKUP(N110, 'Power Summary'!$C$46:$AV$46, 'Power Summary'!$C$47:$AV$47)</f>
        <v>73.139665199685425</v>
      </c>
      <c r="O112" s="47">
        <f>_xlfn.XLOOKUP(O110, 'Power Summary'!$C$46:$AV$46, 'Power Summary'!$C$47:$AV$47)</f>
        <v>74.602458503679117</v>
      </c>
      <c r="P112" s="47">
        <f>_xlfn.XLOOKUP(P110, 'Power Summary'!$C$46:$AV$46, 'Power Summary'!$C$47:$AV$47)</f>
        <v>76.094507673752716</v>
      </c>
      <c r="Q112" s="47">
        <f>_xlfn.XLOOKUP(Q110, 'Power Summary'!$C$46:$AV$46, 'Power Summary'!$C$47:$AV$47)</f>
        <v>77.616397827227772</v>
      </c>
      <c r="R112" s="47">
        <f>_xlfn.XLOOKUP(R110, 'Power Summary'!$C$46:$AV$46, 'Power Summary'!$C$47:$AV$47)</f>
        <v>79.168725783772331</v>
      </c>
      <c r="S112" s="47">
        <f>_xlfn.XLOOKUP(S110, 'Power Summary'!$C$46:$AV$46, 'Power Summary'!$C$47:$AV$47)</f>
        <v>80.752100299447747</v>
      </c>
      <c r="T112" s="47">
        <f>_xlfn.XLOOKUP(T110, 'Power Summary'!$C$46:$AV$46, 'Power Summary'!$C$47:$AV$47)</f>
        <v>82.367142305436715</v>
      </c>
      <c r="U112" s="47">
        <f>_xlfn.XLOOKUP(U110, 'Power Summary'!$C$46:$AV$46, 'Power Summary'!$C$47:$AV$47)</f>
        <v>84.014485151545458</v>
      </c>
      <c r="V112" s="47">
        <f>_xlfn.XLOOKUP(V110, 'Power Summary'!$C$46:$AV$46, 'Power Summary'!$C$47:$AV$47)</f>
        <v>85.694774854576366</v>
      </c>
      <c r="W112" s="47">
        <f>_xlfn.XLOOKUP(W110, 'Power Summary'!$C$46:$AV$46, 'Power Summary'!$C$47:$AV$47)</f>
        <v>87.408670351667894</v>
      </c>
      <c r="X112" s="47">
        <f>_xlfn.XLOOKUP(X110, 'Power Summary'!$C$46:$AV$46, 'Power Summary'!$C$47:$AV$47)</f>
        <v>89.156843758701257</v>
      </c>
      <c r="Y112" s="47">
        <f>_xlfn.XLOOKUP(Y110, 'Power Summary'!$C$46:$AV$46, 'Power Summary'!$C$47:$AV$47)</f>
        <v>90.93998063387528</v>
      </c>
      <c r="Z112" s="47">
        <f>_xlfn.XLOOKUP(Z110, 'Power Summary'!$C$46:$AV$46, 'Power Summary'!$C$47:$AV$47)</f>
        <v>92.758780246552789</v>
      </c>
      <c r="AA112" s="47">
        <f>_xlfn.XLOOKUP(AA110, 'Power Summary'!$C$46:$AV$46, 'Power Summary'!$C$47:$AV$47)</f>
        <v>94.613955851483823</v>
      </c>
      <c r="AB112" s="47">
        <f>_xlfn.XLOOKUP(AB110, 'Power Summary'!$C$46:$AV$46, 'Power Summary'!$C$47:$AV$47)</f>
        <v>96.506234968513496</v>
      </c>
      <c r="AC112" s="47">
        <f>_xlfn.XLOOKUP(AC110, 'Power Summary'!$C$46:$AV$46, 'Power Summary'!$C$47:$AV$47)</f>
        <v>98.436359667883778</v>
      </c>
      <c r="AD112" s="47">
        <f>_xlfn.XLOOKUP(AD110, 'Power Summary'!$C$46:$AV$46, 'Power Summary'!$C$47:$AV$47)</f>
        <v>100.40508686124146</v>
      </c>
      <c r="AE112" s="47">
        <f>_xlfn.XLOOKUP(AE110, 'Power Summary'!$C$46:$AV$46, 'Power Summary'!$C$47:$AV$47)</f>
        <v>102.41318859846626</v>
      </c>
      <c r="AF112" s="47">
        <f>_xlfn.XLOOKUP(AF110, 'Power Summary'!$C$46:$AV$46, 'Power Summary'!$C$47:$AV$47)</f>
        <v>104.46145237043562</v>
      </c>
      <c r="AG112" s="47">
        <f>_xlfn.XLOOKUP(AG110, 'Power Summary'!$C$46:$AV$46, 'Power Summary'!$C$47:$AV$47)</f>
        <v>106.55068141784432</v>
      </c>
      <c r="AH112" s="47">
        <f>_xlfn.XLOOKUP(AH110, 'Power Summary'!$C$46:$AV$46, 'Power Summary'!$C$47:$AV$47)</f>
        <v>108.68169504620121</v>
      </c>
      <c r="AI112" s="47">
        <f>_xlfn.XLOOKUP(AI110, 'Power Summary'!$C$46:$AV$46, 'Power Summary'!$C$47:$AV$47)</f>
        <v>110.8553289471252</v>
      </c>
      <c r="AJ112" s="47">
        <f>_xlfn.XLOOKUP(AJ110, 'Power Summary'!$C$46:$AV$46, 'Power Summary'!$C$47:$AV$47)</f>
        <v>113.07243552606774</v>
      </c>
      <c r="AK112" s="47">
        <f>_xlfn.XLOOKUP(AK110, 'Power Summary'!$C$46:$AV$46, 'Power Summary'!$C$47:$AV$47)</f>
        <v>115.3338842365891</v>
      </c>
      <c r="AL112" s="47">
        <f>_xlfn.XLOOKUP(AL110, 'Power Summary'!$C$46:$AV$46, 'Power Summary'!$C$47:$AV$47)</f>
        <v>117.64056192132087</v>
      </c>
      <c r="AM112" s="47">
        <f>_xlfn.XLOOKUP(AM110, 'Power Summary'!$C$46:$AV$46, 'Power Summary'!$C$47:$AV$47)</f>
        <v>119.99337315974728</v>
      </c>
      <c r="AN112" s="47">
        <f>_xlfn.XLOOKUP(AN110, 'Power Summary'!$C$46:$AV$46, 'Power Summary'!$C$47:$AV$47)</f>
        <v>122.39324062294222</v>
      </c>
      <c r="AO112" s="47">
        <f>_xlfn.XLOOKUP(AO110, 'Power Summary'!$C$46:$AV$46, 'Power Summary'!$C$47:$AV$47)</f>
        <v>124.84110543540109</v>
      </c>
      <c r="AP112" s="47">
        <f>_xlfn.XLOOKUP(AP110, 'Power Summary'!$C$46:$AV$46, 'Power Summary'!$C$47:$AV$47)</f>
        <v>127.33792754410912</v>
      </c>
      <c r="AQ112" s="47">
        <f>_xlfn.XLOOKUP(AQ110, 'Power Summary'!$C$46:$AV$46, 'Power Summary'!$C$47:$AV$47)</f>
        <v>129.88468609499125</v>
      </c>
      <c r="AR112" s="47">
        <f>_xlfn.XLOOKUP(AR110, 'Power Summary'!$C$46:$AV$46, 'Power Summary'!$C$47:$AV$47)</f>
        <v>132.4823798168911</v>
      </c>
      <c r="AS112" s="47">
        <f>_xlfn.XLOOKUP(AS110, 'Power Summary'!$C$46:$AV$46, 'Power Summary'!$C$47:$AV$47)</f>
        <v>135.13202741322891</v>
      </c>
      <c r="AT112" s="47">
        <f>_xlfn.XLOOKUP(AT110, 'Power Summary'!$C$46:$AV$46, 'Power Summary'!$C$47:$AV$47)</f>
        <v>137.83466796149349</v>
      </c>
      <c r="AU112" s="47">
        <f>_xlfn.XLOOKUP(AU110, 'Power Summary'!$C$46:$AV$46, 'Power Summary'!$C$47:$AV$47)</f>
        <v>140.59136132072337</v>
      </c>
      <c r="AV112" s="47">
        <f>_xlfn.XLOOKUP(AV110, 'Power Summary'!$C$46:$AV$46, 'Power Summary'!$C$47:$AV$47)</f>
        <v>143.40318854713786</v>
      </c>
      <c r="AW112" s="47">
        <f>_xlfn.XLOOKUP(AW110, 'Power Summary'!$C$46:$AV$46, 'Power Summary'!$C$47:$AV$47)</f>
        <v>146.2712523180806</v>
      </c>
    </row>
    <row r="113" spans="3:49" ht="14.25" customHeight="1">
      <c r="C113" s="44" t="s">
        <v>521</v>
      </c>
      <c r="D113" s="236">
        <f>IFERROR(IF(AND(D11=0,D13&lt;&gt;0),0,IF(YEAR('Assumptions &amp; Inputs'!$G$31)&gt;D110,0,IF(D110=YEAR('Assumptions &amp; Inputs'!$G$31),'Assumptions &amp; Inputs'!$G$77*8760*'Assumptions &amp; Inputs'!$G$94*YEARFRAC('Assumptions &amp; Inputs'!$G$31,'Assumptions &amp; Inputs'!$G$32),IF(YEAR('Assumptions &amp; Inputs'!$G$36)&gt;=D110,'Assumptions &amp; Inputs'!$G$77*8760*'Assumptions &amp; Inputs'!$G$94*(1-'Assumptions &amp; Inputs'!$G$86)^MOD((D108-'Assumptions &amp; Inputs'!$G$28/12-1),'Assumptions &amp; Inputs'!$G$34),0)))*(1-'Assumptions &amp; Inputs'!$G$95)), 0)</f>
        <v>0</v>
      </c>
      <c r="E113" s="236">
        <f>IFERROR(IF(AND(E11=0,E13&lt;&gt;0),0,IF(YEAR('Assumptions &amp; Inputs'!$G$31)&gt;E110,0,IF(E110=YEAR('Assumptions &amp; Inputs'!$G$31),'Assumptions &amp; Inputs'!$G$77*8760*'Assumptions &amp; Inputs'!$G$94*YEARFRAC('Assumptions &amp; Inputs'!$G$31,'Assumptions &amp; Inputs'!$G$32),IF(YEAR('Assumptions &amp; Inputs'!$G$36)&gt;=E110,'Assumptions &amp; Inputs'!$G$77*8760*'Assumptions &amp; Inputs'!$G$94*(1-'Assumptions &amp; Inputs'!$G$86)^MOD((E108-'Assumptions &amp; Inputs'!$G$28/12-1),'Assumptions &amp; Inputs'!$G$34),0)))*(1-'Assumptions &amp; Inputs'!$G$95)), 0)</f>
        <v>0</v>
      </c>
      <c r="F113" s="236">
        <f>IFERROR(IF(AND(F11=0,F13&lt;&gt;0),0,IF(YEAR('Assumptions &amp; Inputs'!$G$31)&gt;F110,0,IF(F110=YEAR('Assumptions &amp; Inputs'!$G$31),'Assumptions &amp; Inputs'!$G$77*8760*'Assumptions &amp; Inputs'!$G$94*YEARFRAC('Assumptions &amp; Inputs'!$G$31,'Assumptions &amp; Inputs'!$G$32),IF(YEAR('Assumptions &amp; Inputs'!$G$36)&gt;=F110,'Assumptions &amp; Inputs'!$G$77*8760*'Assumptions &amp; Inputs'!$G$94*(1-'Assumptions &amp; Inputs'!$G$86)^MOD((F108-'Assumptions &amp; Inputs'!$G$28/12-1),'Assumptions &amp; Inputs'!$G$34),0)))*(1-'Assumptions &amp; Inputs'!$G$95)), 0)</f>
        <v>0</v>
      </c>
      <c r="G113" s="236">
        <f>IFERROR(IF(AND(G11=0,G13&lt;&gt;0),0,IF(YEAR('Assumptions &amp; Inputs'!$G$31)&gt;G110,0,IF(G110=YEAR('Assumptions &amp; Inputs'!$G$31),'Assumptions &amp; Inputs'!$G$77*8760*'Assumptions &amp; Inputs'!$G$94*YEARFRAC('Assumptions &amp; Inputs'!$G$31,'Assumptions &amp; Inputs'!$G$32),IF(YEAR('Assumptions &amp; Inputs'!$G$36)&gt;=G110,'Assumptions &amp; Inputs'!$G$77*8760*'Assumptions &amp; Inputs'!$G$94*(1-'Assumptions &amp; Inputs'!$G$86)^MOD((G108-'Assumptions &amp; Inputs'!$G$28/12-1),'Assumptions &amp; Inputs'!$G$34),0)))*(1-'Assumptions &amp; Inputs'!$G$95)), 0)</f>
        <v>496953.59999999998</v>
      </c>
      <c r="H113" s="236">
        <f>IFERROR(IF(AND(H11=0,H13&lt;&gt;0),0,IF(YEAR('Assumptions &amp; Inputs'!$G$31)&gt;H110,0,IF(H110=YEAR('Assumptions &amp; Inputs'!$G$31),'Assumptions &amp; Inputs'!$G$77*8760*'Assumptions &amp; Inputs'!$G$94*YEARFRAC('Assumptions &amp; Inputs'!$G$31,'Assumptions &amp; Inputs'!$G$32),IF(YEAR('Assumptions &amp; Inputs'!$G$36)&gt;=H110,'Assumptions &amp; Inputs'!$G$77*8760*'Assumptions &amp; Inputs'!$G$94*(1-'Assumptions &amp; Inputs'!$G$86)^MOD((H108-'Assumptions &amp; Inputs'!$G$28/12-1),'Assumptions &amp; Inputs'!$G$34),0)))*(1-'Assumptions &amp; Inputs'!$G$95)), 0)</f>
        <v>745430.4</v>
      </c>
      <c r="I113" s="236">
        <f>IFERROR(IF(AND(I11=0,I13&lt;&gt;0),0,IF(YEAR('Assumptions &amp; Inputs'!$G$31)&gt;I110,0,IF(I110=YEAR('Assumptions &amp; Inputs'!$G$31),'Assumptions &amp; Inputs'!$G$77*8760*'Assumptions &amp; Inputs'!$G$94*YEARFRAC('Assumptions &amp; Inputs'!$G$31,'Assumptions &amp; Inputs'!$G$32),IF(YEAR('Assumptions &amp; Inputs'!$G$36)&gt;=I110,'Assumptions &amp; Inputs'!$G$77*8760*'Assumptions &amp; Inputs'!$G$94*(1-'Assumptions &amp; Inputs'!$G$86)^MOD((I108-'Assumptions &amp; Inputs'!$G$28/12-1),'Assumptions &amp; Inputs'!$G$34),0)))*(1-'Assumptions &amp; Inputs'!$G$95)), 0)</f>
        <v>743566.82400000002</v>
      </c>
      <c r="J113" s="236">
        <f>IFERROR(IF(AND(J11=0,J13&lt;&gt;0),0,IF(YEAR('Assumptions &amp; Inputs'!$G$31)&gt;J110,0,IF(J110=YEAR('Assumptions &amp; Inputs'!$G$31),'Assumptions &amp; Inputs'!$G$77*8760*'Assumptions &amp; Inputs'!$G$94*YEARFRAC('Assumptions &amp; Inputs'!$G$31,'Assumptions &amp; Inputs'!$G$32),IF(YEAR('Assumptions &amp; Inputs'!$G$36)&gt;=J110,'Assumptions &amp; Inputs'!$G$77*8760*'Assumptions &amp; Inputs'!$G$94*(1-'Assumptions &amp; Inputs'!$G$86)^MOD((J108-'Assumptions &amp; Inputs'!$G$28/12-1),'Assumptions &amp; Inputs'!$G$34),0)))*(1-'Assumptions &amp; Inputs'!$G$95)), 0)</f>
        <v>741707.90694000013</v>
      </c>
      <c r="K113" s="236">
        <f>IFERROR(IF(AND(K11=0,K13&lt;&gt;0),0,IF(YEAR('Assumptions &amp; Inputs'!$G$31)&gt;K110,0,IF(K110=YEAR('Assumptions &amp; Inputs'!$G$31),'Assumptions &amp; Inputs'!$G$77*8760*'Assumptions &amp; Inputs'!$G$94*YEARFRAC('Assumptions &amp; Inputs'!$G$31,'Assumptions &amp; Inputs'!$G$32),IF(YEAR('Assumptions &amp; Inputs'!$G$36)&gt;=K110,'Assumptions &amp; Inputs'!$G$77*8760*'Assumptions &amp; Inputs'!$G$94*(1-'Assumptions &amp; Inputs'!$G$86)^MOD((K108-'Assumptions &amp; Inputs'!$G$28/12-1),'Assumptions &amp; Inputs'!$G$34),0)))*(1-'Assumptions &amp; Inputs'!$G$95)), 0)</f>
        <v>739853.63717265008</v>
      </c>
      <c r="L113" s="236">
        <f>IFERROR(IF(AND(L11=0,L13&lt;&gt;0),0,IF(YEAR('Assumptions &amp; Inputs'!$G$31)&gt;L110,0,IF(L110=YEAR('Assumptions &amp; Inputs'!$G$31),'Assumptions &amp; Inputs'!$G$77*8760*'Assumptions &amp; Inputs'!$G$94*YEARFRAC('Assumptions &amp; Inputs'!$G$31,'Assumptions &amp; Inputs'!$G$32),IF(YEAR('Assumptions &amp; Inputs'!$G$36)&gt;=L110,'Assumptions &amp; Inputs'!$G$77*8760*'Assumptions &amp; Inputs'!$G$94*(1-'Assumptions &amp; Inputs'!$G$86)^MOD((L108-'Assumptions &amp; Inputs'!$G$28/12-1),'Assumptions &amp; Inputs'!$G$34),0)))*(1-'Assumptions &amp; Inputs'!$G$95)), 0)</f>
        <v>738004.00307971844</v>
      </c>
      <c r="M113" s="236">
        <f>IFERROR(IF(AND(M11=0,M13&lt;&gt;0),0,IF(YEAR('Assumptions &amp; Inputs'!$G$31)&gt;M110,0,IF(M110=YEAR('Assumptions &amp; Inputs'!$G$31),'Assumptions &amp; Inputs'!$G$77*8760*'Assumptions &amp; Inputs'!$G$94*YEARFRAC('Assumptions &amp; Inputs'!$G$31,'Assumptions &amp; Inputs'!$G$32),IF(YEAR('Assumptions &amp; Inputs'!$G$36)&gt;=M110,'Assumptions &amp; Inputs'!$G$77*8760*'Assumptions &amp; Inputs'!$G$94*(1-'Assumptions &amp; Inputs'!$G$86)^MOD((M108-'Assumptions &amp; Inputs'!$G$28/12-1),'Assumptions &amp; Inputs'!$G$34),0)))*(1-'Assumptions &amp; Inputs'!$G$95)), 0)</f>
        <v>736158.99307201931</v>
      </c>
      <c r="N113" s="236">
        <f>IFERROR(IF(AND(N11=0,N13&lt;&gt;0),0,IF(YEAR('Assumptions &amp; Inputs'!$G$31)&gt;N110,0,IF(N110=YEAR('Assumptions &amp; Inputs'!$G$31),'Assumptions &amp; Inputs'!$G$77*8760*'Assumptions &amp; Inputs'!$G$94*YEARFRAC('Assumptions &amp; Inputs'!$G$31,'Assumptions &amp; Inputs'!$G$32),IF(YEAR('Assumptions &amp; Inputs'!$G$36)&gt;=N110,'Assumptions &amp; Inputs'!$G$77*8760*'Assumptions &amp; Inputs'!$G$94*(1-'Assumptions &amp; Inputs'!$G$86)^MOD((N108-'Assumptions &amp; Inputs'!$G$28/12-1),'Assumptions &amp; Inputs'!$G$34),0)))*(1-'Assumptions &amp; Inputs'!$G$95)), 0)</f>
        <v>734318.59558933927</v>
      </c>
      <c r="O113" s="236">
        <f>IFERROR(IF(AND(O11=0,O13&lt;&gt;0),0,IF(YEAR('Assumptions &amp; Inputs'!$G$31)&gt;O110,0,IF(O110=YEAR('Assumptions &amp; Inputs'!$G$31),'Assumptions &amp; Inputs'!$G$77*8760*'Assumptions &amp; Inputs'!$G$94*YEARFRAC('Assumptions &amp; Inputs'!$G$31,'Assumptions &amp; Inputs'!$G$32),IF(YEAR('Assumptions &amp; Inputs'!$G$36)&gt;=O110,'Assumptions &amp; Inputs'!$G$77*8760*'Assumptions &amp; Inputs'!$G$94*(1-'Assumptions &amp; Inputs'!$G$86)^MOD((O108-'Assumptions &amp; Inputs'!$G$28/12-1),'Assumptions &amp; Inputs'!$G$34),0)))*(1-'Assumptions &amp; Inputs'!$G$95)), 0)</f>
        <v>732482.79910036596</v>
      </c>
      <c r="P113" s="236">
        <f>IFERROR(IF(AND(P11=0,P13&lt;&gt;0),0,IF(YEAR('Assumptions &amp; Inputs'!$G$31)&gt;P110,0,IF(P110=YEAR('Assumptions &amp; Inputs'!$G$31),'Assumptions &amp; Inputs'!$G$77*8760*'Assumptions &amp; Inputs'!$G$94*YEARFRAC('Assumptions &amp; Inputs'!$G$31,'Assumptions &amp; Inputs'!$G$32),IF(YEAR('Assumptions &amp; Inputs'!$G$36)&gt;=P110,'Assumptions &amp; Inputs'!$G$77*8760*'Assumptions &amp; Inputs'!$G$94*(1-'Assumptions &amp; Inputs'!$G$86)^MOD((P108-'Assumptions &amp; Inputs'!$G$28/12-1),'Assumptions &amp; Inputs'!$G$34),0)))*(1-'Assumptions &amp; Inputs'!$G$95)), 0)</f>
        <v>730651.59210261505</v>
      </c>
      <c r="Q113" s="236">
        <f>IFERROR(IF(AND(Q11=0,Q13&lt;&gt;0),0,IF(YEAR('Assumptions &amp; Inputs'!$G$31)&gt;Q110,0,IF(Q110=YEAR('Assumptions &amp; Inputs'!$G$31),'Assumptions &amp; Inputs'!$G$77*8760*'Assumptions &amp; Inputs'!$G$94*YEARFRAC('Assumptions &amp; Inputs'!$G$31,'Assumptions &amp; Inputs'!$G$32),IF(YEAR('Assumptions &amp; Inputs'!$G$36)&gt;=Q110,'Assumptions &amp; Inputs'!$G$77*8760*'Assumptions &amp; Inputs'!$G$94*(1-'Assumptions &amp; Inputs'!$G$86)^MOD((Q108-'Assumptions &amp; Inputs'!$G$28/12-1),'Assumptions &amp; Inputs'!$G$34),0)))*(1-'Assumptions &amp; Inputs'!$G$95)), 0)</f>
        <v>728824.96312235855</v>
      </c>
      <c r="R113" s="236">
        <f>IFERROR(IF(AND(R11=0,R13&lt;&gt;0),0,IF(YEAR('Assumptions &amp; Inputs'!$G$31)&gt;R110,0,IF(R110=YEAR('Assumptions &amp; Inputs'!$G$31),'Assumptions &amp; Inputs'!$G$77*8760*'Assumptions &amp; Inputs'!$G$94*YEARFRAC('Assumptions &amp; Inputs'!$G$31,'Assumptions &amp; Inputs'!$G$32),IF(YEAR('Assumptions &amp; Inputs'!$G$36)&gt;=R110,'Assumptions &amp; Inputs'!$G$77*8760*'Assumptions &amp; Inputs'!$G$94*(1-'Assumptions &amp; Inputs'!$G$86)^MOD((R108-'Assumptions &amp; Inputs'!$G$28/12-1),'Assumptions &amp; Inputs'!$G$34),0)))*(1-'Assumptions &amp; Inputs'!$G$95)), 0)</f>
        <v>727002.90071455261</v>
      </c>
      <c r="S113" s="236">
        <f>IFERROR(IF(AND(S11=0,S13&lt;&gt;0),0,IF(YEAR('Assumptions &amp; Inputs'!$G$31)&gt;S110,0,IF(S110=YEAR('Assumptions &amp; Inputs'!$G$31),'Assumptions &amp; Inputs'!$G$77*8760*'Assumptions &amp; Inputs'!$G$94*YEARFRAC('Assumptions &amp; Inputs'!$G$31,'Assumptions &amp; Inputs'!$G$32),IF(YEAR('Assumptions &amp; Inputs'!$G$36)&gt;=S110,'Assumptions &amp; Inputs'!$G$77*8760*'Assumptions &amp; Inputs'!$G$94*(1-'Assumptions &amp; Inputs'!$G$86)^MOD((S108-'Assumptions &amp; Inputs'!$G$28/12-1),'Assumptions &amp; Inputs'!$G$34),0)))*(1-'Assumptions &amp; Inputs'!$G$95)), 0)</f>
        <v>725185.39346276631</v>
      </c>
      <c r="T113" s="236">
        <f>IFERROR(IF(AND(T11=0,T13&lt;&gt;0),0,IF(YEAR('Assumptions &amp; Inputs'!$G$31)&gt;T110,0,IF(T110=YEAR('Assumptions &amp; Inputs'!$G$31),'Assumptions &amp; Inputs'!$G$77*8760*'Assumptions &amp; Inputs'!$G$94*YEARFRAC('Assumptions &amp; Inputs'!$G$31,'Assumptions &amp; Inputs'!$G$32),IF(YEAR('Assumptions &amp; Inputs'!$G$36)&gt;=T110,'Assumptions &amp; Inputs'!$G$77*8760*'Assumptions &amp; Inputs'!$G$94*(1-'Assumptions &amp; Inputs'!$G$86)^MOD((T108-'Assumptions &amp; Inputs'!$G$28/12-1),'Assumptions &amp; Inputs'!$G$34),0)))*(1-'Assumptions &amp; Inputs'!$G$95)), 0)</f>
        <v>723372.42997910944</v>
      </c>
      <c r="U113" s="236">
        <f>IFERROR(IF(AND(U11=0,U13&lt;&gt;0),0,IF(YEAR('Assumptions &amp; Inputs'!$G$31)&gt;U110,0,IF(U110=YEAR('Assumptions &amp; Inputs'!$G$31),'Assumptions &amp; Inputs'!$G$77*8760*'Assumptions &amp; Inputs'!$G$94*YEARFRAC('Assumptions &amp; Inputs'!$G$31,'Assumptions &amp; Inputs'!$G$32),IF(YEAR('Assumptions &amp; Inputs'!$G$36)&gt;=U110,'Assumptions &amp; Inputs'!$G$77*8760*'Assumptions &amp; Inputs'!$G$94*(1-'Assumptions &amp; Inputs'!$G$86)^MOD((U108-'Assumptions &amp; Inputs'!$G$28/12-1),'Assumptions &amp; Inputs'!$G$34),0)))*(1-'Assumptions &amp; Inputs'!$G$95)), 0)</f>
        <v>721563.99890416162</v>
      </c>
      <c r="V113" s="236">
        <f>IFERROR(IF(AND(V11=0,V13&lt;&gt;0),0,IF(YEAR('Assumptions &amp; Inputs'!$G$31)&gt;V110,0,IF(V110=YEAR('Assumptions &amp; Inputs'!$G$31),'Assumptions &amp; Inputs'!$G$77*8760*'Assumptions &amp; Inputs'!$G$94*YEARFRAC('Assumptions &amp; Inputs'!$G$31,'Assumptions &amp; Inputs'!$G$32),IF(YEAR('Assumptions &amp; Inputs'!$G$36)&gt;=V110,'Assumptions &amp; Inputs'!$G$77*8760*'Assumptions &amp; Inputs'!$G$94*(1-'Assumptions &amp; Inputs'!$G$86)^MOD((V108-'Assumptions &amp; Inputs'!$G$28/12-1),'Assumptions &amp; Inputs'!$G$34),0)))*(1-'Assumptions &amp; Inputs'!$G$95)), 0)</f>
        <v>719760.08890690131</v>
      </c>
      <c r="W113" s="236">
        <f>IFERROR(IF(AND(W11=0,W13&lt;&gt;0),0,IF(YEAR('Assumptions &amp; Inputs'!$G$31)&gt;W110,0,IF(W110=YEAR('Assumptions &amp; Inputs'!$G$31),'Assumptions &amp; Inputs'!$G$77*8760*'Assumptions &amp; Inputs'!$G$94*YEARFRAC('Assumptions &amp; Inputs'!$G$31,'Assumptions &amp; Inputs'!$G$32),IF(YEAR('Assumptions &amp; Inputs'!$G$36)&gt;=W110,'Assumptions &amp; Inputs'!$G$77*8760*'Assumptions &amp; Inputs'!$G$94*(1-'Assumptions &amp; Inputs'!$G$86)^MOD((W108-'Assumptions &amp; Inputs'!$G$28/12-1),'Assumptions &amp; Inputs'!$G$34),0)))*(1-'Assumptions &amp; Inputs'!$G$95)), 0)</f>
        <v>717960.68868463405</v>
      </c>
      <c r="X113" s="236">
        <f>IFERROR(IF(AND(X11=0,X13&lt;&gt;0),0,IF(YEAR('Assumptions &amp; Inputs'!$G$31)&gt;X110,0,IF(X110=YEAR('Assumptions &amp; Inputs'!$G$31),'Assumptions &amp; Inputs'!$G$77*8760*'Assumptions &amp; Inputs'!$G$94*YEARFRAC('Assumptions &amp; Inputs'!$G$31,'Assumptions &amp; Inputs'!$G$32),IF(YEAR('Assumptions &amp; Inputs'!$G$36)&gt;=X110,'Assumptions &amp; Inputs'!$G$77*8760*'Assumptions &amp; Inputs'!$G$94*(1-'Assumptions &amp; Inputs'!$G$86)^MOD((X108-'Assumptions &amp; Inputs'!$G$28/12-1),'Assumptions &amp; Inputs'!$G$34),0)))*(1-'Assumptions &amp; Inputs'!$G$95)), 0)</f>
        <v>716165.78696292255</v>
      </c>
      <c r="Y113" s="236">
        <f>IFERROR(IF(AND(Y11=0,Y13&lt;&gt;0),0,IF(YEAR('Assumptions &amp; Inputs'!$G$31)&gt;Y110,0,IF(Y110=YEAR('Assumptions &amp; Inputs'!$G$31),'Assumptions &amp; Inputs'!$G$77*8760*'Assumptions &amp; Inputs'!$G$94*YEARFRAC('Assumptions &amp; Inputs'!$G$31,'Assumptions &amp; Inputs'!$G$32),IF(YEAR('Assumptions &amp; Inputs'!$G$36)&gt;=Y110,'Assumptions &amp; Inputs'!$G$77*8760*'Assumptions &amp; Inputs'!$G$94*(1-'Assumptions &amp; Inputs'!$G$86)^MOD((Y108-'Assumptions &amp; Inputs'!$G$28/12-1),'Assumptions &amp; Inputs'!$G$34),0)))*(1-'Assumptions &amp; Inputs'!$G$95)), 0)</f>
        <v>714375.37249551527</v>
      </c>
      <c r="Z113" s="236">
        <f>IFERROR(IF(AND(Z11=0,Z13&lt;&gt;0),0,IF(YEAR('Assumptions &amp; Inputs'!$G$31)&gt;Z110,0,IF(Z110=YEAR('Assumptions &amp; Inputs'!$G$31),'Assumptions &amp; Inputs'!$G$77*8760*'Assumptions &amp; Inputs'!$G$94*YEARFRAC('Assumptions &amp; Inputs'!$G$31,'Assumptions &amp; Inputs'!$G$32),IF(YEAR('Assumptions &amp; Inputs'!$G$36)&gt;=Z110,'Assumptions &amp; Inputs'!$G$77*8760*'Assumptions &amp; Inputs'!$G$94*(1-'Assumptions &amp; Inputs'!$G$86)^MOD((Z108-'Assumptions &amp; Inputs'!$G$28/12-1),'Assumptions &amp; Inputs'!$G$34),0)))*(1-'Assumptions &amp; Inputs'!$G$95)), 0)</f>
        <v>712589.43406427652</v>
      </c>
      <c r="AA113" s="236">
        <f>IFERROR(IF(AND(AA11=0,AA13&lt;&gt;0),0,IF(YEAR('Assumptions &amp; Inputs'!$G$31)&gt;AA110,0,IF(AA110=YEAR('Assumptions &amp; Inputs'!$G$31),'Assumptions &amp; Inputs'!$G$77*8760*'Assumptions &amp; Inputs'!$G$94*YEARFRAC('Assumptions &amp; Inputs'!$G$31,'Assumptions &amp; Inputs'!$G$32),IF(YEAR('Assumptions &amp; Inputs'!$G$36)&gt;=AA110,'Assumptions &amp; Inputs'!$G$77*8760*'Assumptions &amp; Inputs'!$G$94*(1-'Assumptions &amp; Inputs'!$G$86)^MOD((AA108-'Assumptions &amp; Inputs'!$G$28/12-1),'Assumptions &amp; Inputs'!$G$34),0)))*(1-'Assumptions &amp; Inputs'!$G$95)), 0)</f>
        <v>710807.96047911583</v>
      </c>
      <c r="AB113" s="236">
        <f>IFERROR(IF(AND(AB11=0,AB13&lt;&gt;0),0,IF(YEAR('Assumptions &amp; Inputs'!$G$31)&gt;AB110,0,IF(AB110=YEAR('Assumptions &amp; Inputs'!$G$31),'Assumptions &amp; Inputs'!$G$77*8760*'Assumptions &amp; Inputs'!$G$94*YEARFRAC('Assumptions &amp; Inputs'!$G$31,'Assumptions &amp; Inputs'!$G$32),IF(YEAR('Assumptions &amp; Inputs'!$G$36)&gt;=AB110,'Assumptions &amp; Inputs'!$G$77*8760*'Assumptions &amp; Inputs'!$G$94*(1-'Assumptions &amp; Inputs'!$G$86)^MOD((AB108-'Assumptions &amp; Inputs'!$G$28/12-1),'Assumptions &amp; Inputs'!$G$34),0)))*(1-'Assumptions &amp; Inputs'!$G$95)), 0)</f>
        <v>709030.94057791808</v>
      </c>
      <c r="AC113" s="236">
        <f>IFERROR(IF(AND(AC11=0,AC13&lt;&gt;0),0,IF(YEAR('Assumptions &amp; Inputs'!$G$31)&gt;AC110,0,IF(AC110=YEAR('Assumptions &amp; Inputs'!$G$31),'Assumptions &amp; Inputs'!$G$77*8760*'Assumptions &amp; Inputs'!$G$94*YEARFRAC('Assumptions &amp; Inputs'!$G$31,'Assumptions &amp; Inputs'!$G$32),IF(YEAR('Assumptions &amp; Inputs'!$G$36)&gt;=AC110,'Assumptions &amp; Inputs'!$G$77*8760*'Assumptions &amp; Inputs'!$G$94*(1-'Assumptions &amp; Inputs'!$G$86)^MOD((AC108-'Assumptions &amp; Inputs'!$G$28/12-1),'Assumptions &amp; Inputs'!$G$34),0)))*(1-'Assumptions &amp; Inputs'!$G$95)), 0)</f>
        <v>707258.36322647345</v>
      </c>
      <c r="AD113" s="236">
        <f>IFERROR(IF(AND(AD11=0,AD13&lt;&gt;0),0,IF(YEAR('Assumptions &amp; Inputs'!$G$31)&gt;AD110,0,IF(AD110=YEAR('Assumptions &amp; Inputs'!$G$31),'Assumptions &amp; Inputs'!$G$77*8760*'Assumptions &amp; Inputs'!$G$94*YEARFRAC('Assumptions &amp; Inputs'!$G$31,'Assumptions &amp; Inputs'!$G$32),IF(YEAR('Assumptions &amp; Inputs'!$G$36)&gt;=AD110,'Assumptions &amp; Inputs'!$G$77*8760*'Assumptions &amp; Inputs'!$G$94*(1-'Assumptions &amp; Inputs'!$G$86)^MOD((AD108-'Assumptions &amp; Inputs'!$G$28/12-1),'Assumptions &amp; Inputs'!$G$34),0)))*(1-'Assumptions &amp; Inputs'!$G$95)), 0)</f>
        <v>705490.21731840726</v>
      </c>
      <c r="AE113" s="236">
        <f>IFERROR(IF(AND(AE11=0,AE13&lt;&gt;0),0,IF(YEAR('Assumptions &amp; Inputs'!$G$31)&gt;AE110,0,IF(AE110=YEAR('Assumptions &amp; Inputs'!$G$31),'Assumptions &amp; Inputs'!$G$77*8760*'Assumptions &amp; Inputs'!$G$94*YEARFRAC('Assumptions &amp; Inputs'!$G$31,'Assumptions &amp; Inputs'!$G$32),IF(YEAR('Assumptions &amp; Inputs'!$G$36)&gt;=AE110,'Assumptions &amp; Inputs'!$G$77*8760*'Assumptions &amp; Inputs'!$G$94*(1-'Assumptions &amp; Inputs'!$G$86)^MOD((AE108-'Assumptions &amp; Inputs'!$G$28/12-1),'Assumptions &amp; Inputs'!$G$34),0)))*(1-'Assumptions &amp; Inputs'!$G$95)), 0)</f>
        <v>703726.4917751113</v>
      </c>
      <c r="AF113" s="236">
        <f>IFERROR(IF(AND(AF11=0,AF13&lt;&gt;0),0,IF(YEAR('Assumptions &amp; Inputs'!$G$31)&gt;AF110,0,IF(AF110=YEAR('Assumptions &amp; Inputs'!$G$31),'Assumptions &amp; Inputs'!$G$77*8760*'Assumptions &amp; Inputs'!$G$94*YEARFRAC('Assumptions &amp; Inputs'!$G$31,'Assumptions &amp; Inputs'!$G$32),IF(YEAR('Assumptions &amp; Inputs'!$G$36)&gt;=AF110,'Assumptions &amp; Inputs'!$G$77*8760*'Assumptions &amp; Inputs'!$G$94*(1-'Assumptions &amp; Inputs'!$G$86)^MOD((AF108-'Assumptions &amp; Inputs'!$G$28/12-1),'Assumptions &amp; Inputs'!$G$34),0)))*(1-'Assumptions &amp; Inputs'!$G$95)), 0)</f>
        <v>701967.17554567347</v>
      </c>
      <c r="AG113" s="236">
        <f>IFERROR(IF(AND(AG11=0,AG13&lt;&gt;0),0,IF(YEAR('Assumptions &amp; Inputs'!$G$31)&gt;AG110,0,IF(AG110=YEAR('Assumptions &amp; Inputs'!$G$31),'Assumptions &amp; Inputs'!$G$77*8760*'Assumptions &amp; Inputs'!$G$94*YEARFRAC('Assumptions &amp; Inputs'!$G$31,'Assumptions &amp; Inputs'!$G$32),IF(YEAR('Assumptions &amp; Inputs'!$G$36)&gt;=AG110,'Assumptions &amp; Inputs'!$G$77*8760*'Assumptions &amp; Inputs'!$G$94*(1-'Assumptions &amp; Inputs'!$G$86)^MOD((AG108-'Assumptions &amp; Inputs'!$G$28/12-1),'Assumptions &amp; Inputs'!$G$34),0)))*(1-'Assumptions &amp; Inputs'!$G$95)), 0)</f>
        <v>0</v>
      </c>
      <c r="AH113" s="236">
        <f>IFERROR(IF(AND(AH11=0,AH13&lt;&gt;0),0,IF(YEAR('Assumptions &amp; Inputs'!$G$31)&gt;AH110,0,IF(AH110=YEAR('Assumptions &amp; Inputs'!$G$31),'Assumptions &amp; Inputs'!$G$77*8760*'Assumptions &amp; Inputs'!$G$94*YEARFRAC('Assumptions &amp; Inputs'!$G$31,'Assumptions &amp; Inputs'!$G$32),IF(YEAR('Assumptions &amp; Inputs'!$G$36)&gt;=AH110,'Assumptions &amp; Inputs'!$G$77*8760*'Assumptions &amp; Inputs'!$G$94*(1-'Assumptions &amp; Inputs'!$G$86)^MOD((AH108-'Assumptions &amp; Inputs'!$G$28/12-1),'Assumptions &amp; Inputs'!$G$34),0)))*(1-'Assumptions &amp; Inputs'!$G$95)), 0)</f>
        <v>0</v>
      </c>
      <c r="AI113" s="236">
        <f>IFERROR(IF(AND(AI11=0,AI13&lt;&gt;0),0,IF(YEAR('Assumptions &amp; Inputs'!$G$31)&gt;AI110,0,IF(AI110=YEAR('Assumptions &amp; Inputs'!$G$31),'Assumptions &amp; Inputs'!$G$77*8760*'Assumptions &amp; Inputs'!$G$94*YEARFRAC('Assumptions &amp; Inputs'!$G$31,'Assumptions &amp; Inputs'!$G$32),IF(YEAR('Assumptions &amp; Inputs'!$G$36)&gt;=AI110,'Assumptions &amp; Inputs'!$G$77*8760*'Assumptions &amp; Inputs'!$G$94*(1-'Assumptions &amp; Inputs'!$G$86)^MOD((AI108-'Assumptions &amp; Inputs'!$G$28/12-1),'Assumptions &amp; Inputs'!$G$34),0)))*(1-'Assumptions &amp; Inputs'!$G$95)), 0)</f>
        <v>0</v>
      </c>
      <c r="AJ113" s="236">
        <f>IFERROR(IF(AND(AJ11=0,AJ13&lt;&gt;0),0,IF(YEAR('Assumptions &amp; Inputs'!$G$31)&gt;AJ110,0,IF(AJ110=YEAR('Assumptions &amp; Inputs'!$G$31),'Assumptions &amp; Inputs'!$G$77*8760*'Assumptions &amp; Inputs'!$G$94*YEARFRAC('Assumptions &amp; Inputs'!$G$31,'Assumptions &amp; Inputs'!$G$32),IF(YEAR('Assumptions &amp; Inputs'!$G$36)&gt;=AJ110,'Assumptions &amp; Inputs'!$G$77*8760*'Assumptions &amp; Inputs'!$G$94*(1-'Assumptions &amp; Inputs'!$G$86)^MOD((AJ108-'Assumptions &amp; Inputs'!$G$28/12-1),'Assumptions &amp; Inputs'!$G$34),0)))*(1-'Assumptions &amp; Inputs'!$G$95)), 0)</f>
        <v>0</v>
      </c>
      <c r="AK113" s="236">
        <f>IFERROR(IF(AND(AK11=0,AK13&lt;&gt;0),0,IF(YEAR('Assumptions &amp; Inputs'!$G$31)&gt;AK110,0,IF(AK110=YEAR('Assumptions &amp; Inputs'!$G$31),'Assumptions &amp; Inputs'!$G$77*8760*'Assumptions &amp; Inputs'!$G$94*YEARFRAC('Assumptions &amp; Inputs'!$G$31,'Assumptions &amp; Inputs'!$G$32),IF(YEAR('Assumptions &amp; Inputs'!$G$36)&gt;=AK110,'Assumptions &amp; Inputs'!$G$77*8760*'Assumptions &amp; Inputs'!$G$94*(1-'Assumptions &amp; Inputs'!$G$86)^MOD((AK108-'Assumptions &amp; Inputs'!$G$28/12-1),'Assumptions &amp; Inputs'!$G$34),0)))*(1-'Assumptions &amp; Inputs'!$G$95)), 0)</f>
        <v>0</v>
      </c>
      <c r="AL113" s="236">
        <f>IFERROR(IF(AND(AL11=0,AL13&lt;&gt;0),0,IF(YEAR('Assumptions &amp; Inputs'!$G$31)&gt;AL110,0,IF(AL110=YEAR('Assumptions &amp; Inputs'!$G$31),'Assumptions &amp; Inputs'!$G$77*8760*'Assumptions &amp; Inputs'!$G$94*YEARFRAC('Assumptions &amp; Inputs'!$G$31,'Assumptions &amp; Inputs'!$G$32),IF(YEAR('Assumptions &amp; Inputs'!$G$36)&gt;=AL110,'Assumptions &amp; Inputs'!$G$77*8760*'Assumptions &amp; Inputs'!$G$94*(1-'Assumptions &amp; Inputs'!$G$86)^MOD((AL108-'Assumptions &amp; Inputs'!$G$28/12-1),'Assumptions &amp; Inputs'!$G$34),0)))*(1-'Assumptions &amp; Inputs'!$G$95)), 0)</f>
        <v>0</v>
      </c>
      <c r="AM113" s="236">
        <f>IFERROR(IF(AND(AM11=0,AM13&lt;&gt;0),0,IF(YEAR('Assumptions &amp; Inputs'!$G$31)&gt;AM110,0,IF(AM110=YEAR('Assumptions &amp; Inputs'!$G$31),'Assumptions &amp; Inputs'!$G$77*8760*'Assumptions &amp; Inputs'!$G$94*YEARFRAC('Assumptions &amp; Inputs'!$G$31,'Assumptions &amp; Inputs'!$G$32),IF(YEAR('Assumptions &amp; Inputs'!$G$36)&gt;=AM110,'Assumptions &amp; Inputs'!$G$77*8760*'Assumptions &amp; Inputs'!$G$94*(1-'Assumptions &amp; Inputs'!$G$86)^MOD((AM108-'Assumptions &amp; Inputs'!$G$28/12-1),'Assumptions &amp; Inputs'!$G$34),0)))*(1-'Assumptions &amp; Inputs'!$G$95)), 0)</f>
        <v>0</v>
      </c>
      <c r="AN113" s="236">
        <f>IFERROR(IF(AND(AN11=0,AN13&lt;&gt;0),0,IF(YEAR('Assumptions &amp; Inputs'!$G$31)&gt;AN110,0,IF(AN110=YEAR('Assumptions &amp; Inputs'!$G$31),'Assumptions &amp; Inputs'!$G$77*8760*'Assumptions &amp; Inputs'!$G$94*YEARFRAC('Assumptions &amp; Inputs'!$G$31,'Assumptions &amp; Inputs'!$G$32),IF(YEAR('Assumptions &amp; Inputs'!$G$36)&gt;=AN110,'Assumptions &amp; Inputs'!$G$77*8760*'Assumptions &amp; Inputs'!$G$94*(1-'Assumptions &amp; Inputs'!$G$86)^MOD((AN108-'Assumptions &amp; Inputs'!$G$28/12-1),'Assumptions &amp; Inputs'!$G$34),0)))*(1-'Assumptions &amp; Inputs'!$G$95)), 0)</f>
        <v>0</v>
      </c>
      <c r="AO113" s="236">
        <f>IFERROR(IF(AND(AO11=0,AO13&lt;&gt;0),0,IF(YEAR('Assumptions &amp; Inputs'!$G$31)&gt;AO110,0,IF(AO110=YEAR('Assumptions &amp; Inputs'!$G$31),'Assumptions &amp; Inputs'!$G$77*8760*'Assumptions &amp; Inputs'!$G$94*YEARFRAC('Assumptions &amp; Inputs'!$G$31,'Assumptions &amp; Inputs'!$G$32),IF(YEAR('Assumptions &amp; Inputs'!$G$36)&gt;=AO110,'Assumptions &amp; Inputs'!$G$77*8760*'Assumptions &amp; Inputs'!$G$94*(1-'Assumptions &amp; Inputs'!$G$86)^MOD((AO108-'Assumptions &amp; Inputs'!$G$28/12-1),'Assumptions &amp; Inputs'!$G$34),0)))*(1-'Assumptions &amp; Inputs'!$G$95)), 0)</f>
        <v>0</v>
      </c>
      <c r="AP113" s="236">
        <f>IFERROR(IF(AND(AP11=0,AP13&lt;&gt;0),0,IF(YEAR('Assumptions &amp; Inputs'!$G$31)&gt;AP110,0,IF(AP110=YEAR('Assumptions &amp; Inputs'!$G$31),'Assumptions &amp; Inputs'!$G$77*8760*'Assumptions &amp; Inputs'!$G$94*YEARFRAC('Assumptions &amp; Inputs'!$G$31,'Assumptions &amp; Inputs'!$G$32),IF(YEAR('Assumptions &amp; Inputs'!$G$36)&gt;=AP110,'Assumptions &amp; Inputs'!$G$77*8760*'Assumptions &amp; Inputs'!$G$94*(1-'Assumptions &amp; Inputs'!$G$86)^MOD((AP108-'Assumptions &amp; Inputs'!$G$28/12-1),'Assumptions &amp; Inputs'!$G$34),0)))*(1-'Assumptions &amp; Inputs'!$G$95)), 0)</f>
        <v>0</v>
      </c>
      <c r="AQ113" s="236">
        <f>IFERROR(IF(AND(AQ11=0,AQ13&lt;&gt;0),0,IF(YEAR('Assumptions &amp; Inputs'!$G$31)&gt;AQ110,0,IF(AQ110=YEAR('Assumptions &amp; Inputs'!$G$31),'Assumptions &amp; Inputs'!$G$77*8760*'Assumptions &amp; Inputs'!$G$94*YEARFRAC('Assumptions &amp; Inputs'!$G$31,'Assumptions &amp; Inputs'!$G$32),IF(YEAR('Assumptions &amp; Inputs'!$G$36)&gt;=AQ110,'Assumptions &amp; Inputs'!$G$77*8760*'Assumptions &amp; Inputs'!$G$94*(1-'Assumptions &amp; Inputs'!$G$86)^MOD((AQ108-'Assumptions &amp; Inputs'!$G$28/12-1),'Assumptions &amp; Inputs'!$G$34),0)))*(1-'Assumptions &amp; Inputs'!$G$95)), 0)</f>
        <v>0</v>
      </c>
      <c r="AR113" s="236">
        <f>IFERROR(IF(AND(AR11=0,AR13&lt;&gt;0),0,IF(YEAR('Assumptions &amp; Inputs'!$G$31)&gt;AR110,0,IF(AR110=YEAR('Assumptions &amp; Inputs'!$G$31),'Assumptions &amp; Inputs'!$G$77*8760*'Assumptions &amp; Inputs'!$G$94*YEARFRAC('Assumptions &amp; Inputs'!$G$31,'Assumptions &amp; Inputs'!$G$32),IF(YEAR('Assumptions &amp; Inputs'!$G$36)&gt;=AR110,'Assumptions &amp; Inputs'!$G$77*8760*'Assumptions &amp; Inputs'!$G$94*(1-'Assumptions &amp; Inputs'!$G$86)^MOD((AR108-'Assumptions &amp; Inputs'!$G$28/12-1),'Assumptions &amp; Inputs'!$G$34),0)))*(1-'Assumptions &amp; Inputs'!$G$95)), 0)</f>
        <v>0</v>
      </c>
      <c r="AS113" s="236">
        <f>IFERROR(IF(AND(AS11=0,AS13&lt;&gt;0),0,IF(YEAR('Assumptions &amp; Inputs'!$G$31)&gt;AS110,0,IF(AS110=YEAR('Assumptions &amp; Inputs'!$G$31),'Assumptions &amp; Inputs'!$G$77*8760*'Assumptions &amp; Inputs'!$G$94*YEARFRAC('Assumptions &amp; Inputs'!$G$31,'Assumptions &amp; Inputs'!$G$32),IF(YEAR('Assumptions &amp; Inputs'!$G$36)&gt;=AS110,'Assumptions &amp; Inputs'!$G$77*8760*'Assumptions &amp; Inputs'!$G$94*(1-'Assumptions &amp; Inputs'!$G$86)^MOD((AS108-'Assumptions &amp; Inputs'!$G$28/12-1),'Assumptions &amp; Inputs'!$G$34),0)))*(1-'Assumptions &amp; Inputs'!$G$95)), 0)</f>
        <v>0</v>
      </c>
      <c r="AT113" s="236">
        <f>IFERROR(IF(AND(AT11=0,AT13&lt;&gt;0),0,IF(YEAR('Assumptions &amp; Inputs'!$G$31)&gt;AT110,0,IF(AT110=YEAR('Assumptions &amp; Inputs'!$G$31),'Assumptions &amp; Inputs'!$G$77*8760*'Assumptions &amp; Inputs'!$G$94*YEARFRAC('Assumptions &amp; Inputs'!$G$31,'Assumptions &amp; Inputs'!$G$32),IF(YEAR('Assumptions &amp; Inputs'!$G$36)&gt;=AT110,'Assumptions &amp; Inputs'!$G$77*8760*'Assumptions &amp; Inputs'!$G$94*(1-'Assumptions &amp; Inputs'!$G$86)^MOD((AT108-'Assumptions &amp; Inputs'!$G$28/12-1),'Assumptions &amp; Inputs'!$G$34),0)))*(1-'Assumptions &amp; Inputs'!$G$95)), 0)</f>
        <v>0</v>
      </c>
      <c r="AU113" s="236">
        <f>IFERROR(IF(AND(AU11=0,AU13&lt;&gt;0),0,IF(YEAR('Assumptions &amp; Inputs'!$G$31)&gt;AU110,0,IF(AU110=YEAR('Assumptions &amp; Inputs'!$G$31),'Assumptions &amp; Inputs'!$G$77*8760*'Assumptions &amp; Inputs'!$G$94*YEARFRAC('Assumptions &amp; Inputs'!$G$31,'Assumptions &amp; Inputs'!$G$32),IF(YEAR('Assumptions &amp; Inputs'!$G$36)&gt;=AU110,'Assumptions &amp; Inputs'!$G$77*8760*'Assumptions &amp; Inputs'!$G$94*(1-'Assumptions &amp; Inputs'!$G$86)^MOD((AU108-'Assumptions &amp; Inputs'!$G$28/12-1),'Assumptions &amp; Inputs'!$G$34),0)))*(1-'Assumptions &amp; Inputs'!$G$95)), 0)</f>
        <v>0</v>
      </c>
      <c r="AV113" s="236">
        <f>IFERROR(IF(AND(AV11=0,AV13&lt;&gt;0),0,IF(YEAR('Assumptions &amp; Inputs'!$G$31)&gt;AV110,0,IF(AV110=YEAR('Assumptions &amp; Inputs'!$G$31),'Assumptions &amp; Inputs'!$G$77*8760*'Assumptions &amp; Inputs'!$G$94*YEARFRAC('Assumptions &amp; Inputs'!$G$31,'Assumptions &amp; Inputs'!$G$32),IF(YEAR('Assumptions &amp; Inputs'!$G$36)&gt;=AV110,'Assumptions &amp; Inputs'!$G$77*8760*'Assumptions &amp; Inputs'!$G$94*(1-'Assumptions &amp; Inputs'!$G$86)^MOD((AV108-'Assumptions &amp; Inputs'!$G$28/12-1),'Assumptions &amp; Inputs'!$G$34),0)))*(1-'Assumptions &amp; Inputs'!$G$95)), 0)</f>
        <v>0</v>
      </c>
      <c r="AW113" s="236">
        <f>IFERROR(IF(AND(AW11=0,AW13&lt;&gt;0),0,IF(YEAR('Assumptions &amp; Inputs'!$G$31)&gt;AW110,0,IF(AW110=YEAR('Assumptions &amp; Inputs'!$G$31),'Assumptions &amp; Inputs'!$G$77*8760*'Assumptions &amp; Inputs'!$G$94*YEARFRAC('Assumptions &amp; Inputs'!$G$31,'Assumptions &amp; Inputs'!$G$32),IF(YEAR('Assumptions &amp; Inputs'!$G$36)&gt;=AW110,'Assumptions &amp; Inputs'!$G$77*8760*'Assumptions &amp; Inputs'!$G$94*(1-'Assumptions &amp; Inputs'!$G$86)^MOD((AW108-'Assumptions &amp; Inputs'!$G$28/12-1),'Assumptions &amp; Inputs'!$G$34),0)))*(1-'Assumptions &amp; Inputs'!$G$95)), 0)</f>
        <v>0</v>
      </c>
    </row>
    <row r="114" spans="3:49" ht="14.25" customHeight="1">
      <c r="C114" s="44" t="s">
        <v>522</v>
      </c>
      <c r="D114" s="68">
        <f>D115/(1-'Assumptions &amp; Inputs'!$G$95)</f>
        <v>0</v>
      </c>
      <c r="E114" s="68">
        <f>E115/(1-'Assumptions &amp; Inputs'!$G$95)</f>
        <v>0</v>
      </c>
      <c r="F114" s="68">
        <f>F115/(1-'Assumptions &amp; Inputs'!$G$95)</f>
        <v>0</v>
      </c>
      <c r="G114" s="68">
        <f>G115/(1-'Assumptions &amp; Inputs'!$G$95)</f>
        <v>509696</v>
      </c>
      <c r="H114" s="68">
        <f>H115/(1-'Assumptions &amp; Inputs'!$G$95)</f>
        <v>764544</v>
      </c>
      <c r="I114" s="68">
        <f>I115/(1-'Assumptions &amp; Inputs'!$G$95)</f>
        <v>762632.64</v>
      </c>
      <c r="J114" s="68">
        <f>J115/(1-'Assumptions &amp; Inputs'!$G$95)</f>
        <v>760726.0584000001</v>
      </c>
      <c r="K114" s="68">
        <f>K115/(1-'Assumptions &amp; Inputs'!$G$95)</f>
        <v>758824.24325400009</v>
      </c>
      <c r="L114" s="68">
        <f>L115/(1-'Assumptions &amp; Inputs'!$G$95)</f>
        <v>756927.18264586513</v>
      </c>
      <c r="M114" s="68">
        <f>M115/(1-'Assumptions &amp; Inputs'!$G$95)</f>
        <v>755034.86468925059</v>
      </c>
      <c r="N114" s="68">
        <f>N115/(1-'Assumptions &amp; Inputs'!$G$95)</f>
        <v>753147.27752752742</v>
      </c>
      <c r="O114" s="68">
        <f>O115/(1-'Assumptions &amp; Inputs'!$G$95)</f>
        <v>751264.4093337087</v>
      </c>
      <c r="P114" s="68">
        <f>P115/(1-'Assumptions &amp; Inputs'!$G$95)</f>
        <v>749386.24831037445</v>
      </c>
      <c r="Q114" s="68">
        <f>Q115/(1-'Assumptions &amp; Inputs'!$G$95)</f>
        <v>747512.78268959851</v>
      </c>
      <c r="R114" s="68">
        <f>R115/(1-'Assumptions &amp; Inputs'!$G$95)</f>
        <v>745644.0007328745</v>
      </c>
      <c r="S114" s="68">
        <f>S115/(1-'Assumptions &amp; Inputs'!$G$95)</f>
        <v>743779.89073104237</v>
      </c>
      <c r="T114" s="68">
        <f>T115/(1-'Assumptions &amp; Inputs'!$G$95)</f>
        <v>741920.44100421481</v>
      </c>
      <c r="U114" s="68">
        <f>U115/(1-'Assumptions &amp; Inputs'!$G$95)</f>
        <v>740065.63990170427</v>
      </c>
      <c r="V114" s="68">
        <f>V115/(1-'Assumptions &amp; Inputs'!$G$95)</f>
        <v>738215.47580195009</v>
      </c>
      <c r="W114" s="68">
        <f>W115/(1-'Assumptions &amp; Inputs'!$G$95)</f>
        <v>736369.93711244524</v>
      </c>
      <c r="X114" s="68">
        <f>X115/(1-'Assumptions &amp; Inputs'!$G$95)</f>
        <v>734529.01226966421</v>
      </c>
      <c r="Y114" s="68">
        <f>Y115/(1-'Assumptions &amp; Inputs'!$G$95)</f>
        <v>732692.68973899004</v>
      </c>
      <c r="Z114" s="68">
        <f>Z115/(1-'Assumptions &amp; Inputs'!$G$95)</f>
        <v>730860.95801464259</v>
      </c>
      <c r="AA114" s="68">
        <f>AA115/(1-'Assumptions &amp; Inputs'!$G$95)</f>
        <v>729033.80561960605</v>
      </c>
      <c r="AB114" s="68">
        <f>AB115/(1-'Assumptions &amp; Inputs'!$G$95)</f>
        <v>727211.22110555705</v>
      </c>
      <c r="AC114" s="68">
        <f>AC115/(1-'Assumptions &amp; Inputs'!$G$95)</f>
        <v>725393.19305279327</v>
      </c>
      <c r="AD114" s="68">
        <f>AD115/(1-'Assumptions &amp; Inputs'!$G$95)</f>
        <v>723579.71007016127</v>
      </c>
      <c r="AE114" s="68">
        <f>AE115/(1-'Assumptions &amp; Inputs'!$G$95)</f>
        <v>721770.76079498592</v>
      </c>
      <c r="AF114" s="68">
        <f>AF115/(1-'Assumptions &amp; Inputs'!$G$95)</f>
        <v>719966.3338929984</v>
      </c>
      <c r="AG114" s="68">
        <f>AG115/(1-'Assumptions &amp; Inputs'!$G$95)</f>
        <v>0</v>
      </c>
      <c r="AH114" s="68">
        <f>AH115/(1-'Assumptions &amp; Inputs'!$G$95)</f>
        <v>0</v>
      </c>
      <c r="AI114" s="68">
        <f>AI115/(1-'Assumptions &amp; Inputs'!$G$95)</f>
        <v>0</v>
      </c>
      <c r="AJ114" s="68">
        <f>AJ115/(1-'Assumptions &amp; Inputs'!$G$95)</f>
        <v>0</v>
      </c>
      <c r="AK114" s="68">
        <f>AK115/(1-'Assumptions &amp; Inputs'!$G$95)</f>
        <v>0</v>
      </c>
      <c r="AL114" s="68">
        <f>AL115/(1-'Assumptions &amp; Inputs'!$G$95)</f>
        <v>0</v>
      </c>
      <c r="AM114" s="68">
        <f>AM115/(1-'Assumptions &amp; Inputs'!$G$95)</f>
        <v>0</v>
      </c>
      <c r="AN114" s="68">
        <f>AN115/(1-'Assumptions &amp; Inputs'!$G$95)</f>
        <v>0</v>
      </c>
      <c r="AO114" s="68">
        <f>AO115/(1-'Assumptions &amp; Inputs'!$G$95)</f>
        <v>0</v>
      </c>
      <c r="AP114" s="68">
        <f>AP115/(1-'Assumptions &amp; Inputs'!$G$95)</f>
        <v>0</v>
      </c>
      <c r="AQ114" s="68">
        <f>AQ115/(1-'Assumptions &amp; Inputs'!$G$95)</f>
        <v>0</v>
      </c>
      <c r="AR114" s="68">
        <f>AR115/(1-'Assumptions &amp; Inputs'!$G$95)</f>
        <v>0</v>
      </c>
      <c r="AS114" s="68">
        <f>AS115/(1-'Assumptions &amp; Inputs'!$G$95)</f>
        <v>0</v>
      </c>
      <c r="AT114" s="68">
        <f>AT115/(1-'Assumptions &amp; Inputs'!$G$95)</f>
        <v>0</v>
      </c>
      <c r="AU114" s="68">
        <f>AU115/(1-'Assumptions &amp; Inputs'!$G$95)</f>
        <v>0</v>
      </c>
      <c r="AV114" s="68">
        <f>AV115/(1-'Assumptions &amp; Inputs'!$G$95)</f>
        <v>0</v>
      </c>
      <c r="AW114" s="68">
        <f>AW115/(1-'Assumptions &amp; Inputs'!$G$95)</f>
        <v>0</v>
      </c>
    </row>
    <row r="115" spans="3:49" ht="14.25" customHeight="1">
      <c r="C115" s="44" t="s">
        <v>523</v>
      </c>
      <c r="D115" s="68">
        <f>_xlfn.XLOOKUP(D$110, 'Power Summary'!$C$3:$AV$3, 'Power Summary'!$C$21:$AV$21)</f>
        <v>0</v>
      </c>
      <c r="E115" s="68">
        <f>_xlfn.XLOOKUP(E$110, 'Power Summary'!$C$3:$AV$3, 'Power Summary'!$C$21:$AV$21)</f>
        <v>0</v>
      </c>
      <c r="F115" s="68">
        <f>_xlfn.XLOOKUP(F$110, 'Power Summary'!$C$3:$AV$3, 'Power Summary'!$C$21:$AV$21)</f>
        <v>0</v>
      </c>
      <c r="G115" s="68">
        <f>_xlfn.XLOOKUP(G$110, 'Power Summary'!$C$3:$AV$3, 'Power Summary'!$C$21:$AV$21)</f>
        <v>496953.59999999998</v>
      </c>
      <c r="H115" s="68">
        <f>_xlfn.XLOOKUP(H$110, 'Power Summary'!$C$3:$AV$3, 'Power Summary'!$C$21:$AV$21)</f>
        <v>745430.4</v>
      </c>
      <c r="I115" s="68">
        <f>_xlfn.XLOOKUP(I$110, 'Power Summary'!$C$3:$AV$3, 'Power Summary'!$C$21:$AV$21)</f>
        <v>743566.82400000002</v>
      </c>
      <c r="J115" s="68">
        <f>_xlfn.XLOOKUP(J$110, 'Power Summary'!$C$3:$AV$3, 'Power Summary'!$C$21:$AV$21)</f>
        <v>741707.90694000013</v>
      </c>
      <c r="K115" s="68">
        <f>_xlfn.XLOOKUP(K$110, 'Power Summary'!$C$3:$AV$3, 'Power Summary'!$C$21:$AV$21)</f>
        <v>739853.63717265008</v>
      </c>
      <c r="L115" s="68">
        <f>_xlfn.XLOOKUP(L$110, 'Power Summary'!$C$3:$AV$3, 'Power Summary'!$C$21:$AV$21)</f>
        <v>738004.00307971844</v>
      </c>
      <c r="M115" s="68">
        <f>_xlfn.XLOOKUP(M$110, 'Power Summary'!$C$3:$AV$3, 'Power Summary'!$C$21:$AV$21)</f>
        <v>736158.99307201931</v>
      </c>
      <c r="N115" s="68">
        <f>_xlfn.XLOOKUP(N$110, 'Power Summary'!$C$3:$AV$3, 'Power Summary'!$C$21:$AV$21)</f>
        <v>734318.59558933927</v>
      </c>
      <c r="O115" s="68">
        <f>_xlfn.XLOOKUP(O$110, 'Power Summary'!$C$3:$AV$3, 'Power Summary'!$C$21:$AV$21)</f>
        <v>732482.79910036596</v>
      </c>
      <c r="P115" s="68">
        <f>_xlfn.XLOOKUP(P$110, 'Power Summary'!$C$3:$AV$3, 'Power Summary'!$C$21:$AV$21)</f>
        <v>730651.59210261505</v>
      </c>
      <c r="Q115" s="68">
        <f>_xlfn.XLOOKUP(Q$110, 'Power Summary'!$C$3:$AV$3, 'Power Summary'!$C$21:$AV$21)</f>
        <v>728824.96312235855</v>
      </c>
      <c r="R115" s="68">
        <f>_xlfn.XLOOKUP(R$110, 'Power Summary'!$C$3:$AV$3, 'Power Summary'!$C$21:$AV$21)</f>
        <v>727002.90071455261</v>
      </c>
      <c r="S115" s="68">
        <f>_xlfn.XLOOKUP(S$110, 'Power Summary'!$C$3:$AV$3, 'Power Summary'!$C$21:$AV$21)</f>
        <v>725185.39346276631</v>
      </c>
      <c r="T115" s="68">
        <f>_xlfn.XLOOKUP(T$110, 'Power Summary'!$C$3:$AV$3, 'Power Summary'!$C$21:$AV$21)</f>
        <v>723372.42997910944</v>
      </c>
      <c r="U115" s="68">
        <f>_xlfn.XLOOKUP(U$110, 'Power Summary'!$C$3:$AV$3, 'Power Summary'!$C$21:$AV$21)</f>
        <v>721563.99890416162</v>
      </c>
      <c r="V115" s="68">
        <f>_xlfn.XLOOKUP(V$110, 'Power Summary'!$C$3:$AV$3, 'Power Summary'!$C$21:$AV$21)</f>
        <v>719760.08890690131</v>
      </c>
      <c r="W115" s="68">
        <f>_xlfn.XLOOKUP(W$110, 'Power Summary'!$C$3:$AV$3, 'Power Summary'!$C$21:$AV$21)</f>
        <v>717960.68868463405</v>
      </c>
      <c r="X115" s="68">
        <f>_xlfn.XLOOKUP(X$110, 'Power Summary'!$C$3:$AV$3, 'Power Summary'!$C$21:$AV$21)</f>
        <v>716165.78696292255</v>
      </c>
      <c r="Y115" s="68">
        <f>_xlfn.XLOOKUP(Y$110, 'Power Summary'!$C$3:$AV$3, 'Power Summary'!$C$21:$AV$21)</f>
        <v>714375.37249551527</v>
      </c>
      <c r="Z115" s="68">
        <f>_xlfn.XLOOKUP(Z$110, 'Power Summary'!$C$3:$AV$3, 'Power Summary'!$C$21:$AV$21)</f>
        <v>712589.43406427652</v>
      </c>
      <c r="AA115" s="68">
        <f>_xlfn.XLOOKUP(AA$110, 'Power Summary'!$C$3:$AV$3, 'Power Summary'!$C$21:$AV$21)</f>
        <v>710807.96047911583</v>
      </c>
      <c r="AB115" s="68">
        <f>_xlfn.XLOOKUP(AB$110, 'Power Summary'!$C$3:$AV$3, 'Power Summary'!$C$21:$AV$21)</f>
        <v>709030.94057791808</v>
      </c>
      <c r="AC115" s="68">
        <f>_xlfn.XLOOKUP(AC$110, 'Power Summary'!$C$3:$AV$3, 'Power Summary'!$C$21:$AV$21)</f>
        <v>707258.36322647345</v>
      </c>
      <c r="AD115" s="68">
        <f>_xlfn.XLOOKUP(AD$110, 'Power Summary'!$C$3:$AV$3, 'Power Summary'!$C$21:$AV$21)</f>
        <v>705490.21731840726</v>
      </c>
      <c r="AE115" s="68">
        <f>_xlfn.XLOOKUP(AE$110, 'Power Summary'!$C$3:$AV$3, 'Power Summary'!$C$21:$AV$21)</f>
        <v>703726.4917751113</v>
      </c>
      <c r="AF115" s="68">
        <f>_xlfn.XLOOKUP(AF$110, 'Power Summary'!$C$3:$AV$3, 'Power Summary'!$C$21:$AV$21)</f>
        <v>701967.17554567347</v>
      </c>
      <c r="AG115" s="68">
        <f>_xlfn.XLOOKUP(AG$110, 'Power Summary'!$C$3:$AV$3, 'Power Summary'!$C$21:$AV$21)</f>
        <v>0</v>
      </c>
      <c r="AH115" s="68">
        <f>_xlfn.XLOOKUP(AH$110, 'Power Summary'!$C$3:$AV$3, 'Power Summary'!$C$21:$AV$21)</f>
        <v>0</v>
      </c>
      <c r="AI115" s="68">
        <f>_xlfn.XLOOKUP(AI$110, 'Power Summary'!$C$3:$AV$3, 'Power Summary'!$C$21:$AV$21)</f>
        <v>0</v>
      </c>
      <c r="AJ115" s="68">
        <f>_xlfn.XLOOKUP(AJ$110, 'Power Summary'!$C$3:$AV$3, 'Power Summary'!$C$21:$AV$21)</f>
        <v>0</v>
      </c>
      <c r="AK115" s="68">
        <f>_xlfn.XLOOKUP(AK$110, 'Power Summary'!$C$3:$AV$3, 'Power Summary'!$C$21:$AV$21)</f>
        <v>0</v>
      </c>
      <c r="AL115" s="68">
        <f>_xlfn.XLOOKUP(AL$110, 'Power Summary'!$C$3:$AV$3, 'Power Summary'!$C$21:$AV$21)</f>
        <v>0</v>
      </c>
      <c r="AM115" s="68">
        <f>_xlfn.XLOOKUP(AM$110, 'Power Summary'!$C$3:$AV$3, 'Power Summary'!$C$21:$AV$21)</f>
        <v>0</v>
      </c>
      <c r="AN115" s="68">
        <f>_xlfn.XLOOKUP(AN$110, 'Power Summary'!$C$3:$AV$3, 'Power Summary'!$C$21:$AV$21)</f>
        <v>0</v>
      </c>
      <c r="AO115" s="68">
        <f>_xlfn.XLOOKUP(AO$110, 'Power Summary'!$C$3:$AV$3, 'Power Summary'!$C$21:$AV$21)</f>
        <v>0</v>
      </c>
      <c r="AP115" s="68">
        <f>_xlfn.XLOOKUP(AP$110, 'Power Summary'!$C$3:$AV$3, 'Power Summary'!$C$21:$AV$21)</f>
        <v>0</v>
      </c>
      <c r="AQ115" s="68">
        <f>_xlfn.XLOOKUP(AQ$110, 'Power Summary'!$C$3:$AV$3, 'Power Summary'!$C$21:$AV$21)</f>
        <v>0</v>
      </c>
      <c r="AR115" s="68">
        <f>_xlfn.XLOOKUP(AR$110, 'Power Summary'!$C$3:$AV$3, 'Power Summary'!$C$21:$AV$21)</f>
        <v>0</v>
      </c>
      <c r="AS115" s="68">
        <f>_xlfn.XLOOKUP(AS$110, 'Power Summary'!$C$3:$AV$3, 'Power Summary'!$C$21:$AV$21)</f>
        <v>0</v>
      </c>
      <c r="AT115" s="68">
        <f>_xlfn.XLOOKUP(AT$110, 'Power Summary'!$C$3:$AV$3, 'Power Summary'!$C$21:$AV$21)</f>
        <v>0</v>
      </c>
      <c r="AU115" s="68">
        <f>_xlfn.XLOOKUP(AU$110, 'Power Summary'!$C$3:$AV$3, 'Power Summary'!$C$21:$AV$21)</f>
        <v>0</v>
      </c>
      <c r="AV115" s="68">
        <f>_xlfn.XLOOKUP(AV$110, 'Power Summary'!$C$3:$AV$3, 'Power Summary'!$C$21:$AV$21)</f>
        <v>0</v>
      </c>
      <c r="AW115" s="68">
        <f>_xlfn.XLOOKUP(AW$110, 'Power Summary'!$C$3:$AV$3, 'Power Summary'!$C$21:$AV$21)</f>
        <v>0</v>
      </c>
    </row>
    <row r="116" spans="3:49" ht="14.25" customHeight="1">
      <c r="C116" s="48" t="s">
        <v>513</v>
      </c>
      <c r="D116" s="69">
        <f>D112*D115/$E$3</f>
        <v>0</v>
      </c>
      <c r="E116" s="69">
        <f t="shared" ref="E116:X116" si="106">E112*E115/$E$3</f>
        <v>0</v>
      </c>
      <c r="F116" s="69">
        <f t="shared" si="106"/>
        <v>0</v>
      </c>
      <c r="G116" s="69">
        <f t="shared" si="106"/>
        <v>31.642268156927994</v>
      </c>
      <c r="H116" s="69">
        <f t="shared" si="106"/>
        <v>48.412670280099839</v>
      </c>
      <c r="I116" s="69">
        <f t="shared" si="106"/>
        <v>49.257471376487594</v>
      </c>
      <c r="J116" s="69">
        <f t="shared" si="106"/>
        <v>50.117014252007309</v>
      </c>
      <c r="K116" s="69">
        <f t="shared" si="106"/>
        <v>50.991556150704817</v>
      </c>
      <c r="L116" s="69">
        <f t="shared" si="106"/>
        <v>51.881358805534624</v>
      </c>
      <c r="M116" s="69">
        <f t="shared" si="106"/>
        <v>52.786688516691207</v>
      </c>
      <c r="N116" s="69">
        <f t="shared" si="106"/>
        <v>53.707816231307469</v>
      </c>
      <c r="O116" s="69">
        <f t="shared" si="106"/>
        <v>54.645017624543776</v>
      </c>
      <c r="P116" s="69">
        <f t="shared" si="106"/>
        <v>55.598573182092075</v>
      </c>
      <c r="Q116" s="69">
        <f t="shared" si="106"/>
        <v>56.568768284119592</v>
      </c>
      <c r="R116" s="69">
        <f t="shared" si="106"/>
        <v>57.555893290677481</v>
      </c>
      <c r="S116" s="69">
        <f t="shared" si="106"/>
        <v>58.560243628599785</v>
      </c>
      <c r="T116" s="69">
        <f t="shared" si="106"/>
        <v>59.582119879918864</v>
      </c>
      <c r="U116" s="69">
        <f t="shared" si="106"/>
        <v>60.621827871823456</v>
      </c>
      <c r="V116" s="69">
        <f t="shared" si="106"/>
        <v>61.679678768186776</v>
      </c>
      <c r="W116" s="69">
        <f t="shared" si="106"/>
        <v>62.755989162691641</v>
      </c>
      <c r="X116" s="69">
        <f t="shared" si="106"/>
        <v>63.851081173580617</v>
      </c>
      <c r="Y116" s="69">
        <f t="shared" ref="Y116" si="107">Y112*Y115/$E$3</f>
        <v>64.96528254005959</v>
      </c>
      <c r="Z116" s="69">
        <f t="shared" ref="Z116" si="108">Z112*Z115/$E$3</f>
        <v>66.098926720383645</v>
      </c>
      <c r="AA116" s="69">
        <f t="shared" ref="AA116" si="109">AA112*AA115/$E$3</f>
        <v>67.25235299165432</v>
      </c>
      <c r="AB116" s="69">
        <f t="shared" ref="AB116" si="110">AB112*AB115/$E$3</f>
        <v>68.425906551358693</v>
      </c>
      <c r="AC116" s="69">
        <f t="shared" ref="AC116" si="111">AC112*AC115/$E$3</f>
        <v>69.619938620679932</v>
      </c>
      <c r="AD116" s="69">
        <f t="shared" ref="AD116" si="112">AD112*AD115/$E$3</f>
        <v>70.834806549610789</v>
      </c>
      <c r="AE116" s="69">
        <f t="shared" ref="AE116" si="113">AE112*AE115/$E$3</f>
        <v>72.070873923901488</v>
      </c>
      <c r="AF116" s="69">
        <f t="shared" ref="AF116" si="114">AF112*AF115/$E$3</f>
        <v>73.328510673873595</v>
      </c>
      <c r="AG116" s="69">
        <f t="shared" ref="AG116" si="115">AG112*AG115/$E$3</f>
        <v>0</v>
      </c>
      <c r="AH116" s="69">
        <f t="shared" ref="AH116" si="116">AH112*AH115/$E$3</f>
        <v>0</v>
      </c>
      <c r="AI116" s="69">
        <f t="shared" ref="AI116" si="117">AI112*AI115/$E$3</f>
        <v>0</v>
      </c>
      <c r="AJ116" s="69">
        <f t="shared" ref="AJ116" si="118">AJ112*AJ115/$E$3</f>
        <v>0</v>
      </c>
      <c r="AK116" s="69">
        <f t="shared" ref="AK116" si="119">AK112*AK115/$E$3</f>
        <v>0</v>
      </c>
      <c r="AL116" s="69">
        <f t="shared" ref="AL116" si="120">AL112*AL115/$E$3</f>
        <v>0</v>
      </c>
      <c r="AM116" s="69">
        <f t="shared" ref="AM116" si="121">AM112*AM115/$E$3</f>
        <v>0</v>
      </c>
      <c r="AN116" s="69">
        <f t="shared" ref="AN116" si="122">AN112*AN115/$E$3</f>
        <v>0</v>
      </c>
      <c r="AO116" s="69">
        <f t="shared" ref="AO116" si="123">AO112*AO115/$E$3</f>
        <v>0</v>
      </c>
      <c r="AP116" s="69">
        <f t="shared" ref="AP116" si="124">AP112*AP115/$E$3</f>
        <v>0</v>
      </c>
      <c r="AQ116" s="69">
        <f t="shared" ref="AQ116" si="125">AQ112*AQ115/$E$3</f>
        <v>0</v>
      </c>
      <c r="AR116" s="69">
        <f t="shared" ref="AR116" si="126">AR112*AR115/$E$3</f>
        <v>0</v>
      </c>
      <c r="AS116" s="69">
        <f t="shared" ref="AS116" si="127">AS112*AS115/$E$3</f>
        <v>0</v>
      </c>
      <c r="AT116" s="69">
        <f t="shared" ref="AT116" si="128">AT112*AT115/$E$3</f>
        <v>0</v>
      </c>
      <c r="AU116" s="69">
        <f t="shared" ref="AU116" si="129">AU112*AU115/$E$3</f>
        <v>0</v>
      </c>
      <c r="AV116" s="69">
        <f t="shared" ref="AV116" si="130">AV112*AV115/$E$3</f>
        <v>0</v>
      </c>
      <c r="AW116" s="69">
        <f t="shared" ref="AW116" si="131">AW112*AW115/$E$3</f>
        <v>0</v>
      </c>
    </row>
    <row r="117" spans="3:49" ht="14.25" customHeight="1">
      <c r="C117" s="48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</row>
    <row r="118" spans="3:49" ht="14.25" customHeight="1">
      <c r="C118" s="522" t="s">
        <v>524</v>
      </c>
      <c r="D118" s="69">
        <f>D116</f>
        <v>0</v>
      </c>
      <c r="E118" s="69">
        <f t="shared" ref="E118:AW118" si="132">E116</f>
        <v>0</v>
      </c>
      <c r="F118" s="69">
        <f t="shared" si="132"/>
        <v>0</v>
      </c>
      <c r="G118" s="69">
        <f t="shared" si="132"/>
        <v>31.642268156927994</v>
      </c>
      <c r="H118" s="69">
        <f t="shared" si="132"/>
        <v>48.412670280099839</v>
      </c>
      <c r="I118" s="69">
        <f t="shared" si="132"/>
        <v>49.257471376487594</v>
      </c>
      <c r="J118" s="69">
        <f t="shared" si="132"/>
        <v>50.117014252007309</v>
      </c>
      <c r="K118" s="69">
        <f t="shared" si="132"/>
        <v>50.991556150704817</v>
      </c>
      <c r="L118" s="69">
        <f t="shared" si="132"/>
        <v>51.881358805534624</v>
      </c>
      <c r="M118" s="69">
        <f t="shared" si="132"/>
        <v>52.786688516691207</v>
      </c>
      <c r="N118" s="69">
        <f t="shared" si="132"/>
        <v>53.707816231307469</v>
      </c>
      <c r="O118" s="69">
        <f t="shared" si="132"/>
        <v>54.645017624543776</v>
      </c>
      <c r="P118" s="69">
        <f t="shared" si="132"/>
        <v>55.598573182092075</v>
      </c>
      <c r="Q118" s="69">
        <f t="shared" si="132"/>
        <v>56.568768284119592</v>
      </c>
      <c r="R118" s="69">
        <f t="shared" si="132"/>
        <v>57.555893290677481</v>
      </c>
      <c r="S118" s="69">
        <f t="shared" si="132"/>
        <v>58.560243628599785</v>
      </c>
      <c r="T118" s="69">
        <f t="shared" si="132"/>
        <v>59.582119879918864</v>
      </c>
      <c r="U118" s="69">
        <f t="shared" si="132"/>
        <v>60.621827871823456</v>
      </c>
      <c r="V118" s="69">
        <f t="shared" si="132"/>
        <v>61.679678768186776</v>
      </c>
      <c r="W118" s="69">
        <f t="shared" si="132"/>
        <v>62.755989162691641</v>
      </c>
      <c r="X118" s="69">
        <f t="shared" si="132"/>
        <v>63.851081173580617</v>
      </c>
      <c r="Y118" s="69">
        <f t="shared" si="132"/>
        <v>64.96528254005959</v>
      </c>
      <c r="Z118" s="69">
        <f t="shared" si="132"/>
        <v>66.098926720383645</v>
      </c>
      <c r="AA118" s="69">
        <f t="shared" si="132"/>
        <v>67.25235299165432</v>
      </c>
      <c r="AB118" s="69">
        <f t="shared" si="132"/>
        <v>68.425906551358693</v>
      </c>
      <c r="AC118" s="69">
        <f t="shared" si="132"/>
        <v>69.619938620679932</v>
      </c>
      <c r="AD118" s="69">
        <f t="shared" si="132"/>
        <v>70.834806549610789</v>
      </c>
      <c r="AE118" s="69">
        <f t="shared" si="132"/>
        <v>72.070873923901488</v>
      </c>
      <c r="AF118" s="69">
        <f t="shared" si="132"/>
        <v>73.328510673873595</v>
      </c>
      <c r="AG118" s="69">
        <f t="shared" si="132"/>
        <v>0</v>
      </c>
      <c r="AH118" s="69">
        <f t="shared" si="132"/>
        <v>0</v>
      </c>
      <c r="AI118" s="69">
        <f t="shared" si="132"/>
        <v>0</v>
      </c>
      <c r="AJ118" s="69">
        <f t="shared" si="132"/>
        <v>0</v>
      </c>
      <c r="AK118" s="69">
        <f t="shared" si="132"/>
        <v>0</v>
      </c>
      <c r="AL118" s="69">
        <f t="shared" si="132"/>
        <v>0</v>
      </c>
      <c r="AM118" s="69">
        <f t="shared" si="132"/>
        <v>0</v>
      </c>
      <c r="AN118" s="69">
        <f t="shared" si="132"/>
        <v>0</v>
      </c>
      <c r="AO118" s="69">
        <f t="shared" si="132"/>
        <v>0</v>
      </c>
      <c r="AP118" s="69">
        <f t="shared" si="132"/>
        <v>0</v>
      </c>
      <c r="AQ118" s="69">
        <f t="shared" si="132"/>
        <v>0</v>
      </c>
      <c r="AR118" s="69">
        <f t="shared" si="132"/>
        <v>0</v>
      </c>
      <c r="AS118" s="69">
        <f t="shared" si="132"/>
        <v>0</v>
      </c>
      <c r="AT118" s="69">
        <f t="shared" si="132"/>
        <v>0</v>
      </c>
      <c r="AU118" s="69">
        <f t="shared" si="132"/>
        <v>0</v>
      </c>
      <c r="AV118" s="69">
        <f t="shared" si="132"/>
        <v>0</v>
      </c>
      <c r="AW118" s="69">
        <f t="shared" si="132"/>
        <v>0</v>
      </c>
    </row>
    <row r="119" spans="3:49" ht="14.25" customHeight="1">
      <c r="C119" s="46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</row>
    <row r="120" spans="3:49" ht="14.25" customHeight="1">
      <c r="C120" s="44" t="s">
        <v>251</v>
      </c>
      <c r="D120" s="75">
        <f>D114*'Assumptions &amp; Inputs'!$G$81/$E$3</f>
        <v>0</v>
      </c>
      <c r="E120" s="75">
        <f>E114*'Assumptions &amp; Inputs'!$G$81/$E$3</f>
        <v>0</v>
      </c>
      <c r="F120" s="75">
        <f>F114*'Assumptions &amp; Inputs'!$G$81/$E$3</f>
        <v>0</v>
      </c>
      <c r="G120" s="75">
        <f>G114*'Assumptions &amp; Inputs'!$G$81/$E$3</f>
        <v>1.783936</v>
      </c>
      <c r="H120" s="75">
        <f>H114*'Assumptions &amp; Inputs'!$G$81/$E$3</f>
        <v>2.6759040000000001</v>
      </c>
      <c r="I120" s="75">
        <f>I114*'Assumptions &amp; Inputs'!$G$81/$E$3</f>
        <v>2.6692142400000001</v>
      </c>
      <c r="J120" s="75">
        <f>J114*'Assumptions &amp; Inputs'!$G$81/$E$3</f>
        <v>2.6625412044000001</v>
      </c>
      <c r="K120" s="75">
        <f>K114*'Assumptions &amp; Inputs'!$G$81/$E$3</f>
        <v>2.6558848513890001</v>
      </c>
      <c r="L120" s="75">
        <f>L114*'Assumptions &amp; Inputs'!$G$81/$E$3</f>
        <v>2.6492451392605281</v>
      </c>
      <c r="M120" s="75">
        <f>M114*'Assumptions &amp; Inputs'!$G$81/$E$3</f>
        <v>2.642622026412377</v>
      </c>
      <c r="N120" s="75">
        <f>N114*'Assumptions &amp; Inputs'!$G$81/$E$3</f>
        <v>2.636015471346346</v>
      </c>
      <c r="O120" s="75">
        <f>O114*'Assumptions &amp; Inputs'!$G$81/$E$3</f>
        <v>2.6294254326679805</v>
      </c>
      <c r="P120" s="75">
        <f>P114*'Assumptions &amp; Inputs'!$G$81/$E$3</f>
        <v>2.6228518690863107</v>
      </c>
      <c r="Q120" s="75">
        <f>Q114*'Assumptions &amp; Inputs'!$G$81/$E$3</f>
        <v>2.6162947394135947</v>
      </c>
      <c r="R120" s="75">
        <f>R114*'Assumptions &amp; Inputs'!$G$81/$E$3</f>
        <v>2.6097540025650607</v>
      </c>
      <c r="S120" s="75">
        <f>S114*'Assumptions &amp; Inputs'!$G$81/$E$3</f>
        <v>2.6032296175586485</v>
      </c>
      <c r="T120" s="75">
        <f>T114*'Assumptions &amp; Inputs'!$G$81/$E$3</f>
        <v>2.5967215435147519</v>
      </c>
      <c r="U120" s="75">
        <f>U114*'Assumptions &amp; Inputs'!$G$81/$E$3</f>
        <v>2.5902297396559648</v>
      </c>
      <c r="V120" s="75">
        <f>V114*'Assumptions &amp; Inputs'!$G$81/$E$3</f>
        <v>2.583754165306825</v>
      </c>
      <c r="W120" s="75">
        <f>W114*'Assumptions &amp; Inputs'!$G$81/$E$3</f>
        <v>2.5772947798935584</v>
      </c>
      <c r="X120" s="75">
        <f>X114*'Assumptions &amp; Inputs'!$G$81/$E$3</f>
        <v>2.5708515429438243</v>
      </c>
      <c r="Y120" s="75">
        <f>Y114*'Assumptions &amp; Inputs'!$G$81/$E$3</f>
        <v>2.5644244140864654</v>
      </c>
      <c r="Z120" s="75">
        <f>Z114*'Assumptions &amp; Inputs'!$G$81/$E$3</f>
        <v>2.558013353051249</v>
      </c>
      <c r="AA120" s="75">
        <f>AA114*'Assumptions &amp; Inputs'!$G$81/$E$3</f>
        <v>2.5516183196686213</v>
      </c>
      <c r="AB120" s="75">
        <f>AB114*'Assumptions &amp; Inputs'!$G$81/$E$3</f>
        <v>2.5452392738694498</v>
      </c>
      <c r="AC120" s="75">
        <f>AC114*'Assumptions &amp; Inputs'!$G$81/$E$3</f>
        <v>2.5388761756847766</v>
      </c>
      <c r="AD120" s="75">
        <f>AD114*'Assumptions &amp; Inputs'!$G$81/$E$3</f>
        <v>2.5325289852455644</v>
      </c>
      <c r="AE120" s="75">
        <f>AE114*'Assumptions &amp; Inputs'!$G$81/$E$3</f>
        <v>2.5261976627824505</v>
      </c>
      <c r="AF120" s="75">
        <f>AF114*'Assumptions &amp; Inputs'!$G$81/$E$3</f>
        <v>2.5198821686254944</v>
      </c>
      <c r="AG120" s="75">
        <f>AG114*'Assumptions &amp; Inputs'!$G$81/$E$3</f>
        <v>0</v>
      </c>
      <c r="AH120" s="75">
        <f>AH114*'Assumptions &amp; Inputs'!$G$81/$E$3</f>
        <v>0</v>
      </c>
      <c r="AI120" s="75">
        <f>AI114*'Assumptions &amp; Inputs'!$G$81/$E$3</f>
        <v>0</v>
      </c>
      <c r="AJ120" s="75">
        <f>AJ114*'Assumptions &amp; Inputs'!$G$81/$E$3</f>
        <v>0</v>
      </c>
      <c r="AK120" s="75">
        <f>AK114*'Assumptions &amp; Inputs'!$G$81/$E$3</f>
        <v>0</v>
      </c>
      <c r="AL120" s="75">
        <f>AL114*'Assumptions &amp; Inputs'!$G$81/$E$3</f>
        <v>0</v>
      </c>
      <c r="AM120" s="75">
        <f>AM114*'Assumptions &amp; Inputs'!$G$81/$E$3</f>
        <v>0</v>
      </c>
      <c r="AN120" s="75">
        <f>AN114*'Assumptions &amp; Inputs'!$G$81/$E$3</f>
        <v>0</v>
      </c>
      <c r="AO120" s="75">
        <f>AO114*'Assumptions &amp; Inputs'!$G$81/$E$3</f>
        <v>0</v>
      </c>
      <c r="AP120" s="75">
        <f>AP114*'Assumptions &amp; Inputs'!$G$81/$E$3</f>
        <v>0</v>
      </c>
      <c r="AQ120" s="75">
        <f>AQ114*'Assumptions &amp; Inputs'!$G$81/$E$3</f>
        <v>0</v>
      </c>
      <c r="AR120" s="75">
        <f>AR114*'Assumptions &amp; Inputs'!$G$81/$E$3</f>
        <v>0</v>
      </c>
      <c r="AS120" s="75">
        <f>AS114*'Assumptions &amp; Inputs'!$G$81/$E$3</f>
        <v>0</v>
      </c>
      <c r="AT120" s="75">
        <f>AT114*'Assumptions &amp; Inputs'!$G$81/$E$3</f>
        <v>0</v>
      </c>
      <c r="AU120" s="75">
        <f>AU114*'Assumptions &amp; Inputs'!$G$81/$E$3</f>
        <v>0</v>
      </c>
      <c r="AV120" s="75">
        <f>AV114*'Assumptions &amp; Inputs'!$G$81/$E$3</f>
        <v>0</v>
      </c>
      <c r="AW120" s="75">
        <f>AW114*'Assumptions &amp; Inputs'!$G$81/$E$3</f>
        <v>0</v>
      </c>
    </row>
    <row r="121" spans="3:49" ht="14.25" customHeight="1">
      <c r="C121" s="44" t="s">
        <v>525</v>
      </c>
      <c r="D121" s="273">
        <f>'Assumptions &amp; Inputs'!$G$82*'Assumptions &amp; Inputs'!$G$83*D114/$E$2/$E$3</f>
        <v>0</v>
      </c>
      <c r="E121" s="273">
        <f>'Assumptions &amp; Inputs'!$G$82*'Assumptions &amp; Inputs'!$G$83*E114/$E$2/$E$3</f>
        <v>0</v>
      </c>
      <c r="F121" s="273">
        <f>'Assumptions &amp; Inputs'!$G$82*'Assumptions &amp; Inputs'!$G$83*F114/$E$2/$E$3</f>
        <v>0</v>
      </c>
      <c r="G121" s="273">
        <f>'Assumptions &amp; Inputs'!$G$82*'Assumptions &amp; Inputs'!$G$83*G114/$E$2/$E$3</f>
        <v>11.8695456</v>
      </c>
      <c r="H121" s="273">
        <f>'Assumptions &amp; Inputs'!$G$82*'Assumptions &amp; Inputs'!$G$83*H114/$E$2/$E$3</f>
        <v>17.8043184</v>
      </c>
      <c r="I121" s="273">
        <f>'Assumptions &amp; Inputs'!$G$82*'Assumptions &amp; Inputs'!$G$83*I114/$E$2/$E$3</f>
        <v>17.759807603999999</v>
      </c>
      <c r="J121" s="273">
        <f>'Assumptions &amp; Inputs'!$G$82*'Assumptions &amp; Inputs'!$G$83*J114/$E$2/$E$3</f>
        <v>17.715408084990003</v>
      </c>
      <c r="K121" s="273">
        <f>'Assumptions &amp; Inputs'!$G$82*'Assumptions &amp; Inputs'!$G$83*K114/$E$2/$E$3</f>
        <v>17.671119564777527</v>
      </c>
      <c r="L121" s="273">
        <f>'Assumptions &amp; Inputs'!$G$82*'Assumptions &amp; Inputs'!$G$83*L114/$E$2/$E$3</f>
        <v>17.626941765865588</v>
      </c>
      <c r="M121" s="273">
        <f>'Assumptions &amp; Inputs'!$G$82*'Assumptions &amp; Inputs'!$G$83*M114/$E$2/$E$3</f>
        <v>17.582874411450923</v>
      </c>
      <c r="N121" s="273">
        <f>'Assumptions &amp; Inputs'!$G$82*'Assumptions &amp; Inputs'!$G$83*N114/$E$2/$E$3</f>
        <v>17.538917225422292</v>
      </c>
      <c r="O121" s="273">
        <f>'Assumptions &amp; Inputs'!$G$82*'Assumptions &amp; Inputs'!$G$83*O114/$E$2/$E$3</f>
        <v>17.495069932358742</v>
      </c>
      <c r="P121" s="273">
        <f>'Assumptions &amp; Inputs'!$G$82*'Assumptions &amp; Inputs'!$G$83*P114/$E$2/$E$3</f>
        <v>17.451332257527842</v>
      </c>
      <c r="Q121" s="273">
        <f>'Assumptions &amp; Inputs'!$G$82*'Assumptions &amp; Inputs'!$G$83*Q114/$E$2/$E$3</f>
        <v>17.407703926884025</v>
      </c>
      <c r="R121" s="273">
        <f>'Assumptions &amp; Inputs'!$G$82*'Assumptions &amp; Inputs'!$G$83*R114/$E$2/$E$3</f>
        <v>17.364184667066816</v>
      </c>
      <c r="S121" s="273">
        <f>'Assumptions &amp; Inputs'!$G$82*'Assumptions &amp; Inputs'!$G$83*S114/$E$2/$E$3</f>
        <v>17.32077420539915</v>
      </c>
      <c r="T121" s="273">
        <f>'Assumptions &amp; Inputs'!$G$82*'Assumptions &amp; Inputs'!$G$83*T114/$E$2/$E$3</f>
        <v>17.277472269885653</v>
      </c>
      <c r="U121" s="273">
        <f>'Assumptions &amp; Inputs'!$G$82*'Assumptions &amp; Inputs'!$G$83*U114/$E$2/$E$3</f>
        <v>17.234278589210938</v>
      </c>
      <c r="V121" s="273">
        <f>'Assumptions &amp; Inputs'!$G$82*'Assumptions &amp; Inputs'!$G$83*V114/$E$2/$E$3</f>
        <v>17.191192892737909</v>
      </c>
      <c r="W121" s="273">
        <f>'Assumptions &amp; Inputs'!$G$82*'Assumptions &amp; Inputs'!$G$83*W114/$E$2/$E$3</f>
        <v>17.14821491050607</v>
      </c>
      <c r="X121" s="273">
        <f>'Assumptions &amp; Inputs'!$G$82*'Assumptions &amp; Inputs'!$G$83*X114/$E$2/$E$3</f>
        <v>17.105344373229805</v>
      </c>
      <c r="Y121" s="273">
        <f>'Assumptions &amp; Inputs'!$G$82*'Assumptions &amp; Inputs'!$G$83*Y114/$E$2/$E$3</f>
        <v>17.062581012296729</v>
      </c>
      <c r="Z121" s="273">
        <f>'Assumptions &amp; Inputs'!$G$82*'Assumptions &amp; Inputs'!$G$83*Z114/$E$2/$E$3</f>
        <v>17.01992455976599</v>
      </c>
      <c r="AA121" s="273">
        <f>'Assumptions &amp; Inputs'!$G$82*'Assumptions &amp; Inputs'!$G$83*AA114/$E$2/$E$3</f>
        <v>16.977374748366575</v>
      </c>
      <c r="AB121" s="273">
        <f>'Assumptions &amp; Inputs'!$G$82*'Assumptions &amp; Inputs'!$G$83*AB114/$E$2/$E$3</f>
        <v>16.93493131149566</v>
      </c>
      <c r="AC121" s="273">
        <f>'Assumptions &amp; Inputs'!$G$82*'Assumptions &amp; Inputs'!$G$83*AC114/$E$2/$E$3</f>
        <v>16.892593983216923</v>
      </c>
      <c r="AD121" s="273">
        <f>'Assumptions &amp; Inputs'!$G$82*'Assumptions &amp; Inputs'!$G$83*AD114/$E$2/$E$3</f>
        <v>16.850362498258882</v>
      </c>
      <c r="AE121" s="273">
        <f>'Assumptions &amp; Inputs'!$G$82*'Assumptions &amp; Inputs'!$G$83*AE114/$E$2/$E$3</f>
        <v>16.808236592013237</v>
      </c>
      <c r="AF121" s="273">
        <f>'Assumptions &amp; Inputs'!$G$82*'Assumptions &amp; Inputs'!$G$83*AF114/$E$2/$E$3</f>
        <v>16.766216000533202</v>
      </c>
      <c r="AG121" s="273">
        <f>'Assumptions &amp; Inputs'!$G$82*'Assumptions &amp; Inputs'!$G$83*AG114/$E$2/$E$3</f>
        <v>0</v>
      </c>
      <c r="AH121" s="273">
        <f>'Assumptions &amp; Inputs'!$G$82*'Assumptions &amp; Inputs'!$G$83*AH114/$E$2/$E$3</f>
        <v>0</v>
      </c>
      <c r="AI121" s="273">
        <f>'Assumptions &amp; Inputs'!$G$82*'Assumptions &amp; Inputs'!$G$83*AI114/$E$2/$E$3</f>
        <v>0</v>
      </c>
      <c r="AJ121" s="273">
        <f>'Assumptions &amp; Inputs'!$G$82*'Assumptions &amp; Inputs'!$G$83*AJ114/$E$2/$E$3</f>
        <v>0</v>
      </c>
      <c r="AK121" s="273">
        <f>'Assumptions &amp; Inputs'!$G$82*'Assumptions &amp; Inputs'!$G$83*AK114/$E$2/$E$3</f>
        <v>0</v>
      </c>
      <c r="AL121" s="273">
        <f>'Assumptions &amp; Inputs'!$G$82*'Assumptions &amp; Inputs'!$G$83*AL114/$E$2/$E$3</f>
        <v>0</v>
      </c>
      <c r="AM121" s="273">
        <f>'Assumptions &amp; Inputs'!$G$82*'Assumptions &amp; Inputs'!$G$83*AM114/$E$2/$E$3</f>
        <v>0</v>
      </c>
      <c r="AN121" s="273">
        <f>'Assumptions &amp; Inputs'!$G$82*'Assumptions &amp; Inputs'!$G$83*AN114/$E$2/$E$3</f>
        <v>0</v>
      </c>
      <c r="AO121" s="273">
        <f>'Assumptions &amp; Inputs'!$G$82*'Assumptions &amp; Inputs'!$G$83*AO114/$E$2/$E$3</f>
        <v>0</v>
      </c>
      <c r="AP121" s="273">
        <f>'Assumptions &amp; Inputs'!$G$82*'Assumptions &amp; Inputs'!$G$83*AP114/$E$2/$E$3</f>
        <v>0</v>
      </c>
      <c r="AQ121" s="273">
        <f>'Assumptions &amp; Inputs'!$G$82*'Assumptions &amp; Inputs'!$G$83*AQ114/$E$2/$E$3</f>
        <v>0</v>
      </c>
      <c r="AR121" s="273">
        <f>'Assumptions &amp; Inputs'!$G$82*'Assumptions &amp; Inputs'!$G$83*AR114/$E$2/$E$3</f>
        <v>0</v>
      </c>
      <c r="AS121" s="273">
        <f>'Assumptions &amp; Inputs'!$G$82*'Assumptions &amp; Inputs'!$G$83*AS114/$E$2/$E$3</f>
        <v>0</v>
      </c>
      <c r="AT121" s="273">
        <f>'Assumptions &amp; Inputs'!$G$82*'Assumptions &amp; Inputs'!$G$83*AT114/$E$2/$E$3</f>
        <v>0</v>
      </c>
      <c r="AU121" s="273">
        <f>'Assumptions &amp; Inputs'!$G$82*'Assumptions &amp; Inputs'!$G$83*AU114/$E$2/$E$3</f>
        <v>0</v>
      </c>
      <c r="AV121" s="273">
        <f>'Assumptions &amp; Inputs'!$G$82*'Assumptions &amp; Inputs'!$G$83*AV114/$E$2/$E$3</f>
        <v>0</v>
      </c>
      <c r="AW121" s="273">
        <f>'Assumptions &amp; Inputs'!$G$82*'Assumptions &amp; Inputs'!$G$83*AW114/$E$2/$E$3</f>
        <v>0</v>
      </c>
    </row>
    <row r="122" spans="3:49" ht="14.25" customHeight="1">
      <c r="C122" s="44" t="s">
        <v>250</v>
      </c>
      <c r="D122" s="523">
        <f>IF(YEAR('Assumptions &amp; Inputs'!$G$31)&gt;D110, 0, IF(D110=YEAR('Assumptions &amp; Inputs'!$G$31),'Assumptions &amp; Inputs'!$G$80*'Assumptions &amp; Inputs'!$G$77/$E$3*(1+'Assumptions &amp; Inputs'!$G$20)^(D108-'Assumptions &amp; Inputs'!$G$28/12)*YEARFRAC('Assumptions &amp; Inputs'!$G$31,'Assumptions &amp; Inputs'!$G$32), IF(YEAR('Assumptions &amp; Inputs'!$G$36)&gt;=D110, 'Assumptions &amp; Inputs'!$G$80*'Assumptions &amp; Inputs'!$G$77/$E$3*(1+'Assumptions &amp; Inputs'!$G$20)^(D108-'Assumptions &amp; Inputs'!$G$28/12), 0)))*(1-'Assumptions &amp; Inputs'!$G$95)</f>
        <v>0</v>
      </c>
      <c r="E122" s="523">
        <f>IF(YEAR('Assumptions &amp; Inputs'!$G$31)&gt;E110, 0, IF(E110=YEAR('Assumptions &amp; Inputs'!$G$31),'Assumptions &amp; Inputs'!$G$80*'Assumptions &amp; Inputs'!$G$77/$E$3*(1+'Assumptions &amp; Inputs'!$G$20)^(E108-'Assumptions &amp; Inputs'!$G$28/12)*YEARFRAC('Assumptions &amp; Inputs'!$G$31,'Assumptions &amp; Inputs'!$G$32), IF(YEAR('Assumptions &amp; Inputs'!$G$36)&gt;=E110, 'Assumptions &amp; Inputs'!$G$80*'Assumptions &amp; Inputs'!$G$77/$E$3*(1+'Assumptions &amp; Inputs'!$G$20)^(E108-'Assumptions &amp; Inputs'!$G$28/12), 0)))*(1-'Assumptions &amp; Inputs'!$G$95)</f>
        <v>0</v>
      </c>
      <c r="F122" s="523">
        <f>IF(YEAR('Assumptions &amp; Inputs'!$G$31)&gt;F110, 0, IF(F110=YEAR('Assumptions &amp; Inputs'!$G$31),'Assumptions &amp; Inputs'!$G$80*'Assumptions &amp; Inputs'!$G$77/$E$3*(1+'Assumptions &amp; Inputs'!$G$20)^(F108-'Assumptions &amp; Inputs'!$G$28/12)*YEARFRAC('Assumptions &amp; Inputs'!$G$31,'Assumptions &amp; Inputs'!$G$32), IF(YEAR('Assumptions &amp; Inputs'!$G$36)&gt;=F110, 'Assumptions &amp; Inputs'!$G$80*'Assumptions &amp; Inputs'!$G$77/$E$3*(1+'Assumptions &amp; Inputs'!$G$20)^(F108-'Assumptions &amp; Inputs'!$G$28/12), 0)))*(1-'Assumptions &amp; Inputs'!$G$95)</f>
        <v>0</v>
      </c>
      <c r="G122" s="523">
        <f>IF(YEAR('Assumptions &amp; Inputs'!$G$31)&gt;G110, 0, IF(G110=YEAR('Assumptions &amp; Inputs'!$G$31),'Assumptions &amp; Inputs'!$G$80*'Assumptions &amp; Inputs'!$G$77/$E$3*(1+'Assumptions &amp; Inputs'!$G$20)^(G108-'Assumptions &amp; Inputs'!$G$28/12)*YEARFRAC('Assumptions &amp; Inputs'!$G$31,'Assumptions &amp; Inputs'!$G$32), IF(YEAR('Assumptions &amp; Inputs'!$G$36)&gt;=G110, 'Assumptions &amp; Inputs'!$G$80*'Assumptions &amp; Inputs'!$G$77/$E$3*(1+'Assumptions &amp; Inputs'!$G$20)^(G108-'Assumptions &amp; Inputs'!$G$28/12), 0)))*(1-'Assumptions &amp; Inputs'!$G$95)</f>
        <v>1.1374999999999997</v>
      </c>
      <c r="H122" s="523">
        <f>IF(YEAR('Assumptions &amp; Inputs'!$G$31)&gt;H110, 0, IF(H110=YEAR('Assumptions &amp; Inputs'!$G$31),'Assumptions &amp; Inputs'!$G$80*'Assumptions &amp; Inputs'!$G$77/$E$3*(1+'Assumptions &amp; Inputs'!$G$20)^(H108-'Assumptions &amp; Inputs'!$G$28/12)*YEARFRAC('Assumptions &amp; Inputs'!$G$31,'Assumptions &amp; Inputs'!$G$32), IF(YEAR('Assumptions &amp; Inputs'!$G$36)&gt;=H110, 'Assumptions &amp; Inputs'!$G$80*'Assumptions &amp; Inputs'!$G$77/$E$3*(1+'Assumptions &amp; Inputs'!$G$20)^(H108-'Assumptions &amp; Inputs'!$G$28/12), 0)))*(1-'Assumptions &amp; Inputs'!$G$95)</f>
        <v>1.7574375</v>
      </c>
      <c r="I122" s="523">
        <f>IF(YEAR('Assumptions &amp; Inputs'!$G$31)&gt;I110, 0, IF(I110=YEAR('Assumptions &amp; Inputs'!$G$31),'Assumptions &amp; Inputs'!$G$80*'Assumptions &amp; Inputs'!$G$77/$E$3*(1+'Assumptions &amp; Inputs'!$G$20)^(I108-'Assumptions &amp; Inputs'!$G$28/12)*YEARFRAC('Assumptions &amp; Inputs'!$G$31,'Assumptions &amp; Inputs'!$G$32), IF(YEAR('Assumptions &amp; Inputs'!$G$36)&gt;=I110, 'Assumptions &amp; Inputs'!$G$80*'Assumptions &amp; Inputs'!$G$77/$E$3*(1+'Assumptions &amp; Inputs'!$G$20)^(I108-'Assumptions &amp; Inputs'!$G$28/12), 0)))*(1-'Assumptions &amp; Inputs'!$G$95)</f>
        <v>1.8101606249999997</v>
      </c>
      <c r="J122" s="523">
        <f>IF(YEAR('Assumptions &amp; Inputs'!$G$31)&gt;J110, 0, IF(J110=YEAR('Assumptions &amp; Inputs'!$G$31),'Assumptions &amp; Inputs'!$G$80*'Assumptions &amp; Inputs'!$G$77/$E$3*(1+'Assumptions &amp; Inputs'!$G$20)^(J108-'Assumptions &amp; Inputs'!$G$28/12)*YEARFRAC('Assumptions &amp; Inputs'!$G$31,'Assumptions &amp; Inputs'!$G$32), IF(YEAR('Assumptions &amp; Inputs'!$G$36)&gt;=J110, 'Assumptions &amp; Inputs'!$G$80*'Assumptions &amp; Inputs'!$G$77/$E$3*(1+'Assumptions &amp; Inputs'!$G$20)^(J108-'Assumptions &amp; Inputs'!$G$28/12), 0)))*(1-'Assumptions &amp; Inputs'!$G$95)</f>
        <v>1.8644654437499999</v>
      </c>
      <c r="K122" s="523">
        <f>IF(YEAR('Assumptions &amp; Inputs'!$G$31)&gt;K110, 0, IF(K110=YEAR('Assumptions &amp; Inputs'!$G$31),'Assumptions &amp; Inputs'!$G$80*'Assumptions &amp; Inputs'!$G$77/$E$3*(1+'Assumptions &amp; Inputs'!$G$20)^(K108-'Assumptions &amp; Inputs'!$G$28/12)*YEARFRAC('Assumptions &amp; Inputs'!$G$31,'Assumptions &amp; Inputs'!$G$32), IF(YEAR('Assumptions &amp; Inputs'!$G$36)&gt;=K110, 'Assumptions &amp; Inputs'!$G$80*'Assumptions &amp; Inputs'!$G$77/$E$3*(1+'Assumptions &amp; Inputs'!$G$20)^(K108-'Assumptions &amp; Inputs'!$G$28/12), 0)))*(1-'Assumptions &amp; Inputs'!$G$95)</f>
        <v>1.9203994070624999</v>
      </c>
      <c r="L122" s="523">
        <f>IF(YEAR('Assumptions &amp; Inputs'!$G$31)&gt;L110, 0, IF(L110=YEAR('Assumptions &amp; Inputs'!$G$31),'Assumptions &amp; Inputs'!$G$80*'Assumptions &amp; Inputs'!$G$77/$E$3*(1+'Assumptions &amp; Inputs'!$G$20)^(L108-'Assumptions &amp; Inputs'!$G$28/12)*YEARFRAC('Assumptions &amp; Inputs'!$G$31,'Assumptions &amp; Inputs'!$G$32), IF(YEAR('Assumptions &amp; Inputs'!$G$36)&gt;=L110, 'Assumptions &amp; Inputs'!$G$80*'Assumptions &amp; Inputs'!$G$77/$E$3*(1+'Assumptions &amp; Inputs'!$G$20)^(L108-'Assumptions &amp; Inputs'!$G$28/12), 0)))*(1-'Assumptions &amp; Inputs'!$G$95)</f>
        <v>1.9780113892743745</v>
      </c>
      <c r="M122" s="523">
        <f>IF(YEAR('Assumptions &amp; Inputs'!$G$31)&gt;M110, 0, IF(M110=YEAR('Assumptions &amp; Inputs'!$G$31),'Assumptions &amp; Inputs'!$G$80*'Assumptions &amp; Inputs'!$G$77/$E$3*(1+'Assumptions &amp; Inputs'!$G$20)^(M108-'Assumptions &amp; Inputs'!$G$28/12)*YEARFRAC('Assumptions &amp; Inputs'!$G$31,'Assumptions &amp; Inputs'!$G$32), IF(YEAR('Assumptions &amp; Inputs'!$G$36)&gt;=M110, 'Assumptions &amp; Inputs'!$G$80*'Assumptions &amp; Inputs'!$G$77/$E$3*(1+'Assumptions &amp; Inputs'!$G$20)^(M108-'Assumptions &amp; Inputs'!$G$28/12), 0)))*(1-'Assumptions &amp; Inputs'!$G$95)</f>
        <v>2.0373517309526061</v>
      </c>
      <c r="N122" s="523">
        <f>IF(YEAR('Assumptions &amp; Inputs'!$G$31)&gt;N110, 0, IF(N110=YEAR('Assumptions &amp; Inputs'!$G$31),'Assumptions &amp; Inputs'!$G$80*'Assumptions &amp; Inputs'!$G$77/$E$3*(1+'Assumptions &amp; Inputs'!$G$20)^(N108-'Assumptions &amp; Inputs'!$G$28/12)*YEARFRAC('Assumptions &amp; Inputs'!$G$31,'Assumptions &amp; Inputs'!$G$32), IF(YEAR('Assumptions &amp; Inputs'!$G$36)&gt;=N110, 'Assumptions &amp; Inputs'!$G$80*'Assumptions &amp; Inputs'!$G$77/$E$3*(1+'Assumptions &amp; Inputs'!$G$20)^(N108-'Assumptions &amp; Inputs'!$G$28/12), 0)))*(1-'Assumptions &amp; Inputs'!$G$95)</f>
        <v>2.0984722828811839</v>
      </c>
      <c r="O122" s="523">
        <f>IF(YEAR('Assumptions &amp; Inputs'!$G$31)&gt;O110, 0, IF(O110=YEAR('Assumptions &amp; Inputs'!$G$31),'Assumptions &amp; Inputs'!$G$80*'Assumptions &amp; Inputs'!$G$77/$E$3*(1+'Assumptions &amp; Inputs'!$G$20)^(O108-'Assumptions &amp; Inputs'!$G$28/12)*YEARFRAC('Assumptions &amp; Inputs'!$G$31,'Assumptions &amp; Inputs'!$G$32), IF(YEAR('Assumptions &amp; Inputs'!$G$36)&gt;=O110, 'Assumptions &amp; Inputs'!$G$80*'Assumptions &amp; Inputs'!$G$77/$E$3*(1+'Assumptions &amp; Inputs'!$G$20)^(O108-'Assumptions &amp; Inputs'!$G$28/12), 0)))*(1-'Assumptions &amp; Inputs'!$G$95)</f>
        <v>2.1614264513676198</v>
      </c>
      <c r="P122" s="523">
        <f>IF(YEAR('Assumptions &amp; Inputs'!$G$31)&gt;P110, 0, IF(P110=YEAR('Assumptions &amp; Inputs'!$G$31),'Assumptions &amp; Inputs'!$G$80*'Assumptions &amp; Inputs'!$G$77/$E$3*(1+'Assumptions &amp; Inputs'!$G$20)^(P108-'Assumptions &amp; Inputs'!$G$28/12)*YEARFRAC('Assumptions &amp; Inputs'!$G$31,'Assumptions &amp; Inputs'!$G$32), IF(YEAR('Assumptions &amp; Inputs'!$G$36)&gt;=P110, 'Assumptions &amp; Inputs'!$G$80*'Assumptions &amp; Inputs'!$G$77/$E$3*(1+'Assumptions &amp; Inputs'!$G$20)^(P108-'Assumptions &amp; Inputs'!$G$28/12), 0)))*(1-'Assumptions &amp; Inputs'!$G$95)</f>
        <v>2.2262692449086483</v>
      </c>
      <c r="Q122" s="523">
        <f>IF(YEAR('Assumptions &amp; Inputs'!$G$31)&gt;Q110, 0, IF(Q110=YEAR('Assumptions &amp; Inputs'!$G$31),'Assumptions &amp; Inputs'!$G$80*'Assumptions &amp; Inputs'!$G$77/$E$3*(1+'Assumptions &amp; Inputs'!$G$20)^(Q108-'Assumptions &amp; Inputs'!$G$28/12)*YEARFRAC('Assumptions &amp; Inputs'!$G$31,'Assumptions &amp; Inputs'!$G$32), IF(YEAR('Assumptions &amp; Inputs'!$G$36)&gt;=Q110, 'Assumptions &amp; Inputs'!$G$80*'Assumptions &amp; Inputs'!$G$77/$E$3*(1+'Assumptions &amp; Inputs'!$G$20)^(Q108-'Assumptions &amp; Inputs'!$G$28/12), 0)))*(1-'Assumptions &amp; Inputs'!$G$95)</f>
        <v>2.2930573222559074</v>
      </c>
      <c r="R122" s="523">
        <f>IF(YEAR('Assumptions &amp; Inputs'!$G$31)&gt;R110, 0, IF(R110=YEAR('Assumptions &amp; Inputs'!$G$31),'Assumptions &amp; Inputs'!$G$80*'Assumptions &amp; Inputs'!$G$77/$E$3*(1+'Assumptions &amp; Inputs'!$G$20)^(R108-'Assumptions &amp; Inputs'!$G$28/12)*YEARFRAC('Assumptions &amp; Inputs'!$G$31,'Assumptions &amp; Inputs'!$G$32), IF(YEAR('Assumptions &amp; Inputs'!$G$36)&gt;=R110, 'Assumptions &amp; Inputs'!$G$80*'Assumptions &amp; Inputs'!$G$77/$E$3*(1+'Assumptions &amp; Inputs'!$G$20)^(R108-'Assumptions &amp; Inputs'!$G$28/12), 0)))*(1-'Assumptions &amp; Inputs'!$G$95)</f>
        <v>2.3618490419235849</v>
      </c>
      <c r="S122" s="523">
        <f>IF(YEAR('Assumptions &amp; Inputs'!$G$31)&gt;S110, 0, IF(S110=YEAR('Assumptions &amp; Inputs'!$G$31),'Assumptions &amp; Inputs'!$G$80*'Assumptions &amp; Inputs'!$G$77/$E$3*(1+'Assumptions &amp; Inputs'!$G$20)^(S108-'Assumptions &amp; Inputs'!$G$28/12)*YEARFRAC('Assumptions &amp; Inputs'!$G$31,'Assumptions &amp; Inputs'!$G$32), IF(YEAR('Assumptions &amp; Inputs'!$G$36)&gt;=S110, 'Assumptions &amp; Inputs'!$G$80*'Assumptions &amp; Inputs'!$G$77/$E$3*(1+'Assumptions &amp; Inputs'!$G$20)^(S108-'Assumptions &amp; Inputs'!$G$28/12), 0)))*(1-'Assumptions &amp; Inputs'!$G$95)</f>
        <v>2.4327045131812923</v>
      </c>
      <c r="T122" s="523">
        <f>IF(YEAR('Assumptions &amp; Inputs'!$G$31)&gt;T110, 0, IF(T110=YEAR('Assumptions &amp; Inputs'!$G$31),'Assumptions &amp; Inputs'!$G$80*'Assumptions &amp; Inputs'!$G$77/$E$3*(1+'Assumptions &amp; Inputs'!$G$20)^(T108-'Assumptions &amp; Inputs'!$G$28/12)*YEARFRAC('Assumptions &amp; Inputs'!$G$31,'Assumptions &amp; Inputs'!$G$32), IF(YEAR('Assumptions &amp; Inputs'!$G$36)&gt;=T110, 'Assumptions &amp; Inputs'!$G$80*'Assumptions &amp; Inputs'!$G$77/$E$3*(1+'Assumptions &amp; Inputs'!$G$20)^(T108-'Assumptions &amp; Inputs'!$G$28/12), 0)))*(1-'Assumptions &amp; Inputs'!$G$95)</f>
        <v>2.5056856485767312</v>
      </c>
      <c r="U122" s="523">
        <f>IF(YEAR('Assumptions &amp; Inputs'!$G$31)&gt;U110, 0, IF(U110=YEAR('Assumptions &amp; Inputs'!$G$31),'Assumptions &amp; Inputs'!$G$80*'Assumptions &amp; Inputs'!$G$77/$E$3*(1+'Assumptions &amp; Inputs'!$G$20)^(U108-'Assumptions &amp; Inputs'!$G$28/12)*YEARFRAC('Assumptions &amp; Inputs'!$G$31,'Assumptions &amp; Inputs'!$G$32), IF(YEAR('Assumptions &amp; Inputs'!$G$36)&gt;=U110, 'Assumptions &amp; Inputs'!$G$80*'Assumptions &amp; Inputs'!$G$77/$E$3*(1+'Assumptions &amp; Inputs'!$G$20)^(U108-'Assumptions &amp; Inputs'!$G$28/12), 0)))*(1-'Assumptions &amp; Inputs'!$G$95)</f>
        <v>2.5808562180340329</v>
      </c>
      <c r="V122" s="523">
        <f>IF(YEAR('Assumptions &amp; Inputs'!$G$31)&gt;V110, 0, IF(V110=YEAR('Assumptions &amp; Inputs'!$G$31),'Assumptions &amp; Inputs'!$G$80*'Assumptions &amp; Inputs'!$G$77/$E$3*(1+'Assumptions &amp; Inputs'!$G$20)^(V108-'Assumptions &amp; Inputs'!$G$28/12)*YEARFRAC('Assumptions &amp; Inputs'!$G$31,'Assumptions &amp; Inputs'!$G$32), IF(YEAR('Assumptions &amp; Inputs'!$G$36)&gt;=V110, 'Assumptions &amp; Inputs'!$G$80*'Assumptions &amp; Inputs'!$G$77/$E$3*(1+'Assumptions &amp; Inputs'!$G$20)^(V108-'Assumptions &amp; Inputs'!$G$28/12), 0)))*(1-'Assumptions &amp; Inputs'!$G$95)</f>
        <v>2.6582819045750541</v>
      </c>
      <c r="W122" s="523">
        <f>IF(YEAR('Assumptions &amp; Inputs'!$G$31)&gt;W110, 0, IF(W110=YEAR('Assumptions &amp; Inputs'!$G$31),'Assumptions &amp; Inputs'!$G$80*'Assumptions &amp; Inputs'!$G$77/$E$3*(1+'Assumptions &amp; Inputs'!$G$20)^(W108-'Assumptions &amp; Inputs'!$G$28/12)*YEARFRAC('Assumptions &amp; Inputs'!$G$31,'Assumptions &amp; Inputs'!$G$32), IF(YEAR('Assumptions &amp; Inputs'!$G$36)&gt;=W110, 'Assumptions &amp; Inputs'!$G$80*'Assumptions &amp; Inputs'!$G$77/$E$3*(1+'Assumptions &amp; Inputs'!$G$20)^(W108-'Assumptions &amp; Inputs'!$G$28/12), 0)))*(1-'Assumptions &amp; Inputs'!$G$95)</f>
        <v>2.7380303617123052</v>
      </c>
      <c r="X122" s="523">
        <f>IF(YEAR('Assumptions &amp; Inputs'!$G$31)&gt;X110, 0, IF(X110=YEAR('Assumptions &amp; Inputs'!$G$31),'Assumptions &amp; Inputs'!$G$80*'Assumptions &amp; Inputs'!$G$77/$E$3*(1+'Assumptions &amp; Inputs'!$G$20)^(X108-'Assumptions &amp; Inputs'!$G$28/12)*YEARFRAC('Assumptions &amp; Inputs'!$G$31,'Assumptions &amp; Inputs'!$G$32), IF(YEAR('Assumptions &amp; Inputs'!$G$36)&gt;=X110, 'Assumptions &amp; Inputs'!$G$80*'Assumptions &amp; Inputs'!$G$77/$E$3*(1+'Assumptions &amp; Inputs'!$G$20)^(X108-'Assumptions &amp; Inputs'!$G$28/12), 0)))*(1-'Assumptions &amp; Inputs'!$G$95)</f>
        <v>2.8201712725636745</v>
      </c>
      <c r="Y122" s="523">
        <f>IF(YEAR('Assumptions &amp; Inputs'!$G$31)&gt;Y110, 0, IF(Y110=YEAR('Assumptions &amp; Inputs'!$G$31),'Assumptions &amp; Inputs'!$G$80*'Assumptions &amp; Inputs'!$G$77/$E$3*(1+'Assumptions &amp; Inputs'!$G$20)^(Y108-'Assumptions &amp; Inputs'!$G$28/12)*YEARFRAC('Assumptions &amp; Inputs'!$G$31,'Assumptions &amp; Inputs'!$G$32), IF(YEAR('Assumptions &amp; Inputs'!$G$36)&gt;=Y110, 'Assumptions &amp; Inputs'!$G$80*'Assumptions &amp; Inputs'!$G$77/$E$3*(1+'Assumptions &amp; Inputs'!$G$20)^(Y108-'Assumptions &amp; Inputs'!$G$28/12), 0)))*(1-'Assumptions &amp; Inputs'!$G$95)</f>
        <v>2.9047764107405847</v>
      </c>
      <c r="Z122" s="523">
        <f>IF(YEAR('Assumptions &amp; Inputs'!$G$31)&gt;Z110, 0, IF(Z110=YEAR('Assumptions &amp; Inputs'!$G$31),'Assumptions &amp; Inputs'!$G$80*'Assumptions &amp; Inputs'!$G$77/$E$3*(1+'Assumptions &amp; Inputs'!$G$20)^(Z108-'Assumptions &amp; Inputs'!$G$28/12)*YEARFRAC('Assumptions &amp; Inputs'!$G$31,'Assumptions &amp; Inputs'!$G$32), IF(YEAR('Assumptions &amp; Inputs'!$G$36)&gt;=Z110, 'Assumptions &amp; Inputs'!$G$80*'Assumptions &amp; Inputs'!$G$77/$E$3*(1+'Assumptions &amp; Inputs'!$G$20)^(Z108-'Assumptions &amp; Inputs'!$G$28/12), 0)))*(1-'Assumptions &amp; Inputs'!$G$95)</f>
        <v>2.9919197030628024</v>
      </c>
      <c r="AA122" s="523">
        <f>IF(YEAR('Assumptions &amp; Inputs'!$G$31)&gt;AA110, 0, IF(AA110=YEAR('Assumptions &amp; Inputs'!$G$31),'Assumptions &amp; Inputs'!$G$80*'Assumptions &amp; Inputs'!$G$77/$E$3*(1+'Assumptions &amp; Inputs'!$G$20)^(AA108-'Assumptions &amp; Inputs'!$G$28/12)*YEARFRAC('Assumptions &amp; Inputs'!$G$31,'Assumptions &amp; Inputs'!$G$32), IF(YEAR('Assumptions &amp; Inputs'!$G$36)&gt;=AA110, 'Assumptions &amp; Inputs'!$G$80*'Assumptions &amp; Inputs'!$G$77/$E$3*(1+'Assumptions &amp; Inputs'!$G$20)^(AA108-'Assumptions &amp; Inputs'!$G$28/12), 0)))*(1-'Assumptions &amp; Inputs'!$G$95)</f>
        <v>3.0816772941546864</v>
      </c>
      <c r="AB122" s="523">
        <f>IF(YEAR('Assumptions &amp; Inputs'!$G$31)&gt;AB110, 0, IF(AB110=YEAR('Assumptions &amp; Inputs'!$G$31),'Assumptions &amp; Inputs'!$G$80*'Assumptions &amp; Inputs'!$G$77/$E$3*(1+'Assumptions &amp; Inputs'!$G$20)^(AB108-'Assumptions &amp; Inputs'!$G$28/12)*YEARFRAC('Assumptions &amp; Inputs'!$G$31,'Assumptions &amp; Inputs'!$G$32), IF(YEAR('Assumptions &amp; Inputs'!$G$36)&gt;=AB110, 'Assumptions &amp; Inputs'!$G$80*'Assumptions &amp; Inputs'!$G$77/$E$3*(1+'Assumptions &amp; Inputs'!$G$20)^(AB108-'Assumptions &amp; Inputs'!$G$28/12), 0)))*(1-'Assumptions &amp; Inputs'!$G$95)</f>
        <v>3.1741276129793263</v>
      </c>
      <c r="AC122" s="523">
        <f>IF(YEAR('Assumptions &amp; Inputs'!$G$31)&gt;AC110, 0, IF(AC110=YEAR('Assumptions &amp; Inputs'!$G$31),'Assumptions &amp; Inputs'!$G$80*'Assumptions &amp; Inputs'!$G$77/$E$3*(1+'Assumptions &amp; Inputs'!$G$20)^(AC108-'Assumptions &amp; Inputs'!$G$28/12)*YEARFRAC('Assumptions &amp; Inputs'!$G$31,'Assumptions &amp; Inputs'!$G$32), IF(YEAR('Assumptions &amp; Inputs'!$G$36)&gt;=AC110, 'Assumptions &amp; Inputs'!$G$80*'Assumptions &amp; Inputs'!$G$77/$E$3*(1+'Assumptions &amp; Inputs'!$G$20)^(AC108-'Assumptions &amp; Inputs'!$G$28/12), 0)))*(1-'Assumptions &amp; Inputs'!$G$95)</f>
        <v>3.2693514413687064</v>
      </c>
      <c r="AD122" s="523">
        <f>IF(YEAR('Assumptions &amp; Inputs'!$G$31)&gt;AD110, 0, IF(AD110=YEAR('Assumptions &amp; Inputs'!$G$31),'Assumptions &amp; Inputs'!$G$80*'Assumptions &amp; Inputs'!$G$77/$E$3*(1+'Assumptions &amp; Inputs'!$G$20)^(AD108-'Assumptions &amp; Inputs'!$G$28/12)*YEARFRAC('Assumptions &amp; Inputs'!$G$31,'Assumptions &amp; Inputs'!$G$32), IF(YEAR('Assumptions &amp; Inputs'!$G$36)&gt;=AD110, 'Assumptions &amp; Inputs'!$G$80*'Assumptions &amp; Inputs'!$G$77/$E$3*(1+'Assumptions &amp; Inputs'!$G$20)^(AD108-'Assumptions &amp; Inputs'!$G$28/12), 0)))*(1-'Assumptions &amp; Inputs'!$G$95)</f>
        <v>3.3674319846097682</v>
      </c>
      <c r="AE122" s="523">
        <f>IF(YEAR('Assumptions &amp; Inputs'!$G$31)&gt;AE110, 0, IF(AE110=YEAR('Assumptions &amp; Inputs'!$G$31),'Assumptions &amp; Inputs'!$G$80*'Assumptions &amp; Inputs'!$G$77/$E$3*(1+'Assumptions &amp; Inputs'!$G$20)^(AE108-'Assumptions &amp; Inputs'!$G$28/12)*YEARFRAC('Assumptions &amp; Inputs'!$G$31,'Assumptions &amp; Inputs'!$G$32), IF(YEAR('Assumptions &amp; Inputs'!$G$36)&gt;=AE110, 'Assumptions &amp; Inputs'!$G$80*'Assumptions &amp; Inputs'!$G$77/$E$3*(1+'Assumptions &amp; Inputs'!$G$20)^(AE108-'Assumptions &amp; Inputs'!$G$28/12), 0)))*(1-'Assumptions &amp; Inputs'!$G$95)</f>
        <v>3.4684549441480605</v>
      </c>
      <c r="AF122" s="523">
        <f>IF(YEAR('Assumptions &amp; Inputs'!$G$31)&gt;AF110, 0, IF(AF110=YEAR('Assumptions &amp; Inputs'!$G$31),'Assumptions &amp; Inputs'!$G$80*'Assumptions &amp; Inputs'!$G$77/$E$3*(1+'Assumptions &amp; Inputs'!$G$20)^(AF108-'Assumptions &amp; Inputs'!$G$28/12)*YEARFRAC('Assumptions &amp; Inputs'!$G$31,'Assumptions &amp; Inputs'!$G$32), IF(YEAR('Assumptions &amp; Inputs'!$G$36)&gt;=AF110, 'Assumptions &amp; Inputs'!$G$80*'Assumptions &amp; Inputs'!$G$77/$E$3*(1+'Assumptions &amp; Inputs'!$G$20)^(AF108-'Assumptions &amp; Inputs'!$G$28/12), 0)))*(1-'Assumptions &amp; Inputs'!$G$95)</f>
        <v>3.5725085924725022</v>
      </c>
      <c r="AG122" s="523">
        <f>IF(YEAR('Assumptions &amp; Inputs'!$G$31)&gt;AG110, 0, IF(AG110=YEAR('Assumptions &amp; Inputs'!$G$31),'Assumptions &amp; Inputs'!$G$80*'Assumptions &amp; Inputs'!$G$77/$E$3*(1+'Assumptions &amp; Inputs'!$G$20)^(AG108-'Assumptions &amp; Inputs'!$G$28/12)*YEARFRAC('Assumptions &amp; Inputs'!$G$31,'Assumptions &amp; Inputs'!$G$32), IF(YEAR('Assumptions &amp; Inputs'!$G$36)&gt;=AG110, 'Assumptions &amp; Inputs'!$G$80*'Assumptions &amp; Inputs'!$G$77/$E$3*(1+'Assumptions &amp; Inputs'!$G$20)^(AG108-'Assumptions &amp; Inputs'!$G$28/12), 0)))*(1-'Assumptions &amp; Inputs'!$G$95)</f>
        <v>0</v>
      </c>
      <c r="AH122" s="523">
        <f>IF(YEAR('Assumptions &amp; Inputs'!$G$31)&gt;AH110, 0, IF(AH110=YEAR('Assumptions &amp; Inputs'!$G$31),'Assumptions &amp; Inputs'!$G$80*'Assumptions &amp; Inputs'!$G$77/$E$3*(1+'Assumptions &amp; Inputs'!$G$20)^(AH108-'Assumptions &amp; Inputs'!$G$28/12)*YEARFRAC('Assumptions &amp; Inputs'!$G$31,'Assumptions &amp; Inputs'!$G$32), IF(YEAR('Assumptions &amp; Inputs'!$G$36)&gt;=AH110, 'Assumptions &amp; Inputs'!$G$80*'Assumptions &amp; Inputs'!$G$77/$E$3*(1+'Assumptions &amp; Inputs'!$G$20)^(AH108-'Assumptions &amp; Inputs'!$G$28/12), 0)))*(1-'Assumptions &amp; Inputs'!$G$95)</f>
        <v>0</v>
      </c>
      <c r="AI122" s="523">
        <f>IF(YEAR('Assumptions &amp; Inputs'!$G$31)&gt;AI110, 0, IF(AI110=YEAR('Assumptions &amp; Inputs'!$G$31),'Assumptions &amp; Inputs'!$G$80*'Assumptions &amp; Inputs'!$G$77/$E$3*(1+'Assumptions &amp; Inputs'!$G$20)^(AI108-'Assumptions &amp; Inputs'!$G$28/12)*YEARFRAC('Assumptions &amp; Inputs'!$G$31,'Assumptions &amp; Inputs'!$G$32), IF(YEAR('Assumptions &amp; Inputs'!$G$36)&gt;=AI110, 'Assumptions &amp; Inputs'!$G$80*'Assumptions &amp; Inputs'!$G$77/$E$3*(1+'Assumptions &amp; Inputs'!$G$20)^(AI108-'Assumptions &amp; Inputs'!$G$28/12), 0)))*(1-'Assumptions &amp; Inputs'!$G$95)</f>
        <v>0</v>
      </c>
      <c r="AJ122" s="523">
        <f>IF(YEAR('Assumptions &amp; Inputs'!$G$31)&gt;AJ110, 0, IF(AJ110=YEAR('Assumptions &amp; Inputs'!$G$31),'Assumptions &amp; Inputs'!$G$80*'Assumptions &amp; Inputs'!$G$77/$E$3*(1+'Assumptions &amp; Inputs'!$G$20)^(AJ108-'Assumptions &amp; Inputs'!$G$28/12)*YEARFRAC('Assumptions &amp; Inputs'!$G$31,'Assumptions &amp; Inputs'!$G$32), IF(YEAR('Assumptions &amp; Inputs'!$G$36)&gt;=AJ110, 'Assumptions &amp; Inputs'!$G$80*'Assumptions &amp; Inputs'!$G$77/$E$3*(1+'Assumptions &amp; Inputs'!$G$20)^(AJ108-'Assumptions &amp; Inputs'!$G$28/12), 0)))*(1-'Assumptions &amp; Inputs'!$G$95)</f>
        <v>0</v>
      </c>
      <c r="AK122" s="523">
        <f>IF(YEAR('Assumptions &amp; Inputs'!$G$31)&gt;AK110, 0, IF(AK110=YEAR('Assumptions &amp; Inputs'!$G$31),'Assumptions &amp; Inputs'!$G$80*'Assumptions &amp; Inputs'!$G$77/$E$3*(1+'Assumptions &amp; Inputs'!$G$20)^(AK108-'Assumptions &amp; Inputs'!$G$28/12)*YEARFRAC('Assumptions &amp; Inputs'!$G$31,'Assumptions &amp; Inputs'!$G$32), IF(YEAR('Assumptions &amp; Inputs'!$G$36)&gt;=AK110, 'Assumptions &amp; Inputs'!$G$80*'Assumptions &amp; Inputs'!$G$77/$E$3*(1+'Assumptions &amp; Inputs'!$G$20)^(AK108-'Assumptions &amp; Inputs'!$G$28/12), 0)))*(1-'Assumptions &amp; Inputs'!$G$95)</f>
        <v>0</v>
      </c>
      <c r="AL122" s="523">
        <f>IF(YEAR('Assumptions &amp; Inputs'!$G$31)&gt;AL110, 0, IF(AL110=YEAR('Assumptions &amp; Inputs'!$G$31),'Assumptions &amp; Inputs'!$G$80*'Assumptions &amp; Inputs'!$G$77/$E$3*(1+'Assumptions &amp; Inputs'!$G$20)^(AL108-'Assumptions &amp; Inputs'!$G$28/12)*YEARFRAC('Assumptions &amp; Inputs'!$G$31,'Assumptions &amp; Inputs'!$G$32), IF(YEAR('Assumptions &amp; Inputs'!$G$36)&gt;=AL110, 'Assumptions &amp; Inputs'!$G$80*'Assumptions &amp; Inputs'!$G$77/$E$3*(1+'Assumptions &amp; Inputs'!$G$20)^(AL108-'Assumptions &amp; Inputs'!$G$28/12), 0)))*(1-'Assumptions &amp; Inputs'!$G$95)</f>
        <v>0</v>
      </c>
      <c r="AM122" s="523">
        <f>IF(YEAR('Assumptions &amp; Inputs'!$G$31)&gt;AM110, 0, IF(AM110=YEAR('Assumptions &amp; Inputs'!$G$31),'Assumptions &amp; Inputs'!$G$80*'Assumptions &amp; Inputs'!$G$77/$E$3*(1+'Assumptions &amp; Inputs'!$G$20)^(AM108-'Assumptions &amp; Inputs'!$G$28/12)*YEARFRAC('Assumptions &amp; Inputs'!$G$31,'Assumptions &amp; Inputs'!$G$32), IF(YEAR('Assumptions &amp; Inputs'!$G$36)&gt;=AM110, 'Assumptions &amp; Inputs'!$G$80*'Assumptions &amp; Inputs'!$G$77/$E$3*(1+'Assumptions &amp; Inputs'!$G$20)^(AM108-'Assumptions &amp; Inputs'!$G$28/12), 0)))*(1-'Assumptions &amp; Inputs'!$G$95)</f>
        <v>0</v>
      </c>
      <c r="AN122" s="523">
        <f>IF(YEAR('Assumptions &amp; Inputs'!$G$31)&gt;AN110, 0, IF(AN110=YEAR('Assumptions &amp; Inputs'!$G$31),'Assumptions &amp; Inputs'!$G$80*'Assumptions &amp; Inputs'!$G$77/$E$3*(1+'Assumptions &amp; Inputs'!$G$20)^(AN108-'Assumptions &amp; Inputs'!$G$28/12)*YEARFRAC('Assumptions &amp; Inputs'!$G$31,'Assumptions &amp; Inputs'!$G$32), IF(YEAR('Assumptions &amp; Inputs'!$G$36)&gt;=AN110, 'Assumptions &amp; Inputs'!$G$80*'Assumptions &amp; Inputs'!$G$77/$E$3*(1+'Assumptions &amp; Inputs'!$G$20)^(AN108-'Assumptions &amp; Inputs'!$G$28/12), 0)))*(1-'Assumptions &amp; Inputs'!$G$95)</f>
        <v>0</v>
      </c>
      <c r="AO122" s="523">
        <f>IF(YEAR('Assumptions &amp; Inputs'!$G$31)&gt;AO110, 0, IF(AO110=YEAR('Assumptions &amp; Inputs'!$G$31),'Assumptions &amp; Inputs'!$G$80*'Assumptions &amp; Inputs'!$G$77/$E$3*(1+'Assumptions &amp; Inputs'!$G$20)^(AO108-'Assumptions &amp; Inputs'!$G$28/12)*YEARFRAC('Assumptions &amp; Inputs'!$G$31,'Assumptions &amp; Inputs'!$G$32), IF(YEAR('Assumptions &amp; Inputs'!$G$36)&gt;=AO110, 'Assumptions &amp; Inputs'!$G$80*'Assumptions &amp; Inputs'!$G$77/$E$3*(1+'Assumptions &amp; Inputs'!$G$20)^(AO108-'Assumptions &amp; Inputs'!$G$28/12), 0)))*(1-'Assumptions &amp; Inputs'!$G$95)</f>
        <v>0</v>
      </c>
      <c r="AP122" s="523">
        <f>IF(YEAR('Assumptions &amp; Inputs'!$G$31)&gt;AP110, 0, IF(AP110=YEAR('Assumptions &amp; Inputs'!$G$31),'Assumptions &amp; Inputs'!$G$80*'Assumptions &amp; Inputs'!$G$77/$E$3*(1+'Assumptions &amp; Inputs'!$G$20)^(AP108-'Assumptions &amp; Inputs'!$G$28/12)*YEARFRAC('Assumptions &amp; Inputs'!$G$31,'Assumptions &amp; Inputs'!$G$32), IF(YEAR('Assumptions &amp; Inputs'!$G$36)&gt;=AP110, 'Assumptions &amp; Inputs'!$G$80*'Assumptions &amp; Inputs'!$G$77/$E$3*(1+'Assumptions &amp; Inputs'!$G$20)^(AP108-'Assumptions &amp; Inputs'!$G$28/12), 0)))*(1-'Assumptions &amp; Inputs'!$G$95)</f>
        <v>0</v>
      </c>
      <c r="AQ122" s="523">
        <f>IF(YEAR('Assumptions &amp; Inputs'!$G$31)&gt;AQ110, 0, IF(AQ110=YEAR('Assumptions &amp; Inputs'!$G$31),'Assumptions &amp; Inputs'!$G$80*'Assumptions &amp; Inputs'!$G$77/$E$3*(1+'Assumptions &amp; Inputs'!$G$20)^(AQ108-'Assumptions &amp; Inputs'!$G$28/12)*YEARFRAC('Assumptions &amp; Inputs'!$G$31,'Assumptions &amp; Inputs'!$G$32), IF(YEAR('Assumptions &amp; Inputs'!$G$36)&gt;=AQ110, 'Assumptions &amp; Inputs'!$G$80*'Assumptions &amp; Inputs'!$G$77/$E$3*(1+'Assumptions &amp; Inputs'!$G$20)^(AQ108-'Assumptions &amp; Inputs'!$G$28/12), 0)))*(1-'Assumptions &amp; Inputs'!$G$95)</f>
        <v>0</v>
      </c>
      <c r="AR122" s="523">
        <f>IF(YEAR('Assumptions &amp; Inputs'!$G$31)&gt;AR110, 0, IF(AR110=YEAR('Assumptions &amp; Inputs'!$G$31),'Assumptions &amp; Inputs'!$G$80*'Assumptions &amp; Inputs'!$G$77/$E$3*(1+'Assumptions &amp; Inputs'!$G$20)^(AR108-'Assumptions &amp; Inputs'!$G$28/12)*YEARFRAC('Assumptions &amp; Inputs'!$G$31,'Assumptions &amp; Inputs'!$G$32), IF(YEAR('Assumptions &amp; Inputs'!$G$36)&gt;=AR110, 'Assumptions &amp; Inputs'!$G$80*'Assumptions &amp; Inputs'!$G$77/$E$3*(1+'Assumptions &amp; Inputs'!$G$20)^(AR108-'Assumptions &amp; Inputs'!$G$28/12), 0)))*(1-'Assumptions &amp; Inputs'!$G$95)</f>
        <v>0</v>
      </c>
      <c r="AS122" s="523">
        <f>IF(YEAR('Assumptions &amp; Inputs'!$G$31)&gt;AS110, 0, IF(AS110=YEAR('Assumptions &amp; Inputs'!$G$31),'Assumptions &amp; Inputs'!$G$80*'Assumptions &amp; Inputs'!$G$77/$E$3*(1+'Assumptions &amp; Inputs'!$G$20)^(AS108-'Assumptions &amp; Inputs'!$G$28/12)*YEARFRAC('Assumptions &amp; Inputs'!$G$31,'Assumptions &amp; Inputs'!$G$32), IF(YEAR('Assumptions &amp; Inputs'!$G$36)&gt;=AS110, 'Assumptions &amp; Inputs'!$G$80*'Assumptions &amp; Inputs'!$G$77/$E$3*(1+'Assumptions &amp; Inputs'!$G$20)^(AS108-'Assumptions &amp; Inputs'!$G$28/12), 0)))*(1-'Assumptions &amp; Inputs'!$G$95)</f>
        <v>0</v>
      </c>
      <c r="AT122" s="523">
        <f>IF(YEAR('Assumptions &amp; Inputs'!$G$31)&gt;AT110, 0, IF(AT110=YEAR('Assumptions &amp; Inputs'!$G$31),'Assumptions &amp; Inputs'!$G$80*'Assumptions &amp; Inputs'!$G$77/$E$3*(1+'Assumptions &amp; Inputs'!$G$20)^(AT108-'Assumptions &amp; Inputs'!$G$28/12)*YEARFRAC('Assumptions &amp; Inputs'!$G$31,'Assumptions &amp; Inputs'!$G$32), IF(YEAR('Assumptions &amp; Inputs'!$G$36)&gt;=AT110, 'Assumptions &amp; Inputs'!$G$80*'Assumptions &amp; Inputs'!$G$77/$E$3*(1+'Assumptions &amp; Inputs'!$G$20)^(AT108-'Assumptions &amp; Inputs'!$G$28/12), 0)))*(1-'Assumptions &amp; Inputs'!$G$95)</f>
        <v>0</v>
      </c>
      <c r="AU122" s="523">
        <f>IF(YEAR('Assumptions &amp; Inputs'!$G$31)&gt;AU110, 0, IF(AU110=YEAR('Assumptions &amp; Inputs'!$G$31),'Assumptions &amp; Inputs'!$G$80*'Assumptions &amp; Inputs'!$G$77/$E$3*(1+'Assumptions &amp; Inputs'!$G$20)^(AU108-'Assumptions &amp; Inputs'!$G$28/12)*YEARFRAC('Assumptions &amp; Inputs'!$G$31,'Assumptions &amp; Inputs'!$G$32), IF(YEAR('Assumptions &amp; Inputs'!$G$36)&gt;=AU110, 'Assumptions &amp; Inputs'!$G$80*'Assumptions &amp; Inputs'!$G$77/$E$3*(1+'Assumptions &amp; Inputs'!$G$20)^(AU108-'Assumptions &amp; Inputs'!$G$28/12), 0)))*(1-'Assumptions &amp; Inputs'!$G$95)</f>
        <v>0</v>
      </c>
      <c r="AV122" s="523">
        <f>IF(YEAR('Assumptions &amp; Inputs'!$G$31)&gt;AV110, 0, IF(AV110=YEAR('Assumptions &amp; Inputs'!$G$31),'Assumptions &amp; Inputs'!$G$80*'Assumptions &amp; Inputs'!$G$77/$E$3*(1+'Assumptions &amp; Inputs'!$G$20)^(AV108-'Assumptions &amp; Inputs'!$G$28/12)*YEARFRAC('Assumptions &amp; Inputs'!$G$31,'Assumptions &amp; Inputs'!$G$32), IF(YEAR('Assumptions &amp; Inputs'!$G$36)&gt;=AV110, 'Assumptions &amp; Inputs'!$G$80*'Assumptions &amp; Inputs'!$G$77/$E$3*(1+'Assumptions &amp; Inputs'!$G$20)^(AV108-'Assumptions &amp; Inputs'!$G$28/12), 0)))*(1-'Assumptions &amp; Inputs'!$G$95)</f>
        <v>0</v>
      </c>
      <c r="AW122" s="523">
        <f>IF(YEAR('Assumptions &amp; Inputs'!$G$31)&gt;AW110, 0, IF(AW110=YEAR('Assumptions &amp; Inputs'!$G$31),'Assumptions &amp; Inputs'!$G$80*'Assumptions &amp; Inputs'!$G$77/$E$3*(1+'Assumptions &amp; Inputs'!$G$20)^(AW108-'Assumptions &amp; Inputs'!$G$28/12)*YEARFRAC('Assumptions &amp; Inputs'!$G$31,'Assumptions &amp; Inputs'!$G$32), IF(YEAR('Assumptions &amp; Inputs'!$G$36)&gt;=AW110, 'Assumptions &amp; Inputs'!$G$80*'Assumptions &amp; Inputs'!$G$77/$E$3*(1+'Assumptions &amp; Inputs'!$G$20)^(AW108-'Assumptions &amp; Inputs'!$G$28/12), 0)))*(1-'Assumptions &amp; Inputs'!$G$95)</f>
        <v>0</v>
      </c>
    </row>
    <row r="123" spans="3:49" ht="14.25" customHeight="1">
      <c r="C123" s="44" t="s">
        <v>239</v>
      </c>
      <c r="D123" s="47">
        <f>_xlfn.XLOOKUP(D110, 'Real Estate'!$D$103:$BA$103, 'Real Estate'!$D$106:$BA$106)</f>
        <v>0</v>
      </c>
      <c r="E123" s="47">
        <f>_xlfn.XLOOKUP(E110, 'Real Estate'!$D$103:$BA$103, 'Real Estate'!$D$106:$BA$106)</f>
        <v>0</v>
      </c>
      <c r="F123" s="47">
        <f>_xlfn.XLOOKUP(F110, 'Real Estate'!$D$103:$BA$103, 'Real Estate'!$D$106:$BA$106)</f>
        <v>0</v>
      </c>
      <c r="G123" s="47">
        <f>_xlfn.XLOOKUP(G110, 'Real Estate'!$D$103:$BA$103, 'Real Estate'!$D$106:$BA$106)</f>
        <v>0</v>
      </c>
      <c r="H123" s="47">
        <f>_xlfn.XLOOKUP(H110, 'Real Estate'!$D$103:$BA$103, 'Real Estate'!$D$106:$BA$106)</f>
        <v>0</v>
      </c>
      <c r="I123" s="47">
        <f>_xlfn.XLOOKUP(I110, 'Real Estate'!$D$103:$BA$103, 'Real Estate'!$D$106:$BA$106)</f>
        <v>0</v>
      </c>
      <c r="J123" s="47">
        <f>_xlfn.XLOOKUP(J110, 'Real Estate'!$D$103:$BA$103, 'Real Estate'!$D$106:$BA$106)</f>
        <v>0</v>
      </c>
      <c r="K123" s="47">
        <f>_xlfn.XLOOKUP(K110, 'Real Estate'!$D$103:$BA$103, 'Real Estate'!$D$106:$BA$106)</f>
        <v>0</v>
      </c>
      <c r="L123" s="47">
        <f>_xlfn.XLOOKUP(L110, 'Real Estate'!$D$103:$BA$103, 'Real Estate'!$D$106:$BA$106)</f>
        <v>0</v>
      </c>
      <c r="M123" s="47">
        <f>_xlfn.XLOOKUP(M110, 'Real Estate'!$D$103:$BA$103, 'Real Estate'!$D$106:$BA$106)</f>
        <v>0</v>
      </c>
      <c r="N123" s="47">
        <f>_xlfn.XLOOKUP(N110, 'Real Estate'!$D$103:$BA$103, 'Real Estate'!$D$106:$BA$106)</f>
        <v>0</v>
      </c>
      <c r="O123" s="47">
        <f>_xlfn.XLOOKUP(O110, 'Real Estate'!$D$103:$BA$103, 'Real Estate'!$D$106:$BA$106)</f>
        <v>0</v>
      </c>
      <c r="P123" s="47">
        <f>_xlfn.XLOOKUP(P110, 'Real Estate'!$D$103:$BA$103, 'Real Estate'!$D$106:$BA$106)</f>
        <v>0</v>
      </c>
      <c r="Q123" s="47">
        <f>_xlfn.XLOOKUP(Q110, 'Real Estate'!$D$103:$BA$103, 'Real Estate'!$D$106:$BA$106)</f>
        <v>0</v>
      </c>
      <c r="R123" s="47">
        <f>_xlfn.XLOOKUP(R110, 'Real Estate'!$D$103:$BA$103, 'Real Estate'!$D$106:$BA$106)</f>
        <v>0</v>
      </c>
      <c r="S123" s="47">
        <f>_xlfn.XLOOKUP(S110, 'Real Estate'!$D$103:$BA$103, 'Real Estate'!$D$106:$BA$106)</f>
        <v>0</v>
      </c>
      <c r="T123" s="47">
        <f>_xlfn.XLOOKUP(T110, 'Real Estate'!$D$103:$BA$103, 'Real Estate'!$D$106:$BA$106)</f>
        <v>0</v>
      </c>
      <c r="U123" s="47">
        <f>_xlfn.XLOOKUP(U110, 'Real Estate'!$D$103:$BA$103, 'Real Estate'!$D$106:$BA$106)</f>
        <v>0</v>
      </c>
      <c r="V123" s="47">
        <f>_xlfn.XLOOKUP(V110, 'Real Estate'!$D$103:$BA$103, 'Real Estate'!$D$106:$BA$106)</f>
        <v>0</v>
      </c>
      <c r="W123" s="47">
        <f>_xlfn.XLOOKUP(W110, 'Real Estate'!$D$103:$BA$103, 'Real Estate'!$D$106:$BA$106)</f>
        <v>0</v>
      </c>
      <c r="X123" s="47">
        <f>_xlfn.XLOOKUP(X110, 'Real Estate'!$D$103:$BA$103, 'Real Estate'!$D$106:$BA$106)</f>
        <v>0</v>
      </c>
      <c r="Y123" s="47">
        <f>_xlfn.XLOOKUP(Y110, 'Real Estate'!$D$103:$BA$103, 'Real Estate'!$D$106:$BA$106)</f>
        <v>0</v>
      </c>
      <c r="Z123" s="47">
        <f>_xlfn.XLOOKUP(Z110, 'Real Estate'!$D$103:$BA$103, 'Real Estate'!$D$106:$BA$106)</f>
        <v>0</v>
      </c>
      <c r="AA123" s="47">
        <f>_xlfn.XLOOKUP(AA110, 'Real Estate'!$D$103:$BA$103, 'Real Estate'!$D$106:$BA$106)</f>
        <v>0</v>
      </c>
      <c r="AB123" s="47">
        <f>_xlfn.XLOOKUP(AB110, 'Real Estate'!$D$103:$BA$103, 'Real Estate'!$D$106:$BA$106)</f>
        <v>0</v>
      </c>
      <c r="AC123" s="47">
        <f>_xlfn.XLOOKUP(AC110, 'Real Estate'!$D$103:$BA$103, 'Real Estate'!$D$106:$BA$106)</f>
        <v>0</v>
      </c>
      <c r="AD123" s="47">
        <f>_xlfn.XLOOKUP(AD110, 'Real Estate'!$D$103:$BA$103, 'Real Estate'!$D$106:$BA$106)</f>
        <v>0</v>
      </c>
      <c r="AE123" s="47">
        <f>_xlfn.XLOOKUP(AE110, 'Real Estate'!$D$103:$BA$103, 'Real Estate'!$D$106:$BA$106)</f>
        <v>0</v>
      </c>
      <c r="AF123" s="47">
        <f>_xlfn.XLOOKUP(AF110, 'Real Estate'!$D$103:$BA$103, 'Real Estate'!$D$106:$BA$106)</f>
        <v>0</v>
      </c>
      <c r="AG123" s="47">
        <f>_xlfn.XLOOKUP(AG110, 'Real Estate'!$D$103:$BA$103, 'Real Estate'!$D$106:$BA$106)</f>
        <v>0</v>
      </c>
      <c r="AH123" s="47">
        <f>_xlfn.XLOOKUP(AH110, 'Real Estate'!$D$103:$BA$103, 'Real Estate'!$D$106:$BA$106)</f>
        <v>0</v>
      </c>
      <c r="AI123" s="47">
        <f>_xlfn.XLOOKUP(AI110, 'Real Estate'!$D$103:$BA$103, 'Real Estate'!$D$106:$BA$106)</f>
        <v>0</v>
      </c>
      <c r="AJ123" s="47">
        <f>_xlfn.XLOOKUP(AJ110, 'Real Estate'!$D$103:$BA$103, 'Real Estate'!$D$106:$BA$106)</f>
        <v>0</v>
      </c>
      <c r="AK123" s="47">
        <f>_xlfn.XLOOKUP(AK110, 'Real Estate'!$D$103:$BA$103, 'Real Estate'!$D$106:$BA$106)</f>
        <v>0</v>
      </c>
      <c r="AL123" s="47">
        <f>_xlfn.XLOOKUP(AL110, 'Real Estate'!$D$103:$BA$103, 'Real Estate'!$D$106:$BA$106)</f>
        <v>0</v>
      </c>
      <c r="AM123" s="47">
        <f>_xlfn.XLOOKUP(AM110, 'Real Estate'!$D$103:$BA$103, 'Real Estate'!$D$106:$BA$106)</f>
        <v>0</v>
      </c>
      <c r="AN123" s="47">
        <f>_xlfn.XLOOKUP(AN110, 'Real Estate'!$D$103:$BA$103, 'Real Estate'!$D$106:$BA$106)</f>
        <v>0</v>
      </c>
      <c r="AO123" s="47">
        <f>_xlfn.XLOOKUP(AO110, 'Real Estate'!$D$103:$BA$103, 'Real Estate'!$D$106:$BA$106)</f>
        <v>0</v>
      </c>
      <c r="AP123" s="47">
        <f>_xlfn.XLOOKUP(AP110, 'Real Estate'!$D$103:$BA$103, 'Real Estate'!$D$106:$BA$106)</f>
        <v>0</v>
      </c>
      <c r="AQ123" s="47">
        <f>_xlfn.XLOOKUP(AQ110, 'Real Estate'!$D$103:$BA$103, 'Real Estate'!$D$106:$BA$106)</f>
        <v>0</v>
      </c>
      <c r="AR123" s="47">
        <f>_xlfn.XLOOKUP(AR110, 'Real Estate'!$D$103:$BA$103, 'Real Estate'!$D$106:$BA$106)</f>
        <v>0</v>
      </c>
      <c r="AS123" s="47">
        <f>_xlfn.XLOOKUP(AS110, 'Real Estate'!$D$103:$BA$103, 'Real Estate'!$D$106:$BA$106)</f>
        <v>0</v>
      </c>
      <c r="AT123" s="47">
        <f>_xlfn.XLOOKUP(AT110, 'Real Estate'!$D$103:$BA$103, 'Real Estate'!$D$106:$BA$106)</f>
        <v>0</v>
      </c>
      <c r="AU123" s="47">
        <f>_xlfn.XLOOKUP(AU110, 'Real Estate'!$D$103:$BA$103, 'Real Estate'!$D$106:$BA$106)</f>
        <v>0</v>
      </c>
      <c r="AV123" s="47">
        <f>_xlfn.XLOOKUP(AV110, 'Real Estate'!$D$103:$BA$103, 'Real Estate'!$D$106:$BA$106)</f>
        <v>0</v>
      </c>
      <c r="AW123" s="47">
        <f>_xlfn.XLOOKUP(AW110, 'Real Estate'!$D$103:$BA$103, 'Real Estate'!$D$106:$BA$106)</f>
        <v>0</v>
      </c>
    </row>
    <row r="124" spans="3:49" s="76" customFormat="1" ht="14.25" customHeight="1">
      <c r="C124" s="48" t="s">
        <v>526</v>
      </c>
      <c r="D124" s="71">
        <f>SUM(D120:D123)</f>
        <v>0</v>
      </c>
      <c r="E124" s="71">
        <f t="shared" ref="E124:AW124" si="133">SUM(E120:E123)</f>
        <v>0</v>
      </c>
      <c r="F124" s="71">
        <f t="shared" si="133"/>
        <v>0</v>
      </c>
      <c r="G124" s="71">
        <f t="shared" si="133"/>
        <v>14.7909816</v>
      </c>
      <c r="H124" s="71">
        <f t="shared" si="133"/>
        <v>22.237659899999997</v>
      </c>
      <c r="I124" s="71">
        <f t="shared" si="133"/>
        <v>22.239182468999996</v>
      </c>
      <c r="J124" s="71">
        <f t="shared" si="133"/>
        <v>22.242414733140002</v>
      </c>
      <c r="K124" s="71">
        <f t="shared" si="133"/>
        <v>22.247403823229028</v>
      </c>
      <c r="L124" s="71">
        <f t="shared" si="133"/>
        <v>22.254198294400492</v>
      </c>
      <c r="M124" s="71">
        <f t="shared" si="133"/>
        <v>22.262848168815907</v>
      </c>
      <c r="N124" s="71">
        <f t="shared" si="133"/>
        <v>22.273404979649822</v>
      </c>
      <c r="O124" s="71">
        <f t="shared" si="133"/>
        <v>22.285921816394342</v>
      </c>
      <c r="P124" s="71">
        <f t="shared" si="133"/>
        <v>22.300453371522799</v>
      </c>
      <c r="Q124" s="71">
        <f t="shared" si="133"/>
        <v>22.317055988553527</v>
      </c>
      <c r="R124" s="71">
        <f t="shared" si="133"/>
        <v>22.335787711555461</v>
      </c>
      <c r="S124" s="71">
        <f t="shared" si="133"/>
        <v>22.356708336139093</v>
      </c>
      <c r="T124" s="71">
        <f t="shared" si="133"/>
        <v>22.379879461977133</v>
      </c>
      <c r="U124" s="71">
        <f t="shared" si="133"/>
        <v>22.405364546900934</v>
      </c>
      <c r="V124" s="71">
        <f t="shared" si="133"/>
        <v>22.43322896261979</v>
      </c>
      <c r="W124" s="71">
        <f t="shared" si="133"/>
        <v>22.463540052111934</v>
      </c>
      <c r="X124" s="71">
        <f t="shared" si="133"/>
        <v>22.496367188737302</v>
      </c>
      <c r="Y124" s="71">
        <f t="shared" si="133"/>
        <v>22.531781837123777</v>
      </c>
      <c r="Z124" s="71">
        <f t="shared" si="133"/>
        <v>22.569857615880039</v>
      </c>
      <c r="AA124" s="71">
        <f t="shared" si="133"/>
        <v>22.610670362189882</v>
      </c>
      <c r="AB124" s="71">
        <f t="shared" si="133"/>
        <v>22.654298198344435</v>
      </c>
      <c r="AC124" s="71">
        <f t="shared" si="133"/>
        <v>22.700821600270405</v>
      </c>
      <c r="AD124" s="71">
        <f t="shared" si="133"/>
        <v>22.750323468114214</v>
      </c>
      <c r="AE124" s="71">
        <f t="shared" si="133"/>
        <v>22.802889198943749</v>
      </c>
      <c r="AF124" s="71">
        <f t="shared" si="133"/>
        <v>22.858606761631197</v>
      </c>
      <c r="AG124" s="71">
        <f t="shared" si="133"/>
        <v>0</v>
      </c>
      <c r="AH124" s="71">
        <f t="shared" si="133"/>
        <v>0</v>
      </c>
      <c r="AI124" s="71">
        <f t="shared" si="133"/>
        <v>0</v>
      </c>
      <c r="AJ124" s="71">
        <f t="shared" si="133"/>
        <v>0</v>
      </c>
      <c r="AK124" s="71">
        <f t="shared" si="133"/>
        <v>0</v>
      </c>
      <c r="AL124" s="71">
        <f t="shared" si="133"/>
        <v>0</v>
      </c>
      <c r="AM124" s="71">
        <f t="shared" si="133"/>
        <v>0</v>
      </c>
      <c r="AN124" s="71">
        <f t="shared" si="133"/>
        <v>0</v>
      </c>
      <c r="AO124" s="71">
        <f t="shared" si="133"/>
        <v>0</v>
      </c>
      <c r="AP124" s="71">
        <f t="shared" si="133"/>
        <v>0</v>
      </c>
      <c r="AQ124" s="71">
        <f t="shared" si="133"/>
        <v>0</v>
      </c>
      <c r="AR124" s="71">
        <f t="shared" si="133"/>
        <v>0</v>
      </c>
      <c r="AS124" s="71">
        <f t="shared" si="133"/>
        <v>0</v>
      </c>
      <c r="AT124" s="71">
        <f t="shared" si="133"/>
        <v>0</v>
      </c>
      <c r="AU124" s="71">
        <f t="shared" si="133"/>
        <v>0</v>
      </c>
      <c r="AV124" s="71">
        <f t="shared" si="133"/>
        <v>0</v>
      </c>
      <c r="AW124" s="71">
        <f t="shared" si="133"/>
        <v>0</v>
      </c>
    </row>
    <row r="125" spans="3:49" ht="14.25" customHeight="1">
      <c r="C125" s="44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</row>
    <row r="126" spans="3:49" ht="14.25" customHeight="1">
      <c r="C126" s="109" t="s">
        <v>481</v>
      </c>
      <c r="D126" s="108">
        <f>SUM(D118,-D124)</f>
        <v>0</v>
      </c>
      <c r="E126" s="108">
        <f t="shared" ref="E126:AW126" si="134">SUM(E118,-E124)</f>
        <v>0</v>
      </c>
      <c r="F126" s="108">
        <f t="shared" si="134"/>
        <v>0</v>
      </c>
      <c r="G126" s="108">
        <f t="shared" si="134"/>
        <v>16.851286556927995</v>
      </c>
      <c r="H126" s="108">
        <f t="shared" si="134"/>
        <v>26.175010380099842</v>
      </c>
      <c r="I126" s="108">
        <f t="shared" si="134"/>
        <v>27.018288907487598</v>
      </c>
      <c r="J126" s="108">
        <f t="shared" si="134"/>
        <v>27.874599518867306</v>
      </c>
      <c r="K126" s="108">
        <f t="shared" si="134"/>
        <v>28.744152327475788</v>
      </c>
      <c r="L126" s="108">
        <f t="shared" si="134"/>
        <v>29.627160511134132</v>
      </c>
      <c r="M126" s="108">
        <f t="shared" si="134"/>
        <v>30.5238403478753</v>
      </c>
      <c r="N126" s="108">
        <f t="shared" si="134"/>
        <v>31.434411251657647</v>
      </c>
      <c r="O126" s="108">
        <f t="shared" si="134"/>
        <v>32.359095808149434</v>
      </c>
      <c r="P126" s="108">
        <f t="shared" si="134"/>
        <v>33.298119810569276</v>
      </c>
      <c r="Q126" s="108">
        <f t="shared" si="134"/>
        <v>34.251712295566065</v>
      </c>
      <c r="R126" s="108">
        <f t="shared" si="134"/>
        <v>35.22010557912202</v>
      </c>
      <c r="S126" s="108">
        <f t="shared" si="134"/>
        <v>36.203535292460693</v>
      </c>
      <c r="T126" s="108">
        <f t="shared" si="134"/>
        <v>37.202240417941731</v>
      </c>
      <c r="U126" s="108">
        <f t="shared" si="134"/>
        <v>38.216463324922522</v>
      </c>
      <c r="V126" s="108">
        <f t="shared" si="134"/>
        <v>39.246449805566982</v>
      </c>
      <c r="W126" s="108">
        <f t="shared" si="134"/>
        <v>40.29244911057971</v>
      </c>
      <c r="X126" s="108">
        <f t="shared" si="134"/>
        <v>41.354713984843315</v>
      </c>
      <c r="Y126" s="108">
        <f t="shared" si="134"/>
        <v>42.433500702935817</v>
      </c>
      <c r="Z126" s="108">
        <f t="shared" si="134"/>
        <v>43.529069104503606</v>
      </c>
      <c r="AA126" s="108">
        <f t="shared" si="134"/>
        <v>44.641682629464441</v>
      </c>
      <c r="AB126" s="108">
        <f t="shared" si="134"/>
        <v>45.771608353014258</v>
      </c>
      <c r="AC126" s="108">
        <f t="shared" si="134"/>
        <v>46.91911702040953</v>
      </c>
      <c r="AD126" s="108">
        <f t="shared" si="134"/>
        <v>48.084483081496572</v>
      </c>
      <c r="AE126" s="108">
        <f t="shared" si="134"/>
        <v>49.267984724957742</v>
      </c>
      <c r="AF126" s="108">
        <f t="shared" si="134"/>
        <v>50.469903912242401</v>
      </c>
      <c r="AG126" s="108">
        <f t="shared" si="134"/>
        <v>0</v>
      </c>
      <c r="AH126" s="108">
        <f t="shared" si="134"/>
        <v>0</v>
      </c>
      <c r="AI126" s="108">
        <f t="shared" si="134"/>
        <v>0</v>
      </c>
      <c r="AJ126" s="108">
        <f t="shared" si="134"/>
        <v>0</v>
      </c>
      <c r="AK126" s="108">
        <f t="shared" si="134"/>
        <v>0</v>
      </c>
      <c r="AL126" s="108">
        <f t="shared" si="134"/>
        <v>0</v>
      </c>
      <c r="AM126" s="108">
        <f t="shared" si="134"/>
        <v>0</v>
      </c>
      <c r="AN126" s="108">
        <f t="shared" si="134"/>
        <v>0</v>
      </c>
      <c r="AO126" s="108">
        <f t="shared" si="134"/>
        <v>0</v>
      </c>
      <c r="AP126" s="108">
        <f t="shared" si="134"/>
        <v>0</v>
      </c>
      <c r="AQ126" s="108">
        <f t="shared" si="134"/>
        <v>0</v>
      </c>
      <c r="AR126" s="108">
        <f t="shared" si="134"/>
        <v>0</v>
      </c>
      <c r="AS126" s="108">
        <f t="shared" si="134"/>
        <v>0</v>
      </c>
      <c r="AT126" s="108">
        <f t="shared" si="134"/>
        <v>0</v>
      </c>
      <c r="AU126" s="108">
        <f t="shared" si="134"/>
        <v>0</v>
      </c>
      <c r="AV126" s="108">
        <f t="shared" si="134"/>
        <v>0</v>
      </c>
      <c r="AW126" s="108">
        <f t="shared" si="134"/>
        <v>0</v>
      </c>
    </row>
    <row r="127" spans="3:49" ht="14.25" customHeight="1">
      <c r="C127" s="44"/>
      <c r="D127" s="44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</row>
    <row r="128" spans="3:49" ht="14.25" customHeight="1">
      <c r="C128" s="46" t="s">
        <v>482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</row>
    <row r="129" spans="3:49" ht="14.25" customHeight="1">
      <c r="C129" s="54" t="s">
        <v>483</v>
      </c>
      <c r="D129" s="170"/>
      <c r="E129" s="171">
        <f t="shared" ref="E129:AW129" si="135">-E101</f>
        <v>0</v>
      </c>
      <c r="F129" s="171">
        <f t="shared" si="135"/>
        <v>0</v>
      </c>
      <c r="G129" s="171">
        <f t="shared" si="135"/>
        <v>0</v>
      </c>
      <c r="H129" s="171">
        <f t="shared" si="135"/>
        <v>0</v>
      </c>
      <c r="I129" s="171">
        <f t="shared" si="135"/>
        <v>0</v>
      </c>
      <c r="J129" s="171">
        <f t="shared" si="135"/>
        <v>0</v>
      </c>
      <c r="K129" s="171">
        <f t="shared" si="135"/>
        <v>0</v>
      </c>
      <c r="L129" s="171">
        <f t="shared" si="135"/>
        <v>0</v>
      </c>
      <c r="M129" s="171">
        <f t="shared" si="135"/>
        <v>0</v>
      </c>
      <c r="N129" s="171">
        <f t="shared" si="135"/>
        <v>0</v>
      </c>
      <c r="O129" s="171">
        <f t="shared" si="135"/>
        <v>0</v>
      </c>
      <c r="P129" s="171">
        <f t="shared" si="135"/>
        <v>0</v>
      </c>
      <c r="Q129" s="171">
        <f t="shared" si="135"/>
        <v>0</v>
      </c>
      <c r="R129" s="171">
        <f t="shared" si="135"/>
        <v>0</v>
      </c>
      <c r="S129" s="171">
        <f t="shared" si="135"/>
        <v>0</v>
      </c>
      <c r="T129" s="171">
        <f t="shared" si="135"/>
        <v>0</v>
      </c>
      <c r="U129" s="171">
        <f t="shared" si="135"/>
        <v>0</v>
      </c>
      <c r="V129" s="171">
        <f t="shared" si="135"/>
        <v>0</v>
      </c>
      <c r="W129" s="171">
        <f t="shared" si="135"/>
        <v>0</v>
      </c>
      <c r="X129" s="171">
        <f t="shared" si="135"/>
        <v>0</v>
      </c>
      <c r="Y129" s="171">
        <f t="shared" si="135"/>
        <v>0</v>
      </c>
      <c r="Z129" s="171">
        <f t="shared" si="135"/>
        <v>0</v>
      </c>
      <c r="AA129" s="171">
        <f t="shared" si="135"/>
        <v>0</v>
      </c>
      <c r="AB129" s="171">
        <f t="shared" si="135"/>
        <v>0</v>
      </c>
      <c r="AC129" s="171">
        <f t="shared" si="135"/>
        <v>0</v>
      </c>
      <c r="AD129" s="171">
        <f t="shared" si="135"/>
        <v>0</v>
      </c>
      <c r="AE129" s="171">
        <f t="shared" si="135"/>
        <v>0</v>
      </c>
      <c r="AF129" s="171">
        <f t="shared" si="135"/>
        <v>0</v>
      </c>
      <c r="AG129" s="171">
        <f t="shared" si="135"/>
        <v>0</v>
      </c>
      <c r="AH129" s="171">
        <f t="shared" si="135"/>
        <v>0</v>
      </c>
      <c r="AI129" s="171">
        <f t="shared" si="135"/>
        <v>0</v>
      </c>
      <c r="AJ129" s="171">
        <f t="shared" si="135"/>
        <v>0</v>
      </c>
      <c r="AK129" s="171">
        <f t="shared" si="135"/>
        <v>0</v>
      </c>
      <c r="AL129" s="171">
        <f t="shared" si="135"/>
        <v>0</v>
      </c>
      <c r="AM129" s="171">
        <f t="shared" si="135"/>
        <v>0</v>
      </c>
      <c r="AN129" s="171">
        <f t="shared" si="135"/>
        <v>0</v>
      </c>
      <c r="AO129" s="171">
        <f t="shared" si="135"/>
        <v>0</v>
      </c>
      <c r="AP129" s="171">
        <f t="shared" si="135"/>
        <v>0</v>
      </c>
      <c r="AQ129" s="171">
        <f t="shared" si="135"/>
        <v>0</v>
      </c>
      <c r="AR129" s="171">
        <f t="shared" si="135"/>
        <v>0</v>
      </c>
      <c r="AS129" s="171">
        <f t="shared" si="135"/>
        <v>0</v>
      </c>
      <c r="AT129" s="171">
        <f t="shared" si="135"/>
        <v>0</v>
      </c>
      <c r="AU129" s="171">
        <f t="shared" si="135"/>
        <v>0</v>
      </c>
      <c r="AV129" s="171">
        <f t="shared" si="135"/>
        <v>0</v>
      </c>
      <c r="AW129" s="171">
        <f t="shared" si="135"/>
        <v>0</v>
      </c>
    </row>
    <row r="130" spans="3:49" ht="14.25" customHeight="1">
      <c r="C130" s="54" t="s">
        <v>485</v>
      </c>
      <c r="D130" s="44"/>
      <c r="E130" s="55"/>
      <c r="F130" s="55"/>
      <c r="G130" s="55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</row>
    <row r="131" spans="3:49" ht="14.25" customHeight="1">
      <c r="C131" s="59" t="s">
        <v>486</v>
      </c>
      <c r="D131" s="60">
        <f t="shared" ref="D131:X131" si="136">SUM(D129:D130)</f>
        <v>0</v>
      </c>
      <c r="E131" s="60">
        <f t="shared" si="136"/>
        <v>0</v>
      </c>
      <c r="F131" s="60">
        <f t="shared" si="136"/>
        <v>0</v>
      </c>
      <c r="G131" s="60">
        <f t="shared" si="136"/>
        <v>0</v>
      </c>
      <c r="H131" s="60">
        <f t="shared" si="136"/>
        <v>0</v>
      </c>
      <c r="I131" s="60">
        <f t="shared" si="136"/>
        <v>0</v>
      </c>
      <c r="J131" s="60">
        <f t="shared" si="136"/>
        <v>0</v>
      </c>
      <c r="K131" s="60">
        <f t="shared" si="136"/>
        <v>0</v>
      </c>
      <c r="L131" s="60">
        <f t="shared" si="136"/>
        <v>0</v>
      </c>
      <c r="M131" s="60">
        <f t="shared" si="136"/>
        <v>0</v>
      </c>
      <c r="N131" s="60">
        <f t="shared" si="136"/>
        <v>0</v>
      </c>
      <c r="O131" s="60">
        <f t="shared" si="136"/>
        <v>0</v>
      </c>
      <c r="P131" s="60">
        <f t="shared" si="136"/>
        <v>0</v>
      </c>
      <c r="Q131" s="60">
        <f t="shared" si="136"/>
        <v>0</v>
      </c>
      <c r="R131" s="60">
        <f t="shared" si="136"/>
        <v>0</v>
      </c>
      <c r="S131" s="60">
        <f t="shared" si="136"/>
        <v>0</v>
      </c>
      <c r="T131" s="60">
        <f t="shared" si="136"/>
        <v>0</v>
      </c>
      <c r="U131" s="60">
        <f t="shared" si="136"/>
        <v>0</v>
      </c>
      <c r="V131" s="60">
        <f t="shared" si="136"/>
        <v>0</v>
      </c>
      <c r="W131" s="60">
        <f t="shared" si="136"/>
        <v>0</v>
      </c>
      <c r="X131" s="60">
        <f t="shared" si="136"/>
        <v>0</v>
      </c>
      <c r="Y131" s="60">
        <f t="shared" ref="Y131" si="137">SUM(Y129:Y130)</f>
        <v>0</v>
      </c>
      <c r="Z131" s="60">
        <f t="shared" ref="Z131" si="138">SUM(Z129:Z130)</f>
        <v>0</v>
      </c>
      <c r="AA131" s="60">
        <f t="shared" ref="AA131" si="139">SUM(AA129:AA130)</f>
        <v>0</v>
      </c>
      <c r="AB131" s="60">
        <f t="shared" ref="AB131" si="140">SUM(AB129:AB130)</f>
        <v>0</v>
      </c>
      <c r="AC131" s="60">
        <f t="shared" ref="AC131" si="141">SUM(AC129:AC130)</f>
        <v>0</v>
      </c>
      <c r="AD131" s="60">
        <f t="shared" ref="AD131" si="142">SUM(AD129:AD130)</f>
        <v>0</v>
      </c>
      <c r="AE131" s="60">
        <f t="shared" ref="AE131" si="143">SUM(AE129:AE130)</f>
        <v>0</v>
      </c>
      <c r="AF131" s="60">
        <f t="shared" ref="AF131" si="144">SUM(AF129:AF130)</f>
        <v>0</v>
      </c>
      <c r="AG131" s="60">
        <f t="shared" ref="AG131" si="145">SUM(AG129:AG130)</f>
        <v>0</v>
      </c>
      <c r="AH131" s="60">
        <f t="shared" ref="AH131" si="146">SUM(AH129:AH130)</f>
        <v>0</v>
      </c>
      <c r="AI131" s="60">
        <f t="shared" ref="AI131" si="147">SUM(AI129:AI130)</f>
        <v>0</v>
      </c>
      <c r="AJ131" s="60">
        <f t="shared" ref="AJ131" si="148">SUM(AJ129:AJ130)</f>
        <v>0</v>
      </c>
      <c r="AK131" s="60">
        <f t="shared" ref="AK131" si="149">SUM(AK129:AK130)</f>
        <v>0</v>
      </c>
      <c r="AL131" s="60">
        <f t="shared" ref="AL131" si="150">SUM(AL129:AL130)</f>
        <v>0</v>
      </c>
      <c r="AM131" s="60">
        <f t="shared" ref="AM131" si="151">SUM(AM129:AM130)</f>
        <v>0</v>
      </c>
      <c r="AN131" s="60">
        <f t="shared" ref="AN131" si="152">SUM(AN129:AN130)</f>
        <v>0</v>
      </c>
      <c r="AO131" s="60">
        <f t="shared" ref="AO131" si="153">SUM(AO129:AO130)</f>
        <v>0</v>
      </c>
      <c r="AP131" s="60">
        <f t="shared" ref="AP131" si="154">SUM(AP129:AP130)</f>
        <v>0</v>
      </c>
      <c r="AQ131" s="60">
        <f t="shared" ref="AQ131" si="155">SUM(AQ129:AQ130)</f>
        <v>0</v>
      </c>
      <c r="AR131" s="60">
        <f t="shared" ref="AR131" si="156">SUM(AR129:AR130)</f>
        <v>0</v>
      </c>
      <c r="AS131" s="60">
        <f t="shared" ref="AS131" si="157">SUM(AS129:AS130)</f>
        <v>0</v>
      </c>
      <c r="AT131" s="60">
        <f t="shared" ref="AT131" si="158">SUM(AT129:AT130)</f>
        <v>0</v>
      </c>
      <c r="AU131" s="60">
        <f t="shared" ref="AU131" si="159">SUM(AU129:AU130)</f>
        <v>0</v>
      </c>
      <c r="AV131" s="60">
        <f t="shared" ref="AV131" si="160">SUM(AV129:AV130)</f>
        <v>0</v>
      </c>
      <c r="AW131" s="60">
        <f t="shared" ref="AW131" si="161">SUM(AW129:AW130)</f>
        <v>0</v>
      </c>
    </row>
    <row r="132" spans="3:49" ht="14.25" customHeight="1">
      <c r="C132" s="44"/>
      <c r="D132" s="44"/>
      <c r="E132" s="52"/>
      <c r="F132" s="52"/>
      <c r="G132" s="52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</row>
    <row r="133" spans="3:49" ht="14.25" customHeight="1">
      <c r="C133" s="44"/>
      <c r="D133" s="44"/>
      <c r="E133" s="52"/>
      <c r="F133" s="52"/>
      <c r="G133" s="52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</row>
    <row r="134" spans="3:49" ht="14.25" customHeight="1">
      <c r="C134" s="109" t="s">
        <v>487</v>
      </c>
      <c r="D134" s="108">
        <f>+SUM(D126,D131)</f>
        <v>0</v>
      </c>
      <c r="E134" s="108">
        <f t="shared" ref="E134:X134" si="162">+SUM(E126,E131)</f>
        <v>0</v>
      </c>
      <c r="F134" s="108">
        <f t="shared" si="162"/>
        <v>0</v>
      </c>
      <c r="G134" s="108">
        <f t="shared" si="162"/>
        <v>16.851286556927995</v>
      </c>
      <c r="H134" s="108">
        <f t="shared" si="162"/>
        <v>26.175010380099842</v>
      </c>
      <c r="I134" s="108">
        <f t="shared" si="162"/>
        <v>27.018288907487598</v>
      </c>
      <c r="J134" s="108">
        <f t="shared" si="162"/>
        <v>27.874599518867306</v>
      </c>
      <c r="K134" s="108">
        <f t="shared" si="162"/>
        <v>28.744152327475788</v>
      </c>
      <c r="L134" s="108">
        <f t="shared" si="162"/>
        <v>29.627160511134132</v>
      </c>
      <c r="M134" s="108">
        <f t="shared" si="162"/>
        <v>30.5238403478753</v>
      </c>
      <c r="N134" s="108">
        <f t="shared" si="162"/>
        <v>31.434411251657647</v>
      </c>
      <c r="O134" s="108">
        <f t="shared" si="162"/>
        <v>32.359095808149434</v>
      </c>
      <c r="P134" s="108">
        <f t="shared" si="162"/>
        <v>33.298119810569276</v>
      </c>
      <c r="Q134" s="108">
        <f t="shared" si="162"/>
        <v>34.251712295566065</v>
      </c>
      <c r="R134" s="108">
        <f t="shared" si="162"/>
        <v>35.22010557912202</v>
      </c>
      <c r="S134" s="108">
        <f t="shared" si="162"/>
        <v>36.203535292460693</v>
      </c>
      <c r="T134" s="108">
        <f t="shared" si="162"/>
        <v>37.202240417941731</v>
      </c>
      <c r="U134" s="108">
        <f t="shared" si="162"/>
        <v>38.216463324922522</v>
      </c>
      <c r="V134" s="108">
        <f t="shared" si="162"/>
        <v>39.246449805566982</v>
      </c>
      <c r="W134" s="108">
        <f t="shared" si="162"/>
        <v>40.29244911057971</v>
      </c>
      <c r="X134" s="108">
        <f t="shared" si="162"/>
        <v>41.354713984843315</v>
      </c>
      <c r="Y134" s="108">
        <f t="shared" ref="Y134:AU134" si="163">+SUM(Y126,Y131)</f>
        <v>42.433500702935817</v>
      </c>
      <c r="Z134" s="108">
        <f t="shared" si="163"/>
        <v>43.529069104503606</v>
      </c>
      <c r="AA134" s="108">
        <f t="shared" si="163"/>
        <v>44.641682629464441</v>
      </c>
      <c r="AB134" s="108">
        <f t="shared" si="163"/>
        <v>45.771608353014258</v>
      </c>
      <c r="AC134" s="108">
        <f t="shared" si="163"/>
        <v>46.91911702040953</v>
      </c>
      <c r="AD134" s="108">
        <f t="shared" si="163"/>
        <v>48.084483081496572</v>
      </c>
      <c r="AE134" s="108">
        <f t="shared" si="163"/>
        <v>49.267984724957742</v>
      </c>
      <c r="AF134" s="108">
        <f t="shared" si="163"/>
        <v>50.469903912242401</v>
      </c>
      <c r="AG134" s="108">
        <f t="shared" si="163"/>
        <v>0</v>
      </c>
      <c r="AH134" s="108">
        <f t="shared" si="163"/>
        <v>0</v>
      </c>
      <c r="AI134" s="108">
        <f t="shared" si="163"/>
        <v>0</v>
      </c>
      <c r="AJ134" s="108">
        <f t="shared" si="163"/>
        <v>0</v>
      </c>
      <c r="AK134" s="108">
        <f t="shared" si="163"/>
        <v>0</v>
      </c>
      <c r="AL134" s="108">
        <f t="shared" si="163"/>
        <v>0</v>
      </c>
      <c r="AM134" s="108">
        <f t="shared" si="163"/>
        <v>0</v>
      </c>
      <c r="AN134" s="108">
        <f t="shared" si="163"/>
        <v>0</v>
      </c>
      <c r="AO134" s="108">
        <f t="shared" si="163"/>
        <v>0</v>
      </c>
      <c r="AP134" s="108">
        <f t="shared" si="163"/>
        <v>0</v>
      </c>
      <c r="AQ134" s="108">
        <f t="shared" si="163"/>
        <v>0</v>
      </c>
      <c r="AR134" s="108">
        <f t="shared" si="163"/>
        <v>0</v>
      </c>
      <c r="AS134" s="108">
        <f t="shared" si="163"/>
        <v>0</v>
      </c>
      <c r="AT134" s="108">
        <f t="shared" si="163"/>
        <v>0</v>
      </c>
      <c r="AU134" s="108">
        <f t="shared" si="163"/>
        <v>0</v>
      </c>
      <c r="AV134" s="108">
        <f t="shared" ref="AV134:AW134" si="164">+SUM(AV126,AV131)</f>
        <v>0</v>
      </c>
      <c r="AW134" s="108">
        <f t="shared" si="164"/>
        <v>0</v>
      </c>
    </row>
    <row r="135" spans="3:49" ht="14.25" customHeight="1">
      <c r="C135" s="102" t="s">
        <v>488</v>
      </c>
      <c r="D135" s="104">
        <f>IF(D134&gt;0,-D134*'Assumptions &amp; Inputs'!$G$12,0)</f>
        <v>0</v>
      </c>
      <c r="E135" s="104">
        <f>IF(E134&gt;0,-E134*'Assumptions &amp; Inputs'!$G$12,0)</f>
        <v>0</v>
      </c>
      <c r="F135" s="104">
        <f>IF(F134&gt;0,-F134*'Assumptions &amp; Inputs'!$G$12,0)</f>
        <v>0</v>
      </c>
      <c r="G135" s="104">
        <f>IF(G134&gt;0,-G134*'Assumptions &amp; Inputs'!$G$12,0)</f>
        <v>-4.3813345048012788</v>
      </c>
      <c r="H135" s="104">
        <f>IF(H134&gt;0,-H134*'Assumptions &amp; Inputs'!$G$12,0)</f>
        <v>-6.8055026988259595</v>
      </c>
      <c r="I135" s="104">
        <f>IF(I134&gt;0,-I134*'Assumptions &amp; Inputs'!$G$12,0)</f>
        <v>-7.0247551159467756</v>
      </c>
      <c r="J135" s="104">
        <f>IF(J134&gt;0,-J134*'Assumptions &amp; Inputs'!$G$12,0)</f>
        <v>-7.2473958749055001</v>
      </c>
      <c r="K135" s="104">
        <f>IF(K134&gt;0,-K134*'Assumptions &amp; Inputs'!$G$12,0)</f>
        <v>-7.4734796051437051</v>
      </c>
      <c r="L135" s="104">
        <f>IF(L134&gt;0,-L134*'Assumptions &amp; Inputs'!$G$12,0)</f>
        <v>-7.7030617328948745</v>
      </c>
      <c r="M135" s="104">
        <f>IF(M134&gt;0,-M134*'Assumptions &amp; Inputs'!$G$12,0)</f>
        <v>-7.9361984904475786</v>
      </c>
      <c r="N135" s="104">
        <f>IF(N134&gt;0,-N134*'Assumptions &amp; Inputs'!$G$12,0)</f>
        <v>-8.1729469254309883</v>
      </c>
      <c r="O135" s="104">
        <f>IF(O134&gt;0,-O134*'Assumptions &amp; Inputs'!$G$12,0)</f>
        <v>-8.4133649101188528</v>
      </c>
      <c r="P135" s="104">
        <f>IF(P134&gt;0,-P134*'Assumptions &amp; Inputs'!$G$12,0)</f>
        <v>-8.6575111507480127</v>
      </c>
      <c r="Q135" s="104">
        <f>IF(Q134&gt;0,-Q134*'Assumptions &amp; Inputs'!$G$12,0)</f>
        <v>-8.9054451968471771</v>
      </c>
      <c r="R135" s="104">
        <f>IF(R134&gt;0,-R134*'Assumptions &amp; Inputs'!$G$12,0)</f>
        <v>-9.1572274505717246</v>
      </c>
      <c r="S135" s="104">
        <f>IF(S134&gt;0,-S134*'Assumptions &amp; Inputs'!$G$12,0)</f>
        <v>-9.4129191760397806</v>
      </c>
      <c r="T135" s="104">
        <f>IF(T134&gt;0,-T134*'Assumptions &amp; Inputs'!$G$12,0)</f>
        <v>-9.6725825086648509</v>
      </c>
      <c r="U135" s="104">
        <f>IF(U134&gt;0,-U134*'Assumptions &amp; Inputs'!$G$12,0)</f>
        <v>-9.9362804644798555</v>
      </c>
      <c r="V135" s="104">
        <f>IF(V134&gt;0,-V134*'Assumptions &amp; Inputs'!$G$12,0)</f>
        <v>-10.204076949447416</v>
      </c>
      <c r="W135" s="104">
        <f>IF(W134&gt;0,-W134*'Assumptions &amp; Inputs'!$G$12,0)</f>
        <v>-10.476036768750726</v>
      </c>
      <c r="X135" s="104">
        <f>IF(X134&gt;0,-X134*'Assumptions &amp; Inputs'!$G$12,0)</f>
        <v>-10.752225636059261</v>
      </c>
      <c r="Y135" s="104">
        <f>IF(Y134&gt;0,-Y134*'Assumptions &amp; Inputs'!$G$12,0)</f>
        <v>-11.032710182763312</v>
      </c>
      <c r="Z135" s="104">
        <f>IF(Z134&gt;0,-Z134*'Assumptions &amp; Inputs'!$G$12,0)</f>
        <v>-11.317557967170938</v>
      </c>
      <c r="AA135" s="104">
        <f>IF(AA134&gt;0,-AA134*'Assumptions &amp; Inputs'!$G$12,0)</f>
        <v>-11.606837483660755</v>
      </c>
      <c r="AB135" s="104">
        <f>IF(AB134&gt;0,-AB134*'Assumptions &amp; Inputs'!$G$12,0)</f>
        <v>-11.900618171783707</v>
      </c>
      <c r="AC135" s="104">
        <f>IF(AC134&gt;0,-AC134*'Assumptions &amp; Inputs'!$G$12,0)</f>
        <v>-12.198970425306479</v>
      </c>
      <c r="AD135" s="104">
        <f>IF(AD134&gt;0,-AD134*'Assumptions &amp; Inputs'!$G$12,0)</f>
        <v>-12.501965601189109</v>
      </c>
      <c r="AE135" s="104">
        <f>IF(AE134&gt;0,-AE134*'Assumptions &amp; Inputs'!$G$12,0)</f>
        <v>-12.809676028489013</v>
      </c>
      <c r="AF135" s="104">
        <f>IF(AF134&gt;0,-AF134*'Assumptions &amp; Inputs'!$G$12,0)</f>
        <v>-13.122175017183025</v>
      </c>
      <c r="AG135" s="104">
        <f>IF(AG134&gt;0,-AG134*'Assumptions &amp; Inputs'!$G$12,0)</f>
        <v>0</v>
      </c>
      <c r="AH135" s="104">
        <f>IF(AH134&gt;0,-AH134*'Assumptions &amp; Inputs'!$G$12,0)</f>
        <v>0</v>
      </c>
      <c r="AI135" s="104">
        <f>IF(AI134&gt;0,-AI134*'Assumptions &amp; Inputs'!$G$12,0)</f>
        <v>0</v>
      </c>
      <c r="AJ135" s="104">
        <f>IF(AJ134&gt;0,-AJ134*'Assumptions &amp; Inputs'!$G$12,0)</f>
        <v>0</v>
      </c>
      <c r="AK135" s="104">
        <f>IF(AK134&gt;0,-AK134*'Assumptions &amp; Inputs'!$G$12,0)</f>
        <v>0</v>
      </c>
      <c r="AL135" s="104">
        <f>IF(AL134&gt;0,-AL134*'Assumptions &amp; Inputs'!$G$12,0)</f>
        <v>0</v>
      </c>
      <c r="AM135" s="104">
        <f>IF(AM134&gt;0,-AM134*'Assumptions &amp; Inputs'!$G$12,0)</f>
        <v>0</v>
      </c>
      <c r="AN135" s="104">
        <f>IF(AN134&gt;0,-AN134*'Assumptions &amp; Inputs'!$G$12,0)</f>
        <v>0</v>
      </c>
      <c r="AO135" s="104">
        <f>IF(AO134&gt;0,-AO134*'Assumptions &amp; Inputs'!$G$12,0)</f>
        <v>0</v>
      </c>
      <c r="AP135" s="104">
        <f>IF(AP134&gt;0,-AP134*'Assumptions &amp; Inputs'!$G$12,0)</f>
        <v>0</v>
      </c>
      <c r="AQ135" s="104">
        <f>IF(AQ134&gt;0,-AQ134*'Assumptions &amp; Inputs'!$G$12,0)</f>
        <v>0</v>
      </c>
      <c r="AR135" s="104">
        <f>IF(AR134&gt;0,-AR134*'Assumptions &amp; Inputs'!$G$12,0)</f>
        <v>0</v>
      </c>
      <c r="AS135" s="104">
        <f>IF(AS134&gt;0,-AS134*'Assumptions &amp; Inputs'!$G$12,0)</f>
        <v>0</v>
      </c>
      <c r="AT135" s="104">
        <f>IF(AT134&gt;0,-AT134*'Assumptions &amp; Inputs'!$G$12,0)</f>
        <v>0</v>
      </c>
      <c r="AU135" s="104">
        <f>IF(AU134&gt;0,-AU134*'Assumptions &amp; Inputs'!$G$12,0)</f>
        <v>0</v>
      </c>
      <c r="AV135" s="104">
        <f>IF(AV134&gt;0,-AV134*'Assumptions &amp; Inputs'!$G$12,0)</f>
        <v>0</v>
      </c>
      <c r="AW135" s="104">
        <f>IF(AW134&gt;0,-AW134*'Assumptions &amp; Inputs'!$G$12,0)</f>
        <v>0</v>
      </c>
    </row>
    <row r="136" spans="3:49" ht="14.25" customHeight="1">
      <c r="C136" s="44"/>
      <c r="D136" s="44"/>
      <c r="E136" s="55"/>
      <c r="F136" s="55"/>
      <c r="G136" s="55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</row>
    <row r="137" spans="3:49" ht="14.25" customHeight="1">
      <c r="C137" s="7" t="s">
        <v>489</v>
      </c>
      <c r="D137" s="72">
        <f>SUM(D134,D135)</f>
        <v>0</v>
      </c>
      <c r="E137" s="72">
        <f t="shared" ref="E137:X137" si="165">SUM(E134,E135)</f>
        <v>0</v>
      </c>
      <c r="F137" s="72">
        <f t="shared" si="165"/>
        <v>0</v>
      </c>
      <c r="G137" s="72">
        <f t="shared" si="165"/>
        <v>12.469952052126716</v>
      </c>
      <c r="H137" s="72">
        <f t="shared" si="165"/>
        <v>19.36950768127388</v>
      </c>
      <c r="I137" s="72">
        <f t="shared" si="165"/>
        <v>19.993533791540823</v>
      </c>
      <c r="J137" s="72">
        <f t="shared" si="165"/>
        <v>20.627203643961806</v>
      </c>
      <c r="K137" s="72">
        <f t="shared" si="165"/>
        <v>21.270672722332083</v>
      </c>
      <c r="L137" s="72">
        <f t="shared" si="165"/>
        <v>21.924098778239259</v>
      </c>
      <c r="M137" s="72">
        <f t="shared" si="165"/>
        <v>22.58764185742772</v>
      </c>
      <c r="N137" s="72">
        <f t="shared" si="165"/>
        <v>23.261464326226658</v>
      </c>
      <c r="O137" s="72">
        <f t="shared" si="165"/>
        <v>23.945730898030583</v>
      </c>
      <c r="P137" s="72">
        <f t="shared" si="165"/>
        <v>24.640608659821261</v>
      </c>
      <c r="Q137" s="72">
        <f t="shared" si="165"/>
        <v>25.34626709871889</v>
      </c>
      <c r="R137" s="72">
        <f t="shared" si="165"/>
        <v>26.062878128550295</v>
      </c>
      <c r="S137" s="72">
        <f t="shared" si="165"/>
        <v>26.790616116420914</v>
      </c>
      <c r="T137" s="72">
        <f t="shared" si="165"/>
        <v>27.529657909276878</v>
      </c>
      <c r="U137" s="72">
        <f t="shared" si="165"/>
        <v>28.280182860442665</v>
      </c>
      <c r="V137" s="72">
        <f t="shared" si="165"/>
        <v>29.042372856119567</v>
      </c>
      <c r="W137" s="72">
        <f t="shared" si="165"/>
        <v>29.816412341828986</v>
      </c>
      <c r="X137" s="72">
        <f t="shared" si="165"/>
        <v>30.602488348784053</v>
      </c>
      <c r="Y137" s="72">
        <f t="shared" ref="Y137:AU137" si="166">SUM(Y134,Y135)</f>
        <v>31.400790520172507</v>
      </c>
      <c r="Z137" s="72">
        <f t="shared" si="166"/>
        <v>32.211511137332664</v>
      </c>
      <c r="AA137" s="72">
        <f t="shared" si="166"/>
        <v>33.034845145803686</v>
      </c>
      <c r="AB137" s="72">
        <f t="shared" si="166"/>
        <v>33.870990181230553</v>
      </c>
      <c r="AC137" s="72">
        <f t="shared" si="166"/>
        <v>34.720146595103053</v>
      </c>
      <c r="AD137" s="72">
        <f t="shared" si="166"/>
        <v>35.582517480307459</v>
      </c>
      <c r="AE137" s="72">
        <f t="shared" si="166"/>
        <v>36.458308696468727</v>
      </c>
      <c r="AF137" s="72">
        <f t="shared" si="166"/>
        <v>37.347728895059376</v>
      </c>
      <c r="AG137" s="72">
        <f t="shared" si="166"/>
        <v>0</v>
      </c>
      <c r="AH137" s="72">
        <f t="shared" si="166"/>
        <v>0</v>
      </c>
      <c r="AI137" s="72">
        <f t="shared" si="166"/>
        <v>0</v>
      </c>
      <c r="AJ137" s="72">
        <f t="shared" si="166"/>
        <v>0</v>
      </c>
      <c r="AK137" s="72">
        <f t="shared" si="166"/>
        <v>0</v>
      </c>
      <c r="AL137" s="72">
        <f t="shared" si="166"/>
        <v>0</v>
      </c>
      <c r="AM137" s="72">
        <f t="shared" si="166"/>
        <v>0</v>
      </c>
      <c r="AN137" s="72">
        <f t="shared" si="166"/>
        <v>0</v>
      </c>
      <c r="AO137" s="72">
        <f t="shared" si="166"/>
        <v>0</v>
      </c>
      <c r="AP137" s="72">
        <f t="shared" si="166"/>
        <v>0</v>
      </c>
      <c r="AQ137" s="72">
        <f t="shared" si="166"/>
        <v>0</v>
      </c>
      <c r="AR137" s="72">
        <f t="shared" si="166"/>
        <v>0</v>
      </c>
      <c r="AS137" s="72">
        <f t="shared" si="166"/>
        <v>0</v>
      </c>
      <c r="AT137" s="72">
        <f t="shared" si="166"/>
        <v>0</v>
      </c>
      <c r="AU137" s="72">
        <f t="shared" si="166"/>
        <v>0</v>
      </c>
      <c r="AV137" s="72">
        <f t="shared" ref="AV137:AW137" si="167">SUM(AV134,AV135)</f>
        <v>0</v>
      </c>
      <c r="AW137" s="72">
        <f t="shared" si="167"/>
        <v>0</v>
      </c>
    </row>
    <row r="138" spans="3:49" ht="14.25" customHeight="1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3:49" ht="14.25" customHeight="1">
      <c r="C139" s="2" t="s">
        <v>490</v>
      </c>
      <c r="D139" s="61">
        <f>D$24</f>
        <v>-33.611111111111114</v>
      </c>
      <c r="E139" s="61">
        <f t="shared" ref="E139:AW139" si="168">E$24</f>
        <v>-36.666666666666664</v>
      </c>
      <c r="F139" s="61">
        <f t="shared" si="168"/>
        <v>-36.666666666666664</v>
      </c>
      <c r="G139" s="61">
        <f t="shared" si="168"/>
        <v>-3.0555555555555554</v>
      </c>
      <c r="H139" s="61">
        <f t="shared" si="168"/>
        <v>0</v>
      </c>
      <c r="I139" s="61">
        <f t="shared" si="168"/>
        <v>0</v>
      </c>
      <c r="J139" s="61">
        <f t="shared" si="168"/>
        <v>0</v>
      </c>
      <c r="K139" s="61">
        <f t="shared" si="168"/>
        <v>0</v>
      </c>
      <c r="L139" s="61">
        <f t="shared" si="168"/>
        <v>0</v>
      </c>
      <c r="M139" s="61">
        <f t="shared" si="168"/>
        <v>0</v>
      </c>
      <c r="N139" s="61">
        <f t="shared" si="168"/>
        <v>0</v>
      </c>
      <c r="O139" s="61">
        <f t="shared" si="168"/>
        <v>0</v>
      </c>
      <c r="P139" s="61">
        <f t="shared" si="168"/>
        <v>0</v>
      </c>
      <c r="Q139" s="61">
        <f t="shared" si="168"/>
        <v>0</v>
      </c>
      <c r="R139" s="61">
        <f t="shared" si="168"/>
        <v>0</v>
      </c>
      <c r="S139" s="61">
        <f t="shared" si="168"/>
        <v>0</v>
      </c>
      <c r="T139" s="61">
        <f t="shared" si="168"/>
        <v>0</v>
      </c>
      <c r="U139" s="61">
        <f t="shared" si="168"/>
        <v>0</v>
      </c>
      <c r="V139" s="61">
        <f t="shared" si="168"/>
        <v>0</v>
      </c>
      <c r="W139" s="61">
        <f t="shared" si="168"/>
        <v>0</v>
      </c>
      <c r="X139" s="61">
        <f t="shared" si="168"/>
        <v>0</v>
      </c>
      <c r="Y139" s="61">
        <f t="shared" si="168"/>
        <v>0</v>
      </c>
      <c r="Z139" s="61">
        <f t="shared" si="168"/>
        <v>0</v>
      </c>
      <c r="AA139" s="61">
        <f t="shared" si="168"/>
        <v>0</v>
      </c>
      <c r="AB139" s="61">
        <f t="shared" si="168"/>
        <v>0</v>
      </c>
      <c r="AC139" s="61">
        <f t="shared" si="168"/>
        <v>0</v>
      </c>
      <c r="AD139" s="61">
        <f t="shared" si="168"/>
        <v>0</v>
      </c>
      <c r="AE139" s="61">
        <f t="shared" si="168"/>
        <v>0</v>
      </c>
      <c r="AF139" s="61">
        <f t="shared" si="168"/>
        <v>0</v>
      </c>
      <c r="AG139" s="61">
        <f t="shared" si="168"/>
        <v>0</v>
      </c>
      <c r="AH139" s="61">
        <f t="shared" si="168"/>
        <v>0</v>
      </c>
      <c r="AI139" s="61">
        <f t="shared" si="168"/>
        <v>0</v>
      </c>
      <c r="AJ139" s="61">
        <f t="shared" si="168"/>
        <v>0</v>
      </c>
      <c r="AK139" s="61">
        <f t="shared" si="168"/>
        <v>0</v>
      </c>
      <c r="AL139" s="61">
        <f t="shared" si="168"/>
        <v>0</v>
      </c>
      <c r="AM139" s="61">
        <f t="shared" si="168"/>
        <v>0</v>
      </c>
      <c r="AN139" s="61">
        <f t="shared" si="168"/>
        <v>0</v>
      </c>
      <c r="AO139" s="61">
        <f t="shared" si="168"/>
        <v>0</v>
      </c>
      <c r="AP139" s="61">
        <f t="shared" si="168"/>
        <v>0</v>
      </c>
      <c r="AQ139" s="61">
        <f t="shared" si="168"/>
        <v>0</v>
      </c>
      <c r="AR139" s="61">
        <f t="shared" si="168"/>
        <v>0</v>
      </c>
      <c r="AS139" s="61">
        <f t="shared" si="168"/>
        <v>0</v>
      </c>
      <c r="AT139" s="61">
        <f t="shared" si="168"/>
        <v>0</v>
      </c>
      <c r="AU139" s="61">
        <f t="shared" si="168"/>
        <v>0</v>
      </c>
      <c r="AV139" s="61">
        <f t="shared" si="168"/>
        <v>0</v>
      </c>
      <c r="AW139" s="61">
        <f t="shared" si="168"/>
        <v>0</v>
      </c>
    </row>
    <row r="140" spans="3:49" ht="14.25" customHeight="1">
      <c r="C140" s="4" t="s">
        <v>506</v>
      </c>
      <c r="D140" s="502">
        <f>0</f>
        <v>0</v>
      </c>
      <c r="E140" s="502">
        <f>D139+D140-D141</f>
        <v>-33.611111111111114</v>
      </c>
      <c r="F140" s="502">
        <f t="shared" ref="F140:AW140" si="169">E139+E140-E141</f>
        <v>-70.277777777777771</v>
      </c>
      <c r="G140" s="502">
        <f t="shared" si="169"/>
        <v>-106.94444444444443</v>
      </c>
      <c r="H140" s="502">
        <f t="shared" si="169"/>
        <v>-109.99999999999999</v>
      </c>
      <c r="I140" s="502">
        <f t="shared" si="169"/>
        <v>-109.99999999999999</v>
      </c>
      <c r="J140" s="502">
        <f t="shared" si="169"/>
        <v>-109.99999999999999</v>
      </c>
      <c r="K140" s="502">
        <f t="shared" si="169"/>
        <v>-109.99999999999999</v>
      </c>
      <c r="L140" s="502">
        <f t="shared" si="169"/>
        <v>-109.99999999999999</v>
      </c>
      <c r="M140" s="502">
        <f t="shared" si="169"/>
        <v>-109.99999999999999</v>
      </c>
      <c r="N140" s="502">
        <f t="shared" si="169"/>
        <v>-109.99999999999999</v>
      </c>
      <c r="O140" s="502">
        <f t="shared" si="169"/>
        <v>-109.99999999999999</v>
      </c>
      <c r="P140" s="502">
        <f t="shared" si="169"/>
        <v>-109.99999999999999</v>
      </c>
      <c r="Q140" s="502">
        <f t="shared" si="169"/>
        <v>-109.99999999999999</v>
      </c>
      <c r="R140" s="502">
        <f t="shared" si="169"/>
        <v>-109.99999999999999</v>
      </c>
      <c r="S140" s="502">
        <f t="shared" si="169"/>
        <v>-109.99999999999999</v>
      </c>
      <c r="T140" s="502">
        <f t="shared" si="169"/>
        <v>-109.99999999999999</v>
      </c>
      <c r="U140" s="502">
        <f t="shared" si="169"/>
        <v>-109.99999999999999</v>
      </c>
      <c r="V140" s="502">
        <f t="shared" si="169"/>
        <v>-109.99999999999999</v>
      </c>
      <c r="W140" s="502">
        <f t="shared" si="169"/>
        <v>-109.99999999999999</v>
      </c>
      <c r="X140" s="502">
        <f t="shared" si="169"/>
        <v>-109.99999999999999</v>
      </c>
      <c r="Y140" s="502">
        <f t="shared" si="169"/>
        <v>-109.99999999999999</v>
      </c>
      <c r="Z140" s="502">
        <f t="shared" si="169"/>
        <v>-109.99999999999999</v>
      </c>
      <c r="AA140" s="502">
        <f t="shared" si="169"/>
        <v>-109.99999999999999</v>
      </c>
      <c r="AB140" s="502">
        <f t="shared" si="169"/>
        <v>-109.99999999999999</v>
      </c>
      <c r="AC140" s="502">
        <f t="shared" si="169"/>
        <v>-109.99999999999999</v>
      </c>
      <c r="AD140" s="502">
        <f t="shared" si="169"/>
        <v>-109.99999999999999</v>
      </c>
      <c r="AE140" s="502">
        <f t="shared" si="169"/>
        <v>-109.99999999999999</v>
      </c>
      <c r="AF140" s="502">
        <f t="shared" si="169"/>
        <v>-109.99999999999999</v>
      </c>
      <c r="AG140" s="502">
        <f t="shared" si="169"/>
        <v>0</v>
      </c>
      <c r="AH140" s="502">
        <f t="shared" si="169"/>
        <v>0</v>
      </c>
      <c r="AI140" s="502">
        <f t="shared" si="169"/>
        <v>0</v>
      </c>
      <c r="AJ140" s="502">
        <f t="shared" si="169"/>
        <v>0</v>
      </c>
      <c r="AK140" s="502">
        <f t="shared" si="169"/>
        <v>0</v>
      </c>
      <c r="AL140" s="502">
        <f t="shared" si="169"/>
        <v>0</v>
      </c>
      <c r="AM140" s="502">
        <f t="shared" si="169"/>
        <v>0</v>
      </c>
      <c r="AN140" s="502">
        <f t="shared" si="169"/>
        <v>0</v>
      </c>
      <c r="AO140" s="502">
        <f t="shared" si="169"/>
        <v>0</v>
      </c>
      <c r="AP140" s="502">
        <f t="shared" si="169"/>
        <v>0</v>
      </c>
      <c r="AQ140" s="502">
        <f t="shared" si="169"/>
        <v>0</v>
      </c>
      <c r="AR140" s="502">
        <f t="shared" si="169"/>
        <v>0</v>
      </c>
      <c r="AS140" s="502">
        <f t="shared" si="169"/>
        <v>0</v>
      </c>
      <c r="AT140" s="502">
        <f t="shared" si="169"/>
        <v>0</v>
      </c>
      <c r="AU140" s="502">
        <f t="shared" si="169"/>
        <v>0</v>
      </c>
      <c r="AV140" s="502">
        <f t="shared" si="169"/>
        <v>0</v>
      </c>
      <c r="AW140" s="502">
        <f t="shared" si="169"/>
        <v>0</v>
      </c>
    </row>
    <row r="141" spans="3:49" ht="14.25" customHeight="1">
      <c r="C141" s="4" t="s">
        <v>507</v>
      </c>
      <c r="D141" s="502">
        <f t="shared" ref="D141:AW141" si="170">IF(D42=0, 0, D140)</f>
        <v>0</v>
      </c>
      <c r="E141" s="502">
        <f t="shared" si="170"/>
        <v>0</v>
      </c>
      <c r="F141" s="502">
        <f t="shared" si="170"/>
        <v>0</v>
      </c>
      <c r="G141" s="502">
        <f t="shared" si="170"/>
        <v>0</v>
      </c>
      <c r="H141" s="502">
        <f t="shared" si="170"/>
        <v>0</v>
      </c>
      <c r="I141" s="502">
        <f t="shared" si="170"/>
        <v>0</v>
      </c>
      <c r="J141" s="502">
        <f t="shared" si="170"/>
        <v>0</v>
      </c>
      <c r="K141" s="502">
        <f t="shared" si="170"/>
        <v>0</v>
      </c>
      <c r="L141" s="502">
        <f t="shared" si="170"/>
        <v>0</v>
      </c>
      <c r="M141" s="502">
        <f t="shared" si="170"/>
        <v>0</v>
      </c>
      <c r="N141" s="502">
        <f t="shared" si="170"/>
        <v>0</v>
      </c>
      <c r="O141" s="502">
        <f t="shared" si="170"/>
        <v>0</v>
      </c>
      <c r="P141" s="502">
        <f t="shared" si="170"/>
        <v>0</v>
      </c>
      <c r="Q141" s="502">
        <f t="shared" si="170"/>
        <v>0</v>
      </c>
      <c r="R141" s="502">
        <f t="shared" si="170"/>
        <v>0</v>
      </c>
      <c r="S141" s="502">
        <f t="shared" si="170"/>
        <v>0</v>
      </c>
      <c r="T141" s="502">
        <f t="shared" si="170"/>
        <v>0</v>
      </c>
      <c r="U141" s="502">
        <f t="shared" si="170"/>
        <v>0</v>
      </c>
      <c r="V141" s="502">
        <f t="shared" si="170"/>
        <v>0</v>
      </c>
      <c r="W141" s="502">
        <f t="shared" si="170"/>
        <v>0</v>
      </c>
      <c r="X141" s="502">
        <f t="shared" si="170"/>
        <v>0</v>
      </c>
      <c r="Y141" s="502">
        <f t="shared" si="170"/>
        <v>0</v>
      </c>
      <c r="Z141" s="502">
        <f t="shared" si="170"/>
        <v>0</v>
      </c>
      <c r="AA141" s="502">
        <f t="shared" si="170"/>
        <v>0</v>
      </c>
      <c r="AB141" s="502">
        <f t="shared" si="170"/>
        <v>0</v>
      </c>
      <c r="AC141" s="502">
        <f t="shared" si="170"/>
        <v>0</v>
      </c>
      <c r="AD141" s="502">
        <f t="shared" si="170"/>
        <v>0</v>
      </c>
      <c r="AE141" s="502">
        <f t="shared" si="170"/>
        <v>0</v>
      </c>
      <c r="AF141" s="502">
        <f t="shared" si="170"/>
        <v>-109.99999999999999</v>
      </c>
      <c r="AG141" s="502">
        <f t="shared" si="170"/>
        <v>0</v>
      </c>
      <c r="AH141" s="502">
        <f t="shared" si="170"/>
        <v>0</v>
      </c>
      <c r="AI141" s="502">
        <f t="shared" si="170"/>
        <v>0</v>
      </c>
      <c r="AJ141" s="502">
        <f t="shared" si="170"/>
        <v>0</v>
      </c>
      <c r="AK141" s="502">
        <f t="shared" si="170"/>
        <v>0</v>
      </c>
      <c r="AL141" s="502">
        <f t="shared" si="170"/>
        <v>0</v>
      </c>
      <c r="AM141" s="502">
        <f t="shared" si="170"/>
        <v>0</v>
      </c>
      <c r="AN141" s="502">
        <f t="shared" si="170"/>
        <v>0</v>
      </c>
      <c r="AO141" s="502">
        <f t="shared" si="170"/>
        <v>0</v>
      </c>
      <c r="AP141" s="502">
        <f t="shared" si="170"/>
        <v>0</v>
      </c>
      <c r="AQ141" s="502">
        <f t="shared" si="170"/>
        <v>0</v>
      </c>
      <c r="AR141" s="502">
        <f t="shared" si="170"/>
        <v>0</v>
      </c>
      <c r="AS141" s="502">
        <f t="shared" si="170"/>
        <v>0</v>
      </c>
      <c r="AT141" s="502">
        <f t="shared" si="170"/>
        <v>0</v>
      </c>
      <c r="AU141" s="502">
        <f t="shared" si="170"/>
        <v>0</v>
      </c>
      <c r="AV141" s="502">
        <f t="shared" si="170"/>
        <v>0</v>
      </c>
      <c r="AW141" s="502">
        <f t="shared" si="170"/>
        <v>0</v>
      </c>
    </row>
    <row r="142" spans="3:49" ht="14.25" customHeight="1">
      <c r="C142" s="1" t="s">
        <v>491</v>
      </c>
      <c r="D142" s="8">
        <f>IF(AND(D139=0, C144&lt;$D$25*'Assumptions &amp; Inputs'!$G$37),MIN($D$25*(1-'Assumptions &amp; Inputs'!$G$37)/'Assumptions &amp; Inputs'!$G$35,-C144),0)</f>
        <v>0</v>
      </c>
      <c r="E142" s="8">
        <f>IF(AND(E110&gt;YEAR('Assumptions &amp; Inputs'!$G$31), ROUND(D144, 7)&lt;SUMIF($D$110:$AW$110, "="&amp;E110-'Assumptions &amp; Inputs'!$G$34-1, $D$139:$AW$139)*'Assumptions &amp; Inputs'!$G$37),MIN(E140*(1-'Assumptions &amp; Inputs'!$G$37)/'Assumptions &amp; Inputs'!$G$34,-D144),0)</f>
        <v>0</v>
      </c>
      <c r="F142" s="8">
        <f>IF(AND(F110&gt;YEAR('Assumptions &amp; Inputs'!$G$31), ROUND(E144, 7)&lt;SUMIF($D$110:$AW$110, "="&amp;F110-'Assumptions &amp; Inputs'!$G$34-1, $D$139:$AW$139)*'Assumptions &amp; Inputs'!$G$37),MIN(F140*(1-'Assumptions &amp; Inputs'!$G$37)/'Assumptions &amp; Inputs'!$G$34,-E144),0)</f>
        <v>0</v>
      </c>
      <c r="G142" s="8">
        <f>IF(AND(G110&gt;YEAR('Assumptions &amp; Inputs'!$G$31), ROUND(F144, 7)&lt;SUMIF($D$110:$AW$110, "="&amp;G110-'Assumptions &amp; Inputs'!$G$34-1, $D$139:$AW$139)*'Assumptions &amp; Inputs'!$G$37),MIN(G140*(1-'Assumptions &amp; Inputs'!$G$37)/'Assumptions &amp; Inputs'!$G$34,-F144),0)</f>
        <v>0</v>
      </c>
      <c r="H142" s="8">
        <f>IF(AND(H110&gt;YEAR('Assumptions &amp; Inputs'!$G$31), ROUND(G144, 7)&lt;SUMIF($D$110:$AW$110, "="&amp;H110-'Assumptions &amp; Inputs'!$G$34-1, $D$139:$AW$139)*'Assumptions &amp; Inputs'!$G$37),MIN(H140*(1-'Assumptions &amp; Inputs'!$G$37)/'Assumptions &amp; Inputs'!$G$34,-G144),0)</f>
        <v>-4.18</v>
      </c>
      <c r="I142" s="8">
        <f>IF(AND(I110&gt;YEAR('Assumptions &amp; Inputs'!$G$31), ROUND(H144, 7)&lt;SUMIF($D$110:$AW$110, "="&amp;I110-'Assumptions &amp; Inputs'!$G$34-1, $D$139:$AW$139)*'Assumptions &amp; Inputs'!$G$37),MIN(I140*(1-'Assumptions &amp; Inputs'!$G$37)/'Assumptions &amp; Inputs'!$G$34,-H144),0)</f>
        <v>-4.18</v>
      </c>
      <c r="J142" s="8">
        <f>IF(AND(J110&gt;YEAR('Assumptions &amp; Inputs'!$G$31), ROUND(I144, 7)&lt;SUMIF($D$110:$AW$110, "="&amp;J110-'Assumptions &amp; Inputs'!$G$34-1, $D$139:$AW$139)*'Assumptions &amp; Inputs'!$G$37),MIN(J140*(1-'Assumptions &amp; Inputs'!$G$37)/'Assumptions &amp; Inputs'!$G$34,-I144),0)</f>
        <v>-4.18</v>
      </c>
      <c r="K142" s="8">
        <f>IF(AND(K110&gt;YEAR('Assumptions &amp; Inputs'!$G$31), ROUND(J144, 7)&lt;SUMIF($D$110:$AW$110, "="&amp;K110-'Assumptions &amp; Inputs'!$G$34-1, $D$139:$AW$139)*'Assumptions &amp; Inputs'!$G$37),MIN(K140*(1-'Assumptions &amp; Inputs'!$G$37)/'Assumptions &amp; Inputs'!$G$34,-J144),0)</f>
        <v>-4.18</v>
      </c>
      <c r="L142" s="8">
        <f>IF(AND(L110&gt;YEAR('Assumptions &amp; Inputs'!$G$31), ROUND(K144, 7)&lt;SUMIF($D$110:$AW$110, "="&amp;L110-'Assumptions &amp; Inputs'!$G$34-1, $D$139:$AW$139)*'Assumptions &amp; Inputs'!$G$37),MIN(L140*(1-'Assumptions &amp; Inputs'!$G$37)/'Assumptions &amp; Inputs'!$G$34,-K144),0)</f>
        <v>-4.18</v>
      </c>
      <c r="M142" s="8">
        <f>IF(AND(M110&gt;YEAR('Assumptions &amp; Inputs'!$G$31), ROUND(L144, 7)&lt;SUMIF($D$110:$AW$110, "="&amp;M110-'Assumptions &amp; Inputs'!$G$34-1, $D$139:$AW$139)*'Assumptions &amp; Inputs'!$G$37),MIN(M140*(1-'Assumptions &amp; Inputs'!$G$37)/'Assumptions &amp; Inputs'!$G$34,-L144),0)</f>
        <v>-4.18</v>
      </c>
      <c r="N142" s="8">
        <f>IF(AND(N110&gt;YEAR('Assumptions &amp; Inputs'!$G$31), ROUND(M144, 7)&lt;SUMIF($D$110:$AW$110, "="&amp;N110-'Assumptions &amp; Inputs'!$G$34-1, $D$139:$AW$139)*'Assumptions &amp; Inputs'!$G$37),MIN(N140*(1-'Assumptions &amp; Inputs'!$G$37)/'Assumptions &amp; Inputs'!$G$34,-M144),0)</f>
        <v>-4.18</v>
      </c>
      <c r="O142" s="8">
        <f>IF(AND(O110&gt;YEAR('Assumptions &amp; Inputs'!$G$31), ROUND(N144, 7)&lt;SUMIF($D$110:$AW$110, "="&amp;O110-'Assumptions &amp; Inputs'!$G$34-1, $D$139:$AW$139)*'Assumptions &amp; Inputs'!$G$37),MIN(O140*(1-'Assumptions &amp; Inputs'!$G$37)/'Assumptions &amp; Inputs'!$G$34,-N144),0)</f>
        <v>-4.18</v>
      </c>
      <c r="P142" s="8">
        <f>IF(AND(P110&gt;YEAR('Assumptions &amp; Inputs'!$G$31), ROUND(O144, 7)&lt;SUMIF($D$110:$AW$110, "="&amp;P110-'Assumptions &amp; Inputs'!$G$34-1, $D$139:$AW$139)*'Assumptions &amp; Inputs'!$G$37),MIN(P140*(1-'Assumptions &amp; Inputs'!$G$37)/'Assumptions &amp; Inputs'!$G$34,-O144),0)</f>
        <v>-4.18</v>
      </c>
      <c r="Q142" s="8">
        <f>IF(AND(Q110&gt;YEAR('Assumptions &amp; Inputs'!$G$31), ROUND(P144, 7)&lt;SUMIF($D$110:$AW$110, "="&amp;Q110-'Assumptions &amp; Inputs'!$G$34-1, $D$139:$AW$139)*'Assumptions &amp; Inputs'!$G$37),MIN(Q140*(1-'Assumptions &amp; Inputs'!$G$37)/'Assumptions &amp; Inputs'!$G$34,-P144),0)</f>
        <v>-4.18</v>
      </c>
      <c r="R142" s="8">
        <f>IF(AND(R110&gt;YEAR('Assumptions &amp; Inputs'!$G$31), ROUND(Q144, 7)&lt;SUMIF($D$110:$AW$110, "="&amp;R110-'Assumptions &amp; Inputs'!$G$34-1, $D$139:$AW$139)*'Assumptions &amp; Inputs'!$G$37),MIN(R140*(1-'Assumptions &amp; Inputs'!$G$37)/'Assumptions &amp; Inputs'!$G$34,-Q144),0)</f>
        <v>-4.18</v>
      </c>
      <c r="S142" s="8">
        <f>IF(AND(S110&gt;YEAR('Assumptions &amp; Inputs'!$G$31), ROUND(R144, 7)&lt;SUMIF($D$110:$AW$110, "="&amp;S110-'Assumptions &amp; Inputs'!$G$34-1, $D$139:$AW$139)*'Assumptions &amp; Inputs'!$G$37),MIN(S140*(1-'Assumptions &amp; Inputs'!$G$37)/'Assumptions &amp; Inputs'!$G$34,-R144),0)</f>
        <v>-4.18</v>
      </c>
      <c r="T142" s="8">
        <f>IF(AND(T110&gt;YEAR('Assumptions &amp; Inputs'!$G$31), ROUND(S144, 7)&lt;SUMIF($D$110:$AW$110, "="&amp;T110-'Assumptions &amp; Inputs'!$G$34-1, $D$139:$AW$139)*'Assumptions &amp; Inputs'!$G$37),MIN(T140*(1-'Assumptions &amp; Inputs'!$G$37)/'Assumptions &amp; Inputs'!$G$34,-S144),0)</f>
        <v>-4.18</v>
      </c>
      <c r="U142" s="8">
        <f>IF(AND(U110&gt;YEAR('Assumptions &amp; Inputs'!$G$31), ROUND(T144, 7)&lt;SUMIF($D$110:$AW$110, "="&amp;U110-'Assumptions &amp; Inputs'!$G$34-1, $D$139:$AW$139)*'Assumptions &amp; Inputs'!$G$37),MIN(U140*(1-'Assumptions &amp; Inputs'!$G$37)/'Assumptions &amp; Inputs'!$G$34,-T144),0)</f>
        <v>-4.18</v>
      </c>
      <c r="V142" s="8">
        <f>IF(AND(V110&gt;YEAR('Assumptions &amp; Inputs'!$G$31), ROUND(U144, 7)&lt;SUMIF($D$110:$AW$110, "="&amp;V110-'Assumptions &amp; Inputs'!$G$34-1, $D$139:$AW$139)*'Assumptions &amp; Inputs'!$G$37),MIN(V140*(1-'Assumptions &amp; Inputs'!$G$37)/'Assumptions &amp; Inputs'!$G$34,-U144),0)</f>
        <v>-4.18</v>
      </c>
      <c r="W142" s="8">
        <f>IF(AND(W110&gt;YEAR('Assumptions &amp; Inputs'!$G$31), ROUND(V144, 7)&lt;SUMIF($D$110:$AW$110, "="&amp;W110-'Assumptions &amp; Inputs'!$G$34-1, $D$139:$AW$139)*'Assumptions &amp; Inputs'!$G$37),MIN(W140*(1-'Assumptions &amp; Inputs'!$G$37)/'Assumptions &amp; Inputs'!$G$34,-V144),0)</f>
        <v>-4.18</v>
      </c>
      <c r="X142" s="8">
        <f>IF(AND(X110&gt;YEAR('Assumptions &amp; Inputs'!$G$31), ROUND(W144, 7)&lt;SUMIF($D$110:$AW$110, "="&amp;X110-'Assumptions &amp; Inputs'!$G$34-1, $D$139:$AW$139)*'Assumptions &amp; Inputs'!$G$37),MIN(X140*(1-'Assumptions &amp; Inputs'!$G$37)/'Assumptions &amp; Inputs'!$G$34,-W144),0)</f>
        <v>-4.18</v>
      </c>
      <c r="Y142" s="8">
        <f>IF(AND(Y110&gt;YEAR('Assumptions &amp; Inputs'!$G$31), ROUND(X144, 7)&lt;SUMIF($D$110:$AW$110, "="&amp;Y110-'Assumptions &amp; Inputs'!$G$34-1, $D$139:$AW$139)*'Assumptions &amp; Inputs'!$G$37),MIN(Y140*(1-'Assumptions &amp; Inputs'!$G$37)/'Assumptions &amp; Inputs'!$G$34,-X144),0)</f>
        <v>-4.18</v>
      </c>
      <c r="Z142" s="8">
        <f>IF(AND(Z110&gt;YEAR('Assumptions &amp; Inputs'!$G$31), ROUND(Y144, 7)&lt;SUMIF($D$110:$AW$110, "="&amp;Z110-'Assumptions &amp; Inputs'!$G$34-1, $D$139:$AW$139)*'Assumptions &amp; Inputs'!$G$37),MIN(Z140*(1-'Assumptions &amp; Inputs'!$G$37)/'Assumptions &amp; Inputs'!$G$34,-Y144),0)</f>
        <v>-4.18</v>
      </c>
      <c r="AA142" s="8">
        <f>IF(AND(AA110&gt;YEAR('Assumptions &amp; Inputs'!$G$31), ROUND(Z144, 7)&lt;SUMIF($D$110:$AW$110, "="&amp;AA110-'Assumptions &amp; Inputs'!$G$34-1, $D$139:$AW$139)*'Assumptions &amp; Inputs'!$G$37),MIN(AA140*(1-'Assumptions &amp; Inputs'!$G$37)/'Assumptions &amp; Inputs'!$G$34,-Z144),0)</f>
        <v>-4.18</v>
      </c>
      <c r="AB142" s="8">
        <f>IF(AND(AB110&gt;YEAR('Assumptions &amp; Inputs'!$G$31), ROUND(AA144, 7)&lt;SUMIF($D$110:$AW$110, "="&amp;AB110-'Assumptions &amp; Inputs'!$G$34-1, $D$139:$AW$139)*'Assumptions &amp; Inputs'!$G$37),MIN(AB140*(1-'Assumptions &amp; Inputs'!$G$37)/'Assumptions &amp; Inputs'!$G$34,-AA144),0)</f>
        <v>-4.18</v>
      </c>
      <c r="AC142" s="8">
        <f>IF(AND(AC110&gt;YEAR('Assumptions &amp; Inputs'!$G$31), ROUND(AB144, 7)&lt;SUMIF($D$110:$AW$110, "="&amp;AC110-'Assumptions &amp; Inputs'!$G$34-1, $D$139:$AW$139)*'Assumptions &amp; Inputs'!$G$37),MIN(AC140*(1-'Assumptions &amp; Inputs'!$G$37)/'Assumptions &amp; Inputs'!$G$34,-AB144),0)</f>
        <v>-4.18</v>
      </c>
      <c r="AD142" s="8">
        <f>IF(AND(AD110&gt;YEAR('Assumptions &amp; Inputs'!$G$31), ROUND(AC144, 7)&lt;SUMIF($D$110:$AW$110, "="&amp;AD110-'Assumptions &amp; Inputs'!$G$34-1, $D$139:$AW$139)*'Assumptions &amp; Inputs'!$G$37),MIN(AD140*(1-'Assumptions &amp; Inputs'!$G$37)/'Assumptions &amp; Inputs'!$G$34,-AC144),0)</f>
        <v>-4.18</v>
      </c>
      <c r="AE142" s="8">
        <f>IF(AND(AE110&gt;YEAR('Assumptions &amp; Inputs'!$G$31), ROUND(AD144, 7)&lt;SUMIF($D$110:$AW$110, "="&amp;AE110-'Assumptions &amp; Inputs'!$G$34-1, $D$139:$AW$139)*'Assumptions &amp; Inputs'!$G$37),MIN(AE140*(1-'Assumptions &amp; Inputs'!$G$37)/'Assumptions &amp; Inputs'!$G$34,-AD144),0)</f>
        <v>-4.18</v>
      </c>
      <c r="AF142" s="8">
        <f>IF(AND(AF110&gt;YEAR('Assumptions &amp; Inputs'!$G$31), ROUND(AE144, 7)&lt;SUMIF($D$110:$AW$110, "="&amp;AF110-'Assumptions &amp; Inputs'!$G$34-1, $D$139:$AW$139)*'Assumptions &amp; Inputs'!$G$37),MIN(AF140*(1-'Assumptions &amp; Inputs'!$G$37)/'Assumptions &amp; Inputs'!$G$34,-AE144),0)</f>
        <v>-4.18</v>
      </c>
      <c r="AG142" s="8">
        <f>IF(AND(AG110&gt;YEAR('Assumptions &amp; Inputs'!$G$31), ROUND(AF144, 7)&lt;SUMIF($D$110:$AW$110, "="&amp;AG110-'Assumptions &amp; Inputs'!$G$34-1, $D$139:$AW$139)*'Assumptions &amp; Inputs'!$G$37),MIN(AG140*(1-'Assumptions &amp; Inputs'!$G$37)/'Assumptions &amp; Inputs'!$G$34,-AF144),0)</f>
        <v>0</v>
      </c>
      <c r="AH142" s="8">
        <f>IF(AND(AH110&gt;YEAR('Assumptions &amp; Inputs'!$G$31), ROUND(AG144, 7)&lt;SUMIF($D$110:$AW$110, "="&amp;AH110-'Assumptions &amp; Inputs'!$G$34-1, $D$139:$AW$139)*'Assumptions &amp; Inputs'!$G$37),MIN(AH140*(1-'Assumptions &amp; Inputs'!$G$37)/'Assumptions &amp; Inputs'!$G$34,-AG144),0)</f>
        <v>0</v>
      </c>
      <c r="AI142" s="8">
        <f>IF(AND(AI110&gt;YEAR('Assumptions &amp; Inputs'!$G$31), ROUND(AH144, 7)&lt;SUMIF($D$110:$AW$110, "="&amp;AI110-'Assumptions &amp; Inputs'!$G$34-1, $D$139:$AW$139)*'Assumptions &amp; Inputs'!$G$37),MIN(AI140*(1-'Assumptions &amp; Inputs'!$G$37)/'Assumptions &amp; Inputs'!$G$34,-AH144),0)</f>
        <v>0</v>
      </c>
      <c r="AJ142" s="8">
        <f>IF(AND(AJ110&gt;YEAR('Assumptions &amp; Inputs'!$G$31), ROUND(AI144, 7)&lt;SUMIF($D$110:$AW$110, "="&amp;AJ110-'Assumptions &amp; Inputs'!$G$34-1, $D$139:$AW$139)*'Assumptions &amp; Inputs'!$G$37),MIN(AJ140*(1-'Assumptions &amp; Inputs'!$G$37)/'Assumptions &amp; Inputs'!$G$34,-AI144),0)</f>
        <v>0</v>
      </c>
      <c r="AK142" s="8">
        <f>IF(AND(AK110&gt;YEAR('Assumptions &amp; Inputs'!$G$31), ROUND(AJ144, 7)&lt;SUMIF($D$110:$AW$110, "="&amp;AK110-'Assumptions &amp; Inputs'!$G$34-1, $D$139:$AW$139)*'Assumptions &amp; Inputs'!$G$37),MIN(AK140*(1-'Assumptions &amp; Inputs'!$G$37)/'Assumptions &amp; Inputs'!$G$34,-AJ144),0)</f>
        <v>0</v>
      </c>
      <c r="AL142" s="8">
        <f>IF(AND(AL110&gt;YEAR('Assumptions &amp; Inputs'!$G$31), ROUND(AK144, 7)&lt;SUMIF($D$110:$AW$110, "="&amp;AL110-'Assumptions &amp; Inputs'!$G$34-1, $D$139:$AW$139)*'Assumptions &amp; Inputs'!$G$37),MIN(AL140*(1-'Assumptions &amp; Inputs'!$G$37)/'Assumptions &amp; Inputs'!$G$34,-AK144),0)</f>
        <v>0</v>
      </c>
      <c r="AM142" s="8">
        <f>IF(AND(AM110&gt;YEAR('Assumptions &amp; Inputs'!$G$31), ROUND(AL144, 7)&lt;SUMIF($D$110:$AW$110, "="&amp;AM110-'Assumptions &amp; Inputs'!$G$34-1, $D$139:$AW$139)*'Assumptions &amp; Inputs'!$G$37),MIN(AM140*(1-'Assumptions &amp; Inputs'!$G$37)/'Assumptions &amp; Inputs'!$G$34,-AL144),0)</f>
        <v>0</v>
      </c>
      <c r="AN142" s="8">
        <f>IF(AND(AN110&gt;YEAR('Assumptions &amp; Inputs'!$G$31), ROUND(AM144, 7)&lt;SUMIF($D$110:$AW$110, "="&amp;AN110-'Assumptions &amp; Inputs'!$G$34-1, $D$139:$AW$139)*'Assumptions &amp; Inputs'!$G$37),MIN(AN140*(1-'Assumptions &amp; Inputs'!$G$37)/'Assumptions &amp; Inputs'!$G$34,-AM144),0)</f>
        <v>0</v>
      </c>
      <c r="AO142" s="8">
        <f>IF(AND(AO110&gt;YEAR('Assumptions &amp; Inputs'!$G$31), ROUND(AN144, 7)&lt;SUMIF($D$110:$AW$110, "="&amp;AO110-'Assumptions &amp; Inputs'!$G$34-1, $D$139:$AW$139)*'Assumptions &amp; Inputs'!$G$37),MIN(AO140*(1-'Assumptions &amp; Inputs'!$G$37)/'Assumptions &amp; Inputs'!$G$34,-AN144),0)</f>
        <v>0</v>
      </c>
      <c r="AP142" s="8">
        <f>IF(AND(AP110&gt;YEAR('Assumptions &amp; Inputs'!$G$31), ROUND(AO144, 7)&lt;SUMIF($D$110:$AW$110, "="&amp;AP110-'Assumptions &amp; Inputs'!$G$34-1, $D$139:$AW$139)*'Assumptions &amp; Inputs'!$G$37),MIN(AP140*(1-'Assumptions &amp; Inputs'!$G$37)/'Assumptions &amp; Inputs'!$G$34,-AO144),0)</f>
        <v>0</v>
      </c>
      <c r="AQ142" s="8">
        <f>IF(AND(AQ110&gt;YEAR('Assumptions &amp; Inputs'!$G$31), ROUND(AP144, 7)&lt;SUMIF($D$110:$AW$110, "="&amp;AQ110-'Assumptions &amp; Inputs'!$G$34-1, $D$139:$AW$139)*'Assumptions &amp; Inputs'!$G$37),MIN(AQ140*(1-'Assumptions &amp; Inputs'!$G$37)/'Assumptions &amp; Inputs'!$G$34,-AP144),0)</f>
        <v>0</v>
      </c>
      <c r="AR142" s="8">
        <f>IF(AND(AR110&gt;YEAR('Assumptions &amp; Inputs'!$G$31), ROUND(AQ144, 7)&lt;SUMIF($D$110:$AW$110, "="&amp;AR110-'Assumptions &amp; Inputs'!$G$34-1, $D$139:$AW$139)*'Assumptions &amp; Inputs'!$G$37),MIN(AR140*(1-'Assumptions &amp; Inputs'!$G$37)/'Assumptions &amp; Inputs'!$G$34,-AQ144),0)</f>
        <v>0</v>
      </c>
      <c r="AS142" s="8">
        <f>IF(AND(AS110&gt;YEAR('Assumptions &amp; Inputs'!$G$31), ROUND(AR144, 7)&lt;SUMIF($D$110:$AW$110, "="&amp;AS110-'Assumptions &amp; Inputs'!$G$34-1, $D$139:$AW$139)*'Assumptions &amp; Inputs'!$G$37),MIN(AS140*(1-'Assumptions &amp; Inputs'!$G$37)/'Assumptions &amp; Inputs'!$G$34,-AR144),0)</f>
        <v>0</v>
      </c>
      <c r="AT142" s="8">
        <f>IF(AND(AT110&gt;YEAR('Assumptions &amp; Inputs'!$G$31), ROUND(AS144, 7)&lt;SUMIF($D$110:$AW$110, "="&amp;AT110-'Assumptions &amp; Inputs'!$G$34-1, $D$139:$AW$139)*'Assumptions &amp; Inputs'!$G$37),MIN(AT140*(1-'Assumptions &amp; Inputs'!$G$37)/'Assumptions &amp; Inputs'!$G$34,-AS144),0)</f>
        <v>0</v>
      </c>
      <c r="AU142" s="8">
        <f>IF(AND(AU110&gt;YEAR('Assumptions &amp; Inputs'!$G$31), ROUND(AT144, 7)&lt;SUMIF($D$110:$AW$110, "="&amp;AU110-'Assumptions &amp; Inputs'!$G$34-1, $D$139:$AW$139)*'Assumptions &amp; Inputs'!$G$37),MIN(AU140*(1-'Assumptions &amp; Inputs'!$G$37)/'Assumptions &amp; Inputs'!$G$34,-AT144),0)</f>
        <v>0</v>
      </c>
      <c r="AV142" s="8">
        <f>IF(AND(AV110&gt;YEAR('Assumptions &amp; Inputs'!$G$31), ROUND(AU144, 7)&lt;SUMIF($D$110:$AW$110, "="&amp;AV110-'Assumptions &amp; Inputs'!$G$34-1, $D$139:$AW$139)*'Assumptions &amp; Inputs'!$G$37),MIN(AV140*(1-'Assumptions &amp; Inputs'!$G$37)/'Assumptions &amp; Inputs'!$G$34,-AU144),0)</f>
        <v>0</v>
      </c>
      <c r="AW142" s="8">
        <f>IF(AND(AW110&gt;YEAR('Assumptions &amp; Inputs'!$G$31), ROUND(AV144, 7)&lt;SUMIF($D$110:$AW$110, "="&amp;AW110-'Assumptions &amp; Inputs'!$G$34-1, $D$139:$AW$139)*'Assumptions &amp; Inputs'!$G$37),MIN(AW140*(1-'Assumptions &amp; Inputs'!$G$37)/'Assumptions &amp; Inputs'!$G$34,-AV144),0)</f>
        <v>0</v>
      </c>
    </row>
    <row r="143" spans="3:49" s="182" customFormat="1" ht="15" customHeight="1">
      <c r="C143" s="4" t="s">
        <v>508</v>
      </c>
      <c r="D143" s="23">
        <f>D142</f>
        <v>0</v>
      </c>
      <c r="E143" s="23">
        <f>MAX(E142+D143, $D$25)</f>
        <v>0</v>
      </c>
      <c r="F143" s="23">
        <f t="shared" ref="F143:X143" si="171">MAX(F142+E143, $D$25)</f>
        <v>0</v>
      </c>
      <c r="G143" s="23">
        <f t="shared" si="171"/>
        <v>0</v>
      </c>
      <c r="H143" s="23">
        <f t="shared" si="171"/>
        <v>-4.18</v>
      </c>
      <c r="I143" s="23">
        <f t="shared" si="171"/>
        <v>-8.36</v>
      </c>
      <c r="J143" s="23">
        <f t="shared" si="171"/>
        <v>-12.54</v>
      </c>
      <c r="K143" s="23">
        <f t="shared" si="171"/>
        <v>-16.72</v>
      </c>
      <c r="L143" s="23">
        <f t="shared" si="171"/>
        <v>-20.9</v>
      </c>
      <c r="M143" s="23">
        <f t="shared" si="171"/>
        <v>-25.08</v>
      </c>
      <c r="N143" s="23">
        <f t="shared" si="171"/>
        <v>-29.259999999999998</v>
      </c>
      <c r="O143" s="23">
        <f t="shared" si="171"/>
        <v>-33.44</v>
      </c>
      <c r="P143" s="23">
        <f t="shared" si="171"/>
        <v>-37.619999999999997</v>
      </c>
      <c r="Q143" s="23">
        <f t="shared" si="171"/>
        <v>-41.8</v>
      </c>
      <c r="R143" s="23">
        <f t="shared" si="171"/>
        <v>-45.98</v>
      </c>
      <c r="S143" s="23">
        <f t="shared" si="171"/>
        <v>-50.16</v>
      </c>
      <c r="T143" s="23">
        <f t="shared" si="171"/>
        <v>-54.339999999999996</v>
      </c>
      <c r="U143" s="23">
        <f t="shared" si="171"/>
        <v>-58.519999999999996</v>
      </c>
      <c r="V143" s="23">
        <f t="shared" si="171"/>
        <v>-62.699999999999996</v>
      </c>
      <c r="W143" s="23">
        <f t="shared" si="171"/>
        <v>-66.88</v>
      </c>
      <c r="X143" s="23">
        <f t="shared" si="171"/>
        <v>-71.06</v>
      </c>
      <c r="Y143" s="23">
        <f t="shared" ref="Y143" si="172">MAX(Y142+X143, $D$25)</f>
        <v>-75.240000000000009</v>
      </c>
      <c r="Z143" s="23">
        <f t="shared" ref="Z143" si="173">MAX(Z142+Y143, $D$25)</f>
        <v>-79.420000000000016</v>
      </c>
      <c r="AA143" s="23">
        <f t="shared" ref="AA143" si="174">MAX(AA142+Z143, $D$25)</f>
        <v>-83.600000000000023</v>
      </c>
      <c r="AB143" s="23">
        <f t="shared" ref="AB143" si="175">MAX(AB142+AA143, $D$25)</f>
        <v>-87.78000000000003</v>
      </c>
      <c r="AC143" s="23">
        <f t="shared" ref="AC143" si="176">MAX(AC142+AB143, $D$25)</f>
        <v>-91.960000000000036</v>
      </c>
      <c r="AD143" s="23">
        <f t="shared" ref="AD143" si="177">MAX(AD142+AC143, $D$25)</f>
        <v>-96.140000000000043</v>
      </c>
      <c r="AE143" s="23">
        <f t="shared" ref="AE143" si="178">MAX(AE142+AD143, $D$25)</f>
        <v>-100.32000000000005</v>
      </c>
      <c r="AF143" s="23">
        <f t="shared" ref="AF143" si="179">MAX(AF142+AE143, $D$25)</f>
        <v>-104.50000000000006</v>
      </c>
      <c r="AG143" s="23">
        <f t="shared" ref="AG143" si="180">MAX(AG142+AF143, $D$25)</f>
        <v>-104.50000000000006</v>
      </c>
      <c r="AH143" s="23">
        <f t="shared" ref="AH143" si="181">MAX(AH142+AG143, $D$25)</f>
        <v>-104.50000000000006</v>
      </c>
      <c r="AI143" s="23">
        <f t="shared" ref="AI143" si="182">MAX(AI142+AH143, $D$25)</f>
        <v>-104.50000000000006</v>
      </c>
      <c r="AJ143" s="23">
        <f t="shared" ref="AJ143" si="183">MAX(AJ142+AI143, $D$25)</f>
        <v>-104.50000000000006</v>
      </c>
      <c r="AK143" s="23">
        <f t="shared" ref="AK143" si="184">MAX(AK142+AJ143, $D$25)</f>
        <v>-104.50000000000006</v>
      </c>
      <c r="AL143" s="23">
        <f t="shared" ref="AL143" si="185">MAX(AL142+AK143, $D$25)</f>
        <v>-104.50000000000006</v>
      </c>
      <c r="AM143" s="23">
        <f t="shared" ref="AM143" si="186">MAX(AM142+AL143, $D$25)</f>
        <v>-104.50000000000006</v>
      </c>
      <c r="AN143" s="23">
        <f t="shared" ref="AN143" si="187">MAX(AN142+AM143, $D$25)</f>
        <v>-104.50000000000006</v>
      </c>
      <c r="AO143" s="23">
        <f t="shared" ref="AO143" si="188">MAX(AO142+AN143, $D$25)</f>
        <v>-104.50000000000006</v>
      </c>
      <c r="AP143" s="23">
        <f t="shared" ref="AP143" si="189">MAX(AP142+AO143, $D$25)</f>
        <v>-104.50000000000006</v>
      </c>
      <c r="AQ143" s="23">
        <f t="shared" ref="AQ143" si="190">MAX(AQ142+AP143, $D$25)</f>
        <v>-104.50000000000006</v>
      </c>
      <c r="AR143" s="23">
        <f t="shared" ref="AR143" si="191">MAX(AR142+AQ143, $D$25)</f>
        <v>-104.50000000000006</v>
      </c>
      <c r="AS143" s="23">
        <f t="shared" ref="AS143" si="192">MAX(AS142+AR143, $D$25)</f>
        <v>-104.50000000000006</v>
      </c>
      <c r="AT143" s="23">
        <f t="shared" ref="AT143" si="193">MAX(AT142+AS143, $D$25)</f>
        <v>-104.50000000000006</v>
      </c>
      <c r="AU143" s="23">
        <f>MAX(AU142+AT143, $D$25)</f>
        <v>-104.50000000000006</v>
      </c>
      <c r="AV143" s="23">
        <f t="shared" ref="AV143" si="194">MAX(AV142+AU143, $D$25)</f>
        <v>-104.50000000000006</v>
      </c>
      <c r="AW143" s="23">
        <f t="shared" ref="AW143" si="195">MAX(AW142+AV143, $D$25)</f>
        <v>-104.50000000000006</v>
      </c>
    </row>
    <row r="144" spans="3:49" s="182" customFormat="1" ht="15" customHeight="1">
      <c r="C144" s="4" t="s">
        <v>509</v>
      </c>
      <c r="D144" s="23">
        <f>SUM(-D143, D139)</f>
        <v>-33.611111111111114</v>
      </c>
      <c r="E144" s="23">
        <f t="shared" ref="E144:AW144" si="196">SUM(D144,-E142, E42, E139)</f>
        <v>-70.277777777777771</v>
      </c>
      <c r="F144" s="23">
        <f t="shared" si="196"/>
        <v>-106.94444444444443</v>
      </c>
      <c r="G144" s="23">
        <f t="shared" si="196"/>
        <v>-109.99999999999999</v>
      </c>
      <c r="H144" s="23">
        <f t="shared" si="196"/>
        <v>-105.82</v>
      </c>
      <c r="I144" s="23">
        <f t="shared" si="196"/>
        <v>-101.63999999999999</v>
      </c>
      <c r="J144" s="23">
        <f t="shared" si="196"/>
        <v>-97.45999999999998</v>
      </c>
      <c r="K144" s="23">
        <f t="shared" si="196"/>
        <v>-93.279999999999973</v>
      </c>
      <c r="L144" s="23">
        <f t="shared" si="196"/>
        <v>-89.099999999999966</v>
      </c>
      <c r="M144" s="23">
        <f t="shared" si="196"/>
        <v>-84.919999999999959</v>
      </c>
      <c r="N144" s="23">
        <f t="shared" si="196"/>
        <v>-80.739999999999952</v>
      </c>
      <c r="O144" s="23">
        <f t="shared" si="196"/>
        <v>-76.559999999999945</v>
      </c>
      <c r="P144" s="23">
        <f t="shared" si="196"/>
        <v>-72.379999999999939</v>
      </c>
      <c r="Q144" s="23">
        <f t="shared" si="196"/>
        <v>-68.199999999999932</v>
      </c>
      <c r="R144" s="23">
        <f t="shared" si="196"/>
        <v>-64.019999999999925</v>
      </c>
      <c r="S144" s="23">
        <f t="shared" si="196"/>
        <v>-59.839999999999925</v>
      </c>
      <c r="T144" s="23">
        <f t="shared" si="196"/>
        <v>-55.659999999999926</v>
      </c>
      <c r="U144" s="23">
        <f t="shared" si="196"/>
        <v>-51.479999999999926</v>
      </c>
      <c r="V144" s="23">
        <f t="shared" si="196"/>
        <v>-47.299999999999926</v>
      </c>
      <c r="W144" s="23">
        <f t="shared" si="196"/>
        <v>-43.119999999999926</v>
      </c>
      <c r="X144" s="23">
        <f t="shared" si="196"/>
        <v>-38.939999999999927</v>
      </c>
      <c r="Y144" s="23">
        <f t="shared" si="196"/>
        <v>-34.759999999999927</v>
      </c>
      <c r="Z144" s="23">
        <f t="shared" si="196"/>
        <v>-30.579999999999927</v>
      </c>
      <c r="AA144" s="23">
        <f t="shared" si="196"/>
        <v>-26.399999999999928</v>
      </c>
      <c r="AB144" s="23">
        <f t="shared" si="196"/>
        <v>-22.219999999999928</v>
      </c>
      <c r="AC144" s="23">
        <f t="shared" si="196"/>
        <v>-18.039999999999928</v>
      </c>
      <c r="AD144" s="23">
        <f t="shared" si="196"/>
        <v>-13.859999999999928</v>
      </c>
      <c r="AE144" s="23">
        <f t="shared" si="196"/>
        <v>-9.6799999999999287</v>
      </c>
      <c r="AF144" s="23">
        <f t="shared" si="196"/>
        <v>7.1054273576010019E-14</v>
      </c>
      <c r="AG144" s="23">
        <f t="shared" si="196"/>
        <v>7.1054273576010019E-14</v>
      </c>
      <c r="AH144" s="23">
        <f t="shared" si="196"/>
        <v>7.1054273576010019E-14</v>
      </c>
      <c r="AI144" s="23">
        <f t="shared" si="196"/>
        <v>7.1054273576010019E-14</v>
      </c>
      <c r="AJ144" s="23">
        <f t="shared" si="196"/>
        <v>7.1054273576010019E-14</v>
      </c>
      <c r="AK144" s="23">
        <f t="shared" si="196"/>
        <v>7.1054273576010019E-14</v>
      </c>
      <c r="AL144" s="23">
        <f t="shared" si="196"/>
        <v>7.1054273576010019E-14</v>
      </c>
      <c r="AM144" s="23">
        <f t="shared" si="196"/>
        <v>7.1054273576010019E-14</v>
      </c>
      <c r="AN144" s="23">
        <f t="shared" si="196"/>
        <v>7.1054273576010019E-14</v>
      </c>
      <c r="AO144" s="23">
        <f t="shared" si="196"/>
        <v>7.1054273576010019E-14</v>
      </c>
      <c r="AP144" s="23">
        <f t="shared" si="196"/>
        <v>7.1054273576010019E-14</v>
      </c>
      <c r="AQ144" s="23">
        <f t="shared" si="196"/>
        <v>7.1054273576010019E-14</v>
      </c>
      <c r="AR144" s="23">
        <f t="shared" si="196"/>
        <v>7.1054273576010019E-14</v>
      </c>
      <c r="AS144" s="23">
        <f t="shared" si="196"/>
        <v>7.1054273576010019E-14</v>
      </c>
      <c r="AT144" s="23">
        <f t="shared" si="196"/>
        <v>7.1054273576010019E-14</v>
      </c>
      <c r="AU144" s="23">
        <f t="shared" si="196"/>
        <v>7.1054273576010019E-14</v>
      </c>
      <c r="AV144" s="23">
        <f t="shared" si="196"/>
        <v>7.1054273576010019E-14</v>
      </c>
      <c r="AW144" s="23">
        <f t="shared" si="196"/>
        <v>7.1054273576010019E-14</v>
      </c>
    </row>
    <row r="145" spans="3:49" ht="14.25" customHeight="1">
      <c r="C145" s="184" t="s">
        <v>459</v>
      </c>
      <c r="D145" s="185" t="str">
        <f>IF(SUM(D142:AW142)=$D$25*(1-'Assumptions &amp; Inputs'!$G$37),"yes",SUM(D142:AW142)-$D$25*(1-'Assumptions &amp; Inputs'!$G$37))</f>
        <v>yes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3:49" ht="14.25" customHeight="1">
      <c r="C146" s="1"/>
      <c r="D146" s="17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3:49" ht="14.25" customHeight="1">
      <c r="C147" s="2" t="s">
        <v>492</v>
      </c>
      <c r="D147" s="31"/>
      <c r="E147" s="31">
        <f>SUM(E126,-E142)</f>
        <v>0</v>
      </c>
      <c r="F147" s="31">
        <f>SUM(F126,-F142)</f>
        <v>0</v>
      </c>
      <c r="G147" s="31">
        <f t="shared" ref="G147:X147" si="197">SUM(G126,-G142)</f>
        <v>16.851286556927995</v>
      </c>
      <c r="H147" s="31">
        <f t="shared" si="197"/>
        <v>30.355010380099841</v>
      </c>
      <c r="I147" s="31">
        <f t="shared" si="197"/>
        <v>31.198288907487598</v>
      </c>
      <c r="J147" s="31">
        <f t="shared" si="197"/>
        <v>32.054599518867306</v>
      </c>
      <c r="K147" s="31">
        <f t="shared" si="197"/>
        <v>32.924152327475788</v>
      </c>
      <c r="L147" s="31">
        <f t="shared" si="197"/>
        <v>33.807160511134128</v>
      </c>
      <c r="M147" s="31">
        <f t="shared" si="197"/>
        <v>34.7038403478753</v>
      </c>
      <c r="N147" s="31">
        <f t="shared" si="197"/>
        <v>35.614411251657643</v>
      </c>
      <c r="O147" s="31">
        <f t="shared" si="197"/>
        <v>36.539095808149433</v>
      </c>
      <c r="P147" s="31">
        <f t="shared" si="197"/>
        <v>37.478119810569275</v>
      </c>
      <c r="Q147" s="31">
        <f t="shared" si="197"/>
        <v>38.431712295566065</v>
      </c>
      <c r="R147" s="31">
        <f t="shared" si="197"/>
        <v>39.40010557912202</v>
      </c>
      <c r="S147" s="31">
        <f t="shared" si="197"/>
        <v>40.383535292460692</v>
      </c>
      <c r="T147" s="31">
        <f t="shared" si="197"/>
        <v>41.38224041794173</v>
      </c>
      <c r="U147" s="31">
        <f t="shared" si="197"/>
        <v>42.396463324922522</v>
      </c>
      <c r="V147" s="31">
        <f t="shared" si="197"/>
        <v>43.426449805566982</v>
      </c>
      <c r="W147" s="31">
        <f t="shared" si="197"/>
        <v>44.47244911057971</v>
      </c>
      <c r="X147" s="31">
        <f t="shared" si="197"/>
        <v>45.534713984843314</v>
      </c>
      <c r="Y147" s="31">
        <f t="shared" ref="Y147:AU147" si="198">SUM(Y126,-Y142)</f>
        <v>46.613500702935816</v>
      </c>
      <c r="Z147" s="31">
        <f t="shared" si="198"/>
        <v>47.709069104503605</v>
      </c>
      <c r="AA147" s="31">
        <f t="shared" si="198"/>
        <v>48.821682629464441</v>
      </c>
      <c r="AB147" s="31">
        <f t="shared" si="198"/>
        <v>49.951608353014258</v>
      </c>
      <c r="AC147" s="31">
        <f t="shared" si="198"/>
        <v>51.09911702040953</v>
      </c>
      <c r="AD147" s="31">
        <f t="shared" si="198"/>
        <v>52.264483081496572</v>
      </c>
      <c r="AE147" s="31">
        <f t="shared" si="198"/>
        <v>53.447984724957742</v>
      </c>
      <c r="AF147" s="31">
        <f t="shared" si="198"/>
        <v>54.649903912242401</v>
      </c>
      <c r="AG147" s="31">
        <f t="shared" si="198"/>
        <v>0</v>
      </c>
      <c r="AH147" s="31">
        <f t="shared" si="198"/>
        <v>0</v>
      </c>
      <c r="AI147" s="31">
        <f t="shared" si="198"/>
        <v>0</v>
      </c>
      <c r="AJ147" s="31">
        <f t="shared" si="198"/>
        <v>0</v>
      </c>
      <c r="AK147" s="31">
        <f t="shared" si="198"/>
        <v>0</v>
      </c>
      <c r="AL147" s="31">
        <f t="shared" si="198"/>
        <v>0</v>
      </c>
      <c r="AM147" s="31">
        <f t="shared" si="198"/>
        <v>0</v>
      </c>
      <c r="AN147" s="31">
        <f t="shared" si="198"/>
        <v>0</v>
      </c>
      <c r="AO147" s="31">
        <f t="shared" si="198"/>
        <v>0</v>
      </c>
      <c r="AP147" s="31">
        <f t="shared" si="198"/>
        <v>0</v>
      </c>
      <c r="AQ147" s="31">
        <f t="shared" si="198"/>
        <v>0</v>
      </c>
      <c r="AR147" s="31">
        <f t="shared" si="198"/>
        <v>0</v>
      </c>
      <c r="AS147" s="31">
        <f t="shared" si="198"/>
        <v>0</v>
      </c>
      <c r="AT147" s="31">
        <f t="shared" si="198"/>
        <v>0</v>
      </c>
      <c r="AU147" s="31">
        <f t="shared" si="198"/>
        <v>0</v>
      </c>
      <c r="AV147" s="31">
        <f t="shared" ref="AV147:AW147" si="199">SUM(AV126,-AV142)</f>
        <v>0</v>
      </c>
      <c r="AW147" s="31">
        <f t="shared" si="199"/>
        <v>0</v>
      </c>
    </row>
  </sheetData>
  <mergeCells count="6">
    <mergeCell ref="E109:P109"/>
    <mergeCell ref="E8:P8"/>
    <mergeCell ref="E31:P31"/>
    <mergeCell ref="C64:E64"/>
    <mergeCell ref="C78:E78"/>
    <mergeCell ref="E88:P88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CE1A-44BB-4F34-80C8-2D9FB2EB6544}">
  <sheetPr codeName="Sheet10">
    <tabColor theme="9" tint="0.59999389629810485"/>
  </sheetPr>
  <dimension ref="A2:AW148"/>
  <sheetViews>
    <sheetView workbookViewId="0">
      <selection activeCell="E135" sqref="E135"/>
    </sheetView>
  </sheetViews>
  <sheetFormatPr baseColWidth="10" defaultColWidth="14.33203125" defaultRowHeight="15" customHeight="1"/>
  <cols>
    <col min="1" max="2" width="3.33203125" customWidth="1"/>
    <col min="3" max="3" width="42.83203125" customWidth="1"/>
  </cols>
  <sheetData>
    <row r="2" spans="1:49" ht="15" customHeight="1">
      <c r="A2" s="1"/>
      <c r="B2" s="1"/>
      <c r="C2" s="114" t="s">
        <v>469</v>
      </c>
      <c r="D2" s="116"/>
      <c r="E2" s="117">
        <v>1000</v>
      </c>
      <c r="F2" s="1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49" ht="15" customHeight="1">
      <c r="A3" s="1"/>
      <c r="B3" s="1"/>
      <c r="C3" s="114" t="s">
        <v>470</v>
      </c>
      <c r="D3" s="115"/>
      <c r="E3" s="118">
        <v>1000000</v>
      </c>
      <c r="F3" s="11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49" ht="15" customHeight="1">
      <c r="A4" s="1"/>
      <c r="B4" s="1"/>
      <c r="C4" s="177"/>
      <c r="D4" s="179"/>
      <c r="E4" s="179"/>
      <c r="F4" s="179"/>
      <c r="G4" s="180"/>
      <c r="H4" s="181"/>
      <c r="I4" s="181"/>
      <c r="J4" s="181"/>
      <c r="K4" s="181"/>
      <c r="L4" s="181"/>
      <c r="M4" s="181"/>
      <c r="N4" s="181"/>
      <c r="O4" s="67"/>
      <c r="P4" s="67"/>
      <c r="Q4" s="67"/>
      <c r="R4" s="67"/>
      <c r="S4" s="67"/>
      <c r="T4" s="67"/>
      <c r="U4" s="67"/>
      <c r="V4" s="67"/>
      <c r="W4" s="67"/>
      <c r="X4" s="67"/>
    </row>
    <row r="5" spans="1:49" ht="14.25" customHeight="1" thickBot="1">
      <c r="A5" s="1" t="s">
        <v>351</v>
      </c>
      <c r="B5" s="1"/>
      <c r="C5" s="9" t="s">
        <v>352</v>
      </c>
      <c r="D5" s="9"/>
      <c r="E5" s="10"/>
      <c r="F5" s="10"/>
      <c r="G5" s="10"/>
      <c r="H5" s="10"/>
      <c r="I5" s="10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"/>
      <c r="Z5" s="1"/>
    </row>
    <row r="6" spans="1:49" ht="14.25" customHeight="1">
      <c r="A6" s="1"/>
      <c r="B6" s="1"/>
      <c r="C6" s="12" t="s">
        <v>353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49" ht="15" customHeight="1">
      <c r="A7" s="1"/>
      <c r="B7" s="1"/>
      <c r="C7" s="1"/>
      <c r="D7" s="43">
        <v>0</v>
      </c>
      <c r="E7" s="119">
        <f t="shared" ref="E7:X7" si="0">D7+1</f>
        <v>1</v>
      </c>
      <c r="F7" s="119">
        <f t="shared" si="0"/>
        <v>2</v>
      </c>
      <c r="G7" s="119">
        <f t="shared" si="0"/>
        <v>3</v>
      </c>
      <c r="H7" s="119">
        <f t="shared" si="0"/>
        <v>4</v>
      </c>
      <c r="I7" s="119">
        <f t="shared" si="0"/>
        <v>5</v>
      </c>
      <c r="J7" s="119">
        <f t="shared" si="0"/>
        <v>6</v>
      </c>
      <c r="K7" s="119">
        <f t="shared" si="0"/>
        <v>7</v>
      </c>
      <c r="L7" s="119">
        <f t="shared" si="0"/>
        <v>8</v>
      </c>
      <c r="M7" s="119">
        <f t="shared" si="0"/>
        <v>9</v>
      </c>
      <c r="N7" s="119">
        <f t="shared" si="0"/>
        <v>10</v>
      </c>
      <c r="O7" s="119">
        <f t="shared" si="0"/>
        <v>11</v>
      </c>
      <c r="P7" s="119">
        <f t="shared" si="0"/>
        <v>12</v>
      </c>
      <c r="Q7" s="119">
        <f t="shared" si="0"/>
        <v>13</v>
      </c>
      <c r="R7" s="119">
        <f t="shared" si="0"/>
        <v>14</v>
      </c>
      <c r="S7" s="119">
        <f t="shared" si="0"/>
        <v>15</v>
      </c>
      <c r="T7" s="119">
        <f t="shared" si="0"/>
        <v>16</v>
      </c>
      <c r="U7" s="119">
        <f t="shared" si="0"/>
        <v>17</v>
      </c>
      <c r="V7" s="119">
        <f t="shared" si="0"/>
        <v>18</v>
      </c>
      <c r="W7" s="119">
        <f t="shared" si="0"/>
        <v>19</v>
      </c>
      <c r="X7" s="119">
        <f t="shared" si="0"/>
        <v>20</v>
      </c>
      <c r="Y7" s="119">
        <f t="shared" ref="Y7:AW7" si="1">X7+1</f>
        <v>21</v>
      </c>
      <c r="Z7" s="119">
        <f t="shared" si="1"/>
        <v>22</v>
      </c>
      <c r="AA7" s="119">
        <f t="shared" si="1"/>
        <v>23</v>
      </c>
      <c r="AB7" s="119">
        <f t="shared" si="1"/>
        <v>24</v>
      </c>
      <c r="AC7" s="119">
        <f t="shared" si="1"/>
        <v>25</v>
      </c>
      <c r="AD7" s="119">
        <f t="shared" si="1"/>
        <v>26</v>
      </c>
      <c r="AE7" s="119">
        <f t="shared" si="1"/>
        <v>27</v>
      </c>
      <c r="AF7" s="119">
        <f t="shared" si="1"/>
        <v>28</v>
      </c>
      <c r="AG7" s="119">
        <f t="shared" si="1"/>
        <v>29</v>
      </c>
      <c r="AH7" s="119">
        <f t="shared" si="1"/>
        <v>30</v>
      </c>
      <c r="AI7" s="119">
        <f t="shared" si="1"/>
        <v>31</v>
      </c>
      <c r="AJ7" s="119">
        <f t="shared" si="1"/>
        <v>32</v>
      </c>
      <c r="AK7" s="119">
        <f t="shared" si="1"/>
        <v>33</v>
      </c>
      <c r="AL7" s="119">
        <f t="shared" si="1"/>
        <v>34</v>
      </c>
      <c r="AM7" s="119">
        <f t="shared" si="1"/>
        <v>35</v>
      </c>
      <c r="AN7" s="119">
        <f t="shared" si="1"/>
        <v>36</v>
      </c>
      <c r="AO7" s="119">
        <f t="shared" si="1"/>
        <v>37</v>
      </c>
      <c r="AP7" s="119">
        <f t="shared" si="1"/>
        <v>38</v>
      </c>
      <c r="AQ7" s="119">
        <f t="shared" si="1"/>
        <v>39</v>
      </c>
      <c r="AR7" s="119">
        <f t="shared" si="1"/>
        <v>40</v>
      </c>
      <c r="AS7" s="119">
        <f t="shared" si="1"/>
        <v>41</v>
      </c>
      <c r="AT7" s="119">
        <f t="shared" si="1"/>
        <v>42</v>
      </c>
      <c r="AU7" s="119">
        <f t="shared" si="1"/>
        <v>43</v>
      </c>
      <c r="AV7" s="119">
        <f t="shared" si="1"/>
        <v>44</v>
      </c>
      <c r="AW7" s="119">
        <f t="shared" si="1"/>
        <v>45</v>
      </c>
    </row>
    <row r="8" spans="1:49" ht="14.25" customHeight="1" thickBot="1">
      <c r="A8" s="1"/>
      <c r="B8" s="1"/>
      <c r="C8" s="200"/>
      <c r="D8" s="83"/>
      <c r="E8" s="806" t="s">
        <v>354</v>
      </c>
      <c r="F8" s="806"/>
      <c r="G8" s="806"/>
      <c r="H8" s="806"/>
      <c r="I8" s="806"/>
      <c r="J8" s="806"/>
      <c r="K8" s="806"/>
      <c r="L8" s="806"/>
      <c r="M8" s="806"/>
      <c r="N8" s="806"/>
      <c r="O8" s="806"/>
      <c r="P8" s="806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</row>
    <row r="9" spans="1:49" ht="14.25" customHeight="1">
      <c r="A9" s="1"/>
      <c r="B9" s="84"/>
      <c r="C9" s="202"/>
      <c r="D9" s="40">
        <f>YEAR(D10)</f>
        <v>2026</v>
      </c>
      <c r="E9" s="40">
        <f t="shared" ref="E9:X9" si="2">D9+1</f>
        <v>2027</v>
      </c>
      <c r="F9" s="40">
        <f t="shared" si="2"/>
        <v>2028</v>
      </c>
      <c r="G9" s="40">
        <f t="shared" si="2"/>
        <v>2029</v>
      </c>
      <c r="H9" s="40">
        <f t="shared" si="2"/>
        <v>2030</v>
      </c>
      <c r="I9" s="40">
        <f t="shared" si="2"/>
        <v>2031</v>
      </c>
      <c r="J9" s="40">
        <f t="shared" si="2"/>
        <v>2032</v>
      </c>
      <c r="K9" s="40">
        <f t="shared" si="2"/>
        <v>2033</v>
      </c>
      <c r="L9" s="40">
        <f t="shared" si="2"/>
        <v>2034</v>
      </c>
      <c r="M9" s="40">
        <f t="shared" si="2"/>
        <v>2035</v>
      </c>
      <c r="N9" s="40">
        <f t="shared" si="2"/>
        <v>2036</v>
      </c>
      <c r="O9" s="40">
        <f t="shared" si="2"/>
        <v>2037</v>
      </c>
      <c r="P9" s="40">
        <f t="shared" si="2"/>
        <v>2038</v>
      </c>
      <c r="Q9" s="40">
        <f t="shared" si="2"/>
        <v>2039</v>
      </c>
      <c r="R9" s="40">
        <f t="shared" si="2"/>
        <v>2040</v>
      </c>
      <c r="S9" s="40">
        <f t="shared" si="2"/>
        <v>2041</v>
      </c>
      <c r="T9" s="40">
        <f t="shared" si="2"/>
        <v>2042</v>
      </c>
      <c r="U9" s="40">
        <f t="shared" si="2"/>
        <v>2043</v>
      </c>
      <c r="V9" s="40">
        <f t="shared" si="2"/>
        <v>2044</v>
      </c>
      <c r="W9" s="40">
        <f t="shared" si="2"/>
        <v>2045</v>
      </c>
      <c r="X9" s="40">
        <f t="shared" si="2"/>
        <v>2046</v>
      </c>
      <c r="Y9" s="40">
        <f t="shared" ref="Y9:AW9" si="3">X9+1</f>
        <v>2047</v>
      </c>
      <c r="Z9" s="40">
        <f t="shared" si="3"/>
        <v>2048</v>
      </c>
      <c r="AA9" s="40">
        <f t="shared" si="3"/>
        <v>2049</v>
      </c>
      <c r="AB9" s="40">
        <f t="shared" si="3"/>
        <v>2050</v>
      </c>
      <c r="AC9" s="40">
        <f t="shared" si="3"/>
        <v>2051</v>
      </c>
      <c r="AD9" s="40">
        <f t="shared" si="3"/>
        <v>2052</v>
      </c>
      <c r="AE9" s="40">
        <f t="shared" si="3"/>
        <v>2053</v>
      </c>
      <c r="AF9" s="40">
        <f t="shared" si="3"/>
        <v>2054</v>
      </c>
      <c r="AG9" s="40">
        <f t="shared" si="3"/>
        <v>2055</v>
      </c>
      <c r="AH9" s="40">
        <f t="shared" si="3"/>
        <v>2056</v>
      </c>
      <c r="AI9" s="40">
        <f t="shared" si="3"/>
        <v>2057</v>
      </c>
      <c r="AJ9" s="40">
        <f t="shared" si="3"/>
        <v>2058</v>
      </c>
      <c r="AK9" s="40">
        <f t="shared" si="3"/>
        <v>2059</v>
      </c>
      <c r="AL9" s="40">
        <f t="shared" si="3"/>
        <v>2060</v>
      </c>
      <c r="AM9" s="40">
        <f t="shared" si="3"/>
        <v>2061</v>
      </c>
      <c r="AN9" s="40">
        <f t="shared" si="3"/>
        <v>2062</v>
      </c>
      <c r="AO9" s="40">
        <f t="shared" si="3"/>
        <v>2063</v>
      </c>
      <c r="AP9" s="40">
        <f t="shared" si="3"/>
        <v>2064</v>
      </c>
      <c r="AQ9" s="40">
        <f t="shared" si="3"/>
        <v>2065</v>
      </c>
      <c r="AR9" s="40">
        <f t="shared" si="3"/>
        <v>2066</v>
      </c>
      <c r="AS9" s="40">
        <f t="shared" si="3"/>
        <v>2067</v>
      </c>
      <c r="AT9" s="40">
        <f t="shared" si="3"/>
        <v>2068</v>
      </c>
      <c r="AU9" s="40">
        <f t="shared" si="3"/>
        <v>2069</v>
      </c>
      <c r="AV9" s="40">
        <f t="shared" si="3"/>
        <v>2070</v>
      </c>
      <c r="AW9" s="41">
        <f t="shared" si="3"/>
        <v>2071</v>
      </c>
    </row>
    <row r="10" spans="1:49" ht="14.25" customHeight="1">
      <c r="A10" s="1"/>
      <c r="B10" s="84"/>
      <c r="C10" s="94"/>
      <c r="D10" s="142">
        <f>'Assumptions &amp; Inputs'!G27</f>
        <v>46023</v>
      </c>
      <c r="E10" s="142">
        <f t="shared" ref="E10:X10" si="4">DATE(E9, 12, 31)</f>
        <v>46752</v>
      </c>
      <c r="F10" s="142">
        <f t="shared" si="4"/>
        <v>47118</v>
      </c>
      <c r="G10" s="142">
        <f t="shared" si="4"/>
        <v>47483</v>
      </c>
      <c r="H10" s="142">
        <f t="shared" si="4"/>
        <v>47848</v>
      </c>
      <c r="I10" s="142">
        <f t="shared" si="4"/>
        <v>48213</v>
      </c>
      <c r="J10" s="142">
        <f t="shared" si="4"/>
        <v>48579</v>
      </c>
      <c r="K10" s="142">
        <f t="shared" si="4"/>
        <v>48944</v>
      </c>
      <c r="L10" s="142">
        <f t="shared" si="4"/>
        <v>49309</v>
      </c>
      <c r="M10" s="142">
        <f t="shared" si="4"/>
        <v>49674</v>
      </c>
      <c r="N10" s="142">
        <f t="shared" si="4"/>
        <v>50040</v>
      </c>
      <c r="O10" s="142">
        <f t="shared" si="4"/>
        <v>50405</v>
      </c>
      <c r="P10" s="142">
        <f t="shared" si="4"/>
        <v>50770</v>
      </c>
      <c r="Q10" s="142">
        <f t="shared" si="4"/>
        <v>51135</v>
      </c>
      <c r="R10" s="142">
        <f t="shared" si="4"/>
        <v>51501</v>
      </c>
      <c r="S10" s="142">
        <f t="shared" si="4"/>
        <v>51866</v>
      </c>
      <c r="T10" s="142">
        <f t="shared" si="4"/>
        <v>52231</v>
      </c>
      <c r="U10" s="142">
        <f t="shared" si="4"/>
        <v>52596</v>
      </c>
      <c r="V10" s="142">
        <f t="shared" si="4"/>
        <v>52962</v>
      </c>
      <c r="W10" s="142">
        <f t="shared" si="4"/>
        <v>53327</v>
      </c>
      <c r="X10" s="142">
        <f t="shared" si="4"/>
        <v>53692</v>
      </c>
      <c r="Y10" s="142">
        <f t="shared" ref="Y10" si="5">DATE(Y9, 12, 31)</f>
        <v>54057</v>
      </c>
      <c r="Z10" s="142">
        <f t="shared" ref="Z10" si="6">DATE(Z9, 12, 31)</f>
        <v>54423</v>
      </c>
      <c r="AA10" s="142">
        <f t="shared" ref="AA10" si="7">DATE(AA9, 12, 31)</f>
        <v>54788</v>
      </c>
      <c r="AB10" s="142">
        <f t="shared" ref="AB10" si="8">DATE(AB9, 12, 31)</f>
        <v>55153</v>
      </c>
      <c r="AC10" s="142">
        <f t="shared" ref="AC10" si="9">DATE(AC9, 12, 31)</f>
        <v>55518</v>
      </c>
      <c r="AD10" s="142">
        <f t="shared" ref="AD10" si="10">DATE(AD9, 12, 31)</f>
        <v>55884</v>
      </c>
      <c r="AE10" s="142">
        <f t="shared" ref="AE10" si="11">DATE(AE9, 12, 31)</f>
        <v>56249</v>
      </c>
      <c r="AF10" s="142">
        <f t="shared" ref="AF10" si="12">DATE(AF9, 12, 31)</f>
        <v>56614</v>
      </c>
      <c r="AG10" s="142">
        <f t="shared" ref="AG10" si="13">DATE(AG9, 12, 31)</f>
        <v>56979</v>
      </c>
      <c r="AH10" s="142">
        <f t="shared" ref="AH10" si="14">DATE(AH9, 12, 31)</f>
        <v>57345</v>
      </c>
      <c r="AI10" s="142">
        <f t="shared" ref="AI10" si="15">DATE(AI9, 12, 31)</f>
        <v>57710</v>
      </c>
      <c r="AJ10" s="142">
        <f t="shared" ref="AJ10" si="16">DATE(AJ9, 12, 31)</f>
        <v>58075</v>
      </c>
      <c r="AK10" s="142">
        <f t="shared" ref="AK10" si="17">DATE(AK9, 12, 31)</f>
        <v>58440</v>
      </c>
      <c r="AL10" s="142">
        <f t="shared" ref="AL10" si="18">DATE(AL9, 12, 31)</f>
        <v>58806</v>
      </c>
      <c r="AM10" s="142">
        <f t="shared" ref="AM10" si="19">DATE(AM9, 12, 31)</f>
        <v>59171</v>
      </c>
      <c r="AN10" s="142">
        <f t="shared" ref="AN10" si="20">DATE(AN9, 12, 31)</f>
        <v>59536</v>
      </c>
      <c r="AO10" s="142">
        <f t="shared" ref="AO10" si="21">DATE(AO9, 12, 31)</f>
        <v>59901</v>
      </c>
      <c r="AP10" s="142">
        <f t="shared" ref="AP10" si="22">DATE(AP9, 12, 31)</f>
        <v>60267</v>
      </c>
      <c r="AQ10" s="142">
        <f t="shared" ref="AQ10" si="23">DATE(AQ9, 12, 31)</f>
        <v>60632</v>
      </c>
      <c r="AR10" s="142">
        <f t="shared" ref="AR10" si="24">DATE(AR9, 12, 31)</f>
        <v>60997</v>
      </c>
      <c r="AS10" s="142">
        <f t="shared" ref="AS10" si="25">DATE(AS9, 12, 31)</f>
        <v>61362</v>
      </c>
      <c r="AT10" s="142">
        <f t="shared" ref="AT10" si="26">DATE(AT9, 12, 31)</f>
        <v>61728</v>
      </c>
      <c r="AU10" s="142">
        <f t="shared" ref="AU10" si="27">DATE(AU9, 12, 31)</f>
        <v>62093</v>
      </c>
      <c r="AV10" s="142">
        <f t="shared" ref="AV10" si="28">DATE(AV9, 12, 31)</f>
        <v>62458</v>
      </c>
      <c r="AW10" s="107">
        <f t="shared" ref="AW10" si="29">DATE(AW9, 12, 31)</f>
        <v>62823</v>
      </c>
    </row>
    <row r="11" spans="1:49" ht="15" customHeight="1">
      <c r="A11" s="1"/>
      <c r="B11" s="84"/>
      <c r="C11" s="252" t="s">
        <v>471</v>
      </c>
      <c r="D11" s="186">
        <f>IF(DATEDIF('Assumptions &amp; Inputs'!$H$27,DATE(YEAR('Assumptions &amp; Inputs'!$H$27),12,31),"m")&gt;'Assumptions &amp; Inputs'!$H$28, 'Assumptions &amp; Inputs'!$H$28, DATEDIF('Assumptions &amp; Inputs'!$H$27,DATE(YEAR('Assumptions &amp; Inputs'!$H$27),12,31),"m"))</f>
        <v>11</v>
      </c>
      <c r="E11" s="186">
        <f>IF('Assumptions &amp; Inputs'!$H$28-D12&lt;=12,MIN('Assumptions &amp; Inputs'!$H$28-D12,12), 0)</f>
        <v>7</v>
      </c>
      <c r="F11" s="186">
        <f>IF('Assumptions &amp; Inputs'!$H$28-E12&lt;=12,MIN('Assumptions &amp; Inputs'!$H$28-E12,12))</f>
        <v>0</v>
      </c>
      <c r="G11" s="186">
        <f>IF('Assumptions &amp; Inputs'!$H$28-F12&lt;=12,MIN('Assumptions &amp; Inputs'!$H$28-F12,12))</f>
        <v>0</v>
      </c>
      <c r="H11" s="186">
        <f>IF('Assumptions &amp; Inputs'!$H$28-G12&lt;=12,MIN('Assumptions &amp; Inputs'!$H$28-G12,12))</f>
        <v>0</v>
      </c>
      <c r="I11" s="186">
        <f>IF('Assumptions &amp; Inputs'!$H$28-H12&lt;=12,MIN('Assumptions &amp; Inputs'!$H$28-H12,12))</f>
        <v>0</v>
      </c>
      <c r="J11" s="186">
        <f>IF('Assumptions &amp; Inputs'!$H$28-I12&lt;=12,MIN('Assumptions &amp; Inputs'!$H$28-I12,12))</f>
        <v>0</v>
      </c>
      <c r="K11" s="186">
        <f>IF('Assumptions &amp; Inputs'!$H$28-J12&lt;=12,MIN('Assumptions &amp; Inputs'!$H$28-J12,12))</f>
        <v>0</v>
      </c>
      <c r="L11" s="186">
        <f>IF('Assumptions &amp; Inputs'!$H$28-K12&lt;=12,MIN('Assumptions &amp; Inputs'!$H$28-K12,12))</f>
        <v>0</v>
      </c>
      <c r="M11" s="186">
        <f>IF('Assumptions &amp; Inputs'!$H$28-L12&lt;=12,MIN('Assumptions &amp; Inputs'!$H$28-L12,12))</f>
        <v>0</v>
      </c>
      <c r="N11" s="186">
        <f>IF('Assumptions &amp; Inputs'!$H$28-M12&lt;=12,MIN('Assumptions &amp; Inputs'!$H$28-M12,12))</f>
        <v>0</v>
      </c>
      <c r="O11" s="186">
        <f>IF('Assumptions &amp; Inputs'!$H$28-N12&lt;=12,MIN('Assumptions &amp; Inputs'!$H$28-N12,12))</f>
        <v>0</v>
      </c>
      <c r="P11" s="186">
        <f>IF('Assumptions &amp; Inputs'!$H$28-O12&lt;=12,MIN('Assumptions &amp; Inputs'!$H$28-O12,12))</f>
        <v>0</v>
      </c>
      <c r="Q11" s="186">
        <f>IF('Assumptions &amp; Inputs'!$H$28-P12&lt;=12,MIN('Assumptions &amp; Inputs'!$H$28-P12,12))</f>
        <v>0</v>
      </c>
      <c r="R11" s="186">
        <f>IF('Assumptions &amp; Inputs'!$H$28-Q12&lt;=12,MIN('Assumptions &amp; Inputs'!$H$28-Q12,12))</f>
        <v>0</v>
      </c>
      <c r="S11" s="186">
        <f>IF('Assumptions &amp; Inputs'!$H$28-R12&lt;=12,MIN('Assumptions &amp; Inputs'!$H$28-R12,12))</f>
        <v>0</v>
      </c>
      <c r="T11" s="186">
        <f>IF('Assumptions &amp; Inputs'!$H$28-S12&lt;=12,MIN('Assumptions &amp; Inputs'!$H$28-S12,12))</f>
        <v>0</v>
      </c>
      <c r="U11" s="186">
        <f>IF('Assumptions &amp; Inputs'!$H$28-T12&lt;=12,MIN('Assumptions &amp; Inputs'!$H$28-T12,12))</f>
        <v>0</v>
      </c>
      <c r="V11" s="186">
        <f>IF('Assumptions &amp; Inputs'!$H$28-U12&lt;=12,MIN('Assumptions &amp; Inputs'!$H$28-U12,12))</f>
        <v>0</v>
      </c>
      <c r="W11" s="186">
        <f>IF('Assumptions &amp; Inputs'!$H$28-V12&lt;=12,MIN('Assumptions &amp; Inputs'!$H$28-V12,12))</f>
        <v>0</v>
      </c>
      <c r="X11" s="186">
        <f>IF('Assumptions &amp; Inputs'!$H$28-W12&lt;=12,MIN('Assumptions &amp; Inputs'!$H$28-W12,12))</f>
        <v>0</v>
      </c>
      <c r="Y11" s="186">
        <f>IF('Assumptions &amp; Inputs'!$H$28-X12&lt;=12,MIN('Assumptions &amp; Inputs'!$H$28-X12,12))</f>
        <v>0</v>
      </c>
      <c r="Z11" s="186">
        <f>IF('Assumptions &amp; Inputs'!$H$28-Y12&lt;=12,MIN('Assumptions &amp; Inputs'!$H$28-Y12,12))</f>
        <v>0</v>
      </c>
      <c r="AA11" s="186">
        <f>IF('Assumptions &amp; Inputs'!$H$28-Z12&lt;=12,MIN('Assumptions &amp; Inputs'!$H$28-Z12,12))</f>
        <v>0</v>
      </c>
      <c r="AB11" s="186">
        <f>IF('Assumptions &amp; Inputs'!$H$28-AA12&lt;=12,MIN('Assumptions &amp; Inputs'!$H$28-AA12,12))</f>
        <v>0</v>
      </c>
      <c r="AC11" s="186">
        <f>IF('Assumptions &amp; Inputs'!$H$28-AB12&lt;=12,MIN('Assumptions &amp; Inputs'!$H$28-AB12,12))</f>
        <v>0</v>
      </c>
      <c r="AD11" s="186">
        <f>IF('Assumptions &amp; Inputs'!$H$28-AC12&lt;=12,MIN('Assumptions &amp; Inputs'!$H$28-AC12,12))</f>
        <v>0</v>
      </c>
      <c r="AE11" s="186">
        <f>IF('Assumptions &amp; Inputs'!$H$28-AD12&lt;=12,MIN('Assumptions &amp; Inputs'!$H$28-AD12,12))</f>
        <v>0</v>
      </c>
      <c r="AF11" s="186">
        <f>IF('Assumptions &amp; Inputs'!$H$28-AE12&lt;=12,MIN('Assumptions &amp; Inputs'!$H$28-AE12,12))</f>
        <v>0</v>
      </c>
      <c r="AG11" s="186">
        <f>IF('Assumptions &amp; Inputs'!$H$28-AF12&lt;=12,MIN('Assumptions &amp; Inputs'!$H$28-AF12,12))</f>
        <v>0</v>
      </c>
      <c r="AH11" s="186">
        <f>IF('Assumptions &amp; Inputs'!$H$28-AG12&lt;=12,MIN('Assumptions &amp; Inputs'!$H$28-AG12,12))</f>
        <v>0</v>
      </c>
      <c r="AI11" s="186">
        <f>IF('Assumptions &amp; Inputs'!$H$28-AH12&lt;=12,MIN('Assumptions &amp; Inputs'!$H$28-AH12,12))</f>
        <v>0</v>
      </c>
      <c r="AJ11" s="186">
        <f>IF('Assumptions &amp; Inputs'!$H$28-AI12&lt;=12,MIN('Assumptions &amp; Inputs'!$H$28-AI12,12))</f>
        <v>0</v>
      </c>
      <c r="AK11" s="186">
        <f>IF('Assumptions &amp; Inputs'!$H$28-AJ12&lt;=12,MIN('Assumptions &amp; Inputs'!$H$28-AJ12,12))</f>
        <v>0</v>
      </c>
      <c r="AL11" s="186">
        <f>IF('Assumptions &amp; Inputs'!$H$28-AK12&lt;=12,MIN('Assumptions &amp; Inputs'!$H$28-AK12,12))</f>
        <v>0</v>
      </c>
      <c r="AM11" s="186">
        <f>IF('Assumptions &amp; Inputs'!$H$28-AL12&lt;=12,MIN('Assumptions &amp; Inputs'!$H$28-AL12,12))</f>
        <v>0</v>
      </c>
      <c r="AN11" s="186">
        <f>IF('Assumptions &amp; Inputs'!$H$28-AM12&lt;=12,MIN('Assumptions &amp; Inputs'!$H$28-AM12,12))</f>
        <v>0</v>
      </c>
      <c r="AO11" s="186">
        <f>IF('Assumptions &amp; Inputs'!$H$28-AN12&lt;=12,MIN('Assumptions &amp; Inputs'!$H$28-AN12,12))</f>
        <v>0</v>
      </c>
      <c r="AP11" s="186">
        <f>IF('Assumptions &amp; Inputs'!$H$28-AO12&lt;=12,MIN('Assumptions &amp; Inputs'!$H$28-AO12,12))</f>
        <v>0</v>
      </c>
      <c r="AQ11" s="186">
        <f>IF('Assumptions &amp; Inputs'!$H$28-AP12&lt;=12,MIN('Assumptions &amp; Inputs'!$H$28-AP12,12))</f>
        <v>0</v>
      </c>
      <c r="AR11" s="186">
        <f>IF('Assumptions &amp; Inputs'!$H$28-AQ12&lt;=12,MIN('Assumptions &amp; Inputs'!$H$28-AQ12,12))</f>
        <v>0</v>
      </c>
      <c r="AS11" s="186">
        <f>IF('Assumptions &amp; Inputs'!$H$28-AR12&lt;=12,MIN('Assumptions &amp; Inputs'!$H$28-AR12,12))</f>
        <v>0</v>
      </c>
      <c r="AT11" s="186">
        <f>IF('Assumptions &amp; Inputs'!$H$28-AS12&lt;=12,MIN('Assumptions &amp; Inputs'!$H$28-AS12,12))</f>
        <v>0</v>
      </c>
      <c r="AU11" s="186">
        <f>IF('Assumptions &amp; Inputs'!$H$28-AT12&lt;=12,MIN('Assumptions &amp; Inputs'!$H$28-AT12,12))</f>
        <v>0</v>
      </c>
      <c r="AV11" s="186">
        <f>IF('Assumptions &amp; Inputs'!$H$28-AU12&lt;=12,MIN('Assumptions &amp; Inputs'!$H$28-AU12,12))</f>
        <v>0</v>
      </c>
      <c r="AW11" s="197">
        <f>IF('Assumptions &amp; Inputs'!$H$28-AV12&lt;=12,MIN('Assumptions &amp; Inputs'!$H$28-AV12,12))</f>
        <v>0</v>
      </c>
    </row>
    <row r="12" spans="1:49" ht="15" customHeight="1">
      <c r="A12" s="1"/>
      <c r="B12" s="84"/>
      <c r="C12" s="252" t="s">
        <v>472</v>
      </c>
      <c r="D12" s="186">
        <f>D11</f>
        <v>11</v>
      </c>
      <c r="E12" s="186">
        <f>SUM(D11:E11)</f>
        <v>18</v>
      </c>
      <c r="F12" s="186">
        <f>SUM($D$11:F11)</f>
        <v>18</v>
      </c>
      <c r="G12" s="186">
        <f>SUM($D$11:G11)</f>
        <v>18</v>
      </c>
      <c r="H12" s="186">
        <f>SUM($D$11:H11)</f>
        <v>18</v>
      </c>
      <c r="I12" s="186">
        <f>SUM($D$11:I11)</f>
        <v>18</v>
      </c>
      <c r="J12" s="186">
        <f>SUM($D$11:J11)</f>
        <v>18</v>
      </c>
      <c r="K12" s="186">
        <f>SUM($D$11:K11)</f>
        <v>18</v>
      </c>
      <c r="L12" s="186">
        <f>SUM($D$11:L11)</f>
        <v>18</v>
      </c>
      <c r="M12" s="186">
        <f>SUM($D$11:M11)</f>
        <v>18</v>
      </c>
      <c r="N12" s="186">
        <f>SUM($D$11:N11)</f>
        <v>18</v>
      </c>
      <c r="O12" s="186">
        <f>SUM($D$11:O11)</f>
        <v>18</v>
      </c>
      <c r="P12" s="186">
        <f>SUM($D$11:P11)</f>
        <v>18</v>
      </c>
      <c r="Q12" s="186">
        <f>SUM($D$11:Q11)</f>
        <v>18</v>
      </c>
      <c r="R12" s="186">
        <f>SUM($D$11:R11)</f>
        <v>18</v>
      </c>
      <c r="S12" s="186">
        <f>SUM($D$11:S11)</f>
        <v>18</v>
      </c>
      <c r="T12" s="186">
        <f>SUM($D$11:T11)</f>
        <v>18</v>
      </c>
      <c r="U12" s="186">
        <f>SUM($D$11:U11)</f>
        <v>18</v>
      </c>
      <c r="V12" s="186">
        <f>SUM($D$11:V11)</f>
        <v>18</v>
      </c>
      <c r="W12" s="186">
        <f>SUM($D$11:W11)</f>
        <v>18</v>
      </c>
      <c r="X12" s="186">
        <f>SUM($D$11:X11)</f>
        <v>18</v>
      </c>
      <c r="Y12" s="186">
        <f>SUM($D$11:Y11)</f>
        <v>18</v>
      </c>
      <c r="Z12" s="186">
        <f>SUM($D$11:Z11)</f>
        <v>18</v>
      </c>
      <c r="AA12" s="186">
        <f>SUM($D$11:AA11)</f>
        <v>18</v>
      </c>
      <c r="AB12" s="186">
        <f>SUM($D$11:AB11)</f>
        <v>18</v>
      </c>
      <c r="AC12" s="186">
        <f>SUM($D$11:AC11)</f>
        <v>18</v>
      </c>
      <c r="AD12" s="186">
        <f>SUM($D$11:AD11)</f>
        <v>18</v>
      </c>
      <c r="AE12" s="186">
        <f>SUM($D$11:AE11)</f>
        <v>18</v>
      </c>
      <c r="AF12" s="186">
        <f>SUM($D$11:AF11)</f>
        <v>18</v>
      </c>
      <c r="AG12" s="186">
        <f>SUM($D$11:AG11)</f>
        <v>18</v>
      </c>
      <c r="AH12" s="186">
        <f>SUM($D$11:AH11)</f>
        <v>18</v>
      </c>
      <c r="AI12" s="186">
        <f>SUM($D$11:AI11)</f>
        <v>18</v>
      </c>
      <c r="AJ12" s="186">
        <f>SUM($D$11:AJ11)</f>
        <v>18</v>
      </c>
      <c r="AK12" s="186">
        <f>SUM($D$11:AK11)</f>
        <v>18</v>
      </c>
      <c r="AL12" s="186">
        <f>SUM($D$11:AL11)</f>
        <v>18</v>
      </c>
      <c r="AM12" s="186">
        <f>SUM($D$11:AM11)</f>
        <v>18</v>
      </c>
      <c r="AN12" s="186">
        <f>SUM($D$11:AN11)</f>
        <v>18</v>
      </c>
      <c r="AO12" s="186">
        <f>SUM($D$11:AO11)</f>
        <v>18</v>
      </c>
      <c r="AP12" s="186">
        <f>SUM($D$11:AP11)</f>
        <v>18</v>
      </c>
      <c r="AQ12" s="186">
        <f>SUM($D$11:AQ11)</f>
        <v>18</v>
      </c>
      <c r="AR12" s="186">
        <f>SUM($D$11:AR11)</f>
        <v>18</v>
      </c>
      <c r="AS12" s="186">
        <f>SUM($D$11:AS11)</f>
        <v>18</v>
      </c>
      <c r="AT12" s="186">
        <f>SUM($D$11:AT11)</f>
        <v>18</v>
      </c>
      <c r="AU12" s="186">
        <f>SUM($D$11:AU11)</f>
        <v>18</v>
      </c>
      <c r="AV12" s="186">
        <f>SUM($D$11:AV11)</f>
        <v>18</v>
      </c>
      <c r="AW12" s="197">
        <f>SUM($D$11:AW11)</f>
        <v>18</v>
      </c>
    </row>
    <row r="13" spans="1:49" ht="15" customHeight="1">
      <c r="A13" s="1"/>
      <c r="B13" s="84"/>
      <c r="C13" s="96" t="s">
        <v>493</v>
      </c>
      <c r="D13" s="187">
        <f>IF(AND(MOD(D9-YEAR('Assumptions &amp; Inputs'!$H$31),'Assumptions &amp; Inputs'!$H$34)=0, D9&lt;YEAR('Assumptions &amp; Inputs'!$H$36), D9&gt;YEAR('Assumptions &amp; Inputs'!$H$31)), (-'Assumptions &amp; Inputs'!$H$38)*'Assumptions &amp; Inputs'!$H$33, -D11/'Assumptions &amp; Inputs'!$H$28*'Assumptions &amp; Inputs'!$H$38)</f>
        <v>-73.333333333333343</v>
      </c>
      <c r="E13" s="187">
        <f>IF(AND(MOD(E9-YEAR('Assumptions &amp; Inputs'!$H$31),'Assumptions &amp; Inputs'!$H$34)=0, E9&lt;YEAR('Assumptions &amp; Inputs'!$H$36), E9&gt;YEAR('Assumptions &amp; Inputs'!$H$31)), (-'Assumptions &amp; Inputs'!$H$38)*'Assumptions &amp; Inputs'!$H$33, -E11/'Assumptions &amp; Inputs'!$H$28*'Assumptions &amp; Inputs'!$H$38)</f>
        <v>-46.666666666666664</v>
      </c>
      <c r="F13" s="187">
        <f>IF(AND(MOD(F9-YEAR('Assumptions &amp; Inputs'!$H$31),'Assumptions &amp; Inputs'!$H$34)=0, F9&lt;YEAR('Assumptions &amp; Inputs'!$H$36), F9&gt;YEAR('Assumptions &amp; Inputs'!$H$31)), (-'Assumptions &amp; Inputs'!$H$38)*'Assumptions &amp; Inputs'!$H$33, -F11/'Assumptions &amp; Inputs'!$H$28*'Assumptions &amp; Inputs'!$H$38)</f>
        <v>0</v>
      </c>
      <c r="G13" s="187">
        <f>IF(AND(MOD(G9-YEAR('Assumptions &amp; Inputs'!$H$31),'Assumptions &amp; Inputs'!$H$34)=0, G9&lt;YEAR('Assumptions &amp; Inputs'!$H$36), G9&gt;YEAR('Assumptions &amp; Inputs'!$H$31)), (-'Assumptions &amp; Inputs'!$H$38)*'Assumptions &amp; Inputs'!$H$33, -G11/'Assumptions &amp; Inputs'!$H$28*'Assumptions &amp; Inputs'!$H$38)</f>
        <v>0</v>
      </c>
      <c r="H13" s="187">
        <f>IF(AND(MOD(H9-YEAR('Assumptions &amp; Inputs'!$H$31),'Assumptions &amp; Inputs'!$H$34)=0, H9&lt;YEAR('Assumptions &amp; Inputs'!$H$36), H9&gt;YEAR('Assumptions &amp; Inputs'!$H$31)), (-'Assumptions &amp; Inputs'!$H$38)*'Assumptions &amp; Inputs'!$H$33, -H11/'Assumptions &amp; Inputs'!$H$28*'Assumptions &amp; Inputs'!$H$38)</f>
        <v>0</v>
      </c>
      <c r="I13" s="187">
        <f>IF(AND(MOD(I9-YEAR('Assumptions &amp; Inputs'!$H$31),'Assumptions &amp; Inputs'!$H$34)=0, I9&lt;YEAR('Assumptions &amp; Inputs'!$H$36), I9&gt;YEAR('Assumptions &amp; Inputs'!$H$31)), (-'Assumptions &amp; Inputs'!$H$38)*'Assumptions &amp; Inputs'!$H$33, -I11/'Assumptions &amp; Inputs'!$H$28*'Assumptions &amp; Inputs'!$H$38)</f>
        <v>0</v>
      </c>
      <c r="J13" s="187">
        <f>IF(AND(MOD(J9-YEAR('Assumptions &amp; Inputs'!$H$31),'Assumptions &amp; Inputs'!$H$34)=0, J9&lt;YEAR('Assumptions &amp; Inputs'!$H$36), J9&gt;YEAR('Assumptions &amp; Inputs'!$H$31)), (-'Assumptions &amp; Inputs'!$H$38)*'Assumptions &amp; Inputs'!$H$33, -J11/'Assumptions &amp; Inputs'!$H$28*'Assumptions &amp; Inputs'!$H$38)</f>
        <v>0</v>
      </c>
      <c r="K13" s="187">
        <f>IF(AND(MOD(K9-YEAR('Assumptions &amp; Inputs'!$H$31),'Assumptions &amp; Inputs'!$H$34)=0, K9&lt;YEAR('Assumptions &amp; Inputs'!$H$36), K9&gt;YEAR('Assumptions &amp; Inputs'!$H$31)), (-'Assumptions &amp; Inputs'!$H$38)*'Assumptions &amp; Inputs'!$H$33, -K11/'Assumptions &amp; Inputs'!$H$28*'Assumptions &amp; Inputs'!$H$38)</f>
        <v>0</v>
      </c>
      <c r="L13" s="187">
        <f>IF(AND(MOD(L9-YEAR('Assumptions &amp; Inputs'!$H$31),'Assumptions &amp; Inputs'!$H$34)=0, L9&lt;YEAR('Assumptions &amp; Inputs'!$H$36), L9&gt;YEAR('Assumptions &amp; Inputs'!$H$31)), (-'Assumptions &amp; Inputs'!$H$38)*'Assumptions &amp; Inputs'!$H$33, -L11/'Assumptions &amp; Inputs'!$H$28*'Assumptions &amp; Inputs'!$H$38)</f>
        <v>0</v>
      </c>
      <c r="M13" s="187">
        <f>IF(AND(MOD(M9-YEAR('Assumptions &amp; Inputs'!$H$31),'Assumptions &amp; Inputs'!$H$34)=0, M9&lt;YEAR('Assumptions &amp; Inputs'!$H$36), M9&gt;YEAR('Assumptions &amp; Inputs'!$H$31)), (-'Assumptions &amp; Inputs'!$H$38)*'Assumptions &amp; Inputs'!$H$33, -M11/'Assumptions &amp; Inputs'!$H$28*'Assumptions &amp; Inputs'!$H$38)</f>
        <v>0</v>
      </c>
      <c r="N13" s="187">
        <f>IF(AND(MOD(N9-YEAR('Assumptions &amp; Inputs'!$H$31),'Assumptions &amp; Inputs'!$H$34)=0, N9&lt;YEAR('Assumptions &amp; Inputs'!$H$36), N9&gt;YEAR('Assumptions &amp; Inputs'!$H$31)), (-'Assumptions &amp; Inputs'!$H$38)*'Assumptions &amp; Inputs'!$H$33, -N11/'Assumptions &amp; Inputs'!$H$28*'Assumptions &amp; Inputs'!$H$38)</f>
        <v>0</v>
      </c>
      <c r="O13" s="187">
        <f>IF(AND(MOD(O9-YEAR('Assumptions &amp; Inputs'!$H$31),'Assumptions &amp; Inputs'!$H$34)=0, O9&lt;YEAR('Assumptions &amp; Inputs'!$H$36), O9&gt;YEAR('Assumptions &amp; Inputs'!$H$31)), (-'Assumptions &amp; Inputs'!$H$38)*'Assumptions &amp; Inputs'!$H$33, -O11/'Assumptions &amp; Inputs'!$H$28*'Assumptions &amp; Inputs'!$H$38)</f>
        <v>0</v>
      </c>
      <c r="P13" s="187">
        <f>IF(AND(MOD(P9-YEAR('Assumptions &amp; Inputs'!$H$31),'Assumptions &amp; Inputs'!$H$34)=0, P9&lt;YEAR('Assumptions &amp; Inputs'!$H$36), P9&gt;YEAR('Assumptions &amp; Inputs'!$H$31)), (-'Assumptions &amp; Inputs'!$H$38)*'Assumptions &amp; Inputs'!$H$33, -P11/'Assumptions &amp; Inputs'!$H$28*'Assumptions &amp; Inputs'!$H$38)</f>
        <v>0</v>
      </c>
      <c r="Q13" s="187">
        <f>IF(AND(MOD(Q9-YEAR('Assumptions &amp; Inputs'!$H$31),'Assumptions &amp; Inputs'!$H$34)=0, Q9&lt;YEAR('Assumptions &amp; Inputs'!$H$36), Q9&gt;YEAR('Assumptions &amp; Inputs'!$H$31)), (-'Assumptions &amp; Inputs'!$H$38)*'Assumptions &amp; Inputs'!$H$33, -Q11/'Assumptions &amp; Inputs'!$H$28*'Assumptions &amp; Inputs'!$H$38)</f>
        <v>0</v>
      </c>
      <c r="R13" s="187">
        <f>IF(AND(MOD(R9-YEAR('Assumptions &amp; Inputs'!$H$31),'Assumptions &amp; Inputs'!$H$34)=0, R9&lt;YEAR('Assumptions &amp; Inputs'!$H$36), R9&gt;YEAR('Assumptions &amp; Inputs'!$H$31)), (-'Assumptions &amp; Inputs'!$H$38)*'Assumptions &amp; Inputs'!$H$33, -R11/'Assumptions &amp; Inputs'!$H$28*'Assumptions &amp; Inputs'!$H$38)</f>
        <v>0</v>
      </c>
      <c r="S13" s="187">
        <f>IF(AND(MOD(S9-YEAR('Assumptions &amp; Inputs'!$H$31),'Assumptions &amp; Inputs'!$H$34)=0, S9&lt;YEAR('Assumptions &amp; Inputs'!$H$36), S9&gt;YEAR('Assumptions &amp; Inputs'!$H$31)), (-'Assumptions &amp; Inputs'!$H$38)*'Assumptions &amp; Inputs'!$H$33, -S11/'Assumptions &amp; Inputs'!$H$28*'Assumptions &amp; Inputs'!$H$38)</f>
        <v>0</v>
      </c>
      <c r="T13" s="187">
        <f>IF(AND(MOD(T9-YEAR('Assumptions &amp; Inputs'!$H$31),'Assumptions &amp; Inputs'!$H$34)=0, T9&lt;YEAR('Assumptions &amp; Inputs'!$H$36), T9&gt;YEAR('Assumptions &amp; Inputs'!$H$31)), (-'Assumptions &amp; Inputs'!$H$38)*'Assumptions &amp; Inputs'!$H$33, -T11/'Assumptions &amp; Inputs'!$H$28*'Assumptions &amp; Inputs'!$H$38)</f>
        <v>0</v>
      </c>
      <c r="U13" s="187">
        <f>IF(AND(MOD(U9-YEAR('Assumptions &amp; Inputs'!$H$31),'Assumptions &amp; Inputs'!$H$34)=0, U9&lt;YEAR('Assumptions &amp; Inputs'!$H$36), U9&gt;YEAR('Assumptions &amp; Inputs'!$H$31)), (-'Assumptions &amp; Inputs'!$H$38)*'Assumptions &amp; Inputs'!$H$33, -U11/'Assumptions &amp; Inputs'!$H$28*'Assumptions &amp; Inputs'!$H$38)</f>
        <v>0</v>
      </c>
      <c r="V13" s="187">
        <f>IF(AND(MOD(V9-YEAR('Assumptions &amp; Inputs'!$H$31),'Assumptions &amp; Inputs'!$H$34)=0, V9&lt;YEAR('Assumptions &amp; Inputs'!$H$36), V9&gt;YEAR('Assumptions &amp; Inputs'!$H$31)), (-'Assumptions &amp; Inputs'!$H$38)*'Assumptions &amp; Inputs'!$H$33, -V11/'Assumptions &amp; Inputs'!$H$28*'Assumptions &amp; Inputs'!$H$38)</f>
        <v>0</v>
      </c>
      <c r="W13" s="187">
        <f>IF(AND(MOD(W9-YEAR('Assumptions &amp; Inputs'!$H$31),'Assumptions &amp; Inputs'!$H$34)=0, W9&lt;YEAR('Assumptions &amp; Inputs'!$H$36), W9&gt;YEAR('Assumptions &amp; Inputs'!$H$31)), (-'Assumptions &amp; Inputs'!$H$38)*'Assumptions &amp; Inputs'!$H$33, -W11/'Assumptions &amp; Inputs'!$H$28*'Assumptions &amp; Inputs'!$H$38)</f>
        <v>0</v>
      </c>
      <c r="X13" s="187">
        <f>IF(AND(MOD(X9-YEAR('Assumptions &amp; Inputs'!$H$31),'Assumptions &amp; Inputs'!$H$34)=0, X9&lt;YEAR('Assumptions &amp; Inputs'!$H$36), X9&gt;YEAR('Assumptions &amp; Inputs'!$H$31)), (-'Assumptions &amp; Inputs'!$H$38)*'Assumptions &amp; Inputs'!$H$33, -X11/'Assumptions &amp; Inputs'!$H$28*'Assumptions &amp; Inputs'!$H$38)</f>
        <v>0</v>
      </c>
      <c r="Y13" s="187">
        <f>IF(AND(MOD(Y9-YEAR('Assumptions &amp; Inputs'!$H$31),'Assumptions &amp; Inputs'!$H$34)=0, Y9&lt;YEAR('Assumptions &amp; Inputs'!$H$36), Y9&gt;YEAR('Assumptions &amp; Inputs'!$H$31)), (-'Assumptions &amp; Inputs'!$H$38)*'Assumptions &amp; Inputs'!$H$33, -Y11/'Assumptions &amp; Inputs'!$H$28*'Assumptions &amp; Inputs'!$H$38)</f>
        <v>0</v>
      </c>
      <c r="Z13" s="187">
        <f>IF(AND(MOD(Z9-YEAR('Assumptions &amp; Inputs'!$H$31),'Assumptions &amp; Inputs'!$H$34)=0, Z9&lt;YEAR('Assumptions &amp; Inputs'!$H$36), Z9&gt;YEAR('Assumptions &amp; Inputs'!$H$31)), (-'Assumptions &amp; Inputs'!$H$38)*'Assumptions &amp; Inputs'!$H$33, -Z11/'Assumptions &amp; Inputs'!$H$28*'Assumptions &amp; Inputs'!$H$38)</f>
        <v>0</v>
      </c>
      <c r="AA13" s="187">
        <f>IF(AND(MOD(AA9-YEAR('Assumptions &amp; Inputs'!$H$31),'Assumptions &amp; Inputs'!$H$34)=0, AA9&lt;YEAR('Assumptions &amp; Inputs'!$H$36), AA9&gt;YEAR('Assumptions &amp; Inputs'!$H$31)), (-'Assumptions &amp; Inputs'!$H$38)*'Assumptions &amp; Inputs'!$H$33, -AA11/'Assumptions &amp; Inputs'!$H$28*'Assumptions &amp; Inputs'!$H$38)</f>
        <v>0</v>
      </c>
      <c r="AB13" s="187">
        <f>IF(AND(MOD(AB9-YEAR('Assumptions &amp; Inputs'!$H$31),'Assumptions &amp; Inputs'!$H$34)=0, AB9&lt;YEAR('Assumptions &amp; Inputs'!$H$36), AB9&gt;YEAR('Assumptions &amp; Inputs'!$H$31)), (-'Assumptions &amp; Inputs'!$H$38)*'Assumptions &amp; Inputs'!$H$33, -AB11/'Assumptions &amp; Inputs'!$H$28*'Assumptions &amp; Inputs'!$H$38)</f>
        <v>0</v>
      </c>
      <c r="AC13" s="187">
        <f>IF(AND(MOD(AC9-YEAR('Assumptions &amp; Inputs'!$H$31),'Assumptions &amp; Inputs'!$H$34)=0, AC9&lt;YEAR('Assumptions &amp; Inputs'!$H$36), AC9&gt;YEAR('Assumptions &amp; Inputs'!$H$31)), (-'Assumptions &amp; Inputs'!$H$38)*'Assumptions &amp; Inputs'!$H$33, -AC11/'Assumptions &amp; Inputs'!$H$28*'Assumptions &amp; Inputs'!$H$38)</f>
        <v>0</v>
      </c>
      <c r="AD13" s="187">
        <f>IF(AND(MOD(AD9-YEAR('Assumptions &amp; Inputs'!$H$31),'Assumptions &amp; Inputs'!$H$34)=0, AD9&lt;YEAR('Assumptions &amp; Inputs'!$H$36), AD9&gt;YEAR('Assumptions &amp; Inputs'!$H$31)), (-'Assumptions &amp; Inputs'!$H$38)*'Assumptions &amp; Inputs'!$H$33, -AD11/'Assumptions &amp; Inputs'!$H$28*'Assumptions &amp; Inputs'!$H$38)</f>
        <v>0</v>
      </c>
      <c r="AE13" s="187">
        <f>IF(AND(MOD(AE9-YEAR('Assumptions &amp; Inputs'!$H$31),'Assumptions &amp; Inputs'!$H$34)=0, AE9&lt;YEAR('Assumptions &amp; Inputs'!$H$36), AE9&gt;YEAR('Assumptions &amp; Inputs'!$H$31)), (-'Assumptions &amp; Inputs'!$H$38)*'Assumptions &amp; Inputs'!$H$33, -AE11/'Assumptions &amp; Inputs'!$H$28*'Assumptions &amp; Inputs'!$H$38)</f>
        <v>0</v>
      </c>
      <c r="AF13" s="187">
        <f>IF(AND(MOD(AF9-YEAR('Assumptions &amp; Inputs'!$H$31),'Assumptions &amp; Inputs'!$H$34)=0, AF9&lt;YEAR('Assumptions &amp; Inputs'!$H$36), AF9&gt;YEAR('Assumptions &amp; Inputs'!$H$31)), (-'Assumptions &amp; Inputs'!$H$38)*'Assumptions &amp; Inputs'!$H$33, -AF11/'Assumptions &amp; Inputs'!$H$28*'Assumptions &amp; Inputs'!$H$38)</f>
        <v>0</v>
      </c>
      <c r="AG13" s="187">
        <f>IF(AND(MOD(AG9-YEAR('Assumptions &amp; Inputs'!$H$31),'Assumptions &amp; Inputs'!$H$34)=0, AG9&lt;YEAR('Assumptions &amp; Inputs'!$H$36), AG9&gt;YEAR('Assumptions &amp; Inputs'!$H$31)), (-'Assumptions &amp; Inputs'!$H$38)*'Assumptions &amp; Inputs'!$H$33, -AG11/'Assumptions &amp; Inputs'!$H$28*'Assumptions &amp; Inputs'!$H$38)</f>
        <v>0</v>
      </c>
      <c r="AH13" s="187">
        <f>IF(AND(MOD(AH9-YEAR('Assumptions &amp; Inputs'!$H$31),'Assumptions &amp; Inputs'!$H$34)=0, AH9&lt;YEAR('Assumptions &amp; Inputs'!$H$36), AH9&gt;YEAR('Assumptions &amp; Inputs'!$H$31)), (-'Assumptions &amp; Inputs'!$H$38)*'Assumptions &amp; Inputs'!$H$33, -AH11/'Assumptions &amp; Inputs'!$H$28*'Assumptions &amp; Inputs'!$H$38)</f>
        <v>0</v>
      </c>
      <c r="AI13" s="187">
        <f>IF(AND(MOD(AI9-YEAR('Assumptions &amp; Inputs'!$H$31),'Assumptions &amp; Inputs'!$H$34)=0, AI9&lt;YEAR('Assumptions &amp; Inputs'!$H$36), AI9&gt;YEAR('Assumptions &amp; Inputs'!$H$31)), (-'Assumptions &amp; Inputs'!$H$38)*'Assumptions &amp; Inputs'!$H$33, -AI11/'Assumptions &amp; Inputs'!$H$28*'Assumptions &amp; Inputs'!$H$38)</f>
        <v>0</v>
      </c>
      <c r="AJ13" s="187">
        <f>IF(AND(MOD(AJ9-YEAR('Assumptions &amp; Inputs'!$H$31),'Assumptions &amp; Inputs'!$H$34)=0, AJ9&lt;YEAR('Assumptions &amp; Inputs'!$H$36), AJ9&gt;YEAR('Assumptions &amp; Inputs'!$H$31)), (-'Assumptions &amp; Inputs'!$H$38)*'Assumptions &amp; Inputs'!$H$33, -AJ11/'Assumptions &amp; Inputs'!$H$28*'Assumptions &amp; Inputs'!$H$38)</f>
        <v>0</v>
      </c>
      <c r="AK13" s="187">
        <f>IF(AND(MOD(AK9-YEAR('Assumptions &amp; Inputs'!$H$31),'Assumptions &amp; Inputs'!$H$34)=0, AK9&lt;YEAR('Assumptions &amp; Inputs'!$H$36), AK9&gt;YEAR('Assumptions &amp; Inputs'!$H$31)), (-'Assumptions &amp; Inputs'!$H$38)*'Assumptions &amp; Inputs'!$H$33, -AK11/'Assumptions &amp; Inputs'!$H$28*'Assumptions &amp; Inputs'!$H$38)</f>
        <v>0</v>
      </c>
      <c r="AL13" s="187">
        <f>IF(AND(MOD(AL9-YEAR('Assumptions &amp; Inputs'!$H$31),'Assumptions &amp; Inputs'!$H$34)=0, AL9&lt;YEAR('Assumptions &amp; Inputs'!$H$36), AL9&gt;YEAR('Assumptions &amp; Inputs'!$H$31)), (-'Assumptions &amp; Inputs'!$H$38)*'Assumptions &amp; Inputs'!$H$33, -AL11/'Assumptions &amp; Inputs'!$H$28*'Assumptions &amp; Inputs'!$H$38)</f>
        <v>0</v>
      </c>
      <c r="AM13" s="187">
        <f>IF(AND(MOD(AM9-YEAR('Assumptions &amp; Inputs'!$H$31),'Assumptions &amp; Inputs'!$H$34)=0, AM9&lt;YEAR('Assumptions &amp; Inputs'!$H$36), AM9&gt;YEAR('Assumptions &amp; Inputs'!$H$31)), (-'Assumptions &amp; Inputs'!$H$38)*'Assumptions &amp; Inputs'!$H$33, -AM11/'Assumptions &amp; Inputs'!$H$28*'Assumptions &amp; Inputs'!$H$38)</f>
        <v>0</v>
      </c>
      <c r="AN13" s="187">
        <f>IF(AND(MOD(AN9-YEAR('Assumptions &amp; Inputs'!$H$31),'Assumptions &amp; Inputs'!$H$34)=0, AN9&lt;YEAR('Assumptions &amp; Inputs'!$H$36), AN9&gt;YEAR('Assumptions &amp; Inputs'!$H$31)), (-'Assumptions &amp; Inputs'!$H$38)*'Assumptions &amp; Inputs'!$H$33, -AN11/'Assumptions &amp; Inputs'!$H$28*'Assumptions &amp; Inputs'!$H$38)</f>
        <v>0</v>
      </c>
      <c r="AO13" s="187">
        <f>IF(AND(MOD(AO9-YEAR('Assumptions &amp; Inputs'!$H$31),'Assumptions &amp; Inputs'!$H$34)=0, AO9&lt;YEAR('Assumptions &amp; Inputs'!$H$36), AO9&gt;YEAR('Assumptions &amp; Inputs'!$H$31)), (-'Assumptions &amp; Inputs'!$H$38)*'Assumptions &amp; Inputs'!$H$33, -AO11/'Assumptions &amp; Inputs'!$H$28*'Assumptions &amp; Inputs'!$H$38)</f>
        <v>0</v>
      </c>
      <c r="AP13" s="187">
        <f>IF(AND(MOD(AP9-YEAR('Assumptions &amp; Inputs'!$H$31),'Assumptions &amp; Inputs'!$H$34)=0, AP9&lt;YEAR('Assumptions &amp; Inputs'!$H$36), AP9&gt;YEAR('Assumptions &amp; Inputs'!$H$31)), (-'Assumptions &amp; Inputs'!$H$38)*'Assumptions &amp; Inputs'!$H$33, -AP11/'Assumptions &amp; Inputs'!$H$28*'Assumptions &amp; Inputs'!$H$38)</f>
        <v>0</v>
      </c>
      <c r="AQ13" s="187">
        <f>IF(AND(MOD(AQ9-YEAR('Assumptions &amp; Inputs'!$H$31),'Assumptions &amp; Inputs'!$H$34)=0, AQ9&lt;YEAR('Assumptions &amp; Inputs'!$H$36), AQ9&gt;YEAR('Assumptions &amp; Inputs'!$H$31)), (-'Assumptions &amp; Inputs'!$H$38)*'Assumptions &amp; Inputs'!$H$33, -AQ11/'Assumptions &amp; Inputs'!$H$28*'Assumptions &amp; Inputs'!$H$38)</f>
        <v>0</v>
      </c>
      <c r="AR13" s="187">
        <f>IF(AND(MOD(AR9-YEAR('Assumptions &amp; Inputs'!$H$31),'Assumptions &amp; Inputs'!$H$34)=0, AR9&lt;YEAR('Assumptions &amp; Inputs'!$H$36), AR9&gt;YEAR('Assumptions &amp; Inputs'!$H$31)), (-'Assumptions &amp; Inputs'!$H$38)*'Assumptions &amp; Inputs'!$H$33, -AR11/'Assumptions &amp; Inputs'!$H$28*'Assumptions &amp; Inputs'!$H$38)</f>
        <v>0</v>
      </c>
      <c r="AS13" s="187">
        <f>IF(AND(MOD(AS9-YEAR('Assumptions &amp; Inputs'!$H$31),'Assumptions &amp; Inputs'!$H$34)=0, AS9&lt;YEAR('Assumptions &amp; Inputs'!$H$36), AS9&gt;YEAR('Assumptions &amp; Inputs'!$H$31)), (-'Assumptions &amp; Inputs'!$H$38)*'Assumptions &amp; Inputs'!$H$33, -AS11/'Assumptions &amp; Inputs'!$H$28*'Assumptions &amp; Inputs'!$H$38)</f>
        <v>0</v>
      </c>
      <c r="AT13" s="187">
        <f>IF(AND(MOD(AT9-YEAR('Assumptions &amp; Inputs'!$H$31),'Assumptions &amp; Inputs'!$H$34)=0, AT9&lt;YEAR('Assumptions &amp; Inputs'!$H$36), AT9&gt;YEAR('Assumptions &amp; Inputs'!$H$31)), (-'Assumptions &amp; Inputs'!$H$38)*'Assumptions &amp; Inputs'!$H$33, -AT11/'Assumptions &amp; Inputs'!$H$28*'Assumptions &amp; Inputs'!$H$38)</f>
        <v>0</v>
      </c>
      <c r="AU13" s="187">
        <f>IF(AND(MOD(AU9-YEAR('Assumptions &amp; Inputs'!$H$31),'Assumptions &amp; Inputs'!$H$34)=0, AU9&lt;YEAR('Assumptions &amp; Inputs'!$H$36), AU9&gt;YEAR('Assumptions &amp; Inputs'!$H$31)), (-'Assumptions &amp; Inputs'!$H$38)*'Assumptions &amp; Inputs'!$H$33, -AU11/'Assumptions &amp; Inputs'!$H$28*'Assumptions &amp; Inputs'!$H$38)</f>
        <v>0</v>
      </c>
      <c r="AV13" s="187">
        <f>IF(AND(MOD(AV9-YEAR('Assumptions &amp; Inputs'!$H$31),'Assumptions &amp; Inputs'!$H$34)=0, AV9&lt;YEAR('Assumptions &amp; Inputs'!$H$36), AV9&gt;YEAR('Assumptions &amp; Inputs'!$H$31)), (-'Assumptions &amp; Inputs'!$H$38)*'Assumptions &amp; Inputs'!$H$33, -AV11/'Assumptions &amp; Inputs'!$H$28*'Assumptions &amp; Inputs'!$H$38)</f>
        <v>0</v>
      </c>
      <c r="AW13" s="187">
        <f>IF(AND(MOD(AW9-YEAR('Assumptions &amp; Inputs'!$H$31),'Assumptions &amp; Inputs'!$H$34)=0, AW9&lt;YEAR('Assumptions &amp; Inputs'!$H$36), AW9&gt;YEAR('Assumptions &amp; Inputs'!$H$31)), (-'Assumptions &amp; Inputs'!$H$38)*'Assumptions &amp; Inputs'!$H$33, -AW11/'Assumptions &amp; Inputs'!$H$28*'Assumptions &amp; Inputs'!$H$38)</f>
        <v>0</v>
      </c>
    </row>
    <row r="14" spans="1:49" ht="15" customHeight="1">
      <c r="A14" s="1"/>
      <c r="B14" s="84"/>
      <c r="C14" s="94" t="s">
        <v>219</v>
      </c>
      <c r="D14" s="519">
        <f>D$13*'Assumptions &amp; Inputs'!$G39</f>
        <v>-3.6666666666666674</v>
      </c>
      <c r="E14" s="519">
        <f>E$13*'Assumptions &amp; Inputs'!$G39</f>
        <v>-2.3333333333333335</v>
      </c>
      <c r="F14" s="519">
        <f>F$13*'Assumptions &amp; Inputs'!$G39</f>
        <v>0</v>
      </c>
      <c r="G14" s="519">
        <f>G$13*'Assumptions &amp; Inputs'!$G39</f>
        <v>0</v>
      </c>
      <c r="H14" s="519">
        <f>H$13*'Assumptions &amp; Inputs'!$G39</f>
        <v>0</v>
      </c>
      <c r="I14" s="519">
        <f>I$13*'Assumptions &amp; Inputs'!$G39</f>
        <v>0</v>
      </c>
      <c r="J14" s="519">
        <f>J$13*'Assumptions &amp; Inputs'!$G39</f>
        <v>0</v>
      </c>
      <c r="K14" s="519">
        <f>K$13*'Assumptions &amp; Inputs'!$G39</f>
        <v>0</v>
      </c>
      <c r="L14" s="519">
        <f>L$13*'Assumptions &amp; Inputs'!$G39</f>
        <v>0</v>
      </c>
      <c r="M14" s="519">
        <f>M$13*'Assumptions &amp; Inputs'!$G39</f>
        <v>0</v>
      </c>
      <c r="N14" s="519">
        <f>N$13*'Assumptions &amp; Inputs'!$G39</f>
        <v>0</v>
      </c>
      <c r="O14" s="519">
        <f>O$13*'Assumptions &amp; Inputs'!$G39</f>
        <v>0</v>
      </c>
      <c r="P14" s="519">
        <f>P$13*'Assumptions &amp; Inputs'!$G39</f>
        <v>0</v>
      </c>
      <c r="Q14" s="519">
        <f>Q$13*'Assumptions &amp; Inputs'!$G39</f>
        <v>0</v>
      </c>
      <c r="R14" s="519">
        <f>R$13*'Assumptions &amp; Inputs'!$G39</f>
        <v>0</v>
      </c>
      <c r="S14" s="519">
        <f>S$13*'Assumptions &amp; Inputs'!$G39</f>
        <v>0</v>
      </c>
      <c r="T14" s="519">
        <f>T$13*'Assumptions &amp; Inputs'!$G39</f>
        <v>0</v>
      </c>
      <c r="U14" s="519">
        <f>U$13*'Assumptions &amp; Inputs'!$G39</f>
        <v>0</v>
      </c>
      <c r="V14" s="519">
        <f>V$13*'Assumptions &amp; Inputs'!$G39</f>
        <v>0</v>
      </c>
      <c r="W14" s="519">
        <f>W$13*'Assumptions &amp; Inputs'!$G39</f>
        <v>0</v>
      </c>
      <c r="X14" s="519">
        <f>X$13*'Assumptions &amp; Inputs'!$G39</f>
        <v>0</v>
      </c>
      <c r="Y14" s="519">
        <f>Y$13*'Assumptions &amp; Inputs'!$G39</f>
        <v>0</v>
      </c>
      <c r="Z14" s="519">
        <f>Z$13*'Assumptions &amp; Inputs'!$G39</f>
        <v>0</v>
      </c>
      <c r="AA14" s="519">
        <f>AA$13*'Assumptions &amp; Inputs'!$G39</f>
        <v>0</v>
      </c>
      <c r="AB14" s="519">
        <f>AB$13*'Assumptions &amp; Inputs'!$G39</f>
        <v>0</v>
      </c>
      <c r="AC14" s="519">
        <f>AC$13*'Assumptions &amp; Inputs'!$G39</f>
        <v>0</v>
      </c>
      <c r="AD14" s="519">
        <f>AD$13*'Assumptions &amp; Inputs'!$G39</f>
        <v>0</v>
      </c>
      <c r="AE14" s="519">
        <f>AE$13*'Assumptions &amp; Inputs'!$G39</f>
        <v>0</v>
      </c>
      <c r="AF14" s="519">
        <f>AF$13*'Assumptions &amp; Inputs'!$G39</f>
        <v>0</v>
      </c>
      <c r="AG14" s="519">
        <f>AG$13*'Assumptions &amp; Inputs'!$G39</f>
        <v>0</v>
      </c>
      <c r="AH14" s="519">
        <f>AH$13*'Assumptions &amp; Inputs'!$G39</f>
        <v>0</v>
      </c>
      <c r="AI14" s="519">
        <f>AI$13*'Assumptions &amp; Inputs'!$G39</f>
        <v>0</v>
      </c>
      <c r="AJ14" s="519">
        <f>AJ$13*'Assumptions &amp; Inputs'!$G39</f>
        <v>0</v>
      </c>
      <c r="AK14" s="519">
        <f>AK$13*'Assumptions &amp; Inputs'!$G39</f>
        <v>0</v>
      </c>
      <c r="AL14" s="519">
        <f>AL$13*'Assumptions &amp; Inputs'!$G39</f>
        <v>0</v>
      </c>
      <c r="AM14" s="519">
        <f>AM$13*'Assumptions &amp; Inputs'!$G39</f>
        <v>0</v>
      </c>
      <c r="AN14" s="519">
        <f>AN$13*'Assumptions &amp; Inputs'!$G39</f>
        <v>0</v>
      </c>
      <c r="AO14" s="519">
        <f>AO$13*'Assumptions &amp; Inputs'!$G39</f>
        <v>0</v>
      </c>
      <c r="AP14" s="519">
        <f>AP$13*'Assumptions &amp; Inputs'!$G39</f>
        <v>0</v>
      </c>
      <c r="AQ14" s="519">
        <f>AQ$13*'Assumptions &amp; Inputs'!$G39</f>
        <v>0</v>
      </c>
      <c r="AR14" s="519">
        <f>AR$13*'Assumptions &amp; Inputs'!$G39</f>
        <v>0</v>
      </c>
      <c r="AS14" s="519">
        <f>AS$13*'Assumptions &amp; Inputs'!$G39</f>
        <v>0</v>
      </c>
      <c r="AT14" s="519">
        <f>AT$13*'Assumptions &amp; Inputs'!$G39</f>
        <v>0</v>
      </c>
      <c r="AU14" s="519">
        <f>AU$13*'Assumptions &amp; Inputs'!$G39</f>
        <v>0</v>
      </c>
      <c r="AV14" s="519">
        <f>AV$13*'Assumptions &amp; Inputs'!$G39</f>
        <v>0</v>
      </c>
      <c r="AW14" s="520">
        <f>AW$13*'Assumptions &amp; Inputs'!$G39</f>
        <v>0</v>
      </c>
    </row>
    <row r="15" spans="1:49" ht="15" customHeight="1">
      <c r="A15" s="1"/>
      <c r="B15" s="84"/>
      <c r="C15" s="94" t="s">
        <v>220</v>
      </c>
      <c r="D15" s="519">
        <f>D$13*'Assumptions &amp; Inputs'!$G40</f>
        <v>-11.000000000000002</v>
      </c>
      <c r="E15" s="519">
        <f>E$13*'Assumptions &amp; Inputs'!$G40</f>
        <v>-6.9999999999999991</v>
      </c>
      <c r="F15" s="519">
        <f>F$13*'Assumptions &amp; Inputs'!$G40</f>
        <v>0</v>
      </c>
      <c r="G15" s="519">
        <f>G$13*'Assumptions &amp; Inputs'!$G40</f>
        <v>0</v>
      </c>
      <c r="H15" s="519">
        <f>H$13*'Assumptions &amp; Inputs'!$G40</f>
        <v>0</v>
      </c>
      <c r="I15" s="519">
        <f>I$13*'Assumptions &amp; Inputs'!$G40</f>
        <v>0</v>
      </c>
      <c r="J15" s="519">
        <f>J$13*'Assumptions &amp; Inputs'!$G40</f>
        <v>0</v>
      </c>
      <c r="K15" s="519">
        <f>K$13*'Assumptions &amp; Inputs'!$G40</f>
        <v>0</v>
      </c>
      <c r="L15" s="519">
        <f>L$13*'Assumptions &amp; Inputs'!$G40</f>
        <v>0</v>
      </c>
      <c r="M15" s="519">
        <f>M$13*'Assumptions &amp; Inputs'!$G40</f>
        <v>0</v>
      </c>
      <c r="N15" s="519">
        <f>N$13*'Assumptions &amp; Inputs'!$G40</f>
        <v>0</v>
      </c>
      <c r="O15" s="519">
        <f>O$13*'Assumptions &amp; Inputs'!$G40</f>
        <v>0</v>
      </c>
      <c r="P15" s="519">
        <f>P$13*'Assumptions &amp; Inputs'!$G40</f>
        <v>0</v>
      </c>
      <c r="Q15" s="519">
        <f>Q$13*'Assumptions &amp; Inputs'!$G40</f>
        <v>0</v>
      </c>
      <c r="R15" s="519">
        <f>R$13*'Assumptions &amp; Inputs'!$G40</f>
        <v>0</v>
      </c>
      <c r="S15" s="519">
        <f>S$13*'Assumptions &amp; Inputs'!$G40</f>
        <v>0</v>
      </c>
      <c r="T15" s="519">
        <f>T$13*'Assumptions &amp; Inputs'!$G40</f>
        <v>0</v>
      </c>
      <c r="U15" s="519">
        <f>U$13*'Assumptions &amp; Inputs'!$G40</f>
        <v>0</v>
      </c>
      <c r="V15" s="519">
        <f>V$13*'Assumptions &amp; Inputs'!$G40</f>
        <v>0</v>
      </c>
      <c r="W15" s="519">
        <f>W$13*'Assumptions &amp; Inputs'!$G40</f>
        <v>0</v>
      </c>
      <c r="X15" s="519">
        <f>X$13*'Assumptions &amp; Inputs'!$G40</f>
        <v>0</v>
      </c>
      <c r="Y15" s="519">
        <f>Y$13*'Assumptions &amp; Inputs'!$G40</f>
        <v>0</v>
      </c>
      <c r="Z15" s="519">
        <f>Z$13*'Assumptions &amp; Inputs'!$G40</f>
        <v>0</v>
      </c>
      <c r="AA15" s="519">
        <f>AA$13*'Assumptions &amp; Inputs'!$G40</f>
        <v>0</v>
      </c>
      <c r="AB15" s="519">
        <f>AB$13*'Assumptions &amp; Inputs'!$G40</f>
        <v>0</v>
      </c>
      <c r="AC15" s="519">
        <f>AC$13*'Assumptions &amp; Inputs'!$G40</f>
        <v>0</v>
      </c>
      <c r="AD15" s="519">
        <f>AD$13*'Assumptions &amp; Inputs'!$G40</f>
        <v>0</v>
      </c>
      <c r="AE15" s="519">
        <f>AE$13*'Assumptions &amp; Inputs'!$G40</f>
        <v>0</v>
      </c>
      <c r="AF15" s="519">
        <f>AF$13*'Assumptions &amp; Inputs'!$G40</f>
        <v>0</v>
      </c>
      <c r="AG15" s="519">
        <f>AG$13*'Assumptions &amp; Inputs'!$G40</f>
        <v>0</v>
      </c>
      <c r="AH15" s="519">
        <f>AH$13*'Assumptions &amp; Inputs'!$G40</f>
        <v>0</v>
      </c>
      <c r="AI15" s="519">
        <f>AI$13*'Assumptions &amp; Inputs'!$G40</f>
        <v>0</v>
      </c>
      <c r="AJ15" s="519">
        <f>AJ$13*'Assumptions &amp; Inputs'!$G40</f>
        <v>0</v>
      </c>
      <c r="AK15" s="519">
        <f>AK$13*'Assumptions &amp; Inputs'!$G40</f>
        <v>0</v>
      </c>
      <c r="AL15" s="519">
        <f>AL$13*'Assumptions &amp; Inputs'!$G40</f>
        <v>0</v>
      </c>
      <c r="AM15" s="519">
        <f>AM$13*'Assumptions &amp; Inputs'!$G40</f>
        <v>0</v>
      </c>
      <c r="AN15" s="519">
        <f>AN$13*'Assumptions &amp; Inputs'!$G40</f>
        <v>0</v>
      </c>
      <c r="AO15" s="519">
        <f>AO$13*'Assumptions &amp; Inputs'!$G40</f>
        <v>0</v>
      </c>
      <c r="AP15" s="519">
        <f>AP$13*'Assumptions &amp; Inputs'!$G40</f>
        <v>0</v>
      </c>
      <c r="AQ15" s="519">
        <f>AQ$13*'Assumptions &amp; Inputs'!$G40</f>
        <v>0</v>
      </c>
      <c r="AR15" s="519">
        <f>AR$13*'Assumptions &amp; Inputs'!$G40</f>
        <v>0</v>
      </c>
      <c r="AS15" s="519">
        <f>AS$13*'Assumptions &amp; Inputs'!$G40</f>
        <v>0</v>
      </c>
      <c r="AT15" s="519">
        <f>AT$13*'Assumptions &amp; Inputs'!$G40</f>
        <v>0</v>
      </c>
      <c r="AU15" s="519">
        <f>AU$13*'Assumptions &amp; Inputs'!$G40</f>
        <v>0</v>
      </c>
      <c r="AV15" s="519">
        <f>AV$13*'Assumptions &amp; Inputs'!$G40</f>
        <v>0</v>
      </c>
      <c r="AW15" s="520">
        <f>AW$13*'Assumptions &amp; Inputs'!$G40</f>
        <v>0</v>
      </c>
    </row>
    <row r="16" spans="1:49" ht="14.25" customHeight="1">
      <c r="A16" s="1"/>
      <c r="B16" s="84"/>
      <c r="C16" s="94" t="s">
        <v>221</v>
      </c>
      <c r="D16" s="519">
        <f>D$13*'Assumptions &amp; Inputs'!$G41</f>
        <v>-0.73333333333333339</v>
      </c>
      <c r="E16" s="519">
        <f>E$13*'Assumptions &amp; Inputs'!$G41</f>
        <v>-0.46666666666666667</v>
      </c>
      <c r="F16" s="519">
        <f>F$13*'Assumptions &amp; Inputs'!$G41</f>
        <v>0</v>
      </c>
      <c r="G16" s="519">
        <f>G$13*'Assumptions &amp; Inputs'!$G41</f>
        <v>0</v>
      </c>
      <c r="H16" s="519">
        <f>H$13*'Assumptions &amp; Inputs'!$G41</f>
        <v>0</v>
      </c>
      <c r="I16" s="519">
        <f>I$13*'Assumptions &amp; Inputs'!$G41</f>
        <v>0</v>
      </c>
      <c r="J16" s="519">
        <f>J$13*'Assumptions &amp; Inputs'!$G41</f>
        <v>0</v>
      </c>
      <c r="K16" s="519">
        <f>K$13*'Assumptions &amp; Inputs'!$G41</f>
        <v>0</v>
      </c>
      <c r="L16" s="519">
        <f>L$13*'Assumptions &amp; Inputs'!$G41</f>
        <v>0</v>
      </c>
      <c r="M16" s="519">
        <f>M$13*'Assumptions &amp; Inputs'!$G41</f>
        <v>0</v>
      </c>
      <c r="N16" s="519">
        <f>N$13*'Assumptions &amp; Inputs'!$G41</f>
        <v>0</v>
      </c>
      <c r="O16" s="519">
        <f>O$13*'Assumptions &amp; Inputs'!$G41</f>
        <v>0</v>
      </c>
      <c r="P16" s="519">
        <f>P$13*'Assumptions &amp; Inputs'!$G41</f>
        <v>0</v>
      </c>
      <c r="Q16" s="519">
        <f>Q$13*'Assumptions &amp; Inputs'!$G41</f>
        <v>0</v>
      </c>
      <c r="R16" s="519">
        <f>R$13*'Assumptions &amp; Inputs'!$G41</f>
        <v>0</v>
      </c>
      <c r="S16" s="519">
        <f>S$13*'Assumptions &amp; Inputs'!$G41</f>
        <v>0</v>
      </c>
      <c r="T16" s="519">
        <f>T$13*'Assumptions &amp; Inputs'!$G41</f>
        <v>0</v>
      </c>
      <c r="U16" s="519">
        <f>U$13*'Assumptions &amp; Inputs'!$G41</f>
        <v>0</v>
      </c>
      <c r="V16" s="519">
        <f>V$13*'Assumptions &amp; Inputs'!$G41</f>
        <v>0</v>
      </c>
      <c r="W16" s="519">
        <f>W$13*'Assumptions &amp; Inputs'!$G41</f>
        <v>0</v>
      </c>
      <c r="X16" s="519">
        <f>X$13*'Assumptions &amp; Inputs'!$G41</f>
        <v>0</v>
      </c>
      <c r="Y16" s="519">
        <f>Y$13*'Assumptions &amp; Inputs'!$G41</f>
        <v>0</v>
      </c>
      <c r="Z16" s="519">
        <f>Z$13*'Assumptions &amp; Inputs'!$G41</f>
        <v>0</v>
      </c>
      <c r="AA16" s="519">
        <f>AA$13*'Assumptions &amp; Inputs'!$G41</f>
        <v>0</v>
      </c>
      <c r="AB16" s="519">
        <f>AB$13*'Assumptions &amp; Inputs'!$G41</f>
        <v>0</v>
      </c>
      <c r="AC16" s="519">
        <f>AC$13*'Assumptions &amp; Inputs'!$G41</f>
        <v>0</v>
      </c>
      <c r="AD16" s="519">
        <f>AD$13*'Assumptions &amp; Inputs'!$G41</f>
        <v>0</v>
      </c>
      <c r="AE16" s="519">
        <f>AE$13*'Assumptions &amp; Inputs'!$G41</f>
        <v>0</v>
      </c>
      <c r="AF16" s="519">
        <f>AF$13*'Assumptions &amp; Inputs'!$G41</f>
        <v>0</v>
      </c>
      <c r="AG16" s="519">
        <f>AG$13*'Assumptions &amp; Inputs'!$G41</f>
        <v>0</v>
      </c>
      <c r="AH16" s="519">
        <f>AH$13*'Assumptions &amp; Inputs'!$G41</f>
        <v>0</v>
      </c>
      <c r="AI16" s="519">
        <f>AI$13*'Assumptions &amp; Inputs'!$G41</f>
        <v>0</v>
      </c>
      <c r="AJ16" s="519">
        <f>AJ$13*'Assumptions &amp; Inputs'!$G41</f>
        <v>0</v>
      </c>
      <c r="AK16" s="519">
        <f>AK$13*'Assumptions &amp; Inputs'!$G41</f>
        <v>0</v>
      </c>
      <c r="AL16" s="519">
        <f>AL$13*'Assumptions &amp; Inputs'!$G41</f>
        <v>0</v>
      </c>
      <c r="AM16" s="519">
        <f>AM$13*'Assumptions &amp; Inputs'!$G41</f>
        <v>0</v>
      </c>
      <c r="AN16" s="519">
        <f>AN$13*'Assumptions &amp; Inputs'!$G41</f>
        <v>0</v>
      </c>
      <c r="AO16" s="519">
        <f>AO$13*'Assumptions &amp; Inputs'!$G41</f>
        <v>0</v>
      </c>
      <c r="AP16" s="519">
        <f>AP$13*'Assumptions &amp; Inputs'!$G41</f>
        <v>0</v>
      </c>
      <c r="AQ16" s="519">
        <f>AQ$13*'Assumptions &amp; Inputs'!$G41</f>
        <v>0</v>
      </c>
      <c r="AR16" s="519">
        <f>AR$13*'Assumptions &amp; Inputs'!$G41</f>
        <v>0</v>
      </c>
      <c r="AS16" s="519">
        <f>AS$13*'Assumptions &amp; Inputs'!$G41</f>
        <v>0</v>
      </c>
      <c r="AT16" s="519">
        <f>AT$13*'Assumptions &amp; Inputs'!$G41</f>
        <v>0</v>
      </c>
      <c r="AU16" s="519">
        <f>AU$13*'Assumptions &amp; Inputs'!$G41</f>
        <v>0</v>
      </c>
      <c r="AV16" s="519">
        <f>AV$13*'Assumptions &amp; Inputs'!$G41</f>
        <v>0</v>
      </c>
      <c r="AW16" s="520">
        <f>AW$13*'Assumptions &amp; Inputs'!$G41</f>
        <v>0</v>
      </c>
    </row>
    <row r="17" spans="1:49" ht="13.5" customHeight="1">
      <c r="A17" s="1"/>
      <c r="B17" s="84"/>
      <c r="C17" s="94" t="s">
        <v>222</v>
      </c>
      <c r="D17" s="519">
        <f>D$13*'Assumptions &amp; Inputs'!$G42</f>
        <v>-5.8666666666666671</v>
      </c>
      <c r="E17" s="519">
        <f>E$13*'Assumptions &amp; Inputs'!$G42</f>
        <v>-3.7333333333333334</v>
      </c>
      <c r="F17" s="519">
        <f>F$13*'Assumptions &amp; Inputs'!$G42</f>
        <v>0</v>
      </c>
      <c r="G17" s="519">
        <f>G$13*'Assumptions &amp; Inputs'!$G42</f>
        <v>0</v>
      </c>
      <c r="H17" s="519">
        <f>H$13*'Assumptions &amp; Inputs'!$G42</f>
        <v>0</v>
      </c>
      <c r="I17" s="519">
        <f>I$13*'Assumptions &amp; Inputs'!$G42</f>
        <v>0</v>
      </c>
      <c r="J17" s="519">
        <f>J$13*'Assumptions &amp; Inputs'!$G42</f>
        <v>0</v>
      </c>
      <c r="K17" s="519">
        <f>K$13*'Assumptions &amp; Inputs'!$G42</f>
        <v>0</v>
      </c>
      <c r="L17" s="519">
        <f>L$13*'Assumptions &amp; Inputs'!$G42</f>
        <v>0</v>
      </c>
      <c r="M17" s="519">
        <f>M$13*'Assumptions &amp; Inputs'!$G42</f>
        <v>0</v>
      </c>
      <c r="N17" s="519">
        <f>N$13*'Assumptions &amp; Inputs'!$G42</f>
        <v>0</v>
      </c>
      <c r="O17" s="519">
        <f>O$13*'Assumptions &amp; Inputs'!$G42</f>
        <v>0</v>
      </c>
      <c r="P17" s="519">
        <f>P$13*'Assumptions &amp; Inputs'!$G42</f>
        <v>0</v>
      </c>
      <c r="Q17" s="519">
        <f>Q$13*'Assumptions &amp; Inputs'!$G42</f>
        <v>0</v>
      </c>
      <c r="R17" s="519">
        <f>R$13*'Assumptions &amp; Inputs'!$G42</f>
        <v>0</v>
      </c>
      <c r="S17" s="519">
        <f>S$13*'Assumptions &amp; Inputs'!$G42</f>
        <v>0</v>
      </c>
      <c r="T17" s="519">
        <f>T$13*'Assumptions &amp; Inputs'!$G42</f>
        <v>0</v>
      </c>
      <c r="U17" s="519">
        <f>U$13*'Assumptions &amp; Inputs'!$G42</f>
        <v>0</v>
      </c>
      <c r="V17" s="519">
        <f>V$13*'Assumptions &amp; Inputs'!$G42</f>
        <v>0</v>
      </c>
      <c r="W17" s="519">
        <f>W$13*'Assumptions &amp; Inputs'!$G42</f>
        <v>0</v>
      </c>
      <c r="X17" s="519">
        <f>X$13*'Assumptions &amp; Inputs'!$G42</f>
        <v>0</v>
      </c>
      <c r="Y17" s="519">
        <f>Y$13*'Assumptions &amp; Inputs'!$G42</f>
        <v>0</v>
      </c>
      <c r="Z17" s="519">
        <f>Z$13*'Assumptions &amp; Inputs'!$G42</f>
        <v>0</v>
      </c>
      <c r="AA17" s="519">
        <f>AA$13*'Assumptions &amp; Inputs'!$G42</f>
        <v>0</v>
      </c>
      <c r="AB17" s="519">
        <f>AB$13*'Assumptions &amp; Inputs'!$G42</f>
        <v>0</v>
      </c>
      <c r="AC17" s="519">
        <f>AC$13*'Assumptions &amp; Inputs'!$G42</f>
        <v>0</v>
      </c>
      <c r="AD17" s="519">
        <f>AD$13*'Assumptions &amp; Inputs'!$G42</f>
        <v>0</v>
      </c>
      <c r="AE17" s="519">
        <f>AE$13*'Assumptions &amp; Inputs'!$G42</f>
        <v>0</v>
      </c>
      <c r="AF17" s="519">
        <f>AF$13*'Assumptions &amp; Inputs'!$G42</f>
        <v>0</v>
      </c>
      <c r="AG17" s="519">
        <f>AG$13*'Assumptions &amp; Inputs'!$G42</f>
        <v>0</v>
      </c>
      <c r="AH17" s="519">
        <f>AH$13*'Assumptions &amp; Inputs'!$G42</f>
        <v>0</v>
      </c>
      <c r="AI17" s="519">
        <f>AI$13*'Assumptions &amp; Inputs'!$G42</f>
        <v>0</v>
      </c>
      <c r="AJ17" s="519">
        <f>AJ$13*'Assumptions &amp; Inputs'!$G42</f>
        <v>0</v>
      </c>
      <c r="AK17" s="519">
        <f>AK$13*'Assumptions &amp; Inputs'!$G42</f>
        <v>0</v>
      </c>
      <c r="AL17" s="519">
        <f>AL$13*'Assumptions &amp; Inputs'!$G42</f>
        <v>0</v>
      </c>
      <c r="AM17" s="519">
        <f>AM$13*'Assumptions &amp; Inputs'!$G42</f>
        <v>0</v>
      </c>
      <c r="AN17" s="519">
        <f>AN$13*'Assumptions &amp; Inputs'!$G42</f>
        <v>0</v>
      </c>
      <c r="AO17" s="519">
        <f>AO$13*'Assumptions &amp; Inputs'!$G42</f>
        <v>0</v>
      </c>
      <c r="AP17" s="519">
        <f>AP$13*'Assumptions &amp; Inputs'!$G42</f>
        <v>0</v>
      </c>
      <c r="AQ17" s="519">
        <f>AQ$13*'Assumptions &amp; Inputs'!$G42</f>
        <v>0</v>
      </c>
      <c r="AR17" s="519">
        <f>AR$13*'Assumptions &amp; Inputs'!$G42</f>
        <v>0</v>
      </c>
      <c r="AS17" s="519">
        <f>AS$13*'Assumptions &amp; Inputs'!$G42</f>
        <v>0</v>
      </c>
      <c r="AT17" s="519">
        <f>AT$13*'Assumptions &amp; Inputs'!$G42</f>
        <v>0</v>
      </c>
      <c r="AU17" s="519">
        <f>AU$13*'Assumptions &amp; Inputs'!$G42</f>
        <v>0</v>
      </c>
      <c r="AV17" s="519">
        <f>AV$13*'Assumptions &amp; Inputs'!$G42</f>
        <v>0</v>
      </c>
      <c r="AW17" s="520">
        <f>AW$13*'Assumptions &amp; Inputs'!$G42</f>
        <v>0</v>
      </c>
    </row>
    <row r="18" spans="1:49" ht="13.5" customHeight="1">
      <c r="A18" s="1"/>
      <c r="B18" s="84"/>
      <c r="C18" s="94" t="s">
        <v>223</v>
      </c>
      <c r="D18" s="519">
        <f>D$13*'Assumptions &amp; Inputs'!$G43</f>
        <v>-7.3333333333333348</v>
      </c>
      <c r="E18" s="519">
        <f>E$13*'Assumptions &amp; Inputs'!$G43</f>
        <v>-4.666666666666667</v>
      </c>
      <c r="F18" s="519">
        <f>F$13*'Assumptions &amp; Inputs'!$G43</f>
        <v>0</v>
      </c>
      <c r="G18" s="519">
        <f>G$13*'Assumptions &amp; Inputs'!$G43</f>
        <v>0</v>
      </c>
      <c r="H18" s="519">
        <f>H$13*'Assumptions &amp; Inputs'!$G43</f>
        <v>0</v>
      </c>
      <c r="I18" s="519">
        <f>I$13*'Assumptions &amp; Inputs'!$G43</f>
        <v>0</v>
      </c>
      <c r="J18" s="519">
        <f>J$13*'Assumptions &amp; Inputs'!$G43</f>
        <v>0</v>
      </c>
      <c r="K18" s="519">
        <f>K$13*'Assumptions &amp; Inputs'!$G43</f>
        <v>0</v>
      </c>
      <c r="L18" s="519">
        <f>L$13*'Assumptions &amp; Inputs'!$G43</f>
        <v>0</v>
      </c>
      <c r="M18" s="519">
        <f>M$13*'Assumptions &amp; Inputs'!$G43</f>
        <v>0</v>
      </c>
      <c r="N18" s="519">
        <f>N$13*'Assumptions &amp; Inputs'!$G43</f>
        <v>0</v>
      </c>
      <c r="O18" s="519">
        <f>O$13*'Assumptions &amp; Inputs'!$G43</f>
        <v>0</v>
      </c>
      <c r="P18" s="519">
        <f>P$13*'Assumptions &amp; Inputs'!$G43</f>
        <v>0</v>
      </c>
      <c r="Q18" s="519">
        <f>Q$13*'Assumptions &amp; Inputs'!$G43</f>
        <v>0</v>
      </c>
      <c r="R18" s="519">
        <f>R$13*'Assumptions &amp; Inputs'!$G43</f>
        <v>0</v>
      </c>
      <c r="S18" s="519">
        <f>S$13*'Assumptions &amp; Inputs'!$G43</f>
        <v>0</v>
      </c>
      <c r="T18" s="519">
        <f>T$13*'Assumptions &amp; Inputs'!$G43</f>
        <v>0</v>
      </c>
      <c r="U18" s="519">
        <f>U$13*'Assumptions &amp; Inputs'!$G43</f>
        <v>0</v>
      </c>
      <c r="V18" s="519">
        <f>V$13*'Assumptions &amp; Inputs'!$G43</f>
        <v>0</v>
      </c>
      <c r="W18" s="519">
        <f>W$13*'Assumptions &amp; Inputs'!$G43</f>
        <v>0</v>
      </c>
      <c r="X18" s="519">
        <f>X$13*'Assumptions &amp; Inputs'!$G43</f>
        <v>0</v>
      </c>
      <c r="Y18" s="519">
        <f>Y$13*'Assumptions &amp; Inputs'!$G43</f>
        <v>0</v>
      </c>
      <c r="Z18" s="519">
        <f>Z$13*'Assumptions &amp; Inputs'!$G43</f>
        <v>0</v>
      </c>
      <c r="AA18" s="519">
        <f>AA$13*'Assumptions &amp; Inputs'!$G43</f>
        <v>0</v>
      </c>
      <c r="AB18" s="519">
        <f>AB$13*'Assumptions &amp; Inputs'!$G43</f>
        <v>0</v>
      </c>
      <c r="AC18" s="519">
        <f>AC$13*'Assumptions &amp; Inputs'!$G43</f>
        <v>0</v>
      </c>
      <c r="AD18" s="519">
        <f>AD$13*'Assumptions &amp; Inputs'!$G43</f>
        <v>0</v>
      </c>
      <c r="AE18" s="519">
        <f>AE$13*'Assumptions &amp; Inputs'!$G43</f>
        <v>0</v>
      </c>
      <c r="AF18" s="519">
        <f>AF$13*'Assumptions &amp; Inputs'!$G43</f>
        <v>0</v>
      </c>
      <c r="AG18" s="519">
        <f>AG$13*'Assumptions &amp; Inputs'!$G43</f>
        <v>0</v>
      </c>
      <c r="AH18" s="519">
        <f>AH$13*'Assumptions &amp; Inputs'!$G43</f>
        <v>0</v>
      </c>
      <c r="AI18" s="519">
        <f>AI$13*'Assumptions &amp; Inputs'!$G43</f>
        <v>0</v>
      </c>
      <c r="AJ18" s="519">
        <f>AJ$13*'Assumptions &amp; Inputs'!$G43</f>
        <v>0</v>
      </c>
      <c r="AK18" s="519">
        <f>AK$13*'Assumptions &amp; Inputs'!$G43</f>
        <v>0</v>
      </c>
      <c r="AL18" s="519">
        <f>AL$13*'Assumptions &amp; Inputs'!$G43</f>
        <v>0</v>
      </c>
      <c r="AM18" s="519">
        <f>AM$13*'Assumptions &amp; Inputs'!$G43</f>
        <v>0</v>
      </c>
      <c r="AN18" s="519">
        <f>AN$13*'Assumptions &amp; Inputs'!$G43</f>
        <v>0</v>
      </c>
      <c r="AO18" s="519">
        <f>AO$13*'Assumptions &amp; Inputs'!$G43</f>
        <v>0</v>
      </c>
      <c r="AP18" s="519">
        <f>AP$13*'Assumptions &amp; Inputs'!$G43</f>
        <v>0</v>
      </c>
      <c r="AQ18" s="519">
        <f>AQ$13*'Assumptions &amp; Inputs'!$G43</f>
        <v>0</v>
      </c>
      <c r="AR18" s="519">
        <f>AR$13*'Assumptions &amp; Inputs'!$G43</f>
        <v>0</v>
      </c>
      <c r="AS18" s="519">
        <f>AS$13*'Assumptions &amp; Inputs'!$G43</f>
        <v>0</v>
      </c>
      <c r="AT18" s="519">
        <f>AT$13*'Assumptions &amp; Inputs'!$G43</f>
        <v>0</v>
      </c>
      <c r="AU18" s="519">
        <f>AU$13*'Assumptions &amp; Inputs'!$G43</f>
        <v>0</v>
      </c>
      <c r="AV18" s="519">
        <f>AV$13*'Assumptions &amp; Inputs'!$G43</f>
        <v>0</v>
      </c>
      <c r="AW18" s="520">
        <f>AW$13*'Assumptions &amp; Inputs'!$G43</f>
        <v>0</v>
      </c>
    </row>
    <row r="19" spans="1:49" ht="13.5" customHeight="1">
      <c r="A19" s="1"/>
      <c r="B19" s="84"/>
      <c r="C19" s="94" t="s">
        <v>224</v>
      </c>
      <c r="D19" s="519">
        <f>D$13*'Assumptions &amp; Inputs'!$G44</f>
        <v>-11.000000000000002</v>
      </c>
      <c r="E19" s="519">
        <f>E$13*'Assumptions &amp; Inputs'!$G44</f>
        <v>-6.9999999999999991</v>
      </c>
      <c r="F19" s="519">
        <f>F$13*'Assumptions &amp; Inputs'!$G44</f>
        <v>0</v>
      </c>
      <c r="G19" s="519">
        <f>G$13*'Assumptions &amp; Inputs'!$G44</f>
        <v>0</v>
      </c>
      <c r="H19" s="519">
        <f>H$13*'Assumptions &amp; Inputs'!$G44</f>
        <v>0</v>
      </c>
      <c r="I19" s="519">
        <f>I$13*'Assumptions &amp; Inputs'!$G44</f>
        <v>0</v>
      </c>
      <c r="J19" s="519">
        <f>J$13*'Assumptions &amp; Inputs'!$G44</f>
        <v>0</v>
      </c>
      <c r="K19" s="519">
        <f>K$13*'Assumptions &amp; Inputs'!$G44</f>
        <v>0</v>
      </c>
      <c r="L19" s="519">
        <f>L$13*'Assumptions &amp; Inputs'!$G44</f>
        <v>0</v>
      </c>
      <c r="M19" s="519">
        <f>M$13*'Assumptions &amp; Inputs'!$G44</f>
        <v>0</v>
      </c>
      <c r="N19" s="519">
        <f>N$13*'Assumptions &amp; Inputs'!$G44</f>
        <v>0</v>
      </c>
      <c r="O19" s="519">
        <f>O$13*'Assumptions &amp; Inputs'!$G44</f>
        <v>0</v>
      </c>
      <c r="P19" s="519">
        <f>P$13*'Assumptions &amp; Inputs'!$G44</f>
        <v>0</v>
      </c>
      <c r="Q19" s="519">
        <f>Q$13*'Assumptions &amp; Inputs'!$G44</f>
        <v>0</v>
      </c>
      <c r="R19" s="519">
        <f>R$13*'Assumptions &amp; Inputs'!$G44</f>
        <v>0</v>
      </c>
      <c r="S19" s="519">
        <f>S$13*'Assumptions &amp; Inputs'!$G44</f>
        <v>0</v>
      </c>
      <c r="T19" s="519">
        <f>T$13*'Assumptions &amp; Inputs'!$G44</f>
        <v>0</v>
      </c>
      <c r="U19" s="519">
        <f>U$13*'Assumptions &amp; Inputs'!$G44</f>
        <v>0</v>
      </c>
      <c r="V19" s="519">
        <f>V$13*'Assumptions &amp; Inputs'!$G44</f>
        <v>0</v>
      </c>
      <c r="W19" s="519">
        <f>W$13*'Assumptions &amp; Inputs'!$G44</f>
        <v>0</v>
      </c>
      <c r="X19" s="519">
        <f>X$13*'Assumptions &amp; Inputs'!$G44</f>
        <v>0</v>
      </c>
      <c r="Y19" s="519">
        <f>Y$13*'Assumptions &amp; Inputs'!$G44</f>
        <v>0</v>
      </c>
      <c r="Z19" s="519">
        <f>Z$13*'Assumptions &amp; Inputs'!$G44</f>
        <v>0</v>
      </c>
      <c r="AA19" s="519">
        <f>AA$13*'Assumptions &amp; Inputs'!$G44</f>
        <v>0</v>
      </c>
      <c r="AB19" s="519">
        <f>AB$13*'Assumptions &amp; Inputs'!$G44</f>
        <v>0</v>
      </c>
      <c r="AC19" s="519">
        <f>AC$13*'Assumptions &amp; Inputs'!$G44</f>
        <v>0</v>
      </c>
      <c r="AD19" s="519">
        <f>AD$13*'Assumptions &amp; Inputs'!$G44</f>
        <v>0</v>
      </c>
      <c r="AE19" s="519">
        <f>AE$13*'Assumptions &amp; Inputs'!$G44</f>
        <v>0</v>
      </c>
      <c r="AF19" s="519">
        <f>AF$13*'Assumptions &amp; Inputs'!$G44</f>
        <v>0</v>
      </c>
      <c r="AG19" s="519">
        <f>AG$13*'Assumptions &amp; Inputs'!$G44</f>
        <v>0</v>
      </c>
      <c r="AH19" s="519">
        <f>AH$13*'Assumptions &amp; Inputs'!$G44</f>
        <v>0</v>
      </c>
      <c r="AI19" s="519">
        <f>AI$13*'Assumptions &amp; Inputs'!$G44</f>
        <v>0</v>
      </c>
      <c r="AJ19" s="519">
        <f>AJ$13*'Assumptions &amp; Inputs'!$G44</f>
        <v>0</v>
      </c>
      <c r="AK19" s="519">
        <f>AK$13*'Assumptions &amp; Inputs'!$G44</f>
        <v>0</v>
      </c>
      <c r="AL19" s="519">
        <f>AL$13*'Assumptions &amp; Inputs'!$G44</f>
        <v>0</v>
      </c>
      <c r="AM19" s="519">
        <f>AM$13*'Assumptions &amp; Inputs'!$G44</f>
        <v>0</v>
      </c>
      <c r="AN19" s="519">
        <f>AN$13*'Assumptions &amp; Inputs'!$G44</f>
        <v>0</v>
      </c>
      <c r="AO19" s="519">
        <f>AO$13*'Assumptions &amp; Inputs'!$G44</f>
        <v>0</v>
      </c>
      <c r="AP19" s="519">
        <f>AP$13*'Assumptions &amp; Inputs'!$G44</f>
        <v>0</v>
      </c>
      <c r="AQ19" s="519">
        <f>AQ$13*'Assumptions &amp; Inputs'!$G44</f>
        <v>0</v>
      </c>
      <c r="AR19" s="519">
        <f>AR$13*'Assumptions &amp; Inputs'!$G44</f>
        <v>0</v>
      </c>
      <c r="AS19" s="519">
        <f>AS$13*'Assumptions &amp; Inputs'!$G44</f>
        <v>0</v>
      </c>
      <c r="AT19" s="519">
        <f>AT$13*'Assumptions &amp; Inputs'!$G44</f>
        <v>0</v>
      </c>
      <c r="AU19" s="519">
        <f>AU$13*'Assumptions &amp; Inputs'!$G44</f>
        <v>0</v>
      </c>
      <c r="AV19" s="519">
        <f>AV$13*'Assumptions &amp; Inputs'!$G44</f>
        <v>0</v>
      </c>
      <c r="AW19" s="520">
        <f>AW$13*'Assumptions &amp; Inputs'!$G44</f>
        <v>0</v>
      </c>
    </row>
    <row r="20" spans="1:49" ht="13.5" customHeight="1">
      <c r="A20" s="1"/>
      <c r="B20" s="84"/>
      <c r="C20" s="94" t="s">
        <v>225</v>
      </c>
      <c r="D20" s="519">
        <f>D$13*'Assumptions &amp; Inputs'!$G45</f>
        <v>-14.66666666666667</v>
      </c>
      <c r="E20" s="519">
        <f>E$13*'Assumptions &amp; Inputs'!$G45</f>
        <v>-9.3333333333333339</v>
      </c>
      <c r="F20" s="519">
        <f>F$13*'Assumptions &amp; Inputs'!$G45</f>
        <v>0</v>
      </c>
      <c r="G20" s="519">
        <f>G$13*'Assumptions &amp; Inputs'!$G45</f>
        <v>0</v>
      </c>
      <c r="H20" s="519">
        <f>H$13*'Assumptions &amp; Inputs'!$G45</f>
        <v>0</v>
      </c>
      <c r="I20" s="519">
        <f>I$13*'Assumptions &amp; Inputs'!$G45</f>
        <v>0</v>
      </c>
      <c r="J20" s="519">
        <f>J$13*'Assumptions &amp; Inputs'!$G45</f>
        <v>0</v>
      </c>
      <c r="K20" s="519">
        <f>K$13*'Assumptions &amp; Inputs'!$G45</f>
        <v>0</v>
      </c>
      <c r="L20" s="519">
        <f>L$13*'Assumptions &amp; Inputs'!$G45</f>
        <v>0</v>
      </c>
      <c r="M20" s="519">
        <f>M$13*'Assumptions &amp; Inputs'!$G45</f>
        <v>0</v>
      </c>
      <c r="N20" s="519">
        <f>N$13*'Assumptions &amp; Inputs'!$G45</f>
        <v>0</v>
      </c>
      <c r="O20" s="519">
        <f>O$13*'Assumptions &amp; Inputs'!$G45</f>
        <v>0</v>
      </c>
      <c r="P20" s="519">
        <f>P$13*'Assumptions &amp; Inputs'!$G45</f>
        <v>0</v>
      </c>
      <c r="Q20" s="519">
        <f>Q$13*'Assumptions &amp; Inputs'!$G45</f>
        <v>0</v>
      </c>
      <c r="R20" s="519">
        <f>R$13*'Assumptions &amp; Inputs'!$G45</f>
        <v>0</v>
      </c>
      <c r="S20" s="519">
        <f>S$13*'Assumptions &amp; Inputs'!$G45</f>
        <v>0</v>
      </c>
      <c r="T20" s="519">
        <f>T$13*'Assumptions &amp; Inputs'!$G45</f>
        <v>0</v>
      </c>
      <c r="U20" s="519">
        <f>U$13*'Assumptions &amp; Inputs'!$G45</f>
        <v>0</v>
      </c>
      <c r="V20" s="519">
        <f>V$13*'Assumptions &amp; Inputs'!$G45</f>
        <v>0</v>
      </c>
      <c r="W20" s="519">
        <f>W$13*'Assumptions &amp; Inputs'!$G45</f>
        <v>0</v>
      </c>
      <c r="X20" s="519">
        <f>X$13*'Assumptions &amp; Inputs'!$G45</f>
        <v>0</v>
      </c>
      <c r="Y20" s="519">
        <f>Y$13*'Assumptions &amp; Inputs'!$G45</f>
        <v>0</v>
      </c>
      <c r="Z20" s="519">
        <f>Z$13*'Assumptions &amp; Inputs'!$G45</f>
        <v>0</v>
      </c>
      <c r="AA20" s="519">
        <f>AA$13*'Assumptions &amp; Inputs'!$G45</f>
        <v>0</v>
      </c>
      <c r="AB20" s="519">
        <f>AB$13*'Assumptions &amp; Inputs'!$G45</f>
        <v>0</v>
      </c>
      <c r="AC20" s="519">
        <f>AC$13*'Assumptions &amp; Inputs'!$G45</f>
        <v>0</v>
      </c>
      <c r="AD20" s="519">
        <f>AD$13*'Assumptions &amp; Inputs'!$G45</f>
        <v>0</v>
      </c>
      <c r="AE20" s="519">
        <f>AE$13*'Assumptions &amp; Inputs'!$G45</f>
        <v>0</v>
      </c>
      <c r="AF20" s="519">
        <f>AF$13*'Assumptions &amp; Inputs'!$G45</f>
        <v>0</v>
      </c>
      <c r="AG20" s="519">
        <f>AG$13*'Assumptions &amp; Inputs'!$G45</f>
        <v>0</v>
      </c>
      <c r="AH20" s="519">
        <f>AH$13*'Assumptions &amp; Inputs'!$G45</f>
        <v>0</v>
      </c>
      <c r="AI20" s="519">
        <f>AI$13*'Assumptions &amp; Inputs'!$G45</f>
        <v>0</v>
      </c>
      <c r="AJ20" s="519">
        <f>AJ$13*'Assumptions &amp; Inputs'!$G45</f>
        <v>0</v>
      </c>
      <c r="AK20" s="519">
        <f>AK$13*'Assumptions &amp; Inputs'!$G45</f>
        <v>0</v>
      </c>
      <c r="AL20" s="519">
        <f>AL$13*'Assumptions &amp; Inputs'!$G45</f>
        <v>0</v>
      </c>
      <c r="AM20" s="519">
        <f>AM$13*'Assumptions &amp; Inputs'!$G45</f>
        <v>0</v>
      </c>
      <c r="AN20" s="519">
        <f>AN$13*'Assumptions &amp; Inputs'!$G45</f>
        <v>0</v>
      </c>
      <c r="AO20" s="519">
        <f>AO$13*'Assumptions &amp; Inputs'!$G45</f>
        <v>0</v>
      </c>
      <c r="AP20" s="519">
        <f>AP$13*'Assumptions &amp; Inputs'!$G45</f>
        <v>0</v>
      </c>
      <c r="AQ20" s="519">
        <f>AQ$13*'Assumptions &amp; Inputs'!$G45</f>
        <v>0</v>
      </c>
      <c r="AR20" s="519">
        <f>AR$13*'Assumptions &amp; Inputs'!$G45</f>
        <v>0</v>
      </c>
      <c r="AS20" s="519">
        <f>AS$13*'Assumptions &amp; Inputs'!$G45</f>
        <v>0</v>
      </c>
      <c r="AT20" s="519">
        <f>AT$13*'Assumptions &amp; Inputs'!$G45</f>
        <v>0</v>
      </c>
      <c r="AU20" s="519">
        <f>AU$13*'Assumptions &amp; Inputs'!$G45</f>
        <v>0</v>
      </c>
      <c r="AV20" s="519">
        <f>AV$13*'Assumptions &amp; Inputs'!$G45</f>
        <v>0</v>
      </c>
      <c r="AW20" s="520">
        <f>AW$13*'Assumptions &amp; Inputs'!$G45</f>
        <v>0</v>
      </c>
    </row>
    <row r="21" spans="1:49" ht="13.5" customHeight="1">
      <c r="A21" s="1"/>
      <c r="B21" s="84"/>
      <c r="C21" s="94" t="s">
        <v>226</v>
      </c>
      <c r="D21" s="519">
        <f>D$13*'Assumptions &amp; Inputs'!$G46</f>
        <v>-14.66666666666667</v>
      </c>
      <c r="E21" s="519">
        <f>E$13*'Assumptions &amp; Inputs'!$G46</f>
        <v>-9.3333333333333339</v>
      </c>
      <c r="F21" s="519">
        <f>F$13*'Assumptions &amp; Inputs'!$G46</f>
        <v>0</v>
      </c>
      <c r="G21" s="519">
        <f>G$13*'Assumptions &amp; Inputs'!$G46</f>
        <v>0</v>
      </c>
      <c r="H21" s="519">
        <f>H$13*'Assumptions &amp; Inputs'!$G46</f>
        <v>0</v>
      </c>
      <c r="I21" s="519">
        <f>I$13*'Assumptions &amp; Inputs'!$G46</f>
        <v>0</v>
      </c>
      <c r="J21" s="519">
        <f>J$13*'Assumptions &amp; Inputs'!$G46</f>
        <v>0</v>
      </c>
      <c r="K21" s="519">
        <f>K$13*'Assumptions &amp; Inputs'!$G46</f>
        <v>0</v>
      </c>
      <c r="L21" s="519">
        <f>L$13*'Assumptions &amp; Inputs'!$G46</f>
        <v>0</v>
      </c>
      <c r="M21" s="519">
        <f>M$13*'Assumptions &amp; Inputs'!$G46</f>
        <v>0</v>
      </c>
      <c r="N21" s="519">
        <f>N$13*'Assumptions &amp; Inputs'!$G46</f>
        <v>0</v>
      </c>
      <c r="O21" s="519">
        <f>O$13*'Assumptions &amp; Inputs'!$G46</f>
        <v>0</v>
      </c>
      <c r="P21" s="519">
        <f>P$13*'Assumptions &amp; Inputs'!$G46</f>
        <v>0</v>
      </c>
      <c r="Q21" s="519">
        <f>Q$13*'Assumptions &amp; Inputs'!$G46</f>
        <v>0</v>
      </c>
      <c r="R21" s="519">
        <f>R$13*'Assumptions &amp; Inputs'!$G46</f>
        <v>0</v>
      </c>
      <c r="S21" s="519">
        <f>S$13*'Assumptions &amp; Inputs'!$G46</f>
        <v>0</v>
      </c>
      <c r="T21" s="519">
        <f>T$13*'Assumptions &amp; Inputs'!$G46</f>
        <v>0</v>
      </c>
      <c r="U21" s="519">
        <f>U$13*'Assumptions &amp; Inputs'!$G46</f>
        <v>0</v>
      </c>
      <c r="V21" s="519">
        <f>V$13*'Assumptions &amp; Inputs'!$G46</f>
        <v>0</v>
      </c>
      <c r="W21" s="519">
        <f>W$13*'Assumptions &amp; Inputs'!$G46</f>
        <v>0</v>
      </c>
      <c r="X21" s="519">
        <f>X$13*'Assumptions &amp; Inputs'!$G46</f>
        <v>0</v>
      </c>
      <c r="Y21" s="519">
        <f>Y$13*'Assumptions &amp; Inputs'!$G46</f>
        <v>0</v>
      </c>
      <c r="Z21" s="519">
        <f>Z$13*'Assumptions &amp; Inputs'!$G46</f>
        <v>0</v>
      </c>
      <c r="AA21" s="519">
        <f>AA$13*'Assumptions &amp; Inputs'!$G46</f>
        <v>0</v>
      </c>
      <c r="AB21" s="519">
        <f>AB$13*'Assumptions &amp; Inputs'!$G46</f>
        <v>0</v>
      </c>
      <c r="AC21" s="519">
        <f>AC$13*'Assumptions &amp; Inputs'!$G46</f>
        <v>0</v>
      </c>
      <c r="AD21" s="519">
        <f>AD$13*'Assumptions &amp; Inputs'!$G46</f>
        <v>0</v>
      </c>
      <c r="AE21" s="519">
        <f>AE$13*'Assumptions &amp; Inputs'!$G46</f>
        <v>0</v>
      </c>
      <c r="AF21" s="519">
        <f>AF$13*'Assumptions &amp; Inputs'!$G46</f>
        <v>0</v>
      </c>
      <c r="AG21" s="519">
        <f>AG$13*'Assumptions &amp; Inputs'!$G46</f>
        <v>0</v>
      </c>
      <c r="AH21" s="519">
        <f>AH$13*'Assumptions &amp; Inputs'!$G46</f>
        <v>0</v>
      </c>
      <c r="AI21" s="519">
        <f>AI$13*'Assumptions &amp; Inputs'!$G46</f>
        <v>0</v>
      </c>
      <c r="AJ21" s="519">
        <f>AJ$13*'Assumptions &amp; Inputs'!$G46</f>
        <v>0</v>
      </c>
      <c r="AK21" s="519">
        <f>AK$13*'Assumptions &amp; Inputs'!$G46</f>
        <v>0</v>
      </c>
      <c r="AL21" s="519">
        <f>AL$13*'Assumptions &amp; Inputs'!$G46</f>
        <v>0</v>
      </c>
      <c r="AM21" s="519">
        <f>AM$13*'Assumptions &amp; Inputs'!$G46</f>
        <v>0</v>
      </c>
      <c r="AN21" s="519">
        <f>AN$13*'Assumptions &amp; Inputs'!$G46</f>
        <v>0</v>
      </c>
      <c r="AO21" s="519">
        <f>AO$13*'Assumptions &amp; Inputs'!$G46</f>
        <v>0</v>
      </c>
      <c r="AP21" s="519">
        <f>AP$13*'Assumptions &amp; Inputs'!$G46</f>
        <v>0</v>
      </c>
      <c r="AQ21" s="519">
        <f>AQ$13*'Assumptions &amp; Inputs'!$G46</f>
        <v>0</v>
      </c>
      <c r="AR21" s="519">
        <f>AR$13*'Assumptions &amp; Inputs'!$G46</f>
        <v>0</v>
      </c>
      <c r="AS21" s="519">
        <f>AS$13*'Assumptions &amp; Inputs'!$G46</f>
        <v>0</v>
      </c>
      <c r="AT21" s="519">
        <f>AT$13*'Assumptions &amp; Inputs'!$G46</f>
        <v>0</v>
      </c>
      <c r="AU21" s="519">
        <f>AU$13*'Assumptions &amp; Inputs'!$G46</f>
        <v>0</v>
      </c>
      <c r="AV21" s="519">
        <f>AV$13*'Assumptions &amp; Inputs'!$G46</f>
        <v>0</v>
      </c>
      <c r="AW21" s="520">
        <f>AW$13*'Assumptions &amp; Inputs'!$G46</f>
        <v>0</v>
      </c>
    </row>
    <row r="22" spans="1:49" ht="13.5" customHeight="1">
      <c r="A22" s="1"/>
      <c r="B22" s="84"/>
      <c r="C22" s="94" t="s">
        <v>227</v>
      </c>
      <c r="D22" s="519">
        <f>D$13*'Assumptions &amp; Inputs'!$G47</f>
        <v>-4.4000000000000004</v>
      </c>
      <c r="E22" s="519">
        <f>E$13*'Assumptions &amp; Inputs'!$G47</f>
        <v>-2.8</v>
      </c>
      <c r="F22" s="519">
        <f>F$13*'Assumptions &amp; Inputs'!$G47</f>
        <v>0</v>
      </c>
      <c r="G22" s="519">
        <f>G$13*'Assumptions &amp; Inputs'!$G47</f>
        <v>0</v>
      </c>
      <c r="H22" s="519">
        <f>H$13*'Assumptions &amp; Inputs'!$G47</f>
        <v>0</v>
      </c>
      <c r="I22" s="519">
        <f>I$13*'Assumptions &amp; Inputs'!$G47</f>
        <v>0</v>
      </c>
      <c r="J22" s="519">
        <f>J$13*'Assumptions &amp; Inputs'!$G47</f>
        <v>0</v>
      </c>
      <c r="K22" s="519">
        <f>K$13*'Assumptions &amp; Inputs'!$G47</f>
        <v>0</v>
      </c>
      <c r="L22" s="519">
        <f>L$13*'Assumptions &amp; Inputs'!$G47</f>
        <v>0</v>
      </c>
      <c r="M22" s="519">
        <f>M$13*'Assumptions &amp; Inputs'!$G47</f>
        <v>0</v>
      </c>
      <c r="N22" s="519">
        <f>N$13*'Assumptions &amp; Inputs'!$G47</f>
        <v>0</v>
      </c>
      <c r="O22" s="519">
        <f>O$13*'Assumptions &amp; Inputs'!$G47</f>
        <v>0</v>
      </c>
      <c r="P22" s="519">
        <f>P$13*'Assumptions &amp; Inputs'!$G47</f>
        <v>0</v>
      </c>
      <c r="Q22" s="519">
        <f>Q$13*'Assumptions &amp; Inputs'!$G47</f>
        <v>0</v>
      </c>
      <c r="R22" s="519">
        <f>R$13*'Assumptions &amp; Inputs'!$G47</f>
        <v>0</v>
      </c>
      <c r="S22" s="519">
        <f>S$13*'Assumptions &amp; Inputs'!$G47</f>
        <v>0</v>
      </c>
      <c r="T22" s="519">
        <f>T$13*'Assumptions &amp; Inputs'!$G47</f>
        <v>0</v>
      </c>
      <c r="U22" s="519">
        <f>U$13*'Assumptions &amp; Inputs'!$G47</f>
        <v>0</v>
      </c>
      <c r="V22" s="519">
        <f>V$13*'Assumptions &amp; Inputs'!$G47</f>
        <v>0</v>
      </c>
      <c r="W22" s="519">
        <f>W$13*'Assumptions &amp; Inputs'!$G47</f>
        <v>0</v>
      </c>
      <c r="X22" s="519">
        <f>X$13*'Assumptions &amp; Inputs'!$G47</f>
        <v>0</v>
      </c>
      <c r="Y22" s="519">
        <f>Y$13*'Assumptions &amp; Inputs'!$G47</f>
        <v>0</v>
      </c>
      <c r="Z22" s="519">
        <f>Z$13*'Assumptions &amp; Inputs'!$G47</f>
        <v>0</v>
      </c>
      <c r="AA22" s="519">
        <f>AA$13*'Assumptions &amp; Inputs'!$G47</f>
        <v>0</v>
      </c>
      <c r="AB22" s="519">
        <f>AB$13*'Assumptions &amp; Inputs'!$G47</f>
        <v>0</v>
      </c>
      <c r="AC22" s="519">
        <f>AC$13*'Assumptions &amp; Inputs'!$G47</f>
        <v>0</v>
      </c>
      <c r="AD22" s="519">
        <f>AD$13*'Assumptions &amp; Inputs'!$G47</f>
        <v>0</v>
      </c>
      <c r="AE22" s="519">
        <f>AE$13*'Assumptions &amp; Inputs'!$G47</f>
        <v>0</v>
      </c>
      <c r="AF22" s="519">
        <f>AF$13*'Assumptions &amp; Inputs'!$G47</f>
        <v>0</v>
      </c>
      <c r="AG22" s="519">
        <f>AG$13*'Assumptions &amp; Inputs'!$G47</f>
        <v>0</v>
      </c>
      <c r="AH22" s="519">
        <f>AH$13*'Assumptions &amp; Inputs'!$G47</f>
        <v>0</v>
      </c>
      <c r="AI22" s="519">
        <f>AI$13*'Assumptions &amp; Inputs'!$G47</f>
        <v>0</v>
      </c>
      <c r="AJ22" s="519">
        <f>AJ$13*'Assumptions &amp; Inputs'!$G47</f>
        <v>0</v>
      </c>
      <c r="AK22" s="519">
        <f>AK$13*'Assumptions &amp; Inputs'!$G47</f>
        <v>0</v>
      </c>
      <c r="AL22" s="519">
        <f>AL$13*'Assumptions &amp; Inputs'!$G47</f>
        <v>0</v>
      </c>
      <c r="AM22" s="519">
        <f>AM$13*'Assumptions &amp; Inputs'!$G47</f>
        <v>0</v>
      </c>
      <c r="AN22" s="519">
        <f>AN$13*'Assumptions &amp; Inputs'!$G47</f>
        <v>0</v>
      </c>
      <c r="AO22" s="519">
        <f>AO$13*'Assumptions &amp; Inputs'!$G47</f>
        <v>0</v>
      </c>
      <c r="AP22" s="519">
        <f>AP$13*'Assumptions &amp; Inputs'!$G47</f>
        <v>0</v>
      </c>
      <c r="AQ22" s="519">
        <f>AQ$13*'Assumptions &amp; Inputs'!$G47</f>
        <v>0</v>
      </c>
      <c r="AR22" s="519">
        <f>AR$13*'Assumptions &amp; Inputs'!$G47</f>
        <v>0</v>
      </c>
      <c r="AS22" s="519">
        <f>AS$13*'Assumptions &amp; Inputs'!$G47</f>
        <v>0</v>
      </c>
      <c r="AT22" s="519">
        <f>AT$13*'Assumptions &amp; Inputs'!$G47</f>
        <v>0</v>
      </c>
      <c r="AU22" s="519">
        <f>AU$13*'Assumptions &amp; Inputs'!$G47</f>
        <v>0</v>
      </c>
      <c r="AV22" s="519">
        <f>AV$13*'Assumptions &amp; Inputs'!$G47</f>
        <v>0</v>
      </c>
      <c r="AW22" s="520">
        <f>AW$13*'Assumptions &amp; Inputs'!$G47</f>
        <v>0</v>
      </c>
    </row>
    <row r="23" spans="1:49" ht="15" customHeight="1">
      <c r="A23" s="1"/>
      <c r="B23" s="84"/>
      <c r="C23" s="96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98"/>
    </row>
    <row r="24" spans="1:49" ht="15" customHeight="1">
      <c r="B24" s="79"/>
      <c r="C24" s="150" t="s">
        <v>359</v>
      </c>
      <c r="D24" s="517">
        <f>D13</f>
        <v>-73.333333333333343</v>
      </c>
      <c r="E24" s="517">
        <f t="shared" ref="E24:X24" si="30">E13</f>
        <v>-46.666666666666664</v>
      </c>
      <c r="F24" s="517">
        <f t="shared" si="30"/>
        <v>0</v>
      </c>
      <c r="G24" s="517">
        <f t="shared" si="30"/>
        <v>0</v>
      </c>
      <c r="H24" s="517">
        <f t="shared" si="30"/>
        <v>0</v>
      </c>
      <c r="I24" s="517">
        <f t="shared" si="30"/>
        <v>0</v>
      </c>
      <c r="J24" s="517">
        <f t="shared" si="30"/>
        <v>0</v>
      </c>
      <c r="K24" s="517">
        <f t="shared" si="30"/>
        <v>0</v>
      </c>
      <c r="L24" s="517">
        <f t="shared" si="30"/>
        <v>0</v>
      </c>
      <c r="M24" s="517">
        <f t="shared" si="30"/>
        <v>0</v>
      </c>
      <c r="N24" s="517">
        <f t="shared" si="30"/>
        <v>0</v>
      </c>
      <c r="O24" s="517">
        <f t="shared" si="30"/>
        <v>0</v>
      </c>
      <c r="P24" s="517">
        <f t="shared" si="30"/>
        <v>0</v>
      </c>
      <c r="Q24" s="517">
        <f t="shared" si="30"/>
        <v>0</v>
      </c>
      <c r="R24" s="517">
        <f t="shared" si="30"/>
        <v>0</v>
      </c>
      <c r="S24" s="517">
        <f t="shared" si="30"/>
        <v>0</v>
      </c>
      <c r="T24" s="517">
        <f t="shared" si="30"/>
        <v>0</v>
      </c>
      <c r="U24" s="517">
        <f t="shared" si="30"/>
        <v>0</v>
      </c>
      <c r="V24" s="517">
        <f t="shared" si="30"/>
        <v>0</v>
      </c>
      <c r="W24" s="517">
        <f t="shared" si="30"/>
        <v>0</v>
      </c>
      <c r="X24" s="517">
        <f t="shared" si="30"/>
        <v>0</v>
      </c>
      <c r="Y24" s="517">
        <f t="shared" ref="Y24:AW24" si="31">Y13</f>
        <v>0</v>
      </c>
      <c r="Z24" s="517">
        <f t="shared" si="31"/>
        <v>0</v>
      </c>
      <c r="AA24" s="517">
        <f t="shared" si="31"/>
        <v>0</v>
      </c>
      <c r="AB24" s="517">
        <f t="shared" si="31"/>
        <v>0</v>
      </c>
      <c r="AC24" s="517">
        <f t="shared" si="31"/>
        <v>0</v>
      </c>
      <c r="AD24" s="517">
        <f t="shared" si="31"/>
        <v>0</v>
      </c>
      <c r="AE24" s="517">
        <f t="shared" si="31"/>
        <v>0</v>
      </c>
      <c r="AF24" s="517">
        <f t="shared" si="31"/>
        <v>0</v>
      </c>
      <c r="AG24" s="517">
        <f t="shared" si="31"/>
        <v>0</v>
      </c>
      <c r="AH24" s="517">
        <f t="shared" si="31"/>
        <v>0</v>
      </c>
      <c r="AI24" s="517">
        <f t="shared" si="31"/>
        <v>0</v>
      </c>
      <c r="AJ24" s="517">
        <f t="shared" si="31"/>
        <v>0</v>
      </c>
      <c r="AK24" s="517">
        <f t="shared" si="31"/>
        <v>0</v>
      </c>
      <c r="AL24" s="517">
        <f t="shared" si="31"/>
        <v>0</v>
      </c>
      <c r="AM24" s="517">
        <f t="shared" si="31"/>
        <v>0</v>
      </c>
      <c r="AN24" s="517">
        <f t="shared" si="31"/>
        <v>0</v>
      </c>
      <c r="AO24" s="517">
        <f t="shared" si="31"/>
        <v>0</v>
      </c>
      <c r="AP24" s="517">
        <f t="shared" si="31"/>
        <v>0</v>
      </c>
      <c r="AQ24" s="517">
        <f t="shared" si="31"/>
        <v>0</v>
      </c>
      <c r="AR24" s="517">
        <f t="shared" si="31"/>
        <v>0</v>
      </c>
      <c r="AS24" s="517">
        <f t="shared" si="31"/>
        <v>0</v>
      </c>
      <c r="AT24" s="517">
        <f t="shared" si="31"/>
        <v>0</v>
      </c>
      <c r="AU24" s="517">
        <f t="shared" si="31"/>
        <v>0</v>
      </c>
      <c r="AV24" s="517">
        <f t="shared" si="31"/>
        <v>0</v>
      </c>
      <c r="AW24" s="521">
        <f t="shared" si="31"/>
        <v>0</v>
      </c>
    </row>
    <row r="25" spans="1:49" ht="14.25" customHeight="1" thickBot="1">
      <c r="B25" s="79"/>
      <c r="C25" s="151" t="s">
        <v>360</v>
      </c>
      <c r="D25" s="176">
        <f>SUM(D24:AW24)</f>
        <v>-120</v>
      </c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9"/>
    </row>
    <row r="26" spans="1:49" ht="15" customHeight="1">
      <c r="A26" s="1"/>
      <c r="B26" s="1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</row>
    <row r="27" spans="1:49" ht="15" customHeight="1">
      <c r="A27" s="1"/>
      <c r="B27" s="1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</row>
    <row r="28" spans="1:49" ht="18.75" customHeight="1" thickBot="1">
      <c r="A28" s="1" t="s">
        <v>351</v>
      </c>
      <c r="B28" s="1"/>
      <c r="C28" s="9" t="s">
        <v>402</v>
      </c>
      <c r="D28" s="9"/>
      <c r="E28" s="10"/>
      <c r="F28" s="10"/>
      <c r="G28" s="10"/>
      <c r="H28" s="10"/>
      <c r="I28" s="10"/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ht="15" customHeight="1">
      <c r="A29" s="1"/>
      <c r="B29" s="1"/>
      <c r="C29" s="12" t="s">
        <v>353</v>
      </c>
      <c r="D29" s="1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5" customHeight="1">
      <c r="A30" s="1"/>
      <c r="B30" s="1"/>
      <c r="C30" s="1"/>
      <c r="D30" s="119">
        <v>0</v>
      </c>
      <c r="E30" s="119">
        <f t="shared" ref="E30:X30" si="32">D30+1</f>
        <v>1</v>
      </c>
      <c r="F30" s="119">
        <f t="shared" si="32"/>
        <v>2</v>
      </c>
      <c r="G30" s="119">
        <f t="shared" si="32"/>
        <v>3</v>
      </c>
      <c r="H30" s="119">
        <f t="shared" si="32"/>
        <v>4</v>
      </c>
      <c r="I30" s="119">
        <f t="shared" si="32"/>
        <v>5</v>
      </c>
      <c r="J30" s="119">
        <f t="shared" si="32"/>
        <v>6</v>
      </c>
      <c r="K30" s="119">
        <f t="shared" si="32"/>
        <v>7</v>
      </c>
      <c r="L30" s="119">
        <f t="shared" si="32"/>
        <v>8</v>
      </c>
      <c r="M30" s="119">
        <f t="shared" si="32"/>
        <v>9</v>
      </c>
      <c r="N30" s="119">
        <f t="shared" si="32"/>
        <v>10</v>
      </c>
      <c r="O30" s="119">
        <f t="shared" si="32"/>
        <v>11</v>
      </c>
      <c r="P30" s="119">
        <f t="shared" si="32"/>
        <v>12</v>
      </c>
      <c r="Q30" s="119">
        <f t="shared" si="32"/>
        <v>13</v>
      </c>
      <c r="R30" s="119">
        <f t="shared" si="32"/>
        <v>14</v>
      </c>
      <c r="S30" s="119">
        <f t="shared" si="32"/>
        <v>15</v>
      </c>
      <c r="T30" s="119">
        <f t="shared" si="32"/>
        <v>16</v>
      </c>
      <c r="U30" s="119">
        <f t="shared" si="32"/>
        <v>17</v>
      </c>
      <c r="V30" s="119">
        <f t="shared" si="32"/>
        <v>18</v>
      </c>
      <c r="W30" s="119">
        <f t="shared" si="32"/>
        <v>19</v>
      </c>
      <c r="X30" s="119">
        <f t="shared" si="32"/>
        <v>20</v>
      </c>
      <c r="Y30" s="119">
        <f t="shared" ref="Y30" si="33">X30+1</f>
        <v>21</v>
      </c>
      <c r="Z30" s="119">
        <f t="shared" ref="Z30" si="34">Y30+1</f>
        <v>22</v>
      </c>
      <c r="AA30" s="119">
        <f t="shared" ref="AA30" si="35">Z30+1</f>
        <v>23</v>
      </c>
      <c r="AB30" s="119">
        <f t="shared" ref="AB30" si="36">AA30+1</f>
        <v>24</v>
      </c>
      <c r="AC30" s="119">
        <f t="shared" ref="AC30" si="37">AB30+1</f>
        <v>25</v>
      </c>
      <c r="AD30" s="119">
        <f t="shared" ref="AD30" si="38">AC30+1</f>
        <v>26</v>
      </c>
      <c r="AE30" s="119">
        <f t="shared" ref="AE30" si="39">AD30+1</f>
        <v>27</v>
      </c>
      <c r="AF30" s="119">
        <f t="shared" ref="AF30" si="40">AE30+1</f>
        <v>28</v>
      </c>
      <c r="AG30" s="119">
        <f t="shared" ref="AG30" si="41">AF30+1</f>
        <v>29</v>
      </c>
      <c r="AH30" s="119">
        <f t="shared" ref="AH30" si="42">AG30+1</f>
        <v>30</v>
      </c>
      <c r="AI30" s="119">
        <f t="shared" ref="AI30" si="43">AH30+1</f>
        <v>31</v>
      </c>
      <c r="AJ30" s="119">
        <f t="shared" ref="AJ30" si="44">AI30+1</f>
        <v>32</v>
      </c>
      <c r="AK30" s="119">
        <f t="shared" ref="AK30" si="45">AJ30+1</f>
        <v>33</v>
      </c>
      <c r="AL30" s="119">
        <f t="shared" ref="AL30" si="46">AK30+1</f>
        <v>34</v>
      </c>
      <c r="AM30" s="119">
        <f t="shared" ref="AM30" si="47">AL30+1</f>
        <v>35</v>
      </c>
      <c r="AN30" s="119">
        <f t="shared" ref="AN30" si="48">AM30+1</f>
        <v>36</v>
      </c>
      <c r="AO30" s="119">
        <f t="shared" ref="AO30" si="49">AN30+1</f>
        <v>37</v>
      </c>
      <c r="AP30" s="119">
        <f t="shared" ref="AP30" si="50">AO30+1</f>
        <v>38</v>
      </c>
      <c r="AQ30" s="119">
        <f t="shared" ref="AQ30" si="51">AP30+1</f>
        <v>39</v>
      </c>
      <c r="AR30" s="119">
        <f t="shared" ref="AR30" si="52">AQ30+1</f>
        <v>40</v>
      </c>
      <c r="AS30" s="119">
        <f t="shared" ref="AS30" si="53">AR30+1</f>
        <v>41</v>
      </c>
      <c r="AT30" s="119">
        <f t="shared" ref="AT30" si="54">AS30+1</f>
        <v>42</v>
      </c>
      <c r="AU30" s="119">
        <f t="shared" ref="AU30" si="55">AT30+1</f>
        <v>43</v>
      </c>
      <c r="AV30" s="119">
        <f t="shared" ref="AV30" si="56">AU30+1</f>
        <v>44</v>
      </c>
      <c r="AW30" s="119">
        <f t="shared" ref="AW30" si="57">AV30+1</f>
        <v>45</v>
      </c>
    </row>
    <row r="31" spans="1:49" ht="15" customHeight="1">
      <c r="A31" s="2"/>
      <c r="B31" s="2"/>
      <c r="C31" s="2"/>
      <c r="D31" s="2"/>
      <c r="E31" s="807" t="s">
        <v>354</v>
      </c>
      <c r="F31" s="820"/>
      <c r="G31" s="820"/>
      <c r="H31" s="820"/>
      <c r="I31" s="820"/>
      <c r="J31" s="820"/>
      <c r="K31" s="820"/>
      <c r="L31" s="820"/>
      <c r="M31" s="820"/>
      <c r="N31" s="820"/>
      <c r="O31" s="820"/>
      <c r="P31" s="8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</row>
    <row r="32" spans="1:49" ht="15" customHeight="1">
      <c r="A32" s="2"/>
      <c r="B32" s="2"/>
      <c r="C32" s="2"/>
      <c r="D32" s="3">
        <f>D9</f>
        <v>2026</v>
      </c>
      <c r="E32" s="120">
        <f t="shared" ref="E32:X32" si="58">D32+1</f>
        <v>2027</v>
      </c>
      <c r="F32" s="120">
        <f t="shared" si="58"/>
        <v>2028</v>
      </c>
      <c r="G32" s="120">
        <f t="shared" si="58"/>
        <v>2029</v>
      </c>
      <c r="H32" s="120">
        <f t="shared" si="58"/>
        <v>2030</v>
      </c>
      <c r="I32" s="120">
        <f t="shared" si="58"/>
        <v>2031</v>
      </c>
      <c r="J32" s="120">
        <f t="shared" si="58"/>
        <v>2032</v>
      </c>
      <c r="K32" s="120">
        <f t="shared" si="58"/>
        <v>2033</v>
      </c>
      <c r="L32" s="120">
        <f t="shared" si="58"/>
        <v>2034</v>
      </c>
      <c r="M32" s="120">
        <f t="shared" si="58"/>
        <v>2035</v>
      </c>
      <c r="N32" s="120">
        <f t="shared" si="58"/>
        <v>2036</v>
      </c>
      <c r="O32" s="120">
        <f t="shared" si="58"/>
        <v>2037</v>
      </c>
      <c r="P32" s="120">
        <f t="shared" si="58"/>
        <v>2038</v>
      </c>
      <c r="Q32" s="120">
        <f t="shared" si="58"/>
        <v>2039</v>
      </c>
      <c r="R32" s="120">
        <f t="shared" si="58"/>
        <v>2040</v>
      </c>
      <c r="S32" s="120">
        <f t="shared" si="58"/>
        <v>2041</v>
      </c>
      <c r="T32" s="120">
        <f t="shared" si="58"/>
        <v>2042</v>
      </c>
      <c r="U32" s="120">
        <f t="shared" si="58"/>
        <v>2043</v>
      </c>
      <c r="V32" s="120">
        <f t="shared" si="58"/>
        <v>2044</v>
      </c>
      <c r="W32" s="120">
        <f t="shared" si="58"/>
        <v>2045</v>
      </c>
      <c r="X32" s="120">
        <f t="shared" si="58"/>
        <v>2046</v>
      </c>
      <c r="Y32" s="120">
        <f t="shared" ref="Y32" si="59">X32+1</f>
        <v>2047</v>
      </c>
      <c r="Z32" s="120">
        <f t="shared" ref="Z32" si="60">Y32+1</f>
        <v>2048</v>
      </c>
      <c r="AA32" s="120">
        <f t="shared" ref="AA32" si="61">Z32+1</f>
        <v>2049</v>
      </c>
      <c r="AB32" s="120">
        <f t="shared" ref="AB32" si="62">AA32+1</f>
        <v>2050</v>
      </c>
      <c r="AC32" s="120">
        <f t="shared" ref="AC32" si="63">AB32+1</f>
        <v>2051</v>
      </c>
      <c r="AD32" s="120">
        <f t="shared" ref="AD32" si="64">AC32+1</f>
        <v>2052</v>
      </c>
      <c r="AE32" s="120">
        <f t="shared" ref="AE32" si="65">AD32+1</f>
        <v>2053</v>
      </c>
      <c r="AF32" s="120">
        <f t="shared" ref="AF32" si="66">AE32+1</f>
        <v>2054</v>
      </c>
      <c r="AG32" s="120">
        <f t="shared" ref="AG32" si="67">AF32+1</f>
        <v>2055</v>
      </c>
      <c r="AH32" s="120">
        <f t="shared" ref="AH32" si="68">AG32+1</f>
        <v>2056</v>
      </c>
      <c r="AI32" s="120">
        <f t="shared" ref="AI32" si="69">AH32+1</f>
        <v>2057</v>
      </c>
      <c r="AJ32" s="120">
        <f t="shared" ref="AJ32" si="70">AI32+1</f>
        <v>2058</v>
      </c>
      <c r="AK32" s="120">
        <f t="shared" ref="AK32" si="71">AJ32+1</f>
        <v>2059</v>
      </c>
      <c r="AL32" s="120">
        <f t="shared" ref="AL32" si="72">AK32+1</f>
        <v>2060</v>
      </c>
      <c r="AM32" s="120">
        <f t="shared" ref="AM32" si="73">AL32+1</f>
        <v>2061</v>
      </c>
      <c r="AN32" s="120">
        <f t="shared" ref="AN32" si="74">AM32+1</f>
        <v>2062</v>
      </c>
      <c r="AO32" s="120">
        <f t="shared" ref="AO32" si="75">AN32+1</f>
        <v>2063</v>
      </c>
      <c r="AP32" s="120">
        <f t="shared" ref="AP32" si="76">AO32+1</f>
        <v>2064</v>
      </c>
      <c r="AQ32" s="120">
        <f t="shared" ref="AQ32" si="77">AP32+1</f>
        <v>2065</v>
      </c>
      <c r="AR32" s="120">
        <f t="shared" ref="AR32" si="78">AQ32+1</f>
        <v>2066</v>
      </c>
      <c r="AS32" s="120">
        <f t="shared" ref="AS32" si="79">AR32+1</f>
        <v>2067</v>
      </c>
      <c r="AT32" s="120">
        <f t="shared" ref="AT32" si="80">AS32+1</f>
        <v>2068</v>
      </c>
      <c r="AU32" s="120">
        <f t="shared" ref="AU32" si="81">AT32+1</f>
        <v>2069</v>
      </c>
      <c r="AV32" s="120">
        <f t="shared" ref="AV32" si="82">AU32+1</f>
        <v>2070</v>
      </c>
      <c r="AW32" s="120">
        <f t="shared" ref="AW32" si="83">AV32+1</f>
        <v>2071</v>
      </c>
    </row>
    <row r="33" spans="1:49" ht="14.25" customHeight="1">
      <c r="A33" s="45"/>
      <c r="B33" s="45"/>
      <c r="C33" s="121"/>
      <c r="D33" s="122">
        <f>D10</f>
        <v>46023</v>
      </c>
      <c r="E33" s="122">
        <f t="shared" ref="E33:X33" si="84">E10</f>
        <v>46752</v>
      </c>
      <c r="F33" s="122">
        <f t="shared" si="84"/>
        <v>47118</v>
      </c>
      <c r="G33" s="122">
        <f t="shared" si="84"/>
        <v>47483</v>
      </c>
      <c r="H33" s="122">
        <f t="shared" si="84"/>
        <v>47848</v>
      </c>
      <c r="I33" s="122">
        <f t="shared" si="84"/>
        <v>48213</v>
      </c>
      <c r="J33" s="122">
        <f t="shared" si="84"/>
        <v>48579</v>
      </c>
      <c r="K33" s="122">
        <f t="shared" si="84"/>
        <v>48944</v>
      </c>
      <c r="L33" s="122">
        <f t="shared" si="84"/>
        <v>49309</v>
      </c>
      <c r="M33" s="122">
        <f t="shared" si="84"/>
        <v>49674</v>
      </c>
      <c r="N33" s="122">
        <f t="shared" si="84"/>
        <v>50040</v>
      </c>
      <c r="O33" s="122">
        <f t="shared" si="84"/>
        <v>50405</v>
      </c>
      <c r="P33" s="122">
        <f t="shared" si="84"/>
        <v>50770</v>
      </c>
      <c r="Q33" s="122">
        <f t="shared" si="84"/>
        <v>51135</v>
      </c>
      <c r="R33" s="122">
        <f t="shared" si="84"/>
        <v>51501</v>
      </c>
      <c r="S33" s="122">
        <f t="shared" si="84"/>
        <v>51866</v>
      </c>
      <c r="T33" s="122">
        <f t="shared" si="84"/>
        <v>52231</v>
      </c>
      <c r="U33" s="122">
        <f t="shared" si="84"/>
        <v>52596</v>
      </c>
      <c r="V33" s="122">
        <f t="shared" si="84"/>
        <v>52962</v>
      </c>
      <c r="W33" s="122">
        <f t="shared" si="84"/>
        <v>53327</v>
      </c>
      <c r="X33" s="122">
        <f t="shared" si="84"/>
        <v>53692</v>
      </c>
      <c r="Y33" s="122">
        <f t="shared" ref="Y33:AW33" si="85">Y10</f>
        <v>54057</v>
      </c>
      <c r="Z33" s="122">
        <f t="shared" si="85"/>
        <v>54423</v>
      </c>
      <c r="AA33" s="122">
        <f t="shared" si="85"/>
        <v>54788</v>
      </c>
      <c r="AB33" s="122">
        <f t="shared" si="85"/>
        <v>55153</v>
      </c>
      <c r="AC33" s="122">
        <f t="shared" si="85"/>
        <v>55518</v>
      </c>
      <c r="AD33" s="122">
        <f t="shared" si="85"/>
        <v>55884</v>
      </c>
      <c r="AE33" s="122">
        <f t="shared" si="85"/>
        <v>56249</v>
      </c>
      <c r="AF33" s="122">
        <f t="shared" si="85"/>
        <v>56614</v>
      </c>
      <c r="AG33" s="122">
        <f t="shared" si="85"/>
        <v>56979</v>
      </c>
      <c r="AH33" s="122">
        <f t="shared" si="85"/>
        <v>57345</v>
      </c>
      <c r="AI33" s="122">
        <f t="shared" si="85"/>
        <v>57710</v>
      </c>
      <c r="AJ33" s="122">
        <f t="shared" si="85"/>
        <v>58075</v>
      </c>
      <c r="AK33" s="122">
        <f t="shared" si="85"/>
        <v>58440</v>
      </c>
      <c r="AL33" s="122">
        <f t="shared" si="85"/>
        <v>58806</v>
      </c>
      <c r="AM33" s="122">
        <f t="shared" si="85"/>
        <v>59171</v>
      </c>
      <c r="AN33" s="122">
        <f t="shared" si="85"/>
        <v>59536</v>
      </c>
      <c r="AO33" s="122">
        <f t="shared" si="85"/>
        <v>59901</v>
      </c>
      <c r="AP33" s="122">
        <f t="shared" si="85"/>
        <v>60267</v>
      </c>
      <c r="AQ33" s="122">
        <f t="shared" si="85"/>
        <v>60632</v>
      </c>
      <c r="AR33" s="122">
        <f t="shared" si="85"/>
        <v>60997</v>
      </c>
      <c r="AS33" s="122">
        <f t="shared" si="85"/>
        <v>61362</v>
      </c>
      <c r="AT33" s="122">
        <f t="shared" si="85"/>
        <v>61728</v>
      </c>
      <c r="AU33" s="122">
        <f t="shared" si="85"/>
        <v>62093</v>
      </c>
      <c r="AV33" s="122">
        <f t="shared" si="85"/>
        <v>62458</v>
      </c>
      <c r="AW33" s="122">
        <f t="shared" si="85"/>
        <v>62823</v>
      </c>
    </row>
    <row r="34" spans="1:49" ht="15" customHeight="1">
      <c r="A34" s="1"/>
      <c r="B34" s="1"/>
      <c r="C34" s="1" t="s">
        <v>403</v>
      </c>
      <c r="D34" s="15">
        <f t="shared" ref="D34:X34" si="86">D125</f>
        <v>0</v>
      </c>
      <c r="E34" s="15">
        <f t="shared" si="86"/>
        <v>2.3424174169653553</v>
      </c>
      <c r="F34" s="15">
        <f t="shared" si="86"/>
        <v>9.5861498204977735</v>
      </c>
      <c r="G34" s="15">
        <f t="shared" si="86"/>
        <v>9.6544681170360303</v>
      </c>
      <c r="H34" s="15">
        <f t="shared" si="86"/>
        <v>9.7224048213623586</v>
      </c>
      <c r="I34" s="15">
        <f t="shared" si="86"/>
        <v>9.7899247169940082</v>
      </c>
      <c r="J34" s="15">
        <f t="shared" si="86"/>
        <v>9.8569913623836456</v>
      </c>
      <c r="K34" s="15">
        <f t="shared" si="86"/>
        <v>9.9235670544209018</v>
      </c>
      <c r="L34" s="15">
        <f t="shared" si="86"/>
        <v>9.989612790883978</v>
      </c>
      <c r="M34" s="15">
        <f t="shared" si="86"/>
        <v>10.055088231811041</v>
      </c>
      <c r="N34" s="15">
        <f t="shared" si="86"/>
        <v>10.119951659760337</v>
      </c>
      <c r="O34" s="15">
        <f t="shared" si="86"/>
        <v>10.184159938927035</v>
      </c>
      <c r="P34" s="15">
        <f t="shared" si="86"/>
        <v>10.247668473083873</v>
      </c>
      <c r="Q34" s="15">
        <f t="shared" si="86"/>
        <v>10.310431162311653</v>
      </c>
      <c r="R34" s="15">
        <f t="shared" si="86"/>
        <v>10.372400358484864</v>
      </c>
      <c r="S34" s="15">
        <f t="shared" si="86"/>
        <v>10.433526819476356</v>
      </c>
      <c r="T34" s="15">
        <f t="shared" si="86"/>
        <v>10.493759662044326</v>
      </c>
      <c r="U34" s="15">
        <f t="shared" si="86"/>
        <v>10.553046313363419</v>
      </c>
      <c r="V34" s="15">
        <f t="shared" si="86"/>
        <v>10.611332461160993</v>
      </c>
      <c r="W34" s="15">
        <f t="shared" si="86"/>
        <v>10.668562002418199</v>
      </c>
      <c r="X34" s="15">
        <f t="shared" si="86"/>
        <v>10.724676990594482</v>
      </c>
      <c r="Y34" s="15">
        <f t="shared" ref="Y34:AW34" si="87">Y125</f>
        <v>10.779617581332847</v>
      </c>
      <c r="Z34" s="15">
        <f t="shared" si="87"/>
        <v>10.833321976602074</v>
      </c>
      <c r="AA34" s="15">
        <f t="shared" si="87"/>
        <v>10.885726367230578</v>
      </c>
      <c r="AB34" s="15">
        <f t="shared" si="87"/>
        <v>10.936764873785675</v>
      </c>
      <c r="AC34" s="15">
        <f t="shared" si="87"/>
        <v>10.98636948575014</v>
      </c>
      <c r="AD34" s="15">
        <f t="shared" si="87"/>
        <v>11.034469998947079</v>
      </c>
      <c r="AE34" s="15">
        <f t="shared" si="87"/>
        <v>-2.1249525169443927E-6</v>
      </c>
      <c r="AF34" s="15">
        <f t="shared" si="87"/>
        <v>-2.1887010924527248E-6</v>
      </c>
      <c r="AG34" s="15">
        <f t="shared" si="87"/>
        <v>-2.2543621252263061E-6</v>
      </c>
      <c r="AH34" s="15">
        <f t="shared" si="87"/>
        <v>-2.3219929889830952E-6</v>
      </c>
      <c r="AI34" s="15">
        <f t="shared" si="87"/>
        <v>-2.3916527786525884E-6</v>
      </c>
      <c r="AJ34" s="15">
        <f t="shared" si="87"/>
        <v>-2.4634023620121658E-6</v>
      </c>
      <c r="AK34" s="15">
        <f t="shared" si="87"/>
        <v>-2.537304432872531E-6</v>
      </c>
      <c r="AL34" s="15">
        <f t="shared" si="87"/>
        <v>-2.6134235658587073E-6</v>
      </c>
      <c r="AM34" s="15">
        <f t="shared" si="87"/>
        <v>-2.6918262728344683E-6</v>
      </c>
      <c r="AN34" s="15">
        <f t="shared" si="87"/>
        <v>-2.7725810610195027E-6</v>
      </c>
      <c r="AO34" s="15">
        <f t="shared" si="87"/>
        <v>-2.8557584928500874E-6</v>
      </c>
      <c r="AP34" s="15">
        <f t="shared" si="87"/>
        <v>-2.9414312476355905E-6</v>
      </c>
      <c r="AQ34" s="15">
        <f t="shared" si="87"/>
        <v>-3.0296741850646581E-6</v>
      </c>
      <c r="AR34" s="15">
        <f t="shared" si="87"/>
        <v>-3.1205644106165973E-6</v>
      </c>
      <c r="AS34" s="15">
        <f t="shared" si="87"/>
        <v>-3.2141813429350959E-6</v>
      </c>
      <c r="AT34" s="15">
        <f t="shared" si="87"/>
        <v>-3.310606783223149E-6</v>
      </c>
      <c r="AU34" s="15">
        <f t="shared" si="87"/>
        <v>-3.4099249867198433E-6</v>
      </c>
      <c r="AV34" s="15">
        <f t="shared" si="87"/>
        <v>-3.5122227363214387E-6</v>
      </c>
      <c r="AW34" s="15">
        <f t="shared" si="87"/>
        <v>-3.6175894184110823E-6</v>
      </c>
    </row>
    <row r="35" spans="1:49" s="149" customFormat="1" ht="15" customHeight="1">
      <c r="A35" s="1"/>
      <c r="B35" s="1"/>
      <c r="C35" s="524" t="str">
        <f>"   Less: Taxes @ "&amp;TEXT('Assumptions &amp; Inputs'!H12,"0.0%")</f>
        <v xml:space="preserve">   Less: Taxes @ 26.0%</v>
      </c>
      <c r="D35" s="153">
        <f>SUM(D134,D135)</f>
        <v>0</v>
      </c>
      <c r="E35" s="153">
        <f>SUM(E134,E135)</f>
        <v>-0.60902852841099242</v>
      </c>
      <c r="F35" s="153">
        <f t="shared" ref="F35:X35" si="88">SUM(F134,F135)</f>
        <v>-2.4923989533294213</v>
      </c>
      <c r="G35" s="153">
        <f t="shared" si="88"/>
        <v>-2.5101617104293679</v>
      </c>
      <c r="H35" s="153">
        <f t="shared" si="88"/>
        <v>-2.5278252535542132</v>
      </c>
      <c r="I35" s="153">
        <f t="shared" si="88"/>
        <v>-2.5453804264184421</v>
      </c>
      <c r="J35" s="153">
        <f t="shared" si="88"/>
        <v>-2.5628177542197479</v>
      </c>
      <c r="K35" s="153">
        <f t="shared" si="88"/>
        <v>-2.5801274341494347</v>
      </c>
      <c r="L35" s="153">
        <f t="shared" si="88"/>
        <v>-2.5972993256298342</v>
      </c>
      <c r="M35" s="153">
        <f t="shared" si="88"/>
        <v>-2.614322940270871</v>
      </c>
      <c r="N35" s="153">
        <f t="shared" si="88"/>
        <v>-2.631187431537688</v>
      </c>
      <c r="O35" s="153">
        <f t="shared" si="88"/>
        <v>-2.6478815841210293</v>
      </c>
      <c r="P35" s="153">
        <f t="shared" si="88"/>
        <v>-2.6643938030018073</v>
      </c>
      <c r="Q35" s="153">
        <f t="shared" si="88"/>
        <v>-2.6807121022010301</v>
      </c>
      <c r="R35" s="153">
        <f t="shared" si="88"/>
        <v>-2.6968240932060645</v>
      </c>
      <c r="S35" s="153">
        <f t="shared" si="88"/>
        <v>-2.7127169730638525</v>
      </c>
      <c r="T35" s="153">
        <f t="shared" si="88"/>
        <v>-2.7283775121315248</v>
      </c>
      <c r="U35" s="153">
        <f t="shared" si="88"/>
        <v>-2.7437920414744892</v>
      </c>
      <c r="V35" s="153">
        <f t="shared" si="88"/>
        <v>-2.7589464399018584</v>
      </c>
      <c r="W35" s="153">
        <f t="shared" si="88"/>
        <v>-2.7738261206287316</v>
      </c>
      <c r="X35" s="153">
        <f t="shared" si="88"/>
        <v>-2.7884160175545651</v>
      </c>
      <c r="Y35" s="153">
        <f t="shared" ref="Y35:AW35" si="89">SUM(Y134,Y135)</f>
        <v>-2.80270057114654</v>
      </c>
      <c r="Z35" s="153">
        <f t="shared" si="89"/>
        <v>-2.8166637139165394</v>
      </c>
      <c r="AA35" s="153">
        <f t="shared" si="89"/>
        <v>-2.8302888554799503</v>
      </c>
      <c r="AB35" s="153">
        <f t="shared" si="89"/>
        <v>-2.8435588671842758</v>
      </c>
      <c r="AC35" s="153">
        <f t="shared" si="89"/>
        <v>-2.8564560662950367</v>
      </c>
      <c r="AD35" s="153">
        <f t="shared" si="89"/>
        <v>-2.8689621997262407</v>
      </c>
      <c r="AE35" s="153">
        <f t="shared" si="89"/>
        <v>0</v>
      </c>
      <c r="AF35" s="153">
        <f t="shared" si="89"/>
        <v>0</v>
      </c>
      <c r="AG35" s="153">
        <f t="shared" si="89"/>
        <v>0</v>
      </c>
      <c r="AH35" s="153">
        <f t="shared" si="89"/>
        <v>0</v>
      </c>
      <c r="AI35" s="153">
        <f t="shared" si="89"/>
        <v>0</v>
      </c>
      <c r="AJ35" s="153">
        <f t="shared" si="89"/>
        <v>0</v>
      </c>
      <c r="AK35" s="153">
        <f t="shared" si="89"/>
        <v>0</v>
      </c>
      <c r="AL35" s="153">
        <f t="shared" si="89"/>
        <v>0</v>
      </c>
      <c r="AM35" s="153">
        <f t="shared" si="89"/>
        <v>0</v>
      </c>
      <c r="AN35" s="153">
        <f t="shared" si="89"/>
        <v>0</v>
      </c>
      <c r="AO35" s="153">
        <f t="shared" si="89"/>
        <v>0</v>
      </c>
      <c r="AP35" s="153">
        <f t="shared" si="89"/>
        <v>0</v>
      </c>
      <c r="AQ35" s="153">
        <f t="shared" si="89"/>
        <v>0</v>
      </c>
      <c r="AR35" s="153">
        <f t="shared" si="89"/>
        <v>0</v>
      </c>
      <c r="AS35" s="153">
        <f t="shared" si="89"/>
        <v>0</v>
      </c>
      <c r="AT35" s="153">
        <f t="shared" si="89"/>
        <v>0</v>
      </c>
      <c r="AU35" s="153">
        <f t="shared" si="89"/>
        <v>0</v>
      </c>
      <c r="AV35" s="153">
        <f t="shared" si="89"/>
        <v>0</v>
      </c>
      <c r="AW35" s="153">
        <f t="shared" si="89"/>
        <v>0</v>
      </c>
    </row>
    <row r="36" spans="1:49" ht="15" customHeight="1">
      <c r="A36" s="1"/>
      <c r="B36" s="1"/>
      <c r="C36" s="1" t="s">
        <v>404</v>
      </c>
      <c r="D36" s="8">
        <f>SUM(D34:D35)</f>
        <v>0</v>
      </c>
      <c r="E36" s="8">
        <f t="shared" ref="E36:X36" si="90">SUM(E34:E35)</f>
        <v>1.7333888885543629</v>
      </c>
      <c r="F36" s="8">
        <f t="shared" si="90"/>
        <v>7.0937508671683522</v>
      </c>
      <c r="G36" s="8">
        <f t="shared" si="90"/>
        <v>7.1443064066066624</v>
      </c>
      <c r="H36" s="8">
        <f t="shared" si="90"/>
        <v>7.1945795678081454</v>
      </c>
      <c r="I36" s="8">
        <f t="shared" si="90"/>
        <v>7.2445442905755666</v>
      </c>
      <c r="J36" s="8">
        <f t="shared" si="90"/>
        <v>7.2941736081638977</v>
      </c>
      <c r="K36" s="8">
        <f t="shared" si="90"/>
        <v>7.3434396202714671</v>
      </c>
      <c r="L36" s="8">
        <f t="shared" si="90"/>
        <v>7.3923134652541442</v>
      </c>
      <c r="M36" s="8">
        <f t="shared" si="90"/>
        <v>7.4407652915401705</v>
      </c>
      <c r="N36" s="8">
        <f t="shared" si="90"/>
        <v>7.4887642282226494</v>
      </c>
      <c r="O36" s="8">
        <f t="shared" si="90"/>
        <v>7.5362783548060062</v>
      </c>
      <c r="P36" s="8">
        <f t="shared" si="90"/>
        <v>7.5832746700820657</v>
      </c>
      <c r="Q36" s="8">
        <f t="shared" si="90"/>
        <v>7.6297190601106237</v>
      </c>
      <c r="R36" s="8">
        <f t="shared" si="90"/>
        <v>7.6755762652787993</v>
      </c>
      <c r="S36" s="8">
        <f t="shared" si="90"/>
        <v>7.7208098464125037</v>
      </c>
      <c r="T36" s="8">
        <f t="shared" si="90"/>
        <v>7.7653821499128011</v>
      </c>
      <c r="U36" s="8">
        <f t="shared" si="90"/>
        <v>7.8092542718889302</v>
      </c>
      <c r="V36" s="8">
        <f t="shared" si="90"/>
        <v>7.8523860212591341</v>
      </c>
      <c r="W36" s="8">
        <f t="shared" si="90"/>
        <v>7.8947358817894671</v>
      </c>
      <c r="X36" s="8">
        <f t="shared" si="90"/>
        <v>7.9362609730399161</v>
      </c>
      <c r="Y36" s="8">
        <f t="shared" ref="Y36:AW36" si="91">SUM(Y34:Y35)</f>
        <v>7.9769170101863072</v>
      </c>
      <c r="Z36" s="8">
        <f t="shared" si="91"/>
        <v>8.0166582626855352</v>
      </c>
      <c r="AA36" s="8">
        <f t="shared" si="91"/>
        <v>8.0554375117506289</v>
      </c>
      <c r="AB36" s="8">
        <f t="shared" si="91"/>
        <v>8.0932060066013989</v>
      </c>
      <c r="AC36" s="8">
        <f t="shared" si="91"/>
        <v>8.1299134194551037</v>
      </c>
      <c r="AD36" s="8">
        <f t="shared" si="91"/>
        <v>8.1655077992208387</v>
      </c>
      <c r="AE36" s="8">
        <f t="shared" si="91"/>
        <v>-2.1249525169443927E-6</v>
      </c>
      <c r="AF36" s="8">
        <f t="shared" si="91"/>
        <v>-2.1887010924527248E-6</v>
      </c>
      <c r="AG36" s="8">
        <f t="shared" si="91"/>
        <v>-2.2543621252263061E-6</v>
      </c>
      <c r="AH36" s="8">
        <f t="shared" si="91"/>
        <v>-2.3219929889830952E-6</v>
      </c>
      <c r="AI36" s="8">
        <f t="shared" si="91"/>
        <v>-2.3916527786525884E-6</v>
      </c>
      <c r="AJ36" s="8">
        <f t="shared" si="91"/>
        <v>-2.4634023620121658E-6</v>
      </c>
      <c r="AK36" s="8">
        <f t="shared" si="91"/>
        <v>-2.537304432872531E-6</v>
      </c>
      <c r="AL36" s="8">
        <f t="shared" si="91"/>
        <v>-2.6134235658587073E-6</v>
      </c>
      <c r="AM36" s="8">
        <f t="shared" si="91"/>
        <v>-2.6918262728344683E-6</v>
      </c>
      <c r="AN36" s="8">
        <f t="shared" si="91"/>
        <v>-2.7725810610195027E-6</v>
      </c>
      <c r="AO36" s="8">
        <f t="shared" si="91"/>
        <v>-2.8557584928500874E-6</v>
      </c>
      <c r="AP36" s="8">
        <f t="shared" si="91"/>
        <v>-2.9414312476355905E-6</v>
      </c>
      <c r="AQ36" s="8">
        <f t="shared" si="91"/>
        <v>-3.0296741850646581E-6</v>
      </c>
      <c r="AR36" s="8">
        <f t="shared" si="91"/>
        <v>-3.1205644106165973E-6</v>
      </c>
      <c r="AS36" s="8">
        <f t="shared" si="91"/>
        <v>-3.2141813429350959E-6</v>
      </c>
      <c r="AT36" s="8">
        <f t="shared" si="91"/>
        <v>-3.310606783223149E-6</v>
      </c>
      <c r="AU36" s="8">
        <f t="shared" si="91"/>
        <v>-3.4099249867198433E-6</v>
      </c>
      <c r="AV36" s="8">
        <f t="shared" si="91"/>
        <v>-3.5122227363214387E-6</v>
      </c>
      <c r="AW36" s="8">
        <f t="shared" si="91"/>
        <v>-3.6175894184110823E-6</v>
      </c>
    </row>
    <row r="37" spans="1:49" ht="15" customHeight="1">
      <c r="A37" s="1"/>
      <c r="B37" s="1"/>
      <c r="C37" s="17" t="s">
        <v>405</v>
      </c>
      <c r="D37" s="15">
        <f>-D143</f>
        <v>0</v>
      </c>
      <c r="E37" s="15">
        <f t="shared" ref="E37:X37" si="92">-E143</f>
        <v>0</v>
      </c>
      <c r="F37" s="15">
        <f t="shared" si="92"/>
        <v>4.5599999999999996</v>
      </c>
      <c r="G37" s="15">
        <f t="shared" si="92"/>
        <v>4.5599999999999996</v>
      </c>
      <c r="H37" s="15">
        <f t="shared" si="92"/>
        <v>4.5599999999999996</v>
      </c>
      <c r="I37" s="15">
        <f t="shared" si="92"/>
        <v>4.5599999999999996</v>
      </c>
      <c r="J37" s="15">
        <f t="shared" si="92"/>
        <v>4.5599999999999996</v>
      </c>
      <c r="K37" s="15">
        <f t="shared" si="92"/>
        <v>4.5599999999999996</v>
      </c>
      <c r="L37" s="15">
        <f t="shared" si="92"/>
        <v>4.5599999999999996</v>
      </c>
      <c r="M37" s="15">
        <f t="shared" si="92"/>
        <v>4.5599999999999996</v>
      </c>
      <c r="N37" s="15">
        <f t="shared" si="92"/>
        <v>4.5599999999999996</v>
      </c>
      <c r="O37" s="15">
        <f t="shared" si="92"/>
        <v>4.5599999999999996</v>
      </c>
      <c r="P37" s="15">
        <f t="shared" si="92"/>
        <v>4.5599999999999996</v>
      </c>
      <c r="Q37" s="15">
        <f t="shared" si="92"/>
        <v>4.5599999999999996</v>
      </c>
      <c r="R37" s="15">
        <f t="shared" si="92"/>
        <v>4.5599999999999996</v>
      </c>
      <c r="S37" s="15">
        <f t="shared" si="92"/>
        <v>4.5599999999999996</v>
      </c>
      <c r="T37" s="15">
        <f t="shared" si="92"/>
        <v>4.5599999999999996</v>
      </c>
      <c r="U37" s="15">
        <f t="shared" si="92"/>
        <v>4.5599999999999996</v>
      </c>
      <c r="V37" s="15">
        <f t="shared" si="92"/>
        <v>4.5599999999999996</v>
      </c>
      <c r="W37" s="15">
        <f t="shared" si="92"/>
        <v>4.5599999999999996</v>
      </c>
      <c r="X37" s="15">
        <f t="shared" si="92"/>
        <v>4.5599999999999996</v>
      </c>
      <c r="Y37" s="15">
        <f t="shared" ref="Y37:AW37" si="93">-Y143</f>
        <v>4.5599999999999996</v>
      </c>
      <c r="Z37" s="15">
        <f t="shared" si="93"/>
        <v>4.5599999999999996</v>
      </c>
      <c r="AA37" s="15">
        <f t="shared" si="93"/>
        <v>4.5599999999999996</v>
      </c>
      <c r="AB37" s="15">
        <f t="shared" si="93"/>
        <v>4.5599999999999996</v>
      </c>
      <c r="AC37" s="15">
        <f t="shared" si="93"/>
        <v>4.5599999999999996</v>
      </c>
      <c r="AD37" s="15">
        <f t="shared" si="93"/>
        <v>4.5599999999999996</v>
      </c>
      <c r="AE37" s="15">
        <f t="shared" si="93"/>
        <v>0</v>
      </c>
      <c r="AF37" s="15">
        <f t="shared" si="93"/>
        <v>0</v>
      </c>
      <c r="AG37" s="15">
        <f t="shared" si="93"/>
        <v>0</v>
      </c>
      <c r="AH37" s="15">
        <f t="shared" si="93"/>
        <v>0</v>
      </c>
      <c r="AI37" s="15">
        <f t="shared" si="93"/>
        <v>0</v>
      </c>
      <c r="AJ37" s="15">
        <f t="shared" si="93"/>
        <v>0</v>
      </c>
      <c r="AK37" s="15">
        <f t="shared" si="93"/>
        <v>0</v>
      </c>
      <c r="AL37" s="15">
        <f t="shared" si="93"/>
        <v>0</v>
      </c>
      <c r="AM37" s="15">
        <f t="shared" si="93"/>
        <v>0</v>
      </c>
      <c r="AN37" s="15">
        <f t="shared" si="93"/>
        <v>0</v>
      </c>
      <c r="AO37" s="15">
        <f t="shared" si="93"/>
        <v>0</v>
      </c>
      <c r="AP37" s="15">
        <f t="shared" si="93"/>
        <v>0</v>
      </c>
      <c r="AQ37" s="15">
        <f t="shared" si="93"/>
        <v>0</v>
      </c>
      <c r="AR37" s="15">
        <f t="shared" si="93"/>
        <v>0</v>
      </c>
      <c r="AS37" s="15">
        <f t="shared" si="93"/>
        <v>0</v>
      </c>
      <c r="AT37" s="15">
        <f t="shared" si="93"/>
        <v>0</v>
      </c>
      <c r="AU37" s="15">
        <f t="shared" si="93"/>
        <v>0</v>
      </c>
      <c r="AV37" s="15">
        <f t="shared" si="93"/>
        <v>0</v>
      </c>
      <c r="AW37" s="15">
        <f t="shared" si="93"/>
        <v>0</v>
      </c>
    </row>
    <row r="38" spans="1:49" ht="15" customHeight="1">
      <c r="A38" s="1"/>
      <c r="B38" s="1"/>
      <c r="C38" s="17" t="s">
        <v>406</v>
      </c>
      <c r="D38" s="18">
        <f>D24</f>
        <v>-73.333333333333343</v>
      </c>
      <c r="E38" s="18">
        <f t="shared" ref="E38:F38" si="94">E24</f>
        <v>-46.666666666666664</v>
      </c>
      <c r="F38" s="18">
        <f t="shared" si="94"/>
        <v>0</v>
      </c>
      <c r="G38" s="18">
        <f t="shared" ref="G38:X38" si="95">-G24</f>
        <v>0</v>
      </c>
      <c r="H38" s="18">
        <f t="shared" si="95"/>
        <v>0</v>
      </c>
      <c r="I38" s="18">
        <f t="shared" si="95"/>
        <v>0</v>
      </c>
      <c r="J38" s="18">
        <f t="shared" si="95"/>
        <v>0</v>
      </c>
      <c r="K38" s="18">
        <f t="shared" si="95"/>
        <v>0</v>
      </c>
      <c r="L38" s="18">
        <f t="shared" si="95"/>
        <v>0</v>
      </c>
      <c r="M38" s="18">
        <f t="shared" si="95"/>
        <v>0</v>
      </c>
      <c r="N38" s="18">
        <f t="shared" si="95"/>
        <v>0</v>
      </c>
      <c r="O38" s="18">
        <f t="shared" si="95"/>
        <v>0</v>
      </c>
      <c r="P38" s="18">
        <f t="shared" si="95"/>
        <v>0</v>
      </c>
      <c r="Q38" s="18">
        <f t="shared" si="95"/>
        <v>0</v>
      </c>
      <c r="R38" s="18">
        <f t="shared" si="95"/>
        <v>0</v>
      </c>
      <c r="S38" s="18">
        <f t="shared" si="95"/>
        <v>0</v>
      </c>
      <c r="T38" s="18">
        <f t="shared" si="95"/>
        <v>0</v>
      </c>
      <c r="U38" s="18">
        <f t="shared" si="95"/>
        <v>0</v>
      </c>
      <c r="V38" s="18">
        <f t="shared" si="95"/>
        <v>0</v>
      </c>
      <c r="W38" s="18">
        <f t="shared" si="95"/>
        <v>0</v>
      </c>
      <c r="X38" s="18">
        <f t="shared" si="95"/>
        <v>0</v>
      </c>
      <c r="Y38" s="18">
        <f t="shared" ref="Y38:AW38" si="96">-Y24</f>
        <v>0</v>
      </c>
      <c r="Z38" s="18">
        <f t="shared" si="96"/>
        <v>0</v>
      </c>
      <c r="AA38" s="18">
        <f t="shared" si="96"/>
        <v>0</v>
      </c>
      <c r="AB38" s="18">
        <f t="shared" si="96"/>
        <v>0</v>
      </c>
      <c r="AC38" s="18">
        <f t="shared" si="96"/>
        <v>0</v>
      </c>
      <c r="AD38" s="18">
        <f t="shared" si="96"/>
        <v>0</v>
      </c>
      <c r="AE38" s="18">
        <f t="shared" si="96"/>
        <v>0</v>
      </c>
      <c r="AF38" s="18">
        <f t="shared" si="96"/>
        <v>0</v>
      </c>
      <c r="AG38" s="18">
        <f t="shared" si="96"/>
        <v>0</v>
      </c>
      <c r="AH38" s="18">
        <f t="shared" si="96"/>
        <v>0</v>
      </c>
      <c r="AI38" s="18">
        <f t="shared" si="96"/>
        <v>0</v>
      </c>
      <c r="AJ38" s="18">
        <f t="shared" si="96"/>
        <v>0</v>
      </c>
      <c r="AK38" s="18">
        <f t="shared" si="96"/>
        <v>0</v>
      </c>
      <c r="AL38" s="18">
        <f t="shared" si="96"/>
        <v>0</v>
      </c>
      <c r="AM38" s="18">
        <f t="shared" si="96"/>
        <v>0</v>
      </c>
      <c r="AN38" s="18">
        <f t="shared" si="96"/>
        <v>0</v>
      </c>
      <c r="AO38" s="18">
        <f t="shared" si="96"/>
        <v>0</v>
      </c>
      <c r="AP38" s="18">
        <f t="shared" si="96"/>
        <v>0</v>
      </c>
      <c r="AQ38" s="18">
        <f t="shared" si="96"/>
        <v>0</v>
      </c>
      <c r="AR38" s="18">
        <f t="shared" si="96"/>
        <v>0</v>
      </c>
      <c r="AS38" s="18">
        <f t="shared" si="96"/>
        <v>0</v>
      </c>
      <c r="AT38" s="18">
        <f t="shared" si="96"/>
        <v>0</v>
      </c>
      <c r="AU38" s="18">
        <f t="shared" si="96"/>
        <v>0</v>
      </c>
      <c r="AV38" s="18">
        <f t="shared" si="96"/>
        <v>0</v>
      </c>
      <c r="AW38" s="18">
        <f t="shared" si="96"/>
        <v>0</v>
      </c>
    </row>
    <row r="39" spans="1:49" ht="15" customHeight="1">
      <c r="A39" s="1"/>
      <c r="B39" s="1"/>
      <c r="C39" s="17" t="s">
        <v>407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</row>
    <row r="40" spans="1:49" ht="15" customHeight="1">
      <c r="A40" s="1"/>
      <c r="B40" s="1"/>
      <c r="C40" s="20" t="s">
        <v>408</v>
      </c>
      <c r="D40" s="21">
        <f>SUM(D36:D39)</f>
        <v>-73.333333333333343</v>
      </c>
      <c r="E40" s="21">
        <f>SUM(E36:E39)</f>
        <v>-44.933277778112299</v>
      </c>
      <c r="F40" s="21">
        <f t="shared" ref="F40:X40" si="97">SUM(F36:F39)</f>
        <v>11.653750867168352</v>
      </c>
      <c r="G40" s="21">
        <f t="shared" si="97"/>
        <v>11.704306406606662</v>
      </c>
      <c r="H40" s="21">
        <f t="shared" si="97"/>
        <v>11.754579567808145</v>
      </c>
      <c r="I40" s="21">
        <f t="shared" si="97"/>
        <v>11.804544290575567</v>
      </c>
      <c r="J40" s="21">
        <f t="shared" si="97"/>
        <v>11.854173608163897</v>
      </c>
      <c r="K40" s="21">
        <f t="shared" si="97"/>
        <v>11.903439620271467</v>
      </c>
      <c r="L40" s="21">
        <f t="shared" si="97"/>
        <v>11.952313465254143</v>
      </c>
      <c r="M40" s="21">
        <f t="shared" si="97"/>
        <v>12.000765291540169</v>
      </c>
      <c r="N40" s="21">
        <f t="shared" si="97"/>
        <v>12.048764228222648</v>
      </c>
      <c r="O40" s="21">
        <f t="shared" si="97"/>
        <v>12.096278354806007</v>
      </c>
      <c r="P40" s="21">
        <f t="shared" si="97"/>
        <v>12.143274670082064</v>
      </c>
      <c r="Q40" s="21">
        <f t="shared" si="97"/>
        <v>12.189719060110622</v>
      </c>
      <c r="R40" s="21">
        <f t="shared" si="97"/>
        <v>12.235576265278798</v>
      </c>
      <c r="S40" s="21">
        <f t="shared" si="97"/>
        <v>12.280809846412502</v>
      </c>
      <c r="T40" s="21">
        <f t="shared" si="97"/>
        <v>12.325382149912802</v>
      </c>
      <c r="U40" s="21">
        <f t="shared" si="97"/>
        <v>12.369254271888931</v>
      </c>
      <c r="V40" s="21">
        <f t="shared" si="97"/>
        <v>12.412386021259135</v>
      </c>
      <c r="W40" s="21">
        <f t="shared" si="97"/>
        <v>12.454735881789468</v>
      </c>
      <c r="X40" s="21">
        <f t="shared" si="97"/>
        <v>12.496260973039917</v>
      </c>
      <c r="Y40" s="21">
        <f t="shared" ref="Y40:AW40" si="98">SUM(Y36:Y39)</f>
        <v>12.536917010186308</v>
      </c>
      <c r="Z40" s="21">
        <f t="shared" si="98"/>
        <v>12.576658262685534</v>
      </c>
      <c r="AA40" s="21">
        <f t="shared" si="98"/>
        <v>12.615437511750628</v>
      </c>
      <c r="AB40" s="21">
        <f t="shared" si="98"/>
        <v>12.653206006601398</v>
      </c>
      <c r="AC40" s="21">
        <f t="shared" si="98"/>
        <v>12.689913419455102</v>
      </c>
      <c r="AD40" s="21">
        <f t="shared" si="98"/>
        <v>12.725507799220839</v>
      </c>
      <c r="AE40" s="21">
        <f t="shared" si="98"/>
        <v>-2.1249525169443927E-6</v>
      </c>
      <c r="AF40" s="21">
        <f t="shared" si="98"/>
        <v>-2.1887010924527248E-6</v>
      </c>
      <c r="AG40" s="21">
        <f t="shared" si="98"/>
        <v>-2.2543621252263061E-6</v>
      </c>
      <c r="AH40" s="21">
        <f t="shared" si="98"/>
        <v>-2.3219929889830952E-6</v>
      </c>
      <c r="AI40" s="21">
        <f t="shared" si="98"/>
        <v>-2.3916527786525884E-6</v>
      </c>
      <c r="AJ40" s="21">
        <f t="shared" si="98"/>
        <v>-2.4634023620121658E-6</v>
      </c>
      <c r="AK40" s="21">
        <f t="shared" si="98"/>
        <v>-2.537304432872531E-6</v>
      </c>
      <c r="AL40" s="21">
        <f t="shared" si="98"/>
        <v>-2.6134235658587073E-6</v>
      </c>
      <c r="AM40" s="21">
        <f t="shared" si="98"/>
        <v>-2.6918262728344683E-6</v>
      </c>
      <c r="AN40" s="21">
        <f t="shared" si="98"/>
        <v>-2.7725810610195027E-6</v>
      </c>
      <c r="AO40" s="21">
        <f t="shared" si="98"/>
        <v>-2.8557584928500874E-6</v>
      </c>
      <c r="AP40" s="21">
        <f t="shared" si="98"/>
        <v>-2.9414312476355905E-6</v>
      </c>
      <c r="AQ40" s="21">
        <f t="shared" si="98"/>
        <v>-3.0296741850646581E-6</v>
      </c>
      <c r="AR40" s="21">
        <f t="shared" si="98"/>
        <v>-3.1205644106165973E-6</v>
      </c>
      <c r="AS40" s="21">
        <f t="shared" si="98"/>
        <v>-3.2141813429350959E-6</v>
      </c>
      <c r="AT40" s="21">
        <f t="shared" si="98"/>
        <v>-3.310606783223149E-6</v>
      </c>
      <c r="AU40" s="21">
        <f t="shared" si="98"/>
        <v>-3.4099249867198433E-6</v>
      </c>
      <c r="AV40" s="21">
        <f t="shared" si="98"/>
        <v>-3.5122227363214387E-6</v>
      </c>
      <c r="AW40" s="21">
        <f t="shared" si="98"/>
        <v>-3.6175894184110823E-6</v>
      </c>
    </row>
    <row r="41" spans="1:49" ht="15" customHeight="1">
      <c r="A41" s="1"/>
      <c r="B41" s="1"/>
      <c r="C41" s="1" t="s">
        <v>409</v>
      </c>
      <c r="D41" s="15">
        <f>-E65</f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5" customHeight="1">
      <c r="A42" s="1"/>
      <c r="B42" s="1"/>
      <c r="C42" s="1" t="s">
        <v>410</v>
      </c>
      <c r="D42" s="1">
        <f>IF(AND(MOD(D32-YEAR('Assumptions &amp; Inputs'!$H$31),'Assumptions &amp; Inputs'!$H$34)=0, D32&lt;=YEAR('Assumptions &amp; Inputs'!$H$36), D9&gt;YEAR('Assumptions &amp; Inputs'!$H$31)),'Assumptions &amp; Inputs'!$H$37*'Assumptions &amp; Inputs'!$H$38*IF(D32-'Assumptions &amp; Inputs'!$H$34&gt;YEAR('Assumptions &amp; Inputs'!$H$31), 'Assumptions &amp; Inputs'!$H$33, 1), 0)</f>
        <v>0</v>
      </c>
      <c r="E42" s="1">
        <f>IF(AND(MOD(E32-YEAR('Assumptions &amp; Inputs'!$H$31),'Assumptions &amp; Inputs'!$H$34)=0, E32&lt;=YEAR('Assumptions &amp; Inputs'!$H$36), E9&gt;YEAR('Assumptions &amp; Inputs'!$H$31)),'Assumptions &amp; Inputs'!$H$37*'Assumptions &amp; Inputs'!$H$38*IF(E32-'Assumptions &amp; Inputs'!$H$34&gt;YEAR('Assumptions &amp; Inputs'!$H$31), 'Assumptions &amp; Inputs'!$H$33, 1), 0)</f>
        <v>0</v>
      </c>
      <c r="F42" s="1">
        <f>IF(AND(MOD(F32-YEAR('Assumptions &amp; Inputs'!$H$31),'Assumptions &amp; Inputs'!$H$34)=0, F32&lt;=YEAR('Assumptions &amp; Inputs'!$H$36), F9&gt;YEAR('Assumptions &amp; Inputs'!$H$31)),'Assumptions &amp; Inputs'!$H$37*'Assumptions &amp; Inputs'!$H$38*IF(F32-'Assumptions &amp; Inputs'!$H$34&gt;YEAR('Assumptions &amp; Inputs'!$H$31), 'Assumptions &amp; Inputs'!$H$33, 1), 0)</f>
        <v>0</v>
      </c>
      <c r="G42" s="1">
        <f>IF(AND(MOD(G32-YEAR('Assumptions &amp; Inputs'!$H$31),'Assumptions &amp; Inputs'!$H$34)=0, G32&lt;=YEAR('Assumptions &amp; Inputs'!$H$36), G9&gt;YEAR('Assumptions &amp; Inputs'!$H$31)),'Assumptions &amp; Inputs'!$H$37*'Assumptions &amp; Inputs'!$H$38*IF(G32-'Assumptions &amp; Inputs'!$H$34&gt;YEAR('Assumptions &amp; Inputs'!$H$31), 'Assumptions &amp; Inputs'!$H$33, 1), 0)</f>
        <v>0</v>
      </c>
      <c r="H42" s="1">
        <f>IF(AND(MOD(H32-YEAR('Assumptions &amp; Inputs'!$H$31),'Assumptions &amp; Inputs'!$H$34)=0, H32&lt;=YEAR('Assumptions &amp; Inputs'!$H$36), H9&gt;YEAR('Assumptions &amp; Inputs'!$H$31)),'Assumptions &amp; Inputs'!$H$37*'Assumptions &amp; Inputs'!$H$38*IF(H32-'Assumptions &amp; Inputs'!$H$34&gt;YEAR('Assumptions &amp; Inputs'!$H$31), 'Assumptions &amp; Inputs'!$H$33, 1), 0)</f>
        <v>0</v>
      </c>
      <c r="I42" s="1">
        <f>IF(AND(MOD(I32-YEAR('Assumptions &amp; Inputs'!$H$31),'Assumptions &amp; Inputs'!$H$34)=0, I32&lt;=YEAR('Assumptions &amp; Inputs'!$H$36), I9&gt;YEAR('Assumptions &amp; Inputs'!$H$31)),'Assumptions &amp; Inputs'!$H$37*'Assumptions &amp; Inputs'!$H$38*IF(I32-'Assumptions &amp; Inputs'!$H$34&gt;YEAR('Assumptions &amp; Inputs'!$H$31), 'Assumptions &amp; Inputs'!$H$33, 1), 0)</f>
        <v>0</v>
      </c>
      <c r="J42" s="1">
        <f>IF(AND(MOD(J32-YEAR('Assumptions &amp; Inputs'!$H$31),'Assumptions &amp; Inputs'!$H$34)=0, J32&lt;=YEAR('Assumptions &amp; Inputs'!$H$36), J9&gt;YEAR('Assumptions &amp; Inputs'!$H$31)),'Assumptions &amp; Inputs'!$H$37*'Assumptions &amp; Inputs'!$H$38*IF(J32-'Assumptions &amp; Inputs'!$H$34&gt;YEAR('Assumptions &amp; Inputs'!$H$31), 'Assumptions &amp; Inputs'!$H$33, 1), 0)</f>
        <v>0</v>
      </c>
      <c r="K42" s="1">
        <f>IF(AND(MOD(K32-YEAR('Assumptions &amp; Inputs'!$H$31),'Assumptions &amp; Inputs'!$H$34)=0, K32&lt;=YEAR('Assumptions &amp; Inputs'!$H$36), K9&gt;YEAR('Assumptions &amp; Inputs'!$H$31)),'Assumptions &amp; Inputs'!$H$37*'Assumptions &amp; Inputs'!$H$38*IF(K32-'Assumptions &amp; Inputs'!$H$34&gt;YEAR('Assumptions &amp; Inputs'!$H$31), 'Assumptions &amp; Inputs'!$H$33, 1), 0)</f>
        <v>0</v>
      </c>
      <c r="L42" s="1">
        <f>IF(AND(MOD(L32-YEAR('Assumptions &amp; Inputs'!$H$31),'Assumptions &amp; Inputs'!$H$34)=0, L32&lt;=YEAR('Assumptions &amp; Inputs'!$H$36), L9&gt;YEAR('Assumptions &amp; Inputs'!$H$31)),'Assumptions &amp; Inputs'!$H$37*'Assumptions &amp; Inputs'!$H$38*IF(L32-'Assumptions &amp; Inputs'!$H$34&gt;YEAR('Assumptions &amp; Inputs'!$H$31), 'Assumptions &amp; Inputs'!$H$33, 1), 0)</f>
        <v>0</v>
      </c>
      <c r="M42" s="1">
        <f>IF(AND(MOD(M32-YEAR('Assumptions &amp; Inputs'!$H$31),'Assumptions &amp; Inputs'!$H$34)=0, M32&lt;=YEAR('Assumptions &amp; Inputs'!$H$36), M9&gt;YEAR('Assumptions &amp; Inputs'!$H$31)),'Assumptions &amp; Inputs'!$H$37*'Assumptions &amp; Inputs'!$H$38*IF(M32-'Assumptions &amp; Inputs'!$H$34&gt;YEAR('Assumptions &amp; Inputs'!$H$31), 'Assumptions &amp; Inputs'!$H$33, 1), 0)</f>
        <v>0</v>
      </c>
      <c r="N42" s="1">
        <f>IF(AND(MOD(N32-YEAR('Assumptions &amp; Inputs'!$H$31),'Assumptions &amp; Inputs'!$H$34)=0, N32&lt;=YEAR('Assumptions &amp; Inputs'!$H$36), N9&gt;YEAR('Assumptions &amp; Inputs'!$H$31)),'Assumptions &amp; Inputs'!$H$37*'Assumptions &amp; Inputs'!$H$38*IF(N32-'Assumptions &amp; Inputs'!$H$34&gt;YEAR('Assumptions &amp; Inputs'!$H$31), 'Assumptions &amp; Inputs'!$H$33, 1), 0)</f>
        <v>0</v>
      </c>
      <c r="O42" s="1">
        <f>IF(AND(MOD(O32-YEAR('Assumptions &amp; Inputs'!$H$31),'Assumptions &amp; Inputs'!$H$34)=0, O32&lt;=YEAR('Assumptions &amp; Inputs'!$H$36), O9&gt;YEAR('Assumptions &amp; Inputs'!$H$31)),'Assumptions &amp; Inputs'!$H$37*'Assumptions &amp; Inputs'!$H$38*IF(O32-'Assumptions &amp; Inputs'!$H$34&gt;YEAR('Assumptions &amp; Inputs'!$H$31), 'Assumptions &amp; Inputs'!$H$33, 1), 0)</f>
        <v>0</v>
      </c>
      <c r="P42" s="1">
        <f>IF(AND(MOD(P32-YEAR('Assumptions &amp; Inputs'!$H$31),'Assumptions &amp; Inputs'!$H$34)=0, P32&lt;=YEAR('Assumptions &amp; Inputs'!$H$36), P9&gt;YEAR('Assumptions &amp; Inputs'!$H$31)),'Assumptions &amp; Inputs'!$H$37*'Assumptions &amp; Inputs'!$H$38*IF(P32-'Assumptions &amp; Inputs'!$H$34&gt;YEAR('Assumptions &amp; Inputs'!$H$31), 'Assumptions &amp; Inputs'!$H$33, 1), 0)</f>
        <v>0</v>
      </c>
      <c r="Q42" s="1">
        <f>IF(AND(MOD(Q32-YEAR('Assumptions &amp; Inputs'!$H$31),'Assumptions &amp; Inputs'!$H$34)=0, Q32&lt;=YEAR('Assumptions &amp; Inputs'!$H$36), Q9&gt;YEAR('Assumptions &amp; Inputs'!$H$31)),'Assumptions &amp; Inputs'!$H$37*'Assumptions &amp; Inputs'!$H$38*IF(Q32-'Assumptions &amp; Inputs'!$H$34&gt;YEAR('Assumptions &amp; Inputs'!$H$31), 'Assumptions &amp; Inputs'!$H$33, 1), 0)</f>
        <v>0</v>
      </c>
      <c r="R42" s="1">
        <f>IF(AND(MOD(R32-YEAR('Assumptions &amp; Inputs'!$H$31),'Assumptions &amp; Inputs'!$H$34)=0, R32&lt;=YEAR('Assumptions &amp; Inputs'!$H$36), R9&gt;YEAR('Assumptions &amp; Inputs'!$H$31)),'Assumptions &amp; Inputs'!$H$37*'Assumptions &amp; Inputs'!$H$38*IF(R32-'Assumptions &amp; Inputs'!$H$34&gt;YEAR('Assumptions &amp; Inputs'!$H$31), 'Assumptions &amp; Inputs'!$H$33, 1), 0)</f>
        <v>0</v>
      </c>
      <c r="S42" s="1">
        <f>IF(AND(MOD(S32-YEAR('Assumptions &amp; Inputs'!$H$31),'Assumptions &amp; Inputs'!$H$34)=0, S32&lt;=YEAR('Assumptions &amp; Inputs'!$H$36), S9&gt;YEAR('Assumptions &amp; Inputs'!$H$31)),'Assumptions &amp; Inputs'!$H$37*'Assumptions &amp; Inputs'!$H$38*IF(S32-'Assumptions &amp; Inputs'!$H$34&gt;YEAR('Assumptions &amp; Inputs'!$H$31), 'Assumptions &amp; Inputs'!$H$33, 1), 0)</f>
        <v>0</v>
      </c>
      <c r="T42" s="1">
        <f>IF(AND(MOD(T32-YEAR('Assumptions &amp; Inputs'!$H$31),'Assumptions &amp; Inputs'!$H$34)=0, T32&lt;=YEAR('Assumptions &amp; Inputs'!$H$36), T9&gt;YEAR('Assumptions &amp; Inputs'!$H$31)),'Assumptions &amp; Inputs'!$H$37*'Assumptions &amp; Inputs'!$H$38*IF(T32-'Assumptions &amp; Inputs'!$H$34&gt;YEAR('Assumptions &amp; Inputs'!$H$31), 'Assumptions &amp; Inputs'!$H$33, 1), 0)</f>
        <v>0</v>
      </c>
      <c r="U42" s="1">
        <f>IF(AND(MOD(U32-YEAR('Assumptions &amp; Inputs'!$H$31),'Assumptions &amp; Inputs'!$H$34)=0, U32&lt;=YEAR('Assumptions &amp; Inputs'!$H$36), U9&gt;YEAR('Assumptions &amp; Inputs'!$H$31)),'Assumptions &amp; Inputs'!$H$37*'Assumptions &amp; Inputs'!$H$38*IF(U32-'Assumptions &amp; Inputs'!$H$34&gt;YEAR('Assumptions &amp; Inputs'!$H$31), 'Assumptions &amp; Inputs'!$H$33, 1), 0)</f>
        <v>0</v>
      </c>
      <c r="V42" s="1">
        <f>IF(AND(MOD(V32-YEAR('Assumptions &amp; Inputs'!$H$31),'Assumptions &amp; Inputs'!$H$34)=0, V32&lt;=YEAR('Assumptions &amp; Inputs'!$H$36), V9&gt;YEAR('Assumptions &amp; Inputs'!$H$31)),'Assumptions &amp; Inputs'!$H$37*'Assumptions &amp; Inputs'!$H$38*IF(V32-'Assumptions &amp; Inputs'!$H$34&gt;YEAR('Assumptions &amp; Inputs'!$H$31), 'Assumptions &amp; Inputs'!$H$33, 1), 0)</f>
        <v>0</v>
      </c>
      <c r="W42" s="1">
        <f>IF(AND(MOD(W32-YEAR('Assumptions &amp; Inputs'!$H$31),'Assumptions &amp; Inputs'!$H$34)=0, W32&lt;=YEAR('Assumptions &amp; Inputs'!$H$36), W9&gt;YEAR('Assumptions &amp; Inputs'!$H$31)),'Assumptions &amp; Inputs'!$H$37*'Assumptions &amp; Inputs'!$H$38*IF(W32-'Assumptions &amp; Inputs'!$H$34&gt;YEAR('Assumptions &amp; Inputs'!$H$31), 'Assumptions &amp; Inputs'!$H$33, 1), 0)</f>
        <v>0</v>
      </c>
      <c r="X42" s="1">
        <f>IF(AND(MOD(X32-YEAR('Assumptions &amp; Inputs'!$H$31),'Assumptions &amp; Inputs'!$H$34)=0, X32&lt;=YEAR('Assumptions &amp; Inputs'!$H$36), X9&gt;YEAR('Assumptions &amp; Inputs'!$H$31)),'Assumptions &amp; Inputs'!$H$37*'Assumptions &amp; Inputs'!$H$38*IF(X32-'Assumptions &amp; Inputs'!$H$34&gt;YEAR('Assumptions &amp; Inputs'!$H$31), 'Assumptions &amp; Inputs'!$H$33, 1), 0)</f>
        <v>0</v>
      </c>
      <c r="Y42" s="1">
        <f>IF(AND(MOD(Y32-YEAR('Assumptions &amp; Inputs'!$H$31),'Assumptions &amp; Inputs'!$H$34)=0, Y32&lt;=YEAR('Assumptions &amp; Inputs'!$H$36), Y9&gt;YEAR('Assumptions &amp; Inputs'!$H$31)),'Assumptions &amp; Inputs'!$H$37*'Assumptions &amp; Inputs'!$H$38*IF(Y32-'Assumptions &amp; Inputs'!$H$34&gt;YEAR('Assumptions &amp; Inputs'!$H$31), 'Assumptions &amp; Inputs'!$H$33, 1), 0)</f>
        <v>0</v>
      </c>
      <c r="Z42" s="1">
        <f>IF(AND(MOD(Z32-YEAR('Assumptions &amp; Inputs'!$H$31),'Assumptions &amp; Inputs'!$H$34)=0, Z32&lt;=YEAR('Assumptions &amp; Inputs'!$H$36), Z9&gt;YEAR('Assumptions &amp; Inputs'!$H$31)),'Assumptions &amp; Inputs'!$H$37*'Assumptions &amp; Inputs'!$H$38*IF(Z32-'Assumptions &amp; Inputs'!$H$34&gt;YEAR('Assumptions &amp; Inputs'!$H$31), 'Assumptions &amp; Inputs'!$H$33, 1), 0)</f>
        <v>0</v>
      </c>
      <c r="AA42" s="1">
        <f>IF(AND(MOD(AA32-YEAR('Assumptions &amp; Inputs'!$H$31),'Assumptions &amp; Inputs'!$H$34)=0, AA32&lt;=YEAR('Assumptions &amp; Inputs'!$H$36), AA9&gt;YEAR('Assumptions &amp; Inputs'!$H$31)),'Assumptions &amp; Inputs'!$H$37*'Assumptions &amp; Inputs'!$H$38*IF(AA32-'Assumptions &amp; Inputs'!$H$34&gt;YEAR('Assumptions &amp; Inputs'!$H$31), 'Assumptions &amp; Inputs'!$H$33, 1), 0)</f>
        <v>0</v>
      </c>
      <c r="AB42" s="1">
        <f>IF(AND(MOD(AB32-YEAR('Assumptions &amp; Inputs'!$H$31),'Assumptions &amp; Inputs'!$H$34)=0, AB32&lt;=YEAR('Assumptions &amp; Inputs'!$H$36), AB9&gt;YEAR('Assumptions &amp; Inputs'!$H$31)),'Assumptions &amp; Inputs'!$H$37*'Assumptions &amp; Inputs'!$H$38*IF(AB32-'Assumptions &amp; Inputs'!$H$34&gt;YEAR('Assumptions &amp; Inputs'!$H$31), 'Assumptions &amp; Inputs'!$H$33, 1), 0)</f>
        <v>0</v>
      </c>
      <c r="AC42" s="1">
        <f>IF(AND(MOD(AC32-YEAR('Assumptions &amp; Inputs'!$H$31),'Assumptions &amp; Inputs'!$H$34)=0, AC32&lt;=YEAR('Assumptions &amp; Inputs'!$H$36), AC9&gt;YEAR('Assumptions &amp; Inputs'!$H$31)),'Assumptions &amp; Inputs'!$H$37*'Assumptions &amp; Inputs'!$H$38*IF(AC32-'Assumptions &amp; Inputs'!$H$34&gt;YEAR('Assumptions &amp; Inputs'!$H$31), 'Assumptions &amp; Inputs'!$H$33, 1), 0)</f>
        <v>0</v>
      </c>
      <c r="AD42" s="1">
        <f>IF(AND(MOD(AD32-YEAR('Assumptions &amp; Inputs'!$H$31),'Assumptions &amp; Inputs'!$H$34)=0, AD32&lt;=YEAR('Assumptions &amp; Inputs'!$H$36), AD9&gt;YEAR('Assumptions &amp; Inputs'!$H$31)),'Assumptions &amp; Inputs'!$H$37*'Assumptions &amp; Inputs'!$H$38*IF(AD32-'Assumptions &amp; Inputs'!$H$34&gt;YEAR('Assumptions &amp; Inputs'!$H$31), 'Assumptions &amp; Inputs'!$H$33, 1), 0)</f>
        <v>6</v>
      </c>
      <c r="AE42" s="1">
        <f>IF(AND(MOD(AE32-YEAR('Assumptions &amp; Inputs'!$H$31),'Assumptions &amp; Inputs'!$H$34)=0, AE32&lt;=YEAR('Assumptions &amp; Inputs'!$H$36), AE9&gt;YEAR('Assumptions &amp; Inputs'!$H$31)),'Assumptions &amp; Inputs'!$H$37*'Assumptions &amp; Inputs'!$H$38*IF(AE32-'Assumptions &amp; Inputs'!$H$34&gt;YEAR('Assumptions &amp; Inputs'!$H$31), 'Assumptions &amp; Inputs'!$H$33, 1), 0)</f>
        <v>0</v>
      </c>
      <c r="AF42" s="1">
        <f>IF(AND(MOD(AF32-YEAR('Assumptions &amp; Inputs'!$H$31),'Assumptions &amp; Inputs'!$H$34)=0, AF32&lt;=YEAR('Assumptions &amp; Inputs'!$H$36), AF9&gt;YEAR('Assumptions &amp; Inputs'!$H$31)),'Assumptions &amp; Inputs'!$H$37*'Assumptions &amp; Inputs'!$H$38*IF(AF32-'Assumptions &amp; Inputs'!$H$34&gt;YEAR('Assumptions &amp; Inputs'!$H$31), 'Assumptions &amp; Inputs'!$H$33, 1), 0)</f>
        <v>0</v>
      </c>
      <c r="AG42" s="1">
        <f>IF(AND(MOD(AG32-YEAR('Assumptions &amp; Inputs'!$H$31),'Assumptions &amp; Inputs'!$H$34)=0, AG32&lt;=YEAR('Assumptions &amp; Inputs'!$H$36), AG9&gt;YEAR('Assumptions &amp; Inputs'!$H$31)),'Assumptions &amp; Inputs'!$H$37*'Assumptions &amp; Inputs'!$H$38*IF(AG32-'Assumptions &amp; Inputs'!$H$34&gt;YEAR('Assumptions &amp; Inputs'!$H$31), 'Assumptions &amp; Inputs'!$H$33, 1), 0)</f>
        <v>0</v>
      </c>
      <c r="AH42" s="1">
        <f>IF(AND(MOD(AH32-YEAR('Assumptions &amp; Inputs'!$H$31),'Assumptions &amp; Inputs'!$H$34)=0, AH32&lt;=YEAR('Assumptions &amp; Inputs'!$H$36), AH9&gt;YEAR('Assumptions &amp; Inputs'!$H$31)),'Assumptions &amp; Inputs'!$H$37*'Assumptions &amp; Inputs'!$H$38*IF(AH32-'Assumptions &amp; Inputs'!$H$34&gt;YEAR('Assumptions &amp; Inputs'!$H$31), 'Assumptions &amp; Inputs'!$H$33, 1), 0)</f>
        <v>0</v>
      </c>
      <c r="AI42" s="1">
        <f>IF(AND(MOD(AI32-YEAR('Assumptions &amp; Inputs'!$H$31),'Assumptions &amp; Inputs'!$H$34)=0, AI32&lt;=YEAR('Assumptions &amp; Inputs'!$H$36), AI9&gt;YEAR('Assumptions &amp; Inputs'!$H$31)),'Assumptions &amp; Inputs'!$H$37*'Assumptions &amp; Inputs'!$H$38*IF(AI32-'Assumptions &amp; Inputs'!$H$34&gt;YEAR('Assumptions &amp; Inputs'!$H$31), 'Assumptions &amp; Inputs'!$H$33, 1), 0)</f>
        <v>0</v>
      </c>
      <c r="AJ42" s="1">
        <f>IF(AND(MOD(AJ32-YEAR('Assumptions &amp; Inputs'!$H$31),'Assumptions &amp; Inputs'!$H$34)=0, AJ32&lt;=YEAR('Assumptions &amp; Inputs'!$H$36), AJ9&gt;YEAR('Assumptions &amp; Inputs'!$H$31)),'Assumptions &amp; Inputs'!$H$37*'Assumptions &amp; Inputs'!$H$38*IF(AJ32-'Assumptions &amp; Inputs'!$H$34&gt;YEAR('Assumptions &amp; Inputs'!$H$31), 'Assumptions &amp; Inputs'!$H$33, 1), 0)</f>
        <v>0</v>
      </c>
      <c r="AK42" s="1">
        <f>IF(AND(MOD(AK32-YEAR('Assumptions &amp; Inputs'!$H$31),'Assumptions &amp; Inputs'!$H$34)=0, AK32&lt;=YEAR('Assumptions &amp; Inputs'!$H$36), AK9&gt;YEAR('Assumptions &amp; Inputs'!$H$31)),'Assumptions &amp; Inputs'!$H$37*'Assumptions &amp; Inputs'!$H$38*IF(AK32-'Assumptions &amp; Inputs'!$H$34&gt;YEAR('Assumptions &amp; Inputs'!$H$31), 'Assumptions &amp; Inputs'!$H$33, 1), 0)</f>
        <v>0</v>
      </c>
      <c r="AL42" s="1">
        <f>IF(AND(MOD(AL32-YEAR('Assumptions &amp; Inputs'!$H$31),'Assumptions &amp; Inputs'!$H$34)=0, AL32&lt;=YEAR('Assumptions &amp; Inputs'!$H$36), AL9&gt;YEAR('Assumptions &amp; Inputs'!$H$31)),'Assumptions &amp; Inputs'!$H$37*'Assumptions &amp; Inputs'!$H$38*IF(AL32-'Assumptions &amp; Inputs'!$H$34&gt;YEAR('Assumptions &amp; Inputs'!$H$31), 'Assumptions &amp; Inputs'!$H$33, 1), 0)</f>
        <v>0</v>
      </c>
      <c r="AM42" s="1">
        <f>IF(AND(MOD(AM32-YEAR('Assumptions &amp; Inputs'!$H$31),'Assumptions &amp; Inputs'!$H$34)=0, AM32&lt;=YEAR('Assumptions &amp; Inputs'!$H$36), AM9&gt;YEAR('Assumptions &amp; Inputs'!$H$31)),'Assumptions &amp; Inputs'!$H$37*'Assumptions &amp; Inputs'!$H$38*IF(AM32-'Assumptions &amp; Inputs'!$H$34&gt;YEAR('Assumptions &amp; Inputs'!$H$31), 'Assumptions &amp; Inputs'!$H$33, 1), 0)</f>
        <v>0</v>
      </c>
      <c r="AN42" s="1">
        <f>IF(AND(MOD(AN32-YEAR('Assumptions &amp; Inputs'!$H$31),'Assumptions &amp; Inputs'!$H$34)=0, AN32&lt;=YEAR('Assumptions &amp; Inputs'!$H$36), AN9&gt;YEAR('Assumptions &amp; Inputs'!$H$31)),'Assumptions &amp; Inputs'!$H$37*'Assumptions &amp; Inputs'!$H$38*IF(AN32-'Assumptions &amp; Inputs'!$H$34&gt;YEAR('Assumptions &amp; Inputs'!$H$31), 'Assumptions &amp; Inputs'!$H$33, 1), 0)</f>
        <v>0</v>
      </c>
      <c r="AO42" s="1">
        <f>IF(AND(MOD(AO32-YEAR('Assumptions &amp; Inputs'!$H$31),'Assumptions &amp; Inputs'!$H$34)=0, AO32&lt;=YEAR('Assumptions &amp; Inputs'!$H$36), AO9&gt;YEAR('Assumptions &amp; Inputs'!$H$31)),'Assumptions &amp; Inputs'!$H$37*'Assumptions &amp; Inputs'!$H$38*IF(AO32-'Assumptions &amp; Inputs'!$H$34&gt;YEAR('Assumptions &amp; Inputs'!$H$31), 'Assumptions &amp; Inputs'!$H$33, 1), 0)</f>
        <v>0</v>
      </c>
      <c r="AP42" s="1">
        <f>IF(AND(MOD(AP32-YEAR('Assumptions &amp; Inputs'!$H$31),'Assumptions &amp; Inputs'!$H$34)=0, AP32&lt;=YEAR('Assumptions &amp; Inputs'!$H$36), AP9&gt;YEAR('Assumptions &amp; Inputs'!$H$31)),'Assumptions &amp; Inputs'!$H$37*'Assumptions &amp; Inputs'!$H$38*IF(AP32-'Assumptions &amp; Inputs'!$H$34&gt;YEAR('Assumptions &amp; Inputs'!$H$31), 'Assumptions &amp; Inputs'!$H$33, 1), 0)</f>
        <v>0</v>
      </c>
      <c r="AQ42" s="1">
        <f>IF(AND(MOD(AQ32-YEAR('Assumptions &amp; Inputs'!$H$31),'Assumptions &amp; Inputs'!$H$34)=0, AQ32&lt;=YEAR('Assumptions &amp; Inputs'!$H$36), AQ9&gt;YEAR('Assumptions &amp; Inputs'!$H$31)),'Assumptions &amp; Inputs'!$H$37*'Assumptions &amp; Inputs'!$H$38*IF(AQ32-'Assumptions &amp; Inputs'!$H$34&gt;YEAR('Assumptions &amp; Inputs'!$H$31), 'Assumptions &amp; Inputs'!$H$33, 1), 0)</f>
        <v>0</v>
      </c>
      <c r="AR42" s="1">
        <f>IF(AND(MOD(AR32-YEAR('Assumptions &amp; Inputs'!$H$31),'Assumptions &amp; Inputs'!$H$34)=0, AR32&lt;=YEAR('Assumptions &amp; Inputs'!$H$36), AR9&gt;YEAR('Assumptions &amp; Inputs'!$H$31)),'Assumptions &amp; Inputs'!$H$37*'Assumptions &amp; Inputs'!$H$38*IF(AR32-'Assumptions &amp; Inputs'!$H$34&gt;YEAR('Assumptions &amp; Inputs'!$H$31), 'Assumptions &amp; Inputs'!$H$33, 1), 0)</f>
        <v>0</v>
      </c>
      <c r="AS42" s="1">
        <f>IF(AND(MOD(AS32-YEAR('Assumptions &amp; Inputs'!$H$31),'Assumptions &amp; Inputs'!$H$34)=0, AS32&lt;=YEAR('Assumptions &amp; Inputs'!$H$36), AS9&gt;YEAR('Assumptions &amp; Inputs'!$H$31)),'Assumptions &amp; Inputs'!$H$37*'Assumptions &amp; Inputs'!$H$38*IF(AS32-'Assumptions &amp; Inputs'!$H$34&gt;YEAR('Assumptions &amp; Inputs'!$H$31), 'Assumptions &amp; Inputs'!$H$33, 1), 0)</f>
        <v>0</v>
      </c>
      <c r="AT42" s="1">
        <f>IF(AND(MOD(AT32-YEAR('Assumptions &amp; Inputs'!$H$31),'Assumptions &amp; Inputs'!$H$34)=0, AT32&lt;=YEAR('Assumptions &amp; Inputs'!$H$36), AT9&gt;YEAR('Assumptions &amp; Inputs'!$H$31)),'Assumptions &amp; Inputs'!$H$37*'Assumptions &amp; Inputs'!$H$38*IF(AT32-'Assumptions &amp; Inputs'!$H$34&gt;YEAR('Assumptions &amp; Inputs'!$H$31), 'Assumptions &amp; Inputs'!$H$33, 1), 0)</f>
        <v>0</v>
      </c>
      <c r="AU42" s="1">
        <f>IF(AND(MOD(AU32-YEAR('Assumptions &amp; Inputs'!$H$31),'Assumptions &amp; Inputs'!$H$34)=0, AU32&lt;=YEAR('Assumptions &amp; Inputs'!$H$36), AU9&gt;YEAR('Assumptions &amp; Inputs'!$H$31)),'Assumptions &amp; Inputs'!$H$37*'Assumptions &amp; Inputs'!$H$38*IF(AU32-'Assumptions &amp; Inputs'!$H$34&gt;YEAR('Assumptions &amp; Inputs'!$H$31), 'Assumptions &amp; Inputs'!$H$33, 1), 0)</f>
        <v>0</v>
      </c>
      <c r="AV42" s="1">
        <f>IF(AND(MOD(AV32-YEAR('Assumptions &amp; Inputs'!$H$31),'Assumptions &amp; Inputs'!$H$34)=0, AV32&lt;=YEAR('Assumptions &amp; Inputs'!$H$36), AV9&gt;YEAR('Assumptions &amp; Inputs'!$H$31)),'Assumptions &amp; Inputs'!$H$37*'Assumptions &amp; Inputs'!$H$38*IF(AV32-'Assumptions &amp; Inputs'!$H$34&gt;YEAR('Assumptions &amp; Inputs'!$H$31), 'Assumptions &amp; Inputs'!$H$33, 1), 0)</f>
        <v>0</v>
      </c>
      <c r="AW42" s="1">
        <f>IF(AND(MOD(AW32-YEAR('Assumptions &amp; Inputs'!$H$31),'Assumptions &amp; Inputs'!$H$34)=0, AW32&lt;=YEAR('Assumptions &amp; Inputs'!$H$36), AW9&gt;YEAR('Assumptions &amp; Inputs'!$H$31)),'Assumptions &amp; Inputs'!$H$37*'Assumptions &amp; Inputs'!$H$38*IF(AW32-'Assumptions &amp; Inputs'!$H$34&gt;YEAR('Assumptions &amp; Inputs'!$H$31), 'Assumptions &amp; Inputs'!$H$33, 1), 0)</f>
        <v>0</v>
      </c>
    </row>
    <row r="43" spans="1:49" ht="15" customHeight="1">
      <c r="A43" s="1"/>
      <c r="B43" s="1" t="s">
        <v>351</v>
      </c>
      <c r="C43" s="22" t="s">
        <v>411</v>
      </c>
      <c r="D43" s="21">
        <f t="shared" ref="D43:X43" si="99">SUM(D40:D42)</f>
        <v>-73.333333333333343</v>
      </c>
      <c r="E43" s="21">
        <f t="shared" si="99"/>
        <v>-44.933277778112299</v>
      </c>
      <c r="F43" s="21">
        <f t="shared" si="99"/>
        <v>11.653750867168352</v>
      </c>
      <c r="G43" s="21">
        <f t="shared" si="99"/>
        <v>11.704306406606662</v>
      </c>
      <c r="H43" s="21">
        <f t="shared" si="99"/>
        <v>11.754579567808145</v>
      </c>
      <c r="I43" s="21">
        <f t="shared" si="99"/>
        <v>11.804544290575567</v>
      </c>
      <c r="J43" s="21">
        <f t="shared" si="99"/>
        <v>11.854173608163897</v>
      </c>
      <c r="K43" s="21">
        <f t="shared" si="99"/>
        <v>11.903439620271467</v>
      </c>
      <c r="L43" s="21">
        <f t="shared" si="99"/>
        <v>11.952313465254143</v>
      </c>
      <c r="M43" s="21">
        <f t="shared" si="99"/>
        <v>12.000765291540169</v>
      </c>
      <c r="N43" s="21">
        <f t="shared" si="99"/>
        <v>12.048764228222648</v>
      </c>
      <c r="O43" s="21">
        <f t="shared" si="99"/>
        <v>12.096278354806007</v>
      </c>
      <c r="P43" s="21">
        <f t="shared" si="99"/>
        <v>12.143274670082064</v>
      </c>
      <c r="Q43" s="21">
        <f t="shared" si="99"/>
        <v>12.189719060110622</v>
      </c>
      <c r="R43" s="21">
        <f t="shared" si="99"/>
        <v>12.235576265278798</v>
      </c>
      <c r="S43" s="21">
        <f t="shared" si="99"/>
        <v>12.280809846412502</v>
      </c>
      <c r="T43" s="21">
        <f t="shared" si="99"/>
        <v>12.325382149912802</v>
      </c>
      <c r="U43" s="21">
        <f t="shared" si="99"/>
        <v>12.369254271888931</v>
      </c>
      <c r="V43" s="21">
        <f t="shared" si="99"/>
        <v>12.412386021259135</v>
      </c>
      <c r="W43" s="21">
        <f t="shared" si="99"/>
        <v>12.454735881789468</v>
      </c>
      <c r="X43" s="21">
        <f t="shared" si="99"/>
        <v>12.496260973039917</v>
      </c>
      <c r="Y43" s="21">
        <f t="shared" ref="Y43:AW43" si="100">SUM(Y40:Y42)</f>
        <v>12.536917010186308</v>
      </c>
      <c r="Z43" s="21">
        <f t="shared" si="100"/>
        <v>12.576658262685534</v>
      </c>
      <c r="AA43" s="21">
        <f t="shared" si="100"/>
        <v>12.615437511750628</v>
      </c>
      <c r="AB43" s="21">
        <f t="shared" si="100"/>
        <v>12.653206006601398</v>
      </c>
      <c r="AC43" s="21">
        <f t="shared" si="100"/>
        <v>12.689913419455102</v>
      </c>
      <c r="AD43" s="21">
        <f t="shared" si="100"/>
        <v>18.725507799220839</v>
      </c>
      <c r="AE43" s="21">
        <f t="shared" si="100"/>
        <v>-2.1249525169443927E-6</v>
      </c>
      <c r="AF43" s="21">
        <f t="shared" si="100"/>
        <v>-2.1887010924527248E-6</v>
      </c>
      <c r="AG43" s="21">
        <f t="shared" si="100"/>
        <v>-2.2543621252263061E-6</v>
      </c>
      <c r="AH43" s="21">
        <f t="shared" si="100"/>
        <v>-2.3219929889830952E-6</v>
      </c>
      <c r="AI43" s="21">
        <f t="shared" si="100"/>
        <v>-2.3916527786525884E-6</v>
      </c>
      <c r="AJ43" s="21">
        <f t="shared" si="100"/>
        <v>-2.4634023620121658E-6</v>
      </c>
      <c r="AK43" s="21">
        <f t="shared" si="100"/>
        <v>-2.537304432872531E-6</v>
      </c>
      <c r="AL43" s="21">
        <f t="shared" si="100"/>
        <v>-2.6134235658587073E-6</v>
      </c>
      <c r="AM43" s="21">
        <f t="shared" si="100"/>
        <v>-2.6918262728344683E-6</v>
      </c>
      <c r="AN43" s="21">
        <f t="shared" si="100"/>
        <v>-2.7725810610195027E-6</v>
      </c>
      <c r="AO43" s="21">
        <f t="shared" si="100"/>
        <v>-2.8557584928500874E-6</v>
      </c>
      <c r="AP43" s="21">
        <f t="shared" si="100"/>
        <v>-2.9414312476355905E-6</v>
      </c>
      <c r="AQ43" s="21">
        <f t="shared" si="100"/>
        <v>-3.0296741850646581E-6</v>
      </c>
      <c r="AR43" s="21">
        <f t="shared" si="100"/>
        <v>-3.1205644106165973E-6</v>
      </c>
      <c r="AS43" s="21">
        <f t="shared" si="100"/>
        <v>-3.2141813429350959E-6</v>
      </c>
      <c r="AT43" s="21">
        <f t="shared" si="100"/>
        <v>-3.310606783223149E-6</v>
      </c>
      <c r="AU43" s="21">
        <f t="shared" si="100"/>
        <v>-3.4099249867198433E-6</v>
      </c>
      <c r="AV43" s="21">
        <f t="shared" si="100"/>
        <v>-3.5122227363214387E-6</v>
      </c>
      <c r="AW43" s="21">
        <f t="shared" si="100"/>
        <v>-3.6175894184110823E-6</v>
      </c>
    </row>
    <row r="44" spans="1:49" ht="15" customHeight="1">
      <c r="A44" s="4"/>
      <c r="B44" s="4"/>
      <c r="C44" s="4" t="s">
        <v>412</v>
      </c>
      <c r="D44" s="23">
        <f>D43</f>
        <v>-73.333333333333343</v>
      </c>
      <c r="E44" s="23">
        <f t="shared" ref="E44:X44" si="101">D44+E43</f>
        <v>-118.26661111144564</v>
      </c>
      <c r="F44" s="23">
        <f t="shared" si="101"/>
        <v>-106.61286024427729</v>
      </c>
      <c r="G44" s="23">
        <f t="shared" si="101"/>
        <v>-94.908553837670624</v>
      </c>
      <c r="H44" s="23">
        <f t="shared" si="101"/>
        <v>-83.153974269862474</v>
      </c>
      <c r="I44" s="23">
        <f t="shared" si="101"/>
        <v>-71.34942997928691</v>
      </c>
      <c r="J44" s="23">
        <f t="shared" si="101"/>
        <v>-59.495256371123013</v>
      </c>
      <c r="K44" s="23">
        <f t="shared" si="101"/>
        <v>-47.59181675085155</v>
      </c>
      <c r="L44" s="23">
        <f t="shared" si="101"/>
        <v>-35.639503285597407</v>
      </c>
      <c r="M44" s="23">
        <f t="shared" si="101"/>
        <v>-23.638737994057237</v>
      </c>
      <c r="N44" s="23">
        <f t="shared" si="101"/>
        <v>-11.589973765834589</v>
      </c>
      <c r="O44" s="23">
        <f t="shared" si="101"/>
        <v>0.5063045889714175</v>
      </c>
      <c r="P44" s="23">
        <f t="shared" si="101"/>
        <v>12.649579259053482</v>
      </c>
      <c r="Q44" s="23">
        <f t="shared" si="101"/>
        <v>24.839298319164104</v>
      </c>
      <c r="R44" s="23">
        <f t="shared" si="101"/>
        <v>37.074874584442902</v>
      </c>
      <c r="S44" s="23">
        <f t="shared" si="101"/>
        <v>49.355684430855405</v>
      </c>
      <c r="T44" s="23">
        <f t="shared" si="101"/>
        <v>61.681066580768203</v>
      </c>
      <c r="U44" s="23">
        <f t="shared" si="101"/>
        <v>74.050320852657137</v>
      </c>
      <c r="V44" s="23">
        <f t="shared" si="101"/>
        <v>86.462706873916275</v>
      </c>
      <c r="W44" s="23">
        <f t="shared" si="101"/>
        <v>98.917442755705736</v>
      </c>
      <c r="X44" s="23">
        <f t="shared" si="101"/>
        <v>111.41370372874565</v>
      </c>
      <c r="Y44" s="23">
        <f t="shared" ref="Y44" si="102">X44+Y43</f>
        <v>123.95062073893195</v>
      </c>
      <c r="Z44" s="23">
        <f t="shared" ref="Z44" si="103">Y44+Z43</f>
        <v>136.52727900161747</v>
      </c>
      <c r="AA44" s="23">
        <f t="shared" ref="AA44" si="104">Z44+AA43</f>
        <v>149.1427165133681</v>
      </c>
      <c r="AB44" s="23">
        <f t="shared" ref="AB44" si="105">AA44+AB43</f>
        <v>161.79592251996951</v>
      </c>
      <c r="AC44" s="23">
        <f t="shared" ref="AC44" si="106">AB44+AC43</f>
        <v>174.48583593942462</v>
      </c>
      <c r="AD44" s="23">
        <f t="shared" ref="AD44" si="107">AC44+AD43</f>
        <v>193.21134373864547</v>
      </c>
      <c r="AE44" s="23">
        <f t="shared" ref="AE44" si="108">AD44+AE43</f>
        <v>193.21134161369295</v>
      </c>
      <c r="AF44" s="23">
        <f t="shared" ref="AF44" si="109">AE44+AF43</f>
        <v>193.21133942499185</v>
      </c>
      <c r="AG44" s="23">
        <f t="shared" ref="AG44" si="110">AF44+AG43</f>
        <v>193.21133717062972</v>
      </c>
      <c r="AH44" s="23">
        <f t="shared" ref="AH44" si="111">AG44+AH43</f>
        <v>193.21133484863674</v>
      </c>
      <c r="AI44" s="23">
        <f t="shared" ref="AI44" si="112">AH44+AI43</f>
        <v>193.21133245698397</v>
      </c>
      <c r="AJ44" s="23">
        <f t="shared" ref="AJ44" si="113">AI44+AJ43</f>
        <v>193.21132999358161</v>
      </c>
      <c r="AK44" s="23">
        <f t="shared" ref="AK44" si="114">AJ44+AK43</f>
        <v>193.21132745627719</v>
      </c>
      <c r="AL44" s="23">
        <f t="shared" ref="AL44" si="115">AK44+AL43</f>
        <v>193.21132484285363</v>
      </c>
      <c r="AM44" s="23">
        <f t="shared" ref="AM44" si="116">AL44+AM43</f>
        <v>193.21132215102736</v>
      </c>
      <c r="AN44" s="23">
        <f t="shared" ref="AN44" si="117">AM44+AN43</f>
        <v>193.21131937844629</v>
      </c>
      <c r="AO44" s="23">
        <f t="shared" ref="AO44" si="118">AN44+AO43</f>
        <v>193.21131652268781</v>
      </c>
      <c r="AP44" s="23">
        <f t="shared" ref="AP44" si="119">AO44+AP43</f>
        <v>193.21131358125658</v>
      </c>
      <c r="AQ44" s="23">
        <f t="shared" ref="AQ44" si="120">AP44+AQ43</f>
        <v>193.21131055158239</v>
      </c>
      <c r="AR44" s="23">
        <f t="shared" ref="AR44" si="121">AQ44+AR43</f>
        <v>193.21130743101799</v>
      </c>
      <c r="AS44" s="23">
        <f t="shared" ref="AS44" si="122">AR44+AS43</f>
        <v>193.21130421683665</v>
      </c>
      <c r="AT44" s="23">
        <f t="shared" ref="AT44" si="123">AS44+AT43</f>
        <v>193.21130090622987</v>
      </c>
      <c r="AU44" s="23">
        <f t="shared" ref="AU44" si="124">AT44+AU43</f>
        <v>193.21129749630487</v>
      </c>
      <c r="AV44" s="23">
        <f t="shared" ref="AV44" si="125">AU44+AV43</f>
        <v>193.21129398408212</v>
      </c>
      <c r="AW44" s="23">
        <f t="shared" ref="AW44" si="126">AV44+AW43</f>
        <v>193.2112903664927</v>
      </c>
    </row>
    <row r="45" spans="1:49" ht="14.25" customHeight="1">
      <c r="A45" s="4"/>
      <c r="B45" s="4"/>
      <c r="C45" s="4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ht="14.25" customHeight="1">
      <c r="A46" s="4"/>
      <c r="B46" s="4"/>
      <c r="C46" s="2" t="s">
        <v>413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ht="14.25" customHeight="1">
      <c r="A47" s="4"/>
      <c r="B47" s="4"/>
      <c r="C47" s="1" t="s">
        <v>414</v>
      </c>
      <c r="D47" s="15">
        <f>D36</f>
        <v>0</v>
      </c>
      <c r="E47" s="15">
        <f>E36</f>
        <v>1.7333888885543629</v>
      </c>
      <c r="F47" s="15">
        <f>F36</f>
        <v>7.0937508671683522</v>
      </c>
      <c r="G47" s="15">
        <f>G36</f>
        <v>7.1443064066066624</v>
      </c>
      <c r="H47" s="15">
        <f>H36</f>
        <v>7.1945795678081454</v>
      </c>
      <c r="I47" s="15">
        <f t="shared" ref="I47:AW47" si="127">I36</f>
        <v>7.2445442905755666</v>
      </c>
      <c r="J47" s="15">
        <f t="shared" si="127"/>
        <v>7.2941736081638977</v>
      </c>
      <c r="K47" s="15">
        <f t="shared" si="127"/>
        <v>7.3434396202714671</v>
      </c>
      <c r="L47" s="15">
        <f t="shared" si="127"/>
        <v>7.3923134652541442</v>
      </c>
      <c r="M47" s="15">
        <f t="shared" si="127"/>
        <v>7.4407652915401705</v>
      </c>
      <c r="N47" s="15">
        <f t="shared" si="127"/>
        <v>7.4887642282226494</v>
      </c>
      <c r="O47" s="15">
        <f t="shared" si="127"/>
        <v>7.5362783548060062</v>
      </c>
      <c r="P47" s="15">
        <f t="shared" si="127"/>
        <v>7.5832746700820657</v>
      </c>
      <c r="Q47" s="15">
        <f t="shared" si="127"/>
        <v>7.6297190601106237</v>
      </c>
      <c r="R47" s="15">
        <f t="shared" si="127"/>
        <v>7.6755762652787993</v>
      </c>
      <c r="S47" s="15">
        <f t="shared" si="127"/>
        <v>7.7208098464125037</v>
      </c>
      <c r="T47" s="15">
        <f t="shared" si="127"/>
        <v>7.7653821499128011</v>
      </c>
      <c r="U47" s="15">
        <f t="shared" si="127"/>
        <v>7.8092542718889302</v>
      </c>
      <c r="V47" s="15">
        <f t="shared" si="127"/>
        <v>7.8523860212591341</v>
      </c>
      <c r="W47" s="15">
        <f t="shared" si="127"/>
        <v>7.8947358817894671</v>
      </c>
      <c r="X47" s="15">
        <f t="shared" si="127"/>
        <v>7.9362609730399161</v>
      </c>
      <c r="Y47" s="15">
        <f t="shared" si="127"/>
        <v>7.9769170101863072</v>
      </c>
      <c r="Z47" s="15">
        <f t="shared" si="127"/>
        <v>8.0166582626855352</v>
      </c>
      <c r="AA47" s="15">
        <f t="shared" si="127"/>
        <v>8.0554375117506289</v>
      </c>
      <c r="AB47" s="15">
        <f t="shared" si="127"/>
        <v>8.0932060066013989</v>
      </c>
      <c r="AC47" s="15">
        <f t="shared" si="127"/>
        <v>8.1299134194551037</v>
      </c>
      <c r="AD47" s="15">
        <f t="shared" si="127"/>
        <v>8.1655077992208387</v>
      </c>
      <c r="AE47" s="15">
        <f t="shared" si="127"/>
        <v>-2.1249525169443927E-6</v>
      </c>
      <c r="AF47" s="15">
        <f t="shared" si="127"/>
        <v>-2.1887010924527248E-6</v>
      </c>
      <c r="AG47" s="15">
        <f t="shared" si="127"/>
        <v>-2.2543621252263061E-6</v>
      </c>
      <c r="AH47" s="15">
        <f t="shared" si="127"/>
        <v>-2.3219929889830952E-6</v>
      </c>
      <c r="AI47" s="15">
        <f t="shared" si="127"/>
        <v>-2.3916527786525884E-6</v>
      </c>
      <c r="AJ47" s="15">
        <f t="shared" si="127"/>
        <v>-2.4634023620121658E-6</v>
      </c>
      <c r="AK47" s="15">
        <f t="shared" si="127"/>
        <v>-2.537304432872531E-6</v>
      </c>
      <c r="AL47" s="15">
        <f t="shared" si="127"/>
        <v>-2.6134235658587073E-6</v>
      </c>
      <c r="AM47" s="15">
        <f t="shared" si="127"/>
        <v>-2.6918262728344683E-6</v>
      </c>
      <c r="AN47" s="15">
        <f t="shared" si="127"/>
        <v>-2.7725810610195027E-6</v>
      </c>
      <c r="AO47" s="15">
        <f t="shared" si="127"/>
        <v>-2.8557584928500874E-6</v>
      </c>
      <c r="AP47" s="15">
        <f t="shared" si="127"/>
        <v>-2.9414312476355905E-6</v>
      </c>
      <c r="AQ47" s="15">
        <f t="shared" si="127"/>
        <v>-3.0296741850646581E-6</v>
      </c>
      <c r="AR47" s="15">
        <f t="shared" si="127"/>
        <v>-3.1205644106165973E-6</v>
      </c>
      <c r="AS47" s="15">
        <f t="shared" si="127"/>
        <v>-3.2141813429350959E-6</v>
      </c>
      <c r="AT47" s="15">
        <f t="shared" si="127"/>
        <v>-3.310606783223149E-6</v>
      </c>
      <c r="AU47" s="15">
        <f t="shared" si="127"/>
        <v>-3.4099249867198433E-6</v>
      </c>
      <c r="AV47" s="15">
        <f t="shared" si="127"/>
        <v>-3.5122227363214387E-6</v>
      </c>
      <c r="AW47" s="15">
        <f t="shared" si="127"/>
        <v>-3.6175894184110823E-6</v>
      </c>
    </row>
    <row r="48" spans="1:49" ht="14.25" customHeight="1">
      <c r="A48" s="4"/>
      <c r="B48" s="4"/>
      <c r="C48" s="1" t="s">
        <v>415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</row>
    <row r="49" spans="2:49" ht="14.25" customHeight="1">
      <c r="B49" s="4"/>
      <c r="C49" s="1" t="s">
        <v>416</v>
      </c>
      <c r="D49" s="15">
        <f>-D24</f>
        <v>73.333333333333343</v>
      </c>
      <c r="E49" s="15">
        <f t="shared" ref="E49:AW49" si="128">-E24</f>
        <v>46.666666666666664</v>
      </c>
      <c r="F49" s="15">
        <f t="shared" si="128"/>
        <v>0</v>
      </c>
      <c r="G49" s="15">
        <f t="shared" si="128"/>
        <v>0</v>
      </c>
      <c r="H49" s="15">
        <f t="shared" si="128"/>
        <v>0</v>
      </c>
      <c r="I49" s="15">
        <f t="shared" si="128"/>
        <v>0</v>
      </c>
      <c r="J49" s="15">
        <f t="shared" si="128"/>
        <v>0</v>
      </c>
      <c r="K49" s="15">
        <f t="shared" si="128"/>
        <v>0</v>
      </c>
      <c r="L49" s="15">
        <f t="shared" si="128"/>
        <v>0</v>
      </c>
      <c r="M49" s="15">
        <f t="shared" si="128"/>
        <v>0</v>
      </c>
      <c r="N49" s="15">
        <f t="shared" si="128"/>
        <v>0</v>
      </c>
      <c r="O49" s="15">
        <f t="shared" si="128"/>
        <v>0</v>
      </c>
      <c r="P49" s="15">
        <f t="shared" si="128"/>
        <v>0</v>
      </c>
      <c r="Q49" s="15">
        <f t="shared" si="128"/>
        <v>0</v>
      </c>
      <c r="R49" s="15">
        <f t="shared" si="128"/>
        <v>0</v>
      </c>
      <c r="S49" s="15">
        <f t="shared" si="128"/>
        <v>0</v>
      </c>
      <c r="T49" s="15">
        <f t="shared" si="128"/>
        <v>0</v>
      </c>
      <c r="U49" s="15">
        <f t="shared" si="128"/>
        <v>0</v>
      </c>
      <c r="V49" s="15">
        <f t="shared" si="128"/>
        <v>0</v>
      </c>
      <c r="W49" s="15">
        <f t="shared" si="128"/>
        <v>0</v>
      </c>
      <c r="X49" s="15">
        <f t="shared" si="128"/>
        <v>0</v>
      </c>
      <c r="Y49" s="15">
        <f t="shared" si="128"/>
        <v>0</v>
      </c>
      <c r="Z49" s="15">
        <f t="shared" si="128"/>
        <v>0</v>
      </c>
      <c r="AA49" s="15">
        <f t="shared" si="128"/>
        <v>0</v>
      </c>
      <c r="AB49" s="15">
        <f t="shared" si="128"/>
        <v>0</v>
      </c>
      <c r="AC49" s="15">
        <f t="shared" si="128"/>
        <v>0</v>
      </c>
      <c r="AD49" s="15">
        <f t="shared" si="128"/>
        <v>0</v>
      </c>
      <c r="AE49" s="15">
        <f t="shared" si="128"/>
        <v>0</v>
      </c>
      <c r="AF49" s="15">
        <f t="shared" si="128"/>
        <v>0</v>
      </c>
      <c r="AG49" s="15">
        <f t="shared" si="128"/>
        <v>0</v>
      </c>
      <c r="AH49" s="15">
        <f t="shared" si="128"/>
        <v>0</v>
      </c>
      <c r="AI49" s="15">
        <f t="shared" si="128"/>
        <v>0</v>
      </c>
      <c r="AJ49" s="15">
        <f t="shared" si="128"/>
        <v>0</v>
      </c>
      <c r="AK49" s="15">
        <f t="shared" si="128"/>
        <v>0</v>
      </c>
      <c r="AL49" s="15">
        <f t="shared" si="128"/>
        <v>0</v>
      </c>
      <c r="AM49" s="15">
        <f t="shared" si="128"/>
        <v>0</v>
      </c>
      <c r="AN49" s="15">
        <f t="shared" si="128"/>
        <v>0</v>
      </c>
      <c r="AO49" s="15">
        <f t="shared" si="128"/>
        <v>0</v>
      </c>
      <c r="AP49" s="15">
        <f t="shared" si="128"/>
        <v>0</v>
      </c>
      <c r="AQ49" s="15">
        <f t="shared" si="128"/>
        <v>0</v>
      </c>
      <c r="AR49" s="15">
        <f t="shared" si="128"/>
        <v>0</v>
      </c>
      <c r="AS49" s="15">
        <f t="shared" si="128"/>
        <v>0</v>
      </c>
      <c r="AT49" s="15">
        <f t="shared" si="128"/>
        <v>0</v>
      </c>
      <c r="AU49" s="15">
        <f t="shared" si="128"/>
        <v>0</v>
      </c>
      <c r="AV49" s="15">
        <f t="shared" si="128"/>
        <v>0</v>
      </c>
      <c r="AW49" s="15">
        <f t="shared" si="128"/>
        <v>0</v>
      </c>
    </row>
    <row r="50" spans="2:49" ht="14.25" customHeight="1">
      <c r="B50" s="4"/>
      <c r="C50" s="1" t="s">
        <v>417</v>
      </c>
      <c r="D50" s="324">
        <f>D143</f>
        <v>0</v>
      </c>
      <c r="E50" s="324">
        <f>E143</f>
        <v>0</v>
      </c>
      <c r="F50" s="324">
        <f t="shared" ref="F50:AW50" si="129">F143</f>
        <v>-4.5599999999999996</v>
      </c>
      <c r="G50" s="324">
        <f t="shared" si="129"/>
        <v>-4.5599999999999996</v>
      </c>
      <c r="H50" s="324">
        <f t="shared" si="129"/>
        <v>-4.5599999999999996</v>
      </c>
      <c r="I50" s="324">
        <f t="shared" si="129"/>
        <v>-4.5599999999999996</v>
      </c>
      <c r="J50" s="324">
        <f t="shared" si="129"/>
        <v>-4.5599999999999996</v>
      </c>
      <c r="K50" s="324">
        <f t="shared" si="129"/>
        <v>-4.5599999999999996</v>
      </c>
      <c r="L50" s="324">
        <f t="shared" si="129"/>
        <v>-4.5599999999999996</v>
      </c>
      <c r="M50" s="324">
        <f t="shared" si="129"/>
        <v>-4.5599999999999996</v>
      </c>
      <c r="N50" s="324">
        <f t="shared" si="129"/>
        <v>-4.5599999999999996</v>
      </c>
      <c r="O50" s="324">
        <f t="shared" si="129"/>
        <v>-4.5599999999999996</v>
      </c>
      <c r="P50" s="324">
        <f t="shared" si="129"/>
        <v>-4.5599999999999996</v>
      </c>
      <c r="Q50" s="324">
        <f t="shared" si="129"/>
        <v>-4.5599999999999996</v>
      </c>
      <c r="R50" s="324">
        <f t="shared" si="129"/>
        <v>-4.5599999999999996</v>
      </c>
      <c r="S50" s="324">
        <f t="shared" si="129"/>
        <v>-4.5599999999999996</v>
      </c>
      <c r="T50" s="324">
        <f t="shared" si="129"/>
        <v>-4.5599999999999996</v>
      </c>
      <c r="U50" s="324">
        <f t="shared" si="129"/>
        <v>-4.5599999999999996</v>
      </c>
      <c r="V50" s="324">
        <f t="shared" si="129"/>
        <v>-4.5599999999999996</v>
      </c>
      <c r="W50" s="324">
        <f t="shared" si="129"/>
        <v>-4.5599999999999996</v>
      </c>
      <c r="X50" s="324">
        <f t="shared" si="129"/>
        <v>-4.5599999999999996</v>
      </c>
      <c r="Y50" s="324">
        <f t="shared" si="129"/>
        <v>-4.5599999999999996</v>
      </c>
      <c r="Z50" s="324">
        <f t="shared" si="129"/>
        <v>-4.5599999999999996</v>
      </c>
      <c r="AA50" s="324">
        <f t="shared" si="129"/>
        <v>-4.5599999999999996</v>
      </c>
      <c r="AB50" s="324">
        <f t="shared" si="129"/>
        <v>-4.5599999999999996</v>
      </c>
      <c r="AC50" s="324">
        <f t="shared" si="129"/>
        <v>-4.5599999999999996</v>
      </c>
      <c r="AD50" s="324">
        <f t="shared" si="129"/>
        <v>-4.5599999999999996</v>
      </c>
      <c r="AE50" s="324">
        <f t="shared" si="129"/>
        <v>0</v>
      </c>
      <c r="AF50" s="324">
        <f t="shared" si="129"/>
        <v>0</v>
      </c>
      <c r="AG50" s="324">
        <f t="shared" si="129"/>
        <v>0</v>
      </c>
      <c r="AH50" s="324">
        <f t="shared" si="129"/>
        <v>0</v>
      </c>
      <c r="AI50" s="324">
        <f t="shared" si="129"/>
        <v>0</v>
      </c>
      <c r="AJ50" s="324">
        <f t="shared" si="129"/>
        <v>0</v>
      </c>
      <c r="AK50" s="324">
        <f t="shared" si="129"/>
        <v>0</v>
      </c>
      <c r="AL50" s="324">
        <f t="shared" si="129"/>
        <v>0</v>
      </c>
      <c r="AM50" s="324">
        <f t="shared" si="129"/>
        <v>0</v>
      </c>
      <c r="AN50" s="324">
        <f t="shared" si="129"/>
        <v>0</v>
      </c>
      <c r="AO50" s="324">
        <f t="shared" si="129"/>
        <v>0</v>
      </c>
      <c r="AP50" s="324">
        <f t="shared" si="129"/>
        <v>0</v>
      </c>
      <c r="AQ50" s="324">
        <f t="shared" si="129"/>
        <v>0</v>
      </c>
      <c r="AR50" s="324">
        <f t="shared" si="129"/>
        <v>0</v>
      </c>
      <c r="AS50" s="324">
        <f t="shared" si="129"/>
        <v>0</v>
      </c>
      <c r="AT50" s="324">
        <f t="shared" si="129"/>
        <v>0</v>
      </c>
      <c r="AU50" s="324">
        <f t="shared" si="129"/>
        <v>0</v>
      </c>
      <c r="AV50" s="324">
        <f t="shared" si="129"/>
        <v>0</v>
      </c>
      <c r="AW50" s="324">
        <f t="shared" si="129"/>
        <v>0</v>
      </c>
    </row>
    <row r="51" spans="2:49" ht="14.25" customHeight="1">
      <c r="B51" s="4"/>
      <c r="C51" s="1" t="s">
        <v>418</v>
      </c>
      <c r="D51" s="8">
        <f>SUM(E65,D49:D50)</f>
        <v>73.333333333333343</v>
      </c>
      <c r="E51" s="8">
        <f>SUM(D51,E49:E50)</f>
        <v>120</v>
      </c>
      <c r="F51" s="8">
        <f t="shared" ref="F51:AW51" si="130">SUM(E51,F49:F50)</f>
        <v>115.44</v>
      </c>
      <c r="G51" s="8">
        <f t="shared" si="130"/>
        <v>110.88</v>
      </c>
      <c r="H51" s="8">
        <f t="shared" si="130"/>
        <v>106.32</v>
      </c>
      <c r="I51" s="8">
        <f t="shared" si="130"/>
        <v>101.75999999999999</v>
      </c>
      <c r="J51" s="8">
        <f t="shared" si="130"/>
        <v>97.199999999999989</v>
      </c>
      <c r="K51" s="8">
        <f t="shared" si="130"/>
        <v>92.639999999999986</v>
      </c>
      <c r="L51" s="8">
        <f t="shared" si="130"/>
        <v>88.079999999999984</v>
      </c>
      <c r="M51" s="8">
        <f t="shared" si="130"/>
        <v>83.519999999999982</v>
      </c>
      <c r="N51" s="8">
        <f t="shared" si="130"/>
        <v>78.95999999999998</v>
      </c>
      <c r="O51" s="8">
        <f t="shared" si="130"/>
        <v>74.399999999999977</v>
      </c>
      <c r="P51" s="8">
        <f t="shared" si="130"/>
        <v>69.839999999999975</v>
      </c>
      <c r="Q51" s="8">
        <f t="shared" si="130"/>
        <v>65.279999999999973</v>
      </c>
      <c r="R51" s="8">
        <f t="shared" si="130"/>
        <v>60.71999999999997</v>
      </c>
      <c r="S51" s="8">
        <f t="shared" si="130"/>
        <v>56.159999999999968</v>
      </c>
      <c r="T51" s="8">
        <f t="shared" si="130"/>
        <v>51.599999999999966</v>
      </c>
      <c r="U51" s="8">
        <f t="shared" si="130"/>
        <v>47.039999999999964</v>
      </c>
      <c r="V51" s="8">
        <f t="shared" si="130"/>
        <v>42.479999999999961</v>
      </c>
      <c r="W51" s="8">
        <f t="shared" si="130"/>
        <v>37.919999999999959</v>
      </c>
      <c r="X51" s="8">
        <f t="shared" si="130"/>
        <v>33.359999999999957</v>
      </c>
      <c r="Y51" s="8">
        <f t="shared" si="130"/>
        <v>28.799999999999958</v>
      </c>
      <c r="Z51" s="8">
        <f t="shared" si="130"/>
        <v>24.239999999999959</v>
      </c>
      <c r="AA51" s="8">
        <f t="shared" si="130"/>
        <v>19.679999999999961</v>
      </c>
      <c r="AB51" s="8">
        <f t="shared" si="130"/>
        <v>15.119999999999962</v>
      </c>
      <c r="AC51" s="8">
        <f t="shared" si="130"/>
        <v>10.559999999999963</v>
      </c>
      <c r="AD51" s="8">
        <f t="shared" si="130"/>
        <v>5.9999999999999636</v>
      </c>
      <c r="AE51" s="8">
        <f t="shared" si="130"/>
        <v>5.9999999999999636</v>
      </c>
      <c r="AF51" s="8">
        <f t="shared" si="130"/>
        <v>5.9999999999999636</v>
      </c>
      <c r="AG51" s="8">
        <f t="shared" si="130"/>
        <v>5.9999999999999636</v>
      </c>
      <c r="AH51" s="8">
        <f t="shared" si="130"/>
        <v>5.9999999999999636</v>
      </c>
      <c r="AI51" s="8">
        <f t="shared" si="130"/>
        <v>5.9999999999999636</v>
      </c>
      <c r="AJ51" s="8">
        <f t="shared" si="130"/>
        <v>5.9999999999999636</v>
      </c>
      <c r="AK51" s="8">
        <f t="shared" si="130"/>
        <v>5.9999999999999636</v>
      </c>
      <c r="AL51" s="8">
        <f t="shared" si="130"/>
        <v>5.9999999999999636</v>
      </c>
      <c r="AM51" s="8">
        <f t="shared" si="130"/>
        <v>5.9999999999999636</v>
      </c>
      <c r="AN51" s="8">
        <f t="shared" si="130"/>
        <v>5.9999999999999636</v>
      </c>
      <c r="AO51" s="8">
        <f t="shared" si="130"/>
        <v>5.9999999999999636</v>
      </c>
      <c r="AP51" s="8">
        <f t="shared" si="130"/>
        <v>5.9999999999999636</v>
      </c>
      <c r="AQ51" s="8">
        <f t="shared" si="130"/>
        <v>5.9999999999999636</v>
      </c>
      <c r="AR51" s="8">
        <f t="shared" si="130"/>
        <v>5.9999999999999636</v>
      </c>
      <c r="AS51" s="8">
        <f t="shared" si="130"/>
        <v>5.9999999999999636</v>
      </c>
      <c r="AT51" s="8">
        <f t="shared" si="130"/>
        <v>5.9999999999999636</v>
      </c>
      <c r="AU51" s="8">
        <f t="shared" si="130"/>
        <v>5.9999999999999636</v>
      </c>
      <c r="AV51" s="8">
        <f t="shared" si="130"/>
        <v>5.9999999999999636</v>
      </c>
      <c r="AW51" s="8">
        <f t="shared" si="130"/>
        <v>5.9999999999999636</v>
      </c>
    </row>
    <row r="52" spans="2:49" ht="14.25" customHeight="1">
      <c r="B52" s="4"/>
      <c r="C52" s="325" t="s">
        <v>419</v>
      </c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  <c r="AR52" s="326"/>
      <c r="AS52" s="326"/>
      <c r="AT52" s="326"/>
      <c r="AU52" s="326"/>
      <c r="AV52" s="326"/>
      <c r="AW52" s="326"/>
    </row>
    <row r="53" spans="2:49" ht="14.25" customHeight="1">
      <c r="B53" s="4"/>
      <c r="C53" s="1" t="s">
        <v>420</v>
      </c>
      <c r="D53" s="8">
        <f>SUM(D51:D52)</f>
        <v>73.333333333333343</v>
      </c>
      <c r="E53" s="8">
        <f t="shared" ref="E53:AW53" si="131">SUM(E51:E52)</f>
        <v>120</v>
      </c>
      <c r="F53" s="8">
        <f t="shared" si="131"/>
        <v>115.44</v>
      </c>
      <c r="G53" s="8">
        <f t="shared" si="131"/>
        <v>110.88</v>
      </c>
      <c r="H53" s="8">
        <f t="shared" si="131"/>
        <v>106.32</v>
      </c>
      <c r="I53" s="8">
        <f t="shared" si="131"/>
        <v>101.75999999999999</v>
      </c>
      <c r="J53" s="8">
        <f t="shared" si="131"/>
        <v>97.199999999999989</v>
      </c>
      <c r="K53" s="8">
        <f t="shared" si="131"/>
        <v>92.639999999999986</v>
      </c>
      <c r="L53" s="8">
        <f t="shared" si="131"/>
        <v>88.079999999999984</v>
      </c>
      <c r="M53" s="8">
        <f t="shared" si="131"/>
        <v>83.519999999999982</v>
      </c>
      <c r="N53" s="8">
        <f t="shared" si="131"/>
        <v>78.95999999999998</v>
      </c>
      <c r="O53" s="8">
        <f t="shared" si="131"/>
        <v>74.399999999999977</v>
      </c>
      <c r="P53" s="8">
        <f t="shared" si="131"/>
        <v>69.839999999999975</v>
      </c>
      <c r="Q53" s="8">
        <f t="shared" si="131"/>
        <v>65.279999999999973</v>
      </c>
      <c r="R53" s="8">
        <f t="shared" si="131"/>
        <v>60.71999999999997</v>
      </c>
      <c r="S53" s="8">
        <f t="shared" si="131"/>
        <v>56.159999999999968</v>
      </c>
      <c r="T53" s="8">
        <f t="shared" si="131"/>
        <v>51.599999999999966</v>
      </c>
      <c r="U53" s="8">
        <f t="shared" si="131"/>
        <v>47.039999999999964</v>
      </c>
      <c r="V53" s="8">
        <f t="shared" si="131"/>
        <v>42.479999999999961</v>
      </c>
      <c r="W53" s="8">
        <f t="shared" si="131"/>
        <v>37.919999999999959</v>
      </c>
      <c r="X53" s="8">
        <f t="shared" si="131"/>
        <v>33.359999999999957</v>
      </c>
      <c r="Y53" s="8">
        <f t="shared" si="131"/>
        <v>28.799999999999958</v>
      </c>
      <c r="Z53" s="8">
        <f t="shared" si="131"/>
        <v>24.239999999999959</v>
      </c>
      <c r="AA53" s="8">
        <f t="shared" si="131"/>
        <v>19.679999999999961</v>
      </c>
      <c r="AB53" s="8">
        <f t="shared" si="131"/>
        <v>15.119999999999962</v>
      </c>
      <c r="AC53" s="8">
        <f t="shared" si="131"/>
        <v>10.559999999999963</v>
      </c>
      <c r="AD53" s="8">
        <f t="shared" si="131"/>
        <v>5.9999999999999636</v>
      </c>
      <c r="AE53" s="8">
        <f t="shared" si="131"/>
        <v>5.9999999999999636</v>
      </c>
      <c r="AF53" s="8">
        <f t="shared" si="131"/>
        <v>5.9999999999999636</v>
      </c>
      <c r="AG53" s="8">
        <f t="shared" si="131"/>
        <v>5.9999999999999636</v>
      </c>
      <c r="AH53" s="8">
        <f t="shared" si="131"/>
        <v>5.9999999999999636</v>
      </c>
      <c r="AI53" s="8">
        <f t="shared" si="131"/>
        <v>5.9999999999999636</v>
      </c>
      <c r="AJ53" s="8">
        <f t="shared" si="131"/>
        <v>5.9999999999999636</v>
      </c>
      <c r="AK53" s="8">
        <f t="shared" si="131"/>
        <v>5.9999999999999636</v>
      </c>
      <c r="AL53" s="8">
        <f t="shared" si="131"/>
        <v>5.9999999999999636</v>
      </c>
      <c r="AM53" s="8">
        <f t="shared" si="131"/>
        <v>5.9999999999999636</v>
      </c>
      <c r="AN53" s="8">
        <f t="shared" si="131"/>
        <v>5.9999999999999636</v>
      </c>
      <c r="AO53" s="8">
        <f t="shared" si="131"/>
        <v>5.9999999999999636</v>
      </c>
      <c r="AP53" s="8">
        <f t="shared" si="131"/>
        <v>5.9999999999999636</v>
      </c>
      <c r="AQ53" s="8">
        <f t="shared" si="131"/>
        <v>5.9999999999999636</v>
      </c>
      <c r="AR53" s="8">
        <f t="shared" si="131"/>
        <v>5.9999999999999636</v>
      </c>
      <c r="AS53" s="8">
        <f t="shared" si="131"/>
        <v>5.9999999999999636</v>
      </c>
      <c r="AT53" s="8">
        <f t="shared" si="131"/>
        <v>5.9999999999999636</v>
      </c>
      <c r="AU53" s="8">
        <f t="shared" si="131"/>
        <v>5.9999999999999636</v>
      </c>
      <c r="AV53" s="8">
        <f t="shared" si="131"/>
        <v>5.9999999999999636</v>
      </c>
      <c r="AW53" s="8">
        <f t="shared" si="131"/>
        <v>5.9999999999999636</v>
      </c>
    </row>
    <row r="54" spans="2:49" s="76" customFormat="1" ht="14.25" customHeight="1">
      <c r="B54" s="2" t="s">
        <v>351</v>
      </c>
      <c r="C54" s="2" t="s">
        <v>421</v>
      </c>
      <c r="D54" s="328">
        <f>IFERROR(D47/D53,"n.a.")</f>
        <v>0</v>
      </c>
      <c r="E54" s="328">
        <f t="shared" ref="E54:AW54" si="132">IFERROR(E47/E53,"n.a.")</f>
        <v>1.444490740461969E-2</v>
      </c>
      <c r="F54" s="328">
        <f t="shared" si="132"/>
        <v>6.1449678336524191E-2</v>
      </c>
      <c r="G54" s="328">
        <f t="shared" si="132"/>
        <v>6.4432777837361677E-2</v>
      </c>
      <c r="H54" s="328">
        <f t="shared" si="132"/>
        <v>6.7669108049361798E-2</v>
      </c>
      <c r="I54" s="328">
        <f t="shared" si="132"/>
        <v>7.1192455685687578E-2</v>
      </c>
      <c r="J54" s="328">
        <f t="shared" si="132"/>
        <v>7.5042938355595667E-2</v>
      </c>
      <c r="K54" s="328">
        <f t="shared" si="132"/>
        <v>7.9268562394985628E-2</v>
      </c>
      <c r="L54" s="328">
        <f t="shared" si="132"/>
        <v>8.3927264591895381E-2</v>
      </c>
      <c r="M54" s="328">
        <f t="shared" si="132"/>
        <v>8.9089622743536545E-2</v>
      </c>
      <c r="N54" s="328">
        <f t="shared" si="132"/>
        <v>9.4842505423285858E-2</v>
      </c>
      <c r="O54" s="328">
        <f t="shared" si="132"/>
        <v>0.10129406390868291</v>
      </c>
      <c r="P54" s="328">
        <f t="shared" si="132"/>
        <v>0.10858067969762412</v>
      </c>
      <c r="Q54" s="328">
        <f t="shared" si="132"/>
        <v>0.11687682383747897</v>
      </c>
      <c r="R54" s="328">
        <f t="shared" si="132"/>
        <v>0.12640935878258899</v>
      </c>
      <c r="S54" s="328">
        <f t="shared" si="132"/>
        <v>0.13747880780649052</v>
      </c>
      <c r="T54" s="328">
        <f t="shared" si="132"/>
        <v>0.15049190213009314</v>
      </c>
      <c r="U54" s="328">
        <f t="shared" si="132"/>
        <v>0.16601305850104031</v>
      </c>
      <c r="V54" s="328">
        <f t="shared" si="132"/>
        <v>0.18484901179988561</v>
      </c>
      <c r="W54" s="328">
        <f t="shared" si="132"/>
        <v>0.20819451165056635</v>
      </c>
      <c r="X54" s="328">
        <f t="shared" si="132"/>
        <v>0.237897511182252</v>
      </c>
      <c r="Y54" s="328">
        <f t="shared" si="132"/>
        <v>0.27697628507591382</v>
      </c>
      <c r="Z54" s="328">
        <f t="shared" si="132"/>
        <v>0.33072022535831469</v>
      </c>
      <c r="AA54" s="328">
        <f t="shared" si="132"/>
        <v>0.40932101177594743</v>
      </c>
      <c r="AB54" s="328">
        <f t="shared" si="132"/>
        <v>0.53526494752654885</v>
      </c>
      <c r="AC54" s="328">
        <f t="shared" si="132"/>
        <v>0.76987816472112991</v>
      </c>
      <c r="AD54" s="328">
        <f t="shared" si="132"/>
        <v>1.3609179665368147</v>
      </c>
      <c r="AE54" s="328">
        <f t="shared" si="132"/>
        <v>-3.5415875282406762E-7</v>
      </c>
      <c r="AF54" s="328">
        <f t="shared" si="132"/>
        <v>-3.6478351540878965E-7</v>
      </c>
      <c r="AG54" s="328">
        <f t="shared" si="132"/>
        <v>-3.757270208710533E-7</v>
      </c>
      <c r="AH54" s="328">
        <f t="shared" si="132"/>
        <v>-3.8699883149718489E-7</v>
      </c>
      <c r="AI54" s="328">
        <f t="shared" si="132"/>
        <v>-3.986087964421005E-7</v>
      </c>
      <c r="AJ54" s="328">
        <f t="shared" si="132"/>
        <v>-4.1056706033536346E-7</v>
      </c>
      <c r="AK54" s="328">
        <f t="shared" si="132"/>
        <v>-4.2288407214542437E-7</v>
      </c>
      <c r="AL54" s="328">
        <f t="shared" si="132"/>
        <v>-4.3557059430978717E-7</v>
      </c>
      <c r="AM54" s="328">
        <f t="shared" si="132"/>
        <v>-4.4863771213908078E-7</v>
      </c>
      <c r="AN54" s="328">
        <f t="shared" si="132"/>
        <v>-4.6209684350325327E-7</v>
      </c>
      <c r="AO54" s="328">
        <f t="shared" si="132"/>
        <v>-4.7595974880835077E-7</v>
      </c>
      <c r="AP54" s="328">
        <f t="shared" si="132"/>
        <v>-4.9023854127260138E-7</v>
      </c>
      <c r="AQ54" s="328">
        <f t="shared" si="132"/>
        <v>-5.0494569751077938E-7</v>
      </c>
      <c r="AR54" s="328">
        <f t="shared" si="132"/>
        <v>-5.2009406843610273E-7</v>
      </c>
      <c r="AS54" s="328">
        <f t="shared" si="132"/>
        <v>-5.3569689048918594E-7</v>
      </c>
      <c r="AT54" s="328">
        <f t="shared" si="132"/>
        <v>-5.5176779720386148E-7</v>
      </c>
      <c r="AU54" s="328">
        <f t="shared" si="132"/>
        <v>-5.6832083111997734E-7</v>
      </c>
      <c r="AV54" s="328">
        <f t="shared" si="132"/>
        <v>-5.8537045605357665E-7</v>
      </c>
      <c r="AW54" s="328">
        <f t="shared" si="132"/>
        <v>-6.0293156973518409E-7</v>
      </c>
    </row>
    <row r="55" spans="2:49" s="76" customFormat="1" ht="14.25" customHeight="1">
      <c r="B55" s="2"/>
      <c r="C55" s="2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28"/>
      <c r="AG55" s="328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328"/>
      <c r="AV55" s="328"/>
      <c r="AW55" s="328"/>
    </row>
    <row r="56" spans="2:49" s="76" customFormat="1" ht="14.25" customHeight="1">
      <c r="B56" s="2"/>
      <c r="C56" s="2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328"/>
      <c r="AV56" s="328"/>
      <c r="AW56" s="328"/>
    </row>
    <row r="57" spans="2:49" s="76" customFormat="1" ht="14.25" customHeight="1">
      <c r="B57" s="2"/>
      <c r="C57" s="2" t="s">
        <v>422</v>
      </c>
      <c r="D57" s="329">
        <f>D30</f>
        <v>0</v>
      </c>
      <c r="E57" s="329">
        <f t="shared" ref="E57:AW57" si="133">E30</f>
        <v>1</v>
      </c>
      <c r="F57" s="329">
        <f t="shared" si="133"/>
        <v>2</v>
      </c>
      <c r="G57" s="329">
        <f t="shared" si="133"/>
        <v>3</v>
      </c>
      <c r="H57" s="329">
        <f t="shared" si="133"/>
        <v>4</v>
      </c>
      <c r="I57" s="329">
        <f t="shared" si="133"/>
        <v>5</v>
      </c>
      <c r="J57" s="329">
        <f t="shared" si="133"/>
        <v>6</v>
      </c>
      <c r="K57" s="329">
        <f t="shared" si="133"/>
        <v>7</v>
      </c>
      <c r="L57" s="329">
        <f t="shared" si="133"/>
        <v>8</v>
      </c>
      <c r="M57" s="329">
        <f t="shared" si="133"/>
        <v>9</v>
      </c>
      <c r="N57" s="329">
        <f t="shared" si="133"/>
        <v>10</v>
      </c>
      <c r="O57" s="329">
        <f t="shared" si="133"/>
        <v>11</v>
      </c>
      <c r="P57" s="329">
        <f t="shared" si="133"/>
        <v>12</v>
      </c>
      <c r="Q57" s="329">
        <f t="shared" si="133"/>
        <v>13</v>
      </c>
      <c r="R57" s="329">
        <f t="shared" si="133"/>
        <v>14</v>
      </c>
      <c r="S57" s="329">
        <f t="shared" si="133"/>
        <v>15</v>
      </c>
      <c r="T57" s="329">
        <f t="shared" si="133"/>
        <v>16</v>
      </c>
      <c r="U57" s="329">
        <f t="shared" si="133"/>
        <v>17</v>
      </c>
      <c r="V57" s="329">
        <f t="shared" si="133"/>
        <v>18</v>
      </c>
      <c r="W57" s="329">
        <f t="shared" si="133"/>
        <v>19</v>
      </c>
      <c r="X57" s="329">
        <f t="shared" si="133"/>
        <v>20</v>
      </c>
      <c r="Y57" s="329">
        <f t="shared" si="133"/>
        <v>21</v>
      </c>
      <c r="Z57" s="329">
        <f t="shared" si="133"/>
        <v>22</v>
      </c>
      <c r="AA57" s="329">
        <f t="shared" si="133"/>
        <v>23</v>
      </c>
      <c r="AB57" s="329">
        <f t="shared" si="133"/>
        <v>24</v>
      </c>
      <c r="AC57" s="329">
        <f t="shared" si="133"/>
        <v>25</v>
      </c>
      <c r="AD57" s="329">
        <f t="shared" si="133"/>
        <v>26</v>
      </c>
      <c r="AE57" s="329">
        <f t="shared" si="133"/>
        <v>27</v>
      </c>
      <c r="AF57" s="329">
        <f t="shared" si="133"/>
        <v>28</v>
      </c>
      <c r="AG57" s="329">
        <f t="shared" si="133"/>
        <v>29</v>
      </c>
      <c r="AH57" s="329">
        <f t="shared" si="133"/>
        <v>30</v>
      </c>
      <c r="AI57" s="329">
        <f t="shared" si="133"/>
        <v>31</v>
      </c>
      <c r="AJ57" s="329">
        <f t="shared" si="133"/>
        <v>32</v>
      </c>
      <c r="AK57" s="329">
        <f t="shared" si="133"/>
        <v>33</v>
      </c>
      <c r="AL57" s="329">
        <f t="shared" si="133"/>
        <v>34</v>
      </c>
      <c r="AM57" s="329">
        <f t="shared" si="133"/>
        <v>35</v>
      </c>
      <c r="AN57" s="329">
        <f t="shared" si="133"/>
        <v>36</v>
      </c>
      <c r="AO57" s="329">
        <f t="shared" si="133"/>
        <v>37</v>
      </c>
      <c r="AP57" s="329">
        <f t="shared" si="133"/>
        <v>38</v>
      </c>
      <c r="AQ57" s="329">
        <f t="shared" si="133"/>
        <v>39</v>
      </c>
      <c r="AR57" s="329">
        <f t="shared" si="133"/>
        <v>40</v>
      </c>
      <c r="AS57" s="329">
        <f t="shared" si="133"/>
        <v>41</v>
      </c>
      <c r="AT57" s="329">
        <f t="shared" si="133"/>
        <v>42</v>
      </c>
      <c r="AU57" s="329">
        <f t="shared" si="133"/>
        <v>43</v>
      </c>
      <c r="AV57" s="329">
        <f t="shared" si="133"/>
        <v>44</v>
      </c>
      <c r="AW57" s="329">
        <f t="shared" si="133"/>
        <v>45</v>
      </c>
    </row>
    <row r="58" spans="2:49" s="76" customFormat="1" ht="14.25" customHeight="1">
      <c r="B58" s="2"/>
      <c r="C58" s="1" t="s">
        <v>423</v>
      </c>
      <c r="D58" s="330">
        <f>D44</f>
        <v>-73.333333333333343</v>
      </c>
      <c r="E58" s="330">
        <f t="shared" ref="E58:AW58" si="134">E44</f>
        <v>-118.26661111144564</v>
      </c>
      <c r="F58" s="330">
        <f t="shared" si="134"/>
        <v>-106.61286024427729</v>
      </c>
      <c r="G58" s="330">
        <f t="shared" si="134"/>
        <v>-94.908553837670624</v>
      </c>
      <c r="H58" s="330">
        <f t="shared" si="134"/>
        <v>-83.153974269862474</v>
      </c>
      <c r="I58" s="330">
        <f t="shared" si="134"/>
        <v>-71.34942997928691</v>
      </c>
      <c r="J58" s="330">
        <f t="shared" si="134"/>
        <v>-59.495256371123013</v>
      </c>
      <c r="K58" s="330">
        <f t="shared" si="134"/>
        <v>-47.59181675085155</v>
      </c>
      <c r="L58" s="330">
        <f t="shared" si="134"/>
        <v>-35.639503285597407</v>
      </c>
      <c r="M58" s="330">
        <f t="shared" si="134"/>
        <v>-23.638737994057237</v>
      </c>
      <c r="N58" s="330">
        <f t="shared" si="134"/>
        <v>-11.589973765834589</v>
      </c>
      <c r="O58" s="330">
        <f t="shared" si="134"/>
        <v>0.5063045889714175</v>
      </c>
      <c r="P58" s="330">
        <f t="shared" si="134"/>
        <v>12.649579259053482</v>
      </c>
      <c r="Q58" s="330">
        <f t="shared" si="134"/>
        <v>24.839298319164104</v>
      </c>
      <c r="R58" s="330">
        <f t="shared" si="134"/>
        <v>37.074874584442902</v>
      </c>
      <c r="S58" s="330">
        <f t="shared" si="134"/>
        <v>49.355684430855405</v>
      </c>
      <c r="T58" s="330">
        <f t="shared" si="134"/>
        <v>61.681066580768203</v>
      </c>
      <c r="U58" s="330">
        <f t="shared" si="134"/>
        <v>74.050320852657137</v>
      </c>
      <c r="V58" s="330">
        <f t="shared" si="134"/>
        <v>86.462706873916275</v>
      </c>
      <c r="W58" s="330">
        <f t="shared" si="134"/>
        <v>98.917442755705736</v>
      </c>
      <c r="X58" s="330">
        <f t="shared" si="134"/>
        <v>111.41370372874565</v>
      </c>
      <c r="Y58" s="330">
        <f t="shared" si="134"/>
        <v>123.95062073893195</v>
      </c>
      <c r="Z58" s="330">
        <f t="shared" si="134"/>
        <v>136.52727900161747</v>
      </c>
      <c r="AA58" s="330">
        <f t="shared" si="134"/>
        <v>149.1427165133681</v>
      </c>
      <c r="AB58" s="330">
        <f t="shared" si="134"/>
        <v>161.79592251996951</v>
      </c>
      <c r="AC58" s="330">
        <f t="shared" si="134"/>
        <v>174.48583593942462</v>
      </c>
      <c r="AD58" s="330">
        <f t="shared" si="134"/>
        <v>193.21134373864547</v>
      </c>
      <c r="AE58" s="330">
        <f t="shared" si="134"/>
        <v>193.21134161369295</v>
      </c>
      <c r="AF58" s="330">
        <f t="shared" si="134"/>
        <v>193.21133942499185</v>
      </c>
      <c r="AG58" s="330">
        <f t="shared" si="134"/>
        <v>193.21133717062972</v>
      </c>
      <c r="AH58" s="330">
        <f t="shared" si="134"/>
        <v>193.21133484863674</v>
      </c>
      <c r="AI58" s="330">
        <f t="shared" si="134"/>
        <v>193.21133245698397</v>
      </c>
      <c r="AJ58" s="330">
        <f t="shared" si="134"/>
        <v>193.21132999358161</v>
      </c>
      <c r="AK58" s="330">
        <f t="shared" si="134"/>
        <v>193.21132745627719</v>
      </c>
      <c r="AL58" s="330">
        <f t="shared" si="134"/>
        <v>193.21132484285363</v>
      </c>
      <c r="AM58" s="330">
        <f t="shared" si="134"/>
        <v>193.21132215102736</v>
      </c>
      <c r="AN58" s="330">
        <f t="shared" si="134"/>
        <v>193.21131937844629</v>
      </c>
      <c r="AO58" s="330">
        <f t="shared" si="134"/>
        <v>193.21131652268781</v>
      </c>
      <c r="AP58" s="330">
        <f t="shared" si="134"/>
        <v>193.21131358125658</v>
      </c>
      <c r="AQ58" s="330">
        <f t="shared" si="134"/>
        <v>193.21131055158239</v>
      </c>
      <c r="AR58" s="330">
        <f t="shared" si="134"/>
        <v>193.21130743101799</v>
      </c>
      <c r="AS58" s="330">
        <f t="shared" si="134"/>
        <v>193.21130421683665</v>
      </c>
      <c r="AT58" s="330">
        <f t="shared" si="134"/>
        <v>193.21130090622987</v>
      </c>
      <c r="AU58" s="330">
        <f t="shared" si="134"/>
        <v>193.21129749630487</v>
      </c>
      <c r="AV58" s="330">
        <f t="shared" si="134"/>
        <v>193.21129398408212</v>
      </c>
      <c r="AW58" s="330">
        <f t="shared" si="134"/>
        <v>193.2112903664927</v>
      </c>
    </row>
    <row r="59" spans="2:49" s="76" customFormat="1" ht="14.25" customHeight="1">
      <c r="B59" s="2"/>
      <c r="C59" s="1" t="s">
        <v>424</v>
      </c>
      <c r="D59" s="331">
        <f>IF(AND(C58&lt;0,D58&gt;=0),1,0)</f>
        <v>0</v>
      </c>
      <c r="E59" s="331">
        <f>IF(AND(D58&lt;0,E58&gt;=0),1,0)</f>
        <v>0</v>
      </c>
      <c r="F59" s="331">
        <f t="shared" ref="F59:AW59" si="135">IF(AND(E58&lt;0,F58&gt;=0),1,0)</f>
        <v>0</v>
      </c>
      <c r="G59" s="331">
        <f t="shared" si="135"/>
        <v>0</v>
      </c>
      <c r="H59" s="331">
        <f t="shared" si="135"/>
        <v>0</v>
      </c>
      <c r="I59" s="331">
        <f t="shared" si="135"/>
        <v>0</v>
      </c>
      <c r="J59" s="331">
        <f t="shared" si="135"/>
        <v>0</v>
      </c>
      <c r="K59" s="331">
        <f t="shared" si="135"/>
        <v>0</v>
      </c>
      <c r="L59" s="331">
        <f t="shared" si="135"/>
        <v>0</v>
      </c>
      <c r="M59" s="331">
        <f t="shared" si="135"/>
        <v>0</v>
      </c>
      <c r="N59" s="331">
        <f t="shared" si="135"/>
        <v>0</v>
      </c>
      <c r="O59" s="331">
        <f t="shared" si="135"/>
        <v>1</v>
      </c>
      <c r="P59" s="331">
        <f t="shared" si="135"/>
        <v>0</v>
      </c>
      <c r="Q59" s="331">
        <f t="shared" si="135"/>
        <v>0</v>
      </c>
      <c r="R59" s="331">
        <f t="shared" si="135"/>
        <v>0</v>
      </c>
      <c r="S59" s="331">
        <f t="shared" si="135"/>
        <v>0</v>
      </c>
      <c r="T59" s="331">
        <f t="shared" si="135"/>
        <v>0</v>
      </c>
      <c r="U59" s="331">
        <f t="shared" si="135"/>
        <v>0</v>
      </c>
      <c r="V59" s="331">
        <f t="shared" si="135"/>
        <v>0</v>
      </c>
      <c r="W59" s="331">
        <f t="shared" si="135"/>
        <v>0</v>
      </c>
      <c r="X59" s="331">
        <f t="shared" si="135"/>
        <v>0</v>
      </c>
      <c r="Y59" s="331">
        <f t="shared" si="135"/>
        <v>0</v>
      </c>
      <c r="Z59" s="331">
        <f t="shared" si="135"/>
        <v>0</v>
      </c>
      <c r="AA59" s="331">
        <f t="shared" si="135"/>
        <v>0</v>
      </c>
      <c r="AB59" s="331">
        <f t="shared" si="135"/>
        <v>0</v>
      </c>
      <c r="AC59" s="331">
        <f t="shared" si="135"/>
        <v>0</v>
      </c>
      <c r="AD59" s="331">
        <f t="shared" si="135"/>
        <v>0</v>
      </c>
      <c r="AE59" s="331">
        <f t="shared" si="135"/>
        <v>0</v>
      </c>
      <c r="AF59" s="331">
        <f t="shared" si="135"/>
        <v>0</v>
      </c>
      <c r="AG59" s="331">
        <f t="shared" si="135"/>
        <v>0</v>
      </c>
      <c r="AH59" s="331">
        <f t="shared" si="135"/>
        <v>0</v>
      </c>
      <c r="AI59" s="331">
        <f t="shared" si="135"/>
        <v>0</v>
      </c>
      <c r="AJ59" s="331">
        <f t="shared" si="135"/>
        <v>0</v>
      </c>
      <c r="AK59" s="331">
        <f t="shared" si="135"/>
        <v>0</v>
      </c>
      <c r="AL59" s="331">
        <f t="shared" si="135"/>
        <v>0</v>
      </c>
      <c r="AM59" s="331">
        <f t="shared" si="135"/>
        <v>0</v>
      </c>
      <c r="AN59" s="331">
        <f t="shared" si="135"/>
        <v>0</v>
      </c>
      <c r="AO59" s="331">
        <f t="shared" si="135"/>
        <v>0</v>
      </c>
      <c r="AP59" s="331">
        <f t="shared" si="135"/>
        <v>0</v>
      </c>
      <c r="AQ59" s="331">
        <f t="shared" si="135"/>
        <v>0</v>
      </c>
      <c r="AR59" s="331">
        <f t="shared" si="135"/>
        <v>0</v>
      </c>
      <c r="AS59" s="331">
        <f t="shared" si="135"/>
        <v>0</v>
      </c>
      <c r="AT59" s="331">
        <f t="shared" si="135"/>
        <v>0</v>
      </c>
      <c r="AU59" s="331">
        <f t="shared" si="135"/>
        <v>0</v>
      </c>
      <c r="AV59" s="331">
        <f t="shared" si="135"/>
        <v>0</v>
      </c>
      <c r="AW59" s="331">
        <f t="shared" si="135"/>
        <v>0</v>
      </c>
    </row>
    <row r="60" spans="2:49" s="76" customFormat="1" ht="14.25" customHeight="1">
      <c r="B60" s="2"/>
      <c r="C60" s="1" t="s">
        <v>425</v>
      </c>
      <c r="D60" s="331">
        <f>IF(D59=1,C58/D43,0)*-1</f>
        <v>0</v>
      </c>
      <c r="E60" s="331">
        <f>IF(E59=1,D58/E43,0)*-1</f>
        <v>0</v>
      </c>
      <c r="F60" s="331">
        <f t="shared" ref="F60:AW60" si="136">IF(F59=1,E58/F43,0)*-1</f>
        <v>0</v>
      </c>
      <c r="G60" s="331">
        <f t="shared" si="136"/>
        <v>0</v>
      </c>
      <c r="H60" s="331">
        <f t="shared" si="136"/>
        <v>0</v>
      </c>
      <c r="I60" s="331">
        <f t="shared" si="136"/>
        <v>0</v>
      </c>
      <c r="J60" s="331">
        <f t="shared" si="136"/>
        <v>0</v>
      </c>
      <c r="K60" s="331">
        <f t="shared" si="136"/>
        <v>0</v>
      </c>
      <c r="L60" s="331">
        <f t="shared" si="136"/>
        <v>0</v>
      </c>
      <c r="M60" s="331">
        <f t="shared" si="136"/>
        <v>0</v>
      </c>
      <c r="N60" s="331">
        <f t="shared" si="136"/>
        <v>0</v>
      </c>
      <c r="O60" s="331">
        <f t="shared" si="136"/>
        <v>0.95814377165268716</v>
      </c>
      <c r="P60" s="331">
        <f t="shared" si="136"/>
        <v>0</v>
      </c>
      <c r="Q60" s="331">
        <f t="shared" si="136"/>
        <v>0</v>
      </c>
      <c r="R60" s="331">
        <f t="shared" si="136"/>
        <v>0</v>
      </c>
      <c r="S60" s="331">
        <f t="shared" si="136"/>
        <v>0</v>
      </c>
      <c r="T60" s="331">
        <f t="shared" si="136"/>
        <v>0</v>
      </c>
      <c r="U60" s="331">
        <f t="shared" si="136"/>
        <v>0</v>
      </c>
      <c r="V60" s="331">
        <f t="shared" si="136"/>
        <v>0</v>
      </c>
      <c r="W60" s="331">
        <f t="shared" si="136"/>
        <v>0</v>
      </c>
      <c r="X60" s="331">
        <f t="shared" si="136"/>
        <v>0</v>
      </c>
      <c r="Y60" s="331">
        <f t="shared" si="136"/>
        <v>0</v>
      </c>
      <c r="Z60" s="331">
        <f t="shared" si="136"/>
        <v>0</v>
      </c>
      <c r="AA60" s="331">
        <f t="shared" si="136"/>
        <v>0</v>
      </c>
      <c r="AB60" s="331">
        <f t="shared" si="136"/>
        <v>0</v>
      </c>
      <c r="AC60" s="331">
        <f t="shared" si="136"/>
        <v>0</v>
      </c>
      <c r="AD60" s="331">
        <f t="shared" si="136"/>
        <v>0</v>
      </c>
      <c r="AE60" s="331">
        <f t="shared" si="136"/>
        <v>0</v>
      </c>
      <c r="AF60" s="331">
        <f t="shared" si="136"/>
        <v>0</v>
      </c>
      <c r="AG60" s="331">
        <f t="shared" si="136"/>
        <v>0</v>
      </c>
      <c r="AH60" s="331">
        <f t="shared" si="136"/>
        <v>0</v>
      </c>
      <c r="AI60" s="331">
        <f t="shared" si="136"/>
        <v>0</v>
      </c>
      <c r="AJ60" s="331">
        <f t="shared" si="136"/>
        <v>0</v>
      </c>
      <c r="AK60" s="331">
        <f t="shared" si="136"/>
        <v>0</v>
      </c>
      <c r="AL60" s="331">
        <f t="shared" si="136"/>
        <v>0</v>
      </c>
      <c r="AM60" s="331">
        <f t="shared" si="136"/>
        <v>0</v>
      </c>
      <c r="AN60" s="331">
        <f t="shared" si="136"/>
        <v>0</v>
      </c>
      <c r="AO60" s="331">
        <f t="shared" si="136"/>
        <v>0</v>
      </c>
      <c r="AP60" s="331">
        <f t="shared" si="136"/>
        <v>0</v>
      </c>
      <c r="AQ60" s="331">
        <f t="shared" si="136"/>
        <v>0</v>
      </c>
      <c r="AR60" s="331">
        <f t="shared" si="136"/>
        <v>0</v>
      </c>
      <c r="AS60" s="331">
        <f t="shared" si="136"/>
        <v>0</v>
      </c>
      <c r="AT60" s="331">
        <f t="shared" si="136"/>
        <v>0</v>
      </c>
      <c r="AU60" s="331">
        <f t="shared" si="136"/>
        <v>0</v>
      </c>
      <c r="AV60" s="331">
        <f t="shared" si="136"/>
        <v>0</v>
      </c>
      <c r="AW60" s="331">
        <f t="shared" si="136"/>
        <v>0</v>
      </c>
    </row>
    <row r="61" spans="2:49" s="76" customFormat="1" ht="14.25" customHeight="1">
      <c r="B61" s="2"/>
      <c r="C61" s="1" t="s">
        <v>426</v>
      </c>
      <c r="D61" s="331">
        <f>IF(D59&lt;&gt;1,0,D57*D59-1+D60)</f>
        <v>0</v>
      </c>
      <c r="E61" s="331">
        <f>IF(E59&lt;&gt;1,0,E57*E59-1+E60)</f>
        <v>0</v>
      </c>
      <c r="F61" s="331">
        <f t="shared" ref="F61:AW61" si="137">IF(F59&lt;&gt;1,0,F57*F59-1+F60)</f>
        <v>0</v>
      </c>
      <c r="G61" s="331">
        <f t="shared" si="137"/>
        <v>0</v>
      </c>
      <c r="H61" s="331">
        <f t="shared" si="137"/>
        <v>0</v>
      </c>
      <c r="I61" s="331">
        <f t="shared" si="137"/>
        <v>0</v>
      </c>
      <c r="J61" s="331">
        <f t="shared" si="137"/>
        <v>0</v>
      </c>
      <c r="K61" s="331">
        <f t="shared" si="137"/>
        <v>0</v>
      </c>
      <c r="L61" s="331">
        <f t="shared" si="137"/>
        <v>0</v>
      </c>
      <c r="M61" s="331">
        <f t="shared" si="137"/>
        <v>0</v>
      </c>
      <c r="N61" s="331">
        <f t="shared" si="137"/>
        <v>0</v>
      </c>
      <c r="O61" s="331">
        <f t="shared" si="137"/>
        <v>10.958143771652686</v>
      </c>
      <c r="P61" s="331">
        <f t="shared" si="137"/>
        <v>0</v>
      </c>
      <c r="Q61" s="331">
        <f t="shared" si="137"/>
        <v>0</v>
      </c>
      <c r="R61" s="331">
        <f t="shared" si="137"/>
        <v>0</v>
      </c>
      <c r="S61" s="331">
        <f t="shared" si="137"/>
        <v>0</v>
      </c>
      <c r="T61" s="331">
        <f t="shared" si="137"/>
        <v>0</v>
      </c>
      <c r="U61" s="331">
        <f t="shared" si="137"/>
        <v>0</v>
      </c>
      <c r="V61" s="331">
        <f t="shared" si="137"/>
        <v>0</v>
      </c>
      <c r="W61" s="331">
        <f t="shared" si="137"/>
        <v>0</v>
      </c>
      <c r="X61" s="331">
        <f t="shared" si="137"/>
        <v>0</v>
      </c>
      <c r="Y61" s="331">
        <f t="shared" si="137"/>
        <v>0</v>
      </c>
      <c r="Z61" s="331">
        <f>IF(Z59&lt;&gt;1,0,Z57*Z59-1+Z60)</f>
        <v>0</v>
      </c>
      <c r="AA61" s="331">
        <f t="shared" si="137"/>
        <v>0</v>
      </c>
      <c r="AB61" s="331">
        <f t="shared" si="137"/>
        <v>0</v>
      </c>
      <c r="AC61" s="331">
        <f t="shared" si="137"/>
        <v>0</v>
      </c>
      <c r="AD61" s="331">
        <f t="shared" si="137"/>
        <v>0</v>
      </c>
      <c r="AE61" s="331">
        <f t="shared" si="137"/>
        <v>0</v>
      </c>
      <c r="AF61" s="331">
        <f t="shared" si="137"/>
        <v>0</v>
      </c>
      <c r="AG61" s="331">
        <f t="shared" si="137"/>
        <v>0</v>
      </c>
      <c r="AH61" s="331">
        <f t="shared" si="137"/>
        <v>0</v>
      </c>
      <c r="AI61" s="331">
        <f t="shared" si="137"/>
        <v>0</v>
      </c>
      <c r="AJ61" s="331">
        <f t="shared" si="137"/>
        <v>0</v>
      </c>
      <c r="AK61" s="331">
        <f t="shared" si="137"/>
        <v>0</v>
      </c>
      <c r="AL61" s="331">
        <f t="shared" si="137"/>
        <v>0</v>
      </c>
      <c r="AM61" s="331">
        <f t="shared" si="137"/>
        <v>0</v>
      </c>
      <c r="AN61" s="331">
        <f t="shared" si="137"/>
        <v>0</v>
      </c>
      <c r="AO61" s="331">
        <f t="shared" si="137"/>
        <v>0</v>
      </c>
      <c r="AP61" s="331">
        <f t="shared" si="137"/>
        <v>0</v>
      </c>
      <c r="AQ61" s="331">
        <f t="shared" si="137"/>
        <v>0</v>
      </c>
      <c r="AR61" s="331">
        <f t="shared" si="137"/>
        <v>0</v>
      </c>
      <c r="AS61" s="331">
        <f t="shared" si="137"/>
        <v>0</v>
      </c>
      <c r="AT61" s="331">
        <f t="shared" si="137"/>
        <v>0</v>
      </c>
      <c r="AU61" s="331">
        <f t="shared" si="137"/>
        <v>0</v>
      </c>
      <c r="AV61" s="331">
        <f t="shared" si="137"/>
        <v>0</v>
      </c>
      <c r="AW61" s="331">
        <f t="shared" si="137"/>
        <v>0</v>
      </c>
    </row>
    <row r="62" spans="2:49" ht="1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:49" ht="15" customHeight="1" thickBo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:49" ht="15" customHeight="1" thickBot="1">
      <c r="B64" s="1"/>
      <c r="C64" s="809" t="s">
        <v>427</v>
      </c>
      <c r="D64" s="821"/>
      <c r="E64" s="82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6" ht="15" customHeight="1">
      <c r="A65" s="1"/>
      <c r="B65" s="1"/>
      <c r="C65" s="278" t="s">
        <v>428</v>
      </c>
      <c r="D65" s="84"/>
      <c r="E65" s="334">
        <f>'Assumptions &amp; Inputs'!H5</f>
        <v>0</v>
      </c>
      <c r="F65" s="4" t="s">
        <v>429</v>
      </c>
    </row>
    <row r="66" spans="1:6" ht="15" customHeight="1">
      <c r="A66" s="1"/>
      <c r="B66" s="1"/>
      <c r="C66" s="278" t="s">
        <v>430</v>
      </c>
      <c r="D66" s="84"/>
      <c r="E66" s="333">
        <f>IFERROR(E65/SUM(E36:E37),0)</f>
        <v>0</v>
      </c>
      <c r="F66" s="1"/>
    </row>
    <row r="67" spans="1:6" ht="15" customHeight="1">
      <c r="A67" s="1"/>
      <c r="B67" s="1"/>
      <c r="C67" s="278" t="s">
        <v>431</v>
      </c>
      <c r="D67" s="84"/>
      <c r="E67" s="334">
        <f>-SUM(D38:G38)</f>
        <v>120</v>
      </c>
      <c r="F67" s="1"/>
    </row>
    <row r="68" spans="1:6" ht="15" customHeight="1">
      <c r="A68" s="1"/>
      <c r="B68" s="1"/>
      <c r="C68" s="278"/>
      <c r="D68" s="84"/>
      <c r="E68" s="335"/>
      <c r="F68" s="1"/>
    </row>
    <row r="69" spans="1:6" ht="15" customHeight="1">
      <c r="A69" s="1"/>
      <c r="B69" s="1"/>
      <c r="C69" s="336" t="s">
        <v>432</v>
      </c>
      <c r="D69" s="83"/>
      <c r="E69" s="337">
        <f>XNPV('Assumptions &amp; Inputs'!$E$16,D43:AW43,D33:AW33)</f>
        <v>-34.009252675959246</v>
      </c>
      <c r="F69" s="1"/>
    </row>
    <row r="70" spans="1:6" ht="15" customHeight="1">
      <c r="A70" s="1"/>
      <c r="B70" s="1"/>
      <c r="C70" s="336" t="s">
        <v>433</v>
      </c>
      <c r="D70" s="83"/>
      <c r="E70" s="338">
        <f>IFERROR(XIRR(D43:BA43,D33:BA33),"n.a.")</f>
        <v>7.9197171330451996E-2</v>
      </c>
      <c r="F70" s="1"/>
    </row>
    <row r="71" spans="1:6" ht="14.25" customHeight="1">
      <c r="A71" s="1"/>
      <c r="B71" s="1"/>
      <c r="C71" s="322" t="s">
        <v>434</v>
      </c>
      <c r="D71" s="84"/>
      <c r="E71" s="340">
        <f>I54</f>
        <v>7.1192455685687578E-2</v>
      </c>
      <c r="F71" s="1"/>
    </row>
    <row r="72" spans="1:6" ht="14.25" customHeight="1" thickBot="1">
      <c r="A72" s="1"/>
      <c r="B72" s="1"/>
      <c r="C72" s="339" t="s">
        <v>435</v>
      </c>
      <c r="D72" s="86"/>
      <c r="E72" s="341">
        <f>L61</f>
        <v>0</v>
      </c>
      <c r="F72" s="1"/>
    </row>
    <row r="73" spans="1:6" ht="15" customHeight="1">
      <c r="A73" s="1"/>
      <c r="B73" s="1"/>
      <c r="C73" s="1"/>
      <c r="D73" s="1"/>
      <c r="E73" s="1"/>
      <c r="F73" s="1"/>
    </row>
    <row r="74" spans="1:6" ht="15" customHeight="1">
      <c r="A74" s="1"/>
      <c r="B74" s="1"/>
      <c r="C74" s="1"/>
      <c r="D74" s="1"/>
      <c r="E74" s="1"/>
      <c r="F74" s="1"/>
    </row>
    <row r="75" spans="1:6" ht="18.75" customHeight="1" thickBot="1">
      <c r="A75" s="1" t="s">
        <v>351</v>
      </c>
      <c r="B75" s="1"/>
      <c r="C75" s="9" t="s">
        <v>436</v>
      </c>
      <c r="D75" s="9"/>
      <c r="E75" s="10"/>
      <c r="F75" s="10"/>
    </row>
    <row r="76" spans="1:6" ht="15" customHeight="1">
      <c r="A76" s="1"/>
      <c r="B76" s="1"/>
      <c r="C76" s="12" t="s">
        <v>353</v>
      </c>
      <c r="D76" s="13"/>
      <c r="E76" s="14"/>
      <c r="F76" s="14"/>
    </row>
    <row r="77" spans="1:6" ht="15" customHeight="1" thickBot="1">
      <c r="A77" s="1"/>
      <c r="B77" s="1"/>
      <c r="C77" s="12"/>
      <c r="D77" s="13"/>
      <c r="E77" s="14"/>
      <c r="F77" s="14"/>
    </row>
    <row r="78" spans="1:6" ht="15" customHeight="1" thickBot="1">
      <c r="A78" s="1"/>
      <c r="B78" s="1"/>
      <c r="C78" s="812" t="s">
        <v>437</v>
      </c>
      <c r="D78" s="823"/>
      <c r="E78" s="824"/>
      <c r="F78" s="14"/>
    </row>
    <row r="79" spans="1:6" ht="15" customHeight="1">
      <c r="A79" s="1"/>
      <c r="B79" s="1"/>
      <c r="C79" s="98" t="s">
        <v>438</v>
      </c>
      <c r="D79" s="13"/>
      <c r="E79" s="99">
        <f>E80*SUM(E65,E67)</f>
        <v>0</v>
      </c>
      <c r="F79" s="14"/>
    </row>
    <row r="80" spans="1:6" ht="15" customHeight="1">
      <c r="A80" s="1"/>
      <c r="B80" s="1"/>
      <c r="C80" s="98" t="s">
        <v>439</v>
      </c>
      <c r="D80" s="13"/>
      <c r="E80" s="100">
        <f>'Assumptions &amp; Inputs'!G8</f>
        <v>0</v>
      </c>
      <c r="F80" s="14"/>
    </row>
    <row r="81" spans="2:49" ht="15" customHeight="1">
      <c r="B81" s="1"/>
      <c r="C81" s="98" t="s">
        <v>440</v>
      </c>
      <c r="D81" s="13"/>
      <c r="E81" s="95" t="e">
        <f>SUM(E91:X91)/SUM(E92:X92)</f>
        <v>#DIV/0!</v>
      </c>
      <c r="F81" s="14"/>
      <c r="G81" s="14"/>
      <c r="H81" s="14"/>
      <c r="I81" s="14"/>
      <c r="J81" s="14"/>
      <c r="K81" s="14"/>
      <c r="L81" s="14"/>
      <c r="M81" s="14"/>
      <c r="N81" s="1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2:49" ht="15" customHeight="1">
      <c r="B82" s="1"/>
      <c r="C82" s="98"/>
      <c r="D82" s="13"/>
      <c r="E82" s="95"/>
      <c r="F82" s="14"/>
      <c r="G82" s="14"/>
      <c r="H82" s="14"/>
      <c r="I82" s="14"/>
      <c r="J82" s="14"/>
      <c r="K82" s="14"/>
      <c r="L82" s="14"/>
      <c r="M82" s="14"/>
      <c r="N82" s="1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2:49" ht="15" customHeight="1">
      <c r="B83" s="1"/>
      <c r="C83" s="101" t="s">
        <v>441</v>
      </c>
      <c r="D83" s="25"/>
      <c r="E83" s="97">
        <f>XNPV('Assumptions &amp; Inputs'!$E$16,D94:AW94,D90:AW90)</f>
        <v>-80.956757150812848</v>
      </c>
      <c r="F83" s="14"/>
      <c r="G83" s="14"/>
      <c r="H83" s="14"/>
      <c r="I83" s="14"/>
      <c r="J83" s="14"/>
      <c r="K83" s="14"/>
      <c r="L83" s="14"/>
      <c r="M83" s="14"/>
      <c r="N83" s="1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2:49" ht="15" customHeight="1" thickBot="1">
      <c r="B84" s="1"/>
      <c r="C84" s="26" t="s">
        <v>442</v>
      </c>
      <c r="D84" s="27"/>
      <c r="E84" s="28">
        <f>IFERROR(XIRR(D94:AW94,D90:AW90),"n.a.")</f>
        <v>4.6734121441841123E-2</v>
      </c>
      <c r="F84" s="14"/>
      <c r="G84" s="14"/>
      <c r="H84" s="14"/>
      <c r="I84" s="14"/>
      <c r="J84" s="14"/>
      <c r="K84" s="14"/>
      <c r="L84" s="14"/>
      <c r="M84" s="14"/>
      <c r="N84" s="1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2:49" ht="15" customHeight="1">
      <c r="B85" s="1"/>
      <c r="C85" s="12"/>
      <c r="D85" s="13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2:49" ht="15" customHeight="1">
      <c r="B86" s="1"/>
      <c r="C86" s="12"/>
      <c r="D86" s="13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2:49" ht="15" customHeight="1">
      <c r="B87" s="1"/>
      <c r="C87" s="1"/>
      <c r="D87" s="119">
        <v>0</v>
      </c>
      <c r="E87" s="119">
        <f t="shared" ref="E87:X87" si="138">D87+1</f>
        <v>1</v>
      </c>
      <c r="F87" s="119">
        <f t="shared" si="138"/>
        <v>2</v>
      </c>
      <c r="G87" s="119">
        <f t="shared" si="138"/>
        <v>3</v>
      </c>
      <c r="H87" s="119">
        <f t="shared" si="138"/>
        <v>4</v>
      </c>
      <c r="I87" s="119">
        <f t="shared" si="138"/>
        <v>5</v>
      </c>
      <c r="J87" s="119">
        <f t="shared" si="138"/>
        <v>6</v>
      </c>
      <c r="K87" s="119">
        <f t="shared" si="138"/>
        <v>7</v>
      </c>
      <c r="L87" s="119">
        <f t="shared" si="138"/>
        <v>8</v>
      </c>
      <c r="M87" s="119">
        <f t="shared" si="138"/>
        <v>9</v>
      </c>
      <c r="N87" s="119">
        <f t="shared" si="138"/>
        <v>10</v>
      </c>
      <c r="O87" s="119">
        <f t="shared" si="138"/>
        <v>11</v>
      </c>
      <c r="P87" s="119">
        <f t="shared" si="138"/>
        <v>12</v>
      </c>
      <c r="Q87" s="119">
        <f t="shared" si="138"/>
        <v>13</v>
      </c>
      <c r="R87" s="119">
        <f t="shared" si="138"/>
        <v>14</v>
      </c>
      <c r="S87" s="119">
        <f t="shared" si="138"/>
        <v>15</v>
      </c>
      <c r="T87" s="119">
        <f t="shared" si="138"/>
        <v>16</v>
      </c>
      <c r="U87" s="119">
        <f t="shared" si="138"/>
        <v>17</v>
      </c>
      <c r="V87" s="119">
        <f t="shared" si="138"/>
        <v>18</v>
      </c>
      <c r="W87" s="119">
        <f t="shared" si="138"/>
        <v>19</v>
      </c>
      <c r="X87" s="119">
        <f t="shared" si="138"/>
        <v>20</v>
      </c>
      <c r="Y87" s="119">
        <f t="shared" ref="Y87" si="139">X87+1</f>
        <v>21</v>
      </c>
      <c r="Z87" s="119">
        <f t="shared" ref="Z87" si="140">Y87+1</f>
        <v>22</v>
      </c>
      <c r="AA87" s="119">
        <f t="shared" ref="AA87" si="141">Z87+1</f>
        <v>23</v>
      </c>
      <c r="AB87" s="119">
        <f t="shared" ref="AB87" si="142">AA87+1</f>
        <v>24</v>
      </c>
      <c r="AC87" s="119">
        <f t="shared" ref="AC87" si="143">AB87+1</f>
        <v>25</v>
      </c>
      <c r="AD87" s="119">
        <f t="shared" ref="AD87" si="144">AC87+1</f>
        <v>26</v>
      </c>
      <c r="AE87" s="119">
        <f t="shared" ref="AE87" si="145">AD87+1</f>
        <v>27</v>
      </c>
      <c r="AF87" s="119">
        <f t="shared" ref="AF87" si="146">AE87+1</f>
        <v>28</v>
      </c>
      <c r="AG87" s="119">
        <f t="shared" ref="AG87" si="147">AF87+1</f>
        <v>29</v>
      </c>
      <c r="AH87" s="119">
        <f t="shared" ref="AH87" si="148">AG87+1</f>
        <v>30</v>
      </c>
      <c r="AI87" s="119">
        <f t="shared" ref="AI87" si="149">AH87+1</f>
        <v>31</v>
      </c>
      <c r="AJ87" s="119">
        <f t="shared" ref="AJ87" si="150">AI87+1</f>
        <v>32</v>
      </c>
      <c r="AK87" s="119">
        <f t="shared" ref="AK87" si="151">AJ87+1</f>
        <v>33</v>
      </c>
      <c r="AL87" s="119">
        <f t="shared" ref="AL87" si="152">AK87+1</f>
        <v>34</v>
      </c>
      <c r="AM87" s="119">
        <f t="shared" ref="AM87" si="153">AL87+1</f>
        <v>35</v>
      </c>
      <c r="AN87" s="119">
        <f t="shared" ref="AN87" si="154">AM87+1</f>
        <v>36</v>
      </c>
      <c r="AO87" s="119">
        <f t="shared" ref="AO87" si="155">AN87+1</f>
        <v>37</v>
      </c>
      <c r="AP87" s="119">
        <f t="shared" ref="AP87" si="156">AO87+1</f>
        <v>38</v>
      </c>
      <c r="AQ87" s="119">
        <f t="shared" ref="AQ87" si="157">AP87+1</f>
        <v>39</v>
      </c>
      <c r="AR87" s="119">
        <f t="shared" ref="AR87" si="158">AQ87+1</f>
        <v>40</v>
      </c>
      <c r="AS87" s="119">
        <f t="shared" ref="AS87" si="159">AR87+1</f>
        <v>41</v>
      </c>
      <c r="AT87" s="119">
        <f t="shared" ref="AT87" si="160">AS87+1</f>
        <v>42</v>
      </c>
      <c r="AU87" s="119">
        <f t="shared" ref="AU87" si="161">AT87+1</f>
        <v>43</v>
      </c>
      <c r="AV87" s="119">
        <f t="shared" ref="AV87" si="162">AU87+1</f>
        <v>44</v>
      </c>
      <c r="AW87" s="119">
        <f t="shared" ref="AW87" si="163">AV87+1</f>
        <v>45</v>
      </c>
    </row>
    <row r="88" spans="2:49" ht="15" customHeight="1">
      <c r="B88" s="2"/>
      <c r="C88" s="2"/>
      <c r="D88" s="2"/>
      <c r="E88" s="807" t="s">
        <v>354</v>
      </c>
      <c r="F88" s="820"/>
      <c r="G88" s="820"/>
      <c r="H88" s="820"/>
      <c r="I88" s="820"/>
      <c r="J88" s="820"/>
      <c r="K88" s="820"/>
      <c r="L88" s="820"/>
      <c r="M88" s="820"/>
      <c r="N88" s="820"/>
      <c r="O88" s="820"/>
      <c r="P88" s="8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</row>
    <row r="89" spans="2:49" ht="15" customHeight="1">
      <c r="B89" s="2"/>
      <c r="C89" s="2"/>
      <c r="D89" s="3">
        <f>D32</f>
        <v>2026</v>
      </c>
      <c r="E89" s="120">
        <f t="shared" ref="E89:X89" si="164">D89+1</f>
        <v>2027</v>
      </c>
      <c r="F89" s="120">
        <f t="shared" si="164"/>
        <v>2028</v>
      </c>
      <c r="G89" s="120">
        <f t="shared" si="164"/>
        <v>2029</v>
      </c>
      <c r="H89" s="120">
        <f t="shared" si="164"/>
        <v>2030</v>
      </c>
      <c r="I89" s="120">
        <f t="shared" si="164"/>
        <v>2031</v>
      </c>
      <c r="J89" s="120">
        <f t="shared" si="164"/>
        <v>2032</v>
      </c>
      <c r="K89" s="120">
        <f t="shared" si="164"/>
        <v>2033</v>
      </c>
      <c r="L89" s="120">
        <f t="shared" si="164"/>
        <v>2034</v>
      </c>
      <c r="M89" s="120">
        <f t="shared" si="164"/>
        <v>2035</v>
      </c>
      <c r="N89" s="120">
        <f t="shared" si="164"/>
        <v>2036</v>
      </c>
      <c r="O89" s="120">
        <f t="shared" si="164"/>
        <v>2037</v>
      </c>
      <c r="P89" s="120">
        <f t="shared" si="164"/>
        <v>2038</v>
      </c>
      <c r="Q89" s="120">
        <f t="shared" si="164"/>
        <v>2039</v>
      </c>
      <c r="R89" s="120">
        <f t="shared" si="164"/>
        <v>2040</v>
      </c>
      <c r="S89" s="120">
        <f t="shared" si="164"/>
        <v>2041</v>
      </c>
      <c r="T89" s="120">
        <f t="shared" si="164"/>
        <v>2042</v>
      </c>
      <c r="U89" s="120">
        <f t="shared" si="164"/>
        <v>2043</v>
      </c>
      <c r="V89" s="120">
        <f t="shared" si="164"/>
        <v>2044</v>
      </c>
      <c r="W89" s="120">
        <f t="shared" si="164"/>
        <v>2045</v>
      </c>
      <c r="X89" s="120">
        <f t="shared" si="164"/>
        <v>2046</v>
      </c>
      <c r="Y89" s="120">
        <f t="shared" ref="Y89" si="165">X89+1</f>
        <v>2047</v>
      </c>
      <c r="Z89" s="120">
        <f t="shared" ref="Z89" si="166">Y89+1</f>
        <v>2048</v>
      </c>
      <c r="AA89" s="120">
        <f t="shared" ref="AA89" si="167">Z89+1</f>
        <v>2049</v>
      </c>
      <c r="AB89" s="120">
        <f t="shared" ref="AB89" si="168">AA89+1</f>
        <v>2050</v>
      </c>
      <c r="AC89" s="120">
        <f t="shared" ref="AC89" si="169">AB89+1</f>
        <v>2051</v>
      </c>
      <c r="AD89" s="120">
        <f t="shared" ref="AD89" si="170">AC89+1</f>
        <v>2052</v>
      </c>
      <c r="AE89" s="120">
        <f t="shared" ref="AE89" si="171">AD89+1</f>
        <v>2053</v>
      </c>
      <c r="AF89" s="120">
        <f t="shared" ref="AF89" si="172">AE89+1</f>
        <v>2054</v>
      </c>
      <c r="AG89" s="120">
        <f t="shared" ref="AG89" si="173">AF89+1</f>
        <v>2055</v>
      </c>
      <c r="AH89" s="120">
        <f t="shared" ref="AH89" si="174">AG89+1</f>
        <v>2056</v>
      </c>
      <c r="AI89" s="120">
        <f t="shared" ref="AI89" si="175">AH89+1</f>
        <v>2057</v>
      </c>
      <c r="AJ89" s="120">
        <f t="shared" ref="AJ89" si="176">AI89+1</f>
        <v>2058</v>
      </c>
      <c r="AK89" s="120">
        <f t="shared" ref="AK89" si="177">AJ89+1</f>
        <v>2059</v>
      </c>
      <c r="AL89" s="120">
        <f t="shared" ref="AL89" si="178">AK89+1</f>
        <v>2060</v>
      </c>
      <c r="AM89" s="120">
        <f t="shared" ref="AM89" si="179">AL89+1</f>
        <v>2061</v>
      </c>
      <c r="AN89" s="120">
        <f t="shared" ref="AN89" si="180">AM89+1</f>
        <v>2062</v>
      </c>
      <c r="AO89" s="120">
        <f t="shared" ref="AO89" si="181">AN89+1</f>
        <v>2063</v>
      </c>
      <c r="AP89" s="120">
        <f t="shared" ref="AP89" si="182">AO89+1</f>
        <v>2064</v>
      </c>
      <c r="AQ89" s="120">
        <f t="shared" ref="AQ89" si="183">AP89+1</f>
        <v>2065</v>
      </c>
      <c r="AR89" s="120">
        <f t="shared" ref="AR89" si="184">AQ89+1</f>
        <v>2066</v>
      </c>
      <c r="AS89" s="120">
        <f t="shared" ref="AS89" si="185">AR89+1</f>
        <v>2067</v>
      </c>
      <c r="AT89" s="120">
        <f t="shared" ref="AT89" si="186">AS89+1</f>
        <v>2068</v>
      </c>
      <c r="AU89" s="120">
        <f t="shared" ref="AU89" si="187">AT89+1</f>
        <v>2069</v>
      </c>
      <c r="AV89" s="120">
        <f t="shared" ref="AV89" si="188">AU89+1</f>
        <v>2070</v>
      </c>
      <c r="AW89" s="120">
        <f t="shared" ref="AW89" si="189">AV89+1</f>
        <v>2071</v>
      </c>
    </row>
    <row r="90" spans="2:49" ht="14.25" customHeight="1">
      <c r="B90" s="45"/>
      <c r="C90" s="121"/>
      <c r="D90" s="122">
        <f>D33</f>
        <v>46023</v>
      </c>
      <c r="E90" s="122">
        <f t="shared" ref="E90:X90" si="190">E33</f>
        <v>46752</v>
      </c>
      <c r="F90" s="122">
        <f t="shared" si="190"/>
        <v>47118</v>
      </c>
      <c r="G90" s="122">
        <f t="shared" si="190"/>
        <v>47483</v>
      </c>
      <c r="H90" s="122">
        <f t="shared" si="190"/>
        <v>47848</v>
      </c>
      <c r="I90" s="122">
        <f t="shared" si="190"/>
        <v>48213</v>
      </c>
      <c r="J90" s="122">
        <f t="shared" si="190"/>
        <v>48579</v>
      </c>
      <c r="K90" s="122">
        <f t="shared" si="190"/>
        <v>48944</v>
      </c>
      <c r="L90" s="122">
        <f t="shared" si="190"/>
        <v>49309</v>
      </c>
      <c r="M90" s="122">
        <f t="shared" si="190"/>
        <v>49674</v>
      </c>
      <c r="N90" s="122">
        <f t="shared" si="190"/>
        <v>50040</v>
      </c>
      <c r="O90" s="122">
        <f t="shared" si="190"/>
        <v>50405</v>
      </c>
      <c r="P90" s="122">
        <f t="shared" si="190"/>
        <v>50770</v>
      </c>
      <c r="Q90" s="122">
        <f t="shared" si="190"/>
        <v>51135</v>
      </c>
      <c r="R90" s="122">
        <f t="shared" si="190"/>
        <v>51501</v>
      </c>
      <c r="S90" s="122">
        <f t="shared" si="190"/>
        <v>51866</v>
      </c>
      <c r="T90" s="122">
        <f t="shared" si="190"/>
        <v>52231</v>
      </c>
      <c r="U90" s="122">
        <f t="shared" si="190"/>
        <v>52596</v>
      </c>
      <c r="V90" s="122">
        <f t="shared" si="190"/>
        <v>52962</v>
      </c>
      <c r="W90" s="122">
        <f t="shared" si="190"/>
        <v>53327</v>
      </c>
      <c r="X90" s="122">
        <f t="shared" si="190"/>
        <v>53692</v>
      </c>
      <c r="Y90" s="122">
        <f t="shared" ref="Y90:AW90" si="191">Y33</f>
        <v>54057</v>
      </c>
      <c r="Z90" s="122">
        <f t="shared" si="191"/>
        <v>54423</v>
      </c>
      <c r="AA90" s="122">
        <f t="shared" si="191"/>
        <v>54788</v>
      </c>
      <c r="AB90" s="122">
        <f t="shared" si="191"/>
        <v>55153</v>
      </c>
      <c r="AC90" s="122">
        <f t="shared" si="191"/>
        <v>55518</v>
      </c>
      <c r="AD90" s="122">
        <f t="shared" si="191"/>
        <v>55884</v>
      </c>
      <c r="AE90" s="122">
        <f t="shared" si="191"/>
        <v>56249</v>
      </c>
      <c r="AF90" s="122">
        <f t="shared" si="191"/>
        <v>56614</v>
      </c>
      <c r="AG90" s="122">
        <f t="shared" si="191"/>
        <v>56979</v>
      </c>
      <c r="AH90" s="122">
        <f t="shared" si="191"/>
        <v>57345</v>
      </c>
      <c r="AI90" s="122">
        <f t="shared" si="191"/>
        <v>57710</v>
      </c>
      <c r="AJ90" s="122">
        <f t="shared" si="191"/>
        <v>58075</v>
      </c>
      <c r="AK90" s="122">
        <f t="shared" si="191"/>
        <v>58440</v>
      </c>
      <c r="AL90" s="122">
        <f t="shared" si="191"/>
        <v>58806</v>
      </c>
      <c r="AM90" s="122">
        <f t="shared" si="191"/>
        <v>59171</v>
      </c>
      <c r="AN90" s="122">
        <f t="shared" si="191"/>
        <v>59536</v>
      </c>
      <c r="AO90" s="122">
        <f t="shared" si="191"/>
        <v>59901</v>
      </c>
      <c r="AP90" s="122">
        <f t="shared" si="191"/>
        <v>60267</v>
      </c>
      <c r="AQ90" s="122">
        <f t="shared" si="191"/>
        <v>60632</v>
      </c>
      <c r="AR90" s="122">
        <f t="shared" si="191"/>
        <v>60997</v>
      </c>
      <c r="AS90" s="122">
        <f t="shared" si="191"/>
        <v>61362</v>
      </c>
      <c r="AT90" s="122">
        <f t="shared" si="191"/>
        <v>61728</v>
      </c>
      <c r="AU90" s="122">
        <f t="shared" si="191"/>
        <v>62093</v>
      </c>
      <c r="AV90" s="122">
        <f t="shared" si="191"/>
        <v>62458</v>
      </c>
      <c r="AW90" s="122">
        <f t="shared" si="191"/>
        <v>62823</v>
      </c>
    </row>
    <row r="91" spans="2:49" ht="15" customHeight="1">
      <c r="B91" s="1"/>
      <c r="C91" s="1" t="s">
        <v>443</v>
      </c>
      <c r="D91" s="15">
        <f>D40</f>
        <v>-73.333333333333343</v>
      </c>
      <c r="E91" s="15">
        <f t="shared" ref="E91:X91" si="192">E40</f>
        <v>-44.933277778112299</v>
      </c>
      <c r="F91" s="15">
        <f t="shared" si="192"/>
        <v>11.653750867168352</v>
      </c>
      <c r="G91" s="15">
        <f t="shared" si="192"/>
        <v>11.704306406606662</v>
      </c>
      <c r="H91" s="15">
        <f t="shared" si="192"/>
        <v>11.754579567808145</v>
      </c>
      <c r="I91" s="15">
        <f t="shared" si="192"/>
        <v>11.804544290575567</v>
      </c>
      <c r="J91" s="15">
        <f t="shared" si="192"/>
        <v>11.854173608163897</v>
      </c>
      <c r="K91" s="15">
        <f t="shared" si="192"/>
        <v>11.903439620271467</v>
      </c>
      <c r="L91" s="15">
        <f t="shared" si="192"/>
        <v>11.952313465254143</v>
      </c>
      <c r="M91" s="15">
        <f t="shared" si="192"/>
        <v>12.000765291540169</v>
      </c>
      <c r="N91" s="15">
        <f t="shared" si="192"/>
        <v>12.048764228222648</v>
      </c>
      <c r="O91" s="15">
        <f t="shared" si="192"/>
        <v>12.096278354806007</v>
      </c>
      <c r="P91" s="15">
        <f t="shared" si="192"/>
        <v>12.143274670082064</v>
      </c>
      <c r="Q91" s="15">
        <f t="shared" si="192"/>
        <v>12.189719060110622</v>
      </c>
      <c r="R91" s="15">
        <f t="shared" si="192"/>
        <v>12.235576265278798</v>
      </c>
      <c r="S91" s="15">
        <f t="shared" si="192"/>
        <v>12.280809846412502</v>
      </c>
      <c r="T91" s="15">
        <f t="shared" si="192"/>
        <v>12.325382149912802</v>
      </c>
      <c r="U91" s="15">
        <f t="shared" si="192"/>
        <v>12.369254271888931</v>
      </c>
      <c r="V91" s="15">
        <f t="shared" si="192"/>
        <v>12.412386021259135</v>
      </c>
      <c r="W91" s="15">
        <f t="shared" si="192"/>
        <v>12.454735881789468</v>
      </c>
      <c r="X91" s="15">
        <f t="shared" si="192"/>
        <v>12.496260973039917</v>
      </c>
      <c r="Y91" s="15">
        <f t="shared" ref="Y91:AW91" si="193">Y40</f>
        <v>12.536917010186308</v>
      </c>
      <c r="Z91" s="15">
        <f t="shared" si="193"/>
        <v>12.576658262685534</v>
      </c>
      <c r="AA91" s="15">
        <f t="shared" si="193"/>
        <v>12.615437511750628</v>
      </c>
      <c r="AB91" s="15">
        <f t="shared" si="193"/>
        <v>12.653206006601398</v>
      </c>
      <c r="AC91" s="15">
        <f t="shared" si="193"/>
        <v>12.689913419455102</v>
      </c>
      <c r="AD91" s="15">
        <f t="shared" si="193"/>
        <v>12.725507799220839</v>
      </c>
      <c r="AE91" s="15">
        <f t="shared" si="193"/>
        <v>-2.1249525169443927E-6</v>
      </c>
      <c r="AF91" s="15">
        <f t="shared" si="193"/>
        <v>-2.1887010924527248E-6</v>
      </c>
      <c r="AG91" s="15">
        <f t="shared" si="193"/>
        <v>-2.2543621252263061E-6</v>
      </c>
      <c r="AH91" s="15">
        <f t="shared" si="193"/>
        <v>-2.3219929889830952E-6</v>
      </c>
      <c r="AI91" s="15">
        <f t="shared" si="193"/>
        <v>-2.3916527786525884E-6</v>
      </c>
      <c r="AJ91" s="15">
        <f t="shared" si="193"/>
        <v>-2.4634023620121658E-6</v>
      </c>
      <c r="AK91" s="15">
        <f t="shared" si="193"/>
        <v>-2.537304432872531E-6</v>
      </c>
      <c r="AL91" s="15">
        <f t="shared" si="193"/>
        <v>-2.6134235658587073E-6</v>
      </c>
      <c r="AM91" s="15">
        <f t="shared" si="193"/>
        <v>-2.6918262728344683E-6</v>
      </c>
      <c r="AN91" s="15">
        <f t="shared" si="193"/>
        <v>-2.7725810610195027E-6</v>
      </c>
      <c r="AO91" s="15">
        <f t="shared" si="193"/>
        <v>-2.8557584928500874E-6</v>
      </c>
      <c r="AP91" s="15">
        <f t="shared" si="193"/>
        <v>-2.9414312476355905E-6</v>
      </c>
      <c r="AQ91" s="15">
        <f t="shared" si="193"/>
        <v>-3.0296741850646581E-6</v>
      </c>
      <c r="AR91" s="15">
        <f t="shared" si="193"/>
        <v>-3.1205644106165973E-6</v>
      </c>
      <c r="AS91" s="15">
        <f t="shared" si="193"/>
        <v>-3.2141813429350959E-6</v>
      </c>
      <c r="AT91" s="15">
        <f t="shared" si="193"/>
        <v>-3.310606783223149E-6</v>
      </c>
      <c r="AU91" s="15">
        <f t="shared" si="193"/>
        <v>-3.4099249867198433E-6</v>
      </c>
      <c r="AV91" s="15">
        <f t="shared" si="193"/>
        <v>-3.5122227363214387E-6</v>
      </c>
      <c r="AW91" s="15">
        <f t="shared" si="193"/>
        <v>-3.6175894184110823E-6</v>
      </c>
    </row>
    <row r="92" spans="2:49" ht="15" customHeight="1">
      <c r="B92" s="1"/>
      <c r="C92" s="1" t="s">
        <v>444</v>
      </c>
      <c r="D92" s="8"/>
      <c r="E92" s="15">
        <f>E103</f>
        <v>0</v>
      </c>
      <c r="F92" s="15">
        <f t="shared" ref="F92:X92" si="194">F103</f>
        <v>0</v>
      </c>
      <c r="G92" s="15">
        <f t="shared" si="194"/>
        <v>0</v>
      </c>
      <c r="H92" s="15">
        <f t="shared" si="194"/>
        <v>0</v>
      </c>
      <c r="I92" s="15">
        <f t="shared" si="194"/>
        <v>0</v>
      </c>
      <c r="J92" s="15">
        <f t="shared" si="194"/>
        <v>0</v>
      </c>
      <c r="K92" s="15">
        <f t="shared" si="194"/>
        <v>0</v>
      </c>
      <c r="L92" s="15">
        <f t="shared" si="194"/>
        <v>0</v>
      </c>
      <c r="M92" s="15">
        <f t="shared" si="194"/>
        <v>0</v>
      </c>
      <c r="N92" s="15">
        <f t="shared" si="194"/>
        <v>0</v>
      </c>
      <c r="O92" s="15">
        <f t="shared" si="194"/>
        <v>0</v>
      </c>
      <c r="P92" s="15">
        <f t="shared" si="194"/>
        <v>0</v>
      </c>
      <c r="Q92" s="15">
        <f t="shared" si="194"/>
        <v>0</v>
      </c>
      <c r="R92" s="15">
        <f t="shared" si="194"/>
        <v>0</v>
      </c>
      <c r="S92" s="15">
        <f t="shared" si="194"/>
        <v>0</v>
      </c>
      <c r="T92" s="15">
        <f t="shared" si="194"/>
        <v>0</v>
      </c>
      <c r="U92" s="15">
        <f t="shared" si="194"/>
        <v>0</v>
      </c>
      <c r="V92" s="15">
        <f t="shared" si="194"/>
        <v>0</v>
      </c>
      <c r="W92" s="15">
        <f t="shared" si="194"/>
        <v>0</v>
      </c>
      <c r="X92" s="15">
        <f t="shared" si="194"/>
        <v>0</v>
      </c>
      <c r="Y92" s="15">
        <f t="shared" ref="Y92:AW92" si="195">Y103</f>
        <v>0</v>
      </c>
      <c r="Z92" s="15">
        <f t="shared" si="195"/>
        <v>0</v>
      </c>
      <c r="AA92" s="15">
        <f t="shared" si="195"/>
        <v>0</v>
      </c>
      <c r="AB92" s="15">
        <f t="shared" si="195"/>
        <v>0</v>
      </c>
      <c r="AC92" s="15">
        <f t="shared" si="195"/>
        <v>0</v>
      </c>
      <c r="AD92" s="15">
        <f t="shared" si="195"/>
        <v>0</v>
      </c>
      <c r="AE92" s="15">
        <f t="shared" si="195"/>
        <v>0</v>
      </c>
      <c r="AF92" s="15">
        <f t="shared" si="195"/>
        <v>0</v>
      </c>
      <c r="AG92" s="15">
        <f t="shared" si="195"/>
        <v>0</v>
      </c>
      <c r="AH92" s="15">
        <f t="shared" si="195"/>
        <v>0</v>
      </c>
      <c r="AI92" s="15">
        <f t="shared" si="195"/>
        <v>0</v>
      </c>
      <c r="AJ92" s="15">
        <f t="shared" si="195"/>
        <v>0</v>
      </c>
      <c r="AK92" s="15">
        <f t="shared" si="195"/>
        <v>0</v>
      </c>
      <c r="AL92" s="15">
        <f t="shared" si="195"/>
        <v>0</v>
      </c>
      <c r="AM92" s="15">
        <f t="shared" si="195"/>
        <v>0</v>
      </c>
      <c r="AN92" s="15">
        <f t="shared" si="195"/>
        <v>0</v>
      </c>
      <c r="AO92" s="15">
        <f t="shared" si="195"/>
        <v>0</v>
      </c>
      <c r="AP92" s="15">
        <f t="shared" si="195"/>
        <v>0</v>
      </c>
      <c r="AQ92" s="15">
        <f t="shared" si="195"/>
        <v>0</v>
      </c>
      <c r="AR92" s="15">
        <f t="shared" si="195"/>
        <v>0</v>
      </c>
      <c r="AS92" s="15">
        <f t="shared" si="195"/>
        <v>0</v>
      </c>
      <c r="AT92" s="15">
        <f t="shared" si="195"/>
        <v>0</v>
      </c>
      <c r="AU92" s="15">
        <f t="shared" si="195"/>
        <v>0</v>
      </c>
      <c r="AV92" s="15">
        <f t="shared" si="195"/>
        <v>0</v>
      </c>
      <c r="AW92" s="15">
        <f t="shared" si="195"/>
        <v>0</v>
      </c>
    </row>
    <row r="93" spans="2:49" ht="15" customHeight="1">
      <c r="B93" s="1"/>
      <c r="C93" s="1" t="s">
        <v>445</v>
      </c>
      <c r="D93" s="1"/>
      <c r="E93" s="29">
        <f>IFERROR(E91/E92,0)</f>
        <v>0</v>
      </c>
      <c r="F93" s="29">
        <f t="shared" ref="F93:X93" si="196">IFERROR(F91/F92,0)</f>
        <v>0</v>
      </c>
      <c r="G93" s="29">
        <f t="shared" si="196"/>
        <v>0</v>
      </c>
      <c r="H93" s="29">
        <f t="shared" si="196"/>
        <v>0</v>
      </c>
      <c r="I93" s="29">
        <f t="shared" si="196"/>
        <v>0</v>
      </c>
      <c r="J93" s="29">
        <f t="shared" si="196"/>
        <v>0</v>
      </c>
      <c r="K93" s="29">
        <f t="shared" si="196"/>
        <v>0</v>
      </c>
      <c r="L93" s="29">
        <f t="shared" si="196"/>
        <v>0</v>
      </c>
      <c r="M93" s="29">
        <f t="shared" si="196"/>
        <v>0</v>
      </c>
      <c r="N93" s="29">
        <f t="shared" si="196"/>
        <v>0</v>
      </c>
      <c r="O93" s="29">
        <f t="shared" si="196"/>
        <v>0</v>
      </c>
      <c r="P93" s="29">
        <f t="shared" si="196"/>
        <v>0</v>
      </c>
      <c r="Q93" s="29">
        <f t="shared" si="196"/>
        <v>0</v>
      </c>
      <c r="R93" s="29">
        <f t="shared" si="196"/>
        <v>0</v>
      </c>
      <c r="S93" s="29">
        <f t="shared" si="196"/>
        <v>0</v>
      </c>
      <c r="T93" s="29">
        <f t="shared" si="196"/>
        <v>0</v>
      </c>
      <c r="U93" s="29">
        <f t="shared" si="196"/>
        <v>0</v>
      </c>
      <c r="V93" s="29">
        <f t="shared" si="196"/>
        <v>0</v>
      </c>
      <c r="W93" s="29">
        <f t="shared" si="196"/>
        <v>0</v>
      </c>
      <c r="X93" s="29">
        <f t="shared" si="196"/>
        <v>0</v>
      </c>
      <c r="Y93" s="29">
        <f t="shared" ref="Y93:AW93" si="197">IFERROR(Y91/Y92,0)</f>
        <v>0</v>
      </c>
      <c r="Z93" s="29">
        <f t="shared" si="197"/>
        <v>0</v>
      </c>
      <c r="AA93" s="29">
        <f t="shared" si="197"/>
        <v>0</v>
      </c>
      <c r="AB93" s="29">
        <f t="shared" si="197"/>
        <v>0</v>
      </c>
      <c r="AC93" s="29">
        <f t="shared" si="197"/>
        <v>0</v>
      </c>
      <c r="AD93" s="29">
        <f t="shared" si="197"/>
        <v>0</v>
      </c>
      <c r="AE93" s="29">
        <f t="shared" si="197"/>
        <v>0</v>
      </c>
      <c r="AF93" s="29">
        <f t="shared" si="197"/>
        <v>0</v>
      </c>
      <c r="AG93" s="29">
        <f t="shared" si="197"/>
        <v>0</v>
      </c>
      <c r="AH93" s="29">
        <f t="shared" si="197"/>
        <v>0</v>
      </c>
      <c r="AI93" s="29">
        <f t="shared" si="197"/>
        <v>0</v>
      </c>
      <c r="AJ93" s="29">
        <f t="shared" si="197"/>
        <v>0</v>
      </c>
      <c r="AK93" s="29">
        <f t="shared" si="197"/>
        <v>0</v>
      </c>
      <c r="AL93" s="29">
        <f t="shared" si="197"/>
        <v>0</v>
      </c>
      <c r="AM93" s="29">
        <f t="shared" si="197"/>
        <v>0</v>
      </c>
      <c r="AN93" s="29">
        <f t="shared" si="197"/>
        <v>0</v>
      </c>
      <c r="AO93" s="29">
        <f t="shared" si="197"/>
        <v>0</v>
      </c>
      <c r="AP93" s="29">
        <f t="shared" si="197"/>
        <v>0</v>
      </c>
      <c r="AQ93" s="29">
        <f t="shared" si="197"/>
        <v>0</v>
      </c>
      <c r="AR93" s="29">
        <f t="shared" si="197"/>
        <v>0</v>
      </c>
      <c r="AS93" s="29">
        <f t="shared" si="197"/>
        <v>0</v>
      </c>
      <c r="AT93" s="29">
        <f t="shared" si="197"/>
        <v>0</v>
      </c>
      <c r="AU93" s="29">
        <f t="shared" si="197"/>
        <v>0</v>
      </c>
      <c r="AV93" s="29">
        <f t="shared" si="197"/>
        <v>0</v>
      </c>
      <c r="AW93" s="29">
        <f t="shared" si="197"/>
        <v>0</v>
      </c>
    </row>
    <row r="94" spans="2:49" ht="15" customHeight="1">
      <c r="B94" s="2" t="s">
        <v>351</v>
      </c>
      <c r="C94" s="2" t="s">
        <v>446</v>
      </c>
      <c r="D94" s="30">
        <f>-'Assumptions &amp; Inputs'!H7*SUM(E65,E67)</f>
        <v>-120</v>
      </c>
      <c r="E94" s="31">
        <f t="shared" ref="E94:X94" si="198">SUM(E91,-E92)</f>
        <v>-44.933277778112299</v>
      </c>
      <c r="F94" s="31">
        <f t="shared" si="198"/>
        <v>11.653750867168352</v>
      </c>
      <c r="G94" s="31">
        <f t="shared" si="198"/>
        <v>11.704306406606662</v>
      </c>
      <c r="H94" s="31">
        <f t="shared" si="198"/>
        <v>11.754579567808145</v>
      </c>
      <c r="I94" s="31">
        <f t="shared" si="198"/>
        <v>11.804544290575567</v>
      </c>
      <c r="J94" s="31">
        <f t="shared" si="198"/>
        <v>11.854173608163897</v>
      </c>
      <c r="K94" s="31">
        <f t="shared" si="198"/>
        <v>11.903439620271467</v>
      </c>
      <c r="L94" s="31">
        <f t="shared" si="198"/>
        <v>11.952313465254143</v>
      </c>
      <c r="M94" s="31">
        <f t="shared" si="198"/>
        <v>12.000765291540169</v>
      </c>
      <c r="N94" s="31">
        <f t="shared" si="198"/>
        <v>12.048764228222648</v>
      </c>
      <c r="O94" s="31">
        <f t="shared" si="198"/>
        <v>12.096278354806007</v>
      </c>
      <c r="P94" s="31">
        <f t="shared" si="198"/>
        <v>12.143274670082064</v>
      </c>
      <c r="Q94" s="31">
        <f t="shared" si="198"/>
        <v>12.189719060110622</v>
      </c>
      <c r="R94" s="31">
        <f t="shared" si="198"/>
        <v>12.235576265278798</v>
      </c>
      <c r="S94" s="31">
        <f t="shared" si="198"/>
        <v>12.280809846412502</v>
      </c>
      <c r="T94" s="31">
        <f t="shared" si="198"/>
        <v>12.325382149912802</v>
      </c>
      <c r="U94" s="31">
        <f t="shared" si="198"/>
        <v>12.369254271888931</v>
      </c>
      <c r="V94" s="31">
        <f t="shared" si="198"/>
        <v>12.412386021259135</v>
      </c>
      <c r="W94" s="31">
        <f t="shared" si="198"/>
        <v>12.454735881789468</v>
      </c>
      <c r="X94" s="31">
        <f t="shared" si="198"/>
        <v>12.496260973039917</v>
      </c>
      <c r="Y94" s="31">
        <f t="shared" ref="Y94:AW94" si="199">SUM(Y91,-Y92)</f>
        <v>12.536917010186308</v>
      </c>
      <c r="Z94" s="31">
        <f t="shared" si="199"/>
        <v>12.576658262685534</v>
      </c>
      <c r="AA94" s="31">
        <f t="shared" si="199"/>
        <v>12.615437511750628</v>
      </c>
      <c r="AB94" s="31">
        <f t="shared" si="199"/>
        <v>12.653206006601398</v>
      </c>
      <c r="AC94" s="31">
        <f t="shared" si="199"/>
        <v>12.689913419455102</v>
      </c>
      <c r="AD94" s="31">
        <f t="shared" si="199"/>
        <v>12.725507799220839</v>
      </c>
      <c r="AE94" s="31">
        <f t="shared" si="199"/>
        <v>-2.1249525169443927E-6</v>
      </c>
      <c r="AF94" s="31">
        <f t="shared" si="199"/>
        <v>-2.1887010924527248E-6</v>
      </c>
      <c r="AG94" s="31">
        <f t="shared" si="199"/>
        <v>-2.2543621252263061E-6</v>
      </c>
      <c r="AH94" s="31">
        <f t="shared" si="199"/>
        <v>-2.3219929889830952E-6</v>
      </c>
      <c r="AI94" s="31">
        <f t="shared" si="199"/>
        <v>-2.3916527786525884E-6</v>
      </c>
      <c r="AJ94" s="31">
        <f t="shared" si="199"/>
        <v>-2.4634023620121658E-6</v>
      </c>
      <c r="AK94" s="31">
        <f t="shared" si="199"/>
        <v>-2.537304432872531E-6</v>
      </c>
      <c r="AL94" s="31">
        <f t="shared" si="199"/>
        <v>-2.6134235658587073E-6</v>
      </c>
      <c r="AM94" s="31">
        <f t="shared" si="199"/>
        <v>-2.6918262728344683E-6</v>
      </c>
      <c r="AN94" s="31">
        <f t="shared" si="199"/>
        <v>-2.7725810610195027E-6</v>
      </c>
      <c r="AO94" s="31">
        <f t="shared" si="199"/>
        <v>-2.8557584928500874E-6</v>
      </c>
      <c r="AP94" s="31">
        <f t="shared" si="199"/>
        <v>-2.9414312476355905E-6</v>
      </c>
      <c r="AQ94" s="31">
        <f t="shared" si="199"/>
        <v>-3.0296741850646581E-6</v>
      </c>
      <c r="AR94" s="31">
        <f t="shared" si="199"/>
        <v>-3.1205644106165973E-6</v>
      </c>
      <c r="AS94" s="31">
        <f t="shared" si="199"/>
        <v>-3.2141813429350959E-6</v>
      </c>
      <c r="AT94" s="31">
        <f t="shared" si="199"/>
        <v>-3.310606783223149E-6</v>
      </c>
      <c r="AU94" s="31">
        <f t="shared" si="199"/>
        <v>-3.4099249867198433E-6</v>
      </c>
      <c r="AV94" s="31">
        <f t="shared" si="199"/>
        <v>-3.5122227363214387E-6</v>
      </c>
      <c r="AW94" s="31">
        <f t="shared" si="199"/>
        <v>-3.6175894184110823E-6</v>
      </c>
    </row>
    <row r="95" spans="2:49" ht="1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2:49" ht="15" customHeight="1">
      <c r="B96" s="1"/>
      <c r="C96" s="1" t="s">
        <v>447</v>
      </c>
      <c r="D96" s="119">
        <v>0</v>
      </c>
      <c r="E96" s="119">
        <f t="shared" ref="E96:X96" si="200">D96+1</f>
        <v>1</v>
      </c>
      <c r="F96" s="119">
        <f t="shared" si="200"/>
        <v>2</v>
      </c>
      <c r="G96" s="119">
        <f t="shared" si="200"/>
        <v>3</v>
      </c>
      <c r="H96" s="119">
        <f t="shared" si="200"/>
        <v>4</v>
      </c>
      <c r="I96" s="119">
        <f t="shared" si="200"/>
        <v>5</v>
      </c>
      <c r="J96" s="119">
        <f t="shared" si="200"/>
        <v>6</v>
      </c>
      <c r="K96" s="119">
        <f t="shared" si="200"/>
        <v>7</v>
      </c>
      <c r="L96" s="119">
        <f t="shared" si="200"/>
        <v>8</v>
      </c>
      <c r="M96" s="119">
        <f t="shared" si="200"/>
        <v>9</v>
      </c>
      <c r="N96" s="119">
        <f t="shared" si="200"/>
        <v>10</v>
      </c>
      <c r="O96" s="119">
        <f t="shared" si="200"/>
        <v>11</v>
      </c>
      <c r="P96" s="119">
        <f t="shared" si="200"/>
        <v>12</v>
      </c>
      <c r="Q96" s="119">
        <f t="shared" si="200"/>
        <v>13</v>
      </c>
      <c r="R96" s="119">
        <f t="shared" si="200"/>
        <v>14</v>
      </c>
      <c r="S96" s="119">
        <f t="shared" si="200"/>
        <v>15</v>
      </c>
      <c r="T96" s="119">
        <f t="shared" si="200"/>
        <v>16</v>
      </c>
      <c r="U96" s="119">
        <f t="shared" si="200"/>
        <v>17</v>
      </c>
      <c r="V96" s="119">
        <f t="shared" si="200"/>
        <v>18</v>
      </c>
      <c r="W96" s="119">
        <f t="shared" si="200"/>
        <v>19</v>
      </c>
      <c r="X96" s="119">
        <f t="shared" si="200"/>
        <v>20</v>
      </c>
      <c r="Y96" s="119">
        <f t="shared" ref="Y96" si="201">X96+1</f>
        <v>21</v>
      </c>
      <c r="Z96" s="119">
        <f t="shared" ref="Z96" si="202">Y96+1</f>
        <v>22</v>
      </c>
      <c r="AA96" s="119">
        <f t="shared" ref="AA96" si="203">Z96+1</f>
        <v>23</v>
      </c>
      <c r="AB96" s="119">
        <f t="shared" ref="AB96" si="204">AA96+1</f>
        <v>24</v>
      </c>
      <c r="AC96" s="119">
        <f t="shared" ref="AC96" si="205">AB96+1</f>
        <v>25</v>
      </c>
      <c r="AD96" s="119">
        <f t="shared" ref="AD96" si="206">AC96+1</f>
        <v>26</v>
      </c>
      <c r="AE96" s="119">
        <f t="shared" ref="AE96" si="207">AD96+1</f>
        <v>27</v>
      </c>
      <c r="AF96" s="119">
        <f t="shared" ref="AF96" si="208">AE96+1</f>
        <v>28</v>
      </c>
      <c r="AG96" s="119">
        <f t="shared" ref="AG96" si="209">AF96+1</f>
        <v>29</v>
      </c>
      <c r="AH96" s="119">
        <f t="shared" ref="AH96" si="210">AG96+1</f>
        <v>30</v>
      </c>
      <c r="AI96" s="119">
        <f t="shared" ref="AI96" si="211">AH96+1</f>
        <v>31</v>
      </c>
      <c r="AJ96" s="119">
        <f t="shared" ref="AJ96" si="212">AI96+1</f>
        <v>32</v>
      </c>
      <c r="AK96" s="119">
        <f t="shared" ref="AK96" si="213">AJ96+1</f>
        <v>33</v>
      </c>
      <c r="AL96" s="119">
        <f t="shared" ref="AL96" si="214">AK96+1</f>
        <v>34</v>
      </c>
      <c r="AM96" s="119">
        <f t="shared" ref="AM96" si="215">AL96+1</f>
        <v>35</v>
      </c>
      <c r="AN96" s="119">
        <f t="shared" ref="AN96" si="216">AM96+1</f>
        <v>36</v>
      </c>
      <c r="AO96" s="119">
        <f t="shared" ref="AO96" si="217">AN96+1</f>
        <v>37</v>
      </c>
      <c r="AP96" s="119">
        <f t="shared" ref="AP96" si="218">AO96+1</f>
        <v>38</v>
      </c>
      <c r="AQ96" s="119">
        <f t="shared" ref="AQ96" si="219">AP96+1</f>
        <v>39</v>
      </c>
      <c r="AR96" s="119">
        <f t="shared" ref="AR96" si="220">AQ96+1</f>
        <v>40</v>
      </c>
      <c r="AS96" s="119">
        <f t="shared" ref="AS96" si="221">AR96+1</f>
        <v>41</v>
      </c>
      <c r="AT96" s="119">
        <f t="shared" ref="AT96" si="222">AS96+1</f>
        <v>42</v>
      </c>
      <c r="AU96" s="119">
        <f t="shared" ref="AU96" si="223">AT96+1</f>
        <v>43</v>
      </c>
      <c r="AV96" s="119">
        <f t="shared" ref="AV96" si="224">AU96+1</f>
        <v>44</v>
      </c>
      <c r="AW96" s="119">
        <f t="shared" ref="AW96" si="225">AV96+1</f>
        <v>45</v>
      </c>
    </row>
    <row r="97" spans="1:49" ht="15" customHeight="1">
      <c r="A97" s="1"/>
      <c r="B97" s="1"/>
      <c r="C97" s="1" t="s">
        <v>448</v>
      </c>
      <c r="D97" s="501">
        <f>IF(D89&lt;=YEAR('Assumptions &amp; Inputs'!$H$29), $E$79, IF(ISNUMBER(C99), C99, 0))</f>
        <v>0</v>
      </c>
      <c r="E97" s="501">
        <f>IF(E89&lt;=YEAR('Assumptions &amp; Inputs'!$H$29), $E$79, IF(ISNUMBER(D99), D99, 0))</f>
        <v>0</v>
      </c>
      <c r="F97" s="501">
        <f>IF(F89&lt;=YEAR('Assumptions &amp; Inputs'!$H$29), $E$79, IF(ISNUMBER(E99), E99, 0))</f>
        <v>0</v>
      </c>
      <c r="G97" s="501">
        <f>IF(G89&lt;=YEAR('Assumptions &amp; Inputs'!$H$29), $E$79, IF(ISNUMBER(F99), F99, 0))</f>
        <v>0</v>
      </c>
      <c r="H97" s="501">
        <f>IF(H89&lt;=YEAR('Assumptions &amp; Inputs'!$H$29), $E$79, IF(ISNUMBER(G99), G99, 0))</f>
        <v>0</v>
      </c>
      <c r="I97" s="501">
        <f>IF(I89&lt;=YEAR('Assumptions &amp; Inputs'!$H$29), $E$79, IF(ISNUMBER(H99), H99, 0))</f>
        <v>0</v>
      </c>
      <c r="J97" s="501">
        <f>IF(J89&lt;=YEAR('Assumptions &amp; Inputs'!$H$29), $E$79, IF(ISNUMBER(I99), I99, 0))</f>
        <v>0</v>
      </c>
      <c r="K97" s="501">
        <f>IF(K89&lt;=YEAR('Assumptions &amp; Inputs'!$H$29), $E$79, IF(ISNUMBER(J99), J99, 0))</f>
        <v>0</v>
      </c>
      <c r="L97" s="501">
        <f>IF(L89&lt;=YEAR('Assumptions &amp; Inputs'!$H$29), $E$79, IF(ISNUMBER(K99), K99, 0))</f>
        <v>0</v>
      </c>
      <c r="M97" s="501">
        <f>IF(M89&lt;=YEAR('Assumptions &amp; Inputs'!$H$29), $E$79, IF(ISNUMBER(L99), L99, 0))</f>
        <v>0</v>
      </c>
      <c r="N97" s="501">
        <f>IF(N89&lt;=YEAR('Assumptions &amp; Inputs'!$H$29), $E$79, IF(ISNUMBER(M99), M99, 0))</f>
        <v>0</v>
      </c>
      <c r="O97" s="501">
        <f>IF(O89&lt;=YEAR('Assumptions &amp; Inputs'!$H$29), $E$79, IF(ISNUMBER(N99), N99, 0))</f>
        <v>0</v>
      </c>
      <c r="P97" s="501">
        <f>IF(P89&lt;=YEAR('Assumptions &amp; Inputs'!$H$29), $E$79, IF(ISNUMBER(O99), O99, 0))</f>
        <v>0</v>
      </c>
      <c r="Q97" s="501">
        <f>IF(Q89&lt;=YEAR('Assumptions &amp; Inputs'!$H$29), $E$79, IF(ISNUMBER(P99), P99, 0))</f>
        <v>0</v>
      </c>
      <c r="R97" s="501">
        <f>IF(R89&lt;=YEAR('Assumptions &amp; Inputs'!$H$29), $E$79, IF(ISNUMBER(Q99), Q99, 0))</f>
        <v>0</v>
      </c>
      <c r="S97" s="501">
        <f>IF(S89&lt;=YEAR('Assumptions &amp; Inputs'!$H$29), $E$79, IF(ISNUMBER(R99), R99, 0))</f>
        <v>0</v>
      </c>
      <c r="T97" s="501">
        <f>IF(T89&lt;=YEAR('Assumptions &amp; Inputs'!$H$29), $E$79, IF(ISNUMBER(S99), S99, 0))</f>
        <v>0</v>
      </c>
      <c r="U97" s="501">
        <f>IF(U89&lt;=YEAR('Assumptions &amp; Inputs'!$H$29), $E$79, IF(ISNUMBER(T99), T99, 0))</f>
        <v>0</v>
      </c>
      <c r="V97" s="501">
        <f>IF(V89&lt;=YEAR('Assumptions &amp; Inputs'!$H$29), $E$79, IF(ISNUMBER(U99), U99, 0))</f>
        <v>0</v>
      </c>
      <c r="W97" s="501">
        <f>IF(W89&lt;=YEAR('Assumptions &amp; Inputs'!$H$29), $E$79, IF(ISNUMBER(V99), V99, 0))</f>
        <v>0</v>
      </c>
      <c r="X97" s="501">
        <f>IF(X89&lt;=YEAR('Assumptions &amp; Inputs'!$H$29), $E$79, IF(ISNUMBER(W99), W99, 0))</f>
        <v>0</v>
      </c>
      <c r="Y97" s="501">
        <f>IF(Y89&lt;=YEAR('Assumptions &amp; Inputs'!$H$29), $E$79, IF(ISNUMBER(X99), X99, 0))</f>
        <v>0</v>
      </c>
      <c r="Z97" s="501">
        <f>IF(Z89&lt;=YEAR('Assumptions &amp; Inputs'!$H$29), $E$79, IF(ISNUMBER(Y99), Y99, 0))</f>
        <v>0</v>
      </c>
      <c r="AA97" s="501">
        <f>IF(AA89&lt;=YEAR('Assumptions &amp; Inputs'!$H$29), $E$79, IF(ISNUMBER(Z99), Z99, 0))</f>
        <v>0</v>
      </c>
      <c r="AB97" s="501">
        <f>IF(AB89&lt;=YEAR('Assumptions &amp; Inputs'!$H$29), $E$79, IF(ISNUMBER(AA99), AA99, 0))</f>
        <v>0</v>
      </c>
      <c r="AC97" s="501">
        <f>IF(AC89&lt;=YEAR('Assumptions &amp; Inputs'!$H$29), $E$79, IF(ISNUMBER(AB99), AB99, 0))</f>
        <v>0</v>
      </c>
      <c r="AD97" s="501">
        <f>IF(AD89&lt;=YEAR('Assumptions &amp; Inputs'!$H$29), $E$79, IF(ISNUMBER(AC99), AC99, 0))</f>
        <v>0</v>
      </c>
      <c r="AE97" s="501">
        <f>IF(AE89&lt;=YEAR('Assumptions &amp; Inputs'!$H$29), $E$79, IF(ISNUMBER(AD99), AD99, 0))</f>
        <v>0</v>
      </c>
      <c r="AF97" s="501">
        <f>IF(AF89&lt;=YEAR('Assumptions &amp; Inputs'!$H$29), $E$79, IF(ISNUMBER(AE99), AE99, 0))</f>
        <v>0</v>
      </c>
      <c r="AG97" s="501">
        <f>IF(AG89&lt;=YEAR('Assumptions &amp; Inputs'!$H$29), $E$79, IF(ISNUMBER(AF99), AF99, 0))</f>
        <v>0</v>
      </c>
      <c r="AH97" s="501">
        <f>IF(AH89&lt;=YEAR('Assumptions &amp; Inputs'!$H$29), $E$79, IF(ISNUMBER(AG99), AG99, 0))</f>
        <v>0</v>
      </c>
      <c r="AI97" s="501">
        <f>IF(AI89&lt;=YEAR('Assumptions &amp; Inputs'!$H$29), $E$79, IF(ISNUMBER(AH99), AH99, 0))</f>
        <v>0</v>
      </c>
      <c r="AJ97" s="501">
        <f>IF(AJ89&lt;=YEAR('Assumptions &amp; Inputs'!$H$29), $E$79, IF(ISNUMBER(AI99), AI99, 0))</f>
        <v>0</v>
      </c>
      <c r="AK97" s="501">
        <f>IF(AK89&lt;=YEAR('Assumptions &amp; Inputs'!$H$29), $E$79, IF(ISNUMBER(AJ99), AJ99, 0))</f>
        <v>0</v>
      </c>
      <c r="AL97" s="501">
        <f>IF(AL89&lt;=YEAR('Assumptions &amp; Inputs'!$H$29), $E$79, IF(ISNUMBER(AK99), AK99, 0))</f>
        <v>0</v>
      </c>
      <c r="AM97" s="501">
        <f>IF(AM89&lt;=YEAR('Assumptions &amp; Inputs'!$H$29), $E$79, IF(ISNUMBER(AL99), AL99, 0))</f>
        <v>0</v>
      </c>
      <c r="AN97" s="501">
        <f>IF(AN89&lt;=YEAR('Assumptions &amp; Inputs'!$H$29), $E$79, IF(ISNUMBER(AM99), AM99, 0))</f>
        <v>0</v>
      </c>
      <c r="AO97" s="501">
        <f>IF(AO89&lt;=YEAR('Assumptions &amp; Inputs'!$H$29), $E$79, IF(ISNUMBER(AN99), AN99, 0))</f>
        <v>0</v>
      </c>
      <c r="AP97" s="501">
        <f>IF(AP89&lt;=YEAR('Assumptions &amp; Inputs'!$H$29), $E$79, IF(ISNUMBER(AO99), AO99, 0))</f>
        <v>0</v>
      </c>
      <c r="AQ97" s="501">
        <f>IF(AQ89&lt;=YEAR('Assumptions &amp; Inputs'!$H$29), $E$79, IF(ISNUMBER(AP99), AP99, 0))</f>
        <v>0</v>
      </c>
      <c r="AR97" s="501">
        <f>IF(AR89&lt;=YEAR('Assumptions &amp; Inputs'!$H$29), $E$79, IF(ISNUMBER(AQ99), AQ99, 0))</f>
        <v>0</v>
      </c>
      <c r="AS97" s="501">
        <f>IF(AS89&lt;=YEAR('Assumptions &amp; Inputs'!$H$29), $E$79, IF(ISNUMBER(AR99), AR99, 0))</f>
        <v>0</v>
      </c>
      <c r="AT97" s="501">
        <f>IF(AT89&lt;=YEAR('Assumptions &amp; Inputs'!$H$29), $E$79, IF(ISNUMBER(AS99), AS99, 0))</f>
        <v>0</v>
      </c>
      <c r="AU97" s="501">
        <f>IF(AU89&lt;=YEAR('Assumptions &amp; Inputs'!$H$29), $E$79, IF(ISNUMBER(AT99), AT99, 0))</f>
        <v>0</v>
      </c>
      <c r="AV97" s="501">
        <f>IF(AV89&lt;=YEAR('Assumptions &amp; Inputs'!$H$29), $E$79, IF(ISNUMBER(AU99), AU99, 0))</f>
        <v>0</v>
      </c>
      <c r="AW97" s="501">
        <f>IF(AW89&lt;=YEAR('Assumptions &amp; Inputs'!$H$29), $E$79, IF(ISNUMBER(AV99), AV99, 0))</f>
        <v>0</v>
      </c>
    </row>
    <row r="98" spans="1:49" ht="15" customHeight="1">
      <c r="A98" s="1"/>
      <c r="B98" s="1"/>
      <c r="C98" s="1" t="s">
        <v>449</v>
      </c>
      <c r="D98" s="501"/>
      <c r="E98" s="501">
        <f>IFERROR(PPMT('Assumptions &amp; Inputs'!$H$10,E89-YEAR('Assumptions &amp; Inputs'!$H$29),'Assumptions &amp; Inputs'!$H$9,$E$79), 0)</f>
        <v>0</v>
      </c>
      <c r="F98" s="501">
        <f>IFERROR(PPMT('Assumptions &amp; Inputs'!$H$10,F89-YEAR('Assumptions &amp; Inputs'!$H$29),'Assumptions &amp; Inputs'!$H$9,$E$79), 0)</f>
        <v>0</v>
      </c>
      <c r="G98" s="501">
        <f>IFERROR(PPMT('Assumptions &amp; Inputs'!$H$10,G89-YEAR('Assumptions &amp; Inputs'!$H$29),'Assumptions &amp; Inputs'!$H$9,$E$79), 0)</f>
        <v>0</v>
      </c>
      <c r="H98" s="501">
        <f>IFERROR(PPMT('Assumptions &amp; Inputs'!$H$10,H89-YEAR('Assumptions &amp; Inputs'!$H$29),'Assumptions &amp; Inputs'!$H$9,$E$79), 0)</f>
        <v>0</v>
      </c>
      <c r="I98" s="501">
        <f>IFERROR(PPMT('Assumptions &amp; Inputs'!$H$10,I89-YEAR('Assumptions &amp; Inputs'!$H$29),'Assumptions &amp; Inputs'!$H$9,$E$79), 0)</f>
        <v>0</v>
      </c>
      <c r="J98" s="501">
        <f>IFERROR(PPMT('Assumptions &amp; Inputs'!$H$10,J89-YEAR('Assumptions &amp; Inputs'!$H$29),'Assumptions &amp; Inputs'!$H$9,$E$79), 0)</f>
        <v>0</v>
      </c>
      <c r="K98" s="501">
        <f>IFERROR(PPMT('Assumptions &amp; Inputs'!$H$10,K89-YEAR('Assumptions &amp; Inputs'!$H$29),'Assumptions &amp; Inputs'!$H$9,$E$79), 0)</f>
        <v>0</v>
      </c>
      <c r="L98" s="501">
        <f>IFERROR(PPMT('Assumptions &amp; Inputs'!$H$10,L89-YEAR('Assumptions &amp; Inputs'!$H$29),'Assumptions &amp; Inputs'!$H$9,$E$79), 0)</f>
        <v>0</v>
      </c>
      <c r="M98" s="501">
        <f>IFERROR(PPMT('Assumptions &amp; Inputs'!$H$10,M89-YEAR('Assumptions &amp; Inputs'!$H$29),'Assumptions &amp; Inputs'!$H$9,$E$79), 0)</f>
        <v>0</v>
      </c>
      <c r="N98" s="501">
        <f>IFERROR(PPMT('Assumptions &amp; Inputs'!$H$10,N89-YEAR('Assumptions &amp; Inputs'!$H$29),'Assumptions &amp; Inputs'!$H$9,$E$79), 0)</f>
        <v>0</v>
      </c>
      <c r="O98" s="501">
        <f>IFERROR(PPMT('Assumptions &amp; Inputs'!$H$10,O89-YEAR('Assumptions &amp; Inputs'!$H$29),'Assumptions &amp; Inputs'!$H$9,$E$79), 0)</f>
        <v>0</v>
      </c>
      <c r="P98" s="501">
        <f>IFERROR(PPMT('Assumptions &amp; Inputs'!$H$10,P89-YEAR('Assumptions &amp; Inputs'!$H$29),'Assumptions &amp; Inputs'!$H$9,$E$79), 0)</f>
        <v>0</v>
      </c>
      <c r="Q98" s="501">
        <f>IFERROR(PPMT('Assumptions &amp; Inputs'!$H$10,Q89-YEAR('Assumptions &amp; Inputs'!$H$29),'Assumptions &amp; Inputs'!$H$9,$E$79), 0)</f>
        <v>0</v>
      </c>
      <c r="R98" s="501">
        <f>IFERROR(PPMT('Assumptions &amp; Inputs'!$H$10,R89-YEAR('Assumptions &amp; Inputs'!$H$29),'Assumptions &amp; Inputs'!$H$9,$E$79), 0)</f>
        <v>0</v>
      </c>
      <c r="S98" s="501">
        <f>IFERROR(PPMT('Assumptions &amp; Inputs'!$H$10,S89-YEAR('Assumptions &amp; Inputs'!$H$29),'Assumptions &amp; Inputs'!$H$9,$E$79), 0)</f>
        <v>0</v>
      </c>
      <c r="T98" s="501">
        <f>IFERROR(PPMT('Assumptions &amp; Inputs'!$H$10,T89-YEAR('Assumptions &amp; Inputs'!$H$29),'Assumptions &amp; Inputs'!$H$9,$E$79), 0)</f>
        <v>0</v>
      </c>
      <c r="U98" s="501">
        <f>IFERROR(PPMT('Assumptions &amp; Inputs'!$H$10,U89-YEAR('Assumptions &amp; Inputs'!$H$29),'Assumptions &amp; Inputs'!$H$9,$E$79), 0)</f>
        <v>0</v>
      </c>
      <c r="V98" s="501">
        <f>IFERROR(PPMT('Assumptions &amp; Inputs'!$H$10,V89-YEAR('Assumptions &amp; Inputs'!$H$29),'Assumptions &amp; Inputs'!$H$9,$E$79), 0)</f>
        <v>0</v>
      </c>
      <c r="W98" s="501">
        <f>IFERROR(PPMT('Assumptions &amp; Inputs'!$H$10,W89-YEAR('Assumptions &amp; Inputs'!$H$29),'Assumptions &amp; Inputs'!$H$9,$E$79), 0)</f>
        <v>0</v>
      </c>
      <c r="X98" s="501">
        <f>IFERROR(PPMT('Assumptions &amp; Inputs'!$H$10,X89-YEAR('Assumptions &amp; Inputs'!$H$29),'Assumptions &amp; Inputs'!$H$9,$E$79), 0)</f>
        <v>0</v>
      </c>
      <c r="Y98" s="501">
        <f>IFERROR(PPMT('Assumptions &amp; Inputs'!$H$10,Y89-YEAR('Assumptions &amp; Inputs'!$H$29),'Assumptions &amp; Inputs'!$H$9,$E$79), 0)</f>
        <v>0</v>
      </c>
      <c r="Z98" s="501">
        <f>IFERROR(PPMT('Assumptions &amp; Inputs'!$H$10,Z89-YEAR('Assumptions &amp; Inputs'!$H$29),'Assumptions &amp; Inputs'!$H$9,$E$79), 0)</f>
        <v>0</v>
      </c>
      <c r="AA98" s="501">
        <f>IFERROR(PPMT('Assumptions &amp; Inputs'!$H$10,AA89-YEAR('Assumptions &amp; Inputs'!$H$29),'Assumptions &amp; Inputs'!$H$9,$E$79), 0)</f>
        <v>0</v>
      </c>
      <c r="AB98" s="501">
        <f>IFERROR(PPMT('Assumptions &amp; Inputs'!$H$10,AB89-YEAR('Assumptions &amp; Inputs'!$H$29),'Assumptions &amp; Inputs'!$H$9,$E$79), 0)</f>
        <v>0</v>
      </c>
      <c r="AC98" s="501">
        <f>IFERROR(PPMT('Assumptions &amp; Inputs'!$H$10,AC89-YEAR('Assumptions &amp; Inputs'!$H$29),'Assumptions &amp; Inputs'!$H$9,$E$79), 0)</f>
        <v>0</v>
      </c>
      <c r="AD98" s="501">
        <f>IFERROR(PPMT('Assumptions &amp; Inputs'!$H$10,AD89-YEAR('Assumptions &amp; Inputs'!$H$29),'Assumptions &amp; Inputs'!$H$9,$E$79), 0)</f>
        <v>0</v>
      </c>
      <c r="AE98" s="501">
        <f>IFERROR(PPMT('Assumptions &amp; Inputs'!$H$10,AE89-YEAR('Assumptions &amp; Inputs'!$H$29),'Assumptions &amp; Inputs'!$H$9,$E$79), 0)</f>
        <v>0</v>
      </c>
      <c r="AF98" s="501">
        <f>IFERROR(PPMT('Assumptions &amp; Inputs'!$H$10,AF89-YEAR('Assumptions &amp; Inputs'!$H$29),'Assumptions &amp; Inputs'!$H$9,$E$79), 0)</f>
        <v>0</v>
      </c>
      <c r="AG98" s="501">
        <f>IFERROR(PPMT('Assumptions &amp; Inputs'!$H$10,AG89-YEAR('Assumptions &amp; Inputs'!$H$29),'Assumptions &amp; Inputs'!$H$9,$E$79), 0)</f>
        <v>0</v>
      </c>
      <c r="AH98" s="501">
        <f>IFERROR(PPMT('Assumptions &amp; Inputs'!$H$10,AH89-YEAR('Assumptions &amp; Inputs'!$H$29),'Assumptions &amp; Inputs'!$H$9,$E$79), 0)</f>
        <v>0</v>
      </c>
      <c r="AI98" s="501">
        <f>IFERROR(PPMT('Assumptions &amp; Inputs'!$H$10,AI89-YEAR('Assumptions &amp; Inputs'!$H$29),'Assumptions &amp; Inputs'!$H$9,$E$79), 0)</f>
        <v>0</v>
      </c>
      <c r="AJ98" s="501">
        <f>IFERROR(PPMT('Assumptions &amp; Inputs'!$H$10,AJ89-YEAR('Assumptions &amp; Inputs'!$H$29),'Assumptions &amp; Inputs'!$H$9,$E$79), 0)</f>
        <v>0</v>
      </c>
      <c r="AK98" s="501">
        <f>IFERROR(PPMT('Assumptions &amp; Inputs'!$H$10,AK89-YEAR('Assumptions &amp; Inputs'!$H$29),'Assumptions &amp; Inputs'!$H$9,$E$79), 0)</f>
        <v>0</v>
      </c>
      <c r="AL98" s="501">
        <f>IFERROR(PPMT('Assumptions &amp; Inputs'!$H$10,AL89-YEAR('Assumptions &amp; Inputs'!$H$29),'Assumptions &amp; Inputs'!$H$9,$E$79), 0)</f>
        <v>0</v>
      </c>
      <c r="AM98" s="501">
        <f>IFERROR(PPMT('Assumptions &amp; Inputs'!$H$10,AM89-YEAR('Assumptions &amp; Inputs'!$H$29),'Assumptions &amp; Inputs'!$H$9,$E$79), 0)</f>
        <v>0</v>
      </c>
      <c r="AN98" s="501">
        <f>IFERROR(PPMT('Assumptions &amp; Inputs'!$H$10,AN89-YEAR('Assumptions &amp; Inputs'!$H$29),'Assumptions &amp; Inputs'!$H$9,$E$79), 0)</f>
        <v>0</v>
      </c>
      <c r="AO98" s="501">
        <f>IFERROR(PPMT('Assumptions &amp; Inputs'!$H$10,AO89-YEAR('Assumptions &amp; Inputs'!$H$29),'Assumptions &amp; Inputs'!$H$9,$E$79), 0)</f>
        <v>0</v>
      </c>
      <c r="AP98" s="501">
        <f>IFERROR(PPMT('Assumptions &amp; Inputs'!$H$10,AP89-YEAR('Assumptions &amp; Inputs'!$H$29),'Assumptions &amp; Inputs'!$H$9,$E$79), 0)</f>
        <v>0</v>
      </c>
      <c r="AQ98" s="501">
        <f>IFERROR(PPMT('Assumptions &amp; Inputs'!$H$10,AQ89-YEAR('Assumptions &amp; Inputs'!$H$29),'Assumptions &amp; Inputs'!$H$9,$E$79), 0)</f>
        <v>0</v>
      </c>
      <c r="AR98" s="501">
        <f>IFERROR(PPMT('Assumptions &amp; Inputs'!$H$10,AR89-YEAR('Assumptions &amp; Inputs'!$H$29),'Assumptions &amp; Inputs'!$H$9,$E$79), 0)</f>
        <v>0</v>
      </c>
      <c r="AS98" s="501">
        <f>IFERROR(PPMT('Assumptions &amp; Inputs'!$H$10,AS89-YEAR('Assumptions &amp; Inputs'!$H$29),'Assumptions &amp; Inputs'!$H$9,$E$79), 0)</f>
        <v>0</v>
      </c>
      <c r="AT98" s="501">
        <f>IFERROR(PPMT('Assumptions &amp; Inputs'!$H$10,AT89-YEAR('Assumptions &amp; Inputs'!$H$29),'Assumptions &amp; Inputs'!$H$9,$E$79), 0)</f>
        <v>0</v>
      </c>
      <c r="AU98" s="501">
        <f>IFERROR(PPMT('Assumptions &amp; Inputs'!$H$10,AU89-YEAR('Assumptions &amp; Inputs'!$H$29),'Assumptions &amp; Inputs'!$H$9,$E$79), 0)</f>
        <v>0</v>
      </c>
      <c r="AV98" s="501">
        <f>IFERROR(PPMT('Assumptions &amp; Inputs'!$H$10,AV89-YEAR('Assumptions &amp; Inputs'!$H$29),'Assumptions &amp; Inputs'!$H$9,$E$79), 0)</f>
        <v>0</v>
      </c>
      <c r="AW98" s="501">
        <f>IFERROR(PPMT('Assumptions &amp; Inputs'!$H$10,AW89-YEAR('Assumptions &amp; Inputs'!$H$29),'Assumptions &amp; Inputs'!$H$9,$E$79), 0)</f>
        <v>0</v>
      </c>
    </row>
    <row r="99" spans="1:49" ht="15" customHeight="1">
      <c r="A99" s="1"/>
      <c r="B99" s="1"/>
      <c r="C99" s="1" t="s">
        <v>450</v>
      </c>
      <c r="D99" s="501">
        <f>D97</f>
        <v>0</v>
      </c>
      <c r="E99" s="501">
        <f>SUM(E97:E98)</f>
        <v>0</v>
      </c>
      <c r="F99" s="501">
        <f t="shared" ref="F99:AW99" si="226">SUM(F97:F98)</f>
        <v>0</v>
      </c>
      <c r="G99" s="501">
        <f t="shared" si="226"/>
        <v>0</v>
      </c>
      <c r="H99" s="501">
        <f t="shared" si="226"/>
        <v>0</v>
      </c>
      <c r="I99" s="501">
        <f t="shared" si="226"/>
        <v>0</v>
      </c>
      <c r="J99" s="501">
        <f t="shared" si="226"/>
        <v>0</v>
      </c>
      <c r="K99" s="501">
        <f t="shared" si="226"/>
        <v>0</v>
      </c>
      <c r="L99" s="501">
        <f t="shared" si="226"/>
        <v>0</v>
      </c>
      <c r="M99" s="501">
        <f t="shared" si="226"/>
        <v>0</v>
      </c>
      <c r="N99" s="501">
        <f t="shared" si="226"/>
        <v>0</v>
      </c>
      <c r="O99" s="501">
        <f t="shared" si="226"/>
        <v>0</v>
      </c>
      <c r="P99" s="501">
        <f t="shared" si="226"/>
        <v>0</v>
      </c>
      <c r="Q99" s="501">
        <f t="shared" si="226"/>
        <v>0</v>
      </c>
      <c r="R99" s="501">
        <f t="shared" si="226"/>
        <v>0</v>
      </c>
      <c r="S99" s="501">
        <f t="shared" si="226"/>
        <v>0</v>
      </c>
      <c r="T99" s="501">
        <f t="shared" si="226"/>
        <v>0</v>
      </c>
      <c r="U99" s="501">
        <f t="shared" si="226"/>
        <v>0</v>
      </c>
      <c r="V99" s="501">
        <f t="shared" si="226"/>
        <v>0</v>
      </c>
      <c r="W99" s="501">
        <f t="shared" si="226"/>
        <v>0</v>
      </c>
      <c r="X99" s="501">
        <f t="shared" si="226"/>
        <v>0</v>
      </c>
      <c r="Y99" s="501">
        <f t="shared" si="226"/>
        <v>0</v>
      </c>
      <c r="Z99" s="501">
        <f t="shared" si="226"/>
        <v>0</v>
      </c>
      <c r="AA99" s="501">
        <f t="shared" si="226"/>
        <v>0</v>
      </c>
      <c r="AB99" s="501">
        <f t="shared" si="226"/>
        <v>0</v>
      </c>
      <c r="AC99" s="501">
        <f t="shared" si="226"/>
        <v>0</v>
      </c>
      <c r="AD99" s="501">
        <f t="shared" si="226"/>
        <v>0</v>
      </c>
      <c r="AE99" s="501">
        <f t="shared" si="226"/>
        <v>0</v>
      </c>
      <c r="AF99" s="501">
        <f t="shared" si="226"/>
        <v>0</v>
      </c>
      <c r="AG99" s="501">
        <f t="shared" si="226"/>
        <v>0</v>
      </c>
      <c r="AH99" s="501">
        <f t="shared" si="226"/>
        <v>0</v>
      </c>
      <c r="AI99" s="501">
        <f t="shared" si="226"/>
        <v>0</v>
      </c>
      <c r="AJ99" s="501">
        <f t="shared" si="226"/>
        <v>0</v>
      </c>
      <c r="AK99" s="501">
        <f t="shared" si="226"/>
        <v>0</v>
      </c>
      <c r="AL99" s="501">
        <f t="shared" si="226"/>
        <v>0</v>
      </c>
      <c r="AM99" s="501">
        <f t="shared" si="226"/>
        <v>0</v>
      </c>
      <c r="AN99" s="501">
        <f t="shared" si="226"/>
        <v>0</v>
      </c>
      <c r="AO99" s="501">
        <f t="shared" si="226"/>
        <v>0</v>
      </c>
      <c r="AP99" s="501">
        <f t="shared" si="226"/>
        <v>0</v>
      </c>
      <c r="AQ99" s="501">
        <f t="shared" si="226"/>
        <v>0</v>
      </c>
      <c r="AR99" s="501">
        <f t="shared" si="226"/>
        <v>0</v>
      </c>
      <c r="AS99" s="501">
        <f t="shared" si="226"/>
        <v>0</v>
      </c>
      <c r="AT99" s="501">
        <f t="shared" si="226"/>
        <v>0</v>
      </c>
      <c r="AU99" s="501">
        <f t="shared" si="226"/>
        <v>0</v>
      </c>
      <c r="AV99" s="501">
        <f t="shared" si="226"/>
        <v>0</v>
      </c>
      <c r="AW99" s="501">
        <f t="shared" si="226"/>
        <v>0</v>
      </c>
    </row>
    <row r="100" spans="1:4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5" customHeight="1">
      <c r="A101" s="1"/>
      <c r="B101" s="1"/>
      <c r="C101" s="1" t="s">
        <v>451</v>
      </c>
      <c r="D101" s="1"/>
      <c r="E101" s="8">
        <f>IFERROR(-IPMT('Assumptions &amp; Inputs'!$H$10,E89-YEAR('Assumptions &amp; Inputs'!$H$29),'Assumptions &amp; Inputs'!$H$9,$E$79), 0)</f>
        <v>0</v>
      </c>
      <c r="F101" s="8">
        <f>IFERROR(-IPMT('Assumptions &amp; Inputs'!$H$10,F89-YEAR('Assumptions &amp; Inputs'!$H$29),'Assumptions &amp; Inputs'!$H$9,$E$79), 0)</f>
        <v>0</v>
      </c>
      <c r="G101" s="8">
        <f>IFERROR(-IPMT('Assumptions &amp; Inputs'!$H$10,G89-YEAR('Assumptions &amp; Inputs'!$H$29),'Assumptions &amp; Inputs'!$H$9,$E$79), 0)</f>
        <v>0</v>
      </c>
      <c r="H101" s="8">
        <f>IFERROR(-IPMT('Assumptions &amp; Inputs'!$H$10,H89-YEAR('Assumptions &amp; Inputs'!$H$29),'Assumptions &amp; Inputs'!$H$9,$E$79), 0)</f>
        <v>0</v>
      </c>
      <c r="I101" s="8">
        <f>IFERROR(-IPMT('Assumptions &amp; Inputs'!$H$10,I89-YEAR('Assumptions &amp; Inputs'!$H$29),'Assumptions &amp; Inputs'!$H$9,$E$79), 0)</f>
        <v>0</v>
      </c>
      <c r="J101" s="8">
        <f>IFERROR(-IPMT('Assumptions &amp; Inputs'!$H$10,J89-YEAR('Assumptions &amp; Inputs'!$H$29),'Assumptions &amp; Inputs'!$H$9,$E$79), 0)</f>
        <v>0</v>
      </c>
      <c r="K101" s="8">
        <f>IFERROR(-IPMT('Assumptions &amp; Inputs'!$H$10,K89-YEAR('Assumptions &amp; Inputs'!$H$29),'Assumptions &amp; Inputs'!$H$9,$E$79), 0)</f>
        <v>0</v>
      </c>
      <c r="L101" s="8">
        <f>IFERROR(-IPMT('Assumptions &amp; Inputs'!$H$10,L89-YEAR('Assumptions &amp; Inputs'!$H$29),'Assumptions &amp; Inputs'!$H$9,$E$79), 0)</f>
        <v>0</v>
      </c>
      <c r="M101" s="8">
        <f>IFERROR(-IPMT('Assumptions &amp; Inputs'!$H$10,M89-YEAR('Assumptions &amp; Inputs'!$H$29),'Assumptions &amp; Inputs'!$H$9,$E$79), 0)</f>
        <v>0</v>
      </c>
      <c r="N101" s="8">
        <f>IFERROR(-IPMT('Assumptions &amp; Inputs'!$H$10,N89-YEAR('Assumptions &amp; Inputs'!$H$29),'Assumptions &amp; Inputs'!$H$9,$E$79), 0)</f>
        <v>0</v>
      </c>
      <c r="O101" s="8">
        <f>IFERROR(-IPMT('Assumptions &amp; Inputs'!$H$10,O89-YEAR('Assumptions &amp; Inputs'!$H$29),'Assumptions &amp; Inputs'!$H$9,$E$79), 0)</f>
        <v>0</v>
      </c>
      <c r="P101" s="8">
        <f>IFERROR(-IPMT('Assumptions &amp; Inputs'!$H$10,P89-YEAR('Assumptions &amp; Inputs'!$H$29),'Assumptions &amp; Inputs'!$H$9,$E$79), 0)</f>
        <v>0</v>
      </c>
      <c r="Q101" s="8">
        <f>IFERROR(-IPMT('Assumptions &amp; Inputs'!$H$10,Q89-YEAR('Assumptions &amp; Inputs'!$H$29),'Assumptions &amp; Inputs'!$H$9,$E$79), 0)</f>
        <v>0</v>
      </c>
      <c r="R101" s="8">
        <f>IFERROR(-IPMT('Assumptions &amp; Inputs'!$H$10,R89-YEAR('Assumptions &amp; Inputs'!$H$29),'Assumptions &amp; Inputs'!$H$9,$E$79), 0)</f>
        <v>0</v>
      </c>
      <c r="S101" s="8">
        <f>IFERROR(-IPMT('Assumptions &amp; Inputs'!$H$10,S89-YEAR('Assumptions &amp; Inputs'!$H$29),'Assumptions &amp; Inputs'!$H$9,$E$79), 0)</f>
        <v>0</v>
      </c>
      <c r="T101" s="8">
        <f>IFERROR(-IPMT('Assumptions &amp; Inputs'!$H$10,T89-YEAR('Assumptions &amp; Inputs'!$H$29),'Assumptions &amp; Inputs'!$H$9,$E$79), 0)</f>
        <v>0</v>
      </c>
      <c r="U101" s="8">
        <f>IFERROR(-IPMT('Assumptions &amp; Inputs'!$H$10,U89-YEAR('Assumptions &amp; Inputs'!$H$29),'Assumptions &amp; Inputs'!$H$9,$E$79), 0)</f>
        <v>0</v>
      </c>
      <c r="V101" s="8">
        <f>IFERROR(-IPMT('Assumptions &amp; Inputs'!$H$10,V89-YEAR('Assumptions &amp; Inputs'!$H$29),'Assumptions &amp; Inputs'!$H$9,$E$79), 0)</f>
        <v>0</v>
      </c>
      <c r="W101" s="8">
        <f>IFERROR(-IPMT('Assumptions &amp; Inputs'!$H$10,W89-YEAR('Assumptions &amp; Inputs'!$H$29),'Assumptions &amp; Inputs'!$H$9,$E$79), 0)</f>
        <v>0</v>
      </c>
      <c r="X101" s="8">
        <f>IFERROR(-IPMT('Assumptions &amp; Inputs'!$H$10,X89-YEAR('Assumptions &amp; Inputs'!$H$29),'Assumptions &amp; Inputs'!$H$9,$E$79), 0)</f>
        <v>0</v>
      </c>
      <c r="Y101" s="8">
        <f>IFERROR(-IPMT('Assumptions &amp; Inputs'!$H$10,Y89-YEAR('Assumptions &amp; Inputs'!$H$29),'Assumptions &amp; Inputs'!$H$9,$E$79), 0)</f>
        <v>0</v>
      </c>
      <c r="Z101" s="8">
        <f>IFERROR(-IPMT('Assumptions &amp; Inputs'!$H$10,Z89-YEAR('Assumptions &amp; Inputs'!$H$29),'Assumptions &amp; Inputs'!$H$9,$E$79), 0)</f>
        <v>0</v>
      </c>
      <c r="AA101" s="8">
        <f>IFERROR(-IPMT('Assumptions &amp; Inputs'!$H$10,AA89-YEAR('Assumptions &amp; Inputs'!$H$29),'Assumptions &amp; Inputs'!$H$9,$E$79), 0)</f>
        <v>0</v>
      </c>
      <c r="AB101" s="8">
        <f>IFERROR(-IPMT('Assumptions &amp; Inputs'!$H$10,AB89-YEAR('Assumptions &amp; Inputs'!$H$29),'Assumptions &amp; Inputs'!$H$9,$E$79), 0)</f>
        <v>0</v>
      </c>
      <c r="AC101" s="8">
        <f>IFERROR(-IPMT('Assumptions &amp; Inputs'!$H$10,AC89-YEAR('Assumptions &amp; Inputs'!$H$29),'Assumptions &amp; Inputs'!$H$9,$E$79), 0)</f>
        <v>0</v>
      </c>
      <c r="AD101" s="8">
        <f>IFERROR(-IPMT('Assumptions &amp; Inputs'!$H$10,AD89-YEAR('Assumptions &amp; Inputs'!$H$29),'Assumptions &amp; Inputs'!$H$9,$E$79), 0)</f>
        <v>0</v>
      </c>
      <c r="AE101" s="8">
        <f>IFERROR(-IPMT('Assumptions &amp; Inputs'!$H$10,AE89-YEAR('Assumptions &amp; Inputs'!$H$29),'Assumptions &amp; Inputs'!$H$9,$E$79), 0)</f>
        <v>0</v>
      </c>
      <c r="AF101" s="8">
        <f>IFERROR(-IPMT('Assumptions &amp; Inputs'!$H$10,AF89-YEAR('Assumptions &amp; Inputs'!$H$29),'Assumptions &amp; Inputs'!$H$9,$E$79), 0)</f>
        <v>0</v>
      </c>
      <c r="AG101" s="8">
        <f>IFERROR(-IPMT('Assumptions &amp; Inputs'!$H$10,AG89-YEAR('Assumptions &amp; Inputs'!$H$29),'Assumptions &amp; Inputs'!$H$9,$E$79), 0)</f>
        <v>0</v>
      </c>
      <c r="AH101" s="8">
        <f>IFERROR(-IPMT('Assumptions &amp; Inputs'!$H$10,AH89-YEAR('Assumptions &amp; Inputs'!$H$29),'Assumptions &amp; Inputs'!$H$9,$E$79), 0)</f>
        <v>0</v>
      </c>
      <c r="AI101" s="8">
        <f>IFERROR(-IPMT('Assumptions &amp; Inputs'!$H$10,AI89-YEAR('Assumptions &amp; Inputs'!$H$29),'Assumptions &amp; Inputs'!$H$9,$E$79), 0)</f>
        <v>0</v>
      </c>
      <c r="AJ101" s="8">
        <f>IFERROR(-IPMT('Assumptions &amp; Inputs'!$H$10,AJ89-YEAR('Assumptions &amp; Inputs'!$H$29),'Assumptions &amp; Inputs'!$H$9,$E$79), 0)</f>
        <v>0</v>
      </c>
      <c r="AK101" s="8">
        <f>IFERROR(-IPMT('Assumptions &amp; Inputs'!$H$10,AK89-YEAR('Assumptions &amp; Inputs'!$H$29),'Assumptions &amp; Inputs'!$H$9,$E$79), 0)</f>
        <v>0</v>
      </c>
      <c r="AL101" s="8">
        <f>IFERROR(-IPMT('Assumptions &amp; Inputs'!$H$10,AL89-YEAR('Assumptions &amp; Inputs'!$H$29),'Assumptions &amp; Inputs'!$H$9,$E$79), 0)</f>
        <v>0</v>
      </c>
      <c r="AM101" s="8">
        <f>IFERROR(-IPMT('Assumptions &amp; Inputs'!$H$10,AM89-YEAR('Assumptions &amp; Inputs'!$H$29),'Assumptions &amp; Inputs'!$H$9,$E$79), 0)</f>
        <v>0</v>
      </c>
      <c r="AN101" s="8">
        <f>IFERROR(-IPMT('Assumptions &amp; Inputs'!$H$10,AN89-YEAR('Assumptions &amp; Inputs'!$H$29),'Assumptions &amp; Inputs'!$H$9,$E$79), 0)</f>
        <v>0</v>
      </c>
      <c r="AO101" s="8">
        <f>IFERROR(-IPMT('Assumptions &amp; Inputs'!$H$10,AO89-YEAR('Assumptions &amp; Inputs'!$H$29),'Assumptions &amp; Inputs'!$H$9,$E$79), 0)</f>
        <v>0</v>
      </c>
      <c r="AP101" s="8">
        <f>IFERROR(-IPMT('Assumptions &amp; Inputs'!$H$10,AP89-YEAR('Assumptions &amp; Inputs'!$H$29),'Assumptions &amp; Inputs'!$H$9,$E$79), 0)</f>
        <v>0</v>
      </c>
      <c r="AQ101" s="8">
        <f>IFERROR(-IPMT('Assumptions &amp; Inputs'!$H$10,AQ89-YEAR('Assumptions &amp; Inputs'!$H$29),'Assumptions &amp; Inputs'!$H$9,$E$79), 0)</f>
        <v>0</v>
      </c>
      <c r="AR101" s="8">
        <f>IFERROR(-IPMT('Assumptions &amp; Inputs'!$H$10,AR89-YEAR('Assumptions &amp; Inputs'!$H$29),'Assumptions &amp; Inputs'!$H$9,$E$79), 0)</f>
        <v>0</v>
      </c>
      <c r="AS101" s="8">
        <f>IFERROR(-IPMT('Assumptions &amp; Inputs'!$H$10,AS89-YEAR('Assumptions &amp; Inputs'!$H$29),'Assumptions &amp; Inputs'!$H$9,$E$79), 0)</f>
        <v>0</v>
      </c>
      <c r="AT101" s="8">
        <f>IFERROR(-IPMT('Assumptions &amp; Inputs'!$H$10,AT89-YEAR('Assumptions &amp; Inputs'!$H$29),'Assumptions &amp; Inputs'!$H$9,$E$79), 0)</f>
        <v>0</v>
      </c>
      <c r="AU101" s="8">
        <f>IFERROR(-IPMT('Assumptions &amp; Inputs'!$H$10,AU89-YEAR('Assumptions &amp; Inputs'!$H$29),'Assumptions &amp; Inputs'!$H$9,$E$79), 0)</f>
        <v>0</v>
      </c>
      <c r="AV101" s="8">
        <f>IFERROR(-IPMT('Assumptions &amp; Inputs'!$H$10,AV89-YEAR('Assumptions &amp; Inputs'!$H$29),'Assumptions &amp; Inputs'!$H$9,$E$79), 0)</f>
        <v>0</v>
      </c>
      <c r="AW101" s="8">
        <f>IFERROR(-IPMT('Assumptions &amp; Inputs'!$H$10,AW89-YEAR('Assumptions &amp; Inputs'!$H$29),'Assumptions &amp; Inputs'!$H$9,$E$79), 0)</f>
        <v>0</v>
      </c>
    </row>
    <row r="102" spans="1:49" ht="15" customHeight="1">
      <c r="A102" s="1"/>
      <c r="B102" s="1"/>
      <c r="C102" s="1" t="s">
        <v>452</v>
      </c>
      <c r="D102" s="1"/>
      <c r="E102" s="8">
        <f t="shared" ref="E102:AW102" si="227">-E98</f>
        <v>0</v>
      </c>
      <c r="F102" s="8">
        <f t="shared" si="227"/>
        <v>0</v>
      </c>
      <c r="G102" s="8">
        <f t="shared" si="227"/>
        <v>0</v>
      </c>
      <c r="H102" s="8">
        <f t="shared" si="227"/>
        <v>0</v>
      </c>
      <c r="I102" s="8">
        <f t="shared" si="227"/>
        <v>0</v>
      </c>
      <c r="J102" s="8">
        <f t="shared" si="227"/>
        <v>0</v>
      </c>
      <c r="K102" s="8">
        <f t="shared" si="227"/>
        <v>0</v>
      </c>
      <c r="L102" s="8">
        <f t="shared" si="227"/>
        <v>0</v>
      </c>
      <c r="M102" s="8">
        <f t="shared" si="227"/>
        <v>0</v>
      </c>
      <c r="N102" s="8">
        <f t="shared" si="227"/>
        <v>0</v>
      </c>
      <c r="O102" s="8">
        <f t="shared" si="227"/>
        <v>0</v>
      </c>
      <c r="P102" s="8">
        <f t="shared" si="227"/>
        <v>0</v>
      </c>
      <c r="Q102" s="8">
        <f t="shared" si="227"/>
        <v>0</v>
      </c>
      <c r="R102" s="8">
        <f t="shared" si="227"/>
        <v>0</v>
      </c>
      <c r="S102" s="8">
        <f t="shared" si="227"/>
        <v>0</v>
      </c>
      <c r="T102" s="8">
        <f t="shared" si="227"/>
        <v>0</v>
      </c>
      <c r="U102" s="8">
        <f t="shared" si="227"/>
        <v>0</v>
      </c>
      <c r="V102" s="8">
        <f t="shared" si="227"/>
        <v>0</v>
      </c>
      <c r="W102" s="8">
        <f t="shared" si="227"/>
        <v>0</v>
      </c>
      <c r="X102" s="8">
        <f t="shared" si="227"/>
        <v>0</v>
      </c>
      <c r="Y102" s="8">
        <f t="shared" si="227"/>
        <v>0</v>
      </c>
      <c r="Z102" s="8">
        <f t="shared" si="227"/>
        <v>0</v>
      </c>
      <c r="AA102" s="8">
        <f t="shared" si="227"/>
        <v>0</v>
      </c>
      <c r="AB102" s="8">
        <f t="shared" si="227"/>
        <v>0</v>
      </c>
      <c r="AC102" s="8">
        <f t="shared" si="227"/>
        <v>0</v>
      </c>
      <c r="AD102" s="8">
        <f t="shared" si="227"/>
        <v>0</v>
      </c>
      <c r="AE102" s="8">
        <f t="shared" si="227"/>
        <v>0</v>
      </c>
      <c r="AF102" s="8">
        <f t="shared" si="227"/>
        <v>0</v>
      </c>
      <c r="AG102" s="8">
        <f t="shared" si="227"/>
        <v>0</v>
      </c>
      <c r="AH102" s="8">
        <f t="shared" si="227"/>
        <v>0</v>
      </c>
      <c r="AI102" s="8">
        <f t="shared" si="227"/>
        <v>0</v>
      </c>
      <c r="AJ102" s="8">
        <f t="shared" si="227"/>
        <v>0</v>
      </c>
      <c r="AK102" s="8">
        <f t="shared" si="227"/>
        <v>0</v>
      </c>
      <c r="AL102" s="8">
        <f t="shared" si="227"/>
        <v>0</v>
      </c>
      <c r="AM102" s="8">
        <f t="shared" si="227"/>
        <v>0</v>
      </c>
      <c r="AN102" s="8">
        <f t="shared" si="227"/>
        <v>0</v>
      </c>
      <c r="AO102" s="8">
        <f t="shared" si="227"/>
        <v>0</v>
      </c>
      <c r="AP102" s="8">
        <f t="shared" si="227"/>
        <v>0</v>
      </c>
      <c r="AQ102" s="8">
        <f t="shared" si="227"/>
        <v>0</v>
      </c>
      <c r="AR102" s="8">
        <f t="shared" si="227"/>
        <v>0</v>
      </c>
      <c r="AS102" s="8">
        <f t="shared" si="227"/>
        <v>0</v>
      </c>
      <c r="AT102" s="8">
        <f t="shared" si="227"/>
        <v>0</v>
      </c>
      <c r="AU102" s="8">
        <f t="shared" si="227"/>
        <v>0</v>
      </c>
      <c r="AV102" s="8">
        <f t="shared" si="227"/>
        <v>0</v>
      </c>
      <c r="AW102" s="8">
        <f t="shared" si="227"/>
        <v>0</v>
      </c>
    </row>
    <row r="103" spans="1:49" ht="15" customHeight="1">
      <c r="A103" s="1"/>
      <c r="B103" s="1" t="s">
        <v>351</v>
      </c>
      <c r="C103" s="2" t="s">
        <v>444</v>
      </c>
      <c r="D103" s="2"/>
      <c r="E103" s="31">
        <f t="shared" ref="E103:AW103" si="228">SUM(E101:E102)</f>
        <v>0</v>
      </c>
      <c r="F103" s="31">
        <f t="shared" si="228"/>
        <v>0</v>
      </c>
      <c r="G103" s="31">
        <f t="shared" si="228"/>
        <v>0</v>
      </c>
      <c r="H103" s="31">
        <f t="shared" si="228"/>
        <v>0</v>
      </c>
      <c r="I103" s="31">
        <f t="shared" si="228"/>
        <v>0</v>
      </c>
      <c r="J103" s="31">
        <f t="shared" si="228"/>
        <v>0</v>
      </c>
      <c r="K103" s="31">
        <f t="shared" si="228"/>
        <v>0</v>
      </c>
      <c r="L103" s="31">
        <f t="shared" si="228"/>
        <v>0</v>
      </c>
      <c r="M103" s="31">
        <f t="shared" si="228"/>
        <v>0</v>
      </c>
      <c r="N103" s="31">
        <f t="shared" si="228"/>
        <v>0</v>
      </c>
      <c r="O103" s="31">
        <f t="shared" si="228"/>
        <v>0</v>
      </c>
      <c r="P103" s="31">
        <f t="shared" si="228"/>
        <v>0</v>
      </c>
      <c r="Q103" s="31">
        <f t="shared" si="228"/>
        <v>0</v>
      </c>
      <c r="R103" s="31">
        <f t="shared" si="228"/>
        <v>0</v>
      </c>
      <c r="S103" s="31">
        <f t="shared" si="228"/>
        <v>0</v>
      </c>
      <c r="T103" s="31">
        <f t="shared" si="228"/>
        <v>0</v>
      </c>
      <c r="U103" s="31">
        <f t="shared" si="228"/>
        <v>0</v>
      </c>
      <c r="V103" s="31">
        <f t="shared" si="228"/>
        <v>0</v>
      </c>
      <c r="W103" s="31">
        <f t="shared" si="228"/>
        <v>0</v>
      </c>
      <c r="X103" s="31">
        <f t="shared" si="228"/>
        <v>0</v>
      </c>
      <c r="Y103" s="31">
        <f t="shared" si="228"/>
        <v>0</v>
      </c>
      <c r="Z103" s="31">
        <f t="shared" si="228"/>
        <v>0</v>
      </c>
      <c r="AA103" s="31">
        <f t="shared" si="228"/>
        <v>0</v>
      </c>
      <c r="AB103" s="31">
        <f t="shared" si="228"/>
        <v>0</v>
      </c>
      <c r="AC103" s="31">
        <f t="shared" si="228"/>
        <v>0</v>
      </c>
      <c r="AD103" s="31">
        <f t="shared" si="228"/>
        <v>0</v>
      </c>
      <c r="AE103" s="31">
        <f t="shared" si="228"/>
        <v>0</v>
      </c>
      <c r="AF103" s="31">
        <f t="shared" si="228"/>
        <v>0</v>
      </c>
      <c r="AG103" s="31">
        <f t="shared" si="228"/>
        <v>0</v>
      </c>
      <c r="AH103" s="31">
        <f t="shared" si="228"/>
        <v>0</v>
      </c>
      <c r="AI103" s="31">
        <f t="shared" si="228"/>
        <v>0</v>
      </c>
      <c r="AJ103" s="31">
        <f t="shared" si="228"/>
        <v>0</v>
      </c>
      <c r="AK103" s="31">
        <f t="shared" si="228"/>
        <v>0</v>
      </c>
      <c r="AL103" s="31">
        <f t="shared" si="228"/>
        <v>0</v>
      </c>
      <c r="AM103" s="31">
        <f t="shared" si="228"/>
        <v>0</v>
      </c>
      <c r="AN103" s="31">
        <f t="shared" si="228"/>
        <v>0</v>
      </c>
      <c r="AO103" s="31">
        <f t="shared" si="228"/>
        <v>0</v>
      </c>
      <c r="AP103" s="31">
        <f t="shared" si="228"/>
        <v>0</v>
      </c>
      <c r="AQ103" s="31">
        <f t="shared" si="228"/>
        <v>0</v>
      </c>
      <c r="AR103" s="31">
        <f t="shared" si="228"/>
        <v>0</v>
      </c>
      <c r="AS103" s="31">
        <f t="shared" si="228"/>
        <v>0</v>
      </c>
      <c r="AT103" s="31">
        <f t="shared" si="228"/>
        <v>0</v>
      </c>
      <c r="AU103" s="31">
        <f t="shared" si="228"/>
        <v>0</v>
      </c>
      <c r="AV103" s="31">
        <f t="shared" si="228"/>
        <v>0</v>
      </c>
      <c r="AW103" s="31">
        <f t="shared" si="228"/>
        <v>0</v>
      </c>
    </row>
    <row r="104" spans="1:4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8.75" customHeight="1" thickBot="1">
      <c r="A106" s="1" t="s">
        <v>351</v>
      </c>
      <c r="B106" s="1"/>
      <c r="C106" s="9" t="s">
        <v>475</v>
      </c>
      <c r="D106" s="9"/>
      <c r="E106" s="10"/>
      <c r="F106" s="10"/>
      <c r="G106" s="10"/>
      <c r="H106" s="10"/>
      <c r="I106" s="10"/>
      <c r="J106" s="1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ht="15" customHeight="1">
      <c r="A107" s="1"/>
      <c r="B107" s="1"/>
      <c r="C107" s="12" t="s">
        <v>353</v>
      </c>
      <c r="D107" s="123">
        <v>1</v>
      </c>
      <c r="E107" s="123">
        <v>1</v>
      </c>
      <c r="F107" s="123">
        <v>1</v>
      </c>
      <c r="G107" s="123">
        <v>1</v>
      </c>
      <c r="H107" s="123">
        <v>1</v>
      </c>
      <c r="I107" s="123">
        <v>2</v>
      </c>
      <c r="J107" s="123">
        <v>2</v>
      </c>
      <c r="K107" s="123">
        <v>2</v>
      </c>
      <c r="L107" s="123">
        <v>2</v>
      </c>
      <c r="M107" s="123">
        <v>3</v>
      </c>
      <c r="N107" s="123">
        <v>3</v>
      </c>
      <c r="O107" s="123">
        <v>3</v>
      </c>
      <c r="P107" s="123">
        <v>3</v>
      </c>
      <c r="Q107" s="123">
        <v>4</v>
      </c>
      <c r="R107" s="123">
        <v>4</v>
      </c>
      <c r="S107" s="123">
        <v>4</v>
      </c>
      <c r="T107" s="123">
        <v>4</v>
      </c>
      <c r="U107" s="123">
        <v>5</v>
      </c>
      <c r="V107" s="123">
        <v>5</v>
      </c>
      <c r="W107" s="123">
        <v>5</v>
      </c>
      <c r="X107" s="123">
        <v>5</v>
      </c>
      <c r="Y107" s="123">
        <v>6</v>
      </c>
      <c r="Z107" s="123">
        <v>7</v>
      </c>
      <c r="AA107" s="123">
        <v>8</v>
      </c>
      <c r="AB107" s="123">
        <v>9</v>
      </c>
      <c r="AC107" s="123">
        <v>10</v>
      </c>
      <c r="AD107" s="123">
        <v>11</v>
      </c>
      <c r="AE107" s="123">
        <v>12</v>
      </c>
      <c r="AF107" s="123">
        <v>13</v>
      </c>
      <c r="AG107" s="123">
        <v>14</v>
      </c>
      <c r="AH107" s="123">
        <v>15</v>
      </c>
      <c r="AI107" s="123">
        <v>16</v>
      </c>
      <c r="AJ107" s="123">
        <v>17</v>
      </c>
      <c r="AK107" s="123">
        <v>18</v>
      </c>
      <c r="AL107" s="123">
        <v>19</v>
      </c>
      <c r="AM107" s="123">
        <v>20</v>
      </c>
      <c r="AN107" s="123">
        <v>21</v>
      </c>
      <c r="AO107" s="123">
        <v>22</v>
      </c>
      <c r="AP107" s="123">
        <v>23</v>
      </c>
      <c r="AQ107" s="123">
        <v>24</v>
      </c>
      <c r="AR107" s="123">
        <v>25</v>
      </c>
      <c r="AS107" s="123">
        <v>26</v>
      </c>
      <c r="AT107" s="123">
        <v>27</v>
      </c>
      <c r="AU107" s="123">
        <v>28</v>
      </c>
      <c r="AV107" s="123">
        <v>29</v>
      </c>
      <c r="AW107" s="123">
        <v>30</v>
      </c>
    </row>
    <row r="108" spans="1:49" ht="15" customHeight="1">
      <c r="A108" s="1"/>
      <c r="B108" s="1"/>
      <c r="C108" s="1"/>
      <c r="D108" s="43">
        <v>0</v>
      </c>
      <c r="E108" s="119">
        <f t="shared" ref="E108:X108" si="229">D108+1</f>
        <v>1</v>
      </c>
      <c r="F108" s="119">
        <f t="shared" si="229"/>
        <v>2</v>
      </c>
      <c r="G108" s="119">
        <f t="shared" si="229"/>
        <v>3</v>
      </c>
      <c r="H108" s="119">
        <f t="shared" si="229"/>
        <v>4</v>
      </c>
      <c r="I108" s="119">
        <f t="shared" si="229"/>
        <v>5</v>
      </c>
      <c r="J108" s="119">
        <f t="shared" si="229"/>
        <v>6</v>
      </c>
      <c r="K108" s="119">
        <f t="shared" si="229"/>
        <v>7</v>
      </c>
      <c r="L108" s="119">
        <f t="shared" si="229"/>
        <v>8</v>
      </c>
      <c r="M108" s="119">
        <f t="shared" si="229"/>
        <v>9</v>
      </c>
      <c r="N108" s="119">
        <f t="shared" si="229"/>
        <v>10</v>
      </c>
      <c r="O108" s="119">
        <f t="shared" si="229"/>
        <v>11</v>
      </c>
      <c r="P108" s="119">
        <f t="shared" si="229"/>
        <v>12</v>
      </c>
      <c r="Q108" s="119">
        <f t="shared" si="229"/>
        <v>13</v>
      </c>
      <c r="R108" s="119">
        <f t="shared" si="229"/>
        <v>14</v>
      </c>
      <c r="S108" s="119">
        <f t="shared" si="229"/>
        <v>15</v>
      </c>
      <c r="T108" s="119">
        <f t="shared" si="229"/>
        <v>16</v>
      </c>
      <c r="U108" s="119">
        <f t="shared" si="229"/>
        <v>17</v>
      </c>
      <c r="V108" s="119">
        <f t="shared" si="229"/>
        <v>18</v>
      </c>
      <c r="W108" s="119">
        <f t="shared" si="229"/>
        <v>19</v>
      </c>
      <c r="X108" s="119">
        <f t="shared" si="229"/>
        <v>20</v>
      </c>
      <c r="Y108" s="119">
        <f t="shared" ref="Y108" si="230">X108+1</f>
        <v>21</v>
      </c>
      <c r="Z108" s="119">
        <f t="shared" ref="Z108" si="231">Y108+1</f>
        <v>22</v>
      </c>
      <c r="AA108" s="119">
        <f t="shared" ref="AA108" si="232">Z108+1</f>
        <v>23</v>
      </c>
      <c r="AB108" s="119">
        <f t="shared" ref="AB108" si="233">AA108+1</f>
        <v>24</v>
      </c>
      <c r="AC108" s="119">
        <f t="shared" ref="AC108" si="234">AB108+1</f>
        <v>25</v>
      </c>
      <c r="AD108" s="119">
        <f t="shared" ref="AD108" si="235">AC108+1</f>
        <v>26</v>
      </c>
      <c r="AE108" s="119">
        <f t="shared" ref="AE108" si="236">AD108+1</f>
        <v>27</v>
      </c>
      <c r="AF108" s="119">
        <f t="shared" ref="AF108" si="237">AE108+1</f>
        <v>28</v>
      </c>
      <c r="AG108" s="119">
        <f t="shared" ref="AG108" si="238">AF108+1</f>
        <v>29</v>
      </c>
      <c r="AH108" s="119">
        <f t="shared" ref="AH108" si="239">AG108+1</f>
        <v>30</v>
      </c>
      <c r="AI108" s="119">
        <f t="shared" ref="AI108" si="240">AH108+1</f>
        <v>31</v>
      </c>
      <c r="AJ108" s="119">
        <f t="shared" ref="AJ108" si="241">AI108+1</f>
        <v>32</v>
      </c>
      <c r="AK108" s="119">
        <f t="shared" ref="AK108" si="242">AJ108+1</f>
        <v>33</v>
      </c>
      <c r="AL108" s="119">
        <f t="shared" ref="AL108" si="243">AK108+1</f>
        <v>34</v>
      </c>
      <c r="AM108" s="119">
        <f t="shared" ref="AM108" si="244">AL108+1</f>
        <v>35</v>
      </c>
      <c r="AN108" s="119">
        <f t="shared" ref="AN108" si="245">AM108+1</f>
        <v>36</v>
      </c>
      <c r="AO108" s="119">
        <f t="shared" ref="AO108" si="246">AN108+1</f>
        <v>37</v>
      </c>
      <c r="AP108" s="119">
        <f t="shared" ref="AP108" si="247">AO108+1</f>
        <v>38</v>
      </c>
      <c r="AQ108" s="119">
        <f t="shared" ref="AQ108" si="248">AP108+1</f>
        <v>39</v>
      </c>
      <c r="AR108" s="119">
        <f t="shared" ref="AR108" si="249">AQ108+1</f>
        <v>40</v>
      </c>
      <c r="AS108" s="119">
        <f t="shared" ref="AS108" si="250">AR108+1</f>
        <v>41</v>
      </c>
      <c r="AT108" s="119">
        <f t="shared" ref="AT108" si="251">AS108+1</f>
        <v>42</v>
      </c>
      <c r="AU108" s="119">
        <f t="shared" ref="AU108" si="252">AT108+1</f>
        <v>43</v>
      </c>
      <c r="AV108" s="119">
        <f t="shared" ref="AV108" si="253">AU108+1</f>
        <v>44</v>
      </c>
      <c r="AW108" s="119">
        <f t="shared" ref="AW108" si="254">AV108+1</f>
        <v>45</v>
      </c>
    </row>
    <row r="109" spans="1:49" ht="15" customHeight="1">
      <c r="A109" s="44"/>
      <c r="B109" s="44"/>
      <c r="C109" s="45"/>
      <c r="D109" s="2"/>
      <c r="E109" s="807" t="s">
        <v>354</v>
      </c>
      <c r="F109" s="820"/>
      <c r="G109" s="820"/>
      <c r="H109" s="820"/>
      <c r="I109" s="820"/>
      <c r="J109" s="820"/>
      <c r="K109" s="820"/>
      <c r="L109" s="820"/>
      <c r="M109" s="820"/>
      <c r="N109" s="820"/>
      <c r="O109" s="820"/>
      <c r="P109" s="8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</row>
    <row r="110" spans="1:49" ht="15" customHeight="1">
      <c r="A110" s="44"/>
      <c r="B110" s="44"/>
      <c r="C110" s="46"/>
      <c r="D110" s="3">
        <f>D89</f>
        <v>2026</v>
      </c>
      <c r="E110" s="120">
        <f t="shared" ref="E110:X110" si="255">D110+1</f>
        <v>2027</v>
      </c>
      <c r="F110" s="120">
        <f t="shared" si="255"/>
        <v>2028</v>
      </c>
      <c r="G110" s="120">
        <f t="shared" si="255"/>
        <v>2029</v>
      </c>
      <c r="H110" s="120">
        <f t="shared" si="255"/>
        <v>2030</v>
      </c>
      <c r="I110" s="120">
        <f t="shared" si="255"/>
        <v>2031</v>
      </c>
      <c r="J110" s="120">
        <f t="shared" si="255"/>
        <v>2032</v>
      </c>
      <c r="K110" s="120">
        <f t="shared" si="255"/>
        <v>2033</v>
      </c>
      <c r="L110" s="120">
        <f t="shared" si="255"/>
        <v>2034</v>
      </c>
      <c r="M110" s="120">
        <f t="shared" si="255"/>
        <v>2035</v>
      </c>
      <c r="N110" s="120">
        <f t="shared" si="255"/>
        <v>2036</v>
      </c>
      <c r="O110" s="120">
        <f t="shared" si="255"/>
        <v>2037</v>
      </c>
      <c r="P110" s="120">
        <f t="shared" si="255"/>
        <v>2038</v>
      </c>
      <c r="Q110" s="120">
        <f t="shared" si="255"/>
        <v>2039</v>
      </c>
      <c r="R110" s="120">
        <f t="shared" si="255"/>
        <v>2040</v>
      </c>
      <c r="S110" s="120">
        <f t="shared" si="255"/>
        <v>2041</v>
      </c>
      <c r="T110" s="120">
        <f t="shared" si="255"/>
        <v>2042</v>
      </c>
      <c r="U110" s="120">
        <f t="shared" si="255"/>
        <v>2043</v>
      </c>
      <c r="V110" s="120">
        <f t="shared" si="255"/>
        <v>2044</v>
      </c>
      <c r="W110" s="120">
        <f t="shared" si="255"/>
        <v>2045</v>
      </c>
      <c r="X110" s="120">
        <f t="shared" si="255"/>
        <v>2046</v>
      </c>
      <c r="Y110" s="120">
        <f t="shared" ref="Y110" si="256">X110+1</f>
        <v>2047</v>
      </c>
      <c r="Z110" s="120">
        <f t="shared" ref="Z110" si="257">Y110+1</f>
        <v>2048</v>
      </c>
      <c r="AA110" s="120">
        <f t="shared" ref="AA110" si="258">Z110+1</f>
        <v>2049</v>
      </c>
      <c r="AB110" s="120">
        <f t="shared" ref="AB110" si="259">AA110+1</f>
        <v>2050</v>
      </c>
      <c r="AC110" s="120">
        <f t="shared" ref="AC110" si="260">AB110+1</f>
        <v>2051</v>
      </c>
      <c r="AD110" s="120">
        <f t="shared" ref="AD110" si="261">AC110+1</f>
        <v>2052</v>
      </c>
      <c r="AE110" s="120">
        <f t="shared" ref="AE110" si="262">AD110+1</f>
        <v>2053</v>
      </c>
      <c r="AF110" s="120">
        <f t="shared" ref="AF110" si="263">AE110+1</f>
        <v>2054</v>
      </c>
      <c r="AG110" s="120">
        <f t="shared" ref="AG110" si="264">AF110+1</f>
        <v>2055</v>
      </c>
      <c r="AH110" s="120">
        <f t="shared" ref="AH110" si="265">AG110+1</f>
        <v>2056</v>
      </c>
      <c r="AI110" s="120">
        <f t="shared" ref="AI110" si="266">AH110+1</f>
        <v>2057</v>
      </c>
      <c r="AJ110" s="120">
        <f t="shared" ref="AJ110" si="267">AI110+1</f>
        <v>2058</v>
      </c>
      <c r="AK110" s="120">
        <f t="shared" ref="AK110" si="268">AJ110+1</f>
        <v>2059</v>
      </c>
      <c r="AL110" s="120">
        <f t="shared" ref="AL110" si="269">AK110+1</f>
        <v>2060</v>
      </c>
      <c r="AM110" s="120">
        <f t="shared" ref="AM110" si="270">AL110+1</f>
        <v>2061</v>
      </c>
      <c r="AN110" s="120">
        <f t="shared" ref="AN110" si="271">AM110+1</f>
        <v>2062</v>
      </c>
      <c r="AO110" s="120">
        <f t="shared" ref="AO110" si="272">AN110+1</f>
        <v>2063</v>
      </c>
      <c r="AP110" s="120">
        <f t="shared" ref="AP110" si="273">AO110+1</f>
        <v>2064</v>
      </c>
      <c r="AQ110" s="120">
        <f t="shared" ref="AQ110" si="274">AP110+1</f>
        <v>2065</v>
      </c>
      <c r="AR110" s="120">
        <f t="shared" ref="AR110" si="275">AQ110+1</f>
        <v>2066</v>
      </c>
      <c r="AS110" s="120">
        <f t="shared" ref="AS110" si="276">AR110+1</f>
        <v>2067</v>
      </c>
      <c r="AT110" s="120">
        <f t="shared" ref="AT110" si="277">AS110+1</f>
        <v>2068</v>
      </c>
      <c r="AU110" s="120">
        <f t="shared" ref="AU110" si="278">AT110+1</f>
        <v>2069</v>
      </c>
      <c r="AV110" s="120">
        <f t="shared" ref="AV110" si="279">AU110+1</f>
        <v>2070</v>
      </c>
      <c r="AW110" s="120">
        <f t="shared" ref="AW110" si="280">AV110+1</f>
        <v>2071</v>
      </c>
    </row>
    <row r="111" spans="1:49" ht="15" customHeight="1">
      <c r="A111" s="44"/>
      <c r="B111" s="44"/>
      <c r="C111" s="44"/>
      <c r="D111" s="42">
        <f>D90</f>
        <v>46023</v>
      </c>
      <c r="E111" s="42">
        <f t="shared" ref="E111:X111" si="281">E90</f>
        <v>46752</v>
      </c>
      <c r="F111" s="42">
        <f t="shared" si="281"/>
        <v>47118</v>
      </c>
      <c r="G111" s="42">
        <f t="shared" si="281"/>
        <v>47483</v>
      </c>
      <c r="H111" s="42">
        <f t="shared" si="281"/>
        <v>47848</v>
      </c>
      <c r="I111" s="42">
        <f t="shared" si="281"/>
        <v>48213</v>
      </c>
      <c r="J111" s="42">
        <f t="shared" si="281"/>
        <v>48579</v>
      </c>
      <c r="K111" s="42">
        <f t="shared" si="281"/>
        <v>48944</v>
      </c>
      <c r="L111" s="42">
        <f t="shared" si="281"/>
        <v>49309</v>
      </c>
      <c r="M111" s="42">
        <f t="shared" si="281"/>
        <v>49674</v>
      </c>
      <c r="N111" s="42">
        <f t="shared" si="281"/>
        <v>50040</v>
      </c>
      <c r="O111" s="42">
        <f t="shared" si="281"/>
        <v>50405</v>
      </c>
      <c r="P111" s="42">
        <f t="shared" si="281"/>
        <v>50770</v>
      </c>
      <c r="Q111" s="42">
        <f t="shared" si="281"/>
        <v>51135</v>
      </c>
      <c r="R111" s="42">
        <f t="shared" si="281"/>
        <v>51501</v>
      </c>
      <c r="S111" s="42">
        <f t="shared" si="281"/>
        <v>51866</v>
      </c>
      <c r="T111" s="42">
        <f t="shared" si="281"/>
        <v>52231</v>
      </c>
      <c r="U111" s="42">
        <f t="shared" si="281"/>
        <v>52596</v>
      </c>
      <c r="V111" s="42">
        <f t="shared" si="281"/>
        <v>52962</v>
      </c>
      <c r="W111" s="42">
        <f t="shared" si="281"/>
        <v>53327</v>
      </c>
      <c r="X111" s="42">
        <f t="shared" si="281"/>
        <v>53692</v>
      </c>
      <c r="Y111" s="42">
        <f t="shared" ref="Y111:AW111" si="282">Y90</f>
        <v>54057</v>
      </c>
      <c r="Z111" s="42">
        <f t="shared" si="282"/>
        <v>54423</v>
      </c>
      <c r="AA111" s="42">
        <f t="shared" si="282"/>
        <v>54788</v>
      </c>
      <c r="AB111" s="42">
        <f t="shared" si="282"/>
        <v>55153</v>
      </c>
      <c r="AC111" s="42">
        <f t="shared" si="282"/>
        <v>55518</v>
      </c>
      <c r="AD111" s="42">
        <f t="shared" si="282"/>
        <v>55884</v>
      </c>
      <c r="AE111" s="42">
        <f t="shared" si="282"/>
        <v>56249</v>
      </c>
      <c r="AF111" s="42">
        <f t="shared" si="282"/>
        <v>56614</v>
      </c>
      <c r="AG111" s="42">
        <f t="shared" si="282"/>
        <v>56979</v>
      </c>
      <c r="AH111" s="42">
        <f t="shared" si="282"/>
        <v>57345</v>
      </c>
      <c r="AI111" s="42">
        <f t="shared" si="282"/>
        <v>57710</v>
      </c>
      <c r="AJ111" s="42">
        <f t="shared" si="282"/>
        <v>58075</v>
      </c>
      <c r="AK111" s="42">
        <f t="shared" si="282"/>
        <v>58440</v>
      </c>
      <c r="AL111" s="42">
        <f t="shared" si="282"/>
        <v>58806</v>
      </c>
      <c r="AM111" s="42">
        <f t="shared" si="282"/>
        <v>59171</v>
      </c>
      <c r="AN111" s="42">
        <f t="shared" si="282"/>
        <v>59536</v>
      </c>
      <c r="AO111" s="42">
        <f t="shared" si="282"/>
        <v>59901</v>
      </c>
      <c r="AP111" s="42">
        <f t="shared" si="282"/>
        <v>60267</v>
      </c>
      <c r="AQ111" s="42">
        <f t="shared" si="282"/>
        <v>60632</v>
      </c>
      <c r="AR111" s="42">
        <f t="shared" si="282"/>
        <v>60997</v>
      </c>
      <c r="AS111" s="42">
        <f t="shared" si="282"/>
        <v>61362</v>
      </c>
      <c r="AT111" s="42">
        <f t="shared" si="282"/>
        <v>61728</v>
      </c>
      <c r="AU111" s="42">
        <f t="shared" si="282"/>
        <v>62093</v>
      </c>
      <c r="AV111" s="42">
        <f t="shared" si="282"/>
        <v>62458</v>
      </c>
      <c r="AW111" s="42">
        <f t="shared" si="282"/>
        <v>62823</v>
      </c>
    </row>
    <row r="112" spans="1:49" ht="15" customHeight="1">
      <c r="A112" s="44"/>
      <c r="B112" s="44"/>
      <c r="C112" s="136" t="s">
        <v>467</v>
      </c>
      <c r="D112" s="47">
        <f>_xlfn.XLOOKUP(D110, 'Power Summary'!$C$46:$AV$46, 'Power Summary'!$C$47:$AV$47)</f>
        <v>60</v>
      </c>
      <c r="E112" s="47">
        <f>_xlfn.XLOOKUP(E110, 'Power Summary'!$C$46:$AV$46, 'Power Summary'!$C$47:$AV$47)</f>
        <v>61.2</v>
      </c>
      <c r="F112" s="47">
        <f>_xlfn.XLOOKUP(F110, 'Power Summary'!$C$46:$AV$46, 'Power Summary'!$C$47:$AV$47)</f>
        <v>62.423999999999999</v>
      </c>
      <c r="G112" s="47">
        <f>_xlfn.XLOOKUP(G110, 'Power Summary'!$C$46:$AV$46, 'Power Summary'!$C$47:$AV$47)</f>
        <v>63.672479999999993</v>
      </c>
      <c r="H112" s="47">
        <f>_xlfn.XLOOKUP(H110, 'Power Summary'!$C$46:$AV$46, 'Power Summary'!$C$47:$AV$47)</f>
        <v>64.945929599999999</v>
      </c>
      <c r="I112" s="47">
        <f>_xlfn.XLOOKUP(I110, 'Power Summary'!$C$46:$AV$46, 'Power Summary'!$C$47:$AV$47)</f>
        <v>66.244848192000006</v>
      </c>
      <c r="J112" s="47">
        <f>_xlfn.XLOOKUP(J110, 'Power Summary'!$C$46:$AV$46, 'Power Summary'!$C$47:$AV$47)</f>
        <v>67.56974515584001</v>
      </c>
      <c r="K112" s="47">
        <f>_xlfn.XLOOKUP(K110, 'Power Summary'!$C$46:$AV$46, 'Power Summary'!$C$47:$AV$47)</f>
        <v>68.921140058956794</v>
      </c>
      <c r="L112" s="47">
        <f>_xlfn.XLOOKUP(L110, 'Power Summary'!$C$46:$AV$46, 'Power Summary'!$C$47:$AV$47)</f>
        <v>70.299562860135936</v>
      </c>
      <c r="M112" s="47">
        <f>_xlfn.XLOOKUP(M110, 'Power Summary'!$C$46:$AV$46, 'Power Summary'!$C$47:$AV$47)</f>
        <v>71.70555411733865</v>
      </c>
      <c r="N112" s="47">
        <f>_xlfn.XLOOKUP(N110, 'Power Summary'!$C$46:$AV$46, 'Power Summary'!$C$47:$AV$47)</f>
        <v>73.139665199685425</v>
      </c>
      <c r="O112" s="47">
        <f>_xlfn.XLOOKUP(O110, 'Power Summary'!$C$46:$AV$46, 'Power Summary'!$C$47:$AV$47)</f>
        <v>74.602458503679117</v>
      </c>
      <c r="P112" s="47">
        <f>_xlfn.XLOOKUP(P110, 'Power Summary'!$C$46:$AV$46, 'Power Summary'!$C$47:$AV$47)</f>
        <v>76.094507673752716</v>
      </c>
      <c r="Q112" s="47">
        <f>_xlfn.XLOOKUP(Q110, 'Power Summary'!$C$46:$AV$46, 'Power Summary'!$C$47:$AV$47)</f>
        <v>77.616397827227772</v>
      </c>
      <c r="R112" s="47">
        <f>_xlfn.XLOOKUP(R110, 'Power Summary'!$C$46:$AV$46, 'Power Summary'!$C$47:$AV$47)</f>
        <v>79.168725783772331</v>
      </c>
      <c r="S112" s="47">
        <f>_xlfn.XLOOKUP(S110, 'Power Summary'!$C$46:$AV$46, 'Power Summary'!$C$47:$AV$47)</f>
        <v>80.752100299447747</v>
      </c>
      <c r="T112" s="47">
        <f>_xlfn.XLOOKUP(T110, 'Power Summary'!$C$46:$AV$46, 'Power Summary'!$C$47:$AV$47)</f>
        <v>82.367142305436715</v>
      </c>
      <c r="U112" s="47">
        <f>_xlfn.XLOOKUP(U110, 'Power Summary'!$C$46:$AV$46, 'Power Summary'!$C$47:$AV$47)</f>
        <v>84.014485151545458</v>
      </c>
      <c r="V112" s="47">
        <f>_xlfn.XLOOKUP(V110, 'Power Summary'!$C$46:$AV$46, 'Power Summary'!$C$47:$AV$47)</f>
        <v>85.694774854576366</v>
      </c>
      <c r="W112" s="47">
        <f>_xlfn.XLOOKUP(W110, 'Power Summary'!$C$46:$AV$46, 'Power Summary'!$C$47:$AV$47)</f>
        <v>87.408670351667894</v>
      </c>
      <c r="X112" s="47">
        <f>_xlfn.XLOOKUP(X110, 'Power Summary'!$C$46:$AV$46, 'Power Summary'!$C$47:$AV$47)</f>
        <v>89.156843758701257</v>
      </c>
      <c r="Y112" s="47">
        <f>_xlfn.XLOOKUP(Y110, 'Power Summary'!$C$46:$AV$46, 'Power Summary'!$C$47:$AV$47)</f>
        <v>90.93998063387528</v>
      </c>
      <c r="Z112" s="47">
        <f>_xlfn.XLOOKUP(Z110, 'Power Summary'!$C$46:$AV$46, 'Power Summary'!$C$47:$AV$47)</f>
        <v>92.758780246552789</v>
      </c>
      <c r="AA112" s="47">
        <f>_xlfn.XLOOKUP(AA110, 'Power Summary'!$C$46:$AV$46, 'Power Summary'!$C$47:$AV$47)</f>
        <v>94.613955851483823</v>
      </c>
      <c r="AB112" s="47">
        <f>_xlfn.XLOOKUP(AB110, 'Power Summary'!$C$46:$AV$46, 'Power Summary'!$C$47:$AV$47)</f>
        <v>96.506234968513496</v>
      </c>
      <c r="AC112" s="47">
        <f>_xlfn.XLOOKUP(AC110, 'Power Summary'!$C$46:$AV$46, 'Power Summary'!$C$47:$AV$47)</f>
        <v>98.436359667883778</v>
      </c>
      <c r="AD112" s="47">
        <f>_xlfn.XLOOKUP(AD110, 'Power Summary'!$C$46:$AV$46, 'Power Summary'!$C$47:$AV$47)</f>
        <v>100.40508686124146</v>
      </c>
      <c r="AE112" s="47">
        <f>_xlfn.XLOOKUP(AE110, 'Power Summary'!$C$46:$AV$46, 'Power Summary'!$C$47:$AV$47)</f>
        <v>102.41318859846626</v>
      </c>
      <c r="AF112" s="47">
        <f>_xlfn.XLOOKUP(AF110, 'Power Summary'!$C$46:$AV$46, 'Power Summary'!$C$47:$AV$47)</f>
        <v>104.46145237043562</v>
      </c>
      <c r="AG112" s="47">
        <f>_xlfn.XLOOKUP(AG110, 'Power Summary'!$C$46:$AV$46, 'Power Summary'!$C$47:$AV$47)</f>
        <v>106.55068141784432</v>
      </c>
      <c r="AH112" s="47">
        <f>_xlfn.XLOOKUP(AH110, 'Power Summary'!$C$46:$AV$46, 'Power Summary'!$C$47:$AV$47)</f>
        <v>108.68169504620121</v>
      </c>
      <c r="AI112" s="47">
        <f>_xlfn.XLOOKUP(AI110, 'Power Summary'!$C$46:$AV$46, 'Power Summary'!$C$47:$AV$47)</f>
        <v>110.8553289471252</v>
      </c>
      <c r="AJ112" s="47">
        <f>_xlfn.XLOOKUP(AJ110, 'Power Summary'!$C$46:$AV$46, 'Power Summary'!$C$47:$AV$47)</f>
        <v>113.07243552606774</v>
      </c>
      <c r="AK112" s="47">
        <f>_xlfn.XLOOKUP(AK110, 'Power Summary'!$C$46:$AV$46, 'Power Summary'!$C$47:$AV$47)</f>
        <v>115.3338842365891</v>
      </c>
      <c r="AL112" s="47">
        <f>_xlfn.XLOOKUP(AL110, 'Power Summary'!$C$46:$AV$46, 'Power Summary'!$C$47:$AV$47)</f>
        <v>117.64056192132087</v>
      </c>
      <c r="AM112" s="47">
        <f>_xlfn.XLOOKUP(AM110, 'Power Summary'!$C$46:$AV$46, 'Power Summary'!$C$47:$AV$47)</f>
        <v>119.99337315974728</v>
      </c>
      <c r="AN112" s="47">
        <f>_xlfn.XLOOKUP(AN110, 'Power Summary'!$C$46:$AV$46, 'Power Summary'!$C$47:$AV$47)</f>
        <v>122.39324062294222</v>
      </c>
      <c r="AO112" s="47">
        <f>_xlfn.XLOOKUP(AO110, 'Power Summary'!$C$46:$AV$46, 'Power Summary'!$C$47:$AV$47)</f>
        <v>124.84110543540109</v>
      </c>
      <c r="AP112" s="47">
        <f>_xlfn.XLOOKUP(AP110, 'Power Summary'!$C$46:$AV$46, 'Power Summary'!$C$47:$AV$47)</f>
        <v>127.33792754410912</v>
      </c>
      <c r="AQ112" s="47">
        <f>_xlfn.XLOOKUP(AQ110, 'Power Summary'!$C$46:$AV$46, 'Power Summary'!$C$47:$AV$47)</f>
        <v>129.88468609499125</v>
      </c>
      <c r="AR112" s="47">
        <f>_xlfn.XLOOKUP(AR110, 'Power Summary'!$C$46:$AV$46, 'Power Summary'!$C$47:$AV$47)</f>
        <v>132.4823798168911</v>
      </c>
      <c r="AS112" s="47">
        <f>_xlfn.XLOOKUP(AS110, 'Power Summary'!$C$46:$AV$46, 'Power Summary'!$C$47:$AV$47)</f>
        <v>135.13202741322891</v>
      </c>
      <c r="AT112" s="47">
        <f>_xlfn.XLOOKUP(AT110, 'Power Summary'!$C$46:$AV$46, 'Power Summary'!$C$47:$AV$47)</f>
        <v>137.83466796149349</v>
      </c>
      <c r="AU112" s="47">
        <f>_xlfn.XLOOKUP(AU110, 'Power Summary'!$C$46:$AV$46, 'Power Summary'!$C$47:$AV$47)</f>
        <v>140.59136132072337</v>
      </c>
      <c r="AV112" s="47">
        <f>_xlfn.XLOOKUP(AV110, 'Power Summary'!$C$46:$AV$46, 'Power Summary'!$C$47:$AV$47)</f>
        <v>143.40318854713786</v>
      </c>
      <c r="AW112" s="47">
        <f>_xlfn.XLOOKUP(AW110, 'Power Summary'!$C$46:$AV$46, 'Power Summary'!$C$47:$AV$47)</f>
        <v>146.2712523180806</v>
      </c>
    </row>
    <row r="114" spans="3:49" ht="15" customHeight="1">
      <c r="C114" s="44" t="s">
        <v>511</v>
      </c>
      <c r="D114" s="68">
        <f>IF(AND(D11=0,D13&lt;&gt;0),0,IF(YEAR('Assumptions &amp; Inputs'!$H$31)&gt;D110,0,IF(D110=YEAR('Assumptions &amp; Inputs'!$H$31),'Assumptions &amp; Inputs'!$H$77*8760*'Assumptions &amp; Inputs'!$H$94*YEARFRAC('Assumptions &amp; Inputs'!$H$31,'Assumptions &amp; Inputs'!$H$32),IF(YEAR('Assumptions &amp; Inputs'!$H$36)&gt;=D110,'Assumptions &amp; Inputs'!$H$77*8760*'Assumptions &amp; Inputs'!$H$94*(1-'Assumptions &amp; Inputs'!$H$86)^MOD((D108-'Assumptions &amp; Inputs'!$H$28/12-1),'Assumptions &amp; Inputs'!$H$34),0)))*(1-'Assumptions &amp; Inputs'!$H$95))</f>
        <v>0</v>
      </c>
      <c r="E114" s="68">
        <f>IF(AND(E11=0,E13&lt;&gt;0),0,IF(YEAR('Assumptions &amp; Inputs'!$H$31)&gt;E110,0,IF(E110=YEAR('Assumptions &amp; Inputs'!$H$31),'Assumptions &amp; Inputs'!$H$77*8760*'Assumptions &amp; Inputs'!$H$94*YEARFRAC('Assumptions &amp; Inputs'!$H$31,'Assumptions &amp; Inputs'!$H$32),IF(YEAR('Assumptions &amp; Inputs'!$H$36)&gt;=E110,'Assumptions &amp; Inputs'!$H$77*8760*'Assumptions &amp; Inputs'!$H$94*(1-'Assumptions &amp; Inputs'!$H$86)^MOD((E108-'Assumptions &amp; Inputs'!$H$28/12),'Assumptions &amp; Inputs'!$H$34),0)))*(1-'Assumptions &amp; Inputs'!$H$95))</f>
        <v>58400</v>
      </c>
      <c r="F114" s="68">
        <f>IF(AND(F11=0,F13&lt;&gt;0),0,IF(YEAR('Assumptions &amp; Inputs'!$H$31)&gt;F110,0,IF(F110=YEAR('Assumptions &amp; Inputs'!$H$31),'Assumptions &amp; Inputs'!$H$77*8760*'Assumptions &amp; Inputs'!$H$94*YEARFRAC('Assumptions &amp; Inputs'!$H$31,'Assumptions &amp; Inputs'!$H$32),IF(YEAR('Assumptions &amp; Inputs'!$H$36)&gt;=F110,'Assumptions &amp; Inputs'!$H$77*8760*'Assumptions &amp; Inputs'!$H$94*(1-'Assumptions &amp; Inputs'!$H$86)^MOD((F108-'Assumptions &amp; Inputs'!$H$28/12),'Assumptions &amp; Inputs'!$H$34),0)))*(1-'Assumptions &amp; Inputs'!$H$95))</f>
        <v>174761.45112695763</v>
      </c>
      <c r="G114" s="68">
        <f>IF(AND(G11=0,G13&lt;&gt;0),0,IF(YEAR('Assumptions &amp; Inputs'!$H$31)&gt;G110,0,IF(G110=YEAR('Assumptions &amp; Inputs'!$H$31),'Assumptions &amp; Inputs'!$H$77*8760*'Assumptions &amp; Inputs'!$H$94*YEARFRAC('Assumptions &amp; Inputs'!$H$31,'Assumptions &amp; Inputs'!$H$32),IF(YEAR('Assumptions &amp; Inputs'!$H$36)&gt;=G110,'Assumptions &amp; Inputs'!$H$77*8760*'Assumptions &amp; Inputs'!$H$94*(1-'Assumptions &amp; Inputs'!$H$86)^MOD((G108-'Assumptions &amp; Inputs'!$H$28/12),'Assumptions &amp; Inputs'!$H$34),0)))*(1-'Assumptions &amp; Inputs'!$H$95))</f>
        <v>173887.64387132283</v>
      </c>
      <c r="H114" s="68">
        <f>IF(AND(H11=0,H13&lt;&gt;0),0,IF(YEAR('Assumptions &amp; Inputs'!$H$31)&gt;H110,0,IF(H110=YEAR('Assumptions &amp; Inputs'!$H$31),'Assumptions &amp; Inputs'!$H$77*8760*'Assumptions &amp; Inputs'!$H$94*YEARFRAC('Assumptions &amp; Inputs'!$H$31,'Assumptions &amp; Inputs'!$H$32),IF(YEAR('Assumptions &amp; Inputs'!$H$36)&gt;=H110,'Assumptions &amp; Inputs'!$H$77*8760*'Assumptions &amp; Inputs'!$H$94*(1-'Assumptions &amp; Inputs'!$H$86)^MOD((H108-'Assumptions &amp; Inputs'!$H$28/12),'Assumptions &amp; Inputs'!$H$34),0)))*(1-'Assumptions &amp; Inputs'!$H$95))</f>
        <v>173018.20565196624</v>
      </c>
      <c r="I114" s="68">
        <f>IF(AND(I11=0,I13&lt;&gt;0),0,IF(YEAR('Assumptions &amp; Inputs'!$H$31)&gt;I110,0,IF(I110=YEAR('Assumptions &amp; Inputs'!$H$31),'Assumptions &amp; Inputs'!$H$77*8760*'Assumptions &amp; Inputs'!$H$94*YEARFRAC('Assumptions &amp; Inputs'!$H$31,'Assumptions &amp; Inputs'!$H$32),IF(YEAR('Assumptions &amp; Inputs'!$H$36)&gt;=I110,'Assumptions &amp; Inputs'!$H$77*8760*'Assumptions &amp; Inputs'!$H$94*(1-'Assumptions &amp; Inputs'!$H$86)^MOD((I108-'Assumptions &amp; Inputs'!$H$28/12),'Assumptions &amp; Inputs'!$H$34),0)))*(1-'Assumptions &amp; Inputs'!$H$95))</f>
        <v>172153.11462370638</v>
      </c>
      <c r="J114" s="68">
        <f>IF(AND(J11=0,J13&lt;&gt;0),0,IF(YEAR('Assumptions &amp; Inputs'!$H$31)&gt;J110,0,IF(J110=YEAR('Assumptions &amp; Inputs'!$H$31),'Assumptions &amp; Inputs'!$H$77*8760*'Assumptions &amp; Inputs'!$H$94*YEARFRAC('Assumptions &amp; Inputs'!$H$31,'Assumptions &amp; Inputs'!$H$32),IF(YEAR('Assumptions &amp; Inputs'!$H$36)&gt;=J110,'Assumptions &amp; Inputs'!$H$77*8760*'Assumptions &amp; Inputs'!$H$94*(1-'Assumptions &amp; Inputs'!$H$86)^MOD((J108-'Assumptions &amp; Inputs'!$H$28/12),'Assumptions &amp; Inputs'!$H$34),0)))*(1-'Assumptions &amp; Inputs'!$H$95))</f>
        <v>171292.34905058786</v>
      </c>
      <c r="K114" s="68">
        <f>IF(AND(K11=0,K13&lt;&gt;0),0,IF(YEAR('Assumptions &amp; Inputs'!$H$31)&gt;K110,0,IF(K110=YEAR('Assumptions &amp; Inputs'!$H$31),'Assumptions &amp; Inputs'!$H$77*8760*'Assumptions &amp; Inputs'!$H$94*YEARFRAC('Assumptions &amp; Inputs'!$H$31,'Assumptions &amp; Inputs'!$H$32),IF(YEAR('Assumptions &amp; Inputs'!$H$36)&gt;=K110,'Assumptions &amp; Inputs'!$H$77*8760*'Assumptions &amp; Inputs'!$H$94*(1-'Assumptions &amp; Inputs'!$H$86)^MOD((K108-'Assumptions &amp; Inputs'!$H$28/12),'Assumptions &amp; Inputs'!$H$34),0)))*(1-'Assumptions &amp; Inputs'!$H$95))</f>
        <v>170435.88730533494</v>
      </c>
      <c r="L114" s="68">
        <f>IF(AND(L11=0,L13&lt;&gt;0),0,IF(YEAR('Assumptions &amp; Inputs'!$H$31)&gt;L110,0,IF(L110=YEAR('Assumptions &amp; Inputs'!$H$31),'Assumptions &amp; Inputs'!$H$77*8760*'Assumptions &amp; Inputs'!$H$94*YEARFRAC('Assumptions &amp; Inputs'!$H$31,'Assumptions &amp; Inputs'!$H$32),IF(YEAR('Assumptions &amp; Inputs'!$H$36)&gt;=L110,'Assumptions &amp; Inputs'!$H$77*8760*'Assumptions &amp; Inputs'!$H$94*(1-'Assumptions &amp; Inputs'!$H$86)^MOD((L108-'Assumptions &amp; Inputs'!$H$28/12),'Assumptions &amp; Inputs'!$H$34),0)))*(1-'Assumptions &amp; Inputs'!$H$95))</f>
        <v>169583.70786880824</v>
      </c>
      <c r="M114" s="68">
        <f>IF(AND(M11=0,M13&lt;&gt;0),0,IF(YEAR('Assumptions &amp; Inputs'!$H$31)&gt;M110,0,IF(M110=YEAR('Assumptions &amp; Inputs'!$H$31),'Assumptions &amp; Inputs'!$H$77*8760*'Assumptions &amp; Inputs'!$H$94*YEARFRAC('Assumptions &amp; Inputs'!$H$31,'Assumptions &amp; Inputs'!$H$32),IF(YEAR('Assumptions &amp; Inputs'!$H$36)&gt;=M110,'Assumptions &amp; Inputs'!$H$77*8760*'Assumptions &amp; Inputs'!$H$94*(1-'Assumptions &amp; Inputs'!$H$86)^MOD((M108-'Assumptions &amp; Inputs'!$H$28/12),'Assumptions &amp; Inputs'!$H$34),0)))*(1-'Assumptions &amp; Inputs'!$H$95))</f>
        <v>168735.7893294642</v>
      </c>
      <c r="N114" s="68">
        <f>IF(AND(N11=0,N13&lt;&gt;0),0,IF(YEAR('Assumptions &amp; Inputs'!$H$31)&gt;N110,0,IF(N110=YEAR('Assumptions &amp; Inputs'!$H$31),'Assumptions &amp; Inputs'!$H$77*8760*'Assumptions &amp; Inputs'!$H$94*YEARFRAC('Assumptions &amp; Inputs'!$H$31,'Assumptions &amp; Inputs'!$H$32),IF(YEAR('Assumptions &amp; Inputs'!$H$36)&gt;=N110,'Assumptions &amp; Inputs'!$H$77*8760*'Assumptions &amp; Inputs'!$H$94*(1-'Assumptions &amp; Inputs'!$H$86)^MOD((N108-'Assumptions &amp; Inputs'!$H$28/12),'Assumptions &amp; Inputs'!$H$34),0)))*(1-'Assumptions &amp; Inputs'!$H$95))</f>
        <v>167892.1103828169</v>
      </c>
      <c r="O114" s="68">
        <f>IF(AND(O11=0,O13&lt;&gt;0),0,IF(YEAR('Assumptions &amp; Inputs'!$H$31)&gt;O110,0,IF(O110=YEAR('Assumptions &amp; Inputs'!$H$31),'Assumptions &amp; Inputs'!$H$77*8760*'Assumptions &amp; Inputs'!$H$94*YEARFRAC('Assumptions &amp; Inputs'!$H$31,'Assumptions &amp; Inputs'!$H$32),IF(YEAR('Assumptions &amp; Inputs'!$H$36)&gt;=O110,'Assumptions &amp; Inputs'!$H$77*8760*'Assumptions &amp; Inputs'!$H$94*(1-'Assumptions &amp; Inputs'!$H$86)^MOD((O108-'Assumptions &amp; Inputs'!$H$28/12),'Assumptions &amp; Inputs'!$H$34),0)))*(1-'Assumptions &amp; Inputs'!$H$95))</f>
        <v>167052.64983090278</v>
      </c>
      <c r="P114" s="68">
        <f>IF(AND(P11=0,P13&lt;&gt;0),0,IF(YEAR('Assumptions &amp; Inputs'!$H$31)&gt;P110,0,IF(P110=YEAR('Assumptions &amp; Inputs'!$H$31),'Assumptions &amp; Inputs'!$H$77*8760*'Assumptions &amp; Inputs'!$H$94*YEARFRAC('Assumptions &amp; Inputs'!$H$31,'Assumptions &amp; Inputs'!$H$32),IF(YEAR('Assumptions &amp; Inputs'!$H$36)&gt;=P110,'Assumptions &amp; Inputs'!$H$77*8760*'Assumptions &amp; Inputs'!$H$94*(1-'Assumptions &amp; Inputs'!$H$86)^MOD((P108-'Assumptions &amp; Inputs'!$H$28/12),'Assumptions &amp; Inputs'!$H$34),0)))*(1-'Assumptions &amp; Inputs'!$H$95))</f>
        <v>166217.38658174829</v>
      </c>
      <c r="Q114" s="68">
        <f>IF(AND(Q11=0,Q13&lt;&gt;0),0,IF(YEAR('Assumptions &amp; Inputs'!$H$31)&gt;Q110,0,IF(Q110=YEAR('Assumptions &amp; Inputs'!$H$31),'Assumptions &amp; Inputs'!$H$77*8760*'Assumptions &amp; Inputs'!$H$94*YEARFRAC('Assumptions &amp; Inputs'!$H$31,'Assumptions &amp; Inputs'!$H$32),IF(YEAR('Assumptions &amp; Inputs'!$H$36)&gt;=Q110,'Assumptions &amp; Inputs'!$H$77*8760*'Assumptions &amp; Inputs'!$H$94*(1-'Assumptions &amp; Inputs'!$H$86)^MOD((Q108-'Assumptions &amp; Inputs'!$H$28/12),'Assumptions &amp; Inputs'!$H$34),0)))*(1-'Assumptions &amp; Inputs'!$H$95))</f>
        <v>165386.29964883954</v>
      </c>
      <c r="R114" s="68">
        <f>IF(AND(R11=0,R13&lt;&gt;0),0,IF(YEAR('Assumptions &amp; Inputs'!$H$31)&gt;R110,0,IF(R110=YEAR('Assumptions &amp; Inputs'!$H$31),'Assumptions &amp; Inputs'!$H$77*8760*'Assumptions &amp; Inputs'!$H$94*YEARFRAC('Assumptions &amp; Inputs'!$H$31,'Assumptions &amp; Inputs'!$H$32),IF(YEAR('Assumptions &amp; Inputs'!$H$36)&gt;=R110,'Assumptions &amp; Inputs'!$H$77*8760*'Assumptions &amp; Inputs'!$H$94*(1-'Assumptions &amp; Inputs'!$H$86)^MOD((R108-'Assumptions &amp; Inputs'!$H$28/12),'Assumptions &amp; Inputs'!$H$34),0)))*(1-'Assumptions &amp; Inputs'!$H$95))</f>
        <v>164559.36815059534</v>
      </c>
      <c r="S114" s="68">
        <f>IF(AND(S11=0,S13&lt;&gt;0),0,IF(YEAR('Assumptions &amp; Inputs'!$H$31)&gt;S110,0,IF(S110=YEAR('Assumptions &amp; Inputs'!$H$31),'Assumptions &amp; Inputs'!$H$77*8760*'Assumptions &amp; Inputs'!$H$94*YEARFRAC('Assumptions &amp; Inputs'!$H$31,'Assumptions &amp; Inputs'!$H$32),IF(YEAR('Assumptions &amp; Inputs'!$H$36)&gt;=S110,'Assumptions &amp; Inputs'!$H$77*8760*'Assumptions &amp; Inputs'!$H$94*(1-'Assumptions &amp; Inputs'!$H$86)^MOD((S108-'Assumptions &amp; Inputs'!$H$28/12),'Assumptions &amp; Inputs'!$H$34),0)))*(1-'Assumptions &amp; Inputs'!$H$95))</f>
        <v>163736.57130984237</v>
      </c>
      <c r="T114" s="68">
        <f>IF(AND(T11=0,T13&lt;&gt;0),0,IF(YEAR('Assumptions &amp; Inputs'!$H$31)&gt;T110,0,IF(T110=YEAR('Assumptions &amp; Inputs'!$H$31),'Assumptions &amp; Inputs'!$H$77*8760*'Assumptions &amp; Inputs'!$H$94*YEARFRAC('Assumptions &amp; Inputs'!$H$31,'Assumptions &amp; Inputs'!$H$32),IF(YEAR('Assumptions &amp; Inputs'!$H$36)&gt;=T110,'Assumptions &amp; Inputs'!$H$77*8760*'Assumptions &amp; Inputs'!$H$94*(1-'Assumptions &amp; Inputs'!$H$86)^MOD((T108-'Assumptions &amp; Inputs'!$H$28/12),'Assumptions &amp; Inputs'!$H$34),0)))*(1-'Assumptions &amp; Inputs'!$H$95))</f>
        <v>162917.88845329316</v>
      </c>
      <c r="U114" s="68">
        <f>IF(AND(U11=0,U13&lt;&gt;0),0,IF(YEAR('Assumptions &amp; Inputs'!$H$31)&gt;U110,0,IF(U110=YEAR('Assumptions &amp; Inputs'!$H$31),'Assumptions &amp; Inputs'!$H$77*8760*'Assumptions &amp; Inputs'!$H$94*YEARFRAC('Assumptions &amp; Inputs'!$H$31,'Assumptions &amp; Inputs'!$H$32),IF(YEAR('Assumptions &amp; Inputs'!$H$36)&gt;=U110,'Assumptions &amp; Inputs'!$H$77*8760*'Assumptions &amp; Inputs'!$H$94*(1-'Assumptions &amp; Inputs'!$H$86)^MOD((U108-'Assumptions &amp; Inputs'!$H$28/12),'Assumptions &amp; Inputs'!$H$34),0)))*(1-'Assumptions &amp; Inputs'!$H$95))</f>
        <v>162103.29901102668</v>
      </c>
      <c r="V114" s="68">
        <f>IF(AND(V11=0,V13&lt;&gt;0),0,IF(YEAR('Assumptions &amp; Inputs'!$H$31)&gt;V110,0,IF(V110=YEAR('Assumptions &amp; Inputs'!$H$31),'Assumptions &amp; Inputs'!$H$77*8760*'Assumptions &amp; Inputs'!$H$94*YEARFRAC('Assumptions &amp; Inputs'!$H$31,'Assumptions &amp; Inputs'!$H$32),IF(YEAR('Assumptions &amp; Inputs'!$H$36)&gt;=V110,'Assumptions &amp; Inputs'!$H$77*8760*'Assumptions &amp; Inputs'!$H$94*(1-'Assumptions &amp; Inputs'!$H$86)^MOD((V108-'Assumptions &amp; Inputs'!$H$28/12),'Assumptions &amp; Inputs'!$H$34),0)))*(1-'Assumptions &amp; Inputs'!$H$95))</f>
        <v>161292.78251597154</v>
      </c>
      <c r="W114" s="68">
        <f>IF(AND(W11=0,W13&lt;&gt;0),0,IF(YEAR('Assumptions &amp; Inputs'!$H$31)&gt;W110,0,IF(W110=YEAR('Assumptions &amp; Inputs'!$H$31),'Assumptions &amp; Inputs'!$H$77*8760*'Assumptions &amp; Inputs'!$H$94*YEARFRAC('Assumptions &amp; Inputs'!$H$31,'Assumptions &amp; Inputs'!$H$32),IF(YEAR('Assumptions &amp; Inputs'!$H$36)&gt;=W110,'Assumptions &amp; Inputs'!$H$77*8760*'Assumptions &amp; Inputs'!$H$94*(1-'Assumptions &amp; Inputs'!$H$86)^MOD((W108-'Assumptions &amp; Inputs'!$H$28/12),'Assumptions &amp; Inputs'!$H$34),0)))*(1-'Assumptions &amp; Inputs'!$H$95))</f>
        <v>160486.31860339167</v>
      </c>
      <c r="X114" s="68">
        <f>IF(AND(X11=0,X13&lt;&gt;0),0,IF(YEAR('Assumptions &amp; Inputs'!$H$31)&gt;X110,0,IF(X110=YEAR('Assumptions &amp; Inputs'!$H$31),'Assumptions &amp; Inputs'!$H$77*8760*'Assumptions &amp; Inputs'!$H$94*YEARFRAC('Assumptions &amp; Inputs'!$H$31,'Assumptions &amp; Inputs'!$H$32),IF(YEAR('Assumptions &amp; Inputs'!$H$36)&gt;=X110,'Assumptions &amp; Inputs'!$H$77*8760*'Assumptions &amp; Inputs'!$H$94*(1-'Assumptions &amp; Inputs'!$H$86)^MOD((X108-'Assumptions &amp; Inputs'!$H$28/12),'Assumptions &amp; Inputs'!$H$34),0)))*(1-'Assumptions &amp; Inputs'!$H$95))</f>
        <v>159683.88701037475</v>
      </c>
      <c r="Y114" s="68">
        <f>IF(AND(Y11=0,Y13&lt;&gt;0),0,IF(YEAR('Assumptions &amp; Inputs'!$H$31)&gt;Y110,0,IF(Y110=YEAR('Assumptions &amp; Inputs'!$H$31),'Assumptions &amp; Inputs'!$H$77*8760*'Assumptions &amp; Inputs'!$H$94*YEARFRAC('Assumptions &amp; Inputs'!$H$31,'Assumptions &amp; Inputs'!$H$32),IF(YEAR('Assumptions &amp; Inputs'!$H$36)&gt;=Y110,'Assumptions &amp; Inputs'!$H$77*8760*'Assumptions &amp; Inputs'!$H$94*(1-'Assumptions &amp; Inputs'!$H$86)^MOD((Y108-'Assumptions &amp; Inputs'!$H$28/12),'Assumptions &amp; Inputs'!$H$34),0)))*(1-'Assumptions &amp; Inputs'!$H$95))</f>
        <v>158885.46757532284</v>
      </c>
      <c r="Z114" s="68">
        <f>IF(AND(Z11=0,Z13&lt;&gt;0),0,IF(YEAR('Assumptions &amp; Inputs'!$H$31)&gt;Z110,0,IF(Z110=YEAR('Assumptions &amp; Inputs'!$H$31),'Assumptions &amp; Inputs'!$H$77*8760*'Assumptions &amp; Inputs'!$H$94*YEARFRAC('Assumptions &amp; Inputs'!$H$31,'Assumptions &amp; Inputs'!$H$32),IF(YEAR('Assumptions &amp; Inputs'!$H$36)&gt;=Z110,'Assumptions &amp; Inputs'!$H$77*8760*'Assumptions &amp; Inputs'!$H$94*(1-'Assumptions &amp; Inputs'!$H$86)^MOD((Z108-'Assumptions &amp; Inputs'!$H$28/12),'Assumptions &amp; Inputs'!$H$34),0)))*(1-'Assumptions &amp; Inputs'!$H$95))</f>
        <v>158091.04023744626</v>
      </c>
      <c r="AA114" s="68">
        <f>IF(AND(AA11=0,AA13&lt;&gt;0),0,IF(YEAR('Assumptions &amp; Inputs'!$H$31)&gt;AA110,0,IF(AA110=YEAR('Assumptions &amp; Inputs'!$H$31),'Assumptions &amp; Inputs'!$H$77*8760*'Assumptions &amp; Inputs'!$H$94*YEARFRAC('Assumptions &amp; Inputs'!$H$31,'Assumptions &amp; Inputs'!$H$32),IF(YEAR('Assumptions &amp; Inputs'!$H$36)&gt;=AA110,'Assumptions &amp; Inputs'!$H$77*8760*'Assumptions &amp; Inputs'!$H$94*(1-'Assumptions &amp; Inputs'!$H$86)^MOD((AA108-'Assumptions &amp; Inputs'!$H$28/12),'Assumptions &amp; Inputs'!$H$34),0)))*(1-'Assumptions &amp; Inputs'!$H$95))</f>
        <v>157300.585036259</v>
      </c>
      <c r="AB114" s="68">
        <f>IF(AND(AB11=0,AB13&lt;&gt;0),0,IF(YEAR('Assumptions &amp; Inputs'!$H$31)&gt;AB110,0,IF(AB110=YEAR('Assumptions &amp; Inputs'!$H$31),'Assumptions &amp; Inputs'!$H$77*8760*'Assumptions &amp; Inputs'!$H$94*YEARFRAC('Assumptions &amp; Inputs'!$H$31,'Assumptions &amp; Inputs'!$H$32),IF(YEAR('Assumptions &amp; Inputs'!$H$36)&gt;=AB110,'Assumptions &amp; Inputs'!$H$77*8760*'Assumptions &amp; Inputs'!$H$94*(1-'Assumptions &amp; Inputs'!$H$86)^MOD((AB108-'Assumptions &amp; Inputs'!$H$28/12),'Assumptions &amp; Inputs'!$H$34),0)))*(1-'Assumptions &amp; Inputs'!$H$95))</f>
        <v>156514.08211107773</v>
      </c>
      <c r="AC114" s="68">
        <f>IF(AND(AC11=0,AC13&lt;&gt;0),0,IF(YEAR('Assumptions &amp; Inputs'!$H$31)&gt;AC110,0,IF(AC110=YEAR('Assumptions &amp; Inputs'!$H$31),'Assumptions &amp; Inputs'!$H$77*8760*'Assumptions &amp; Inputs'!$H$94*YEARFRAC('Assumptions &amp; Inputs'!$H$31,'Assumptions &amp; Inputs'!$H$32),IF(YEAR('Assumptions &amp; Inputs'!$H$36)&gt;=AC110,'Assumptions &amp; Inputs'!$H$77*8760*'Assumptions &amp; Inputs'!$H$94*(1-'Assumptions &amp; Inputs'!$H$86)^MOD((AC108-'Assumptions &amp; Inputs'!$H$28/12),'Assumptions &amp; Inputs'!$H$34),0)))*(1-'Assumptions &amp; Inputs'!$H$95))</f>
        <v>155731.51170052233</v>
      </c>
      <c r="AD114" s="68">
        <f>IF(AND(AD11=0,AD13&lt;&gt;0),0,IF(YEAR('Assumptions &amp; Inputs'!$H$31)&gt;AD110,0,IF(AD110=YEAR('Assumptions &amp; Inputs'!$H$31),'Assumptions &amp; Inputs'!$H$77*8760*'Assumptions &amp; Inputs'!$H$94*YEARFRAC('Assumptions &amp; Inputs'!$H$31,'Assumptions &amp; Inputs'!$H$32),IF(YEAR('Assumptions &amp; Inputs'!$H$36)&gt;=AD110,'Assumptions &amp; Inputs'!$H$77*8760*'Assumptions &amp; Inputs'!$H$94*(1-'Assumptions &amp; Inputs'!$H$86)^MOD((AD108-'Assumptions &amp; Inputs'!$H$28/12),'Assumptions &amp; Inputs'!$H$34),0)))*(1-'Assumptions &amp; Inputs'!$H$95))</f>
        <v>154952.85414201973</v>
      </c>
      <c r="AE114" s="68">
        <f>IF(AND(AE11=0,AE13&lt;&gt;0),0,IF(YEAR('Assumptions &amp; Inputs'!$H$31)&gt;AE110,0,IF(AE110=YEAR('Assumptions &amp; Inputs'!$H$31),'Assumptions &amp; Inputs'!$H$77*8760*'Assumptions &amp; Inputs'!$H$94*YEARFRAC('Assumptions &amp; Inputs'!$H$31,'Assumptions &amp; Inputs'!$H$32),IF(YEAR('Assumptions &amp; Inputs'!$H$36)&gt;=AE110,'Assumptions &amp; Inputs'!$H$77*8760*'Assumptions &amp; Inputs'!$H$94*(1-'Assumptions &amp; Inputs'!$H$86)^MOD((AE108-'Assumptions &amp; Inputs'!$H$28/12),'Assumptions &amp; Inputs'!$H$34),0)))*(1-'Assumptions &amp; Inputs'!$H$95))</f>
        <v>0</v>
      </c>
      <c r="AF114" s="68">
        <f>IF(AND(AF11=0,AF13&lt;&gt;0),0,IF(YEAR('Assumptions &amp; Inputs'!$H$31)&gt;AF110,0,IF(AF110=YEAR('Assumptions &amp; Inputs'!$H$31),'Assumptions &amp; Inputs'!$H$77*8760*'Assumptions &amp; Inputs'!$H$94*YEARFRAC('Assumptions &amp; Inputs'!$H$31,'Assumptions &amp; Inputs'!$H$32),IF(YEAR('Assumptions &amp; Inputs'!$H$36)&gt;=AF110,'Assumptions &amp; Inputs'!$H$77*8760*'Assumptions &amp; Inputs'!$H$94*(1-'Assumptions &amp; Inputs'!$H$86)^MOD((AF108-'Assumptions &amp; Inputs'!$H$28/12),'Assumptions &amp; Inputs'!$H$34),0)))*(1-'Assumptions &amp; Inputs'!$H$95))</f>
        <v>0</v>
      </c>
      <c r="AG114" s="68">
        <f>IF(AND(AG11=0,AG13&lt;&gt;0),0,IF(YEAR('Assumptions &amp; Inputs'!$H$31)&gt;AG110,0,IF(AG110=YEAR('Assumptions &amp; Inputs'!$H$31),'Assumptions &amp; Inputs'!$H$77*8760*'Assumptions &amp; Inputs'!$H$94*YEARFRAC('Assumptions &amp; Inputs'!$H$31,'Assumptions &amp; Inputs'!$H$32),IF(YEAR('Assumptions &amp; Inputs'!$H$36)&gt;=AG110,'Assumptions &amp; Inputs'!$H$77*8760*'Assumptions &amp; Inputs'!$H$94*(1-'Assumptions &amp; Inputs'!$H$86)^MOD((AG108-'Assumptions &amp; Inputs'!$H$28/12),'Assumptions &amp; Inputs'!$H$34),0)))*(1-'Assumptions &amp; Inputs'!$H$95))</f>
        <v>0</v>
      </c>
      <c r="AH114" s="68">
        <f>IF(AND(AH11=0,AH13&lt;&gt;0),0,IF(YEAR('Assumptions &amp; Inputs'!$H$31)&gt;AH110,0,IF(AH110=YEAR('Assumptions &amp; Inputs'!$H$31),'Assumptions &amp; Inputs'!$H$77*8760*'Assumptions &amp; Inputs'!$H$94*YEARFRAC('Assumptions &amp; Inputs'!$H$31,'Assumptions &amp; Inputs'!$H$32),IF(YEAR('Assumptions &amp; Inputs'!$H$36)&gt;=AH110,'Assumptions &amp; Inputs'!$H$77*8760*'Assumptions &amp; Inputs'!$H$94*(1-'Assumptions &amp; Inputs'!$H$86)^MOD((AH108-'Assumptions &amp; Inputs'!$H$28/12),'Assumptions &amp; Inputs'!$H$34),0)))*(1-'Assumptions &amp; Inputs'!$H$95))</f>
        <v>0</v>
      </c>
      <c r="AI114" s="68">
        <f>IF(AND(AI11=0,AI13&lt;&gt;0),0,IF(YEAR('Assumptions &amp; Inputs'!$H$31)&gt;AI110,0,IF(AI110=YEAR('Assumptions &amp; Inputs'!$H$31),'Assumptions &amp; Inputs'!$H$77*8760*'Assumptions &amp; Inputs'!$H$94*YEARFRAC('Assumptions &amp; Inputs'!$H$31,'Assumptions &amp; Inputs'!$H$32),IF(YEAR('Assumptions &amp; Inputs'!$H$36)&gt;=AI110,'Assumptions &amp; Inputs'!$H$77*8760*'Assumptions &amp; Inputs'!$H$94*(1-'Assumptions &amp; Inputs'!$H$86)^MOD((AI108-'Assumptions &amp; Inputs'!$H$28/12),'Assumptions &amp; Inputs'!$H$34),0)))*(1-'Assumptions &amp; Inputs'!$H$95))</f>
        <v>0</v>
      </c>
      <c r="AJ114" s="68">
        <f>IF(AND(AJ11=0,AJ13&lt;&gt;0),0,IF(YEAR('Assumptions &amp; Inputs'!$H$31)&gt;AJ110,0,IF(AJ110=YEAR('Assumptions &amp; Inputs'!$H$31),'Assumptions &amp; Inputs'!$H$77*8760*'Assumptions &amp; Inputs'!$H$94*YEARFRAC('Assumptions &amp; Inputs'!$H$31,'Assumptions &amp; Inputs'!$H$32),IF(YEAR('Assumptions &amp; Inputs'!$H$36)&gt;=AJ110,'Assumptions &amp; Inputs'!$H$77*8760*'Assumptions &amp; Inputs'!$H$94*(1-'Assumptions &amp; Inputs'!$H$86)^MOD((AJ108-'Assumptions &amp; Inputs'!$H$28/12),'Assumptions &amp; Inputs'!$H$34),0)))*(1-'Assumptions &amp; Inputs'!$H$95))</f>
        <v>0</v>
      </c>
      <c r="AK114" s="68">
        <f>IF(AND(AK11=0,AK13&lt;&gt;0),0,IF(YEAR('Assumptions &amp; Inputs'!$H$31)&gt;AK110,0,IF(AK110=YEAR('Assumptions &amp; Inputs'!$H$31),'Assumptions &amp; Inputs'!$H$77*8760*'Assumptions &amp; Inputs'!$H$94*YEARFRAC('Assumptions &amp; Inputs'!$H$31,'Assumptions &amp; Inputs'!$H$32),IF(YEAR('Assumptions &amp; Inputs'!$H$36)&gt;=AK110,'Assumptions &amp; Inputs'!$H$77*8760*'Assumptions &amp; Inputs'!$H$94*(1-'Assumptions &amp; Inputs'!$H$86)^MOD((AK108-'Assumptions &amp; Inputs'!$H$28/12),'Assumptions &amp; Inputs'!$H$34),0)))*(1-'Assumptions &amp; Inputs'!$H$95))</f>
        <v>0</v>
      </c>
      <c r="AL114" s="68">
        <f>IF(AND(AL11=0,AL13&lt;&gt;0),0,IF(YEAR('Assumptions &amp; Inputs'!$H$31)&gt;AL110,0,IF(AL110=YEAR('Assumptions &amp; Inputs'!$H$31),'Assumptions &amp; Inputs'!$H$77*8760*'Assumptions &amp; Inputs'!$H$94*YEARFRAC('Assumptions &amp; Inputs'!$H$31,'Assumptions &amp; Inputs'!$H$32),IF(YEAR('Assumptions &amp; Inputs'!$H$36)&gt;=AL110,'Assumptions &amp; Inputs'!$H$77*8760*'Assumptions &amp; Inputs'!$H$94*(1-'Assumptions &amp; Inputs'!$H$86)^MOD((AL108-'Assumptions &amp; Inputs'!$H$28/12),'Assumptions &amp; Inputs'!$H$34),0)))*(1-'Assumptions &amp; Inputs'!$H$95))</f>
        <v>0</v>
      </c>
      <c r="AM114" s="68">
        <f>IF(AND(AM11=0,AM13&lt;&gt;0),0,IF(YEAR('Assumptions &amp; Inputs'!$H$31)&gt;AM110,0,IF(AM110=YEAR('Assumptions &amp; Inputs'!$H$31),'Assumptions &amp; Inputs'!$H$77*8760*'Assumptions &amp; Inputs'!$H$94*YEARFRAC('Assumptions &amp; Inputs'!$H$31,'Assumptions &amp; Inputs'!$H$32),IF(YEAR('Assumptions &amp; Inputs'!$H$36)&gt;=AM110,'Assumptions &amp; Inputs'!$H$77*8760*'Assumptions &amp; Inputs'!$H$94*(1-'Assumptions &amp; Inputs'!$H$86)^MOD((AM108-'Assumptions &amp; Inputs'!$H$28/12),'Assumptions &amp; Inputs'!$H$34),0)))*(1-'Assumptions &amp; Inputs'!$H$95))</f>
        <v>0</v>
      </c>
      <c r="AN114" s="68">
        <f>IF(AND(AN11=0,AN13&lt;&gt;0),0,IF(YEAR('Assumptions &amp; Inputs'!$H$31)&gt;AN110,0,IF(AN110=YEAR('Assumptions &amp; Inputs'!$H$31),'Assumptions &amp; Inputs'!$H$77*8760*'Assumptions &amp; Inputs'!$H$94*YEARFRAC('Assumptions &amp; Inputs'!$H$31,'Assumptions &amp; Inputs'!$H$32),IF(YEAR('Assumptions &amp; Inputs'!$H$36)&gt;=AN110,'Assumptions &amp; Inputs'!$H$77*8760*'Assumptions &amp; Inputs'!$H$94*(1-'Assumptions &amp; Inputs'!$H$86)^MOD((AN108-'Assumptions &amp; Inputs'!$H$28/12),'Assumptions &amp; Inputs'!$H$34),0)))*(1-'Assumptions &amp; Inputs'!$H$95))</f>
        <v>0</v>
      </c>
      <c r="AO114" s="68">
        <f>IF(AND(AO11=0,AO13&lt;&gt;0),0,IF(YEAR('Assumptions &amp; Inputs'!$H$31)&gt;AO110,0,IF(AO110=YEAR('Assumptions &amp; Inputs'!$H$31),'Assumptions &amp; Inputs'!$H$77*8760*'Assumptions &amp; Inputs'!$H$94*YEARFRAC('Assumptions &amp; Inputs'!$H$31,'Assumptions &amp; Inputs'!$H$32),IF(YEAR('Assumptions &amp; Inputs'!$H$36)&gt;=AO110,'Assumptions &amp; Inputs'!$H$77*8760*'Assumptions &amp; Inputs'!$H$94*(1-'Assumptions &amp; Inputs'!$H$86)^MOD((AO108-'Assumptions &amp; Inputs'!$H$28/12),'Assumptions &amp; Inputs'!$H$34),0)))*(1-'Assumptions &amp; Inputs'!$H$95))</f>
        <v>0</v>
      </c>
      <c r="AP114" s="68">
        <f>IF(AND(AP11=0,AP13&lt;&gt;0),0,IF(YEAR('Assumptions &amp; Inputs'!$H$31)&gt;AP110,0,IF(AP110=YEAR('Assumptions &amp; Inputs'!$H$31),'Assumptions &amp; Inputs'!$H$77*8760*'Assumptions &amp; Inputs'!$H$94*YEARFRAC('Assumptions &amp; Inputs'!$H$31,'Assumptions &amp; Inputs'!$H$32),IF(YEAR('Assumptions &amp; Inputs'!$H$36)&gt;=AP110,'Assumptions &amp; Inputs'!$H$77*8760*'Assumptions &amp; Inputs'!$H$94*(1-'Assumptions &amp; Inputs'!$H$86)^MOD((AP108-'Assumptions &amp; Inputs'!$H$28/12),'Assumptions &amp; Inputs'!$H$34),0)))*(1-'Assumptions &amp; Inputs'!$H$95))</f>
        <v>0</v>
      </c>
      <c r="AQ114" s="68">
        <f>IF(AND(AQ11=0,AQ13&lt;&gt;0),0,IF(YEAR('Assumptions &amp; Inputs'!$H$31)&gt;AQ110,0,IF(AQ110=YEAR('Assumptions &amp; Inputs'!$H$31),'Assumptions &amp; Inputs'!$H$77*8760*'Assumptions &amp; Inputs'!$H$94*YEARFRAC('Assumptions &amp; Inputs'!$H$31,'Assumptions &amp; Inputs'!$H$32),IF(YEAR('Assumptions &amp; Inputs'!$H$36)&gt;=AQ110,'Assumptions &amp; Inputs'!$H$77*8760*'Assumptions &amp; Inputs'!$H$94*(1-'Assumptions &amp; Inputs'!$H$86)^MOD((AQ108-'Assumptions &amp; Inputs'!$H$28/12),'Assumptions &amp; Inputs'!$H$34),0)))*(1-'Assumptions &amp; Inputs'!$H$95))</f>
        <v>0</v>
      </c>
      <c r="AR114" s="68">
        <f>IF(AND(AR11=0,AR13&lt;&gt;0),0,IF(YEAR('Assumptions &amp; Inputs'!$H$31)&gt;AR110,0,IF(AR110=YEAR('Assumptions &amp; Inputs'!$H$31),'Assumptions &amp; Inputs'!$H$77*8760*'Assumptions &amp; Inputs'!$H$94*YEARFRAC('Assumptions &amp; Inputs'!$H$31,'Assumptions &amp; Inputs'!$H$32),IF(YEAR('Assumptions &amp; Inputs'!$H$36)&gt;=AR110,'Assumptions &amp; Inputs'!$H$77*8760*'Assumptions &amp; Inputs'!$H$94*(1-'Assumptions &amp; Inputs'!$H$86)^MOD((AR108-'Assumptions &amp; Inputs'!$H$28/12),'Assumptions &amp; Inputs'!$H$34),0)))*(1-'Assumptions &amp; Inputs'!$H$95))</f>
        <v>0</v>
      </c>
      <c r="AS114" s="68">
        <f>IF(AND(AS11=0,AS13&lt;&gt;0),0,IF(YEAR('Assumptions &amp; Inputs'!$H$31)&gt;AS110,0,IF(AS110=YEAR('Assumptions &amp; Inputs'!$H$31),'Assumptions &amp; Inputs'!$H$77*8760*'Assumptions &amp; Inputs'!$H$94*YEARFRAC('Assumptions &amp; Inputs'!$H$31,'Assumptions &amp; Inputs'!$H$32),IF(YEAR('Assumptions &amp; Inputs'!$H$36)&gt;=AS110,'Assumptions &amp; Inputs'!$H$77*8760*'Assumptions &amp; Inputs'!$H$94*(1-'Assumptions &amp; Inputs'!$H$86)^MOD((AS108-'Assumptions &amp; Inputs'!$H$28/12),'Assumptions &amp; Inputs'!$H$34),0)))*(1-'Assumptions &amp; Inputs'!$H$95))</f>
        <v>0</v>
      </c>
      <c r="AT114" s="68">
        <f>IF(AND(AT11=0,AT13&lt;&gt;0),0,IF(YEAR('Assumptions &amp; Inputs'!$H$31)&gt;AT110,0,IF(AT110=YEAR('Assumptions &amp; Inputs'!$H$31),'Assumptions &amp; Inputs'!$H$77*8760*'Assumptions &amp; Inputs'!$H$94*YEARFRAC('Assumptions &amp; Inputs'!$H$31,'Assumptions &amp; Inputs'!$H$32),IF(YEAR('Assumptions &amp; Inputs'!$H$36)&gt;=AT110,'Assumptions &amp; Inputs'!$H$77*8760*'Assumptions &amp; Inputs'!$H$94*(1-'Assumptions &amp; Inputs'!$H$86)^MOD((AT108-'Assumptions &amp; Inputs'!$H$28/12),'Assumptions &amp; Inputs'!$H$34),0)))*(1-'Assumptions &amp; Inputs'!$H$95))</f>
        <v>0</v>
      </c>
      <c r="AU114" s="68">
        <f>IF(AND(AU11=0,AU13&lt;&gt;0),0,IF(YEAR('Assumptions &amp; Inputs'!$H$31)&gt;AU110,0,IF(AU110=YEAR('Assumptions &amp; Inputs'!$H$31),'Assumptions &amp; Inputs'!$H$77*8760*'Assumptions &amp; Inputs'!$H$94*YEARFRAC('Assumptions &amp; Inputs'!$H$31,'Assumptions &amp; Inputs'!$H$32),IF(YEAR('Assumptions &amp; Inputs'!$H$36)&gt;=AU110,'Assumptions &amp; Inputs'!$H$77*8760*'Assumptions &amp; Inputs'!$H$94*(1-'Assumptions &amp; Inputs'!$H$86)^MOD((AU108-'Assumptions &amp; Inputs'!$H$28/12),'Assumptions &amp; Inputs'!$H$34),0)))*(1-'Assumptions &amp; Inputs'!$H$95))</f>
        <v>0</v>
      </c>
      <c r="AV114" s="68">
        <f>IF(AND(AV11=0,AV13&lt;&gt;0),0,IF(YEAR('Assumptions &amp; Inputs'!$H$31)&gt;AV110,0,IF(AV110=YEAR('Assumptions &amp; Inputs'!$H$31),'Assumptions &amp; Inputs'!$H$77*8760*'Assumptions &amp; Inputs'!$H$94*YEARFRAC('Assumptions &amp; Inputs'!$H$31,'Assumptions &amp; Inputs'!$H$32),IF(YEAR('Assumptions &amp; Inputs'!$H$36)&gt;=AV110,'Assumptions &amp; Inputs'!$H$77*8760*'Assumptions &amp; Inputs'!$H$94*(1-'Assumptions &amp; Inputs'!$H$86)^MOD((AV108-'Assumptions &amp; Inputs'!$H$28/12),'Assumptions &amp; Inputs'!$H$34),0)))*(1-'Assumptions &amp; Inputs'!$H$95))</f>
        <v>0</v>
      </c>
      <c r="AW114" s="68">
        <f>IF(AND(AW11=0,AW13&lt;&gt;0),0,IF(YEAR('Assumptions &amp; Inputs'!$H$31)&gt;AW110,0,IF(AW110=YEAR('Assumptions &amp; Inputs'!$H$31),'Assumptions &amp; Inputs'!$H$77*8760*'Assumptions &amp; Inputs'!$H$94*YEARFRAC('Assumptions &amp; Inputs'!$H$31,'Assumptions &amp; Inputs'!$H$32),IF(YEAR('Assumptions &amp; Inputs'!$H$36)&gt;=AW110,'Assumptions &amp; Inputs'!$H$77*8760*'Assumptions &amp; Inputs'!$H$94*(1-'Assumptions &amp; Inputs'!$H$86)^MOD((AW108-'Assumptions &amp; Inputs'!$H$28/12),'Assumptions &amp; Inputs'!$H$34),0)))*(1-'Assumptions &amp; Inputs'!$H$95))</f>
        <v>0</v>
      </c>
    </row>
    <row r="115" spans="3:49" ht="15" customHeight="1">
      <c r="C115" s="44" t="s">
        <v>523</v>
      </c>
      <c r="D115" s="68">
        <f>_xlfn.XLOOKUP(D110, 'Power Summary'!$C$3:$AV$3, 'Power Summary'!$C$19:$AV$19)</f>
        <v>0</v>
      </c>
      <c r="E115" s="68">
        <f>_xlfn.XLOOKUP(E110, 'Power Summary'!$C$3:$AV$3, 'Power Summary'!$C$19:$AV$19)</f>
        <v>58400</v>
      </c>
      <c r="F115" s="68">
        <f>_xlfn.XLOOKUP(F110, 'Power Summary'!$C$3:$AV$3, 'Power Summary'!$C$19:$AV$19)</f>
        <v>173887.64387132286</v>
      </c>
      <c r="G115" s="68">
        <f>_xlfn.XLOOKUP(G110, 'Power Summary'!$C$3:$AV$3, 'Power Summary'!$C$19:$AV$19)</f>
        <v>172148.7674326096</v>
      </c>
      <c r="H115" s="68">
        <f>_xlfn.XLOOKUP(H110, 'Power Summary'!$C$3:$AV$3, 'Power Summary'!$C$19:$AV$19)</f>
        <v>170422.93256718674</v>
      </c>
      <c r="I115" s="68">
        <f>_xlfn.XLOOKUP(I110, 'Power Summary'!$C$3:$AV$3, 'Power Summary'!$C$19:$AV$19)</f>
        <v>168710.05233123226</v>
      </c>
      <c r="J115" s="68">
        <f>_xlfn.XLOOKUP(J110, 'Power Summary'!$C$3:$AV$3, 'Power Summary'!$C$19:$AV$19)</f>
        <v>167010.04032432317</v>
      </c>
      <c r="K115" s="68">
        <f>_xlfn.XLOOKUP(K110, 'Power Summary'!$C$3:$AV$3, 'Power Summary'!$C$19:$AV$19)</f>
        <v>165322.8106861749</v>
      </c>
      <c r="L115" s="68">
        <f>_xlfn.XLOOKUP(L110, 'Power Summary'!$C$3:$AV$3, 'Power Summary'!$C$19:$AV$19)</f>
        <v>163648.27809339995</v>
      </c>
      <c r="M115" s="68">
        <f>_xlfn.XLOOKUP(M110, 'Power Summary'!$C$3:$AV$3, 'Power Summary'!$C$19:$AV$19)</f>
        <v>161986.35775628564</v>
      </c>
      <c r="N115" s="68">
        <f>_xlfn.XLOOKUP(N110, 'Power Summary'!$C$3:$AV$3, 'Power Summary'!$C$19:$AV$19)</f>
        <v>160336.96541559012</v>
      </c>
      <c r="O115" s="68">
        <f>_xlfn.XLOOKUP(O110, 'Power Summary'!$C$3:$AV$3, 'Power Summary'!$C$19:$AV$19)</f>
        <v>158700.01733935764</v>
      </c>
      <c r="P115" s="68">
        <f>_xlfn.XLOOKUP(P110, 'Power Summary'!$C$3:$AV$3, 'Power Summary'!$C$19:$AV$19)</f>
        <v>157075.43031975214</v>
      </c>
      <c r="Q115" s="68">
        <f>_xlfn.XLOOKUP(Q110, 'Power Summary'!$C$3:$AV$3, 'Power Summary'!$C$19:$AV$19)</f>
        <v>155463.12166990916</v>
      </c>
      <c r="R115" s="68">
        <f>_xlfn.XLOOKUP(R110, 'Power Summary'!$C$3:$AV$3, 'Power Summary'!$C$19:$AV$19)</f>
        <v>153863.00922080665</v>
      </c>
      <c r="S115" s="68">
        <f>_xlfn.XLOOKUP(S110, 'Power Summary'!$C$3:$AV$3, 'Power Summary'!$C$19:$AV$19)</f>
        <v>152275.01131815341</v>
      </c>
      <c r="T115" s="68">
        <f>_xlfn.XLOOKUP(T110, 'Power Summary'!$C$3:$AV$3, 'Power Summary'!$C$19:$AV$19)</f>
        <v>150699.04681929617</v>
      </c>
      <c r="U115" s="68">
        <f>_xlfn.XLOOKUP(U110, 'Power Summary'!$C$3:$AV$3, 'Power Summary'!$C$19:$AV$19)</f>
        <v>149135.03509014455</v>
      </c>
      <c r="V115" s="68">
        <f>_xlfn.XLOOKUP(V110, 'Power Summary'!$C$3:$AV$3, 'Power Summary'!$C$19:$AV$19)</f>
        <v>147582.89600211396</v>
      </c>
      <c r="W115" s="68">
        <f>_xlfn.XLOOKUP(W110, 'Power Summary'!$C$3:$AV$3, 'Power Summary'!$C$19:$AV$19)</f>
        <v>146042.54992908644</v>
      </c>
      <c r="X115" s="68">
        <f>_xlfn.XLOOKUP(X110, 'Power Summary'!$C$3:$AV$3, 'Power Summary'!$C$19:$AV$19)</f>
        <v>144513.91774438915</v>
      </c>
      <c r="Y115" s="504">
        <f>_xlfn.XLOOKUP(Y110, 'Power Summary'!$C$3:$AV$3, 'Power Summary'!$C$19:$AV$19)</f>
        <v>142996.92081779055</v>
      </c>
      <c r="Z115" s="68">
        <f>_xlfn.XLOOKUP(Z110, 'Power Summary'!$C$3:$AV$3, 'Power Summary'!$C$19:$AV$19)</f>
        <v>141491.48101251441</v>
      </c>
      <c r="AA115" s="68">
        <f>_xlfn.XLOOKUP(AA110, 'Power Summary'!$C$3:$AV$3, 'Power Summary'!$C$19:$AV$19)</f>
        <v>139997.52068227052</v>
      </c>
      <c r="AB115" s="68">
        <f>_xlfn.XLOOKUP(AB110, 'Power Summary'!$C$3:$AV$3, 'Power Summary'!$C$19:$AV$19)</f>
        <v>138514.96266830381</v>
      </c>
      <c r="AC115" s="68">
        <f>_xlfn.XLOOKUP(AC110, 'Power Summary'!$C$3:$AV$3, 'Power Summary'!$C$19:$AV$19)</f>
        <v>137043.73029645966</v>
      </c>
      <c r="AD115" s="68">
        <f>_xlfn.XLOOKUP(AD110, 'Power Summary'!$C$3:$AV$3, 'Power Summary'!$C$19:$AV$19)</f>
        <v>135583.74737426726</v>
      </c>
      <c r="AE115" s="68">
        <f>_xlfn.XLOOKUP(AE110, 'Power Summary'!$C$3:$AV$3, 'Power Summary'!$C$19:$AV$19)</f>
        <v>0</v>
      </c>
      <c r="AF115" s="68">
        <f>_xlfn.XLOOKUP(AF110, 'Power Summary'!$C$3:$AV$3, 'Power Summary'!$C$19:$AV$19)</f>
        <v>0</v>
      </c>
      <c r="AG115" s="68">
        <f>_xlfn.XLOOKUP(AG110, 'Power Summary'!$C$3:$AV$3, 'Power Summary'!$C$19:$AV$19)</f>
        <v>0</v>
      </c>
      <c r="AH115" s="68">
        <f>_xlfn.XLOOKUP(AH110, 'Power Summary'!$C$3:$AV$3, 'Power Summary'!$C$19:$AV$19)</f>
        <v>0</v>
      </c>
      <c r="AI115" s="68">
        <f>_xlfn.XLOOKUP(AI110, 'Power Summary'!$C$3:$AV$3, 'Power Summary'!$C$19:$AV$19)</f>
        <v>0</v>
      </c>
      <c r="AJ115" s="68">
        <f>_xlfn.XLOOKUP(AJ110, 'Power Summary'!$C$3:$AV$3, 'Power Summary'!$C$19:$AV$19)</f>
        <v>0</v>
      </c>
      <c r="AK115" s="68">
        <f>_xlfn.XLOOKUP(AK110, 'Power Summary'!$C$3:$AV$3, 'Power Summary'!$C$19:$AV$19)</f>
        <v>0</v>
      </c>
      <c r="AL115" s="68">
        <f>_xlfn.XLOOKUP(AL110, 'Power Summary'!$C$3:$AV$3, 'Power Summary'!$C$19:$AV$19)</f>
        <v>0</v>
      </c>
      <c r="AM115" s="68">
        <f>_xlfn.XLOOKUP(AM110, 'Power Summary'!$C$3:$AV$3, 'Power Summary'!$C$19:$AV$19)</f>
        <v>0</v>
      </c>
      <c r="AN115" s="68">
        <f>_xlfn.XLOOKUP(AN110, 'Power Summary'!$C$3:$AV$3, 'Power Summary'!$C$19:$AV$19)</f>
        <v>0</v>
      </c>
      <c r="AO115" s="68">
        <f>_xlfn.XLOOKUP(AO110, 'Power Summary'!$C$3:$AV$3, 'Power Summary'!$C$19:$AV$19)</f>
        <v>0</v>
      </c>
      <c r="AP115" s="68">
        <f>_xlfn.XLOOKUP(AP110, 'Power Summary'!$C$3:$AV$3, 'Power Summary'!$C$19:$AV$19)</f>
        <v>0</v>
      </c>
      <c r="AQ115" s="68">
        <f>_xlfn.XLOOKUP(AQ110, 'Power Summary'!$C$3:$AV$3, 'Power Summary'!$C$19:$AV$19)</f>
        <v>0</v>
      </c>
      <c r="AR115" s="68">
        <f>_xlfn.XLOOKUP(AR110, 'Power Summary'!$C$3:$AV$3, 'Power Summary'!$C$19:$AV$19)</f>
        <v>0</v>
      </c>
      <c r="AS115" s="68">
        <f>_xlfn.XLOOKUP(AS110, 'Power Summary'!$C$3:$AV$3, 'Power Summary'!$C$19:$AV$19)</f>
        <v>0</v>
      </c>
      <c r="AT115" s="68">
        <f>_xlfn.XLOOKUP(AT110, 'Power Summary'!$C$3:$AV$3, 'Power Summary'!$C$19:$AV$19)</f>
        <v>0</v>
      </c>
      <c r="AU115" s="68">
        <f>_xlfn.XLOOKUP(AU110, 'Power Summary'!$C$3:$AV$3, 'Power Summary'!$C$19:$AV$19)</f>
        <v>0</v>
      </c>
      <c r="AV115" s="68">
        <f>_xlfn.XLOOKUP(AV110, 'Power Summary'!$C$3:$AV$3, 'Power Summary'!$C$19:$AV$19)</f>
        <v>0</v>
      </c>
      <c r="AW115" s="68">
        <f>_xlfn.XLOOKUP(AW110, 'Power Summary'!$C$3:$AV$3, 'Power Summary'!$C$19:$AV$19)</f>
        <v>0</v>
      </c>
    </row>
    <row r="116" spans="3:49" ht="15" customHeight="1">
      <c r="C116" s="48" t="s">
        <v>514</v>
      </c>
      <c r="D116" s="69">
        <f>D112*D115/$E$3</f>
        <v>0</v>
      </c>
      <c r="E116" s="69">
        <f>E112*E115/$E$3</f>
        <v>3.5740799999999999</v>
      </c>
      <c r="F116" s="69">
        <f t="shared" ref="F116:X116" si="283">F112*F115/$E$3</f>
        <v>10.854762281023458</v>
      </c>
      <c r="G116" s="69">
        <f>G112*G115/$E$3</f>
        <v>10.961138951377485</v>
      </c>
      <c r="H116" s="69">
        <f t="shared" si="283"/>
        <v>11.068275780734057</v>
      </c>
      <c r="I116" s="69">
        <f t="shared" si="283"/>
        <v>11.176171805146858</v>
      </c>
      <c r="J116" s="69">
        <f t="shared" si="283"/>
        <v>11.28482586318108</v>
      </c>
      <c r="K116" s="69">
        <f t="shared" si="283"/>
        <v>11.39423659024226</v>
      </c>
      <c r="L116" s="69">
        <f t="shared" si="283"/>
        <v>11.504402412779976</v>
      </c>
      <c r="M116" s="69">
        <f t="shared" si="283"/>
        <v>11.615321542363919</v>
      </c>
      <c r="N116" s="69">
        <f t="shared" si="283"/>
        <v>11.726991969629802</v>
      </c>
      <c r="O116" s="69">
        <f t="shared" si="283"/>
        <v>11.839411458092584</v>
      </c>
      <c r="P116" s="69">
        <f t="shared" si="283"/>
        <v>11.952577537824389</v>
      </c>
      <c r="Q116" s="69">
        <f t="shared" si="283"/>
        <v>12.066487498994384</v>
      </c>
      <c r="R116" s="69">
        <f t="shared" si="283"/>
        <v>12.181138385268076</v>
      </c>
      <c r="S116" s="69">
        <f t="shared" si="283"/>
        <v>12.296526987063066</v>
      </c>
      <c r="T116" s="69">
        <f t="shared" si="283"/>
        <v>12.412649834658637</v>
      </c>
      <c r="U116" s="69">
        <f t="shared" si="283"/>
        <v>12.529503191156159</v>
      </c>
      <c r="V116" s="69">
        <f t="shared" si="283"/>
        <v>12.647083045287514</v>
      </c>
      <c r="W116" s="69">
        <f t="shared" si="283"/>
        <v>12.765385104068516</v>
      </c>
      <c r="X116" s="69">
        <f t="shared" si="283"/>
        <v>12.88440478529431</v>
      </c>
      <c r="Y116" s="69">
        <f t="shared" ref="Y116:AW116" si="284">Y112*Y115/$E$3</f>
        <v>13.004137209873669</v>
      </c>
      <c r="Z116" s="69">
        <f t="shared" si="284"/>
        <v>13.124577193999121</v>
      </c>
      <c r="AA116" s="69">
        <f t="shared" si="284"/>
        <v>13.245719241149537</v>
      </c>
      <c r="AB116" s="69">
        <f t="shared" si="284"/>
        <v>13.367557533922202</v>
      </c>
      <c r="AC116" s="69">
        <f t="shared" si="284"/>
        <v>13.490085925690764</v>
      </c>
      <c r="AD116" s="69">
        <f t="shared" si="284"/>
        <v>13.613297932085922</v>
      </c>
      <c r="AE116" s="69">
        <f t="shared" si="284"/>
        <v>0</v>
      </c>
      <c r="AF116" s="69">
        <f t="shared" si="284"/>
        <v>0</v>
      </c>
      <c r="AG116" s="69">
        <f t="shared" si="284"/>
        <v>0</v>
      </c>
      <c r="AH116" s="69">
        <f t="shared" si="284"/>
        <v>0</v>
      </c>
      <c r="AI116" s="69">
        <f t="shared" si="284"/>
        <v>0</v>
      </c>
      <c r="AJ116" s="69">
        <f t="shared" si="284"/>
        <v>0</v>
      </c>
      <c r="AK116" s="69">
        <f t="shared" si="284"/>
        <v>0</v>
      </c>
      <c r="AL116" s="69">
        <f t="shared" si="284"/>
        <v>0</v>
      </c>
      <c r="AM116" s="69">
        <f t="shared" si="284"/>
        <v>0</v>
      </c>
      <c r="AN116" s="69">
        <f t="shared" si="284"/>
        <v>0</v>
      </c>
      <c r="AO116" s="69">
        <f t="shared" si="284"/>
        <v>0</v>
      </c>
      <c r="AP116" s="69">
        <f t="shared" si="284"/>
        <v>0</v>
      </c>
      <c r="AQ116" s="69">
        <f t="shared" si="284"/>
        <v>0</v>
      </c>
      <c r="AR116" s="69">
        <f t="shared" si="284"/>
        <v>0</v>
      </c>
      <c r="AS116" s="69">
        <f t="shared" si="284"/>
        <v>0</v>
      </c>
      <c r="AT116" s="69">
        <f t="shared" si="284"/>
        <v>0</v>
      </c>
      <c r="AU116" s="69">
        <f t="shared" si="284"/>
        <v>0</v>
      </c>
      <c r="AV116" s="69">
        <f t="shared" si="284"/>
        <v>0</v>
      </c>
      <c r="AW116" s="69">
        <f t="shared" si="284"/>
        <v>0</v>
      </c>
    </row>
    <row r="117" spans="3:49" ht="15" customHeight="1">
      <c r="C117" s="46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</row>
    <row r="118" spans="3:49" ht="15" customHeight="1">
      <c r="C118" s="49"/>
      <c r="D118" s="44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</row>
    <row r="119" spans="3:49" ht="15" customHeight="1">
      <c r="C119" s="44" t="s">
        <v>527</v>
      </c>
      <c r="D119" s="65">
        <f>'Assumptions &amp; Inputs'!$H$80*'Assumptions &amp; Inputs'!$H$77/$E$3*COUNTIF(D114,"&gt;0")*(1+'Assumptions &amp; Inputs'!$H$20)^(D108-'Assumptions &amp; Inputs'!$H$28/12)</f>
        <v>0</v>
      </c>
      <c r="E119" s="65">
        <f>'Assumptions &amp; Inputs'!$H$80*'Assumptions &amp; Inputs'!$H$77/$E$3*COUNTIF(E114,"&gt;0")*(1+'Assumptions &amp; Inputs'!$H$20)^(E108-'Assumptions &amp; Inputs'!$H$28/12)</f>
        <v>1.2316615977053664</v>
      </c>
      <c r="F119" s="65">
        <f>'Assumptions &amp; Inputs'!$H$80*'Assumptions &amp; Inputs'!$H$77/$E$3*COUNTIF(F114,"&gt;0")*(1+'Assumptions &amp; Inputs'!$H$20)^(F108-'Assumptions &amp; Inputs'!$H$28/12)</f>
        <v>1.2686114456365274</v>
      </c>
      <c r="G119" s="65">
        <f>'Assumptions &amp; Inputs'!$H$80*'Assumptions &amp; Inputs'!$H$77/$E$3*COUNTIF(G114,"&gt;0")*(1+'Assumptions &amp; Inputs'!$H$20)^(G108-'Assumptions &amp; Inputs'!$H$28/12)</f>
        <v>1.3066697890056234</v>
      </c>
      <c r="H119" s="65">
        <f>'Assumptions &amp; Inputs'!$H$80*'Assumptions &amp; Inputs'!$H$77/$E$3*COUNTIF(H114,"&gt;0")*(1+'Assumptions &amp; Inputs'!$H$20)^(H108-'Assumptions &amp; Inputs'!$H$28/12)</f>
        <v>1.345869882675792</v>
      </c>
      <c r="I119" s="65">
        <f>'Assumptions &amp; Inputs'!$H$80*'Assumptions &amp; Inputs'!$H$77/$E$3*COUNTIF(I114,"&gt;0")*(1+'Assumptions &amp; Inputs'!$H$20)^(I108-'Assumptions &amp; Inputs'!$H$28/12)</f>
        <v>1.3862459791560657</v>
      </c>
      <c r="J119" s="65">
        <f>'Assumptions &amp; Inputs'!$H$80*'Assumptions &amp; Inputs'!$H$77/$E$3*COUNTIF(J114,"&gt;0")*(1+'Assumptions &amp; Inputs'!$H$20)^(J108-'Assumptions &amp; Inputs'!$H$28/12)</f>
        <v>1.4278333585307479</v>
      </c>
      <c r="K119" s="65">
        <f>'Assumptions &amp; Inputs'!$H$80*'Assumptions &amp; Inputs'!$H$77/$E$3*COUNTIF(K114,"&gt;0")*(1+'Assumptions &amp; Inputs'!$H$20)^(K108-'Assumptions &amp; Inputs'!$H$28/12)</f>
        <v>1.4706683592866705</v>
      </c>
      <c r="L119" s="65">
        <f>'Assumptions &amp; Inputs'!$H$80*'Assumptions &amp; Inputs'!$H$77/$E$3*COUNTIF(L114,"&gt;0")*(1+'Assumptions &amp; Inputs'!$H$20)^(L108-'Assumptions &amp; Inputs'!$H$28/12)</f>
        <v>1.5147884100652707</v>
      </c>
      <c r="M119" s="65">
        <f>'Assumptions &amp; Inputs'!$H$80*'Assumptions &amp; Inputs'!$H$77/$E$3*COUNTIF(M114,"&gt;0")*(1+'Assumptions &amp; Inputs'!$H$20)^(M108-'Assumptions &amp; Inputs'!$H$28/12)</f>
        <v>1.5602320623672286</v>
      </c>
      <c r="N119" s="65">
        <f>'Assumptions &amp; Inputs'!$H$80*'Assumptions &amp; Inputs'!$H$77/$E$3*COUNTIF(N114,"&gt;0")*(1+'Assumptions &amp; Inputs'!$H$20)^(N108-'Assumptions &amp; Inputs'!$H$28/12)</f>
        <v>1.6070390242382457</v>
      </c>
      <c r="O119" s="65">
        <f>'Assumptions &amp; Inputs'!$H$80*'Assumptions &amp; Inputs'!$H$77/$E$3*COUNTIF(O114,"&gt;0")*(1+'Assumptions &amp; Inputs'!$H$20)^(O108-'Assumptions &amp; Inputs'!$H$28/12)</f>
        <v>1.6552501949653931</v>
      </c>
      <c r="P119" s="65">
        <f>'Assumptions &amp; Inputs'!$H$80*'Assumptions &amp; Inputs'!$H$77/$E$3*COUNTIF(P114,"&gt;0")*(1+'Assumptions &amp; Inputs'!$H$20)^(P108-'Assumptions &amp; Inputs'!$H$28/12)</f>
        <v>1.7049077008143549</v>
      </c>
      <c r="Q119" s="65">
        <f>'Assumptions &amp; Inputs'!$H$80*'Assumptions &amp; Inputs'!$H$77/$E$3*COUNTIF(Q114,"&gt;0")*(1+'Assumptions &amp; Inputs'!$H$20)^(Q108-'Assumptions &amp; Inputs'!$H$28/12)</f>
        <v>1.7560549318387855</v>
      </c>
      <c r="R119" s="65">
        <f>'Assumptions &amp; Inputs'!$H$80*'Assumptions &amp; Inputs'!$H$77/$E$3*COUNTIF(R114,"&gt;0")*(1+'Assumptions &amp; Inputs'!$H$20)^(R108-'Assumptions &amp; Inputs'!$H$28/12)</f>
        <v>1.8087365797939492</v>
      </c>
      <c r="S119" s="65">
        <f>'Assumptions &amp; Inputs'!$H$80*'Assumptions &amp; Inputs'!$H$77/$E$3*COUNTIF(S114,"&gt;0")*(1+'Assumptions &amp; Inputs'!$H$20)^(S108-'Assumptions &amp; Inputs'!$H$28/12)</f>
        <v>1.8629986771877678</v>
      </c>
      <c r="T119" s="65">
        <f>'Assumptions &amp; Inputs'!$H$80*'Assumptions &amp; Inputs'!$H$77/$E$3*COUNTIF(T114,"&gt;0")*(1+'Assumptions &amp; Inputs'!$H$20)^(T108-'Assumptions &amp; Inputs'!$H$28/12)</f>
        <v>1.9188886375034007</v>
      </c>
      <c r="U119" s="65">
        <f>'Assumptions &amp; Inputs'!$H$80*'Assumptions &amp; Inputs'!$H$77/$E$3*COUNTIF(U114,"&gt;0")*(1+'Assumptions &amp; Inputs'!$H$20)^(U108-'Assumptions &amp; Inputs'!$H$28/12)</f>
        <v>1.9764552966285029</v>
      </c>
      <c r="V119" s="65">
        <f>'Assumptions &amp; Inputs'!$H$80*'Assumptions &amp; Inputs'!$H$77/$E$3*COUNTIF(V114,"&gt;0")*(1+'Assumptions &amp; Inputs'!$H$20)^(V108-'Assumptions &amp; Inputs'!$H$28/12)</f>
        <v>2.0357489555273576</v>
      </c>
      <c r="W119" s="65">
        <f>'Assumptions &amp; Inputs'!$H$80*'Assumptions &amp; Inputs'!$H$77/$E$3*COUNTIF(W114,"&gt;0")*(1+'Assumptions &amp; Inputs'!$H$20)^(W108-'Assumptions &amp; Inputs'!$H$28/12)</f>
        <v>2.0968214241931786</v>
      </c>
      <c r="X119" s="65">
        <f>'Assumptions &amp; Inputs'!$H$80*'Assumptions &amp; Inputs'!$H$77/$E$3*COUNTIF(X114,"&gt;0")*(1+'Assumptions &amp; Inputs'!$H$20)^(X108-'Assumptions &amp; Inputs'!$H$28/12)</f>
        <v>2.159726066918974</v>
      </c>
      <c r="Y119" s="65">
        <f>'Assumptions &amp; Inputs'!$H$80*'Assumptions &amp; Inputs'!$H$77/$E$3*COUNTIF(Y114,"&gt;0")*(1+'Assumptions &amp; Inputs'!$H$20)^(Y108-'Assumptions &amp; Inputs'!$H$28/12)</f>
        <v>2.2245178489265434</v>
      </c>
      <c r="Z119" s="65">
        <f>'Assumptions &amp; Inputs'!$H$80*'Assumptions &amp; Inputs'!$H$77/$E$3*COUNTIF(Z114,"&gt;0")*(1+'Assumptions &amp; Inputs'!$H$20)^(Z108-'Assumptions &amp; Inputs'!$H$28/12)</f>
        <v>2.2912533843943397</v>
      </c>
      <c r="AA119" s="65">
        <f>'Assumptions &amp; Inputs'!$H$80*'Assumptions &amp; Inputs'!$H$77/$E$3*COUNTIF(AA114,"&gt;0")*(1+'Assumptions &amp; Inputs'!$H$20)^(AA108-'Assumptions &amp; Inputs'!$H$28/12)</f>
        <v>2.3599909859261698</v>
      </c>
      <c r="AB119" s="65">
        <f>'Assumptions &amp; Inputs'!$H$80*'Assumptions &amp; Inputs'!$H$77/$E$3*COUNTIF(AB114,"&gt;0")*(1+'Assumptions &amp; Inputs'!$H$20)^(AB108-'Assumptions &amp; Inputs'!$H$28/12)</f>
        <v>2.4307907155039552</v>
      </c>
      <c r="AC119" s="65">
        <f>'Assumptions &amp; Inputs'!$H$80*'Assumptions &amp; Inputs'!$H$77/$E$3*COUNTIF(AC114,"&gt;0")*(1+'Assumptions &amp; Inputs'!$H$20)^(AC108-'Assumptions &amp; Inputs'!$H$28/12)</f>
        <v>2.5037144369690738</v>
      </c>
      <c r="AD119" s="65">
        <f>'Assumptions &amp; Inputs'!$H$80*'Assumptions &amp; Inputs'!$H$77/$E$3*COUNTIF(AD114,"&gt;0")*(1+'Assumptions &amp; Inputs'!$H$20)^(AD108-'Assumptions &amp; Inputs'!$H$28/12)</f>
        <v>2.5788258700781466</v>
      </c>
      <c r="AE119" s="65">
        <f>'Assumptions &amp; Inputs'!$H$80*'Assumptions &amp; Inputs'!$H$77/$E$3*COUNTIF(AE114,"&gt;0")*(1+'Assumptions &amp; Inputs'!$H$20)^(AE108-'Assumptions &amp; Inputs'!$H$28/12)</f>
        <v>0</v>
      </c>
      <c r="AF119" s="65">
        <f>'Assumptions &amp; Inputs'!$H$80*'Assumptions &amp; Inputs'!$H$77/$E$3*COUNTIF(AF114,"&gt;0")*(1+'Assumptions &amp; Inputs'!$H$20)^(AF108-'Assumptions &amp; Inputs'!$H$28/12)</f>
        <v>0</v>
      </c>
      <c r="AG119" s="65">
        <f>'Assumptions &amp; Inputs'!$H$80*'Assumptions &amp; Inputs'!$H$77/$E$3*COUNTIF(AG114,"&gt;0")*(1+'Assumptions &amp; Inputs'!$H$20)^(AG108-'Assumptions &amp; Inputs'!$H$28/12)</f>
        <v>0</v>
      </c>
      <c r="AH119" s="65">
        <f>'Assumptions &amp; Inputs'!$H$80*'Assumptions &amp; Inputs'!$H$77/$E$3*COUNTIF(AH114,"&gt;0")*(1+'Assumptions &amp; Inputs'!$H$20)^(AH108-'Assumptions &amp; Inputs'!$H$28/12)</f>
        <v>0</v>
      </c>
      <c r="AI119" s="65">
        <f>'Assumptions &amp; Inputs'!$H$80*'Assumptions &amp; Inputs'!$H$77/$E$3*COUNTIF(AI114,"&gt;0")*(1+'Assumptions &amp; Inputs'!$H$20)^(AI108-'Assumptions &amp; Inputs'!$H$28/12)</f>
        <v>0</v>
      </c>
      <c r="AJ119" s="65">
        <f>'Assumptions &amp; Inputs'!$H$80*'Assumptions &amp; Inputs'!$H$77/$E$3*COUNTIF(AJ114,"&gt;0")*(1+'Assumptions &amp; Inputs'!$H$20)^(AJ108-'Assumptions &amp; Inputs'!$H$28/12)</f>
        <v>0</v>
      </c>
      <c r="AK119" s="65">
        <f>'Assumptions &amp; Inputs'!$H$80*'Assumptions &amp; Inputs'!$H$77/$E$3*COUNTIF(AK114,"&gt;0")*(1+'Assumptions &amp; Inputs'!$H$20)^(AK108-'Assumptions &amp; Inputs'!$H$28/12)</f>
        <v>0</v>
      </c>
      <c r="AL119" s="65">
        <f>'Assumptions &amp; Inputs'!$H$80*'Assumptions &amp; Inputs'!$H$77/$E$3*COUNTIF(AL114,"&gt;0")*(1+'Assumptions &amp; Inputs'!$H$20)^(AL108-'Assumptions &amp; Inputs'!$H$28/12)</f>
        <v>0</v>
      </c>
      <c r="AM119" s="65">
        <f>'Assumptions &amp; Inputs'!$H$80*'Assumptions &amp; Inputs'!$H$77/$E$3*COUNTIF(AM114,"&gt;0")*(1+'Assumptions &amp; Inputs'!$H$20)^(AM108-'Assumptions &amp; Inputs'!$H$28/12)</f>
        <v>0</v>
      </c>
      <c r="AN119" s="65">
        <f>'Assumptions &amp; Inputs'!$H$80*'Assumptions &amp; Inputs'!$H$77/$E$3*COUNTIF(AN114,"&gt;0")*(1+'Assumptions &amp; Inputs'!$H$20)^(AN108-'Assumptions &amp; Inputs'!$H$28/12)</f>
        <v>0</v>
      </c>
      <c r="AO119" s="65">
        <f>'Assumptions &amp; Inputs'!$H$80*'Assumptions &amp; Inputs'!$H$77/$E$3*COUNTIF(AO114,"&gt;0")*(1+'Assumptions &amp; Inputs'!$H$20)^(AO108-'Assumptions &amp; Inputs'!$H$28/12)</f>
        <v>0</v>
      </c>
      <c r="AP119" s="65">
        <f>'Assumptions &amp; Inputs'!$H$80*'Assumptions &amp; Inputs'!$H$77/$E$3*COUNTIF(AP114,"&gt;0")*(1+'Assumptions &amp; Inputs'!$H$20)^(AP108-'Assumptions &amp; Inputs'!$H$28/12)</f>
        <v>0</v>
      </c>
      <c r="AQ119" s="65">
        <f>'Assumptions &amp; Inputs'!$H$80*'Assumptions &amp; Inputs'!$H$77/$E$3*COUNTIF(AQ114,"&gt;0")*(1+'Assumptions &amp; Inputs'!$H$20)^(AQ108-'Assumptions &amp; Inputs'!$H$28/12)</f>
        <v>0</v>
      </c>
      <c r="AR119" s="65">
        <f>'Assumptions &amp; Inputs'!$H$80*'Assumptions &amp; Inputs'!$H$77/$E$3*COUNTIF(AR114,"&gt;0")*(1+'Assumptions &amp; Inputs'!$H$20)^(AR108-'Assumptions &amp; Inputs'!$H$28/12)</f>
        <v>0</v>
      </c>
      <c r="AS119" s="65">
        <f>'Assumptions &amp; Inputs'!$H$80*'Assumptions &amp; Inputs'!$H$77/$E$3*COUNTIF(AS114,"&gt;0")*(1+'Assumptions &amp; Inputs'!$H$20)^(AS108-'Assumptions &amp; Inputs'!$H$28/12)</f>
        <v>0</v>
      </c>
      <c r="AT119" s="65">
        <f>'Assumptions &amp; Inputs'!$H$80*'Assumptions &amp; Inputs'!$H$77/$E$3*COUNTIF(AT114,"&gt;0")*(1+'Assumptions &amp; Inputs'!$H$20)^(AT108-'Assumptions &amp; Inputs'!$H$28/12)</f>
        <v>0</v>
      </c>
      <c r="AU119" s="65">
        <f>'Assumptions &amp; Inputs'!$H$80*'Assumptions &amp; Inputs'!$H$77/$E$3*COUNTIF(AU114,"&gt;0")*(1+'Assumptions &amp; Inputs'!$H$20)^(AU108-'Assumptions &amp; Inputs'!$H$28/12)</f>
        <v>0</v>
      </c>
      <c r="AV119" s="65">
        <f>'Assumptions &amp; Inputs'!$H$80*'Assumptions &amp; Inputs'!$H$77/$E$3*COUNTIF(AV114,"&gt;0")*(1+'Assumptions &amp; Inputs'!$H$20)^(AV108-'Assumptions &amp; Inputs'!$H$28/12)</f>
        <v>0</v>
      </c>
      <c r="AW119" s="65">
        <f>'Assumptions &amp; Inputs'!$H$80*'Assumptions &amp; Inputs'!$H$77/$E$3*COUNTIF(AW114,"&gt;0")*(1+'Assumptions &amp; Inputs'!$H$20)^(AW108-'Assumptions &amp; Inputs'!$H$28/12)</f>
        <v>0</v>
      </c>
    </row>
    <row r="120" spans="3:49" ht="15" customHeight="1">
      <c r="C120" s="44" t="s">
        <v>528</v>
      </c>
      <c r="D120" s="65">
        <f>'Assumptions &amp; Inputs'!$H$23*'Assumptions &amp; Inputs'!$H$77/$E$3*COUNTIF(D114,"&gt;0")*(1+'Assumptions &amp; Inputs'!$H$20)^(D108-'Assumptions &amp; Inputs'!$H$28/12)</f>
        <v>0</v>
      </c>
      <c r="E120" s="65">
        <f>'Assumptions &amp; Inputs'!$H$23*'Assumptions &amp; Inputs'!$H$77/$E$3*COUNTIF(E114,"&gt;0")*(1+'Assumptions &amp; Inputs'!$H$20)^(E108-'Assumptions &amp; Inputs'!$H$28/12)</f>
        <v>9.8532927816429308E-7</v>
      </c>
      <c r="F120" s="65">
        <f>'Assumptions &amp; Inputs'!$H$23*'Assumptions &amp; Inputs'!$H$77/$E$3*COUNTIF(F114,"&gt;0")*(1+'Assumptions &amp; Inputs'!$H$20)^(F108-'Assumptions &amp; Inputs'!$H$28/12)</f>
        <v>1.0148891565092219E-6</v>
      </c>
      <c r="G120" s="65">
        <f>'Assumptions &amp; Inputs'!$H$23*'Assumptions &amp; Inputs'!$H$77/$E$3*COUNTIF(G114,"&gt;0")*(1+'Assumptions &amp; Inputs'!$H$20)^(G108-'Assumptions &amp; Inputs'!$H$28/12)</f>
        <v>1.0453358312044986E-6</v>
      </c>
      <c r="H120" s="65">
        <f>'Assumptions &amp; Inputs'!$H$23*'Assumptions &amp; Inputs'!$H$77/$E$3*COUNTIF(H114,"&gt;0")*(1+'Assumptions &amp; Inputs'!$H$20)^(H108-'Assumptions &amp; Inputs'!$H$28/12)</f>
        <v>1.0766959061406335E-6</v>
      </c>
      <c r="I120" s="65">
        <f>'Assumptions &amp; Inputs'!$H$23*'Assumptions &amp; Inputs'!$H$77/$E$3*COUNTIF(I114,"&gt;0")*(1+'Assumptions &amp; Inputs'!$H$20)^(I108-'Assumptions &amp; Inputs'!$H$28/12)</f>
        <v>1.1089967833248526E-6</v>
      </c>
      <c r="J120" s="65">
        <f>'Assumptions &amp; Inputs'!$H$23*'Assumptions &amp; Inputs'!$H$77/$E$3*COUNTIF(J114,"&gt;0")*(1+'Assumptions &amp; Inputs'!$H$20)^(J108-'Assumptions &amp; Inputs'!$H$28/12)</f>
        <v>1.1422666868245983E-6</v>
      </c>
      <c r="K120" s="65">
        <f>'Assumptions &amp; Inputs'!$H$23*'Assumptions &amp; Inputs'!$H$77/$E$3*COUNTIF(K114,"&gt;0")*(1+'Assumptions &amp; Inputs'!$H$20)^(K108-'Assumptions &amp; Inputs'!$H$28/12)</f>
        <v>1.1765346874293362E-6</v>
      </c>
      <c r="L120" s="65">
        <f>'Assumptions &amp; Inputs'!$H$23*'Assumptions &amp; Inputs'!$H$77/$E$3*COUNTIF(L114,"&gt;0")*(1+'Assumptions &amp; Inputs'!$H$20)^(L108-'Assumptions &amp; Inputs'!$H$28/12)</f>
        <v>1.2118307280522165E-6</v>
      </c>
      <c r="M120" s="65">
        <f>'Assumptions &amp; Inputs'!$H$23*'Assumptions &amp; Inputs'!$H$77/$E$3*COUNTIF(M114,"&gt;0")*(1+'Assumptions &amp; Inputs'!$H$20)^(M108-'Assumptions &amp; Inputs'!$H$28/12)</f>
        <v>1.2481856498937829E-6</v>
      </c>
      <c r="N120" s="65">
        <f>'Assumptions &amp; Inputs'!$H$23*'Assumptions &amp; Inputs'!$H$77/$E$3*COUNTIF(N114,"&gt;0")*(1+'Assumptions &amp; Inputs'!$H$20)^(N108-'Assumptions &amp; Inputs'!$H$28/12)</f>
        <v>1.2856312193905964E-6</v>
      </c>
      <c r="O120" s="65">
        <f>'Assumptions &amp; Inputs'!$H$23*'Assumptions &amp; Inputs'!$H$77/$E$3*COUNTIF(O114,"&gt;0")*(1+'Assumptions &amp; Inputs'!$H$20)^(O108-'Assumptions &amp; Inputs'!$H$28/12)</f>
        <v>1.3242001559723144E-6</v>
      </c>
      <c r="P120" s="65">
        <f>'Assumptions &amp; Inputs'!$H$23*'Assumptions &amp; Inputs'!$H$77/$E$3*COUNTIF(P114,"&gt;0")*(1+'Assumptions &amp; Inputs'!$H$20)^(P108-'Assumptions &amp; Inputs'!$H$28/12)</f>
        <v>1.3639261606514837E-6</v>
      </c>
      <c r="Q120" s="65">
        <f>'Assumptions &amp; Inputs'!$H$23*'Assumptions &amp; Inputs'!$H$77/$E$3*COUNTIF(Q114,"&gt;0")*(1+'Assumptions &amp; Inputs'!$H$20)^(Q108-'Assumptions &amp; Inputs'!$H$28/12)</f>
        <v>1.4048439454710284E-6</v>
      </c>
      <c r="R120" s="65">
        <f>'Assumptions &amp; Inputs'!$H$23*'Assumptions &amp; Inputs'!$H$77/$E$3*COUNTIF(R114,"&gt;0")*(1+'Assumptions &amp; Inputs'!$H$20)^(R108-'Assumptions &amp; Inputs'!$H$28/12)</f>
        <v>1.4469892638351592E-6</v>
      </c>
      <c r="S120" s="65">
        <f>'Assumptions &amp; Inputs'!$H$23*'Assumptions &amp; Inputs'!$H$77/$E$3*COUNTIF(S114,"&gt;0")*(1+'Assumptions &amp; Inputs'!$H$20)^(S108-'Assumptions &amp; Inputs'!$H$28/12)</f>
        <v>1.4903989417502141E-6</v>
      </c>
      <c r="T120" s="65">
        <f>'Assumptions &amp; Inputs'!$H$23*'Assumptions &amp; Inputs'!$H$77/$E$3*COUNTIF(T114,"&gt;0")*(1+'Assumptions &amp; Inputs'!$H$20)^(T108-'Assumptions &amp; Inputs'!$H$28/12)</f>
        <v>1.5351109100027204E-6</v>
      </c>
      <c r="U120" s="65">
        <f>'Assumptions &amp; Inputs'!$H$23*'Assumptions &amp; Inputs'!$H$77/$E$3*COUNTIF(U114,"&gt;0")*(1+'Assumptions &amp; Inputs'!$H$20)^(U108-'Assumptions &amp; Inputs'!$H$28/12)</f>
        <v>1.5811642373028022E-6</v>
      </c>
      <c r="V120" s="65">
        <f>'Assumptions &amp; Inputs'!$H$23*'Assumptions &amp; Inputs'!$H$77/$E$3*COUNTIF(V114,"&gt;0")*(1+'Assumptions &amp; Inputs'!$H$20)^(V108-'Assumptions &amp; Inputs'!$H$28/12)</f>
        <v>1.6285991644218862E-6</v>
      </c>
      <c r="W120" s="65">
        <f>'Assumptions &amp; Inputs'!$H$23*'Assumptions &amp; Inputs'!$H$77/$E$3*COUNTIF(W114,"&gt;0")*(1+'Assumptions &amp; Inputs'!$H$20)^(W108-'Assumptions &amp; Inputs'!$H$28/12)</f>
        <v>1.6774571393545429E-6</v>
      </c>
      <c r="X120" s="65">
        <f>'Assumptions &amp; Inputs'!$H$23*'Assumptions &amp; Inputs'!$H$77*(1+'Assumptions &amp; Inputs'!$H$20)^(X108-'Assumptions &amp; Inputs'!$H$28/12)/$E$3</f>
        <v>1.7277808535351792E-6</v>
      </c>
      <c r="Y120" s="65">
        <f>'Assumptions &amp; Inputs'!$H$23*'Assumptions &amp; Inputs'!$H$77*(1+'Assumptions &amp; Inputs'!$H$20)^(Y108-'Assumptions &amp; Inputs'!$H$28/12)/$E$3</f>
        <v>1.7796142791412346E-6</v>
      </c>
      <c r="Z120" s="65">
        <f>'Assumptions &amp; Inputs'!$H$23*'Assumptions &amp; Inputs'!$H$77*(1+'Assumptions &amp; Inputs'!$H$20)^(Z108-'Assumptions &amp; Inputs'!$H$28/12)/$E$3</f>
        <v>1.8330027075154717E-6</v>
      </c>
      <c r="AA120" s="65">
        <f>'Assumptions &amp; Inputs'!$H$23*'Assumptions &amp; Inputs'!$H$77*(1+'Assumptions &amp; Inputs'!$H$20)^(AA108-'Assumptions &amp; Inputs'!$H$28/12)/$E$3</f>
        <v>1.887992788740936E-6</v>
      </c>
      <c r="AB120" s="65">
        <f>'Assumptions &amp; Inputs'!$H$23*'Assumptions &amp; Inputs'!$H$77*(1+'Assumptions &amp; Inputs'!$H$20)^(AB108-'Assumptions &amp; Inputs'!$H$28/12)/$E$3</f>
        <v>1.9446325724031639E-6</v>
      </c>
      <c r="AC120" s="65">
        <f>'Assumptions &amp; Inputs'!$H$23*'Assumptions &amp; Inputs'!$H$77*(1+'Assumptions &amp; Inputs'!$H$20)^(AC108-'Assumptions &amp; Inputs'!$H$28/12)/$E$3</f>
        <v>2.0029715495752592E-6</v>
      </c>
      <c r="AD120" s="65">
        <f>'Assumptions &amp; Inputs'!$H$23*'Assumptions &amp; Inputs'!$H$77*(1+'Assumptions &amp; Inputs'!$H$20)^(AD108-'Assumptions &amp; Inputs'!$H$28/12)/$E$3</f>
        <v>2.0630606960625169E-6</v>
      </c>
      <c r="AE120" s="65">
        <f>'Assumptions &amp; Inputs'!$H$23*'Assumptions &amp; Inputs'!$H$77*(1+'Assumptions &amp; Inputs'!$H$20)^(AE108-'Assumptions &amp; Inputs'!$H$28/12)/$E$3</f>
        <v>2.1249525169443927E-6</v>
      </c>
      <c r="AF120" s="65">
        <f>'Assumptions &amp; Inputs'!$H$23*'Assumptions &amp; Inputs'!$H$77*(1+'Assumptions &amp; Inputs'!$H$20)^(AF108-'Assumptions &amp; Inputs'!$H$28/12)/$E$3</f>
        <v>2.1887010924527248E-6</v>
      </c>
      <c r="AG120" s="65">
        <f>'Assumptions &amp; Inputs'!$H$23*'Assumptions &amp; Inputs'!$H$77*(1+'Assumptions &amp; Inputs'!$H$20)^(AG108-'Assumptions &amp; Inputs'!$H$28/12)/$E$3</f>
        <v>2.2543621252263061E-6</v>
      </c>
      <c r="AH120" s="65">
        <f>'Assumptions &amp; Inputs'!$H$23*'Assumptions &amp; Inputs'!$H$77*(1+'Assumptions &amp; Inputs'!$H$20)^(AH108-'Assumptions &amp; Inputs'!$H$28/12)/$E$3</f>
        <v>2.3219929889830952E-6</v>
      </c>
      <c r="AI120" s="65">
        <f>'Assumptions &amp; Inputs'!$H$23*'Assumptions &amp; Inputs'!$H$77*(1+'Assumptions &amp; Inputs'!$H$20)^(AI108-'Assumptions &amp; Inputs'!$H$28/12)/$E$3</f>
        <v>2.3916527786525884E-6</v>
      </c>
      <c r="AJ120" s="65">
        <f>'Assumptions &amp; Inputs'!$H$23*'Assumptions &amp; Inputs'!$H$77*(1+'Assumptions &amp; Inputs'!$H$20)^(AJ108-'Assumptions &amp; Inputs'!$H$28/12)/$E$3</f>
        <v>2.4634023620121658E-6</v>
      </c>
      <c r="AK120" s="65">
        <f>'Assumptions &amp; Inputs'!$H$23*'Assumptions &amp; Inputs'!$H$77*(1+'Assumptions &amp; Inputs'!$H$20)^(AK108-'Assumptions &amp; Inputs'!$H$28/12)/$E$3</f>
        <v>2.537304432872531E-6</v>
      </c>
      <c r="AL120" s="65">
        <f>'Assumptions &amp; Inputs'!$H$23*'Assumptions &amp; Inputs'!$H$77*(1+'Assumptions &amp; Inputs'!$H$20)^(AL108-'Assumptions &amp; Inputs'!$H$28/12)/$E$3</f>
        <v>2.6134235658587073E-6</v>
      </c>
      <c r="AM120" s="65">
        <f>'Assumptions &amp; Inputs'!$H$23*'Assumptions &amp; Inputs'!$H$77*(1+'Assumptions &amp; Inputs'!$H$20)^(AM108-'Assumptions &amp; Inputs'!$H$28/12)/$E$3</f>
        <v>2.6918262728344683E-6</v>
      </c>
      <c r="AN120" s="65">
        <f>'Assumptions &amp; Inputs'!$H$23*'Assumptions &amp; Inputs'!$H$77*(1+'Assumptions &amp; Inputs'!$H$20)^(AN108-'Assumptions &amp; Inputs'!$H$28/12)/$E$3</f>
        <v>2.7725810610195027E-6</v>
      </c>
      <c r="AO120" s="65">
        <f>'Assumptions &amp; Inputs'!$H$23*'Assumptions &amp; Inputs'!$H$77*(1+'Assumptions &amp; Inputs'!$H$20)^(AO108-'Assumptions &amp; Inputs'!$H$28/12)/$E$3</f>
        <v>2.8557584928500874E-6</v>
      </c>
      <c r="AP120" s="65">
        <f>'Assumptions &amp; Inputs'!$H$23*'Assumptions &amp; Inputs'!$H$77*(1+'Assumptions &amp; Inputs'!$H$20)^(AP108-'Assumptions &amp; Inputs'!$H$28/12)/$E$3</f>
        <v>2.9414312476355905E-6</v>
      </c>
      <c r="AQ120" s="65">
        <f>'Assumptions &amp; Inputs'!$H$23*'Assumptions &amp; Inputs'!$H$77*(1+'Assumptions &amp; Inputs'!$H$20)^(AQ108-'Assumptions &amp; Inputs'!$H$28/12)/$E$3</f>
        <v>3.0296741850646581E-6</v>
      </c>
      <c r="AR120" s="65">
        <f>'Assumptions &amp; Inputs'!$H$23*'Assumptions &amp; Inputs'!$H$77*(1+'Assumptions &amp; Inputs'!$H$20)^(AR108-'Assumptions &amp; Inputs'!$H$28/12)/$E$3</f>
        <v>3.1205644106165973E-6</v>
      </c>
      <c r="AS120" s="65">
        <f>'Assumptions &amp; Inputs'!$H$23*'Assumptions &amp; Inputs'!$H$77*(1+'Assumptions &amp; Inputs'!$H$20)^(AS108-'Assumptions &amp; Inputs'!$H$28/12)/$E$3</f>
        <v>3.2141813429350959E-6</v>
      </c>
      <c r="AT120" s="65">
        <f>'Assumptions &amp; Inputs'!$H$23*'Assumptions &amp; Inputs'!$H$77*(1+'Assumptions &amp; Inputs'!$H$20)^(AT108-'Assumptions &amp; Inputs'!$H$28/12)/$E$3</f>
        <v>3.310606783223149E-6</v>
      </c>
      <c r="AU120" s="65">
        <f>'Assumptions &amp; Inputs'!$H$23*'Assumptions &amp; Inputs'!$H$77*(1+'Assumptions &amp; Inputs'!$H$20)^(AU108-'Assumptions &amp; Inputs'!$H$28/12)/$E$3</f>
        <v>3.4099249867198433E-6</v>
      </c>
      <c r="AV120" s="65">
        <f>'Assumptions &amp; Inputs'!$H$23*'Assumptions &amp; Inputs'!$H$77*(1+'Assumptions &amp; Inputs'!$H$20)^(AV108-'Assumptions &amp; Inputs'!$H$28/12)/$E$3</f>
        <v>3.5122227363214387E-6</v>
      </c>
      <c r="AW120" s="65">
        <f>'Assumptions &amp; Inputs'!$H$23*'Assumptions &amp; Inputs'!$H$77*(1+'Assumptions &amp; Inputs'!$H$20)^(AW108-'Assumptions &amp; Inputs'!$H$28/12)/$E$3</f>
        <v>3.6175894184110823E-6</v>
      </c>
    </row>
    <row r="121" spans="3:49" ht="14.25" customHeight="1">
      <c r="C121" s="44" t="s">
        <v>239</v>
      </c>
      <c r="D121" s="273">
        <f>_xlfn.XLOOKUP(D110, 'Real Estate'!$D$103:$BA$103, 'Real Estate'!$D$107:$BA$107)</f>
        <v>0</v>
      </c>
      <c r="E121" s="273">
        <f>_xlfn.XLOOKUP(E110, 'Real Estate'!$D$103:$BA$103, 'Real Estate'!$D$107:$BA$107)</f>
        <v>0</v>
      </c>
      <c r="F121" s="273">
        <f>_xlfn.XLOOKUP(F110, 'Real Estate'!$D$103:$BA$103, 'Real Estate'!$D$107:$BA$107)</f>
        <v>0</v>
      </c>
      <c r="G121" s="273">
        <f>_xlfn.XLOOKUP(G110, 'Real Estate'!$D$103:$BA$103, 'Real Estate'!$D$107:$BA$107)</f>
        <v>0</v>
      </c>
      <c r="H121" s="273">
        <f>_xlfn.XLOOKUP(H110, 'Real Estate'!$D$103:$BA$103, 'Real Estate'!$D$107:$BA$107)</f>
        <v>0</v>
      </c>
      <c r="I121" s="273">
        <f>_xlfn.XLOOKUP(I110, 'Real Estate'!$D$103:$BA$103, 'Real Estate'!$D$107:$BA$107)</f>
        <v>0</v>
      </c>
      <c r="J121" s="273">
        <f>_xlfn.XLOOKUP(J110, 'Real Estate'!$D$103:$BA$103, 'Real Estate'!$D$107:$BA$107)</f>
        <v>0</v>
      </c>
      <c r="K121" s="273">
        <f>_xlfn.XLOOKUP(K110, 'Real Estate'!$D$103:$BA$103, 'Real Estate'!$D$107:$BA$107)</f>
        <v>0</v>
      </c>
      <c r="L121" s="273">
        <f>_xlfn.XLOOKUP(L110, 'Real Estate'!$D$103:$BA$103, 'Real Estate'!$D$107:$BA$107)</f>
        <v>0</v>
      </c>
      <c r="M121" s="273">
        <f>_xlfn.XLOOKUP(M110, 'Real Estate'!$D$103:$BA$103, 'Real Estate'!$D$107:$BA$107)</f>
        <v>0</v>
      </c>
      <c r="N121" s="273">
        <f>_xlfn.XLOOKUP(N110, 'Real Estate'!$D$103:$BA$103, 'Real Estate'!$D$107:$BA$107)</f>
        <v>0</v>
      </c>
      <c r="O121" s="273">
        <f>_xlfn.XLOOKUP(O110, 'Real Estate'!$D$103:$BA$103, 'Real Estate'!$D$107:$BA$107)</f>
        <v>0</v>
      </c>
      <c r="P121" s="273">
        <f>_xlfn.XLOOKUP(P110, 'Real Estate'!$D$103:$BA$103, 'Real Estate'!$D$107:$BA$107)</f>
        <v>0</v>
      </c>
      <c r="Q121" s="273">
        <f>_xlfn.XLOOKUP(Q110, 'Real Estate'!$D$103:$BA$103, 'Real Estate'!$D$107:$BA$107)</f>
        <v>0</v>
      </c>
      <c r="R121" s="273">
        <f>_xlfn.XLOOKUP(R110, 'Real Estate'!$D$103:$BA$103, 'Real Estate'!$D$107:$BA$107)</f>
        <v>0</v>
      </c>
      <c r="S121" s="273">
        <f>_xlfn.XLOOKUP(S110, 'Real Estate'!$D$103:$BA$103, 'Real Estate'!$D$107:$BA$107)</f>
        <v>0</v>
      </c>
      <c r="T121" s="273">
        <f>_xlfn.XLOOKUP(T110, 'Real Estate'!$D$103:$BA$103, 'Real Estate'!$D$107:$BA$107)</f>
        <v>0</v>
      </c>
      <c r="U121" s="273">
        <f>_xlfn.XLOOKUP(U110, 'Real Estate'!$D$103:$BA$103, 'Real Estate'!$D$107:$BA$107)</f>
        <v>0</v>
      </c>
      <c r="V121" s="273">
        <f>_xlfn.XLOOKUP(V110, 'Real Estate'!$D$103:$BA$103, 'Real Estate'!$D$107:$BA$107)</f>
        <v>0</v>
      </c>
      <c r="W121" s="273">
        <f>_xlfn.XLOOKUP(W110, 'Real Estate'!$D$103:$BA$103, 'Real Estate'!$D$107:$BA$107)</f>
        <v>0</v>
      </c>
      <c r="X121" s="273">
        <f>_xlfn.XLOOKUP(X110, 'Real Estate'!$D$103:$BA$103, 'Real Estate'!$D$107:$BA$107)</f>
        <v>0</v>
      </c>
      <c r="Y121" s="273">
        <f>_xlfn.XLOOKUP(Y110, 'Real Estate'!$D$103:$BA$103, 'Real Estate'!$D$107:$BA$107)</f>
        <v>0</v>
      </c>
      <c r="Z121" s="273">
        <f>_xlfn.XLOOKUP(Z110, 'Real Estate'!$D$103:$BA$103, 'Real Estate'!$D$107:$BA$107)</f>
        <v>0</v>
      </c>
      <c r="AA121" s="273">
        <f>_xlfn.XLOOKUP(AA110, 'Real Estate'!$D$103:$BA$103, 'Real Estate'!$D$107:$BA$107)</f>
        <v>0</v>
      </c>
      <c r="AB121" s="273">
        <f>_xlfn.XLOOKUP(AB110, 'Real Estate'!$D$103:$BA$103, 'Real Estate'!$D$107:$BA$107)</f>
        <v>0</v>
      </c>
      <c r="AC121" s="273">
        <f>_xlfn.XLOOKUP(AC110, 'Real Estate'!$D$103:$BA$103, 'Real Estate'!$D$107:$BA$107)</f>
        <v>0</v>
      </c>
      <c r="AD121" s="273">
        <f>_xlfn.XLOOKUP(AD110, 'Real Estate'!$D$103:$BA$103, 'Real Estate'!$D$107:$BA$107)</f>
        <v>0</v>
      </c>
      <c r="AE121" s="273">
        <f>_xlfn.XLOOKUP(AE110, 'Real Estate'!$D$103:$BA$103, 'Real Estate'!$D$107:$BA$107)</f>
        <v>0</v>
      </c>
      <c r="AF121" s="273">
        <f>_xlfn.XLOOKUP(AF110, 'Real Estate'!$D$103:$BA$103, 'Real Estate'!$D$107:$BA$107)</f>
        <v>0</v>
      </c>
      <c r="AG121" s="273">
        <f>_xlfn.XLOOKUP(AG110, 'Real Estate'!$D$103:$BA$103, 'Real Estate'!$D$107:$BA$107)</f>
        <v>0</v>
      </c>
      <c r="AH121" s="273">
        <f>_xlfn.XLOOKUP(AH110, 'Real Estate'!$D$103:$BA$103, 'Real Estate'!$D$107:$BA$107)</f>
        <v>0</v>
      </c>
      <c r="AI121" s="273">
        <f>_xlfn.XLOOKUP(AI110, 'Real Estate'!$D$103:$BA$103, 'Real Estate'!$D$107:$BA$107)</f>
        <v>0</v>
      </c>
      <c r="AJ121" s="273">
        <f>_xlfn.XLOOKUP(AJ110, 'Real Estate'!$D$103:$BA$103, 'Real Estate'!$D$107:$BA$107)</f>
        <v>0</v>
      </c>
      <c r="AK121" s="273">
        <f>_xlfn.XLOOKUP(AK110, 'Real Estate'!$D$103:$BA$103, 'Real Estate'!$D$107:$BA$107)</f>
        <v>0</v>
      </c>
      <c r="AL121" s="273">
        <f>_xlfn.XLOOKUP(AL110, 'Real Estate'!$D$103:$BA$103, 'Real Estate'!$D$107:$BA$107)</f>
        <v>0</v>
      </c>
      <c r="AM121" s="273">
        <f>_xlfn.XLOOKUP(AM110, 'Real Estate'!$D$103:$BA$103, 'Real Estate'!$D$107:$BA$107)</f>
        <v>0</v>
      </c>
      <c r="AN121" s="273">
        <f>_xlfn.XLOOKUP(AN110, 'Real Estate'!$D$103:$BA$103, 'Real Estate'!$D$107:$BA$107)</f>
        <v>0</v>
      </c>
      <c r="AO121" s="273">
        <f>_xlfn.XLOOKUP(AO110, 'Real Estate'!$D$103:$BA$103, 'Real Estate'!$D$107:$BA$107)</f>
        <v>0</v>
      </c>
      <c r="AP121" s="273">
        <f>_xlfn.XLOOKUP(AP110, 'Real Estate'!$D$103:$BA$103, 'Real Estate'!$D$107:$BA$107)</f>
        <v>0</v>
      </c>
      <c r="AQ121" s="273">
        <f>_xlfn.XLOOKUP(AQ110, 'Real Estate'!$D$103:$BA$103, 'Real Estate'!$D$107:$BA$107)</f>
        <v>0</v>
      </c>
      <c r="AR121" s="273">
        <f>_xlfn.XLOOKUP(AR110, 'Real Estate'!$D$103:$BA$103, 'Real Estate'!$D$107:$BA$107)</f>
        <v>0</v>
      </c>
      <c r="AS121" s="273">
        <f>_xlfn.XLOOKUP(AS110, 'Real Estate'!$D$103:$BA$103, 'Real Estate'!$D$107:$BA$107)</f>
        <v>0</v>
      </c>
      <c r="AT121" s="273">
        <f>_xlfn.XLOOKUP(AT110, 'Real Estate'!$D$103:$BA$103, 'Real Estate'!$D$107:$BA$107)</f>
        <v>0</v>
      </c>
      <c r="AU121" s="273">
        <f>_xlfn.XLOOKUP(AU110, 'Real Estate'!$D$103:$BA$103, 'Real Estate'!$D$107:$BA$107)</f>
        <v>0</v>
      </c>
      <c r="AV121" s="273">
        <f>_xlfn.XLOOKUP(AV110, 'Real Estate'!$D$103:$BA$103, 'Real Estate'!$D$107:$BA$107)</f>
        <v>0</v>
      </c>
      <c r="AW121" s="273">
        <f>_xlfn.XLOOKUP(AW110, 'Real Estate'!$D$103:$BA$103, 'Real Estate'!$D$107:$BA$107)</f>
        <v>0</v>
      </c>
    </row>
    <row r="122" spans="3:49" ht="15" customHeight="1">
      <c r="C122" s="48" t="s">
        <v>526</v>
      </c>
      <c r="D122" s="71">
        <f>SUM(D119:D121)</f>
        <v>0</v>
      </c>
      <c r="E122" s="71">
        <f t="shared" ref="E122:X122" si="285">SUM(E119:E121)</f>
        <v>1.2316625830346446</v>
      </c>
      <c r="F122" s="71">
        <f t="shared" si="285"/>
        <v>1.2686124605256839</v>
      </c>
      <c r="G122" s="71">
        <f t="shared" si="285"/>
        <v>1.3066708343414546</v>
      </c>
      <c r="H122" s="71">
        <f t="shared" si="285"/>
        <v>1.3458709593716982</v>
      </c>
      <c r="I122" s="71">
        <f t="shared" si="285"/>
        <v>1.386247088152849</v>
      </c>
      <c r="J122" s="71">
        <f t="shared" si="285"/>
        <v>1.4278345007974347</v>
      </c>
      <c r="K122" s="71">
        <f t="shared" si="285"/>
        <v>1.470669535821358</v>
      </c>
      <c r="L122" s="71">
        <f t="shared" si="285"/>
        <v>1.5147896218959986</v>
      </c>
      <c r="M122" s="71">
        <f t="shared" si="285"/>
        <v>1.5602333105528785</v>
      </c>
      <c r="N122" s="71">
        <f t="shared" si="285"/>
        <v>1.6070403098694652</v>
      </c>
      <c r="O122" s="71">
        <f t="shared" si="285"/>
        <v>1.655251519165549</v>
      </c>
      <c r="P122" s="71">
        <f t="shared" si="285"/>
        <v>1.7049090647405156</v>
      </c>
      <c r="Q122" s="71">
        <f t="shared" si="285"/>
        <v>1.7560563366827309</v>
      </c>
      <c r="R122" s="71">
        <f t="shared" si="285"/>
        <v>1.8087380267832129</v>
      </c>
      <c r="S122" s="71">
        <f t="shared" si="285"/>
        <v>1.8630001675867096</v>
      </c>
      <c r="T122" s="71">
        <f t="shared" si="285"/>
        <v>1.9188901726143106</v>
      </c>
      <c r="U122" s="71">
        <f t="shared" si="285"/>
        <v>1.9764568777927403</v>
      </c>
      <c r="V122" s="71">
        <f t="shared" si="285"/>
        <v>2.035750584126522</v>
      </c>
      <c r="W122" s="71">
        <f t="shared" si="285"/>
        <v>2.096823101650318</v>
      </c>
      <c r="X122" s="71">
        <f t="shared" si="285"/>
        <v>2.1597277946998275</v>
      </c>
      <c r="Y122" s="71">
        <f t="shared" ref="Y122" si="286">SUM(Y119:Y121)</f>
        <v>2.2245196285408224</v>
      </c>
      <c r="Z122" s="71">
        <f t="shared" ref="Z122" si="287">SUM(Z119:Z121)</f>
        <v>2.2912552173970471</v>
      </c>
      <c r="AA122" s="71">
        <f t="shared" ref="AA122" si="288">SUM(AA119:AA121)</f>
        <v>2.3599928739189586</v>
      </c>
      <c r="AB122" s="71">
        <f t="shared" ref="AB122" si="289">SUM(AB119:AB121)</f>
        <v>2.4307926601365275</v>
      </c>
      <c r="AC122" s="71">
        <f t="shared" ref="AC122" si="290">SUM(AC119:AC121)</f>
        <v>2.5037164399406233</v>
      </c>
      <c r="AD122" s="71">
        <f t="shared" ref="AD122" si="291">SUM(AD119:AD121)</f>
        <v>2.5788279331388426</v>
      </c>
      <c r="AE122" s="71">
        <f t="shared" ref="AE122" si="292">SUM(AE119:AE121)</f>
        <v>2.1249525169443927E-6</v>
      </c>
      <c r="AF122" s="71">
        <f t="shared" ref="AF122" si="293">SUM(AF119:AF121)</f>
        <v>2.1887010924527248E-6</v>
      </c>
      <c r="AG122" s="71">
        <f t="shared" ref="AG122" si="294">SUM(AG119:AG121)</f>
        <v>2.2543621252263061E-6</v>
      </c>
      <c r="AH122" s="71">
        <f t="shared" ref="AH122" si="295">SUM(AH119:AH121)</f>
        <v>2.3219929889830952E-6</v>
      </c>
      <c r="AI122" s="71">
        <f t="shared" ref="AI122" si="296">SUM(AI119:AI121)</f>
        <v>2.3916527786525884E-6</v>
      </c>
      <c r="AJ122" s="71">
        <f t="shared" ref="AJ122" si="297">SUM(AJ119:AJ121)</f>
        <v>2.4634023620121658E-6</v>
      </c>
      <c r="AK122" s="71">
        <f t="shared" ref="AK122" si="298">SUM(AK119:AK121)</f>
        <v>2.537304432872531E-6</v>
      </c>
      <c r="AL122" s="71">
        <f t="shared" ref="AL122" si="299">SUM(AL119:AL121)</f>
        <v>2.6134235658587073E-6</v>
      </c>
      <c r="AM122" s="71">
        <f t="shared" ref="AM122" si="300">SUM(AM119:AM121)</f>
        <v>2.6918262728344683E-6</v>
      </c>
      <c r="AN122" s="71">
        <f t="shared" ref="AN122" si="301">SUM(AN119:AN121)</f>
        <v>2.7725810610195027E-6</v>
      </c>
      <c r="AO122" s="71">
        <f t="shared" ref="AO122" si="302">SUM(AO119:AO121)</f>
        <v>2.8557584928500874E-6</v>
      </c>
      <c r="AP122" s="71">
        <f t="shared" ref="AP122" si="303">SUM(AP119:AP121)</f>
        <v>2.9414312476355905E-6</v>
      </c>
      <c r="AQ122" s="71">
        <f t="shared" ref="AQ122" si="304">SUM(AQ119:AQ121)</f>
        <v>3.0296741850646581E-6</v>
      </c>
      <c r="AR122" s="71">
        <f t="shared" ref="AR122" si="305">SUM(AR119:AR121)</f>
        <v>3.1205644106165973E-6</v>
      </c>
      <c r="AS122" s="71">
        <f t="shared" ref="AS122" si="306">SUM(AS119:AS121)</f>
        <v>3.2141813429350959E-6</v>
      </c>
      <c r="AT122" s="71">
        <f t="shared" ref="AT122" si="307">SUM(AT119:AT121)</f>
        <v>3.310606783223149E-6</v>
      </c>
      <c r="AU122" s="71">
        <f t="shared" ref="AU122" si="308">SUM(AU119:AU121)</f>
        <v>3.4099249867198433E-6</v>
      </c>
      <c r="AV122" s="71">
        <f t="shared" ref="AV122" si="309">SUM(AV119:AV121)</f>
        <v>3.5122227363214387E-6</v>
      </c>
      <c r="AW122" s="71">
        <f t="shared" ref="AW122" si="310">SUM(AW119:AW121)</f>
        <v>3.6175894184110823E-6</v>
      </c>
    </row>
    <row r="123" spans="3:49" ht="15" customHeight="1">
      <c r="C123" s="44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</row>
    <row r="124" spans="3:49" ht="15" customHeight="1">
      <c r="C124" s="44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</row>
    <row r="125" spans="3:49" ht="15" customHeight="1">
      <c r="C125" s="124" t="s">
        <v>481</v>
      </c>
      <c r="D125" s="125">
        <f>SUM(D116,-D122)</f>
        <v>0</v>
      </c>
      <c r="E125" s="125">
        <f t="shared" ref="E125:X125" si="311">SUM(E116,-E122)</f>
        <v>2.3424174169653553</v>
      </c>
      <c r="F125" s="125">
        <f t="shared" si="311"/>
        <v>9.5861498204977735</v>
      </c>
      <c r="G125" s="125">
        <f t="shared" si="311"/>
        <v>9.6544681170360303</v>
      </c>
      <c r="H125" s="125">
        <f t="shared" si="311"/>
        <v>9.7224048213623586</v>
      </c>
      <c r="I125" s="125">
        <f t="shared" si="311"/>
        <v>9.7899247169940082</v>
      </c>
      <c r="J125" s="125">
        <f t="shared" si="311"/>
        <v>9.8569913623836456</v>
      </c>
      <c r="K125" s="125">
        <f t="shared" si="311"/>
        <v>9.9235670544209018</v>
      </c>
      <c r="L125" s="125">
        <f t="shared" si="311"/>
        <v>9.989612790883978</v>
      </c>
      <c r="M125" s="125">
        <f t="shared" si="311"/>
        <v>10.055088231811041</v>
      </c>
      <c r="N125" s="125">
        <f t="shared" si="311"/>
        <v>10.119951659760337</v>
      </c>
      <c r="O125" s="125">
        <f t="shared" si="311"/>
        <v>10.184159938927035</v>
      </c>
      <c r="P125" s="125">
        <f t="shared" si="311"/>
        <v>10.247668473083873</v>
      </c>
      <c r="Q125" s="125">
        <f t="shared" si="311"/>
        <v>10.310431162311653</v>
      </c>
      <c r="R125" s="125">
        <f t="shared" si="311"/>
        <v>10.372400358484864</v>
      </c>
      <c r="S125" s="125">
        <f t="shared" si="311"/>
        <v>10.433526819476356</v>
      </c>
      <c r="T125" s="125">
        <f t="shared" si="311"/>
        <v>10.493759662044326</v>
      </c>
      <c r="U125" s="125">
        <f t="shared" si="311"/>
        <v>10.553046313363419</v>
      </c>
      <c r="V125" s="125">
        <f t="shared" si="311"/>
        <v>10.611332461160993</v>
      </c>
      <c r="W125" s="125">
        <f t="shared" si="311"/>
        <v>10.668562002418199</v>
      </c>
      <c r="X125" s="125">
        <f t="shared" si="311"/>
        <v>10.724676990594482</v>
      </c>
      <c r="Y125" s="125">
        <f t="shared" ref="Y125:AW125" si="312">SUM(Y116,-Y122)</f>
        <v>10.779617581332847</v>
      </c>
      <c r="Z125" s="125">
        <f t="shared" si="312"/>
        <v>10.833321976602074</v>
      </c>
      <c r="AA125" s="125">
        <f t="shared" si="312"/>
        <v>10.885726367230578</v>
      </c>
      <c r="AB125" s="125">
        <f t="shared" si="312"/>
        <v>10.936764873785675</v>
      </c>
      <c r="AC125" s="125">
        <f t="shared" si="312"/>
        <v>10.98636948575014</v>
      </c>
      <c r="AD125" s="125">
        <f t="shared" si="312"/>
        <v>11.034469998947079</v>
      </c>
      <c r="AE125" s="125">
        <f t="shared" si="312"/>
        <v>-2.1249525169443927E-6</v>
      </c>
      <c r="AF125" s="125">
        <f t="shared" si="312"/>
        <v>-2.1887010924527248E-6</v>
      </c>
      <c r="AG125" s="125">
        <f t="shared" si="312"/>
        <v>-2.2543621252263061E-6</v>
      </c>
      <c r="AH125" s="125">
        <f t="shared" si="312"/>
        <v>-2.3219929889830952E-6</v>
      </c>
      <c r="AI125" s="125">
        <f t="shared" si="312"/>
        <v>-2.3916527786525884E-6</v>
      </c>
      <c r="AJ125" s="125">
        <f t="shared" si="312"/>
        <v>-2.4634023620121658E-6</v>
      </c>
      <c r="AK125" s="125">
        <f t="shared" si="312"/>
        <v>-2.537304432872531E-6</v>
      </c>
      <c r="AL125" s="125">
        <f t="shared" si="312"/>
        <v>-2.6134235658587073E-6</v>
      </c>
      <c r="AM125" s="125">
        <f t="shared" si="312"/>
        <v>-2.6918262728344683E-6</v>
      </c>
      <c r="AN125" s="125">
        <f t="shared" si="312"/>
        <v>-2.7725810610195027E-6</v>
      </c>
      <c r="AO125" s="125">
        <f t="shared" si="312"/>
        <v>-2.8557584928500874E-6</v>
      </c>
      <c r="AP125" s="125">
        <f t="shared" si="312"/>
        <v>-2.9414312476355905E-6</v>
      </c>
      <c r="AQ125" s="125">
        <f t="shared" si="312"/>
        <v>-3.0296741850646581E-6</v>
      </c>
      <c r="AR125" s="125">
        <f t="shared" si="312"/>
        <v>-3.1205644106165973E-6</v>
      </c>
      <c r="AS125" s="125">
        <f t="shared" si="312"/>
        <v>-3.2141813429350959E-6</v>
      </c>
      <c r="AT125" s="125">
        <f t="shared" si="312"/>
        <v>-3.310606783223149E-6</v>
      </c>
      <c r="AU125" s="125">
        <f t="shared" si="312"/>
        <v>-3.4099249867198433E-6</v>
      </c>
      <c r="AV125" s="125">
        <f t="shared" si="312"/>
        <v>-3.5122227363214387E-6</v>
      </c>
      <c r="AW125" s="125">
        <f t="shared" si="312"/>
        <v>-3.6175894184110823E-6</v>
      </c>
    </row>
    <row r="126" spans="3:49" ht="15" customHeight="1">
      <c r="C126" s="44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</row>
    <row r="127" spans="3:49" ht="15" customHeight="1">
      <c r="C127" s="46" t="s">
        <v>482</v>
      </c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</row>
    <row r="128" spans="3:49" ht="15" customHeight="1">
      <c r="C128" s="54" t="s">
        <v>483</v>
      </c>
      <c r="D128" s="70"/>
      <c r="E128" s="73">
        <f>-E101</f>
        <v>0</v>
      </c>
      <c r="F128" s="73">
        <f t="shared" ref="F128:X128" si="313">-F101</f>
        <v>0</v>
      </c>
      <c r="G128" s="73">
        <f t="shared" si="313"/>
        <v>0</v>
      </c>
      <c r="H128" s="73">
        <f t="shared" si="313"/>
        <v>0</v>
      </c>
      <c r="I128" s="73">
        <f t="shared" si="313"/>
        <v>0</v>
      </c>
      <c r="J128" s="73">
        <f t="shared" si="313"/>
        <v>0</v>
      </c>
      <c r="K128" s="73">
        <f t="shared" si="313"/>
        <v>0</v>
      </c>
      <c r="L128" s="73">
        <f t="shared" si="313"/>
        <v>0</v>
      </c>
      <c r="M128" s="73">
        <f t="shared" si="313"/>
        <v>0</v>
      </c>
      <c r="N128" s="73">
        <f t="shared" si="313"/>
        <v>0</v>
      </c>
      <c r="O128" s="73">
        <f t="shared" si="313"/>
        <v>0</v>
      </c>
      <c r="P128" s="73">
        <f t="shared" si="313"/>
        <v>0</v>
      </c>
      <c r="Q128" s="73">
        <f t="shared" si="313"/>
        <v>0</v>
      </c>
      <c r="R128" s="73">
        <f t="shared" si="313"/>
        <v>0</v>
      </c>
      <c r="S128" s="73">
        <f t="shared" si="313"/>
        <v>0</v>
      </c>
      <c r="T128" s="73">
        <f t="shared" si="313"/>
        <v>0</v>
      </c>
      <c r="U128" s="73">
        <f t="shared" si="313"/>
        <v>0</v>
      </c>
      <c r="V128" s="73">
        <f t="shared" si="313"/>
        <v>0</v>
      </c>
      <c r="W128" s="73">
        <f t="shared" si="313"/>
        <v>0</v>
      </c>
      <c r="X128" s="73">
        <f t="shared" si="313"/>
        <v>0</v>
      </c>
      <c r="Y128" s="73">
        <f t="shared" ref="Y128:AW128" si="314">-Y101</f>
        <v>0</v>
      </c>
      <c r="Z128" s="73">
        <f t="shared" si="314"/>
        <v>0</v>
      </c>
      <c r="AA128" s="73">
        <f t="shared" si="314"/>
        <v>0</v>
      </c>
      <c r="AB128" s="73">
        <f t="shared" si="314"/>
        <v>0</v>
      </c>
      <c r="AC128" s="73">
        <f t="shared" si="314"/>
        <v>0</v>
      </c>
      <c r="AD128" s="73">
        <f t="shared" si="314"/>
        <v>0</v>
      </c>
      <c r="AE128" s="73">
        <f t="shared" si="314"/>
        <v>0</v>
      </c>
      <c r="AF128" s="73">
        <f t="shared" si="314"/>
        <v>0</v>
      </c>
      <c r="AG128" s="73">
        <f t="shared" si="314"/>
        <v>0</v>
      </c>
      <c r="AH128" s="73">
        <f t="shared" si="314"/>
        <v>0</v>
      </c>
      <c r="AI128" s="73">
        <f t="shared" si="314"/>
        <v>0</v>
      </c>
      <c r="AJ128" s="73">
        <f t="shared" si="314"/>
        <v>0</v>
      </c>
      <c r="AK128" s="73">
        <f t="shared" si="314"/>
        <v>0</v>
      </c>
      <c r="AL128" s="73">
        <f t="shared" si="314"/>
        <v>0</v>
      </c>
      <c r="AM128" s="73">
        <f t="shared" si="314"/>
        <v>0</v>
      </c>
      <c r="AN128" s="73">
        <f t="shared" si="314"/>
        <v>0</v>
      </c>
      <c r="AO128" s="73">
        <f t="shared" si="314"/>
        <v>0</v>
      </c>
      <c r="AP128" s="73">
        <f t="shared" si="314"/>
        <v>0</v>
      </c>
      <c r="AQ128" s="73">
        <f t="shared" si="314"/>
        <v>0</v>
      </c>
      <c r="AR128" s="73">
        <f t="shared" si="314"/>
        <v>0</v>
      </c>
      <c r="AS128" s="73">
        <f t="shared" si="314"/>
        <v>0</v>
      </c>
      <c r="AT128" s="73">
        <f t="shared" si="314"/>
        <v>0</v>
      </c>
      <c r="AU128" s="73">
        <f t="shared" si="314"/>
        <v>0</v>
      </c>
      <c r="AV128" s="73">
        <f t="shared" si="314"/>
        <v>0</v>
      </c>
      <c r="AW128" s="73">
        <f t="shared" si="314"/>
        <v>0</v>
      </c>
    </row>
    <row r="129" spans="3:49" ht="15" customHeight="1">
      <c r="C129" s="54" t="s">
        <v>485</v>
      </c>
      <c r="D129" s="70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</row>
    <row r="130" spans="3:49" ht="15" customHeight="1">
      <c r="C130" s="59" t="s">
        <v>486</v>
      </c>
      <c r="D130" s="74">
        <f t="shared" ref="D130:X130" si="315">SUM(D128:D129)</f>
        <v>0</v>
      </c>
      <c r="E130" s="74">
        <f t="shared" si="315"/>
        <v>0</v>
      </c>
      <c r="F130" s="74">
        <f t="shared" si="315"/>
        <v>0</v>
      </c>
      <c r="G130" s="74">
        <f t="shared" si="315"/>
        <v>0</v>
      </c>
      <c r="H130" s="74">
        <f t="shared" si="315"/>
        <v>0</v>
      </c>
      <c r="I130" s="74">
        <f t="shared" si="315"/>
        <v>0</v>
      </c>
      <c r="J130" s="74">
        <f t="shared" si="315"/>
        <v>0</v>
      </c>
      <c r="K130" s="74">
        <f t="shared" si="315"/>
        <v>0</v>
      </c>
      <c r="L130" s="74">
        <f t="shared" si="315"/>
        <v>0</v>
      </c>
      <c r="M130" s="74">
        <f t="shared" si="315"/>
        <v>0</v>
      </c>
      <c r="N130" s="74">
        <f t="shared" si="315"/>
        <v>0</v>
      </c>
      <c r="O130" s="74">
        <f t="shared" si="315"/>
        <v>0</v>
      </c>
      <c r="P130" s="74">
        <f t="shared" si="315"/>
        <v>0</v>
      </c>
      <c r="Q130" s="74">
        <f t="shared" si="315"/>
        <v>0</v>
      </c>
      <c r="R130" s="74">
        <f t="shared" si="315"/>
        <v>0</v>
      </c>
      <c r="S130" s="74">
        <f t="shared" si="315"/>
        <v>0</v>
      </c>
      <c r="T130" s="74">
        <f t="shared" si="315"/>
        <v>0</v>
      </c>
      <c r="U130" s="74">
        <f t="shared" si="315"/>
        <v>0</v>
      </c>
      <c r="V130" s="74">
        <f t="shared" si="315"/>
        <v>0</v>
      </c>
      <c r="W130" s="74">
        <f t="shared" si="315"/>
        <v>0</v>
      </c>
      <c r="X130" s="74">
        <f t="shared" si="315"/>
        <v>0</v>
      </c>
      <c r="Y130" s="74">
        <f t="shared" ref="Y130:AW130" si="316">SUM(Y128:Y129)</f>
        <v>0</v>
      </c>
      <c r="Z130" s="74">
        <f t="shared" si="316"/>
        <v>0</v>
      </c>
      <c r="AA130" s="74">
        <f t="shared" si="316"/>
        <v>0</v>
      </c>
      <c r="AB130" s="74">
        <f t="shared" si="316"/>
        <v>0</v>
      </c>
      <c r="AC130" s="74">
        <f t="shared" si="316"/>
        <v>0</v>
      </c>
      <c r="AD130" s="74">
        <f t="shared" si="316"/>
        <v>0</v>
      </c>
      <c r="AE130" s="74">
        <f t="shared" si="316"/>
        <v>0</v>
      </c>
      <c r="AF130" s="74">
        <f t="shared" si="316"/>
        <v>0</v>
      </c>
      <c r="AG130" s="74">
        <f t="shared" si="316"/>
        <v>0</v>
      </c>
      <c r="AH130" s="74">
        <f t="shared" si="316"/>
        <v>0</v>
      </c>
      <c r="AI130" s="74">
        <f t="shared" si="316"/>
        <v>0</v>
      </c>
      <c r="AJ130" s="74">
        <f t="shared" si="316"/>
        <v>0</v>
      </c>
      <c r="AK130" s="74">
        <f t="shared" si="316"/>
        <v>0</v>
      </c>
      <c r="AL130" s="74">
        <f t="shared" si="316"/>
        <v>0</v>
      </c>
      <c r="AM130" s="74">
        <f t="shared" si="316"/>
        <v>0</v>
      </c>
      <c r="AN130" s="74">
        <f t="shared" si="316"/>
        <v>0</v>
      </c>
      <c r="AO130" s="74">
        <f t="shared" si="316"/>
        <v>0</v>
      </c>
      <c r="AP130" s="74">
        <f t="shared" si="316"/>
        <v>0</v>
      </c>
      <c r="AQ130" s="74">
        <f t="shared" si="316"/>
        <v>0</v>
      </c>
      <c r="AR130" s="74">
        <f t="shared" si="316"/>
        <v>0</v>
      </c>
      <c r="AS130" s="74">
        <f t="shared" si="316"/>
        <v>0</v>
      </c>
      <c r="AT130" s="74">
        <f t="shared" si="316"/>
        <v>0</v>
      </c>
      <c r="AU130" s="74">
        <f t="shared" si="316"/>
        <v>0</v>
      </c>
      <c r="AV130" s="74">
        <f t="shared" si="316"/>
        <v>0</v>
      </c>
      <c r="AW130" s="74">
        <f t="shared" si="316"/>
        <v>0</v>
      </c>
    </row>
    <row r="131" spans="3:49" ht="15" customHeight="1">
      <c r="C131" s="44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spans="3:49" ht="15" customHeight="1">
      <c r="C132" s="44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</row>
    <row r="133" spans="3:49" ht="15" customHeight="1">
      <c r="C133" s="124" t="s">
        <v>487</v>
      </c>
      <c r="D133" s="125">
        <f t="shared" ref="D133:X133" si="317">+SUM(D125,D130)</f>
        <v>0</v>
      </c>
      <c r="E133" s="125">
        <f t="shared" si="317"/>
        <v>2.3424174169653553</v>
      </c>
      <c r="F133" s="125">
        <f t="shared" si="317"/>
        <v>9.5861498204977735</v>
      </c>
      <c r="G133" s="125">
        <f t="shared" si="317"/>
        <v>9.6544681170360303</v>
      </c>
      <c r="H133" s="125">
        <f t="shared" si="317"/>
        <v>9.7224048213623586</v>
      </c>
      <c r="I133" s="125">
        <f t="shared" si="317"/>
        <v>9.7899247169940082</v>
      </c>
      <c r="J133" s="125">
        <f t="shared" si="317"/>
        <v>9.8569913623836456</v>
      </c>
      <c r="K133" s="125">
        <f t="shared" si="317"/>
        <v>9.9235670544209018</v>
      </c>
      <c r="L133" s="125">
        <f t="shared" si="317"/>
        <v>9.989612790883978</v>
      </c>
      <c r="M133" s="125">
        <f t="shared" si="317"/>
        <v>10.055088231811041</v>
      </c>
      <c r="N133" s="125">
        <f t="shared" si="317"/>
        <v>10.119951659760337</v>
      </c>
      <c r="O133" s="125">
        <f t="shared" si="317"/>
        <v>10.184159938927035</v>
      </c>
      <c r="P133" s="125">
        <f t="shared" si="317"/>
        <v>10.247668473083873</v>
      </c>
      <c r="Q133" s="125">
        <f t="shared" si="317"/>
        <v>10.310431162311653</v>
      </c>
      <c r="R133" s="125">
        <f t="shared" si="317"/>
        <v>10.372400358484864</v>
      </c>
      <c r="S133" s="125">
        <f t="shared" si="317"/>
        <v>10.433526819476356</v>
      </c>
      <c r="T133" s="125">
        <f t="shared" si="317"/>
        <v>10.493759662044326</v>
      </c>
      <c r="U133" s="125">
        <f t="shared" si="317"/>
        <v>10.553046313363419</v>
      </c>
      <c r="V133" s="125">
        <f t="shared" si="317"/>
        <v>10.611332461160993</v>
      </c>
      <c r="W133" s="125">
        <f t="shared" si="317"/>
        <v>10.668562002418199</v>
      </c>
      <c r="X133" s="125">
        <f t="shared" si="317"/>
        <v>10.724676990594482</v>
      </c>
      <c r="Y133" s="125">
        <f t="shared" ref="Y133:AW133" si="318">+SUM(Y125,Y130)</f>
        <v>10.779617581332847</v>
      </c>
      <c r="Z133" s="125">
        <f t="shared" si="318"/>
        <v>10.833321976602074</v>
      </c>
      <c r="AA133" s="125">
        <f t="shared" si="318"/>
        <v>10.885726367230578</v>
      </c>
      <c r="AB133" s="125">
        <f t="shared" si="318"/>
        <v>10.936764873785675</v>
      </c>
      <c r="AC133" s="125">
        <f t="shared" si="318"/>
        <v>10.98636948575014</v>
      </c>
      <c r="AD133" s="125">
        <f t="shared" si="318"/>
        <v>11.034469998947079</v>
      </c>
      <c r="AE133" s="125">
        <f t="shared" si="318"/>
        <v>-2.1249525169443927E-6</v>
      </c>
      <c r="AF133" s="125">
        <f t="shared" si="318"/>
        <v>-2.1887010924527248E-6</v>
      </c>
      <c r="AG133" s="125">
        <f t="shared" si="318"/>
        <v>-2.2543621252263061E-6</v>
      </c>
      <c r="AH133" s="125">
        <f t="shared" si="318"/>
        <v>-2.3219929889830952E-6</v>
      </c>
      <c r="AI133" s="125">
        <f t="shared" si="318"/>
        <v>-2.3916527786525884E-6</v>
      </c>
      <c r="AJ133" s="125">
        <f t="shared" si="318"/>
        <v>-2.4634023620121658E-6</v>
      </c>
      <c r="AK133" s="125">
        <f t="shared" si="318"/>
        <v>-2.537304432872531E-6</v>
      </c>
      <c r="AL133" s="125">
        <f t="shared" si="318"/>
        <v>-2.6134235658587073E-6</v>
      </c>
      <c r="AM133" s="125">
        <f t="shared" si="318"/>
        <v>-2.6918262728344683E-6</v>
      </c>
      <c r="AN133" s="125">
        <f t="shared" si="318"/>
        <v>-2.7725810610195027E-6</v>
      </c>
      <c r="AO133" s="125">
        <f t="shared" si="318"/>
        <v>-2.8557584928500874E-6</v>
      </c>
      <c r="AP133" s="125">
        <f t="shared" si="318"/>
        <v>-2.9414312476355905E-6</v>
      </c>
      <c r="AQ133" s="125">
        <f t="shared" si="318"/>
        <v>-3.0296741850646581E-6</v>
      </c>
      <c r="AR133" s="125">
        <f t="shared" si="318"/>
        <v>-3.1205644106165973E-6</v>
      </c>
      <c r="AS133" s="125">
        <f t="shared" si="318"/>
        <v>-3.2141813429350959E-6</v>
      </c>
      <c r="AT133" s="125">
        <f t="shared" si="318"/>
        <v>-3.310606783223149E-6</v>
      </c>
      <c r="AU133" s="125">
        <f t="shared" si="318"/>
        <v>-3.4099249867198433E-6</v>
      </c>
      <c r="AV133" s="125">
        <f t="shared" si="318"/>
        <v>-3.5122227363214387E-6</v>
      </c>
      <c r="AW133" s="125">
        <f t="shared" si="318"/>
        <v>-3.6175894184110823E-6</v>
      </c>
    </row>
    <row r="134" spans="3:49" ht="15" customHeight="1">
      <c r="C134" s="126" t="s">
        <v>488</v>
      </c>
      <c r="D134" s="127">
        <f>IF(D133&gt;0,-D133*'Assumptions &amp; Inputs'!$H$12,0)</f>
        <v>0</v>
      </c>
      <c r="E134" s="127">
        <f>IF(E133&gt;0,-E133*'Assumptions &amp; Inputs'!$H$12,0)</f>
        <v>-0.60902852841099242</v>
      </c>
      <c r="F134" s="127">
        <f>IF(F133&gt;0,-F133*'Assumptions &amp; Inputs'!$H$12,0)</f>
        <v>-2.4923989533294213</v>
      </c>
      <c r="G134" s="127">
        <f>IF(G133&gt;0,-G133*'Assumptions &amp; Inputs'!$H$12,0)</f>
        <v>-2.5101617104293679</v>
      </c>
      <c r="H134" s="127">
        <f>IF(H133&gt;0,-H133*'Assumptions &amp; Inputs'!$H$12,0)</f>
        <v>-2.5278252535542132</v>
      </c>
      <c r="I134" s="127">
        <f>IF(I133&gt;0,-I133*'Assumptions &amp; Inputs'!$H$12,0)</f>
        <v>-2.5453804264184421</v>
      </c>
      <c r="J134" s="127">
        <f>IF(J133&gt;0,-J133*'Assumptions &amp; Inputs'!$H$12,0)</f>
        <v>-2.5628177542197479</v>
      </c>
      <c r="K134" s="127">
        <f>IF(K133&gt;0,-K133*'Assumptions &amp; Inputs'!$H$12,0)</f>
        <v>-2.5801274341494347</v>
      </c>
      <c r="L134" s="127">
        <f>IF(L133&gt;0,-L133*'Assumptions &amp; Inputs'!$H$12,0)</f>
        <v>-2.5972993256298342</v>
      </c>
      <c r="M134" s="127">
        <f>IF(M133&gt;0,-M133*'Assumptions &amp; Inputs'!$H$12,0)</f>
        <v>-2.614322940270871</v>
      </c>
      <c r="N134" s="127">
        <f>IF(N133&gt;0,-N133*'Assumptions &amp; Inputs'!$H$12,0)</f>
        <v>-2.631187431537688</v>
      </c>
      <c r="O134" s="127">
        <f>IF(O133&gt;0,-O133*'Assumptions &amp; Inputs'!$H$12,0)</f>
        <v>-2.6478815841210293</v>
      </c>
      <c r="P134" s="127">
        <f>IF(P133&gt;0,-P133*'Assumptions &amp; Inputs'!$H$12,0)</f>
        <v>-2.6643938030018073</v>
      </c>
      <c r="Q134" s="127">
        <f>IF(Q133&gt;0,-Q133*'Assumptions &amp; Inputs'!$H$12,0)</f>
        <v>-2.6807121022010301</v>
      </c>
      <c r="R134" s="127">
        <f>IF(R133&gt;0,-R133*'Assumptions &amp; Inputs'!$H$12,0)</f>
        <v>-2.6968240932060645</v>
      </c>
      <c r="S134" s="127">
        <f>IF(S133&gt;0,-S133*'Assumptions &amp; Inputs'!$H$12,0)</f>
        <v>-2.7127169730638525</v>
      </c>
      <c r="T134" s="127">
        <f>IF(T133&gt;0,-T133*'Assumptions &amp; Inputs'!$H$12,0)</f>
        <v>-2.7283775121315248</v>
      </c>
      <c r="U134" s="127">
        <f>IF(U133&gt;0,-U133*'Assumptions &amp; Inputs'!$H$12,0)</f>
        <v>-2.7437920414744892</v>
      </c>
      <c r="V134" s="127">
        <f>IF(V133&gt;0,-V133*'Assumptions &amp; Inputs'!$H$12,0)</f>
        <v>-2.7589464399018584</v>
      </c>
      <c r="W134" s="127">
        <f>IF(W133&gt;0,-W133*'Assumptions &amp; Inputs'!$H$12,0)</f>
        <v>-2.7738261206287316</v>
      </c>
      <c r="X134" s="127">
        <f>IF(X133&gt;0,-X133*'Assumptions &amp; Inputs'!$H$12,0)</f>
        <v>-2.7884160175545651</v>
      </c>
      <c r="Y134" s="127">
        <f>IF(Y133&gt;0,-Y133*'Assumptions &amp; Inputs'!$H$12,0)</f>
        <v>-2.80270057114654</v>
      </c>
      <c r="Z134" s="127">
        <f>IF(Z133&gt;0,-Z133*'Assumptions &amp; Inputs'!$H$12,0)</f>
        <v>-2.8166637139165394</v>
      </c>
      <c r="AA134" s="127">
        <f>IF(AA133&gt;0,-AA133*'Assumptions &amp; Inputs'!$H$12,0)</f>
        <v>-2.8302888554799503</v>
      </c>
      <c r="AB134" s="127">
        <f>IF(AB133&gt;0,-AB133*'Assumptions &amp; Inputs'!$H$12,0)</f>
        <v>-2.8435588671842758</v>
      </c>
      <c r="AC134" s="127">
        <f>IF(AC133&gt;0,-AC133*'Assumptions &amp; Inputs'!$H$12,0)</f>
        <v>-2.8564560662950367</v>
      </c>
      <c r="AD134" s="127">
        <f>IF(AD133&gt;0,-AD133*'Assumptions &amp; Inputs'!$H$12,0)</f>
        <v>-2.8689621997262407</v>
      </c>
      <c r="AE134" s="127">
        <f>IF(AE133&gt;0,-AE133*'Assumptions &amp; Inputs'!$H$12,0)</f>
        <v>0</v>
      </c>
      <c r="AF134" s="127">
        <f>IF(AF133&gt;0,-AF133*'Assumptions &amp; Inputs'!$H$12,0)</f>
        <v>0</v>
      </c>
      <c r="AG134" s="127">
        <f>IF(AG133&gt;0,-AG133*'Assumptions &amp; Inputs'!$H$12,0)</f>
        <v>0</v>
      </c>
      <c r="AH134" s="127">
        <f>IF(AH133&gt;0,-AH133*'Assumptions &amp; Inputs'!$H$12,0)</f>
        <v>0</v>
      </c>
      <c r="AI134" s="127">
        <f>IF(AI133&gt;0,-AI133*'Assumptions &amp; Inputs'!$H$12,0)</f>
        <v>0</v>
      </c>
      <c r="AJ134" s="127">
        <f>IF(AJ133&gt;0,-AJ133*'Assumptions &amp; Inputs'!$H$12,0)</f>
        <v>0</v>
      </c>
      <c r="AK134" s="127">
        <f>IF(AK133&gt;0,-AK133*'Assumptions &amp; Inputs'!$H$12,0)</f>
        <v>0</v>
      </c>
      <c r="AL134" s="127">
        <f>IF(AL133&gt;0,-AL133*'Assumptions &amp; Inputs'!$H$12,0)</f>
        <v>0</v>
      </c>
      <c r="AM134" s="127">
        <f>IF(AM133&gt;0,-AM133*'Assumptions &amp; Inputs'!$H$12,0)</f>
        <v>0</v>
      </c>
      <c r="AN134" s="127">
        <f>IF(AN133&gt;0,-AN133*'Assumptions &amp; Inputs'!$H$12,0)</f>
        <v>0</v>
      </c>
      <c r="AO134" s="127">
        <f>IF(AO133&gt;0,-AO133*'Assumptions &amp; Inputs'!$H$12,0)</f>
        <v>0</v>
      </c>
      <c r="AP134" s="127">
        <f>IF(AP133&gt;0,-AP133*'Assumptions &amp; Inputs'!$H$12,0)</f>
        <v>0</v>
      </c>
      <c r="AQ134" s="127">
        <f>IF(AQ133&gt;0,-AQ133*'Assumptions &amp; Inputs'!$H$12,0)</f>
        <v>0</v>
      </c>
      <c r="AR134" s="127">
        <f>IF(AR133&gt;0,-AR133*'Assumptions &amp; Inputs'!$H$12,0)</f>
        <v>0</v>
      </c>
      <c r="AS134" s="127">
        <f>IF(AS133&gt;0,-AS133*'Assumptions &amp; Inputs'!$H$12,0)</f>
        <v>0</v>
      </c>
      <c r="AT134" s="127">
        <f>IF(AT133&gt;0,-AT133*'Assumptions &amp; Inputs'!$H$12,0)</f>
        <v>0</v>
      </c>
      <c r="AU134" s="127">
        <f>IF(AU133&gt;0,-AU133*'Assumptions &amp; Inputs'!$H$12,0)</f>
        <v>0</v>
      </c>
      <c r="AV134" s="127">
        <f>IF(AV133&gt;0,-AV133*'Assumptions &amp; Inputs'!$H$12,0)</f>
        <v>0</v>
      </c>
      <c r="AW134" s="127">
        <f>IF(AW133&gt;0,-AW133*'Assumptions &amp; Inputs'!$H$12,0)</f>
        <v>0</v>
      </c>
    </row>
    <row r="135" spans="3:49" s="149" customFormat="1" ht="14.25" customHeight="1">
      <c r="C135" s="147" t="s">
        <v>519</v>
      </c>
      <c r="D135" s="148">
        <f>IF(AND(D24=0,D134&lt;0,C136&lt;$D$25*'Assumptions &amp; Inputs'!$W$5),MIN(-D134,$D$25*'Assumptions &amp; Inputs'!$W$5,$D$25*'Assumptions &amp; Inputs'!$W$5-C136),0)*'Assumptions &amp; Inputs'!$W$4</f>
        <v>0</v>
      </c>
      <c r="E135" s="148">
        <f>IF(AND(E24=0,E134&lt;0,D136&lt;$D$25*'Assumptions &amp; Inputs'!$W$5),MIN(-E134,$D$25*'Assumptions &amp; Inputs'!$W$5,$D$25*'Assumptions &amp; Inputs'!$W$5-D136),0)*'Assumptions &amp; Inputs'!$W$4</f>
        <v>0</v>
      </c>
      <c r="F135" s="148">
        <f>IF(AND(F24=0,F134&lt;0,E136&lt;$D$25*'Assumptions &amp; Inputs'!$W$5),MIN(-F134,$D$25*'Assumptions &amp; Inputs'!$W$5,$D$25*'Assumptions &amp; Inputs'!$W$5-E136),0)*'Assumptions &amp; Inputs'!$W$4</f>
        <v>0</v>
      </c>
      <c r="G135" s="148">
        <f>IF(AND(G24=0,G134&lt;0,F136&lt;$D$25*'Assumptions &amp; Inputs'!$W$5),MIN(-G134,$D$25*'Assumptions &amp; Inputs'!$W$5,$D$25*'Assumptions &amp; Inputs'!$W$5-F136),0)*'Assumptions &amp; Inputs'!$W$4</f>
        <v>0</v>
      </c>
      <c r="H135" s="148">
        <f>IF(AND(H24=0,H134&lt;0,G136&lt;$D$25*'Assumptions &amp; Inputs'!$W$5),MIN(-H134,$D$25*'Assumptions &amp; Inputs'!$W$5,$D$25*'Assumptions &amp; Inputs'!$W$5-G136),0)*'Assumptions &amp; Inputs'!$W$4</f>
        <v>0</v>
      </c>
      <c r="I135" s="148">
        <f>IF(AND(I24=0,I134&lt;0,H136&lt;$D$25*'Assumptions &amp; Inputs'!$W$5),MIN(-I134,$D$25*'Assumptions &amp; Inputs'!$W$5,$D$25*'Assumptions &amp; Inputs'!$W$5-H136),0)*'Assumptions &amp; Inputs'!$W$4</f>
        <v>0</v>
      </c>
      <c r="J135" s="148">
        <f>IF(AND(J24=0,J134&lt;0,I136&lt;$D$25*'Assumptions &amp; Inputs'!$W$5),MIN(-J134,$D$25*'Assumptions &amp; Inputs'!$W$5,$D$25*'Assumptions &amp; Inputs'!$W$5-I136),0)*'Assumptions &amp; Inputs'!$W$4</f>
        <v>0</v>
      </c>
      <c r="K135" s="148">
        <f>IF(AND(K24=0,K134&lt;0,J136&lt;$D$25*'Assumptions &amp; Inputs'!$W$5),MIN(-K134,$D$25*'Assumptions &amp; Inputs'!$W$5,$D$25*'Assumptions &amp; Inputs'!$W$5-J136),0)*'Assumptions &amp; Inputs'!$W$4</f>
        <v>0</v>
      </c>
      <c r="L135" s="148">
        <f>IF(AND(L24=0,L134&lt;0,K136&lt;$D$25*'Assumptions &amp; Inputs'!$W$5),MIN(-L134,$D$25*'Assumptions &amp; Inputs'!$W$5,$D$25*'Assumptions &amp; Inputs'!$W$5-K136),0)*'Assumptions &amp; Inputs'!$W$4</f>
        <v>0</v>
      </c>
      <c r="M135" s="148">
        <f>IF(AND(M24=0,M134&lt;0,L136&lt;$D$25*'Assumptions &amp; Inputs'!$W$5),MIN(-M134,$D$25*'Assumptions &amp; Inputs'!$W$5,$D$25*'Assumptions &amp; Inputs'!$W$5-L136),0)*'Assumptions &amp; Inputs'!$W$4</f>
        <v>0</v>
      </c>
      <c r="N135" s="148">
        <f>IF(AND(N24=0,N134&lt;0,M136&lt;$D$25*'Assumptions &amp; Inputs'!$W$5),MIN(-N134,$D$25*'Assumptions &amp; Inputs'!$W$5,$D$25*'Assumptions &amp; Inputs'!$W$5-M136),0)*'Assumptions &amp; Inputs'!$W$4</f>
        <v>0</v>
      </c>
      <c r="O135" s="148">
        <f>IF(AND(O24=0,O134&lt;0,N136&lt;$D$25*'Assumptions &amp; Inputs'!$W$5),MIN(-O134,$D$25*'Assumptions &amp; Inputs'!$W$5,$D$25*'Assumptions &amp; Inputs'!$W$5-N136),0)*'Assumptions &amp; Inputs'!$W$4</f>
        <v>0</v>
      </c>
      <c r="P135" s="148">
        <f>IF(AND(P24=0,P134&lt;0,O136&lt;$D$25*'Assumptions &amp; Inputs'!$W$5),MIN(-P134,$D$25*'Assumptions &amp; Inputs'!$W$5,$D$25*'Assumptions &amp; Inputs'!$W$5-O136),0)*'Assumptions &amp; Inputs'!$W$4</f>
        <v>0</v>
      </c>
      <c r="Q135" s="148">
        <f>IF(AND(Q24=0,Q134&lt;0,P136&lt;$D$25*'Assumptions &amp; Inputs'!$W$5),MIN(-Q134,$D$25*'Assumptions &amp; Inputs'!$W$5,$D$25*'Assumptions &amp; Inputs'!$W$5-P136),0)*'Assumptions &amp; Inputs'!$W$4</f>
        <v>0</v>
      </c>
      <c r="R135" s="148">
        <f>IF(AND(R24=0,R134&lt;0,Q136&lt;$D$25*'Assumptions &amp; Inputs'!$W$5),MIN(-R134,$D$25*'Assumptions &amp; Inputs'!$W$5,$D$25*'Assumptions &amp; Inputs'!$W$5-Q136),0)*'Assumptions &amp; Inputs'!$W$4</f>
        <v>0</v>
      </c>
      <c r="S135" s="148">
        <f>IF(AND(S24=0,S134&lt;0,R136&lt;$D$25*'Assumptions &amp; Inputs'!$W$5),MIN(-S134,$D$25*'Assumptions &amp; Inputs'!$W$5,$D$25*'Assumptions &amp; Inputs'!$W$5-R136),0)*'Assumptions &amp; Inputs'!$W$4</f>
        <v>0</v>
      </c>
      <c r="T135" s="148">
        <f>IF(AND(T24=0,T134&lt;0,S136&lt;$D$25*'Assumptions &amp; Inputs'!$W$5),MIN(-T134,$D$25*'Assumptions &amp; Inputs'!$W$5,$D$25*'Assumptions &amp; Inputs'!$W$5-S136),0)*'Assumptions &amp; Inputs'!$W$4</f>
        <v>0</v>
      </c>
      <c r="U135" s="148">
        <f>IF(AND(U24=0,U134&lt;0,T136&lt;$D$25*'Assumptions &amp; Inputs'!$W$5),MIN(-U134,$D$25*'Assumptions &amp; Inputs'!$W$5,$D$25*'Assumptions &amp; Inputs'!$W$5-T136),0)*'Assumptions &amp; Inputs'!$W$4</f>
        <v>0</v>
      </c>
      <c r="V135" s="148">
        <f>IF(AND(V24=0,V134&lt;0,U136&lt;$D$25*'Assumptions &amp; Inputs'!$W$5),MIN(-V134,$D$25*'Assumptions &amp; Inputs'!$W$5,$D$25*'Assumptions &amp; Inputs'!$W$5-U136),0)*'Assumptions &amp; Inputs'!$W$4</f>
        <v>0</v>
      </c>
      <c r="W135" s="148">
        <f>IF(AND(W24=0,W134&lt;0,V136&lt;$D$25*'Assumptions &amp; Inputs'!$W$5),MIN(-W134,$D$25*'Assumptions &amp; Inputs'!$W$5,$D$25*'Assumptions &amp; Inputs'!$W$5-V136),0)*'Assumptions &amp; Inputs'!$W$4</f>
        <v>0</v>
      </c>
      <c r="X135" s="148">
        <f>IF(AND(X24=0,X134&lt;0,W136&lt;$D$25*'Assumptions &amp; Inputs'!$W$5),MIN(-X134,$D$25*'Assumptions &amp; Inputs'!$W$5,$D$25*'Assumptions &amp; Inputs'!$W$5-W136),0)*'Assumptions &amp; Inputs'!$W$4</f>
        <v>0</v>
      </c>
      <c r="Y135" s="148">
        <f>IF(AND(Y24=0,Y134&lt;0,X136&lt;$D$25*'Assumptions &amp; Inputs'!$W$5),MIN(-Y134,$D$25*'Assumptions &amp; Inputs'!$W$5,$D$25*'Assumptions &amp; Inputs'!$W$5-X136),0)*'Assumptions &amp; Inputs'!$W$4</f>
        <v>0</v>
      </c>
      <c r="Z135" s="148">
        <f>IF(AND(Z24=0,Z134&lt;0,Y136&lt;$D$25*'Assumptions &amp; Inputs'!$W$5),MIN(-Z134,$D$25*'Assumptions &amp; Inputs'!$W$5,$D$25*'Assumptions &amp; Inputs'!$W$5-Y136),0)*'Assumptions &amp; Inputs'!$W$4</f>
        <v>0</v>
      </c>
      <c r="AA135" s="148">
        <f>IF(AND(AA24=0,AA134&lt;0,Z136&lt;$D$25*'Assumptions &amp; Inputs'!$W$5),MIN(-AA134,$D$25*'Assumptions &amp; Inputs'!$W$5,$D$25*'Assumptions &amp; Inputs'!$W$5-Z136),0)*'Assumptions &amp; Inputs'!$W$4</f>
        <v>0</v>
      </c>
      <c r="AB135" s="148">
        <f>IF(AND(AB24=0,AB134&lt;0,AA136&lt;$D$25*'Assumptions &amp; Inputs'!$W$5),MIN(-AB134,$D$25*'Assumptions &amp; Inputs'!$W$5,$D$25*'Assumptions &amp; Inputs'!$W$5-AA136),0)*'Assumptions &amp; Inputs'!$W$4</f>
        <v>0</v>
      </c>
      <c r="AC135" s="148">
        <f>IF(AND(AC24=0,AC134&lt;0,AB136&lt;$D$25*'Assumptions &amp; Inputs'!$W$5),MIN(-AC134,$D$25*'Assumptions &amp; Inputs'!$W$5,$D$25*'Assumptions &amp; Inputs'!$W$5-AB136),0)*'Assumptions &amp; Inputs'!$W$4</f>
        <v>0</v>
      </c>
      <c r="AD135" s="148">
        <f>IF(AND(AD24=0,AD134&lt;0,AC136&lt;$D$25*'Assumptions &amp; Inputs'!$W$5),MIN(-AD134,$D$25*'Assumptions &amp; Inputs'!$W$5,$D$25*'Assumptions &amp; Inputs'!$W$5-AC136),0)*'Assumptions &amp; Inputs'!$W$4</f>
        <v>0</v>
      </c>
      <c r="AE135" s="148">
        <f>IF(AND(AE24=0,AE134&lt;0,AD136&lt;$D$25*'Assumptions &amp; Inputs'!$W$5),MIN(-AE134,$D$25*'Assumptions &amp; Inputs'!$W$5,$D$25*'Assumptions &amp; Inputs'!$W$5-AD136),0)*'Assumptions &amp; Inputs'!$W$4</f>
        <v>0</v>
      </c>
      <c r="AF135" s="148">
        <f>IF(AND(AF24=0,AF134&lt;0,AE136&lt;$D$25*'Assumptions &amp; Inputs'!$W$5),MIN(-AF134,$D$25*'Assumptions &amp; Inputs'!$W$5,$D$25*'Assumptions &amp; Inputs'!$W$5-AE136),0)*'Assumptions &amp; Inputs'!$W$4</f>
        <v>0</v>
      </c>
      <c r="AG135" s="148">
        <f>IF(AND(AG24=0,AG134&lt;0,AF136&lt;$D$25*'Assumptions &amp; Inputs'!$W$5),MIN(-AG134,$D$25*'Assumptions &amp; Inputs'!$W$5,$D$25*'Assumptions &amp; Inputs'!$W$5-AF136),0)*'Assumptions &amp; Inputs'!$W$4</f>
        <v>0</v>
      </c>
      <c r="AH135" s="148">
        <f>IF(AND(AH24=0,AH134&lt;0,AG136&lt;$D$25*'Assumptions &amp; Inputs'!$W$5),MIN(-AH134,$D$25*'Assumptions &amp; Inputs'!$W$5,$D$25*'Assumptions &amp; Inputs'!$W$5-AG136),0)*'Assumptions &amp; Inputs'!$W$4</f>
        <v>0</v>
      </c>
      <c r="AI135" s="148">
        <f>IF(AND(AI24=0,AI134&lt;0,AH136&lt;$D$25*'Assumptions &amp; Inputs'!$W$5),MIN(-AI134,$D$25*'Assumptions &amp; Inputs'!$W$5,$D$25*'Assumptions &amp; Inputs'!$W$5-AH136),0)*'Assumptions &amp; Inputs'!$W$4</f>
        <v>0</v>
      </c>
      <c r="AJ135" s="148">
        <f>IF(AND(AJ24=0,AJ134&lt;0,AI136&lt;$D$25*'Assumptions &amp; Inputs'!$W$5),MIN(-AJ134,$D$25*'Assumptions &amp; Inputs'!$W$5,$D$25*'Assumptions &amp; Inputs'!$W$5-AI136),0)*'Assumptions &amp; Inputs'!$W$4</f>
        <v>0</v>
      </c>
      <c r="AK135" s="148">
        <f>IF(AND(AK24=0,AK134&lt;0,AJ136&lt;$D$25*'Assumptions &amp; Inputs'!$W$5),MIN(-AK134,$D$25*'Assumptions &amp; Inputs'!$W$5,$D$25*'Assumptions &amp; Inputs'!$W$5-AJ136),0)*'Assumptions &amp; Inputs'!$W$4</f>
        <v>0</v>
      </c>
      <c r="AL135" s="148">
        <f>IF(AND(AL24=0,AL134&lt;0,AK136&lt;$D$25*'Assumptions &amp; Inputs'!$W$5),MIN(-AL134,$D$25*'Assumptions &amp; Inputs'!$W$5,$D$25*'Assumptions &amp; Inputs'!$W$5-AK136),0)*'Assumptions &amp; Inputs'!$W$4</f>
        <v>0</v>
      </c>
      <c r="AM135" s="148">
        <f>IF(AND(AM24=0,AM134&lt;0,AL136&lt;$D$25*'Assumptions &amp; Inputs'!$W$5),MIN(-AM134,$D$25*'Assumptions &amp; Inputs'!$W$5,$D$25*'Assumptions &amp; Inputs'!$W$5-AL136),0)*'Assumptions &amp; Inputs'!$W$4</f>
        <v>0</v>
      </c>
      <c r="AN135" s="148">
        <f>IF(AND(AN24=0,AN134&lt;0,AM136&lt;$D$25*'Assumptions &amp; Inputs'!$W$5),MIN(-AN134,$D$25*'Assumptions &amp; Inputs'!$W$5,$D$25*'Assumptions &amp; Inputs'!$W$5-AM136),0)*'Assumptions &amp; Inputs'!$W$4</f>
        <v>0</v>
      </c>
      <c r="AO135" s="148">
        <f>IF(AND(AO24=0,AO134&lt;0,AN136&lt;$D$25*'Assumptions &amp; Inputs'!$W$5),MIN(-AO134,$D$25*'Assumptions &amp; Inputs'!$W$5,$D$25*'Assumptions &amp; Inputs'!$W$5-AN136),0)*'Assumptions &amp; Inputs'!$W$4</f>
        <v>0</v>
      </c>
      <c r="AP135" s="148">
        <f>IF(AND(AP24=0,AP134&lt;0,AO136&lt;$D$25*'Assumptions &amp; Inputs'!$W$5),MIN(-AP134,$D$25*'Assumptions &amp; Inputs'!$W$5,$D$25*'Assumptions &amp; Inputs'!$W$5-AO136),0)*'Assumptions &amp; Inputs'!$W$4</f>
        <v>0</v>
      </c>
      <c r="AQ135" s="148">
        <f>IF(AND(AQ24=0,AQ134&lt;0,AP136&lt;$D$25*'Assumptions &amp; Inputs'!$W$5),MIN(-AQ134,$D$25*'Assumptions &amp; Inputs'!$W$5,$D$25*'Assumptions &amp; Inputs'!$W$5-AP136),0)*'Assumptions &amp; Inputs'!$W$4</f>
        <v>0</v>
      </c>
      <c r="AR135" s="148">
        <f>IF(AND(AR24=0,AR134&lt;0,AQ136&lt;$D$25*'Assumptions &amp; Inputs'!$W$5),MIN(-AR134,$D$25*'Assumptions &amp; Inputs'!$W$5,$D$25*'Assumptions &amp; Inputs'!$W$5-AQ136),0)*'Assumptions &amp; Inputs'!$W$4</f>
        <v>0</v>
      </c>
      <c r="AS135" s="148">
        <f>IF(AND(AS24=0,AS134&lt;0,AR136&lt;$D$25*'Assumptions &amp; Inputs'!$W$5),MIN(-AS134,$D$25*'Assumptions &amp; Inputs'!$W$5,$D$25*'Assumptions &amp; Inputs'!$W$5-AR136),0)*'Assumptions &amp; Inputs'!$W$4</f>
        <v>0</v>
      </c>
      <c r="AT135" s="148">
        <f>IF(AND(AT24=0,AT134&lt;0,AS136&lt;$D$25*'Assumptions &amp; Inputs'!$W$5),MIN(-AT134,$D$25*'Assumptions &amp; Inputs'!$W$5,$D$25*'Assumptions &amp; Inputs'!$W$5-AS136),0)*'Assumptions &amp; Inputs'!$W$4</f>
        <v>0</v>
      </c>
      <c r="AU135" s="148">
        <f>IF(AND(AU24=0,AU134&lt;0,AT136&lt;$D$25*'Assumptions &amp; Inputs'!$W$5),MIN(-AU134,$D$25*'Assumptions &amp; Inputs'!$W$5,$D$25*'Assumptions &amp; Inputs'!$W$5-AT136),0)*'Assumptions &amp; Inputs'!$W$4</f>
        <v>0</v>
      </c>
      <c r="AV135" s="148">
        <f>IF(AND(AV24=0,AV134&lt;0,AU136&lt;$D$25*'Assumptions &amp; Inputs'!$W$5),MIN(-AV134,$D$25*'Assumptions &amp; Inputs'!$W$5,$D$25*'Assumptions &amp; Inputs'!$W$5-AU136),0)*'Assumptions &amp; Inputs'!$W$4</f>
        <v>0</v>
      </c>
      <c r="AW135" s="148">
        <f>IF(AND(AW24=0,AW134&lt;0,AV136&lt;$D$25*'Assumptions &amp; Inputs'!$W$5),MIN(-AW134,$D$25*'Assumptions &amp; Inputs'!$W$5,$D$25*'Assumptions &amp; Inputs'!$W$5-AV136),0)*'Assumptions &amp; Inputs'!$W$4</f>
        <v>0</v>
      </c>
    </row>
    <row r="136" spans="3:49" s="149" customFormat="1" ht="14.25" customHeight="1">
      <c r="C136" s="147" t="s">
        <v>520</v>
      </c>
      <c r="D136" s="148">
        <f>SUM($D$135:D135)</f>
        <v>0</v>
      </c>
      <c r="E136" s="148">
        <f>SUM($D$135:E135)</f>
        <v>0</v>
      </c>
      <c r="F136" s="148">
        <f>SUM($D$135:F135)</f>
        <v>0</v>
      </c>
      <c r="G136" s="148">
        <f>SUM($D$135:G135)</f>
        <v>0</v>
      </c>
      <c r="H136" s="148">
        <f>SUM($D$135:H135)</f>
        <v>0</v>
      </c>
      <c r="I136" s="148">
        <f>SUM($D$135:I135)</f>
        <v>0</v>
      </c>
      <c r="J136" s="148">
        <f>SUM($D$135:J135)</f>
        <v>0</v>
      </c>
      <c r="K136" s="148">
        <f>SUM($D$135:K135)</f>
        <v>0</v>
      </c>
      <c r="L136" s="148">
        <f>SUM($D$135:L135)</f>
        <v>0</v>
      </c>
      <c r="M136" s="148">
        <f>SUM($D$135:M135)</f>
        <v>0</v>
      </c>
      <c r="N136" s="148">
        <f>SUM($D$135:N135)</f>
        <v>0</v>
      </c>
      <c r="O136" s="148">
        <f>SUM($D$135:O135)</f>
        <v>0</v>
      </c>
      <c r="P136" s="148">
        <f>SUM($D$135:P135)</f>
        <v>0</v>
      </c>
      <c r="Q136" s="148">
        <f>SUM($D$135:Q135)</f>
        <v>0</v>
      </c>
      <c r="R136" s="148">
        <f>SUM($D$135:R135)</f>
        <v>0</v>
      </c>
      <c r="S136" s="148">
        <f>SUM($D$135:S135)</f>
        <v>0</v>
      </c>
      <c r="T136" s="148">
        <f>SUM($D$135:T135)</f>
        <v>0</v>
      </c>
      <c r="U136" s="148">
        <f>SUM($D$135:U135)</f>
        <v>0</v>
      </c>
      <c r="V136" s="148">
        <f>SUM($D$135:V135)</f>
        <v>0</v>
      </c>
      <c r="W136" s="148">
        <f>SUM($D$135:W135)</f>
        <v>0</v>
      </c>
      <c r="X136" s="148">
        <f>SUM($D$135:X135)</f>
        <v>0</v>
      </c>
      <c r="Y136" s="148">
        <f>SUM($D$135:Y135)</f>
        <v>0</v>
      </c>
      <c r="Z136" s="148">
        <f>SUM($D$135:Z135)</f>
        <v>0</v>
      </c>
      <c r="AA136" s="148">
        <f>SUM($D$135:AA135)</f>
        <v>0</v>
      </c>
      <c r="AB136" s="148">
        <f>SUM($D$135:AB135)</f>
        <v>0</v>
      </c>
      <c r="AC136" s="148">
        <f>SUM($D$135:AC135)</f>
        <v>0</v>
      </c>
      <c r="AD136" s="148">
        <f>SUM($D$135:AD135)</f>
        <v>0</v>
      </c>
      <c r="AE136" s="148">
        <f>SUM($D$135:AE135)</f>
        <v>0</v>
      </c>
      <c r="AF136" s="148">
        <f>SUM($D$135:AF135)</f>
        <v>0</v>
      </c>
      <c r="AG136" s="148">
        <f>SUM($D$135:AG135)</f>
        <v>0</v>
      </c>
      <c r="AH136" s="148">
        <f>SUM($D$135:AH135)</f>
        <v>0</v>
      </c>
      <c r="AI136" s="148">
        <f>SUM($D$135:AI135)</f>
        <v>0</v>
      </c>
      <c r="AJ136" s="148">
        <f>SUM($D$135:AJ135)</f>
        <v>0</v>
      </c>
      <c r="AK136" s="148">
        <f>SUM($D$135:AK135)</f>
        <v>0</v>
      </c>
      <c r="AL136" s="148">
        <f>SUM($D$135:AL135)</f>
        <v>0</v>
      </c>
      <c r="AM136" s="148">
        <f>SUM($D$135:AM135)</f>
        <v>0</v>
      </c>
      <c r="AN136" s="148">
        <f>SUM($D$135:AN135)</f>
        <v>0</v>
      </c>
      <c r="AO136" s="148">
        <f>SUM($D$135:AO135)</f>
        <v>0</v>
      </c>
      <c r="AP136" s="148">
        <f>SUM($D$135:AP135)</f>
        <v>0</v>
      </c>
      <c r="AQ136" s="148">
        <f>SUM($D$135:AQ135)</f>
        <v>0</v>
      </c>
      <c r="AR136" s="148">
        <f>SUM($D$135:AR135)</f>
        <v>0</v>
      </c>
      <c r="AS136" s="148">
        <f>SUM($D$135:AS135)</f>
        <v>0</v>
      </c>
      <c r="AT136" s="148">
        <f>SUM($D$135:AT135)</f>
        <v>0</v>
      </c>
      <c r="AU136" s="148">
        <f>SUM($D$135:AU135)</f>
        <v>0</v>
      </c>
      <c r="AV136" s="148">
        <f>SUM($D$135:AV135)</f>
        <v>0</v>
      </c>
      <c r="AW136" s="148">
        <f>SUM($D$135:AW135)</f>
        <v>0</v>
      </c>
    </row>
    <row r="137" spans="3:49" ht="15" customHeight="1">
      <c r="C137" s="44"/>
      <c r="D137" s="44"/>
      <c r="E137" s="55"/>
      <c r="F137" s="55"/>
      <c r="G137" s="55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</row>
    <row r="138" spans="3:49" ht="15" customHeight="1">
      <c r="C138" s="7" t="s">
        <v>489</v>
      </c>
      <c r="D138" s="72">
        <f>SUM(D133,D134,D135)</f>
        <v>0</v>
      </c>
      <c r="E138" s="72">
        <f t="shared" ref="E138:X138" si="319">SUM(E133,E134,E135)</f>
        <v>1.7333888885543629</v>
      </c>
      <c r="F138" s="72">
        <f t="shared" si="319"/>
        <v>7.0937508671683522</v>
      </c>
      <c r="G138" s="72">
        <f t="shared" si="319"/>
        <v>7.1443064066066624</v>
      </c>
      <c r="H138" s="72">
        <f t="shared" si="319"/>
        <v>7.1945795678081454</v>
      </c>
      <c r="I138" s="72">
        <f t="shared" si="319"/>
        <v>7.2445442905755666</v>
      </c>
      <c r="J138" s="72">
        <f t="shared" si="319"/>
        <v>7.2941736081638977</v>
      </c>
      <c r="K138" s="72">
        <f t="shared" si="319"/>
        <v>7.3434396202714671</v>
      </c>
      <c r="L138" s="72">
        <f t="shared" si="319"/>
        <v>7.3923134652541442</v>
      </c>
      <c r="M138" s="72">
        <f t="shared" si="319"/>
        <v>7.4407652915401705</v>
      </c>
      <c r="N138" s="72">
        <f t="shared" si="319"/>
        <v>7.4887642282226494</v>
      </c>
      <c r="O138" s="72">
        <f t="shared" si="319"/>
        <v>7.5362783548060062</v>
      </c>
      <c r="P138" s="72">
        <f t="shared" si="319"/>
        <v>7.5832746700820657</v>
      </c>
      <c r="Q138" s="72">
        <f t="shared" si="319"/>
        <v>7.6297190601106237</v>
      </c>
      <c r="R138" s="72">
        <f t="shared" si="319"/>
        <v>7.6755762652787993</v>
      </c>
      <c r="S138" s="72">
        <f t="shared" si="319"/>
        <v>7.7208098464125037</v>
      </c>
      <c r="T138" s="72">
        <f t="shared" si="319"/>
        <v>7.7653821499128011</v>
      </c>
      <c r="U138" s="72">
        <f t="shared" si="319"/>
        <v>7.8092542718889302</v>
      </c>
      <c r="V138" s="72">
        <f t="shared" si="319"/>
        <v>7.8523860212591341</v>
      </c>
      <c r="W138" s="72">
        <f t="shared" si="319"/>
        <v>7.8947358817894671</v>
      </c>
      <c r="X138" s="72">
        <f t="shared" si="319"/>
        <v>7.9362609730399161</v>
      </c>
      <c r="Y138" s="72">
        <f t="shared" ref="Y138:AW138" si="320">SUM(Y133,Y134,Y135)</f>
        <v>7.9769170101863072</v>
      </c>
      <c r="Z138" s="72">
        <f t="shared" si="320"/>
        <v>8.0166582626855352</v>
      </c>
      <c r="AA138" s="72">
        <f t="shared" si="320"/>
        <v>8.0554375117506289</v>
      </c>
      <c r="AB138" s="72">
        <f t="shared" si="320"/>
        <v>8.0932060066013989</v>
      </c>
      <c r="AC138" s="72">
        <f t="shared" si="320"/>
        <v>8.1299134194551037</v>
      </c>
      <c r="AD138" s="72">
        <f t="shared" si="320"/>
        <v>8.1655077992208387</v>
      </c>
      <c r="AE138" s="72">
        <f t="shared" si="320"/>
        <v>-2.1249525169443927E-6</v>
      </c>
      <c r="AF138" s="72">
        <f t="shared" si="320"/>
        <v>-2.1887010924527248E-6</v>
      </c>
      <c r="AG138" s="72">
        <f t="shared" si="320"/>
        <v>-2.2543621252263061E-6</v>
      </c>
      <c r="AH138" s="72">
        <f t="shared" si="320"/>
        <v>-2.3219929889830952E-6</v>
      </c>
      <c r="AI138" s="72">
        <f t="shared" si="320"/>
        <v>-2.3916527786525884E-6</v>
      </c>
      <c r="AJ138" s="72">
        <f t="shared" si="320"/>
        <v>-2.4634023620121658E-6</v>
      </c>
      <c r="AK138" s="72">
        <f t="shared" si="320"/>
        <v>-2.537304432872531E-6</v>
      </c>
      <c r="AL138" s="72">
        <f t="shared" si="320"/>
        <v>-2.6134235658587073E-6</v>
      </c>
      <c r="AM138" s="72">
        <f t="shared" si="320"/>
        <v>-2.6918262728344683E-6</v>
      </c>
      <c r="AN138" s="72">
        <f t="shared" si="320"/>
        <v>-2.7725810610195027E-6</v>
      </c>
      <c r="AO138" s="72">
        <f t="shared" si="320"/>
        <v>-2.8557584928500874E-6</v>
      </c>
      <c r="AP138" s="72">
        <f t="shared" si="320"/>
        <v>-2.9414312476355905E-6</v>
      </c>
      <c r="AQ138" s="72">
        <f t="shared" si="320"/>
        <v>-3.0296741850646581E-6</v>
      </c>
      <c r="AR138" s="72">
        <f t="shared" si="320"/>
        <v>-3.1205644106165973E-6</v>
      </c>
      <c r="AS138" s="72">
        <f t="shared" si="320"/>
        <v>-3.2141813429350959E-6</v>
      </c>
      <c r="AT138" s="72">
        <f t="shared" si="320"/>
        <v>-3.310606783223149E-6</v>
      </c>
      <c r="AU138" s="72">
        <f t="shared" si="320"/>
        <v>-3.4099249867198433E-6</v>
      </c>
      <c r="AV138" s="72">
        <f t="shared" si="320"/>
        <v>-3.5122227363214387E-6</v>
      </c>
      <c r="AW138" s="72">
        <f t="shared" si="320"/>
        <v>-3.6175894184110823E-6</v>
      </c>
    </row>
    <row r="139" spans="3:49" ht="15" customHeight="1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3:49" ht="15" customHeight="1">
      <c r="C140" s="2" t="s">
        <v>490</v>
      </c>
      <c r="D140" s="61">
        <f t="shared" ref="D140:X140" si="321">D24</f>
        <v>-73.333333333333343</v>
      </c>
      <c r="E140" s="61">
        <f>E24</f>
        <v>-46.666666666666664</v>
      </c>
      <c r="F140" s="61">
        <f t="shared" si="321"/>
        <v>0</v>
      </c>
      <c r="G140" s="61">
        <f t="shared" si="321"/>
        <v>0</v>
      </c>
      <c r="H140" s="61">
        <f t="shared" si="321"/>
        <v>0</v>
      </c>
      <c r="I140" s="61">
        <f t="shared" si="321"/>
        <v>0</v>
      </c>
      <c r="J140" s="61">
        <f t="shared" si="321"/>
        <v>0</v>
      </c>
      <c r="K140" s="61">
        <f t="shared" si="321"/>
        <v>0</v>
      </c>
      <c r="L140" s="61">
        <f t="shared" si="321"/>
        <v>0</v>
      </c>
      <c r="M140" s="61">
        <f t="shared" si="321"/>
        <v>0</v>
      </c>
      <c r="N140" s="61">
        <f t="shared" si="321"/>
        <v>0</v>
      </c>
      <c r="O140" s="61">
        <f t="shared" si="321"/>
        <v>0</v>
      </c>
      <c r="P140" s="61">
        <f t="shared" si="321"/>
        <v>0</v>
      </c>
      <c r="Q140" s="61">
        <f t="shared" si="321"/>
        <v>0</v>
      </c>
      <c r="R140" s="61">
        <f t="shared" si="321"/>
        <v>0</v>
      </c>
      <c r="S140" s="61">
        <f t="shared" si="321"/>
        <v>0</v>
      </c>
      <c r="T140" s="61">
        <f t="shared" si="321"/>
        <v>0</v>
      </c>
      <c r="U140" s="61">
        <f t="shared" si="321"/>
        <v>0</v>
      </c>
      <c r="V140" s="61">
        <f t="shared" si="321"/>
        <v>0</v>
      </c>
      <c r="W140" s="61">
        <f t="shared" si="321"/>
        <v>0</v>
      </c>
      <c r="X140" s="61">
        <f t="shared" si="321"/>
        <v>0</v>
      </c>
      <c r="Y140" s="61">
        <f t="shared" ref="Y140:AW140" si="322">Y24</f>
        <v>0</v>
      </c>
      <c r="Z140" s="61">
        <f t="shared" si="322"/>
        <v>0</v>
      </c>
      <c r="AA140" s="61">
        <f t="shared" si="322"/>
        <v>0</v>
      </c>
      <c r="AB140" s="61">
        <f t="shared" si="322"/>
        <v>0</v>
      </c>
      <c r="AC140" s="61">
        <f t="shared" si="322"/>
        <v>0</v>
      </c>
      <c r="AD140" s="61">
        <f t="shared" si="322"/>
        <v>0</v>
      </c>
      <c r="AE140" s="61">
        <f t="shared" si="322"/>
        <v>0</v>
      </c>
      <c r="AF140" s="61">
        <f t="shared" si="322"/>
        <v>0</v>
      </c>
      <c r="AG140" s="61">
        <f t="shared" si="322"/>
        <v>0</v>
      </c>
      <c r="AH140" s="61">
        <f t="shared" si="322"/>
        <v>0</v>
      </c>
      <c r="AI140" s="61">
        <f t="shared" si="322"/>
        <v>0</v>
      </c>
      <c r="AJ140" s="61">
        <f t="shared" si="322"/>
        <v>0</v>
      </c>
      <c r="AK140" s="61">
        <f t="shared" si="322"/>
        <v>0</v>
      </c>
      <c r="AL140" s="61">
        <f t="shared" si="322"/>
        <v>0</v>
      </c>
      <c r="AM140" s="61">
        <f t="shared" si="322"/>
        <v>0</v>
      </c>
      <c r="AN140" s="61">
        <f t="shared" si="322"/>
        <v>0</v>
      </c>
      <c r="AO140" s="61">
        <f t="shared" si="322"/>
        <v>0</v>
      </c>
      <c r="AP140" s="61">
        <f t="shared" si="322"/>
        <v>0</v>
      </c>
      <c r="AQ140" s="61">
        <f t="shared" si="322"/>
        <v>0</v>
      </c>
      <c r="AR140" s="61">
        <f t="shared" si="322"/>
        <v>0</v>
      </c>
      <c r="AS140" s="61">
        <f t="shared" si="322"/>
        <v>0</v>
      </c>
      <c r="AT140" s="61">
        <f t="shared" si="322"/>
        <v>0</v>
      </c>
      <c r="AU140" s="61">
        <f t="shared" si="322"/>
        <v>0</v>
      </c>
      <c r="AV140" s="61">
        <f t="shared" si="322"/>
        <v>0</v>
      </c>
      <c r="AW140" s="61">
        <f t="shared" si="322"/>
        <v>0</v>
      </c>
    </row>
    <row r="141" spans="3:49" ht="15" customHeight="1">
      <c r="C141" s="4" t="s">
        <v>506</v>
      </c>
      <c r="D141" s="502">
        <f>0</f>
        <v>0</v>
      </c>
      <c r="E141" s="502">
        <f>D140+D141-D142</f>
        <v>-73.333333333333343</v>
      </c>
      <c r="F141" s="502">
        <f t="shared" ref="F141:AW141" si="323">E140+E141-E142</f>
        <v>-120</v>
      </c>
      <c r="G141" s="502">
        <f t="shared" si="323"/>
        <v>-120</v>
      </c>
      <c r="H141" s="502">
        <f t="shared" si="323"/>
        <v>-120</v>
      </c>
      <c r="I141" s="502">
        <f t="shared" si="323"/>
        <v>-120</v>
      </c>
      <c r="J141" s="502">
        <f t="shared" si="323"/>
        <v>-120</v>
      </c>
      <c r="K141" s="502">
        <f t="shared" si="323"/>
        <v>-120</v>
      </c>
      <c r="L141" s="502">
        <f t="shared" si="323"/>
        <v>-120</v>
      </c>
      <c r="M141" s="502">
        <f t="shared" si="323"/>
        <v>-120</v>
      </c>
      <c r="N141" s="502">
        <f t="shared" si="323"/>
        <v>-120</v>
      </c>
      <c r="O141" s="502">
        <f t="shared" si="323"/>
        <v>-120</v>
      </c>
      <c r="P141" s="502">
        <f t="shared" si="323"/>
        <v>-120</v>
      </c>
      <c r="Q141" s="502">
        <f t="shared" si="323"/>
        <v>-120</v>
      </c>
      <c r="R141" s="502">
        <f t="shared" si="323"/>
        <v>-120</v>
      </c>
      <c r="S141" s="502">
        <f t="shared" si="323"/>
        <v>-120</v>
      </c>
      <c r="T141" s="502">
        <f t="shared" si="323"/>
        <v>-120</v>
      </c>
      <c r="U141" s="502">
        <f t="shared" si="323"/>
        <v>-120</v>
      </c>
      <c r="V141" s="502">
        <f t="shared" si="323"/>
        <v>-120</v>
      </c>
      <c r="W141" s="502">
        <f t="shared" si="323"/>
        <v>-120</v>
      </c>
      <c r="X141" s="502">
        <f>W140+W141-W142</f>
        <v>-120</v>
      </c>
      <c r="Y141" s="502">
        <f t="shared" si="323"/>
        <v>-120</v>
      </c>
      <c r="Z141" s="502">
        <f t="shared" si="323"/>
        <v>-120</v>
      </c>
      <c r="AA141" s="502">
        <f t="shared" si="323"/>
        <v>-120</v>
      </c>
      <c r="AB141" s="502">
        <f t="shared" si="323"/>
        <v>-120</v>
      </c>
      <c r="AC141" s="502">
        <f t="shared" si="323"/>
        <v>-120</v>
      </c>
      <c r="AD141" s="502">
        <f t="shared" si="323"/>
        <v>-120</v>
      </c>
      <c r="AE141" s="502">
        <f t="shared" si="323"/>
        <v>0</v>
      </c>
      <c r="AF141" s="502">
        <f t="shared" si="323"/>
        <v>0</v>
      </c>
      <c r="AG141" s="502">
        <f t="shared" si="323"/>
        <v>0</v>
      </c>
      <c r="AH141" s="502">
        <f t="shared" si="323"/>
        <v>0</v>
      </c>
      <c r="AI141" s="502">
        <f t="shared" si="323"/>
        <v>0</v>
      </c>
      <c r="AJ141" s="502">
        <f t="shared" si="323"/>
        <v>0</v>
      </c>
      <c r="AK141" s="502">
        <f t="shared" si="323"/>
        <v>0</v>
      </c>
      <c r="AL141" s="502">
        <f t="shared" si="323"/>
        <v>0</v>
      </c>
      <c r="AM141" s="502">
        <f t="shared" si="323"/>
        <v>0</v>
      </c>
      <c r="AN141" s="502">
        <f t="shared" si="323"/>
        <v>0</v>
      </c>
      <c r="AO141" s="502">
        <f t="shared" si="323"/>
        <v>0</v>
      </c>
      <c r="AP141" s="502">
        <f t="shared" si="323"/>
        <v>0</v>
      </c>
      <c r="AQ141" s="502">
        <f t="shared" si="323"/>
        <v>0</v>
      </c>
      <c r="AR141" s="502">
        <f t="shared" si="323"/>
        <v>0</v>
      </c>
      <c r="AS141" s="502">
        <f t="shared" si="323"/>
        <v>0</v>
      </c>
      <c r="AT141" s="502">
        <f t="shared" si="323"/>
        <v>0</v>
      </c>
      <c r="AU141" s="502">
        <f t="shared" si="323"/>
        <v>0</v>
      </c>
      <c r="AV141" s="502">
        <f t="shared" si="323"/>
        <v>0</v>
      </c>
      <c r="AW141" s="502">
        <f t="shared" si="323"/>
        <v>0</v>
      </c>
    </row>
    <row r="142" spans="3:49" ht="15" customHeight="1">
      <c r="C142" s="4" t="s">
        <v>507</v>
      </c>
      <c r="D142" s="502">
        <f t="shared" ref="D142" si="324">IF(D42=0, 0, D141)</f>
        <v>0</v>
      </c>
      <c r="E142" s="502">
        <f>IF(E42=0, 0, E141)</f>
        <v>0</v>
      </c>
      <c r="F142" s="502">
        <f t="shared" ref="F142:AW142" si="325">IF(F42=0, 0, F141)</f>
        <v>0</v>
      </c>
      <c r="G142" s="502">
        <f t="shared" si="325"/>
        <v>0</v>
      </c>
      <c r="H142" s="502">
        <f t="shared" si="325"/>
        <v>0</v>
      </c>
      <c r="I142" s="502">
        <f t="shared" si="325"/>
        <v>0</v>
      </c>
      <c r="J142" s="502">
        <f t="shared" si="325"/>
        <v>0</v>
      </c>
      <c r="K142" s="502">
        <f t="shared" si="325"/>
        <v>0</v>
      </c>
      <c r="L142" s="502">
        <f t="shared" si="325"/>
        <v>0</v>
      </c>
      <c r="M142" s="502">
        <f t="shared" si="325"/>
        <v>0</v>
      </c>
      <c r="N142" s="502">
        <f t="shared" si="325"/>
        <v>0</v>
      </c>
      <c r="O142" s="502">
        <f t="shared" si="325"/>
        <v>0</v>
      </c>
      <c r="P142" s="502">
        <f t="shared" si="325"/>
        <v>0</v>
      </c>
      <c r="Q142" s="502">
        <f t="shared" si="325"/>
        <v>0</v>
      </c>
      <c r="R142" s="502">
        <f t="shared" si="325"/>
        <v>0</v>
      </c>
      <c r="S142" s="502">
        <f t="shared" si="325"/>
        <v>0</v>
      </c>
      <c r="T142" s="502">
        <f t="shared" si="325"/>
        <v>0</v>
      </c>
      <c r="U142" s="502">
        <f t="shared" si="325"/>
        <v>0</v>
      </c>
      <c r="V142" s="502">
        <f t="shared" si="325"/>
        <v>0</v>
      </c>
      <c r="W142" s="502">
        <f t="shared" si="325"/>
        <v>0</v>
      </c>
      <c r="X142" s="502">
        <f>IF(X42=0, 0, X141)</f>
        <v>0</v>
      </c>
      <c r="Y142" s="502">
        <f t="shared" si="325"/>
        <v>0</v>
      </c>
      <c r="Z142" s="502">
        <f t="shared" si="325"/>
        <v>0</v>
      </c>
      <c r="AA142" s="502">
        <f t="shared" si="325"/>
        <v>0</v>
      </c>
      <c r="AB142" s="502">
        <f t="shared" si="325"/>
        <v>0</v>
      </c>
      <c r="AC142" s="502">
        <f t="shared" si="325"/>
        <v>0</v>
      </c>
      <c r="AD142" s="502">
        <f t="shared" si="325"/>
        <v>-120</v>
      </c>
      <c r="AE142" s="502">
        <f t="shared" si="325"/>
        <v>0</v>
      </c>
      <c r="AF142" s="502">
        <f t="shared" si="325"/>
        <v>0</v>
      </c>
      <c r="AG142" s="502">
        <f t="shared" si="325"/>
        <v>0</v>
      </c>
      <c r="AH142" s="502">
        <f t="shared" si="325"/>
        <v>0</v>
      </c>
      <c r="AI142" s="502">
        <f t="shared" si="325"/>
        <v>0</v>
      </c>
      <c r="AJ142" s="502">
        <f t="shared" si="325"/>
        <v>0</v>
      </c>
      <c r="AK142" s="502">
        <f t="shared" si="325"/>
        <v>0</v>
      </c>
      <c r="AL142" s="502">
        <f t="shared" si="325"/>
        <v>0</v>
      </c>
      <c r="AM142" s="502">
        <f t="shared" si="325"/>
        <v>0</v>
      </c>
      <c r="AN142" s="502">
        <f t="shared" si="325"/>
        <v>0</v>
      </c>
      <c r="AO142" s="502">
        <f t="shared" si="325"/>
        <v>0</v>
      </c>
      <c r="AP142" s="502">
        <f t="shared" si="325"/>
        <v>0</v>
      </c>
      <c r="AQ142" s="502">
        <f t="shared" si="325"/>
        <v>0</v>
      </c>
      <c r="AR142" s="502">
        <f t="shared" si="325"/>
        <v>0</v>
      </c>
      <c r="AS142" s="502">
        <f t="shared" si="325"/>
        <v>0</v>
      </c>
      <c r="AT142" s="502">
        <f t="shared" si="325"/>
        <v>0</v>
      </c>
      <c r="AU142" s="502">
        <f t="shared" si="325"/>
        <v>0</v>
      </c>
      <c r="AV142" s="502">
        <f t="shared" si="325"/>
        <v>0</v>
      </c>
      <c r="AW142" s="502">
        <f t="shared" si="325"/>
        <v>0</v>
      </c>
    </row>
    <row r="143" spans="3:49" ht="15" customHeight="1">
      <c r="C143" s="1" t="s">
        <v>491</v>
      </c>
      <c r="D143" s="8">
        <f>IF(AND(D140=0, C145&lt;$D$25*'Assumptions &amp; Inputs'!$H$37),MIN($D$25*(1-'Assumptions &amp; Inputs'!$H$37)/'Assumptions &amp; Inputs'!$H$35,-C145),0)</f>
        <v>0</v>
      </c>
      <c r="E143" s="8">
        <f>IF(AND(E110&gt;YEAR('Assumptions &amp; Inputs'!$H$31), ROUND(D145, 7)&lt;SUMIF($D$110:$AW$110, "="&amp;E110-'Assumptions &amp; Inputs'!$H$34-1, $D$140:$AW$140)*'Assumptions &amp; Inputs'!$H$37),MIN(E141*(1-'Assumptions &amp; Inputs'!$H$37)/'Assumptions &amp; Inputs'!$H$34,-D145),0)</f>
        <v>0</v>
      </c>
      <c r="F143" s="8">
        <f>IF(AND(F110&gt;YEAR('Assumptions &amp; Inputs'!$H$31), ROUND(E145, 7)&lt;SUMIF($D$110:$AW$110, "="&amp;F110-'Assumptions &amp; Inputs'!$H$34-1, $D$140:$AW$140)*'Assumptions &amp; Inputs'!$H$37),MIN(F141*(1-'Assumptions &amp; Inputs'!$H$37)/'Assumptions &amp; Inputs'!$H$34,-E145),0)</f>
        <v>-4.5599999999999996</v>
      </c>
      <c r="G143" s="8">
        <f>IF(AND(G110&gt;YEAR('Assumptions &amp; Inputs'!$H$31), ROUND(F145, 7)&lt;SUMIF($D$110:$AW$110, "="&amp;G110-'Assumptions &amp; Inputs'!$H$34-1, $D$140:$AW$140)*'Assumptions &amp; Inputs'!$H$37),MIN(G141*(1-'Assumptions &amp; Inputs'!$H$37)/'Assumptions &amp; Inputs'!$H$34,-F145),0)</f>
        <v>-4.5599999999999996</v>
      </c>
      <c r="H143" s="8">
        <f>IF(AND(H110&gt;YEAR('Assumptions &amp; Inputs'!$H$31), ROUND(G145, 7)&lt;SUMIF($D$110:$AW$110, "="&amp;H110-'Assumptions &amp; Inputs'!$H$34-1, $D$140:$AW$140)*'Assumptions &amp; Inputs'!$H$37),MIN(H141*(1-'Assumptions &amp; Inputs'!$H$37)/'Assumptions &amp; Inputs'!$H$34,-G145),0)</f>
        <v>-4.5599999999999996</v>
      </c>
      <c r="I143" s="8">
        <f>IF(AND(I110&gt;YEAR('Assumptions &amp; Inputs'!$H$31), ROUND(H145, 7)&lt;SUMIF($D$110:$AW$110, "="&amp;I110-'Assumptions &amp; Inputs'!$H$34-1, $D$140:$AW$140)*'Assumptions &amp; Inputs'!$H$37),MIN(I141*(1-'Assumptions &amp; Inputs'!$H$37)/'Assumptions &amp; Inputs'!$H$34,-H145),0)</f>
        <v>-4.5599999999999996</v>
      </c>
      <c r="J143" s="8">
        <f>IF(AND(J110&gt;YEAR('Assumptions &amp; Inputs'!$H$31), ROUND(I145, 7)&lt;SUMIF($D$110:$AW$110, "="&amp;J110-'Assumptions &amp; Inputs'!$H$34-1, $D$140:$AW$140)*'Assumptions &amp; Inputs'!$H$37),MIN(J141*(1-'Assumptions &amp; Inputs'!$H$37)/'Assumptions &amp; Inputs'!$H$34,-I145),0)</f>
        <v>-4.5599999999999996</v>
      </c>
      <c r="K143" s="8">
        <f>IF(AND(K110&gt;YEAR('Assumptions &amp; Inputs'!$H$31), ROUND(J145, 7)&lt;SUMIF($D$110:$AW$110, "="&amp;K110-'Assumptions &amp; Inputs'!$H$34-1, $D$140:$AW$140)*'Assumptions &amp; Inputs'!$H$37),MIN(K141*(1-'Assumptions &amp; Inputs'!$H$37)/'Assumptions &amp; Inputs'!$H$34,-J145),0)</f>
        <v>-4.5599999999999996</v>
      </c>
      <c r="L143" s="8">
        <f>IF(AND(L110&gt;YEAR('Assumptions &amp; Inputs'!$H$31), ROUND(K145, 7)&lt;SUMIF($D$110:$AW$110, "="&amp;L110-'Assumptions &amp; Inputs'!$H$34-1, $D$140:$AW$140)*'Assumptions &amp; Inputs'!$H$37),MIN(L141*(1-'Assumptions &amp; Inputs'!$H$37)/'Assumptions &amp; Inputs'!$H$34,-K145),0)</f>
        <v>-4.5599999999999996</v>
      </c>
      <c r="M143" s="8">
        <f>IF(AND(M110&gt;YEAR('Assumptions &amp; Inputs'!$H$31), ROUND(L145, 7)&lt;SUMIF($D$110:$AW$110, "="&amp;M110-'Assumptions &amp; Inputs'!$H$34-1, $D$140:$AW$140)*'Assumptions &amp; Inputs'!$H$37),MIN(M141*(1-'Assumptions &amp; Inputs'!$H$37)/'Assumptions &amp; Inputs'!$H$34,-L145),0)</f>
        <v>-4.5599999999999996</v>
      </c>
      <c r="N143" s="8">
        <f>IF(AND(N110&gt;YEAR('Assumptions &amp; Inputs'!$H$31), ROUND(M145, 7)&lt;SUMIF($D$110:$AW$110, "="&amp;N110-'Assumptions &amp; Inputs'!$H$34-1, $D$140:$AW$140)*'Assumptions &amp; Inputs'!$H$37),MIN(N141*(1-'Assumptions &amp; Inputs'!$H$37)/'Assumptions &amp; Inputs'!$H$34,-M145),0)</f>
        <v>-4.5599999999999996</v>
      </c>
      <c r="O143" s="8">
        <f>IF(AND(O110&gt;YEAR('Assumptions &amp; Inputs'!$H$31), ROUND(N145, 7)&lt;SUMIF($D$110:$AW$110, "="&amp;O110-'Assumptions &amp; Inputs'!$H$34-1, $D$140:$AW$140)*'Assumptions &amp; Inputs'!$H$37),MIN(O141*(1-'Assumptions &amp; Inputs'!$H$37)/'Assumptions &amp; Inputs'!$H$34,-N145),0)</f>
        <v>-4.5599999999999996</v>
      </c>
      <c r="P143" s="8">
        <f>IF(AND(P110&gt;YEAR('Assumptions &amp; Inputs'!$H$31), ROUND(O145, 7)&lt;SUMIF($D$110:$AW$110, "="&amp;P110-'Assumptions &amp; Inputs'!$H$34-1, $D$140:$AW$140)*'Assumptions &amp; Inputs'!$H$37),MIN(P141*(1-'Assumptions &amp; Inputs'!$H$37)/'Assumptions &amp; Inputs'!$H$34,-O145),0)</f>
        <v>-4.5599999999999996</v>
      </c>
      <c r="Q143" s="8">
        <f>IF(AND(Q110&gt;YEAR('Assumptions &amp; Inputs'!$H$31), ROUND(P145, 7)&lt;SUMIF($D$110:$AW$110, "="&amp;Q110-'Assumptions &amp; Inputs'!$H$34-1, $D$140:$AW$140)*'Assumptions &amp; Inputs'!$H$37),MIN(Q141*(1-'Assumptions &amp; Inputs'!$H$37)/'Assumptions &amp; Inputs'!$H$34,-P145),0)</f>
        <v>-4.5599999999999996</v>
      </c>
      <c r="R143" s="8">
        <f>IF(AND(R110&gt;YEAR('Assumptions &amp; Inputs'!$H$31), ROUND(Q145, 7)&lt;SUMIF($D$110:$AW$110, "="&amp;R110-'Assumptions &amp; Inputs'!$H$34-1, $D$140:$AW$140)*'Assumptions &amp; Inputs'!$H$37),MIN(R141*(1-'Assumptions &amp; Inputs'!$H$37)/'Assumptions &amp; Inputs'!$H$34,-Q145),0)</f>
        <v>-4.5599999999999996</v>
      </c>
      <c r="S143" s="8">
        <f>IF(AND(S110&gt;YEAR('Assumptions &amp; Inputs'!$H$31), ROUND(R145, 7)&lt;SUMIF($D$110:$AW$110, "="&amp;S110-'Assumptions &amp; Inputs'!$H$34-1, $D$140:$AW$140)*'Assumptions &amp; Inputs'!$H$37),MIN(S141*(1-'Assumptions &amp; Inputs'!$H$37)/'Assumptions &amp; Inputs'!$H$34,-R145),0)</f>
        <v>-4.5599999999999996</v>
      </c>
      <c r="T143" s="8">
        <f>IF(AND(T110&gt;YEAR('Assumptions &amp; Inputs'!$H$31), ROUND(S145, 7)&lt;SUMIF($D$110:$AW$110, "="&amp;T110-'Assumptions &amp; Inputs'!$H$34-1, $D$140:$AW$140)*'Assumptions &amp; Inputs'!$H$37),MIN(T141*(1-'Assumptions &amp; Inputs'!$H$37)/'Assumptions &amp; Inputs'!$H$34,-S145),0)</f>
        <v>-4.5599999999999996</v>
      </c>
      <c r="U143" s="8">
        <f>IF(AND(U110&gt;YEAR('Assumptions &amp; Inputs'!$H$31), ROUND(T145, 7)&lt;SUMIF($D$110:$AW$110, "="&amp;U110-'Assumptions &amp; Inputs'!$H$34-1, $D$140:$AW$140)*'Assumptions &amp; Inputs'!$H$37),MIN(U141*(1-'Assumptions &amp; Inputs'!$H$37)/'Assumptions &amp; Inputs'!$H$34,-T145),0)</f>
        <v>-4.5599999999999996</v>
      </c>
      <c r="V143" s="8">
        <f>IF(AND(V110&gt;YEAR('Assumptions &amp; Inputs'!$H$31), ROUND(U145, 7)&lt;SUMIF($D$110:$AW$110, "="&amp;V110-'Assumptions &amp; Inputs'!$H$34-1, $D$140:$AW$140)*'Assumptions &amp; Inputs'!$H$37),MIN(V141*(1-'Assumptions &amp; Inputs'!$H$37)/'Assumptions &amp; Inputs'!$H$34,-U145),0)</f>
        <v>-4.5599999999999996</v>
      </c>
      <c r="W143" s="8">
        <f>IF(AND(W110&gt;YEAR('Assumptions &amp; Inputs'!$H$31), ROUND(V145, 7)&lt;SUMIF($D$110:$AW$110, "="&amp;W110-'Assumptions &amp; Inputs'!$H$34-1, $D$140:$AW$140)*'Assumptions &amp; Inputs'!$H$37),MIN(W141*(1-'Assumptions &amp; Inputs'!$H$37)/'Assumptions &amp; Inputs'!$H$34,-V145),0)</f>
        <v>-4.5599999999999996</v>
      </c>
      <c r="X143" s="8">
        <f>IF(AND(X110&gt;YEAR('Assumptions &amp; Inputs'!$H$31), ROUND(W145, 7)&lt;SUMIF($D$110:$AW$110, "="&amp;X110-'Assumptions &amp; Inputs'!$H$34-1, $D$140:$AW$140)*'Assumptions &amp; Inputs'!$H$37),MIN(X141*(1-'Assumptions &amp; Inputs'!$H$37)/'Assumptions &amp; Inputs'!$H$34,-W145),0)</f>
        <v>-4.5599999999999996</v>
      </c>
      <c r="Y143" s="8">
        <f>IF(AND(Y110&gt;YEAR('Assumptions &amp; Inputs'!$H$31), ROUND(X145, 7)&lt;SUMIF($D$110:$AW$110, "="&amp;Y110-'Assumptions &amp; Inputs'!$H$34-1, $D$140:$AW$140)*'Assumptions &amp; Inputs'!$H$37),MIN(Y141*(1-'Assumptions &amp; Inputs'!$H$37)/'Assumptions &amp; Inputs'!$H$34,-X145),0)</f>
        <v>-4.5599999999999996</v>
      </c>
      <c r="Z143" s="8">
        <f>IF(AND(Z110&gt;YEAR('Assumptions &amp; Inputs'!$H$31), ROUND(Y145, 7)&lt;SUMIF($D$110:$AW$110, "="&amp;Z110-'Assumptions &amp; Inputs'!$H$34-1, $D$140:$AW$140)*'Assumptions &amp; Inputs'!$H$37),MIN(Z141*(1-'Assumptions &amp; Inputs'!$H$37)/'Assumptions &amp; Inputs'!$H$34,-Y145),0)</f>
        <v>-4.5599999999999996</v>
      </c>
      <c r="AA143" s="8">
        <f>IF(AND(AA110&gt;YEAR('Assumptions &amp; Inputs'!$H$31), ROUND(Z145, 7)&lt;SUMIF($D$110:$AW$110, "="&amp;AA110-'Assumptions &amp; Inputs'!$H$34-1, $D$140:$AW$140)*'Assumptions &amp; Inputs'!$H$37),MIN(AA141*(1-'Assumptions &amp; Inputs'!$H$37)/'Assumptions &amp; Inputs'!$H$34,-Z145),0)</f>
        <v>-4.5599999999999996</v>
      </c>
      <c r="AB143" s="8">
        <f>IF(AND(AB110&gt;YEAR('Assumptions &amp; Inputs'!$H$31), ROUND(AA145, 7)&lt;SUMIF($D$110:$AW$110, "="&amp;AB110-'Assumptions &amp; Inputs'!$H$34-1, $D$140:$AW$140)*'Assumptions &amp; Inputs'!$H$37),MIN(AB141*(1-'Assumptions &amp; Inputs'!$H$37)/'Assumptions &amp; Inputs'!$H$34,-AA145),0)</f>
        <v>-4.5599999999999996</v>
      </c>
      <c r="AC143" s="8">
        <f>IF(AND(AC110&gt;YEAR('Assumptions &amp; Inputs'!$H$31), ROUND(AB145, 7)&lt;SUMIF($D$110:$AW$110, "="&amp;AC110-'Assumptions &amp; Inputs'!$H$34-1, $D$140:$AW$140)*'Assumptions &amp; Inputs'!$H$37),MIN(AC141*(1-'Assumptions &amp; Inputs'!$H$37)/'Assumptions &amp; Inputs'!$H$34,-AB145),0)</f>
        <v>-4.5599999999999996</v>
      </c>
      <c r="AD143" s="8">
        <f>IF(AND(AD110&gt;YEAR('Assumptions &amp; Inputs'!$H$31), ROUND(AC145, 7)&lt;SUMIF($D$110:$AW$110, "="&amp;AD110-'Assumptions &amp; Inputs'!$H$34-1, $D$140:$AW$140)*'Assumptions &amp; Inputs'!$H$37),MIN(AD141*(1-'Assumptions &amp; Inputs'!$H$37)/'Assumptions &amp; Inputs'!$H$34,-AC145),0)</f>
        <v>-4.5599999999999996</v>
      </c>
      <c r="AE143" s="8">
        <f>IF(AND(AE110&gt;YEAR('Assumptions &amp; Inputs'!$H$31), ROUND(AD145, 7)&lt;SUMIF($D$110:$AW$110, "="&amp;AE110-'Assumptions &amp; Inputs'!$H$34-1, $D$140:$AW$140)*'Assumptions &amp; Inputs'!$H$37),MIN(AE141*(1-'Assumptions &amp; Inputs'!$H$37)/'Assumptions &amp; Inputs'!$H$34,-AD145),0)</f>
        <v>0</v>
      </c>
      <c r="AF143" s="8">
        <f>IF(AND(AF110&gt;YEAR('Assumptions &amp; Inputs'!$H$31), ROUND(AE145, 7)&lt;SUMIF($D$110:$AW$110, "="&amp;AF110-'Assumptions &amp; Inputs'!$H$34-1, $D$140:$AW$140)*'Assumptions &amp; Inputs'!$H$37),MIN(AF141*(1-'Assumptions &amp; Inputs'!$H$37)/'Assumptions &amp; Inputs'!$H$34,-AE145),0)</f>
        <v>0</v>
      </c>
      <c r="AG143" s="8">
        <f>IF(AND(AG110&gt;YEAR('Assumptions &amp; Inputs'!$H$31), ROUND(AF145, 7)&lt;SUMIF($D$110:$AW$110, "="&amp;AG110-'Assumptions &amp; Inputs'!$H$34-1, $D$140:$AW$140)*'Assumptions &amp; Inputs'!$H$37),MIN(AG141*(1-'Assumptions &amp; Inputs'!$H$37)/'Assumptions &amp; Inputs'!$H$34,-AF145),0)</f>
        <v>0</v>
      </c>
      <c r="AH143" s="8">
        <f>IF(AND(AH110&gt;YEAR('Assumptions &amp; Inputs'!$H$31), ROUND(AG145, 7)&lt;SUMIF($D$110:$AW$110, "="&amp;AH110-'Assumptions &amp; Inputs'!$H$34-1, $D$140:$AW$140)*'Assumptions &amp; Inputs'!$H$37),MIN(AH141*(1-'Assumptions &amp; Inputs'!$H$37)/'Assumptions &amp; Inputs'!$H$34,-AG145),0)</f>
        <v>0</v>
      </c>
      <c r="AI143" s="8">
        <f>IF(AND(AI110&gt;YEAR('Assumptions &amp; Inputs'!$H$31), ROUND(AH145, 7)&lt;SUMIF($D$110:$AW$110, "="&amp;AI110-'Assumptions &amp; Inputs'!$H$34-1, $D$140:$AW$140)*'Assumptions &amp; Inputs'!$H$37),MIN(AI141*(1-'Assumptions &amp; Inputs'!$H$37)/'Assumptions &amp; Inputs'!$H$34,-AH145),0)</f>
        <v>0</v>
      </c>
      <c r="AJ143" s="8">
        <f>IF(AND(AJ110&gt;YEAR('Assumptions &amp; Inputs'!$H$31), ROUND(AI145, 7)&lt;SUMIF($D$110:$AW$110, "="&amp;AJ110-'Assumptions &amp; Inputs'!$H$34-1, $D$140:$AW$140)*'Assumptions &amp; Inputs'!$H$37),MIN(AJ141*(1-'Assumptions &amp; Inputs'!$H$37)/'Assumptions &amp; Inputs'!$H$34,-AI145),0)</f>
        <v>0</v>
      </c>
      <c r="AK143" s="8">
        <f>IF(AND(AK110&gt;YEAR('Assumptions &amp; Inputs'!$H$31), ROUND(AJ145, 7)&lt;SUMIF($D$110:$AW$110, "="&amp;AK110-'Assumptions &amp; Inputs'!$H$34-1, $D$140:$AW$140)*'Assumptions &amp; Inputs'!$H$37),MIN(AK141*(1-'Assumptions &amp; Inputs'!$H$37)/'Assumptions &amp; Inputs'!$H$34,-AJ145),0)</f>
        <v>0</v>
      </c>
      <c r="AL143" s="8">
        <f>IF(AND(AL110&gt;YEAR('Assumptions &amp; Inputs'!$H$31), ROUND(AK145, 7)&lt;SUMIF($D$110:$AW$110, "="&amp;AL110-'Assumptions &amp; Inputs'!$H$34-1, $D$140:$AW$140)*'Assumptions &amp; Inputs'!$H$37),MIN(AL141*(1-'Assumptions &amp; Inputs'!$H$37)/'Assumptions &amp; Inputs'!$H$34,-AK145),0)</f>
        <v>0</v>
      </c>
      <c r="AM143" s="8">
        <f>IF(AND(AM110&gt;YEAR('Assumptions &amp; Inputs'!$H$31), ROUND(AL145, 7)&lt;SUMIF($D$110:$AW$110, "="&amp;AM110-'Assumptions &amp; Inputs'!$H$34-1, $D$140:$AW$140)*'Assumptions &amp; Inputs'!$H$37),MIN(AM141*(1-'Assumptions &amp; Inputs'!$H$37)/'Assumptions &amp; Inputs'!$H$34,-AL145),0)</f>
        <v>0</v>
      </c>
      <c r="AN143" s="8">
        <f>IF(AND(AN110&gt;YEAR('Assumptions &amp; Inputs'!$H$31), ROUND(AM145, 7)&lt;SUMIF($D$110:$AW$110, "="&amp;AN110-'Assumptions &amp; Inputs'!$H$34-1, $D$140:$AW$140)*'Assumptions &amp; Inputs'!$H$37),MIN(AN141*(1-'Assumptions &amp; Inputs'!$H$37)/'Assumptions &amp; Inputs'!$H$34,-AM145),0)</f>
        <v>0</v>
      </c>
      <c r="AO143" s="8">
        <f>IF(AND(AO110&gt;YEAR('Assumptions &amp; Inputs'!$H$31), ROUND(AN145, 7)&lt;SUMIF($D$110:$AW$110, "="&amp;AO110-'Assumptions &amp; Inputs'!$H$34-1, $D$140:$AW$140)*'Assumptions &amp; Inputs'!$H$37),MIN(AO141*(1-'Assumptions &amp; Inputs'!$H$37)/'Assumptions &amp; Inputs'!$H$34,-AN145),0)</f>
        <v>0</v>
      </c>
      <c r="AP143" s="8">
        <f>IF(AND(AP110&gt;YEAR('Assumptions &amp; Inputs'!$H$31), ROUND(AO145, 7)&lt;SUMIF($D$110:$AW$110, "="&amp;AP110-'Assumptions &amp; Inputs'!$H$34-1, $D$140:$AW$140)*'Assumptions &amp; Inputs'!$H$37),MIN(AP141*(1-'Assumptions &amp; Inputs'!$H$37)/'Assumptions &amp; Inputs'!$H$34,-AO145),0)</f>
        <v>0</v>
      </c>
      <c r="AQ143" s="8">
        <f>IF(AND(AQ110&gt;YEAR('Assumptions &amp; Inputs'!$H$31), ROUND(AP145, 7)&lt;SUMIF($D$110:$AW$110, "="&amp;AQ110-'Assumptions &amp; Inputs'!$H$34-1, $D$140:$AW$140)*'Assumptions &amp; Inputs'!$H$37),MIN(AQ141*(1-'Assumptions &amp; Inputs'!$H$37)/'Assumptions &amp; Inputs'!$H$34,-AP145),0)</f>
        <v>0</v>
      </c>
      <c r="AR143" s="8">
        <f>IF(AND(AR110&gt;YEAR('Assumptions &amp; Inputs'!$H$31), ROUND(AQ145, 7)&lt;SUMIF($D$110:$AW$110, "="&amp;AR110-'Assumptions &amp; Inputs'!$H$34-1, $D$140:$AW$140)*'Assumptions &amp; Inputs'!$H$37),MIN(AR141*(1-'Assumptions &amp; Inputs'!$H$37)/'Assumptions &amp; Inputs'!$H$34,-AQ145),0)</f>
        <v>0</v>
      </c>
      <c r="AS143" s="8">
        <f>IF(AND(AS110&gt;YEAR('Assumptions &amp; Inputs'!$H$31), ROUND(AR145, 7)&lt;SUMIF($D$110:$AW$110, "="&amp;AS110-'Assumptions &amp; Inputs'!$H$34-1, $D$140:$AW$140)*'Assumptions &amp; Inputs'!$H$37),MIN(AS141*(1-'Assumptions &amp; Inputs'!$H$37)/'Assumptions &amp; Inputs'!$H$34,-AR145),0)</f>
        <v>0</v>
      </c>
      <c r="AT143" s="8">
        <f>IF(AND(AT110&gt;YEAR('Assumptions &amp; Inputs'!$H$31), ROUND(AS145, 7)&lt;SUMIF($D$110:$AW$110, "="&amp;AT110-'Assumptions &amp; Inputs'!$H$34-1, $D$140:$AW$140)*'Assumptions &amp; Inputs'!$H$37),MIN(AT141*(1-'Assumptions &amp; Inputs'!$H$37)/'Assumptions &amp; Inputs'!$H$34,-AS145),0)</f>
        <v>0</v>
      </c>
      <c r="AU143" s="8">
        <f>IF(AND(AU110&gt;YEAR('Assumptions &amp; Inputs'!$H$31), ROUND(AT145, 7)&lt;SUMIF($D$110:$AW$110, "="&amp;AU110-'Assumptions &amp; Inputs'!$H$34-1, $D$140:$AW$140)*'Assumptions &amp; Inputs'!$H$37),MIN(AU141*(1-'Assumptions &amp; Inputs'!$H$37)/'Assumptions &amp; Inputs'!$H$34,-AT145),0)</f>
        <v>0</v>
      </c>
      <c r="AV143" s="8">
        <f>IF(AND(AV110&gt;YEAR('Assumptions &amp; Inputs'!$H$31), ROUND(AU145, 7)&lt;SUMIF($D$110:$AW$110, "="&amp;AV110-'Assumptions &amp; Inputs'!$H$34-1, $D$140:$AW$140)*'Assumptions &amp; Inputs'!$H$37),MIN(AV141*(1-'Assumptions &amp; Inputs'!$H$37)/'Assumptions &amp; Inputs'!$H$34,-AU145),0)</f>
        <v>0</v>
      </c>
      <c r="AW143" s="8">
        <f>IF(AND(AW110&gt;YEAR('Assumptions &amp; Inputs'!$H$31), ROUND(AV145, 7)&lt;SUMIF($D$110:$AW$110, "="&amp;AW110-'Assumptions &amp; Inputs'!$H$34-1, $D$140:$AW$140)*'Assumptions &amp; Inputs'!$H$37),MIN(AW141*(1-'Assumptions &amp; Inputs'!$H$37)/'Assumptions &amp; Inputs'!$H$34,-AV145),0)</f>
        <v>0</v>
      </c>
    </row>
    <row r="144" spans="3:49" s="183" customFormat="1" ht="15" customHeight="1">
      <c r="C144" s="4" t="s">
        <v>508</v>
      </c>
      <c r="D144" s="23">
        <f>D143</f>
        <v>0</v>
      </c>
      <c r="E144" s="23">
        <f>MAX(E143+D144, $D$25)</f>
        <v>0</v>
      </c>
      <c r="F144" s="23">
        <f t="shared" ref="F144:AW144" si="326">MAX(F143+E144, $D$25)</f>
        <v>-4.5599999999999996</v>
      </c>
      <c r="G144" s="23">
        <f t="shared" si="326"/>
        <v>-9.1199999999999992</v>
      </c>
      <c r="H144" s="23">
        <f t="shared" si="326"/>
        <v>-13.68</v>
      </c>
      <c r="I144" s="23">
        <f t="shared" si="326"/>
        <v>-18.239999999999998</v>
      </c>
      <c r="J144" s="23">
        <f t="shared" si="326"/>
        <v>-22.799999999999997</v>
      </c>
      <c r="K144" s="23">
        <f t="shared" si="326"/>
        <v>-27.359999999999996</v>
      </c>
      <c r="L144" s="23">
        <f t="shared" si="326"/>
        <v>-31.919999999999995</v>
      </c>
      <c r="M144" s="23">
        <f t="shared" si="326"/>
        <v>-36.479999999999997</v>
      </c>
      <c r="N144" s="23">
        <f t="shared" si="326"/>
        <v>-41.04</v>
      </c>
      <c r="O144" s="23">
        <f t="shared" si="326"/>
        <v>-45.6</v>
      </c>
      <c r="P144" s="23">
        <f t="shared" si="326"/>
        <v>-50.160000000000004</v>
      </c>
      <c r="Q144" s="23">
        <f t="shared" si="326"/>
        <v>-54.720000000000006</v>
      </c>
      <c r="R144" s="23">
        <f t="shared" si="326"/>
        <v>-59.280000000000008</v>
      </c>
      <c r="S144" s="23">
        <f t="shared" si="326"/>
        <v>-63.840000000000011</v>
      </c>
      <c r="T144" s="23">
        <f t="shared" si="326"/>
        <v>-68.400000000000006</v>
      </c>
      <c r="U144" s="23">
        <f t="shared" si="326"/>
        <v>-72.960000000000008</v>
      </c>
      <c r="V144" s="23">
        <f t="shared" si="326"/>
        <v>-77.52000000000001</v>
      </c>
      <c r="W144" s="23">
        <f t="shared" si="326"/>
        <v>-82.080000000000013</v>
      </c>
      <c r="X144" s="23">
        <f>MAX(X143+W144, $D$25)</f>
        <v>-86.640000000000015</v>
      </c>
      <c r="Y144" s="23">
        <f t="shared" si="326"/>
        <v>-91.200000000000017</v>
      </c>
      <c r="Z144" s="23">
        <f t="shared" si="326"/>
        <v>-95.760000000000019</v>
      </c>
      <c r="AA144" s="23">
        <f t="shared" si="326"/>
        <v>-100.32000000000002</v>
      </c>
      <c r="AB144" s="23">
        <f t="shared" si="326"/>
        <v>-104.88000000000002</v>
      </c>
      <c r="AC144" s="23">
        <f t="shared" si="326"/>
        <v>-109.44000000000003</v>
      </c>
      <c r="AD144" s="23">
        <f t="shared" si="326"/>
        <v>-114.00000000000003</v>
      </c>
      <c r="AE144" s="23">
        <f t="shared" si="326"/>
        <v>-114.00000000000003</v>
      </c>
      <c r="AF144" s="23">
        <f t="shared" si="326"/>
        <v>-114.00000000000003</v>
      </c>
      <c r="AG144" s="23">
        <f t="shared" si="326"/>
        <v>-114.00000000000003</v>
      </c>
      <c r="AH144" s="23">
        <f t="shared" si="326"/>
        <v>-114.00000000000003</v>
      </c>
      <c r="AI144" s="23">
        <f t="shared" si="326"/>
        <v>-114.00000000000003</v>
      </c>
      <c r="AJ144" s="23">
        <f t="shared" si="326"/>
        <v>-114.00000000000003</v>
      </c>
      <c r="AK144" s="23">
        <f t="shared" si="326"/>
        <v>-114.00000000000003</v>
      </c>
      <c r="AL144" s="23">
        <f t="shared" si="326"/>
        <v>-114.00000000000003</v>
      </c>
      <c r="AM144" s="23">
        <f t="shared" si="326"/>
        <v>-114.00000000000003</v>
      </c>
      <c r="AN144" s="23">
        <f t="shared" si="326"/>
        <v>-114.00000000000003</v>
      </c>
      <c r="AO144" s="23">
        <f t="shared" si="326"/>
        <v>-114.00000000000003</v>
      </c>
      <c r="AP144" s="23">
        <f t="shared" si="326"/>
        <v>-114.00000000000003</v>
      </c>
      <c r="AQ144" s="23">
        <f t="shared" si="326"/>
        <v>-114.00000000000003</v>
      </c>
      <c r="AR144" s="23">
        <f t="shared" si="326"/>
        <v>-114.00000000000003</v>
      </c>
      <c r="AS144" s="23">
        <f t="shared" si="326"/>
        <v>-114.00000000000003</v>
      </c>
      <c r="AT144" s="23">
        <f t="shared" si="326"/>
        <v>-114.00000000000003</v>
      </c>
      <c r="AU144" s="23">
        <f t="shared" si="326"/>
        <v>-114.00000000000003</v>
      </c>
      <c r="AV144" s="23">
        <f t="shared" si="326"/>
        <v>-114.00000000000003</v>
      </c>
      <c r="AW144" s="23">
        <f t="shared" si="326"/>
        <v>-114.00000000000003</v>
      </c>
    </row>
    <row r="145" spans="3:49" s="183" customFormat="1" ht="15" customHeight="1">
      <c r="C145" s="4" t="s">
        <v>509</v>
      </c>
      <c r="D145" s="23">
        <f>SUM(-D144, D140)</f>
        <v>-73.333333333333343</v>
      </c>
      <c r="E145" s="23">
        <f>SUM(D145,-E143, E42, E140)</f>
        <v>-120</v>
      </c>
      <c r="F145" s="23">
        <f t="shared" ref="F145:AW145" si="327">SUM(E145,-F143, F42, F140)</f>
        <v>-115.44</v>
      </c>
      <c r="G145" s="23">
        <f t="shared" si="327"/>
        <v>-110.88</v>
      </c>
      <c r="H145" s="23">
        <f t="shared" si="327"/>
        <v>-106.32</v>
      </c>
      <c r="I145" s="23">
        <f t="shared" si="327"/>
        <v>-101.75999999999999</v>
      </c>
      <c r="J145" s="23">
        <f t="shared" si="327"/>
        <v>-97.199999999999989</v>
      </c>
      <c r="K145" s="23">
        <f t="shared" si="327"/>
        <v>-92.639999999999986</v>
      </c>
      <c r="L145" s="23">
        <f t="shared" si="327"/>
        <v>-88.079999999999984</v>
      </c>
      <c r="M145" s="23">
        <f t="shared" si="327"/>
        <v>-83.519999999999982</v>
      </c>
      <c r="N145" s="23">
        <f t="shared" si="327"/>
        <v>-78.95999999999998</v>
      </c>
      <c r="O145" s="23">
        <f t="shared" si="327"/>
        <v>-74.399999999999977</v>
      </c>
      <c r="P145" s="23">
        <f t="shared" si="327"/>
        <v>-69.839999999999975</v>
      </c>
      <c r="Q145" s="23">
        <f t="shared" si="327"/>
        <v>-65.279999999999973</v>
      </c>
      <c r="R145" s="23">
        <f t="shared" si="327"/>
        <v>-60.71999999999997</v>
      </c>
      <c r="S145" s="23">
        <f t="shared" si="327"/>
        <v>-56.159999999999968</v>
      </c>
      <c r="T145" s="23">
        <f t="shared" si="327"/>
        <v>-51.599999999999966</v>
      </c>
      <c r="U145" s="23">
        <f t="shared" si="327"/>
        <v>-47.039999999999964</v>
      </c>
      <c r="V145" s="23">
        <f t="shared" si="327"/>
        <v>-42.479999999999961</v>
      </c>
      <c r="W145" s="505">
        <f>SUM(V145,-W143, W42, W140)</f>
        <v>-37.919999999999959</v>
      </c>
      <c r="X145" s="23">
        <f>SUM(W145,-X143, X42, X140)</f>
        <v>-33.359999999999957</v>
      </c>
      <c r="Y145" s="23">
        <f t="shared" si="327"/>
        <v>-28.799999999999958</v>
      </c>
      <c r="Z145" s="23">
        <f t="shared" si="327"/>
        <v>-24.239999999999959</v>
      </c>
      <c r="AA145" s="23">
        <f t="shared" si="327"/>
        <v>-19.679999999999961</v>
      </c>
      <c r="AB145" s="23">
        <f t="shared" si="327"/>
        <v>-15.119999999999962</v>
      </c>
      <c r="AC145" s="23">
        <f t="shared" si="327"/>
        <v>-10.559999999999963</v>
      </c>
      <c r="AD145" s="23">
        <f t="shared" si="327"/>
        <v>3.6415315207705135E-14</v>
      </c>
      <c r="AE145" s="23">
        <f t="shared" si="327"/>
        <v>3.6415315207705135E-14</v>
      </c>
      <c r="AF145" s="23">
        <f t="shared" si="327"/>
        <v>3.6415315207705135E-14</v>
      </c>
      <c r="AG145" s="23">
        <f t="shared" si="327"/>
        <v>3.6415315207705135E-14</v>
      </c>
      <c r="AH145" s="23">
        <f t="shared" si="327"/>
        <v>3.6415315207705135E-14</v>
      </c>
      <c r="AI145" s="23">
        <f t="shared" si="327"/>
        <v>3.6415315207705135E-14</v>
      </c>
      <c r="AJ145" s="23">
        <f t="shared" si="327"/>
        <v>3.6415315207705135E-14</v>
      </c>
      <c r="AK145" s="23">
        <f t="shared" si="327"/>
        <v>3.6415315207705135E-14</v>
      </c>
      <c r="AL145" s="23">
        <f t="shared" si="327"/>
        <v>3.6415315207705135E-14</v>
      </c>
      <c r="AM145" s="23">
        <f t="shared" si="327"/>
        <v>3.6415315207705135E-14</v>
      </c>
      <c r="AN145" s="23">
        <f t="shared" si="327"/>
        <v>3.6415315207705135E-14</v>
      </c>
      <c r="AO145" s="23">
        <f t="shared" si="327"/>
        <v>3.6415315207705135E-14</v>
      </c>
      <c r="AP145" s="23">
        <f t="shared" si="327"/>
        <v>3.6415315207705135E-14</v>
      </c>
      <c r="AQ145" s="23">
        <f t="shared" si="327"/>
        <v>3.6415315207705135E-14</v>
      </c>
      <c r="AR145" s="23">
        <f t="shared" si="327"/>
        <v>3.6415315207705135E-14</v>
      </c>
      <c r="AS145" s="23">
        <f t="shared" si="327"/>
        <v>3.6415315207705135E-14</v>
      </c>
      <c r="AT145" s="23">
        <f t="shared" si="327"/>
        <v>3.6415315207705135E-14</v>
      </c>
      <c r="AU145" s="23">
        <f t="shared" si="327"/>
        <v>3.6415315207705135E-14</v>
      </c>
      <c r="AV145" s="23">
        <f t="shared" si="327"/>
        <v>3.6415315207705135E-14</v>
      </c>
      <c r="AW145" s="23">
        <f t="shared" si="327"/>
        <v>3.6415315207705135E-14</v>
      </c>
    </row>
    <row r="146" spans="3:49" ht="15" customHeight="1">
      <c r="C146" s="184" t="s">
        <v>459</v>
      </c>
      <c r="D146" s="178" t="str">
        <f>IF(SUM(D143:AW143)=ROUND($D$25*(1-'Assumptions &amp; Inputs'!$H$37),0),"yes",ROUND(SUM(D143:AW143)-$D$25*(1-'Assumptions &amp; Inputs'!$H$37),0))</f>
        <v>yes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3:49" ht="15" customHeight="1">
      <c r="C147" s="184"/>
      <c r="D147" s="17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3:49" ht="15" customHeight="1">
      <c r="C148" s="2" t="s">
        <v>492</v>
      </c>
      <c r="D148" s="31">
        <f>SUM(D125,D143)</f>
        <v>0</v>
      </c>
      <c r="E148" s="31">
        <f>SUM(E125,E143)</f>
        <v>2.3424174169653553</v>
      </c>
      <c r="F148" s="31">
        <f>SUM(F125,F143)</f>
        <v>5.0261498204977739</v>
      </c>
      <c r="G148" s="31">
        <f>SUM(G125,G143)</f>
        <v>5.0944681170360306</v>
      </c>
      <c r="H148" s="31">
        <f>SUM(H125,H143)</f>
        <v>5.162404821362359</v>
      </c>
      <c r="I148" s="31">
        <f t="shared" ref="I148:X148" si="328">SUM(I125,I143)</f>
        <v>5.2299247169940086</v>
      </c>
      <c r="J148" s="31">
        <f t="shared" si="328"/>
        <v>5.296991362383646</v>
      </c>
      <c r="K148" s="31">
        <f t="shared" si="328"/>
        <v>5.3635670544209022</v>
      </c>
      <c r="L148" s="31">
        <f t="shared" si="328"/>
        <v>5.4296127908839784</v>
      </c>
      <c r="M148" s="31">
        <f t="shared" si="328"/>
        <v>5.4950882318110414</v>
      </c>
      <c r="N148" s="31">
        <f t="shared" si="328"/>
        <v>5.5599516597603378</v>
      </c>
      <c r="O148" s="31">
        <f t="shared" si="328"/>
        <v>5.6241599389270354</v>
      </c>
      <c r="P148" s="31">
        <f t="shared" si="328"/>
        <v>5.6876684730838738</v>
      </c>
      <c r="Q148" s="31">
        <f t="shared" si="328"/>
        <v>5.7504311623116537</v>
      </c>
      <c r="R148" s="31">
        <f t="shared" si="328"/>
        <v>5.8124003584848642</v>
      </c>
      <c r="S148" s="31">
        <f t="shared" si="328"/>
        <v>5.8735268194763561</v>
      </c>
      <c r="T148" s="31">
        <f t="shared" si="328"/>
        <v>5.9337596620443263</v>
      </c>
      <c r="U148" s="31">
        <f t="shared" si="328"/>
        <v>5.9930463133634193</v>
      </c>
      <c r="V148" s="31">
        <f t="shared" si="328"/>
        <v>6.0513324611609933</v>
      </c>
      <c r="W148" s="31">
        <f t="shared" si="328"/>
        <v>6.108562002418199</v>
      </c>
      <c r="X148" s="31">
        <f t="shared" si="328"/>
        <v>6.164676990594482</v>
      </c>
      <c r="Y148" s="31">
        <f t="shared" ref="Y148:AW148" si="329">SUM(Y125,Y143)</f>
        <v>6.2196175813328471</v>
      </c>
      <c r="Z148" s="31">
        <f t="shared" si="329"/>
        <v>6.273321976602074</v>
      </c>
      <c r="AA148" s="31">
        <f t="shared" si="329"/>
        <v>6.3257263672305788</v>
      </c>
      <c r="AB148" s="31">
        <f t="shared" si="329"/>
        <v>6.3767648737856755</v>
      </c>
      <c r="AC148" s="31">
        <f t="shared" si="329"/>
        <v>6.4263694857501408</v>
      </c>
      <c r="AD148" s="31">
        <f t="shared" si="329"/>
        <v>6.4744699989470798</v>
      </c>
      <c r="AE148" s="31">
        <f t="shared" si="329"/>
        <v>-2.1249525169443927E-6</v>
      </c>
      <c r="AF148" s="31">
        <f t="shared" si="329"/>
        <v>-2.1887010924527248E-6</v>
      </c>
      <c r="AG148" s="31">
        <f t="shared" si="329"/>
        <v>-2.2543621252263061E-6</v>
      </c>
      <c r="AH148" s="31">
        <f t="shared" si="329"/>
        <v>-2.3219929889830952E-6</v>
      </c>
      <c r="AI148" s="31">
        <f t="shared" si="329"/>
        <v>-2.3916527786525884E-6</v>
      </c>
      <c r="AJ148" s="31">
        <f t="shared" si="329"/>
        <v>-2.4634023620121658E-6</v>
      </c>
      <c r="AK148" s="31">
        <f t="shared" si="329"/>
        <v>-2.537304432872531E-6</v>
      </c>
      <c r="AL148" s="31">
        <f t="shared" si="329"/>
        <v>-2.6134235658587073E-6</v>
      </c>
      <c r="AM148" s="31">
        <f t="shared" si="329"/>
        <v>-2.6918262728344683E-6</v>
      </c>
      <c r="AN148" s="31">
        <f t="shared" si="329"/>
        <v>-2.7725810610195027E-6</v>
      </c>
      <c r="AO148" s="31">
        <f t="shared" si="329"/>
        <v>-2.8557584928500874E-6</v>
      </c>
      <c r="AP148" s="31">
        <f t="shared" si="329"/>
        <v>-2.9414312476355905E-6</v>
      </c>
      <c r="AQ148" s="31">
        <f t="shared" si="329"/>
        <v>-3.0296741850646581E-6</v>
      </c>
      <c r="AR148" s="31">
        <f t="shared" si="329"/>
        <v>-3.1205644106165973E-6</v>
      </c>
      <c r="AS148" s="31">
        <f t="shared" si="329"/>
        <v>-3.2141813429350959E-6</v>
      </c>
      <c r="AT148" s="31">
        <f t="shared" si="329"/>
        <v>-3.310606783223149E-6</v>
      </c>
      <c r="AU148" s="31">
        <f t="shared" si="329"/>
        <v>-3.4099249867198433E-6</v>
      </c>
      <c r="AV148" s="31">
        <f t="shared" si="329"/>
        <v>-3.5122227363214387E-6</v>
      </c>
      <c r="AW148" s="31">
        <f t="shared" si="329"/>
        <v>-3.6175894184110823E-6</v>
      </c>
    </row>
  </sheetData>
  <mergeCells count="6">
    <mergeCell ref="E109:P109"/>
    <mergeCell ref="E8:P8"/>
    <mergeCell ref="E31:P31"/>
    <mergeCell ref="C64:E64"/>
    <mergeCell ref="C78:E78"/>
    <mergeCell ref="E88:P88"/>
  </mergeCells>
  <pageMargins left="0.7" right="0.7" top="0.75" bottom="0.75" header="0" footer="0"/>
  <pageSetup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5058-CA18-4D51-8FC4-58F73EF477D9}">
  <sheetPr codeName="Sheet12">
    <tabColor theme="9" tint="0.59999389629810485"/>
  </sheetPr>
  <dimension ref="A2:AZ150"/>
  <sheetViews>
    <sheetView workbookViewId="0">
      <selection activeCell="D25" sqref="D25"/>
    </sheetView>
  </sheetViews>
  <sheetFormatPr baseColWidth="10" defaultColWidth="14.33203125" defaultRowHeight="15" customHeight="1"/>
  <cols>
    <col min="1" max="1" width="3.33203125" customWidth="1"/>
    <col min="2" max="2" width="4" customWidth="1"/>
    <col min="3" max="3" width="42.83203125" customWidth="1"/>
    <col min="4" max="5" width="13.1640625" customWidth="1"/>
    <col min="6" max="6" width="12.5" customWidth="1"/>
    <col min="7" max="24" width="13.5" customWidth="1"/>
  </cols>
  <sheetData>
    <row r="2" spans="1:49" ht="14.25" customHeight="1">
      <c r="A2" s="1"/>
      <c r="B2" s="1"/>
      <c r="C2" s="114" t="s">
        <v>469</v>
      </c>
      <c r="D2" s="116"/>
      <c r="E2" s="117">
        <v>1000</v>
      </c>
      <c r="F2" s="1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49" ht="14.25" customHeight="1">
      <c r="A3" s="1"/>
      <c r="B3" s="1"/>
      <c r="C3" s="114" t="s">
        <v>470</v>
      </c>
      <c r="D3" s="115"/>
      <c r="E3" s="118">
        <v>1000000</v>
      </c>
      <c r="F3" s="11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49" ht="14.25" customHeight="1">
      <c r="A4" s="1"/>
      <c r="B4" s="1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1"/>
      <c r="Z4" s="1"/>
    </row>
    <row r="5" spans="1:49" ht="14.25" customHeight="1" thickBot="1">
      <c r="A5" s="1" t="s">
        <v>351</v>
      </c>
      <c r="B5" s="1"/>
      <c r="C5" s="9" t="s">
        <v>352</v>
      </c>
      <c r="D5" s="9"/>
      <c r="E5" s="10"/>
      <c r="F5" s="10"/>
      <c r="G5" s="10"/>
      <c r="H5" s="10"/>
      <c r="I5" s="10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"/>
      <c r="Z5" s="1"/>
    </row>
    <row r="6" spans="1:49" ht="14.25" customHeight="1">
      <c r="A6" s="1"/>
      <c r="B6" s="1"/>
      <c r="C6" s="12" t="s">
        <v>353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14.25" customHeight="1">
      <c r="A7" s="1"/>
      <c r="B7" s="1"/>
      <c r="C7" s="1"/>
      <c r="D7" s="43">
        <v>0</v>
      </c>
      <c r="E7" s="119">
        <f t="shared" ref="E7:X7" si="0">D7+1</f>
        <v>1</v>
      </c>
      <c r="F7" s="119">
        <f t="shared" si="0"/>
        <v>2</v>
      </c>
      <c r="G7" s="119">
        <f t="shared" si="0"/>
        <v>3</v>
      </c>
      <c r="H7" s="119">
        <f t="shared" si="0"/>
        <v>4</v>
      </c>
      <c r="I7" s="119">
        <f t="shared" si="0"/>
        <v>5</v>
      </c>
      <c r="J7" s="119">
        <f t="shared" si="0"/>
        <v>6</v>
      </c>
      <c r="K7" s="119">
        <f t="shared" si="0"/>
        <v>7</v>
      </c>
      <c r="L7" s="119">
        <f t="shared" si="0"/>
        <v>8</v>
      </c>
      <c r="M7" s="119">
        <f t="shared" si="0"/>
        <v>9</v>
      </c>
      <c r="N7" s="119">
        <f t="shared" si="0"/>
        <v>10</v>
      </c>
      <c r="O7" s="119">
        <f t="shared" si="0"/>
        <v>11</v>
      </c>
      <c r="P7" s="119">
        <f t="shared" si="0"/>
        <v>12</v>
      </c>
      <c r="Q7" s="119">
        <f t="shared" si="0"/>
        <v>13</v>
      </c>
      <c r="R7" s="119">
        <f t="shared" si="0"/>
        <v>14</v>
      </c>
      <c r="S7" s="119">
        <f t="shared" si="0"/>
        <v>15</v>
      </c>
      <c r="T7" s="119">
        <f t="shared" si="0"/>
        <v>16</v>
      </c>
      <c r="U7" s="119">
        <f t="shared" si="0"/>
        <v>17</v>
      </c>
      <c r="V7" s="119">
        <f t="shared" si="0"/>
        <v>18</v>
      </c>
      <c r="W7" s="119">
        <f t="shared" si="0"/>
        <v>19</v>
      </c>
      <c r="X7" s="119">
        <f t="shared" si="0"/>
        <v>20</v>
      </c>
      <c r="Y7" s="119">
        <f t="shared" ref="Y7:AW7" si="1">X7+1</f>
        <v>21</v>
      </c>
      <c r="Z7" s="119">
        <f t="shared" si="1"/>
        <v>22</v>
      </c>
      <c r="AA7" s="119">
        <f t="shared" si="1"/>
        <v>23</v>
      </c>
      <c r="AB7" s="119">
        <f t="shared" si="1"/>
        <v>24</v>
      </c>
      <c r="AC7" s="119">
        <f t="shared" si="1"/>
        <v>25</v>
      </c>
      <c r="AD7" s="119">
        <f t="shared" si="1"/>
        <v>26</v>
      </c>
      <c r="AE7" s="119">
        <f t="shared" si="1"/>
        <v>27</v>
      </c>
      <c r="AF7" s="119">
        <f t="shared" si="1"/>
        <v>28</v>
      </c>
      <c r="AG7" s="119">
        <f t="shared" si="1"/>
        <v>29</v>
      </c>
      <c r="AH7" s="119">
        <f t="shared" si="1"/>
        <v>30</v>
      </c>
      <c r="AI7" s="119">
        <f t="shared" si="1"/>
        <v>31</v>
      </c>
      <c r="AJ7" s="119">
        <f t="shared" si="1"/>
        <v>32</v>
      </c>
      <c r="AK7" s="119">
        <f t="shared" si="1"/>
        <v>33</v>
      </c>
      <c r="AL7" s="119">
        <f t="shared" si="1"/>
        <v>34</v>
      </c>
      <c r="AM7" s="119">
        <f t="shared" si="1"/>
        <v>35</v>
      </c>
      <c r="AN7" s="119">
        <f t="shared" si="1"/>
        <v>36</v>
      </c>
      <c r="AO7" s="119">
        <f t="shared" si="1"/>
        <v>37</v>
      </c>
      <c r="AP7" s="119">
        <f t="shared" si="1"/>
        <v>38</v>
      </c>
      <c r="AQ7" s="119">
        <f t="shared" si="1"/>
        <v>39</v>
      </c>
      <c r="AR7" s="119">
        <f t="shared" si="1"/>
        <v>40</v>
      </c>
      <c r="AS7" s="119">
        <f t="shared" si="1"/>
        <v>41</v>
      </c>
      <c r="AT7" s="119">
        <f t="shared" si="1"/>
        <v>42</v>
      </c>
      <c r="AU7" s="119">
        <f t="shared" si="1"/>
        <v>43</v>
      </c>
      <c r="AV7" s="119">
        <f t="shared" si="1"/>
        <v>44</v>
      </c>
      <c r="AW7" s="119">
        <f t="shared" si="1"/>
        <v>45</v>
      </c>
    </row>
    <row r="8" spans="1:49" ht="14.25" customHeight="1" thickBot="1">
      <c r="A8" s="1"/>
      <c r="B8" s="1"/>
      <c r="C8" s="200"/>
      <c r="D8" s="83"/>
      <c r="E8" s="806" t="s">
        <v>354</v>
      </c>
      <c r="F8" s="806"/>
      <c r="G8" s="806"/>
      <c r="H8" s="806"/>
      <c r="I8" s="806"/>
      <c r="J8" s="806"/>
      <c r="K8" s="806"/>
      <c r="L8" s="806"/>
      <c r="M8" s="806"/>
      <c r="N8" s="806"/>
      <c r="O8" s="806"/>
      <c r="P8" s="806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</row>
    <row r="9" spans="1:49" ht="14.25" customHeight="1">
      <c r="A9" s="1"/>
      <c r="B9" s="84"/>
      <c r="C9" s="202"/>
      <c r="D9" s="40">
        <f>YEAR(D10)</f>
        <v>2026</v>
      </c>
      <c r="E9" s="40">
        <f t="shared" ref="E9:X9" si="2">D9+1</f>
        <v>2027</v>
      </c>
      <c r="F9" s="40">
        <f t="shared" si="2"/>
        <v>2028</v>
      </c>
      <c r="G9" s="40">
        <f t="shared" si="2"/>
        <v>2029</v>
      </c>
      <c r="H9" s="40">
        <f t="shared" si="2"/>
        <v>2030</v>
      </c>
      <c r="I9" s="40">
        <f t="shared" si="2"/>
        <v>2031</v>
      </c>
      <c r="J9" s="40">
        <f t="shared" si="2"/>
        <v>2032</v>
      </c>
      <c r="K9" s="40">
        <f t="shared" si="2"/>
        <v>2033</v>
      </c>
      <c r="L9" s="40">
        <f t="shared" si="2"/>
        <v>2034</v>
      </c>
      <c r="M9" s="40">
        <f t="shared" si="2"/>
        <v>2035</v>
      </c>
      <c r="N9" s="40">
        <f t="shared" si="2"/>
        <v>2036</v>
      </c>
      <c r="O9" s="40">
        <f t="shared" si="2"/>
        <v>2037</v>
      </c>
      <c r="P9" s="40">
        <f t="shared" si="2"/>
        <v>2038</v>
      </c>
      <c r="Q9" s="40">
        <f t="shared" si="2"/>
        <v>2039</v>
      </c>
      <c r="R9" s="40">
        <f t="shared" si="2"/>
        <v>2040</v>
      </c>
      <c r="S9" s="40">
        <f t="shared" si="2"/>
        <v>2041</v>
      </c>
      <c r="T9" s="40">
        <f t="shared" si="2"/>
        <v>2042</v>
      </c>
      <c r="U9" s="40">
        <f t="shared" si="2"/>
        <v>2043</v>
      </c>
      <c r="V9" s="40">
        <f t="shared" si="2"/>
        <v>2044</v>
      </c>
      <c r="W9" s="40">
        <f t="shared" si="2"/>
        <v>2045</v>
      </c>
      <c r="X9" s="40">
        <f t="shared" si="2"/>
        <v>2046</v>
      </c>
      <c r="Y9" s="40">
        <f t="shared" ref="Y9:AW9" si="3">X9+1</f>
        <v>2047</v>
      </c>
      <c r="Z9" s="40">
        <f t="shared" si="3"/>
        <v>2048</v>
      </c>
      <c r="AA9" s="40">
        <f t="shared" si="3"/>
        <v>2049</v>
      </c>
      <c r="AB9" s="40">
        <f t="shared" si="3"/>
        <v>2050</v>
      </c>
      <c r="AC9" s="40">
        <f t="shared" si="3"/>
        <v>2051</v>
      </c>
      <c r="AD9" s="40">
        <f t="shared" si="3"/>
        <v>2052</v>
      </c>
      <c r="AE9" s="40">
        <f t="shared" si="3"/>
        <v>2053</v>
      </c>
      <c r="AF9" s="40">
        <f t="shared" si="3"/>
        <v>2054</v>
      </c>
      <c r="AG9" s="40">
        <f t="shared" si="3"/>
        <v>2055</v>
      </c>
      <c r="AH9" s="40">
        <f t="shared" si="3"/>
        <v>2056</v>
      </c>
      <c r="AI9" s="40">
        <f t="shared" si="3"/>
        <v>2057</v>
      </c>
      <c r="AJ9" s="40">
        <f t="shared" si="3"/>
        <v>2058</v>
      </c>
      <c r="AK9" s="40">
        <f t="shared" si="3"/>
        <v>2059</v>
      </c>
      <c r="AL9" s="40">
        <f t="shared" si="3"/>
        <v>2060</v>
      </c>
      <c r="AM9" s="40">
        <f t="shared" si="3"/>
        <v>2061</v>
      </c>
      <c r="AN9" s="40">
        <f t="shared" si="3"/>
        <v>2062</v>
      </c>
      <c r="AO9" s="40">
        <f t="shared" si="3"/>
        <v>2063</v>
      </c>
      <c r="AP9" s="40">
        <f t="shared" si="3"/>
        <v>2064</v>
      </c>
      <c r="AQ9" s="40">
        <f t="shared" si="3"/>
        <v>2065</v>
      </c>
      <c r="AR9" s="40">
        <f t="shared" si="3"/>
        <v>2066</v>
      </c>
      <c r="AS9" s="40">
        <f t="shared" si="3"/>
        <v>2067</v>
      </c>
      <c r="AT9" s="40">
        <f t="shared" si="3"/>
        <v>2068</v>
      </c>
      <c r="AU9" s="40">
        <f t="shared" si="3"/>
        <v>2069</v>
      </c>
      <c r="AV9" s="40">
        <f t="shared" si="3"/>
        <v>2070</v>
      </c>
      <c r="AW9" s="41">
        <f t="shared" si="3"/>
        <v>2071</v>
      </c>
    </row>
    <row r="10" spans="1:49" ht="14.25" customHeight="1">
      <c r="A10" s="1"/>
      <c r="B10" s="84"/>
      <c r="C10" s="94"/>
      <c r="D10" s="142">
        <f>'Assumptions &amp; Inputs'!$E$27</f>
        <v>46023</v>
      </c>
      <c r="E10" s="142">
        <f t="shared" ref="E10:X10" si="4">DATE(E9, 12, 31)</f>
        <v>46752</v>
      </c>
      <c r="F10" s="142">
        <f t="shared" si="4"/>
        <v>47118</v>
      </c>
      <c r="G10" s="142">
        <f t="shared" si="4"/>
        <v>47483</v>
      </c>
      <c r="H10" s="142">
        <f t="shared" si="4"/>
        <v>47848</v>
      </c>
      <c r="I10" s="142">
        <f t="shared" si="4"/>
        <v>48213</v>
      </c>
      <c r="J10" s="142">
        <f t="shared" si="4"/>
        <v>48579</v>
      </c>
      <c r="K10" s="142">
        <f t="shared" si="4"/>
        <v>48944</v>
      </c>
      <c r="L10" s="142">
        <f t="shared" si="4"/>
        <v>49309</v>
      </c>
      <c r="M10" s="142">
        <f t="shared" si="4"/>
        <v>49674</v>
      </c>
      <c r="N10" s="142">
        <f t="shared" si="4"/>
        <v>50040</v>
      </c>
      <c r="O10" s="142">
        <f t="shared" si="4"/>
        <v>50405</v>
      </c>
      <c r="P10" s="142">
        <f t="shared" si="4"/>
        <v>50770</v>
      </c>
      <c r="Q10" s="142">
        <f t="shared" si="4"/>
        <v>51135</v>
      </c>
      <c r="R10" s="142">
        <f t="shared" si="4"/>
        <v>51501</v>
      </c>
      <c r="S10" s="142">
        <f t="shared" si="4"/>
        <v>51866</v>
      </c>
      <c r="T10" s="142">
        <f t="shared" si="4"/>
        <v>52231</v>
      </c>
      <c r="U10" s="142">
        <f t="shared" si="4"/>
        <v>52596</v>
      </c>
      <c r="V10" s="142">
        <f t="shared" si="4"/>
        <v>52962</v>
      </c>
      <c r="W10" s="142">
        <f t="shared" si="4"/>
        <v>53327</v>
      </c>
      <c r="X10" s="142">
        <f t="shared" si="4"/>
        <v>53692</v>
      </c>
      <c r="Y10" s="142">
        <f t="shared" ref="Y10:AW10" si="5">DATE(Y9, 12, 31)</f>
        <v>54057</v>
      </c>
      <c r="Z10" s="142">
        <f t="shared" si="5"/>
        <v>54423</v>
      </c>
      <c r="AA10" s="142">
        <f t="shared" si="5"/>
        <v>54788</v>
      </c>
      <c r="AB10" s="142">
        <f t="shared" si="5"/>
        <v>55153</v>
      </c>
      <c r="AC10" s="142">
        <f t="shared" si="5"/>
        <v>55518</v>
      </c>
      <c r="AD10" s="142">
        <f t="shared" si="5"/>
        <v>55884</v>
      </c>
      <c r="AE10" s="142">
        <f t="shared" si="5"/>
        <v>56249</v>
      </c>
      <c r="AF10" s="142">
        <f t="shared" si="5"/>
        <v>56614</v>
      </c>
      <c r="AG10" s="142">
        <f t="shared" si="5"/>
        <v>56979</v>
      </c>
      <c r="AH10" s="142">
        <f t="shared" si="5"/>
        <v>57345</v>
      </c>
      <c r="AI10" s="142">
        <f t="shared" si="5"/>
        <v>57710</v>
      </c>
      <c r="AJ10" s="142">
        <f t="shared" si="5"/>
        <v>58075</v>
      </c>
      <c r="AK10" s="142">
        <f t="shared" si="5"/>
        <v>58440</v>
      </c>
      <c r="AL10" s="142">
        <f t="shared" si="5"/>
        <v>58806</v>
      </c>
      <c r="AM10" s="142">
        <f t="shared" si="5"/>
        <v>59171</v>
      </c>
      <c r="AN10" s="142">
        <f t="shared" si="5"/>
        <v>59536</v>
      </c>
      <c r="AO10" s="142">
        <f t="shared" si="5"/>
        <v>59901</v>
      </c>
      <c r="AP10" s="142">
        <f t="shared" si="5"/>
        <v>60267</v>
      </c>
      <c r="AQ10" s="142">
        <f t="shared" si="5"/>
        <v>60632</v>
      </c>
      <c r="AR10" s="142">
        <f t="shared" si="5"/>
        <v>60997</v>
      </c>
      <c r="AS10" s="142">
        <f t="shared" si="5"/>
        <v>61362</v>
      </c>
      <c r="AT10" s="142">
        <f t="shared" si="5"/>
        <v>61728</v>
      </c>
      <c r="AU10" s="142">
        <f t="shared" si="5"/>
        <v>62093</v>
      </c>
      <c r="AV10" s="142">
        <f t="shared" si="5"/>
        <v>62458</v>
      </c>
      <c r="AW10" s="107">
        <f t="shared" si="5"/>
        <v>62823</v>
      </c>
    </row>
    <row r="11" spans="1:49" ht="14.25" customHeight="1">
      <c r="A11" s="1"/>
      <c r="B11" s="84"/>
      <c r="C11" s="252" t="s">
        <v>471</v>
      </c>
      <c r="D11" s="186">
        <f>IF(DATEDIF('Assumptions &amp; Inputs'!$I$27,DATE(YEAR('Assumptions &amp; Inputs'!$I$27),12,31),"m")&gt;'Assumptions &amp; Inputs'!$I$28, 'Assumptions &amp; Inputs'!$I$28, DATEDIF('Assumptions &amp; Inputs'!$I$27,DATE(YEAR('Assumptions &amp; Inputs'!$I$27),12,31),"m"))</f>
        <v>11</v>
      </c>
      <c r="E11" s="186">
        <f>IF('Assumptions &amp; Inputs'!$I$28-D12&lt;=12,MIN('Assumptions &amp; Inputs'!$I$28-D12,12), 12)</f>
        <v>12</v>
      </c>
      <c r="F11" s="186">
        <f>IF('Assumptions &amp; Inputs'!$I$28-E12&lt;=12,MIN('Assumptions &amp; Inputs'!$I$28-E12,12), 12)</f>
        <v>12</v>
      </c>
      <c r="G11" s="186">
        <f>IF('Assumptions &amp; Inputs'!$I$28-F12&lt;=12,MIN('Assumptions &amp; Inputs'!$I$28-F12,12), 12)</f>
        <v>12</v>
      </c>
      <c r="H11" s="186">
        <f>IF('Assumptions &amp; Inputs'!$I$28-G12&lt;=12,MIN('Assumptions &amp; Inputs'!$I$28-G12,12), 12)</f>
        <v>1</v>
      </c>
      <c r="I11" s="186">
        <f>IF('Assumptions &amp; Inputs'!$I$28-H12&lt;=12,MIN('Assumptions &amp; Inputs'!$I$28-H12,12), 12)</f>
        <v>0</v>
      </c>
      <c r="J11" s="186">
        <f>IF('Assumptions &amp; Inputs'!$I$28-I12&lt;=12,MIN('Assumptions &amp; Inputs'!$I$28-I12,12), 12)</f>
        <v>0</v>
      </c>
      <c r="K11" s="186">
        <f>IF('Assumptions &amp; Inputs'!$I$28-J12&lt;=12,MIN('Assumptions &amp; Inputs'!$I$28-J12,12), 12)</f>
        <v>0</v>
      </c>
      <c r="L11" s="186">
        <f>IF('Assumptions &amp; Inputs'!$I$28-K12&lt;=12,MIN('Assumptions &amp; Inputs'!$I$28-K12,12), 12)</f>
        <v>0</v>
      </c>
      <c r="M11" s="186">
        <f>IF('Assumptions &amp; Inputs'!$I$28-L12&lt;=12,MIN('Assumptions &amp; Inputs'!$I$28-L12,12), 12)</f>
        <v>0</v>
      </c>
      <c r="N11" s="186">
        <f>IF('Assumptions &amp; Inputs'!$I$28-M12&lt;=12,MIN('Assumptions &amp; Inputs'!$I$28-M12,12), 12)</f>
        <v>0</v>
      </c>
      <c r="O11" s="186">
        <f>IF('Assumptions &amp; Inputs'!$I$28-N12&lt;=12,MIN('Assumptions &amp; Inputs'!$I$28-N12,12), 12)</f>
        <v>0</v>
      </c>
      <c r="P11" s="186">
        <f>IF('Assumptions &amp; Inputs'!$I$28-O12&lt;=12,MIN('Assumptions &amp; Inputs'!$I$28-O12,12), 12)</f>
        <v>0</v>
      </c>
      <c r="Q11" s="186">
        <f>IF('Assumptions &amp; Inputs'!$I$28-P12&lt;=12,MIN('Assumptions &amp; Inputs'!$I$28-P12,12), 12)</f>
        <v>0</v>
      </c>
      <c r="R11" s="186">
        <f>IF('Assumptions &amp; Inputs'!$I$28-Q12&lt;=12,MIN('Assumptions &amp; Inputs'!$I$28-Q12,12), 12)</f>
        <v>0</v>
      </c>
      <c r="S11" s="186">
        <f>IF('Assumptions &amp; Inputs'!$I$28-R12&lt;=12,MIN('Assumptions &amp; Inputs'!$I$28-R12,12), 12)</f>
        <v>0</v>
      </c>
      <c r="T11" s="186">
        <f>IF('Assumptions &amp; Inputs'!$I$28-S12&lt;=12,MIN('Assumptions &amp; Inputs'!$I$28-S12,12), 12)</f>
        <v>0</v>
      </c>
      <c r="U11" s="186">
        <f>IF('Assumptions &amp; Inputs'!$I$28-T12&lt;=12,MIN('Assumptions &amp; Inputs'!$I$28-T12,12), 12)</f>
        <v>0</v>
      </c>
      <c r="V11" s="186">
        <f>IF('Assumptions &amp; Inputs'!$I$28-U12&lt;=12,MIN('Assumptions &amp; Inputs'!$I$28-U12,12), 12)</f>
        <v>0</v>
      </c>
      <c r="W11" s="186">
        <f>IF('Assumptions &amp; Inputs'!$I$28-V12&lt;=12,MIN('Assumptions &amp; Inputs'!$I$28-V12,12), 12)</f>
        <v>0</v>
      </c>
      <c r="X11" s="186">
        <f>IF('Assumptions &amp; Inputs'!$I$28-W12&lt;=12,MIN('Assumptions &amp; Inputs'!$I$28-W12,12), 12)</f>
        <v>0</v>
      </c>
      <c r="Y11" s="186">
        <f>IF('Assumptions &amp; Inputs'!$I$28-X12&lt;=12,MIN('Assumptions &amp; Inputs'!$I$28-X12,12), 12)</f>
        <v>0</v>
      </c>
      <c r="Z11" s="186">
        <f>IF('Assumptions &amp; Inputs'!$I$28-Y12&lt;=12,MIN('Assumptions &amp; Inputs'!$I$28-Y12,12), 12)</f>
        <v>0</v>
      </c>
      <c r="AA11" s="186">
        <f>IF('Assumptions &amp; Inputs'!$I$28-Z12&lt;=12,MIN('Assumptions &amp; Inputs'!$I$28-Z12,12), 12)</f>
        <v>0</v>
      </c>
      <c r="AB11" s="186">
        <f>IF('Assumptions &amp; Inputs'!$I$28-AA12&lt;=12,MIN('Assumptions &amp; Inputs'!$I$28-AA12,12), 12)</f>
        <v>0</v>
      </c>
      <c r="AC11" s="186">
        <f>IF('Assumptions &amp; Inputs'!$I$28-AB12&lt;=12,MIN('Assumptions &amp; Inputs'!$I$28-AB12,12), 12)</f>
        <v>0</v>
      </c>
      <c r="AD11" s="186">
        <f>IF('Assumptions &amp; Inputs'!$I$28-AC12&lt;=12,MIN('Assumptions &amp; Inputs'!$I$28-AC12,12), 12)</f>
        <v>0</v>
      </c>
      <c r="AE11" s="186">
        <f>IF('Assumptions &amp; Inputs'!$I$28-AD12&lt;=12,MIN('Assumptions &amp; Inputs'!$I$28-AD12,12), 12)</f>
        <v>0</v>
      </c>
      <c r="AF11" s="186">
        <f>IF('Assumptions &amp; Inputs'!$I$28-AE12&lt;=12,MIN('Assumptions &amp; Inputs'!$I$28-AE12,12), 12)</f>
        <v>0</v>
      </c>
      <c r="AG11" s="186">
        <f>IF('Assumptions &amp; Inputs'!$I$28-AF12&lt;=12,MIN('Assumptions &amp; Inputs'!$I$28-AF12,12), 12)</f>
        <v>0</v>
      </c>
      <c r="AH11" s="186">
        <f>IF('Assumptions &amp; Inputs'!$I$28-AG12&lt;=12,MIN('Assumptions &amp; Inputs'!$I$28-AG12,12), 12)</f>
        <v>0</v>
      </c>
      <c r="AI11" s="186">
        <f>IF('Assumptions &amp; Inputs'!$I$28-AH12&lt;=12,MIN('Assumptions &amp; Inputs'!$I$28-AH12,12), 12)</f>
        <v>0</v>
      </c>
      <c r="AJ11" s="186">
        <f>IF('Assumptions &amp; Inputs'!$I$28-AI12&lt;=12,MIN('Assumptions &amp; Inputs'!$I$28-AI12,12), 12)</f>
        <v>0</v>
      </c>
      <c r="AK11" s="186">
        <f>IF('Assumptions &amp; Inputs'!$I$28-AJ12&lt;=12,MIN('Assumptions &amp; Inputs'!$I$28-AJ12,12), 12)</f>
        <v>0</v>
      </c>
      <c r="AL11" s="186">
        <f>IF('Assumptions &amp; Inputs'!$I$28-AK12&lt;=12,MIN('Assumptions &amp; Inputs'!$I$28-AK12,12), 12)</f>
        <v>0</v>
      </c>
      <c r="AM11" s="186">
        <f>IF('Assumptions &amp; Inputs'!$I$28-AL12&lt;=12,MIN('Assumptions &amp; Inputs'!$I$28-AL12,12), 12)</f>
        <v>0</v>
      </c>
      <c r="AN11" s="186">
        <f>IF('Assumptions &amp; Inputs'!$I$28-AM12&lt;=12,MIN('Assumptions &amp; Inputs'!$I$28-AM12,12), 12)</f>
        <v>0</v>
      </c>
      <c r="AO11" s="186">
        <f>IF('Assumptions &amp; Inputs'!$I$28-AN12&lt;=12,MIN('Assumptions &amp; Inputs'!$I$28-AN12,12), 12)</f>
        <v>0</v>
      </c>
      <c r="AP11" s="186">
        <f>IF('Assumptions &amp; Inputs'!$I$28-AO12&lt;=12,MIN('Assumptions &amp; Inputs'!$I$28-AO12,12), 12)</f>
        <v>0</v>
      </c>
      <c r="AQ11" s="186">
        <f>IF('Assumptions &amp; Inputs'!$I$28-AP12&lt;=12,MIN('Assumptions &amp; Inputs'!$I$28-AP12,12), 12)</f>
        <v>0</v>
      </c>
      <c r="AR11" s="186">
        <f>IF('Assumptions &amp; Inputs'!$I$28-AQ12&lt;=12,MIN('Assumptions &amp; Inputs'!$I$28-AQ12,12), 12)</f>
        <v>0</v>
      </c>
      <c r="AS11" s="186">
        <f>IF('Assumptions &amp; Inputs'!$I$28-AR12&lt;=12,MIN('Assumptions &amp; Inputs'!$I$28-AR12,12), 12)</f>
        <v>0</v>
      </c>
      <c r="AT11" s="186">
        <f>IF('Assumptions &amp; Inputs'!$I$28-AS12&lt;=12,MIN('Assumptions &amp; Inputs'!$I$28-AS12,12), 12)</f>
        <v>0</v>
      </c>
      <c r="AU11" s="186">
        <f>IF('Assumptions &amp; Inputs'!$I$28-AT12&lt;=12,MIN('Assumptions &amp; Inputs'!$I$28-AT12,12), 12)</f>
        <v>0</v>
      </c>
      <c r="AV11" s="186">
        <f>IF('Assumptions &amp; Inputs'!$I$28-AU12&lt;=12,MIN('Assumptions &amp; Inputs'!$I$28-AU12,12), 12)</f>
        <v>0</v>
      </c>
      <c r="AW11" s="197">
        <f>IF('Assumptions &amp; Inputs'!$I$28-AV12&lt;=12,MIN('Assumptions &amp; Inputs'!$I$28-AV12,12), 12)</f>
        <v>0</v>
      </c>
    </row>
    <row r="12" spans="1:49" ht="14.25" customHeight="1">
      <c r="A12" s="1"/>
      <c r="B12" s="84"/>
      <c r="C12" s="252" t="s">
        <v>472</v>
      </c>
      <c r="D12" s="186">
        <f>D11</f>
        <v>11</v>
      </c>
      <c r="E12" s="186">
        <f>E11+D12</f>
        <v>23</v>
      </c>
      <c r="F12" s="186">
        <f t="shared" ref="F12:X12" si="6">F11+E12</f>
        <v>35</v>
      </c>
      <c r="G12" s="186">
        <f t="shared" si="6"/>
        <v>47</v>
      </c>
      <c r="H12" s="186">
        <f t="shared" si="6"/>
        <v>48</v>
      </c>
      <c r="I12" s="186">
        <f t="shared" si="6"/>
        <v>48</v>
      </c>
      <c r="J12" s="186">
        <f t="shared" si="6"/>
        <v>48</v>
      </c>
      <c r="K12" s="186">
        <f t="shared" si="6"/>
        <v>48</v>
      </c>
      <c r="L12" s="186">
        <f t="shared" si="6"/>
        <v>48</v>
      </c>
      <c r="M12" s="186">
        <f t="shared" si="6"/>
        <v>48</v>
      </c>
      <c r="N12" s="186">
        <f t="shared" si="6"/>
        <v>48</v>
      </c>
      <c r="O12" s="186">
        <f t="shared" si="6"/>
        <v>48</v>
      </c>
      <c r="P12" s="186">
        <f t="shared" si="6"/>
        <v>48</v>
      </c>
      <c r="Q12" s="186">
        <f t="shared" si="6"/>
        <v>48</v>
      </c>
      <c r="R12" s="186">
        <f t="shared" si="6"/>
        <v>48</v>
      </c>
      <c r="S12" s="186">
        <f t="shared" si="6"/>
        <v>48</v>
      </c>
      <c r="T12" s="186">
        <f t="shared" si="6"/>
        <v>48</v>
      </c>
      <c r="U12" s="186">
        <f t="shared" si="6"/>
        <v>48</v>
      </c>
      <c r="V12" s="186">
        <f t="shared" si="6"/>
        <v>48</v>
      </c>
      <c r="W12" s="186">
        <f t="shared" si="6"/>
        <v>48</v>
      </c>
      <c r="X12" s="186">
        <f t="shared" si="6"/>
        <v>48</v>
      </c>
      <c r="Y12" s="186">
        <f t="shared" ref="Y12" si="7">Y11+X12</f>
        <v>48</v>
      </c>
      <c r="Z12" s="186">
        <f t="shared" ref="Z12" si="8">Z11+Y12</f>
        <v>48</v>
      </c>
      <c r="AA12" s="186">
        <f t="shared" ref="AA12" si="9">AA11+Z12</f>
        <v>48</v>
      </c>
      <c r="AB12" s="186">
        <f t="shared" ref="AB12" si="10">AB11+AA12</f>
        <v>48</v>
      </c>
      <c r="AC12" s="186">
        <f t="shared" ref="AC12" si="11">AC11+AB12</f>
        <v>48</v>
      </c>
      <c r="AD12" s="186">
        <f t="shared" ref="AD12" si="12">AD11+AC12</f>
        <v>48</v>
      </c>
      <c r="AE12" s="186">
        <f t="shared" ref="AE12" si="13">AE11+AD12</f>
        <v>48</v>
      </c>
      <c r="AF12" s="186">
        <f t="shared" ref="AF12" si="14">AF11+AE12</f>
        <v>48</v>
      </c>
      <c r="AG12" s="186">
        <f t="shared" ref="AG12" si="15">AG11+AF12</f>
        <v>48</v>
      </c>
      <c r="AH12" s="186">
        <f t="shared" ref="AH12" si="16">AH11+AG12</f>
        <v>48</v>
      </c>
      <c r="AI12" s="186">
        <f t="shared" ref="AI12" si="17">AI11+AH12</f>
        <v>48</v>
      </c>
      <c r="AJ12" s="186">
        <f t="shared" ref="AJ12" si="18">AJ11+AI12</f>
        <v>48</v>
      </c>
      <c r="AK12" s="186">
        <f t="shared" ref="AK12" si="19">AK11+AJ12</f>
        <v>48</v>
      </c>
      <c r="AL12" s="186">
        <f t="shared" ref="AL12" si="20">AL11+AK12</f>
        <v>48</v>
      </c>
      <c r="AM12" s="186">
        <f t="shared" ref="AM12" si="21">AM11+AL12</f>
        <v>48</v>
      </c>
      <c r="AN12" s="186">
        <f t="shared" ref="AN12" si="22">AN11+AM12</f>
        <v>48</v>
      </c>
      <c r="AO12" s="186">
        <f t="shared" ref="AO12" si="23">AO11+AN12</f>
        <v>48</v>
      </c>
      <c r="AP12" s="186">
        <f t="shared" ref="AP12" si="24">AP11+AO12</f>
        <v>48</v>
      </c>
      <c r="AQ12" s="186">
        <f t="shared" ref="AQ12" si="25">AQ11+AP12</f>
        <v>48</v>
      </c>
      <c r="AR12" s="186">
        <f t="shared" ref="AR12" si="26">AR11+AQ12</f>
        <v>48</v>
      </c>
      <c r="AS12" s="186">
        <f t="shared" ref="AS12" si="27">AS11+AR12</f>
        <v>48</v>
      </c>
      <c r="AT12" s="186">
        <f t="shared" ref="AT12" si="28">AT11+AS12</f>
        <v>48</v>
      </c>
      <c r="AU12" s="186">
        <f t="shared" ref="AU12" si="29">AU11+AT12</f>
        <v>48</v>
      </c>
      <c r="AV12" s="186">
        <f t="shared" ref="AV12" si="30">AV11+AU12</f>
        <v>48</v>
      </c>
      <c r="AW12" s="197">
        <f t="shared" ref="AW12" si="31">AW11+AV12</f>
        <v>48</v>
      </c>
    </row>
    <row r="13" spans="1:49" ht="14.25" customHeight="1">
      <c r="A13" s="1"/>
      <c r="B13" s="84"/>
      <c r="C13" s="96" t="s">
        <v>493</v>
      </c>
      <c r="D13" s="187">
        <f>IF(AND(MOD(D9-YEAR('Assumptions &amp; Inputs'!$I$31),'Assumptions &amp; Inputs'!$I$34)=0, D9&lt;YEAR('Assumptions &amp; Inputs'!$I$36), D9&gt;YEAR('Assumptions &amp; Inputs'!$I$31)), (-'Assumptions &amp; Inputs'!$I$38)*'Assumptions &amp; Inputs'!$I$33, -D11/'Assumptions &amp; Inputs'!$I$28*'Assumptions &amp; Inputs'!$I$38)</f>
        <v>-82.5</v>
      </c>
      <c r="E13" s="187">
        <f>IF(AND(MOD(E9-YEAR('Assumptions &amp; Inputs'!$I$31),'Assumptions &amp; Inputs'!$I$34)=0, E9&lt;YEAR('Assumptions &amp; Inputs'!$I$36), E9&gt;YEAR('Assumptions &amp; Inputs'!$I$31)), (-'Assumptions &amp; Inputs'!$I$38)*'Assumptions &amp; Inputs'!$I$33, -E11/'Assumptions &amp; Inputs'!$I$28*'Assumptions &amp; Inputs'!$I$38)</f>
        <v>-90</v>
      </c>
      <c r="F13" s="187">
        <f>IF(AND(MOD(F9-YEAR('Assumptions &amp; Inputs'!$I$31),'Assumptions &amp; Inputs'!$I$34)=0, F9&lt;YEAR('Assumptions &amp; Inputs'!$I$36), F9&gt;YEAR('Assumptions &amp; Inputs'!$I$31)), (-'Assumptions &amp; Inputs'!$I$38)*'Assumptions &amp; Inputs'!$I$33, -F11/'Assumptions &amp; Inputs'!$I$28*'Assumptions &amp; Inputs'!$I$38)</f>
        <v>-90</v>
      </c>
      <c r="G13" s="187">
        <f>IF(AND(MOD(G9-YEAR('Assumptions &amp; Inputs'!$I$31),'Assumptions &amp; Inputs'!$I$34)=0, G9&lt;YEAR('Assumptions &amp; Inputs'!$I$36), G9&gt;YEAR('Assumptions &amp; Inputs'!$I$31)), (-'Assumptions &amp; Inputs'!$I$38)*'Assumptions &amp; Inputs'!$I$33, -G11/'Assumptions &amp; Inputs'!$I$28*'Assumptions &amp; Inputs'!$I$38)</f>
        <v>-90</v>
      </c>
      <c r="H13" s="187">
        <f>IF(AND(MOD(H9-YEAR('Assumptions &amp; Inputs'!$I$31),'Assumptions &amp; Inputs'!$I$34)=0, H9&lt;YEAR('Assumptions &amp; Inputs'!$I$36), H9&gt;YEAR('Assumptions &amp; Inputs'!$I$31)), (-'Assumptions &amp; Inputs'!$I$38)*'Assumptions &amp; Inputs'!$I$33, -H11/'Assumptions &amp; Inputs'!$I$28*'Assumptions &amp; Inputs'!$I$38)</f>
        <v>-7.5</v>
      </c>
      <c r="I13" s="187">
        <f>IF(AND(MOD(I9-YEAR('Assumptions &amp; Inputs'!$I$31),'Assumptions &amp; Inputs'!$I$34)=0, I9&lt;YEAR('Assumptions &amp; Inputs'!$I$36), I9&gt;YEAR('Assumptions &amp; Inputs'!$I$31)), (-'Assumptions &amp; Inputs'!$I$38)*'Assumptions &amp; Inputs'!$I$33, -I11/'Assumptions &amp; Inputs'!$I$28*'Assumptions &amp; Inputs'!$I$38)</f>
        <v>0</v>
      </c>
      <c r="J13" s="187">
        <f>IF(AND(MOD(J9-YEAR('Assumptions &amp; Inputs'!$I$31),'Assumptions &amp; Inputs'!$I$34)=0, J9&lt;YEAR('Assumptions &amp; Inputs'!$I$36), J9&gt;YEAR('Assumptions &amp; Inputs'!$I$31)), (-'Assumptions &amp; Inputs'!$I$38)*'Assumptions &amp; Inputs'!$I$33, -J11/'Assumptions &amp; Inputs'!$I$28*'Assumptions &amp; Inputs'!$I$38)</f>
        <v>0</v>
      </c>
      <c r="K13" s="187">
        <f>IF(AND(MOD(K9-YEAR('Assumptions &amp; Inputs'!$I$31),'Assumptions &amp; Inputs'!$I$34)=0, K9&lt;YEAR('Assumptions &amp; Inputs'!$I$36), K9&gt;YEAR('Assumptions &amp; Inputs'!$I$31)), (-'Assumptions &amp; Inputs'!$I$38)*'Assumptions &amp; Inputs'!$I$33, -K11/'Assumptions &amp; Inputs'!$I$28*'Assumptions &amp; Inputs'!$I$38)</f>
        <v>0</v>
      </c>
      <c r="L13" s="187">
        <f>IF(AND(MOD(L9-YEAR('Assumptions &amp; Inputs'!$I$31),'Assumptions &amp; Inputs'!$I$34)=0, L9&lt;YEAR('Assumptions &amp; Inputs'!$I$36), L9&gt;YEAR('Assumptions &amp; Inputs'!$I$31)), (-'Assumptions &amp; Inputs'!$I$38)*'Assumptions &amp; Inputs'!$I$33, -L11/'Assumptions &amp; Inputs'!$I$28*'Assumptions &amp; Inputs'!$I$38)</f>
        <v>0</v>
      </c>
      <c r="M13" s="187">
        <f>IF(AND(MOD(M9-YEAR('Assumptions &amp; Inputs'!$I$31),'Assumptions &amp; Inputs'!$I$34)=0, M9&lt;YEAR('Assumptions &amp; Inputs'!$I$36), M9&gt;YEAR('Assumptions &amp; Inputs'!$I$31)), (-'Assumptions &amp; Inputs'!$I$38)*'Assumptions &amp; Inputs'!$I$33, -M11/'Assumptions &amp; Inputs'!$I$28*'Assumptions &amp; Inputs'!$I$38)</f>
        <v>0</v>
      </c>
      <c r="N13" s="187">
        <f>IF(AND(MOD(N9-YEAR('Assumptions &amp; Inputs'!$I$31),'Assumptions &amp; Inputs'!$I$34)=0, N9&lt;YEAR('Assumptions &amp; Inputs'!$I$36), N9&gt;YEAR('Assumptions &amp; Inputs'!$I$31)), (-'Assumptions &amp; Inputs'!$I$38)*'Assumptions &amp; Inputs'!$I$33, -N11/'Assumptions &amp; Inputs'!$I$28*'Assumptions &amp; Inputs'!$I$38)</f>
        <v>0</v>
      </c>
      <c r="O13" s="187">
        <f>IF(AND(MOD(O9-YEAR('Assumptions &amp; Inputs'!$I$31),'Assumptions &amp; Inputs'!$I$34)=0, O9&lt;YEAR('Assumptions &amp; Inputs'!$I$36), O9&gt;YEAR('Assumptions &amp; Inputs'!$I$31)), (-'Assumptions &amp; Inputs'!$I$38)*'Assumptions &amp; Inputs'!$I$33, -O11/'Assumptions &amp; Inputs'!$I$28*'Assumptions &amp; Inputs'!$I$38)</f>
        <v>0</v>
      </c>
      <c r="P13" s="187">
        <f>IF(AND(MOD(P9-YEAR('Assumptions &amp; Inputs'!$I$31),'Assumptions &amp; Inputs'!$I$34)=0, P9&lt;YEAR('Assumptions &amp; Inputs'!$I$36), P9&gt;YEAR('Assumptions &amp; Inputs'!$I$31)), (-'Assumptions &amp; Inputs'!$I$38)*'Assumptions &amp; Inputs'!$I$33, -P11/'Assumptions &amp; Inputs'!$I$28*'Assumptions &amp; Inputs'!$I$38)</f>
        <v>0</v>
      </c>
      <c r="Q13" s="187">
        <f>IF(AND(MOD(Q9-YEAR('Assumptions &amp; Inputs'!$I$31),'Assumptions &amp; Inputs'!$I$34)=0, Q9&lt;YEAR('Assumptions &amp; Inputs'!$I$36), Q9&gt;YEAR('Assumptions &amp; Inputs'!$I$31)), (-'Assumptions &amp; Inputs'!$I$38)*'Assumptions &amp; Inputs'!$I$33, -Q11/'Assumptions &amp; Inputs'!$I$28*'Assumptions &amp; Inputs'!$I$38)</f>
        <v>0</v>
      </c>
      <c r="R13" s="187">
        <f>IF(AND(MOD(R9-YEAR('Assumptions &amp; Inputs'!$I$31),'Assumptions &amp; Inputs'!$I$34)=0, R9&lt;YEAR('Assumptions &amp; Inputs'!$I$36), R9&gt;YEAR('Assumptions &amp; Inputs'!$I$31)), (-'Assumptions &amp; Inputs'!$I$38)*'Assumptions &amp; Inputs'!$I$33, -R11/'Assumptions &amp; Inputs'!$I$28*'Assumptions &amp; Inputs'!$I$38)</f>
        <v>0</v>
      </c>
      <c r="S13" s="187">
        <f>IF(AND(MOD(S9-YEAR('Assumptions &amp; Inputs'!$I$31),'Assumptions &amp; Inputs'!$I$34)=0, S9&lt;YEAR('Assumptions &amp; Inputs'!$I$36), S9&gt;YEAR('Assumptions &amp; Inputs'!$I$31)), (-'Assumptions &amp; Inputs'!$I$38)*'Assumptions &amp; Inputs'!$I$33, -S11/'Assumptions &amp; Inputs'!$I$28*'Assumptions &amp; Inputs'!$I$38)</f>
        <v>0</v>
      </c>
      <c r="T13" s="187">
        <f>IF(AND(MOD(T9-YEAR('Assumptions &amp; Inputs'!$I$31),'Assumptions &amp; Inputs'!$I$34)=0, T9&lt;YEAR('Assumptions &amp; Inputs'!$I$36), T9&gt;YEAR('Assumptions &amp; Inputs'!$I$31)), (-'Assumptions &amp; Inputs'!$I$38)*'Assumptions &amp; Inputs'!$I$33, -T11/'Assumptions &amp; Inputs'!$I$28*'Assumptions &amp; Inputs'!$I$38)</f>
        <v>0</v>
      </c>
      <c r="U13" s="187">
        <f>IF(AND(MOD(U9-YEAR('Assumptions &amp; Inputs'!$I$31),'Assumptions &amp; Inputs'!$I$34)=0, U9&lt;YEAR('Assumptions &amp; Inputs'!$I$36), U9&gt;YEAR('Assumptions &amp; Inputs'!$I$31)), (-'Assumptions &amp; Inputs'!$I$38)*'Assumptions &amp; Inputs'!$I$33, -U11/'Assumptions &amp; Inputs'!$I$28*'Assumptions &amp; Inputs'!$I$38)</f>
        <v>0</v>
      </c>
      <c r="V13" s="187">
        <f>IF(AND(MOD(V9-YEAR('Assumptions &amp; Inputs'!$I$31),'Assumptions &amp; Inputs'!$I$34)=0, V9&lt;YEAR('Assumptions &amp; Inputs'!$I$36), V9&gt;YEAR('Assumptions &amp; Inputs'!$I$31)), (-'Assumptions &amp; Inputs'!$I$38)*'Assumptions &amp; Inputs'!$I$33, -V11/'Assumptions &amp; Inputs'!$I$28*'Assumptions &amp; Inputs'!$I$38)</f>
        <v>0</v>
      </c>
      <c r="W13" s="187">
        <f>IF(AND(MOD(W9-YEAR('Assumptions &amp; Inputs'!$I$31),'Assumptions &amp; Inputs'!$I$34)=0, W9&lt;YEAR('Assumptions &amp; Inputs'!$I$36), W9&gt;YEAR('Assumptions &amp; Inputs'!$I$31)), (-'Assumptions &amp; Inputs'!$I$38)*'Assumptions &amp; Inputs'!$I$33, -W11/'Assumptions &amp; Inputs'!$I$28*'Assumptions &amp; Inputs'!$I$38)</f>
        <v>0</v>
      </c>
      <c r="X13" s="187">
        <f>IF(AND(MOD(X9-YEAR('Assumptions &amp; Inputs'!$I$31),'Assumptions &amp; Inputs'!$I$34)=0, X9&lt;YEAR('Assumptions &amp; Inputs'!$I$36), X9&gt;YEAR('Assumptions &amp; Inputs'!$I$31)), (-'Assumptions &amp; Inputs'!$I$38)*'Assumptions &amp; Inputs'!$I$33, -X11/'Assumptions &amp; Inputs'!$I$28*'Assumptions &amp; Inputs'!$I$38)</f>
        <v>0</v>
      </c>
      <c r="Y13" s="187">
        <f>IF(AND(MOD(Y9-YEAR('Assumptions &amp; Inputs'!$I$31),'Assumptions &amp; Inputs'!$I$34)=0, Y9&lt;YEAR('Assumptions &amp; Inputs'!$I$36), Y9&gt;YEAR('Assumptions &amp; Inputs'!$I$31)), (-'Assumptions &amp; Inputs'!$I$38)*'Assumptions &amp; Inputs'!$I$33, -Y11/'Assumptions &amp; Inputs'!$I$28*'Assumptions &amp; Inputs'!$I$38)</f>
        <v>0</v>
      </c>
      <c r="Z13" s="187">
        <f>IF(AND(MOD(Z9-YEAR('Assumptions &amp; Inputs'!$I$31),'Assumptions &amp; Inputs'!$I$34)=0, Z9&lt;YEAR('Assumptions &amp; Inputs'!$I$36), Z9&gt;YEAR('Assumptions &amp; Inputs'!$I$31)), (-'Assumptions &amp; Inputs'!$I$38)*'Assumptions &amp; Inputs'!$I$33, -Z11/'Assumptions &amp; Inputs'!$I$28*'Assumptions &amp; Inputs'!$I$38)</f>
        <v>0</v>
      </c>
      <c r="AA13" s="187">
        <f>IF(AND(MOD(AA9-YEAR('Assumptions &amp; Inputs'!$I$31),'Assumptions &amp; Inputs'!$I$34)=0, AA9&lt;YEAR('Assumptions &amp; Inputs'!$I$36), AA9&gt;YEAR('Assumptions &amp; Inputs'!$I$31)), (-'Assumptions &amp; Inputs'!$I$38)*'Assumptions &amp; Inputs'!$I$33, -AA11/'Assumptions &amp; Inputs'!$I$28*'Assumptions &amp; Inputs'!$I$38)</f>
        <v>0</v>
      </c>
      <c r="AB13" s="187">
        <f>IF(AND(MOD(AB9-YEAR('Assumptions &amp; Inputs'!$I$31),'Assumptions &amp; Inputs'!$I$34)=0, AB9&lt;YEAR('Assumptions &amp; Inputs'!$I$36), AB9&gt;YEAR('Assumptions &amp; Inputs'!$I$31)), (-'Assumptions &amp; Inputs'!$I$38)*'Assumptions &amp; Inputs'!$I$33, -AB11/'Assumptions &amp; Inputs'!$I$28*'Assumptions &amp; Inputs'!$I$38)</f>
        <v>0</v>
      </c>
      <c r="AC13" s="187">
        <f>IF(AND(MOD(AC9-YEAR('Assumptions &amp; Inputs'!$I$31),'Assumptions &amp; Inputs'!$I$34)=0, AC9&lt;YEAR('Assumptions &amp; Inputs'!$I$36), AC9&gt;YEAR('Assumptions &amp; Inputs'!$I$31)), (-'Assumptions &amp; Inputs'!$I$38)*'Assumptions &amp; Inputs'!$I$33, -AC11/'Assumptions &amp; Inputs'!$I$28*'Assumptions &amp; Inputs'!$I$38)</f>
        <v>0</v>
      </c>
      <c r="AD13" s="187">
        <f>IF(AND(MOD(AD9-YEAR('Assumptions &amp; Inputs'!$I$31),'Assumptions &amp; Inputs'!$I$34)=0, AD9&lt;YEAR('Assumptions &amp; Inputs'!$I$36), AD9&gt;YEAR('Assumptions &amp; Inputs'!$I$31)), (-'Assumptions &amp; Inputs'!$I$38)*'Assumptions &amp; Inputs'!$I$33, -AD11/'Assumptions &amp; Inputs'!$I$28*'Assumptions &amp; Inputs'!$I$38)</f>
        <v>0</v>
      </c>
      <c r="AE13" s="187">
        <f>IF(AND(MOD(AE9-YEAR('Assumptions &amp; Inputs'!$I$31),'Assumptions &amp; Inputs'!$I$34)=0, AE9&lt;YEAR('Assumptions &amp; Inputs'!$I$36), AE9&gt;YEAR('Assumptions &amp; Inputs'!$I$31)), (-'Assumptions &amp; Inputs'!$I$38)*'Assumptions &amp; Inputs'!$I$33, -AE11/'Assumptions &amp; Inputs'!$I$28*'Assumptions &amp; Inputs'!$I$38)</f>
        <v>0</v>
      </c>
      <c r="AF13" s="187">
        <f>IF(AND(MOD(AF9-YEAR('Assumptions &amp; Inputs'!$I$31),'Assumptions &amp; Inputs'!$I$34)=0, AF9&lt;YEAR('Assumptions &amp; Inputs'!$I$36), AF9&gt;YEAR('Assumptions &amp; Inputs'!$I$31)), (-'Assumptions &amp; Inputs'!$I$38)*'Assumptions &amp; Inputs'!$I$33, -AF11/'Assumptions &amp; Inputs'!$I$28*'Assumptions &amp; Inputs'!$I$38)</f>
        <v>0</v>
      </c>
      <c r="AG13" s="187">
        <f>IF(AND(MOD(AG9-YEAR('Assumptions &amp; Inputs'!$I$31),'Assumptions &amp; Inputs'!$I$34)=0, AG9&lt;YEAR('Assumptions &amp; Inputs'!$I$36), AG9&gt;YEAR('Assumptions &amp; Inputs'!$I$31)), (-'Assumptions &amp; Inputs'!$I$38)*'Assumptions &amp; Inputs'!$I$33, -AG11/'Assumptions &amp; Inputs'!$I$28*'Assumptions &amp; Inputs'!$I$38)</f>
        <v>0</v>
      </c>
      <c r="AH13" s="187">
        <f>IF(AND(MOD(AH9-YEAR('Assumptions &amp; Inputs'!$I$31),'Assumptions &amp; Inputs'!$I$34)=0, AH9&lt;YEAR('Assumptions &amp; Inputs'!$I$36), AH9&gt;YEAR('Assumptions &amp; Inputs'!$I$31)), (-'Assumptions &amp; Inputs'!$I$38)*'Assumptions &amp; Inputs'!$I$33, -AH11/'Assumptions &amp; Inputs'!$I$28*'Assumptions &amp; Inputs'!$I$38)</f>
        <v>0</v>
      </c>
      <c r="AI13" s="187">
        <f>IF(AND(MOD(AI9-YEAR('Assumptions &amp; Inputs'!$I$31),'Assumptions &amp; Inputs'!$I$34)=0, AI9&lt;YEAR('Assumptions &amp; Inputs'!$I$36), AI9&gt;YEAR('Assumptions &amp; Inputs'!$I$31)), (-'Assumptions &amp; Inputs'!$I$38)*'Assumptions &amp; Inputs'!$I$33, -AI11/'Assumptions &amp; Inputs'!$I$28*'Assumptions &amp; Inputs'!$I$38)</f>
        <v>0</v>
      </c>
      <c r="AJ13" s="187">
        <f>IF(AND(MOD(AJ9-YEAR('Assumptions &amp; Inputs'!$I$31),'Assumptions &amp; Inputs'!$I$34)=0, AJ9&lt;YEAR('Assumptions &amp; Inputs'!$I$36), AJ9&gt;YEAR('Assumptions &amp; Inputs'!$I$31)), (-'Assumptions &amp; Inputs'!$I$38)*'Assumptions &amp; Inputs'!$I$33, -AJ11/'Assumptions &amp; Inputs'!$I$28*'Assumptions &amp; Inputs'!$I$38)</f>
        <v>0</v>
      </c>
      <c r="AK13" s="187">
        <f>IF(AND(MOD(AK9-YEAR('Assumptions &amp; Inputs'!$I$31),'Assumptions &amp; Inputs'!$I$34)=0, AK9&lt;YEAR('Assumptions &amp; Inputs'!$I$36), AK9&gt;YEAR('Assumptions &amp; Inputs'!$I$31)), (-'Assumptions &amp; Inputs'!$I$38)*'Assumptions &amp; Inputs'!$I$33, -AK11/'Assumptions &amp; Inputs'!$I$28*'Assumptions &amp; Inputs'!$I$38)</f>
        <v>0</v>
      </c>
      <c r="AL13" s="187">
        <f>IF(AND(MOD(AL9-YEAR('Assumptions &amp; Inputs'!$I$31),'Assumptions &amp; Inputs'!$I$34)=0, AL9&lt;YEAR('Assumptions &amp; Inputs'!$I$36), AL9&gt;YEAR('Assumptions &amp; Inputs'!$I$31)), (-'Assumptions &amp; Inputs'!$I$38)*'Assumptions &amp; Inputs'!$I$33, -AL11/'Assumptions &amp; Inputs'!$I$28*'Assumptions &amp; Inputs'!$I$38)</f>
        <v>0</v>
      </c>
      <c r="AM13" s="187">
        <f>IF(AND(MOD(AM9-YEAR('Assumptions &amp; Inputs'!$I$31),'Assumptions &amp; Inputs'!$I$34)=0, AM9&lt;YEAR('Assumptions &amp; Inputs'!$I$36), AM9&gt;YEAR('Assumptions &amp; Inputs'!$I$31)), (-'Assumptions &amp; Inputs'!$I$38)*'Assumptions &amp; Inputs'!$I$33, -AM11/'Assumptions &amp; Inputs'!$I$28*'Assumptions &amp; Inputs'!$I$38)</f>
        <v>0</v>
      </c>
      <c r="AN13" s="187">
        <f>IF(AND(MOD(AN9-YEAR('Assumptions &amp; Inputs'!$I$31),'Assumptions &amp; Inputs'!$I$34)=0, AN9&lt;YEAR('Assumptions &amp; Inputs'!$I$36), AN9&gt;YEAR('Assumptions &amp; Inputs'!$I$31)), (-'Assumptions &amp; Inputs'!$I$38)*'Assumptions &amp; Inputs'!$I$33, -AN11/'Assumptions &amp; Inputs'!$I$28*'Assumptions &amp; Inputs'!$I$38)</f>
        <v>0</v>
      </c>
      <c r="AO13" s="187">
        <f>IF(AND(MOD(AO9-YEAR('Assumptions &amp; Inputs'!$I$31),'Assumptions &amp; Inputs'!$I$34)=0, AO9&lt;YEAR('Assumptions &amp; Inputs'!$I$36), AO9&gt;YEAR('Assumptions &amp; Inputs'!$I$31)), (-'Assumptions &amp; Inputs'!$I$38)*'Assumptions &amp; Inputs'!$I$33, -AO11/'Assumptions &amp; Inputs'!$I$28*'Assumptions &amp; Inputs'!$I$38)</f>
        <v>0</v>
      </c>
      <c r="AP13" s="187">
        <f>IF(AND(MOD(AP9-YEAR('Assumptions &amp; Inputs'!$I$31),'Assumptions &amp; Inputs'!$I$34)=0, AP9&lt;YEAR('Assumptions &amp; Inputs'!$I$36), AP9&gt;YEAR('Assumptions &amp; Inputs'!$I$31)), (-'Assumptions &amp; Inputs'!$I$38)*'Assumptions &amp; Inputs'!$I$33, -AP11/'Assumptions &amp; Inputs'!$I$28*'Assumptions &amp; Inputs'!$I$38)</f>
        <v>0</v>
      </c>
      <c r="AQ13" s="187">
        <f>IF(AND(MOD(AQ9-YEAR('Assumptions &amp; Inputs'!$I$31),'Assumptions &amp; Inputs'!$I$34)=0, AQ9&lt;YEAR('Assumptions &amp; Inputs'!$I$36), AQ9&gt;YEAR('Assumptions &amp; Inputs'!$I$31)), (-'Assumptions &amp; Inputs'!$I$38)*'Assumptions &amp; Inputs'!$I$33, -AQ11/'Assumptions &amp; Inputs'!$I$28*'Assumptions &amp; Inputs'!$I$38)</f>
        <v>0</v>
      </c>
      <c r="AR13" s="187">
        <f>IF(AND(MOD(AR9-YEAR('Assumptions &amp; Inputs'!$I$31),'Assumptions &amp; Inputs'!$I$34)=0, AR9&lt;YEAR('Assumptions &amp; Inputs'!$I$36), AR9&gt;YEAR('Assumptions &amp; Inputs'!$I$31)), (-'Assumptions &amp; Inputs'!$I$38)*'Assumptions &amp; Inputs'!$I$33, -AR11/'Assumptions &amp; Inputs'!$I$28*'Assumptions &amp; Inputs'!$I$38)</f>
        <v>0</v>
      </c>
      <c r="AS13" s="187">
        <f>IF(AND(MOD(AS9-YEAR('Assumptions &amp; Inputs'!$I$31),'Assumptions &amp; Inputs'!$I$34)=0, AS9&lt;YEAR('Assumptions &amp; Inputs'!$I$36), AS9&gt;YEAR('Assumptions &amp; Inputs'!$I$31)), (-'Assumptions &amp; Inputs'!$I$38)*'Assumptions &amp; Inputs'!$I$33, -AS11/'Assumptions &amp; Inputs'!$I$28*'Assumptions &amp; Inputs'!$I$38)</f>
        <v>0</v>
      </c>
      <c r="AT13" s="187">
        <f>IF(AND(MOD(AT9-YEAR('Assumptions &amp; Inputs'!$I$31),'Assumptions &amp; Inputs'!$I$34)=0, AT9&lt;YEAR('Assumptions &amp; Inputs'!$I$36), AT9&gt;YEAR('Assumptions &amp; Inputs'!$I$31)), (-'Assumptions &amp; Inputs'!$I$38)*'Assumptions &amp; Inputs'!$I$33, -AT11/'Assumptions &amp; Inputs'!$I$28*'Assumptions &amp; Inputs'!$I$38)</f>
        <v>0</v>
      </c>
      <c r="AU13" s="187">
        <f>IF(AND(MOD(AU9-YEAR('Assumptions &amp; Inputs'!$I$31),'Assumptions &amp; Inputs'!$I$34)=0, AU9&lt;YEAR('Assumptions &amp; Inputs'!$I$36), AU9&gt;YEAR('Assumptions &amp; Inputs'!$I$31)), (-'Assumptions &amp; Inputs'!$I$38)*'Assumptions &amp; Inputs'!$I$33, -AU11/'Assumptions &amp; Inputs'!$I$28*'Assumptions &amp; Inputs'!$I$38)</f>
        <v>0</v>
      </c>
      <c r="AV13" s="187">
        <f>IF(AND(MOD(AV9-YEAR('Assumptions &amp; Inputs'!$I$31),'Assumptions &amp; Inputs'!$I$34)=0, AV9&lt;YEAR('Assumptions &amp; Inputs'!$I$36), AV9&gt;YEAR('Assumptions &amp; Inputs'!$I$31)), (-'Assumptions &amp; Inputs'!$I$38)*'Assumptions &amp; Inputs'!$I$33, -AV11/'Assumptions &amp; Inputs'!$I$28*'Assumptions &amp; Inputs'!$I$38)</f>
        <v>0</v>
      </c>
      <c r="AW13" s="187">
        <f>IF(AND(MOD(AW9-YEAR('Assumptions &amp; Inputs'!$I$31),'Assumptions &amp; Inputs'!$I$34)=0, AW9&lt;YEAR('Assumptions &amp; Inputs'!$I$36), AW9&gt;YEAR('Assumptions &amp; Inputs'!$I$31)), (-'Assumptions &amp; Inputs'!$I$38)*'Assumptions &amp; Inputs'!$I$33, -AW11/'Assumptions &amp; Inputs'!$I$28*'Assumptions &amp; Inputs'!$I$38)</f>
        <v>0</v>
      </c>
    </row>
    <row r="14" spans="1:49" ht="14.25" customHeight="1">
      <c r="A14" s="1"/>
      <c r="B14" s="84"/>
      <c r="C14" s="94" t="s">
        <v>219</v>
      </c>
      <c r="D14" s="519">
        <f>D$13*'Assumptions &amp; Inputs'!$G39</f>
        <v>-4.125</v>
      </c>
      <c r="E14" s="519">
        <f>E$13*'Assumptions &amp; Inputs'!$G39</f>
        <v>-4.5</v>
      </c>
      <c r="F14" s="519">
        <f>F$13*'Assumptions &amp; Inputs'!$G39</f>
        <v>-4.5</v>
      </c>
      <c r="G14" s="519">
        <f>G$13*'Assumptions &amp; Inputs'!$G39</f>
        <v>-4.5</v>
      </c>
      <c r="H14" s="519">
        <f>H$13*'Assumptions &amp; Inputs'!$G39</f>
        <v>-0.375</v>
      </c>
      <c r="I14" s="519">
        <f>I$13*'Assumptions &amp; Inputs'!$G39</f>
        <v>0</v>
      </c>
      <c r="J14" s="519">
        <f>J$13*'Assumptions &amp; Inputs'!$G39</f>
        <v>0</v>
      </c>
      <c r="K14" s="519">
        <f>K$13*'Assumptions &amp; Inputs'!$G39</f>
        <v>0</v>
      </c>
      <c r="L14" s="519">
        <f>L$13*'Assumptions &amp; Inputs'!$G39</f>
        <v>0</v>
      </c>
      <c r="M14" s="519">
        <f>M$13*'Assumptions &amp; Inputs'!$G39</f>
        <v>0</v>
      </c>
      <c r="N14" s="519">
        <f>N$13*'Assumptions &amp; Inputs'!$G39</f>
        <v>0</v>
      </c>
      <c r="O14" s="519">
        <f>O$13*'Assumptions &amp; Inputs'!$G39</f>
        <v>0</v>
      </c>
      <c r="P14" s="519">
        <f>P$13*'Assumptions &amp; Inputs'!$G39</f>
        <v>0</v>
      </c>
      <c r="Q14" s="519">
        <f>Q$13*'Assumptions &amp; Inputs'!$G39</f>
        <v>0</v>
      </c>
      <c r="R14" s="519">
        <f>R$13*'Assumptions &amp; Inputs'!$G39</f>
        <v>0</v>
      </c>
      <c r="S14" s="519">
        <f>S$13*'Assumptions &amp; Inputs'!$G39</f>
        <v>0</v>
      </c>
      <c r="T14" s="519">
        <f>T$13*'Assumptions &amp; Inputs'!$G39</f>
        <v>0</v>
      </c>
      <c r="U14" s="519">
        <f>U$13*'Assumptions &amp; Inputs'!$G39</f>
        <v>0</v>
      </c>
      <c r="V14" s="519">
        <f>V$13*'Assumptions &amp; Inputs'!$G39</f>
        <v>0</v>
      </c>
      <c r="W14" s="519">
        <f>W$13*'Assumptions &amp; Inputs'!$G39</f>
        <v>0</v>
      </c>
      <c r="X14" s="519">
        <f>X$13*'Assumptions &amp; Inputs'!$G39</f>
        <v>0</v>
      </c>
      <c r="Y14" s="519">
        <f>Y$13*'Assumptions &amp; Inputs'!$G39</f>
        <v>0</v>
      </c>
      <c r="Z14" s="519">
        <f>Z$13*'Assumptions &amp; Inputs'!$G39</f>
        <v>0</v>
      </c>
      <c r="AA14" s="519">
        <f>AA$13*'Assumptions &amp; Inputs'!$G39</f>
        <v>0</v>
      </c>
      <c r="AB14" s="519">
        <f>AB$13*'Assumptions &amp; Inputs'!$G39</f>
        <v>0</v>
      </c>
      <c r="AC14" s="519">
        <f>AC$13*'Assumptions &amp; Inputs'!$G39</f>
        <v>0</v>
      </c>
      <c r="AD14" s="519">
        <f>AD$13*'Assumptions &amp; Inputs'!$G39</f>
        <v>0</v>
      </c>
      <c r="AE14" s="519">
        <f>AE$13*'Assumptions &amp; Inputs'!$G39</f>
        <v>0</v>
      </c>
      <c r="AF14" s="519">
        <f>AF$13*'Assumptions &amp; Inputs'!$G39</f>
        <v>0</v>
      </c>
      <c r="AG14" s="519">
        <f>AG$13*'Assumptions &amp; Inputs'!$G39</f>
        <v>0</v>
      </c>
      <c r="AH14" s="519">
        <f>AH$13*'Assumptions &amp; Inputs'!$G39</f>
        <v>0</v>
      </c>
      <c r="AI14" s="519">
        <f>AI$13*'Assumptions &amp; Inputs'!$G39</f>
        <v>0</v>
      </c>
      <c r="AJ14" s="519">
        <f>AJ$13*'Assumptions &amp; Inputs'!$G39</f>
        <v>0</v>
      </c>
      <c r="AK14" s="519">
        <f>AK$13*'Assumptions &amp; Inputs'!$G39</f>
        <v>0</v>
      </c>
      <c r="AL14" s="519">
        <f>AL$13*'Assumptions &amp; Inputs'!$G39</f>
        <v>0</v>
      </c>
      <c r="AM14" s="519">
        <f>AM$13*'Assumptions &amp; Inputs'!$G39</f>
        <v>0</v>
      </c>
      <c r="AN14" s="519">
        <f>AN$13*'Assumptions &amp; Inputs'!$G39</f>
        <v>0</v>
      </c>
      <c r="AO14" s="519">
        <f>AO$13*'Assumptions &amp; Inputs'!$G39</f>
        <v>0</v>
      </c>
      <c r="AP14" s="519">
        <f>AP$13*'Assumptions &amp; Inputs'!$G39</f>
        <v>0</v>
      </c>
      <c r="AQ14" s="519">
        <f>AQ$13*'Assumptions &amp; Inputs'!$G39</f>
        <v>0</v>
      </c>
      <c r="AR14" s="519">
        <f>AR$13*'Assumptions &amp; Inputs'!$G39</f>
        <v>0</v>
      </c>
      <c r="AS14" s="519">
        <f>AS$13*'Assumptions &amp; Inputs'!$G39</f>
        <v>0</v>
      </c>
      <c r="AT14" s="519">
        <f>AT$13*'Assumptions &amp; Inputs'!$G39</f>
        <v>0</v>
      </c>
      <c r="AU14" s="519">
        <f>AU$13*'Assumptions &amp; Inputs'!$G39</f>
        <v>0</v>
      </c>
      <c r="AV14" s="519">
        <f>AV$13*'Assumptions &amp; Inputs'!$G39</f>
        <v>0</v>
      </c>
      <c r="AW14" s="520">
        <f>AW$13*'Assumptions &amp; Inputs'!$G39</f>
        <v>0</v>
      </c>
    </row>
    <row r="15" spans="1:49" ht="14.25" customHeight="1">
      <c r="A15" s="1"/>
      <c r="B15" s="84"/>
      <c r="C15" s="94" t="s">
        <v>220</v>
      </c>
      <c r="D15" s="519">
        <f>D$13*'Assumptions &amp; Inputs'!$G40</f>
        <v>-12.375</v>
      </c>
      <c r="E15" s="519">
        <f>E$13*'Assumptions &amp; Inputs'!$G40</f>
        <v>-13.5</v>
      </c>
      <c r="F15" s="519">
        <f>F$13*'Assumptions &amp; Inputs'!$G40</f>
        <v>-13.5</v>
      </c>
      <c r="G15" s="519">
        <f>G$13*'Assumptions &amp; Inputs'!$G40</f>
        <v>-13.5</v>
      </c>
      <c r="H15" s="519">
        <f>H$13*'Assumptions &amp; Inputs'!$G40</f>
        <v>-1.125</v>
      </c>
      <c r="I15" s="519">
        <f>I$13*'Assumptions &amp; Inputs'!$G40</f>
        <v>0</v>
      </c>
      <c r="J15" s="519">
        <f>J$13*'Assumptions &amp; Inputs'!$G40</f>
        <v>0</v>
      </c>
      <c r="K15" s="519">
        <f>K$13*'Assumptions &amp; Inputs'!$G40</f>
        <v>0</v>
      </c>
      <c r="L15" s="519">
        <f>L$13*'Assumptions &amp; Inputs'!$G40</f>
        <v>0</v>
      </c>
      <c r="M15" s="519">
        <f>M$13*'Assumptions &amp; Inputs'!$G40</f>
        <v>0</v>
      </c>
      <c r="N15" s="519">
        <f>N$13*'Assumptions &amp; Inputs'!$G40</f>
        <v>0</v>
      </c>
      <c r="O15" s="519">
        <f>O$13*'Assumptions &amp; Inputs'!$G40</f>
        <v>0</v>
      </c>
      <c r="P15" s="519">
        <f>P$13*'Assumptions &amp; Inputs'!$G40</f>
        <v>0</v>
      </c>
      <c r="Q15" s="519">
        <f>Q$13*'Assumptions &amp; Inputs'!$G40</f>
        <v>0</v>
      </c>
      <c r="R15" s="519">
        <f>R$13*'Assumptions &amp; Inputs'!$G40</f>
        <v>0</v>
      </c>
      <c r="S15" s="519">
        <f>S$13*'Assumptions &amp; Inputs'!$G40</f>
        <v>0</v>
      </c>
      <c r="T15" s="519">
        <f>T$13*'Assumptions &amp; Inputs'!$G40</f>
        <v>0</v>
      </c>
      <c r="U15" s="519">
        <f>U$13*'Assumptions &amp; Inputs'!$G40</f>
        <v>0</v>
      </c>
      <c r="V15" s="519">
        <f>V$13*'Assumptions &amp; Inputs'!$G40</f>
        <v>0</v>
      </c>
      <c r="W15" s="519">
        <f>W$13*'Assumptions &amp; Inputs'!$G40</f>
        <v>0</v>
      </c>
      <c r="X15" s="519">
        <f>X$13*'Assumptions &amp; Inputs'!$G40</f>
        <v>0</v>
      </c>
      <c r="Y15" s="519">
        <f>Y$13*'Assumptions &amp; Inputs'!$G40</f>
        <v>0</v>
      </c>
      <c r="Z15" s="519">
        <f>Z$13*'Assumptions &amp; Inputs'!$G40</f>
        <v>0</v>
      </c>
      <c r="AA15" s="519">
        <f>AA$13*'Assumptions &amp; Inputs'!$G40</f>
        <v>0</v>
      </c>
      <c r="AB15" s="519">
        <f>AB$13*'Assumptions &amp; Inputs'!$G40</f>
        <v>0</v>
      </c>
      <c r="AC15" s="519">
        <f>AC$13*'Assumptions &amp; Inputs'!$G40</f>
        <v>0</v>
      </c>
      <c r="AD15" s="519">
        <f>AD$13*'Assumptions &amp; Inputs'!$G40</f>
        <v>0</v>
      </c>
      <c r="AE15" s="519">
        <f>AE$13*'Assumptions &amp; Inputs'!$G40</f>
        <v>0</v>
      </c>
      <c r="AF15" s="519">
        <f>AF$13*'Assumptions &amp; Inputs'!$G40</f>
        <v>0</v>
      </c>
      <c r="AG15" s="519">
        <f>AG$13*'Assumptions &amp; Inputs'!$G40</f>
        <v>0</v>
      </c>
      <c r="AH15" s="519">
        <f>AH$13*'Assumptions &amp; Inputs'!$G40</f>
        <v>0</v>
      </c>
      <c r="AI15" s="519">
        <f>AI$13*'Assumptions &amp; Inputs'!$G40</f>
        <v>0</v>
      </c>
      <c r="AJ15" s="519">
        <f>AJ$13*'Assumptions &amp; Inputs'!$G40</f>
        <v>0</v>
      </c>
      <c r="AK15" s="519">
        <f>AK$13*'Assumptions &amp; Inputs'!$G40</f>
        <v>0</v>
      </c>
      <c r="AL15" s="519">
        <f>AL$13*'Assumptions &amp; Inputs'!$G40</f>
        <v>0</v>
      </c>
      <c r="AM15" s="519">
        <f>AM$13*'Assumptions &amp; Inputs'!$G40</f>
        <v>0</v>
      </c>
      <c r="AN15" s="519">
        <f>AN$13*'Assumptions &amp; Inputs'!$G40</f>
        <v>0</v>
      </c>
      <c r="AO15" s="519">
        <f>AO$13*'Assumptions &amp; Inputs'!$G40</f>
        <v>0</v>
      </c>
      <c r="AP15" s="519">
        <f>AP$13*'Assumptions &amp; Inputs'!$G40</f>
        <v>0</v>
      </c>
      <c r="AQ15" s="519">
        <f>AQ$13*'Assumptions &amp; Inputs'!$G40</f>
        <v>0</v>
      </c>
      <c r="AR15" s="519">
        <f>AR$13*'Assumptions &amp; Inputs'!$G40</f>
        <v>0</v>
      </c>
      <c r="AS15" s="519">
        <f>AS$13*'Assumptions &amp; Inputs'!$G40</f>
        <v>0</v>
      </c>
      <c r="AT15" s="519">
        <f>AT$13*'Assumptions &amp; Inputs'!$G40</f>
        <v>0</v>
      </c>
      <c r="AU15" s="519">
        <f>AU$13*'Assumptions &amp; Inputs'!$G40</f>
        <v>0</v>
      </c>
      <c r="AV15" s="519">
        <f>AV$13*'Assumptions &amp; Inputs'!$G40</f>
        <v>0</v>
      </c>
      <c r="AW15" s="520">
        <f>AW$13*'Assumptions &amp; Inputs'!$G40</f>
        <v>0</v>
      </c>
    </row>
    <row r="16" spans="1:49" ht="14.25" customHeight="1">
      <c r="A16" s="1"/>
      <c r="B16" s="84"/>
      <c r="C16" s="94" t="s">
        <v>221</v>
      </c>
      <c r="D16" s="519">
        <f>D$13*'Assumptions &amp; Inputs'!$G41</f>
        <v>-0.82500000000000007</v>
      </c>
      <c r="E16" s="519">
        <f>E$13*'Assumptions &amp; Inputs'!$G41</f>
        <v>-0.9</v>
      </c>
      <c r="F16" s="519">
        <f>F$13*'Assumptions &amp; Inputs'!$G41</f>
        <v>-0.9</v>
      </c>
      <c r="G16" s="519">
        <f>G$13*'Assumptions &amp; Inputs'!$G41</f>
        <v>-0.9</v>
      </c>
      <c r="H16" s="519">
        <f>H$13*'Assumptions &amp; Inputs'!$G41</f>
        <v>-7.4999999999999997E-2</v>
      </c>
      <c r="I16" s="519">
        <f>I$13*'Assumptions &amp; Inputs'!$G41</f>
        <v>0</v>
      </c>
      <c r="J16" s="519">
        <f>J$13*'Assumptions &amp; Inputs'!$G41</f>
        <v>0</v>
      </c>
      <c r="K16" s="519">
        <f>K$13*'Assumptions &amp; Inputs'!$G41</f>
        <v>0</v>
      </c>
      <c r="L16" s="519">
        <f>L$13*'Assumptions &amp; Inputs'!$G41</f>
        <v>0</v>
      </c>
      <c r="M16" s="519">
        <f>M$13*'Assumptions &amp; Inputs'!$G41</f>
        <v>0</v>
      </c>
      <c r="N16" s="519">
        <f>N$13*'Assumptions &amp; Inputs'!$G41</f>
        <v>0</v>
      </c>
      <c r="O16" s="519">
        <f>O$13*'Assumptions &amp; Inputs'!$G41</f>
        <v>0</v>
      </c>
      <c r="P16" s="519">
        <f>P$13*'Assumptions &amp; Inputs'!$G41</f>
        <v>0</v>
      </c>
      <c r="Q16" s="519">
        <f>Q$13*'Assumptions &amp; Inputs'!$G41</f>
        <v>0</v>
      </c>
      <c r="R16" s="519">
        <f>R$13*'Assumptions &amp; Inputs'!$G41</f>
        <v>0</v>
      </c>
      <c r="S16" s="519">
        <f>S$13*'Assumptions &amp; Inputs'!$G41</f>
        <v>0</v>
      </c>
      <c r="T16" s="519">
        <f>T$13*'Assumptions &amp; Inputs'!$G41</f>
        <v>0</v>
      </c>
      <c r="U16" s="519">
        <f>U$13*'Assumptions &amp; Inputs'!$G41</f>
        <v>0</v>
      </c>
      <c r="V16" s="519">
        <f>V$13*'Assumptions &amp; Inputs'!$G41</f>
        <v>0</v>
      </c>
      <c r="W16" s="519">
        <f>W$13*'Assumptions &amp; Inputs'!$G41</f>
        <v>0</v>
      </c>
      <c r="X16" s="519">
        <f>X$13*'Assumptions &amp; Inputs'!$G41</f>
        <v>0</v>
      </c>
      <c r="Y16" s="519">
        <f>Y$13*'Assumptions &amp; Inputs'!$G41</f>
        <v>0</v>
      </c>
      <c r="Z16" s="519">
        <f>Z$13*'Assumptions &amp; Inputs'!$G41</f>
        <v>0</v>
      </c>
      <c r="AA16" s="519">
        <f>AA$13*'Assumptions &amp; Inputs'!$G41</f>
        <v>0</v>
      </c>
      <c r="AB16" s="519">
        <f>AB$13*'Assumptions &amp; Inputs'!$G41</f>
        <v>0</v>
      </c>
      <c r="AC16" s="519">
        <f>AC$13*'Assumptions &amp; Inputs'!$G41</f>
        <v>0</v>
      </c>
      <c r="AD16" s="519">
        <f>AD$13*'Assumptions &amp; Inputs'!$G41</f>
        <v>0</v>
      </c>
      <c r="AE16" s="519">
        <f>AE$13*'Assumptions &amp; Inputs'!$G41</f>
        <v>0</v>
      </c>
      <c r="AF16" s="519">
        <f>AF$13*'Assumptions &amp; Inputs'!$G41</f>
        <v>0</v>
      </c>
      <c r="AG16" s="519">
        <f>AG$13*'Assumptions &amp; Inputs'!$G41</f>
        <v>0</v>
      </c>
      <c r="AH16" s="519">
        <f>AH$13*'Assumptions &amp; Inputs'!$G41</f>
        <v>0</v>
      </c>
      <c r="AI16" s="519">
        <f>AI$13*'Assumptions &amp; Inputs'!$G41</f>
        <v>0</v>
      </c>
      <c r="AJ16" s="519">
        <f>AJ$13*'Assumptions &amp; Inputs'!$G41</f>
        <v>0</v>
      </c>
      <c r="AK16" s="519">
        <f>AK$13*'Assumptions &amp; Inputs'!$G41</f>
        <v>0</v>
      </c>
      <c r="AL16" s="519">
        <f>AL$13*'Assumptions &amp; Inputs'!$G41</f>
        <v>0</v>
      </c>
      <c r="AM16" s="519">
        <f>AM$13*'Assumptions &amp; Inputs'!$G41</f>
        <v>0</v>
      </c>
      <c r="AN16" s="519">
        <f>AN$13*'Assumptions &amp; Inputs'!$G41</f>
        <v>0</v>
      </c>
      <c r="AO16" s="519">
        <f>AO$13*'Assumptions &amp; Inputs'!$G41</f>
        <v>0</v>
      </c>
      <c r="AP16" s="519">
        <f>AP$13*'Assumptions &amp; Inputs'!$G41</f>
        <v>0</v>
      </c>
      <c r="AQ16" s="519">
        <f>AQ$13*'Assumptions &amp; Inputs'!$G41</f>
        <v>0</v>
      </c>
      <c r="AR16" s="519">
        <f>AR$13*'Assumptions &amp; Inputs'!$G41</f>
        <v>0</v>
      </c>
      <c r="AS16" s="519">
        <f>AS$13*'Assumptions &amp; Inputs'!$G41</f>
        <v>0</v>
      </c>
      <c r="AT16" s="519">
        <f>AT$13*'Assumptions &amp; Inputs'!$G41</f>
        <v>0</v>
      </c>
      <c r="AU16" s="519">
        <f>AU$13*'Assumptions &amp; Inputs'!$G41</f>
        <v>0</v>
      </c>
      <c r="AV16" s="519">
        <f>AV$13*'Assumptions &amp; Inputs'!$G41</f>
        <v>0</v>
      </c>
      <c r="AW16" s="520">
        <f>AW$13*'Assumptions &amp; Inputs'!$G41</f>
        <v>0</v>
      </c>
    </row>
    <row r="17" spans="1:49" ht="14.25" customHeight="1">
      <c r="A17" s="1"/>
      <c r="B17" s="84"/>
      <c r="C17" s="94" t="s">
        <v>222</v>
      </c>
      <c r="D17" s="519">
        <f>D$13*'Assumptions &amp; Inputs'!$G42</f>
        <v>-6.6000000000000005</v>
      </c>
      <c r="E17" s="519">
        <f>E$13*'Assumptions &amp; Inputs'!$G42</f>
        <v>-7.2</v>
      </c>
      <c r="F17" s="519">
        <f>F$13*'Assumptions &amp; Inputs'!$G42</f>
        <v>-7.2</v>
      </c>
      <c r="G17" s="519">
        <f>G$13*'Assumptions &amp; Inputs'!$G42</f>
        <v>-7.2</v>
      </c>
      <c r="H17" s="519">
        <f>H$13*'Assumptions &amp; Inputs'!$G42</f>
        <v>-0.6</v>
      </c>
      <c r="I17" s="519">
        <f>I$13*'Assumptions &amp; Inputs'!$G42</f>
        <v>0</v>
      </c>
      <c r="J17" s="519">
        <f>J$13*'Assumptions &amp; Inputs'!$G42</f>
        <v>0</v>
      </c>
      <c r="K17" s="519">
        <f>K$13*'Assumptions &amp; Inputs'!$G42</f>
        <v>0</v>
      </c>
      <c r="L17" s="519">
        <f>L$13*'Assumptions &amp; Inputs'!$G42</f>
        <v>0</v>
      </c>
      <c r="M17" s="519">
        <f>M$13*'Assumptions &amp; Inputs'!$G42</f>
        <v>0</v>
      </c>
      <c r="N17" s="519">
        <f>N$13*'Assumptions &amp; Inputs'!$G42</f>
        <v>0</v>
      </c>
      <c r="O17" s="519">
        <f>O$13*'Assumptions &amp; Inputs'!$G42</f>
        <v>0</v>
      </c>
      <c r="P17" s="519">
        <f>P$13*'Assumptions &amp; Inputs'!$G42</f>
        <v>0</v>
      </c>
      <c r="Q17" s="519">
        <f>Q$13*'Assumptions &amp; Inputs'!$G42</f>
        <v>0</v>
      </c>
      <c r="R17" s="519">
        <f>R$13*'Assumptions &amp; Inputs'!$G42</f>
        <v>0</v>
      </c>
      <c r="S17" s="519">
        <f>S$13*'Assumptions &amp; Inputs'!$G42</f>
        <v>0</v>
      </c>
      <c r="T17" s="519">
        <f>T$13*'Assumptions &amp; Inputs'!$G42</f>
        <v>0</v>
      </c>
      <c r="U17" s="519">
        <f>U$13*'Assumptions &amp; Inputs'!$G42</f>
        <v>0</v>
      </c>
      <c r="V17" s="519">
        <f>V$13*'Assumptions &amp; Inputs'!$G42</f>
        <v>0</v>
      </c>
      <c r="W17" s="519">
        <f>W$13*'Assumptions &amp; Inputs'!$G42</f>
        <v>0</v>
      </c>
      <c r="X17" s="519">
        <f>X$13*'Assumptions &amp; Inputs'!$G42</f>
        <v>0</v>
      </c>
      <c r="Y17" s="519">
        <f>Y$13*'Assumptions &amp; Inputs'!$G42</f>
        <v>0</v>
      </c>
      <c r="Z17" s="519">
        <f>Z$13*'Assumptions &amp; Inputs'!$G42</f>
        <v>0</v>
      </c>
      <c r="AA17" s="519">
        <f>AA$13*'Assumptions &amp; Inputs'!$G42</f>
        <v>0</v>
      </c>
      <c r="AB17" s="519">
        <f>AB$13*'Assumptions &amp; Inputs'!$G42</f>
        <v>0</v>
      </c>
      <c r="AC17" s="519">
        <f>AC$13*'Assumptions &amp; Inputs'!$G42</f>
        <v>0</v>
      </c>
      <c r="AD17" s="519">
        <f>AD$13*'Assumptions &amp; Inputs'!$G42</f>
        <v>0</v>
      </c>
      <c r="AE17" s="519">
        <f>AE$13*'Assumptions &amp; Inputs'!$G42</f>
        <v>0</v>
      </c>
      <c r="AF17" s="519">
        <f>AF$13*'Assumptions &amp; Inputs'!$G42</f>
        <v>0</v>
      </c>
      <c r="AG17" s="519">
        <f>AG$13*'Assumptions &amp; Inputs'!$G42</f>
        <v>0</v>
      </c>
      <c r="AH17" s="519">
        <f>AH$13*'Assumptions &amp; Inputs'!$G42</f>
        <v>0</v>
      </c>
      <c r="AI17" s="519">
        <f>AI$13*'Assumptions &amp; Inputs'!$G42</f>
        <v>0</v>
      </c>
      <c r="AJ17" s="519">
        <f>AJ$13*'Assumptions &amp; Inputs'!$G42</f>
        <v>0</v>
      </c>
      <c r="AK17" s="519">
        <f>AK$13*'Assumptions &amp; Inputs'!$G42</f>
        <v>0</v>
      </c>
      <c r="AL17" s="519">
        <f>AL$13*'Assumptions &amp; Inputs'!$G42</f>
        <v>0</v>
      </c>
      <c r="AM17" s="519">
        <f>AM$13*'Assumptions &amp; Inputs'!$G42</f>
        <v>0</v>
      </c>
      <c r="AN17" s="519">
        <f>AN$13*'Assumptions &amp; Inputs'!$G42</f>
        <v>0</v>
      </c>
      <c r="AO17" s="519">
        <f>AO$13*'Assumptions &amp; Inputs'!$G42</f>
        <v>0</v>
      </c>
      <c r="AP17" s="519">
        <f>AP$13*'Assumptions &amp; Inputs'!$G42</f>
        <v>0</v>
      </c>
      <c r="AQ17" s="519">
        <f>AQ$13*'Assumptions &amp; Inputs'!$G42</f>
        <v>0</v>
      </c>
      <c r="AR17" s="519">
        <f>AR$13*'Assumptions &amp; Inputs'!$G42</f>
        <v>0</v>
      </c>
      <c r="AS17" s="519">
        <f>AS$13*'Assumptions &amp; Inputs'!$G42</f>
        <v>0</v>
      </c>
      <c r="AT17" s="519">
        <f>AT$13*'Assumptions &amp; Inputs'!$G42</f>
        <v>0</v>
      </c>
      <c r="AU17" s="519">
        <f>AU$13*'Assumptions &amp; Inputs'!$G42</f>
        <v>0</v>
      </c>
      <c r="AV17" s="519">
        <f>AV$13*'Assumptions &amp; Inputs'!$G42</f>
        <v>0</v>
      </c>
      <c r="AW17" s="520">
        <f>AW$13*'Assumptions &amp; Inputs'!$G42</f>
        <v>0</v>
      </c>
    </row>
    <row r="18" spans="1:49" ht="14.25" customHeight="1">
      <c r="A18" s="1"/>
      <c r="B18" s="84"/>
      <c r="C18" s="94" t="s">
        <v>223</v>
      </c>
      <c r="D18" s="519">
        <f>D$13*'Assumptions &amp; Inputs'!$G43</f>
        <v>-8.25</v>
      </c>
      <c r="E18" s="519">
        <f>E$13*'Assumptions &amp; Inputs'!$G43</f>
        <v>-9</v>
      </c>
      <c r="F18" s="519">
        <f>F$13*'Assumptions &amp; Inputs'!$G43</f>
        <v>-9</v>
      </c>
      <c r="G18" s="519">
        <f>G$13*'Assumptions &amp; Inputs'!$G43</f>
        <v>-9</v>
      </c>
      <c r="H18" s="519">
        <f>H$13*'Assumptions &amp; Inputs'!$G43</f>
        <v>-0.75</v>
      </c>
      <c r="I18" s="519">
        <f>I$13*'Assumptions &amp; Inputs'!$G43</f>
        <v>0</v>
      </c>
      <c r="J18" s="519">
        <f>J$13*'Assumptions &amp; Inputs'!$G43</f>
        <v>0</v>
      </c>
      <c r="K18" s="519">
        <f>K$13*'Assumptions &amp; Inputs'!$G43</f>
        <v>0</v>
      </c>
      <c r="L18" s="519">
        <f>L$13*'Assumptions &amp; Inputs'!$G43</f>
        <v>0</v>
      </c>
      <c r="M18" s="519">
        <f>M$13*'Assumptions &amp; Inputs'!$G43</f>
        <v>0</v>
      </c>
      <c r="N18" s="519">
        <f>N$13*'Assumptions &amp; Inputs'!$G43</f>
        <v>0</v>
      </c>
      <c r="O18" s="519">
        <f>O$13*'Assumptions &amp; Inputs'!$G43</f>
        <v>0</v>
      </c>
      <c r="P18" s="519">
        <f>P$13*'Assumptions &amp; Inputs'!$G43</f>
        <v>0</v>
      </c>
      <c r="Q18" s="519">
        <f>Q$13*'Assumptions &amp; Inputs'!$G43</f>
        <v>0</v>
      </c>
      <c r="R18" s="519">
        <f>R$13*'Assumptions &amp; Inputs'!$G43</f>
        <v>0</v>
      </c>
      <c r="S18" s="519">
        <f>S$13*'Assumptions &amp; Inputs'!$G43</f>
        <v>0</v>
      </c>
      <c r="T18" s="519">
        <f>T$13*'Assumptions &amp; Inputs'!$G43</f>
        <v>0</v>
      </c>
      <c r="U18" s="519">
        <f>U$13*'Assumptions &amp; Inputs'!$G43</f>
        <v>0</v>
      </c>
      <c r="V18" s="519">
        <f>V$13*'Assumptions &amp; Inputs'!$G43</f>
        <v>0</v>
      </c>
      <c r="W18" s="519">
        <f>W$13*'Assumptions &amp; Inputs'!$G43</f>
        <v>0</v>
      </c>
      <c r="X18" s="519">
        <f>X$13*'Assumptions &amp; Inputs'!$G43</f>
        <v>0</v>
      </c>
      <c r="Y18" s="519">
        <f>Y$13*'Assumptions &amp; Inputs'!$G43</f>
        <v>0</v>
      </c>
      <c r="Z18" s="519">
        <f>Z$13*'Assumptions &amp; Inputs'!$G43</f>
        <v>0</v>
      </c>
      <c r="AA18" s="519">
        <f>AA$13*'Assumptions &amp; Inputs'!$G43</f>
        <v>0</v>
      </c>
      <c r="AB18" s="519">
        <f>AB$13*'Assumptions &amp; Inputs'!$G43</f>
        <v>0</v>
      </c>
      <c r="AC18" s="519">
        <f>AC$13*'Assumptions &amp; Inputs'!$G43</f>
        <v>0</v>
      </c>
      <c r="AD18" s="519">
        <f>AD$13*'Assumptions &amp; Inputs'!$G43</f>
        <v>0</v>
      </c>
      <c r="AE18" s="519">
        <f>AE$13*'Assumptions &amp; Inputs'!$G43</f>
        <v>0</v>
      </c>
      <c r="AF18" s="519">
        <f>AF$13*'Assumptions &amp; Inputs'!$G43</f>
        <v>0</v>
      </c>
      <c r="AG18" s="519">
        <f>AG$13*'Assumptions &amp; Inputs'!$G43</f>
        <v>0</v>
      </c>
      <c r="AH18" s="519">
        <f>AH$13*'Assumptions &amp; Inputs'!$G43</f>
        <v>0</v>
      </c>
      <c r="AI18" s="519">
        <f>AI$13*'Assumptions &amp; Inputs'!$G43</f>
        <v>0</v>
      </c>
      <c r="AJ18" s="519">
        <f>AJ$13*'Assumptions &amp; Inputs'!$G43</f>
        <v>0</v>
      </c>
      <c r="AK18" s="519">
        <f>AK$13*'Assumptions &amp; Inputs'!$G43</f>
        <v>0</v>
      </c>
      <c r="AL18" s="519">
        <f>AL$13*'Assumptions &amp; Inputs'!$G43</f>
        <v>0</v>
      </c>
      <c r="AM18" s="519">
        <f>AM$13*'Assumptions &amp; Inputs'!$G43</f>
        <v>0</v>
      </c>
      <c r="AN18" s="519">
        <f>AN$13*'Assumptions &amp; Inputs'!$G43</f>
        <v>0</v>
      </c>
      <c r="AO18" s="519">
        <f>AO$13*'Assumptions &amp; Inputs'!$G43</f>
        <v>0</v>
      </c>
      <c r="AP18" s="519">
        <f>AP$13*'Assumptions &amp; Inputs'!$G43</f>
        <v>0</v>
      </c>
      <c r="AQ18" s="519">
        <f>AQ$13*'Assumptions &amp; Inputs'!$G43</f>
        <v>0</v>
      </c>
      <c r="AR18" s="519">
        <f>AR$13*'Assumptions &amp; Inputs'!$G43</f>
        <v>0</v>
      </c>
      <c r="AS18" s="519">
        <f>AS$13*'Assumptions &amp; Inputs'!$G43</f>
        <v>0</v>
      </c>
      <c r="AT18" s="519">
        <f>AT$13*'Assumptions &amp; Inputs'!$G43</f>
        <v>0</v>
      </c>
      <c r="AU18" s="519">
        <f>AU$13*'Assumptions &amp; Inputs'!$G43</f>
        <v>0</v>
      </c>
      <c r="AV18" s="519">
        <f>AV$13*'Assumptions &amp; Inputs'!$G43</f>
        <v>0</v>
      </c>
      <c r="AW18" s="520">
        <f>AW$13*'Assumptions &amp; Inputs'!$G43</f>
        <v>0</v>
      </c>
    </row>
    <row r="19" spans="1:49" ht="14.25" customHeight="1">
      <c r="A19" s="1"/>
      <c r="B19" s="84"/>
      <c r="C19" s="94" t="s">
        <v>224</v>
      </c>
      <c r="D19" s="519">
        <f>D$13*'Assumptions &amp; Inputs'!$G44</f>
        <v>-12.375</v>
      </c>
      <c r="E19" s="519">
        <f>E$13*'Assumptions &amp; Inputs'!$G44</f>
        <v>-13.5</v>
      </c>
      <c r="F19" s="519">
        <f>F$13*'Assumptions &amp; Inputs'!$G44</f>
        <v>-13.5</v>
      </c>
      <c r="G19" s="519">
        <f>G$13*'Assumptions &amp; Inputs'!$G44</f>
        <v>-13.5</v>
      </c>
      <c r="H19" s="519">
        <f>H$13*'Assumptions &amp; Inputs'!$G44</f>
        <v>-1.125</v>
      </c>
      <c r="I19" s="519">
        <f>I$13*'Assumptions &amp; Inputs'!$G44</f>
        <v>0</v>
      </c>
      <c r="J19" s="519">
        <f>J$13*'Assumptions &amp; Inputs'!$G44</f>
        <v>0</v>
      </c>
      <c r="K19" s="519">
        <f>K$13*'Assumptions &amp; Inputs'!$G44</f>
        <v>0</v>
      </c>
      <c r="L19" s="519">
        <f>L$13*'Assumptions &amp; Inputs'!$G44</f>
        <v>0</v>
      </c>
      <c r="M19" s="519">
        <f>M$13*'Assumptions &amp; Inputs'!$G44</f>
        <v>0</v>
      </c>
      <c r="N19" s="519">
        <f>N$13*'Assumptions &amp; Inputs'!$G44</f>
        <v>0</v>
      </c>
      <c r="O19" s="519">
        <f>O$13*'Assumptions &amp; Inputs'!$G44</f>
        <v>0</v>
      </c>
      <c r="P19" s="519">
        <f>P$13*'Assumptions &amp; Inputs'!$G44</f>
        <v>0</v>
      </c>
      <c r="Q19" s="519">
        <f>Q$13*'Assumptions &amp; Inputs'!$G44</f>
        <v>0</v>
      </c>
      <c r="R19" s="519">
        <f>R$13*'Assumptions &amp; Inputs'!$G44</f>
        <v>0</v>
      </c>
      <c r="S19" s="519">
        <f>S$13*'Assumptions &amp; Inputs'!$G44</f>
        <v>0</v>
      </c>
      <c r="T19" s="519">
        <f>T$13*'Assumptions &amp; Inputs'!$G44</f>
        <v>0</v>
      </c>
      <c r="U19" s="519">
        <f>U$13*'Assumptions &amp; Inputs'!$G44</f>
        <v>0</v>
      </c>
      <c r="V19" s="519">
        <f>V$13*'Assumptions &amp; Inputs'!$G44</f>
        <v>0</v>
      </c>
      <c r="W19" s="519">
        <f>W$13*'Assumptions &amp; Inputs'!$G44</f>
        <v>0</v>
      </c>
      <c r="X19" s="519">
        <f>X$13*'Assumptions &amp; Inputs'!$G44</f>
        <v>0</v>
      </c>
      <c r="Y19" s="519">
        <f>Y$13*'Assumptions &amp; Inputs'!$G44</f>
        <v>0</v>
      </c>
      <c r="Z19" s="519">
        <f>Z$13*'Assumptions &amp; Inputs'!$G44</f>
        <v>0</v>
      </c>
      <c r="AA19" s="519">
        <f>AA$13*'Assumptions &amp; Inputs'!$G44</f>
        <v>0</v>
      </c>
      <c r="AB19" s="519">
        <f>AB$13*'Assumptions &amp; Inputs'!$G44</f>
        <v>0</v>
      </c>
      <c r="AC19" s="519">
        <f>AC$13*'Assumptions &amp; Inputs'!$G44</f>
        <v>0</v>
      </c>
      <c r="AD19" s="519">
        <f>AD$13*'Assumptions &amp; Inputs'!$G44</f>
        <v>0</v>
      </c>
      <c r="AE19" s="519">
        <f>AE$13*'Assumptions &amp; Inputs'!$G44</f>
        <v>0</v>
      </c>
      <c r="AF19" s="519">
        <f>AF$13*'Assumptions &amp; Inputs'!$G44</f>
        <v>0</v>
      </c>
      <c r="AG19" s="519">
        <f>AG$13*'Assumptions &amp; Inputs'!$G44</f>
        <v>0</v>
      </c>
      <c r="AH19" s="519">
        <f>AH$13*'Assumptions &amp; Inputs'!$G44</f>
        <v>0</v>
      </c>
      <c r="AI19" s="519">
        <f>AI$13*'Assumptions &amp; Inputs'!$G44</f>
        <v>0</v>
      </c>
      <c r="AJ19" s="519">
        <f>AJ$13*'Assumptions &amp; Inputs'!$G44</f>
        <v>0</v>
      </c>
      <c r="AK19" s="519">
        <f>AK$13*'Assumptions &amp; Inputs'!$G44</f>
        <v>0</v>
      </c>
      <c r="AL19" s="519">
        <f>AL$13*'Assumptions &amp; Inputs'!$G44</f>
        <v>0</v>
      </c>
      <c r="AM19" s="519">
        <f>AM$13*'Assumptions &amp; Inputs'!$G44</f>
        <v>0</v>
      </c>
      <c r="AN19" s="519">
        <f>AN$13*'Assumptions &amp; Inputs'!$G44</f>
        <v>0</v>
      </c>
      <c r="AO19" s="519">
        <f>AO$13*'Assumptions &amp; Inputs'!$G44</f>
        <v>0</v>
      </c>
      <c r="AP19" s="519">
        <f>AP$13*'Assumptions &amp; Inputs'!$G44</f>
        <v>0</v>
      </c>
      <c r="AQ19" s="519">
        <f>AQ$13*'Assumptions &amp; Inputs'!$G44</f>
        <v>0</v>
      </c>
      <c r="AR19" s="519">
        <f>AR$13*'Assumptions &amp; Inputs'!$G44</f>
        <v>0</v>
      </c>
      <c r="AS19" s="519">
        <f>AS$13*'Assumptions &amp; Inputs'!$G44</f>
        <v>0</v>
      </c>
      <c r="AT19" s="519">
        <f>AT$13*'Assumptions &amp; Inputs'!$G44</f>
        <v>0</v>
      </c>
      <c r="AU19" s="519">
        <f>AU$13*'Assumptions &amp; Inputs'!$G44</f>
        <v>0</v>
      </c>
      <c r="AV19" s="519">
        <f>AV$13*'Assumptions &amp; Inputs'!$G44</f>
        <v>0</v>
      </c>
      <c r="AW19" s="520">
        <f>AW$13*'Assumptions &amp; Inputs'!$G44</f>
        <v>0</v>
      </c>
    </row>
    <row r="20" spans="1:49" ht="14.25" customHeight="1">
      <c r="A20" s="1"/>
      <c r="B20" s="84"/>
      <c r="C20" s="94" t="s">
        <v>225</v>
      </c>
      <c r="D20" s="519">
        <f>D$13*'Assumptions &amp; Inputs'!$G45</f>
        <v>-16.5</v>
      </c>
      <c r="E20" s="519">
        <f>E$13*'Assumptions &amp; Inputs'!$G45</f>
        <v>-18</v>
      </c>
      <c r="F20" s="519">
        <f>F$13*'Assumptions &amp; Inputs'!$G45</f>
        <v>-18</v>
      </c>
      <c r="G20" s="519">
        <f>G$13*'Assumptions &amp; Inputs'!$G45</f>
        <v>-18</v>
      </c>
      <c r="H20" s="519">
        <f>H$13*'Assumptions &amp; Inputs'!$G45</f>
        <v>-1.5</v>
      </c>
      <c r="I20" s="519">
        <f>I$13*'Assumptions &amp; Inputs'!$G45</f>
        <v>0</v>
      </c>
      <c r="J20" s="519">
        <f>J$13*'Assumptions &amp; Inputs'!$G45</f>
        <v>0</v>
      </c>
      <c r="K20" s="519">
        <f>K$13*'Assumptions &amp; Inputs'!$G45</f>
        <v>0</v>
      </c>
      <c r="L20" s="519">
        <f>L$13*'Assumptions &amp; Inputs'!$G45</f>
        <v>0</v>
      </c>
      <c r="M20" s="519">
        <f>M$13*'Assumptions &amp; Inputs'!$G45</f>
        <v>0</v>
      </c>
      <c r="N20" s="519">
        <f>N$13*'Assumptions &amp; Inputs'!$G45</f>
        <v>0</v>
      </c>
      <c r="O20" s="519">
        <f>O$13*'Assumptions &amp; Inputs'!$G45</f>
        <v>0</v>
      </c>
      <c r="P20" s="519">
        <f>P$13*'Assumptions &amp; Inputs'!$G45</f>
        <v>0</v>
      </c>
      <c r="Q20" s="519">
        <f>Q$13*'Assumptions &amp; Inputs'!$G45</f>
        <v>0</v>
      </c>
      <c r="R20" s="519">
        <f>R$13*'Assumptions &amp; Inputs'!$G45</f>
        <v>0</v>
      </c>
      <c r="S20" s="519">
        <f>S$13*'Assumptions &amp; Inputs'!$G45</f>
        <v>0</v>
      </c>
      <c r="T20" s="519">
        <f>T$13*'Assumptions &amp; Inputs'!$G45</f>
        <v>0</v>
      </c>
      <c r="U20" s="519">
        <f>U$13*'Assumptions &amp; Inputs'!$G45</f>
        <v>0</v>
      </c>
      <c r="V20" s="519">
        <f>V$13*'Assumptions &amp; Inputs'!$G45</f>
        <v>0</v>
      </c>
      <c r="W20" s="519">
        <f>W$13*'Assumptions &amp; Inputs'!$G45</f>
        <v>0</v>
      </c>
      <c r="X20" s="519">
        <f>X$13*'Assumptions &amp; Inputs'!$G45</f>
        <v>0</v>
      </c>
      <c r="Y20" s="519">
        <f>Y$13*'Assumptions &amp; Inputs'!$G45</f>
        <v>0</v>
      </c>
      <c r="Z20" s="519">
        <f>Z$13*'Assumptions &amp; Inputs'!$G45</f>
        <v>0</v>
      </c>
      <c r="AA20" s="519">
        <f>AA$13*'Assumptions &amp; Inputs'!$G45</f>
        <v>0</v>
      </c>
      <c r="AB20" s="519">
        <f>AB$13*'Assumptions &amp; Inputs'!$G45</f>
        <v>0</v>
      </c>
      <c r="AC20" s="519">
        <f>AC$13*'Assumptions &amp; Inputs'!$G45</f>
        <v>0</v>
      </c>
      <c r="AD20" s="519">
        <f>AD$13*'Assumptions &amp; Inputs'!$G45</f>
        <v>0</v>
      </c>
      <c r="AE20" s="519">
        <f>AE$13*'Assumptions &amp; Inputs'!$G45</f>
        <v>0</v>
      </c>
      <c r="AF20" s="519">
        <f>AF$13*'Assumptions &amp; Inputs'!$G45</f>
        <v>0</v>
      </c>
      <c r="AG20" s="519">
        <f>AG$13*'Assumptions &amp; Inputs'!$G45</f>
        <v>0</v>
      </c>
      <c r="AH20" s="519">
        <f>AH$13*'Assumptions &amp; Inputs'!$G45</f>
        <v>0</v>
      </c>
      <c r="AI20" s="519">
        <f>AI$13*'Assumptions &amp; Inputs'!$G45</f>
        <v>0</v>
      </c>
      <c r="AJ20" s="519">
        <f>AJ$13*'Assumptions &amp; Inputs'!$G45</f>
        <v>0</v>
      </c>
      <c r="AK20" s="519">
        <f>AK$13*'Assumptions &amp; Inputs'!$G45</f>
        <v>0</v>
      </c>
      <c r="AL20" s="519">
        <f>AL$13*'Assumptions &amp; Inputs'!$G45</f>
        <v>0</v>
      </c>
      <c r="AM20" s="519">
        <f>AM$13*'Assumptions &amp; Inputs'!$G45</f>
        <v>0</v>
      </c>
      <c r="AN20" s="519">
        <f>AN$13*'Assumptions &amp; Inputs'!$G45</f>
        <v>0</v>
      </c>
      <c r="AO20" s="519">
        <f>AO$13*'Assumptions &amp; Inputs'!$G45</f>
        <v>0</v>
      </c>
      <c r="AP20" s="519">
        <f>AP$13*'Assumptions &amp; Inputs'!$G45</f>
        <v>0</v>
      </c>
      <c r="AQ20" s="519">
        <f>AQ$13*'Assumptions &amp; Inputs'!$G45</f>
        <v>0</v>
      </c>
      <c r="AR20" s="519">
        <f>AR$13*'Assumptions &amp; Inputs'!$G45</f>
        <v>0</v>
      </c>
      <c r="AS20" s="519">
        <f>AS$13*'Assumptions &amp; Inputs'!$G45</f>
        <v>0</v>
      </c>
      <c r="AT20" s="519">
        <f>AT$13*'Assumptions &amp; Inputs'!$G45</f>
        <v>0</v>
      </c>
      <c r="AU20" s="519">
        <f>AU$13*'Assumptions &amp; Inputs'!$G45</f>
        <v>0</v>
      </c>
      <c r="AV20" s="519">
        <f>AV$13*'Assumptions &amp; Inputs'!$G45</f>
        <v>0</v>
      </c>
      <c r="AW20" s="520">
        <f>AW$13*'Assumptions &amp; Inputs'!$G45</f>
        <v>0</v>
      </c>
    </row>
    <row r="21" spans="1:49" ht="14.25" customHeight="1">
      <c r="A21" s="1"/>
      <c r="B21" s="84"/>
      <c r="C21" s="94" t="s">
        <v>226</v>
      </c>
      <c r="D21" s="519">
        <f>D$13*'Assumptions &amp; Inputs'!$G46</f>
        <v>-16.5</v>
      </c>
      <c r="E21" s="519">
        <f>E$13*'Assumptions &amp; Inputs'!$G46</f>
        <v>-18</v>
      </c>
      <c r="F21" s="519">
        <f>F$13*'Assumptions &amp; Inputs'!$G46</f>
        <v>-18</v>
      </c>
      <c r="G21" s="519">
        <f>G$13*'Assumptions &amp; Inputs'!$G46</f>
        <v>-18</v>
      </c>
      <c r="H21" s="519">
        <f>H$13*'Assumptions &amp; Inputs'!$G46</f>
        <v>-1.5</v>
      </c>
      <c r="I21" s="519">
        <f>I$13*'Assumptions &amp; Inputs'!$G46</f>
        <v>0</v>
      </c>
      <c r="J21" s="519">
        <f>J$13*'Assumptions &amp; Inputs'!$G46</f>
        <v>0</v>
      </c>
      <c r="K21" s="519">
        <f>K$13*'Assumptions &amp; Inputs'!$G46</f>
        <v>0</v>
      </c>
      <c r="L21" s="519">
        <f>L$13*'Assumptions &amp; Inputs'!$G46</f>
        <v>0</v>
      </c>
      <c r="M21" s="519">
        <f>M$13*'Assumptions &amp; Inputs'!$G46</f>
        <v>0</v>
      </c>
      <c r="N21" s="519">
        <f>N$13*'Assumptions &amp; Inputs'!$G46</f>
        <v>0</v>
      </c>
      <c r="O21" s="519">
        <f>O$13*'Assumptions &amp; Inputs'!$G46</f>
        <v>0</v>
      </c>
      <c r="P21" s="519">
        <f>P$13*'Assumptions &amp; Inputs'!$G46</f>
        <v>0</v>
      </c>
      <c r="Q21" s="519">
        <f>Q$13*'Assumptions &amp; Inputs'!$G46</f>
        <v>0</v>
      </c>
      <c r="R21" s="519">
        <f>R$13*'Assumptions &amp; Inputs'!$G46</f>
        <v>0</v>
      </c>
      <c r="S21" s="519">
        <f>S$13*'Assumptions &amp; Inputs'!$G46</f>
        <v>0</v>
      </c>
      <c r="T21" s="519">
        <f>T$13*'Assumptions &amp; Inputs'!$G46</f>
        <v>0</v>
      </c>
      <c r="U21" s="519">
        <f>U$13*'Assumptions &amp; Inputs'!$G46</f>
        <v>0</v>
      </c>
      <c r="V21" s="519">
        <f>V$13*'Assumptions &amp; Inputs'!$G46</f>
        <v>0</v>
      </c>
      <c r="W21" s="519">
        <f>W$13*'Assumptions &amp; Inputs'!$G46</f>
        <v>0</v>
      </c>
      <c r="X21" s="519">
        <f>X$13*'Assumptions &amp; Inputs'!$G46</f>
        <v>0</v>
      </c>
      <c r="Y21" s="519">
        <f>Y$13*'Assumptions &amp; Inputs'!$G46</f>
        <v>0</v>
      </c>
      <c r="Z21" s="519">
        <f>Z$13*'Assumptions &amp; Inputs'!$G46</f>
        <v>0</v>
      </c>
      <c r="AA21" s="519">
        <f>AA$13*'Assumptions &amp; Inputs'!$G46</f>
        <v>0</v>
      </c>
      <c r="AB21" s="519">
        <f>AB$13*'Assumptions &amp; Inputs'!$G46</f>
        <v>0</v>
      </c>
      <c r="AC21" s="519">
        <f>AC$13*'Assumptions &amp; Inputs'!$G46</f>
        <v>0</v>
      </c>
      <c r="AD21" s="519">
        <f>AD$13*'Assumptions &amp; Inputs'!$G46</f>
        <v>0</v>
      </c>
      <c r="AE21" s="519">
        <f>AE$13*'Assumptions &amp; Inputs'!$G46</f>
        <v>0</v>
      </c>
      <c r="AF21" s="519">
        <f>AF$13*'Assumptions &amp; Inputs'!$G46</f>
        <v>0</v>
      </c>
      <c r="AG21" s="519">
        <f>AG$13*'Assumptions &amp; Inputs'!$G46</f>
        <v>0</v>
      </c>
      <c r="AH21" s="519">
        <f>AH$13*'Assumptions &amp; Inputs'!$G46</f>
        <v>0</v>
      </c>
      <c r="AI21" s="519">
        <f>AI$13*'Assumptions &amp; Inputs'!$G46</f>
        <v>0</v>
      </c>
      <c r="AJ21" s="519">
        <f>AJ$13*'Assumptions &amp; Inputs'!$G46</f>
        <v>0</v>
      </c>
      <c r="AK21" s="519">
        <f>AK$13*'Assumptions &amp; Inputs'!$G46</f>
        <v>0</v>
      </c>
      <c r="AL21" s="519">
        <f>AL$13*'Assumptions &amp; Inputs'!$G46</f>
        <v>0</v>
      </c>
      <c r="AM21" s="519">
        <f>AM$13*'Assumptions &amp; Inputs'!$G46</f>
        <v>0</v>
      </c>
      <c r="AN21" s="519">
        <f>AN$13*'Assumptions &amp; Inputs'!$G46</f>
        <v>0</v>
      </c>
      <c r="AO21" s="519">
        <f>AO$13*'Assumptions &amp; Inputs'!$G46</f>
        <v>0</v>
      </c>
      <c r="AP21" s="519">
        <f>AP$13*'Assumptions &amp; Inputs'!$G46</f>
        <v>0</v>
      </c>
      <c r="AQ21" s="519">
        <f>AQ$13*'Assumptions &amp; Inputs'!$G46</f>
        <v>0</v>
      </c>
      <c r="AR21" s="519">
        <f>AR$13*'Assumptions &amp; Inputs'!$G46</f>
        <v>0</v>
      </c>
      <c r="AS21" s="519">
        <f>AS$13*'Assumptions &amp; Inputs'!$G46</f>
        <v>0</v>
      </c>
      <c r="AT21" s="519">
        <f>AT$13*'Assumptions &amp; Inputs'!$G46</f>
        <v>0</v>
      </c>
      <c r="AU21" s="519">
        <f>AU$13*'Assumptions &amp; Inputs'!$G46</f>
        <v>0</v>
      </c>
      <c r="AV21" s="519">
        <f>AV$13*'Assumptions &amp; Inputs'!$G46</f>
        <v>0</v>
      </c>
      <c r="AW21" s="520">
        <f>AW$13*'Assumptions &amp; Inputs'!$G46</f>
        <v>0</v>
      </c>
    </row>
    <row r="22" spans="1:49" ht="14.25" customHeight="1">
      <c r="A22" s="1"/>
      <c r="B22" s="84"/>
      <c r="C22" s="94" t="s">
        <v>227</v>
      </c>
      <c r="D22" s="519">
        <f>D$13*'Assumptions &amp; Inputs'!$G47</f>
        <v>-4.95</v>
      </c>
      <c r="E22" s="519">
        <f>E$13*'Assumptions &amp; Inputs'!$G47</f>
        <v>-5.3999999999999995</v>
      </c>
      <c r="F22" s="519">
        <f>F$13*'Assumptions &amp; Inputs'!$G47</f>
        <v>-5.3999999999999995</v>
      </c>
      <c r="G22" s="519">
        <f>G$13*'Assumptions &amp; Inputs'!$G47</f>
        <v>-5.3999999999999995</v>
      </c>
      <c r="H22" s="519">
        <f>H$13*'Assumptions &amp; Inputs'!$G47</f>
        <v>-0.44999999999999996</v>
      </c>
      <c r="I22" s="519">
        <f>I$13*'Assumptions &amp; Inputs'!$G47</f>
        <v>0</v>
      </c>
      <c r="J22" s="519">
        <f>J$13*'Assumptions &amp; Inputs'!$G47</f>
        <v>0</v>
      </c>
      <c r="K22" s="519">
        <f>K$13*'Assumptions &amp; Inputs'!$G47</f>
        <v>0</v>
      </c>
      <c r="L22" s="519">
        <f>L$13*'Assumptions &amp; Inputs'!$G47</f>
        <v>0</v>
      </c>
      <c r="M22" s="519">
        <f>M$13*'Assumptions &amp; Inputs'!$G47</f>
        <v>0</v>
      </c>
      <c r="N22" s="519">
        <f>N$13*'Assumptions &amp; Inputs'!$G47</f>
        <v>0</v>
      </c>
      <c r="O22" s="519">
        <f>O$13*'Assumptions &amp; Inputs'!$G47</f>
        <v>0</v>
      </c>
      <c r="P22" s="519">
        <f>P$13*'Assumptions &amp; Inputs'!$G47</f>
        <v>0</v>
      </c>
      <c r="Q22" s="519">
        <f>Q$13*'Assumptions &amp; Inputs'!$G47</f>
        <v>0</v>
      </c>
      <c r="R22" s="519">
        <f>R$13*'Assumptions &amp; Inputs'!$G47</f>
        <v>0</v>
      </c>
      <c r="S22" s="519">
        <f>S$13*'Assumptions &amp; Inputs'!$G47</f>
        <v>0</v>
      </c>
      <c r="T22" s="519">
        <f>T$13*'Assumptions &amp; Inputs'!$G47</f>
        <v>0</v>
      </c>
      <c r="U22" s="519">
        <f>U$13*'Assumptions &amp; Inputs'!$G47</f>
        <v>0</v>
      </c>
      <c r="V22" s="519">
        <f>V$13*'Assumptions &amp; Inputs'!$G47</f>
        <v>0</v>
      </c>
      <c r="W22" s="519">
        <f>W$13*'Assumptions &amp; Inputs'!$G47</f>
        <v>0</v>
      </c>
      <c r="X22" s="519">
        <f>X$13*'Assumptions &amp; Inputs'!$G47</f>
        <v>0</v>
      </c>
      <c r="Y22" s="519">
        <f>Y$13*'Assumptions &amp; Inputs'!$G47</f>
        <v>0</v>
      </c>
      <c r="Z22" s="519">
        <f>Z$13*'Assumptions &amp; Inputs'!$G47</f>
        <v>0</v>
      </c>
      <c r="AA22" s="519">
        <f>AA$13*'Assumptions &amp; Inputs'!$G47</f>
        <v>0</v>
      </c>
      <c r="AB22" s="519">
        <f>AB$13*'Assumptions &amp; Inputs'!$G47</f>
        <v>0</v>
      </c>
      <c r="AC22" s="519">
        <f>AC$13*'Assumptions &amp; Inputs'!$G47</f>
        <v>0</v>
      </c>
      <c r="AD22" s="519">
        <f>AD$13*'Assumptions &amp; Inputs'!$G47</f>
        <v>0</v>
      </c>
      <c r="AE22" s="519">
        <f>AE$13*'Assumptions &amp; Inputs'!$G47</f>
        <v>0</v>
      </c>
      <c r="AF22" s="519">
        <f>AF$13*'Assumptions &amp; Inputs'!$G47</f>
        <v>0</v>
      </c>
      <c r="AG22" s="519">
        <f>AG$13*'Assumptions &amp; Inputs'!$G47</f>
        <v>0</v>
      </c>
      <c r="AH22" s="519">
        <f>AH$13*'Assumptions &amp; Inputs'!$G47</f>
        <v>0</v>
      </c>
      <c r="AI22" s="519">
        <f>AI$13*'Assumptions &amp; Inputs'!$G47</f>
        <v>0</v>
      </c>
      <c r="AJ22" s="519">
        <f>AJ$13*'Assumptions &amp; Inputs'!$G47</f>
        <v>0</v>
      </c>
      <c r="AK22" s="519">
        <f>AK$13*'Assumptions &amp; Inputs'!$G47</f>
        <v>0</v>
      </c>
      <c r="AL22" s="519">
        <f>AL$13*'Assumptions &amp; Inputs'!$G47</f>
        <v>0</v>
      </c>
      <c r="AM22" s="519">
        <f>AM$13*'Assumptions &amp; Inputs'!$G47</f>
        <v>0</v>
      </c>
      <c r="AN22" s="519">
        <f>AN$13*'Assumptions &amp; Inputs'!$G47</f>
        <v>0</v>
      </c>
      <c r="AO22" s="519">
        <f>AO$13*'Assumptions &amp; Inputs'!$G47</f>
        <v>0</v>
      </c>
      <c r="AP22" s="519">
        <f>AP$13*'Assumptions &amp; Inputs'!$G47</f>
        <v>0</v>
      </c>
      <c r="AQ22" s="519">
        <f>AQ$13*'Assumptions &amp; Inputs'!$G47</f>
        <v>0</v>
      </c>
      <c r="AR22" s="519">
        <f>AR$13*'Assumptions &amp; Inputs'!$G47</f>
        <v>0</v>
      </c>
      <c r="AS22" s="519">
        <f>AS$13*'Assumptions &amp; Inputs'!$G47</f>
        <v>0</v>
      </c>
      <c r="AT22" s="519">
        <f>AT$13*'Assumptions &amp; Inputs'!$G47</f>
        <v>0</v>
      </c>
      <c r="AU22" s="519">
        <f>AU$13*'Assumptions &amp; Inputs'!$G47</f>
        <v>0</v>
      </c>
      <c r="AV22" s="519">
        <f>AV$13*'Assumptions &amp; Inputs'!$G47</f>
        <v>0</v>
      </c>
      <c r="AW22" s="520">
        <f>AW$13*'Assumptions &amp; Inputs'!$G47</f>
        <v>0</v>
      </c>
    </row>
    <row r="23" spans="1:49" ht="14.25" customHeight="1">
      <c r="A23" s="1"/>
      <c r="B23" s="84"/>
      <c r="C23" s="96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98"/>
    </row>
    <row r="24" spans="1:49" ht="14.25" customHeight="1">
      <c r="A24" s="1"/>
      <c r="B24" s="84"/>
      <c r="C24" s="150" t="s">
        <v>359</v>
      </c>
      <c r="D24" s="517">
        <f t="shared" ref="D24:X24" si="32">D13</f>
        <v>-82.5</v>
      </c>
      <c r="E24" s="517">
        <f t="shared" si="32"/>
        <v>-90</v>
      </c>
      <c r="F24" s="517">
        <f t="shared" si="32"/>
        <v>-90</v>
      </c>
      <c r="G24" s="517">
        <f t="shared" si="32"/>
        <v>-90</v>
      </c>
      <c r="H24" s="517">
        <f t="shared" si="32"/>
        <v>-7.5</v>
      </c>
      <c r="I24" s="517">
        <f t="shared" si="32"/>
        <v>0</v>
      </c>
      <c r="J24" s="517">
        <f t="shared" si="32"/>
        <v>0</v>
      </c>
      <c r="K24" s="517">
        <f t="shared" si="32"/>
        <v>0</v>
      </c>
      <c r="L24" s="517">
        <f t="shared" si="32"/>
        <v>0</v>
      </c>
      <c r="M24" s="517">
        <f t="shared" si="32"/>
        <v>0</v>
      </c>
      <c r="N24" s="517">
        <f t="shared" si="32"/>
        <v>0</v>
      </c>
      <c r="O24" s="517">
        <f t="shared" si="32"/>
        <v>0</v>
      </c>
      <c r="P24" s="517">
        <f t="shared" si="32"/>
        <v>0</v>
      </c>
      <c r="Q24" s="517">
        <f t="shared" si="32"/>
        <v>0</v>
      </c>
      <c r="R24" s="517">
        <f t="shared" si="32"/>
        <v>0</v>
      </c>
      <c r="S24" s="517">
        <f t="shared" si="32"/>
        <v>0</v>
      </c>
      <c r="T24" s="517">
        <f t="shared" si="32"/>
        <v>0</v>
      </c>
      <c r="U24" s="517">
        <f t="shared" si="32"/>
        <v>0</v>
      </c>
      <c r="V24" s="517">
        <f t="shared" si="32"/>
        <v>0</v>
      </c>
      <c r="W24" s="517">
        <f t="shared" si="32"/>
        <v>0</v>
      </c>
      <c r="X24" s="517">
        <f t="shared" si="32"/>
        <v>0</v>
      </c>
      <c r="Y24" s="517">
        <f t="shared" ref="Y24:AW24" si="33">Y13</f>
        <v>0</v>
      </c>
      <c r="Z24" s="517">
        <f t="shared" si="33"/>
        <v>0</v>
      </c>
      <c r="AA24" s="517">
        <f t="shared" si="33"/>
        <v>0</v>
      </c>
      <c r="AB24" s="517">
        <f t="shared" si="33"/>
        <v>0</v>
      </c>
      <c r="AC24" s="517">
        <f t="shared" si="33"/>
        <v>0</v>
      </c>
      <c r="AD24" s="517">
        <f t="shared" si="33"/>
        <v>0</v>
      </c>
      <c r="AE24" s="517">
        <f t="shared" si="33"/>
        <v>0</v>
      </c>
      <c r="AF24" s="517">
        <f t="shared" si="33"/>
        <v>0</v>
      </c>
      <c r="AG24" s="517">
        <f t="shared" si="33"/>
        <v>0</v>
      </c>
      <c r="AH24" s="517">
        <f t="shared" si="33"/>
        <v>0</v>
      </c>
      <c r="AI24" s="517">
        <f t="shared" si="33"/>
        <v>0</v>
      </c>
      <c r="AJ24" s="517">
        <f t="shared" si="33"/>
        <v>0</v>
      </c>
      <c r="AK24" s="517">
        <f t="shared" si="33"/>
        <v>0</v>
      </c>
      <c r="AL24" s="517">
        <f t="shared" si="33"/>
        <v>0</v>
      </c>
      <c r="AM24" s="517">
        <f t="shared" si="33"/>
        <v>0</v>
      </c>
      <c r="AN24" s="517">
        <f t="shared" si="33"/>
        <v>0</v>
      </c>
      <c r="AO24" s="517">
        <f t="shared" si="33"/>
        <v>0</v>
      </c>
      <c r="AP24" s="517">
        <f t="shared" si="33"/>
        <v>0</v>
      </c>
      <c r="AQ24" s="517">
        <f t="shared" si="33"/>
        <v>0</v>
      </c>
      <c r="AR24" s="517">
        <f t="shared" si="33"/>
        <v>0</v>
      </c>
      <c r="AS24" s="517">
        <f t="shared" si="33"/>
        <v>0</v>
      </c>
      <c r="AT24" s="517">
        <f t="shared" si="33"/>
        <v>0</v>
      </c>
      <c r="AU24" s="517">
        <f t="shared" si="33"/>
        <v>0</v>
      </c>
      <c r="AV24" s="517">
        <f t="shared" si="33"/>
        <v>0</v>
      </c>
      <c r="AW24" s="521">
        <f t="shared" si="33"/>
        <v>0</v>
      </c>
    </row>
    <row r="25" spans="1:49" ht="14.25" customHeight="1" thickBot="1">
      <c r="A25" s="1"/>
      <c r="B25" s="84"/>
      <c r="C25" s="151" t="s">
        <v>360</v>
      </c>
      <c r="D25" s="176">
        <f>SUM(D24:BW24)</f>
        <v>-360</v>
      </c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9"/>
    </row>
    <row r="26" spans="1:49" ht="14.25" customHeight="1">
      <c r="A26" s="1"/>
      <c r="B26" s="1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</row>
    <row r="27" spans="1:49" ht="14.25" customHeight="1">
      <c r="A27" s="1"/>
      <c r="B27" s="1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</row>
    <row r="28" spans="1:49" ht="14.25" customHeight="1" thickBot="1">
      <c r="A28" s="1" t="s">
        <v>351</v>
      </c>
      <c r="B28" s="1"/>
      <c r="C28" s="9" t="s">
        <v>402</v>
      </c>
      <c r="D28" s="9"/>
      <c r="E28" s="10"/>
      <c r="F28" s="10"/>
      <c r="G28" s="10"/>
      <c r="H28" s="10"/>
      <c r="I28" s="10"/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ht="14.25" customHeight="1">
      <c r="A29" s="1"/>
      <c r="B29" s="1"/>
      <c r="C29" s="12" t="s">
        <v>353</v>
      </c>
      <c r="D29" s="1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4.25" customHeight="1">
      <c r="A30" s="1"/>
      <c r="B30" s="1"/>
      <c r="C30" s="1"/>
      <c r="D30" s="119">
        <v>0</v>
      </c>
      <c r="E30" s="119">
        <f t="shared" ref="E30:X30" si="34">D30+1</f>
        <v>1</v>
      </c>
      <c r="F30" s="119">
        <f t="shared" si="34"/>
        <v>2</v>
      </c>
      <c r="G30" s="119">
        <f t="shared" si="34"/>
        <v>3</v>
      </c>
      <c r="H30" s="119">
        <f t="shared" si="34"/>
        <v>4</v>
      </c>
      <c r="I30" s="119">
        <f t="shared" si="34"/>
        <v>5</v>
      </c>
      <c r="J30" s="119">
        <f t="shared" si="34"/>
        <v>6</v>
      </c>
      <c r="K30" s="119">
        <f t="shared" si="34"/>
        <v>7</v>
      </c>
      <c r="L30" s="119">
        <f t="shared" si="34"/>
        <v>8</v>
      </c>
      <c r="M30" s="119">
        <f t="shared" si="34"/>
        <v>9</v>
      </c>
      <c r="N30" s="119">
        <f t="shared" si="34"/>
        <v>10</v>
      </c>
      <c r="O30" s="119">
        <f t="shared" si="34"/>
        <v>11</v>
      </c>
      <c r="P30" s="119">
        <f t="shared" si="34"/>
        <v>12</v>
      </c>
      <c r="Q30" s="119">
        <f t="shared" si="34"/>
        <v>13</v>
      </c>
      <c r="R30" s="119">
        <f t="shared" si="34"/>
        <v>14</v>
      </c>
      <c r="S30" s="119">
        <f t="shared" si="34"/>
        <v>15</v>
      </c>
      <c r="T30" s="119">
        <f t="shared" si="34"/>
        <v>16</v>
      </c>
      <c r="U30" s="119">
        <f t="shared" si="34"/>
        <v>17</v>
      </c>
      <c r="V30" s="119">
        <f t="shared" si="34"/>
        <v>18</v>
      </c>
      <c r="W30" s="119">
        <f t="shared" si="34"/>
        <v>19</v>
      </c>
      <c r="X30" s="119">
        <f t="shared" si="34"/>
        <v>20</v>
      </c>
      <c r="Y30" s="119">
        <f t="shared" ref="Y30" si="35">X30+1</f>
        <v>21</v>
      </c>
      <c r="Z30" s="119">
        <f t="shared" ref="Z30" si="36">Y30+1</f>
        <v>22</v>
      </c>
      <c r="AA30" s="119">
        <f t="shared" ref="AA30" si="37">Z30+1</f>
        <v>23</v>
      </c>
      <c r="AB30" s="119">
        <f t="shared" ref="AB30" si="38">AA30+1</f>
        <v>24</v>
      </c>
      <c r="AC30" s="119">
        <f t="shared" ref="AC30" si="39">AB30+1</f>
        <v>25</v>
      </c>
      <c r="AD30" s="119">
        <f t="shared" ref="AD30" si="40">AC30+1</f>
        <v>26</v>
      </c>
      <c r="AE30" s="119">
        <f t="shared" ref="AE30" si="41">AD30+1</f>
        <v>27</v>
      </c>
      <c r="AF30" s="119">
        <f t="shared" ref="AF30" si="42">AE30+1</f>
        <v>28</v>
      </c>
      <c r="AG30" s="119">
        <f t="shared" ref="AG30" si="43">AF30+1</f>
        <v>29</v>
      </c>
      <c r="AH30" s="119">
        <f t="shared" ref="AH30" si="44">AG30+1</f>
        <v>30</v>
      </c>
      <c r="AI30" s="119">
        <f t="shared" ref="AI30" si="45">AH30+1</f>
        <v>31</v>
      </c>
      <c r="AJ30" s="119">
        <f t="shared" ref="AJ30" si="46">AI30+1</f>
        <v>32</v>
      </c>
      <c r="AK30" s="119">
        <f t="shared" ref="AK30" si="47">AJ30+1</f>
        <v>33</v>
      </c>
      <c r="AL30" s="119">
        <f t="shared" ref="AL30" si="48">AK30+1</f>
        <v>34</v>
      </c>
      <c r="AM30" s="119">
        <f t="shared" ref="AM30" si="49">AL30+1</f>
        <v>35</v>
      </c>
      <c r="AN30" s="119">
        <f t="shared" ref="AN30" si="50">AM30+1</f>
        <v>36</v>
      </c>
      <c r="AO30" s="119">
        <f t="shared" ref="AO30" si="51">AN30+1</f>
        <v>37</v>
      </c>
      <c r="AP30" s="119">
        <f t="shared" ref="AP30" si="52">AO30+1</f>
        <v>38</v>
      </c>
      <c r="AQ30" s="119">
        <f t="shared" ref="AQ30" si="53">AP30+1</f>
        <v>39</v>
      </c>
      <c r="AR30" s="119">
        <f t="shared" ref="AR30" si="54">AQ30+1</f>
        <v>40</v>
      </c>
      <c r="AS30" s="119">
        <f t="shared" ref="AS30" si="55">AR30+1</f>
        <v>41</v>
      </c>
      <c r="AT30" s="119">
        <f t="shared" ref="AT30" si="56">AS30+1</f>
        <v>42</v>
      </c>
      <c r="AU30" s="119">
        <f t="shared" ref="AU30" si="57">AT30+1</f>
        <v>43</v>
      </c>
      <c r="AV30" s="119">
        <f t="shared" ref="AV30" si="58">AU30+1</f>
        <v>44</v>
      </c>
      <c r="AW30" s="119">
        <f t="shared" ref="AW30" si="59">AV30+1</f>
        <v>45</v>
      </c>
    </row>
    <row r="31" spans="1:49" ht="14.25" customHeight="1">
      <c r="A31" s="2"/>
      <c r="B31" s="2"/>
      <c r="C31" s="2"/>
      <c r="D31" s="2"/>
      <c r="E31" s="807" t="s">
        <v>354</v>
      </c>
      <c r="F31" s="807"/>
      <c r="G31" s="807"/>
      <c r="H31" s="807"/>
      <c r="I31" s="807"/>
      <c r="J31" s="807"/>
      <c r="K31" s="807"/>
      <c r="L31" s="807"/>
      <c r="M31" s="807"/>
      <c r="N31" s="807"/>
      <c r="O31" s="807"/>
      <c r="P31" s="807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</row>
    <row r="32" spans="1:49" ht="14.25" customHeight="1">
      <c r="A32" s="2"/>
      <c r="B32" s="2"/>
      <c r="C32" s="2"/>
      <c r="D32" s="3">
        <f>D9</f>
        <v>2026</v>
      </c>
      <c r="E32" s="120">
        <f t="shared" ref="E32:X32" si="60">D32+1</f>
        <v>2027</v>
      </c>
      <c r="F32" s="120">
        <f t="shared" si="60"/>
        <v>2028</v>
      </c>
      <c r="G32" s="120">
        <f t="shared" si="60"/>
        <v>2029</v>
      </c>
      <c r="H32" s="120">
        <f t="shared" si="60"/>
        <v>2030</v>
      </c>
      <c r="I32" s="120">
        <f t="shared" si="60"/>
        <v>2031</v>
      </c>
      <c r="J32" s="120">
        <f t="shared" si="60"/>
        <v>2032</v>
      </c>
      <c r="K32" s="120">
        <f t="shared" si="60"/>
        <v>2033</v>
      </c>
      <c r="L32" s="120">
        <f t="shared" si="60"/>
        <v>2034</v>
      </c>
      <c r="M32" s="120">
        <f t="shared" si="60"/>
        <v>2035</v>
      </c>
      <c r="N32" s="120">
        <f t="shared" si="60"/>
        <v>2036</v>
      </c>
      <c r="O32" s="120">
        <f t="shared" si="60"/>
        <v>2037</v>
      </c>
      <c r="P32" s="120">
        <f t="shared" si="60"/>
        <v>2038</v>
      </c>
      <c r="Q32" s="120">
        <f t="shared" si="60"/>
        <v>2039</v>
      </c>
      <c r="R32" s="120">
        <f t="shared" si="60"/>
        <v>2040</v>
      </c>
      <c r="S32" s="120">
        <f t="shared" si="60"/>
        <v>2041</v>
      </c>
      <c r="T32" s="120">
        <f t="shared" si="60"/>
        <v>2042</v>
      </c>
      <c r="U32" s="120">
        <f t="shared" si="60"/>
        <v>2043</v>
      </c>
      <c r="V32" s="120">
        <f t="shared" si="60"/>
        <v>2044</v>
      </c>
      <c r="W32" s="120">
        <f t="shared" si="60"/>
        <v>2045</v>
      </c>
      <c r="X32" s="120">
        <f t="shared" si="60"/>
        <v>2046</v>
      </c>
      <c r="Y32" s="120">
        <f t="shared" ref="Y32" si="61">X32+1</f>
        <v>2047</v>
      </c>
      <c r="Z32" s="120">
        <f t="shared" ref="Z32" si="62">Y32+1</f>
        <v>2048</v>
      </c>
      <c r="AA32" s="120">
        <f t="shared" ref="AA32" si="63">Z32+1</f>
        <v>2049</v>
      </c>
      <c r="AB32" s="120">
        <f t="shared" ref="AB32" si="64">AA32+1</f>
        <v>2050</v>
      </c>
      <c r="AC32" s="120">
        <f t="shared" ref="AC32" si="65">AB32+1</f>
        <v>2051</v>
      </c>
      <c r="AD32" s="120">
        <f t="shared" ref="AD32" si="66">AC32+1</f>
        <v>2052</v>
      </c>
      <c r="AE32" s="120">
        <f t="shared" ref="AE32" si="67">AD32+1</f>
        <v>2053</v>
      </c>
      <c r="AF32" s="120">
        <f t="shared" ref="AF32" si="68">AE32+1</f>
        <v>2054</v>
      </c>
      <c r="AG32" s="120">
        <f t="shared" ref="AG32" si="69">AF32+1</f>
        <v>2055</v>
      </c>
      <c r="AH32" s="120">
        <f t="shared" ref="AH32" si="70">AG32+1</f>
        <v>2056</v>
      </c>
      <c r="AI32" s="120">
        <f t="shared" ref="AI32" si="71">AH32+1</f>
        <v>2057</v>
      </c>
      <c r="AJ32" s="120">
        <f t="shared" ref="AJ32" si="72">AI32+1</f>
        <v>2058</v>
      </c>
      <c r="AK32" s="120">
        <f t="shared" ref="AK32" si="73">AJ32+1</f>
        <v>2059</v>
      </c>
      <c r="AL32" s="120">
        <f t="shared" ref="AL32" si="74">AK32+1</f>
        <v>2060</v>
      </c>
      <c r="AM32" s="120">
        <f t="shared" ref="AM32" si="75">AL32+1</f>
        <v>2061</v>
      </c>
      <c r="AN32" s="120">
        <f t="shared" ref="AN32" si="76">AM32+1</f>
        <v>2062</v>
      </c>
      <c r="AO32" s="120">
        <f t="shared" ref="AO32" si="77">AN32+1</f>
        <v>2063</v>
      </c>
      <c r="AP32" s="120">
        <f t="shared" ref="AP32" si="78">AO32+1</f>
        <v>2064</v>
      </c>
      <c r="AQ32" s="120">
        <f t="shared" ref="AQ32" si="79">AP32+1</f>
        <v>2065</v>
      </c>
      <c r="AR32" s="120">
        <f t="shared" ref="AR32" si="80">AQ32+1</f>
        <v>2066</v>
      </c>
      <c r="AS32" s="120">
        <f t="shared" ref="AS32" si="81">AR32+1</f>
        <v>2067</v>
      </c>
      <c r="AT32" s="120">
        <f t="shared" ref="AT32" si="82">AS32+1</f>
        <v>2068</v>
      </c>
      <c r="AU32" s="120">
        <f t="shared" ref="AU32" si="83">AT32+1</f>
        <v>2069</v>
      </c>
      <c r="AV32" s="120">
        <f t="shared" ref="AV32" si="84">AU32+1</f>
        <v>2070</v>
      </c>
      <c r="AW32" s="120">
        <f t="shared" ref="AW32" si="85">AV32+1</f>
        <v>2071</v>
      </c>
    </row>
    <row r="33" spans="1:49" ht="14.25" customHeight="1">
      <c r="A33" s="45"/>
      <c r="B33" s="45"/>
      <c r="C33" s="121"/>
      <c r="D33" s="122">
        <f>D10</f>
        <v>46023</v>
      </c>
      <c r="E33" s="122">
        <f t="shared" ref="E33:X33" si="86">E10</f>
        <v>46752</v>
      </c>
      <c r="F33" s="122">
        <f t="shared" si="86"/>
        <v>47118</v>
      </c>
      <c r="G33" s="122">
        <f t="shared" si="86"/>
        <v>47483</v>
      </c>
      <c r="H33" s="122">
        <f t="shared" si="86"/>
        <v>47848</v>
      </c>
      <c r="I33" s="122">
        <f t="shared" si="86"/>
        <v>48213</v>
      </c>
      <c r="J33" s="122">
        <f t="shared" si="86"/>
        <v>48579</v>
      </c>
      <c r="K33" s="122">
        <f t="shared" si="86"/>
        <v>48944</v>
      </c>
      <c r="L33" s="122">
        <f t="shared" si="86"/>
        <v>49309</v>
      </c>
      <c r="M33" s="122">
        <f t="shared" si="86"/>
        <v>49674</v>
      </c>
      <c r="N33" s="122">
        <f t="shared" si="86"/>
        <v>50040</v>
      </c>
      <c r="O33" s="122">
        <f t="shared" si="86"/>
        <v>50405</v>
      </c>
      <c r="P33" s="122">
        <f t="shared" si="86"/>
        <v>50770</v>
      </c>
      <c r="Q33" s="122">
        <f t="shared" si="86"/>
        <v>51135</v>
      </c>
      <c r="R33" s="122">
        <f t="shared" si="86"/>
        <v>51501</v>
      </c>
      <c r="S33" s="122">
        <f t="shared" si="86"/>
        <v>51866</v>
      </c>
      <c r="T33" s="122">
        <f t="shared" si="86"/>
        <v>52231</v>
      </c>
      <c r="U33" s="122">
        <f t="shared" si="86"/>
        <v>52596</v>
      </c>
      <c r="V33" s="122">
        <f t="shared" si="86"/>
        <v>52962</v>
      </c>
      <c r="W33" s="122">
        <f t="shared" si="86"/>
        <v>53327</v>
      </c>
      <c r="X33" s="122">
        <f t="shared" si="86"/>
        <v>53692</v>
      </c>
      <c r="Y33" s="122">
        <f t="shared" ref="Y33:AW33" si="87">Y10</f>
        <v>54057</v>
      </c>
      <c r="Z33" s="122">
        <f t="shared" si="87"/>
        <v>54423</v>
      </c>
      <c r="AA33" s="122">
        <f t="shared" si="87"/>
        <v>54788</v>
      </c>
      <c r="AB33" s="122">
        <f t="shared" si="87"/>
        <v>55153</v>
      </c>
      <c r="AC33" s="122">
        <f t="shared" si="87"/>
        <v>55518</v>
      </c>
      <c r="AD33" s="122">
        <f t="shared" si="87"/>
        <v>55884</v>
      </c>
      <c r="AE33" s="122">
        <f t="shared" si="87"/>
        <v>56249</v>
      </c>
      <c r="AF33" s="122">
        <f t="shared" si="87"/>
        <v>56614</v>
      </c>
      <c r="AG33" s="122">
        <f t="shared" si="87"/>
        <v>56979</v>
      </c>
      <c r="AH33" s="122">
        <f t="shared" si="87"/>
        <v>57345</v>
      </c>
      <c r="AI33" s="122">
        <f t="shared" si="87"/>
        <v>57710</v>
      </c>
      <c r="AJ33" s="122">
        <f t="shared" si="87"/>
        <v>58075</v>
      </c>
      <c r="AK33" s="122">
        <f t="shared" si="87"/>
        <v>58440</v>
      </c>
      <c r="AL33" s="122">
        <f t="shared" si="87"/>
        <v>58806</v>
      </c>
      <c r="AM33" s="122">
        <f t="shared" si="87"/>
        <v>59171</v>
      </c>
      <c r="AN33" s="122">
        <f t="shared" si="87"/>
        <v>59536</v>
      </c>
      <c r="AO33" s="122">
        <f t="shared" si="87"/>
        <v>59901</v>
      </c>
      <c r="AP33" s="122">
        <f t="shared" si="87"/>
        <v>60267</v>
      </c>
      <c r="AQ33" s="122">
        <f t="shared" si="87"/>
        <v>60632</v>
      </c>
      <c r="AR33" s="122">
        <f t="shared" si="87"/>
        <v>60997</v>
      </c>
      <c r="AS33" s="122">
        <f t="shared" si="87"/>
        <v>61362</v>
      </c>
      <c r="AT33" s="122">
        <f t="shared" si="87"/>
        <v>61728</v>
      </c>
      <c r="AU33" s="122">
        <f t="shared" si="87"/>
        <v>62093</v>
      </c>
      <c r="AV33" s="122">
        <f t="shared" si="87"/>
        <v>62458</v>
      </c>
      <c r="AW33" s="122">
        <f t="shared" si="87"/>
        <v>62823</v>
      </c>
    </row>
    <row r="34" spans="1:49" ht="14.25" customHeight="1">
      <c r="A34" s="1"/>
      <c r="B34" s="1"/>
      <c r="C34" s="1" t="s">
        <v>403</v>
      </c>
      <c r="D34" s="15">
        <f t="shared" ref="D34:X34" si="88">D126</f>
        <v>0</v>
      </c>
      <c r="E34" s="15">
        <f t="shared" si="88"/>
        <v>0</v>
      </c>
      <c r="F34" s="15">
        <f t="shared" si="88"/>
        <v>0</v>
      </c>
      <c r="G34" s="15">
        <f t="shared" si="88"/>
        <v>0</v>
      </c>
      <c r="H34" s="15">
        <f t="shared" si="88"/>
        <v>30.941648947947417</v>
      </c>
      <c r="I34" s="15">
        <f t="shared" si="88"/>
        <v>37.86079113535294</v>
      </c>
      <c r="J34" s="15">
        <f t="shared" si="88"/>
        <v>38.617503194684133</v>
      </c>
      <c r="K34" s="15">
        <f t="shared" si="88"/>
        <v>39.38465910881559</v>
      </c>
      <c r="L34" s="15">
        <f t="shared" si="88"/>
        <v>40.162372404915203</v>
      </c>
      <c r="M34" s="15">
        <f t="shared" si="88"/>
        <v>40.950756494394362</v>
      </c>
      <c r="N34" s="15">
        <f t="shared" si="88"/>
        <v>41.749924608072142</v>
      </c>
      <c r="O34" s="15">
        <f t="shared" si="88"/>
        <v>42.559989728323117</v>
      </c>
      <c r="P34" s="15">
        <f t="shared" si="88"/>
        <v>43.381064518100224</v>
      </c>
      <c r="Q34" s="15">
        <f t="shared" si="88"/>
        <v>44.213261246719213</v>
      </c>
      <c r="R34" s="15">
        <f t="shared" si="88"/>
        <v>45.056691712288995</v>
      </c>
      <c r="S34" s="15">
        <f t="shared" si="88"/>
        <v>45.911467160666774</v>
      </c>
      <c r="T34" s="15">
        <f t="shared" si="88"/>
        <v>46.777698200814434</v>
      </c>
      <c r="U34" s="15">
        <f t="shared" si="88"/>
        <v>47.65549471642705</v>
      </c>
      <c r="V34" s="15">
        <f t="shared" si="88"/>
        <v>48.544965773701747</v>
      </c>
      <c r="W34" s="15">
        <f t="shared" si="88"/>
        <v>49.44621952510947</v>
      </c>
      <c r="X34" s="15">
        <f t="shared" si="88"/>
        <v>50.359363109028457</v>
      </c>
      <c r="Y34" s="15">
        <f t="shared" ref="Y34:AW34" si="89">Y126</f>
        <v>51.284502545093538</v>
      </c>
      <c r="Z34" s="15">
        <f t="shared" si="89"/>
        <v>52.221742625110359</v>
      </c>
      <c r="AA34" s="15">
        <f t="shared" si="89"/>
        <v>53.17118679937883</v>
      </c>
      <c r="AB34" s="15">
        <f t="shared" si="89"/>
        <v>54.132937058265547</v>
      </c>
      <c r="AC34" s="15">
        <f t="shared" si="89"/>
        <v>55.107093808858366</v>
      </c>
      <c r="AD34" s="15">
        <f t="shared" si="89"/>
        <v>56.093755746532672</v>
      </c>
      <c r="AE34" s="15">
        <f t="shared" si="89"/>
        <v>57.09301972125197</v>
      </c>
      <c r="AF34" s="15">
        <f t="shared" si="89"/>
        <v>58.104980598420475</v>
      </c>
      <c r="AG34" s="15">
        <f t="shared" si="89"/>
        <v>59.12973111409859</v>
      </c>
      <c r="AH34" s="15">
        <f t="shared" si="89"/>
        <v>0</v>
      </c>
      <c r="AI34" s="15">
        <f t="shared" si="89"/>
        <v>0</v>
      </c>
      <c r="AJ34" s="15">
        <f t="shared" si="89"/>
        <v>0</v>
      </c>
      <c r="AK34" s="15">
        <f t="shared" si="89"/>
        <v>0</v>
      </c>
      <c r="AL34" s="15">
        <f t="shared" si="89"/>
        <v>0</v>
      </c>
      <c r="AM34" s="15">
        <f t="shared" si="89"/>
        <v>0</v>
      </c>
      <c r="AN34" s="15">
        <f t="shared" si="89"/>
        <v>0</v>
      </c>
      <c r="AO34" s="15">
        <f t="shared" si="89"/>
        <v>0</v>
      </c>
      <c r="AP34" s="15">
        <f t="shared" si="89"/>
        <v>0</v>
      </c>
      <c r="AQ34" s="15">
        <f t="shared" si="89"/>
        <v>0</v>
      </c>
      <c r="AR34" s="15">
        <f t="shared" si="89"/>
        <v>0</v>
      </c>
      <c r="AS34" s="15">
        <f t="shared" si="89"/>
        <v>0</v>
      </c>
      <c r="AT34" s="15">
        <f t="shared" si="89"/>
        <v>0</v>
      </c>
      <c r="AU34" s="15">
        <f t="shared" si="89"/>
        <v>0</v>
      </c>
      <c r="AV34" s="15">
        <f t="shared" si="89"/>
        <v>0</v>
      </c>
      <c r="AW34" s="15">
        <f t="shared" si="89"/>
        <v>0</v>
      </c>
    </row>
    <row r="35" spans="1:49" s="149" customFormat="1" ht="14.25" customHeight="1">
      <c r="A35" s="1"/>
      <c r="B35" s="1"/>
      <c r="C35" s="4" t="str">
        <f>"   Less: Taxes @ "&amp;TEXT('Assumptions &amp; Inputs'!I12,"0.0%")</f>
        <v xml:space="preserve">   Less: Taxes @ 26.0%</v>
      </c>
      <c r="D35" s="154">
        <f>SUM(D136,D137)</f>
        <v>0</v>
      </c>
      <c r="E35" s="154">
        <f t="shared" ref="E35:X35" si="90">SUM(E136,E137)</f>
        <v>0</v>
      </c>
      <c r="F35" s="154">
        <f>SUM(F136,F137)</f>
        <v>0</v>
      </c>
      <c r="G35" s="154">
        <f t="shared" si="90"/>
        <v>0</v>
      </c>
      <c r="H35" s="154">
        <f t="shared" si="90"/>
        <v>-8.0448287264663296</v>
      </c>
      <c r="I35" s="154">
        <f>SUM(I136,I137)</f>
        <v>-9.8438056951917652</v>
      </c>
      <c r="J35" s="154">
        <f>SUM(J136,J137)</f>
        <v>-10.040550830617875</v>
      </c>
      <c r="K35" s="154">
        <f t="shared" si="90"/>
        <v>-10.240011368292054</v>
      </c>
      <c r="L35" s="154">
        <f t="shared" si="90"/>
        <v>-10.442216825277953</v>
      </c>
      <c r="M35" s="154">
        <f t="shared" si="90"/>
        <v>-10.647196688542534</v>
      </c>
      <c r="N35" s="154">
        <f t="shared" si="90"/>
        <v>-10.854980398098757</v>
      </c>
      <c r="O35" s="154">
        <f t="shared" si="90"/>
        <v>-11.06559732936401</v>
      </c>
      <c r="P35" s="154">
        <f t="shared" si="90"/>
        <v>-11.279076774706059</v>
      </c>
      <c r="Q35" s="154">
        <f t="shared" si="90"/>
        <v>-11.495447924146996</v>
      </c>
      <c r="R35" s="154">
        <f t="shared" si="90"/>
        <v>-11.714739845195139</v>
      </c>
      <c r="S35" s="154">
        <f t="shared" si="90"/>
        <v>-11.936981461773362</v>
      </c>
      <c r="T35" s="154">
        <f t="shared" si="90"/>
        <v>-12.162201532211753</v>
      </c>
      <c r="U35" s="154">
        <f t="shared" si="90"/>
        <v>-12.390428626271033</v>
      </c>
      <c r="V35" s="154">
        <f t="shared" si="90"/>
        <v>-12.621691101162455</v>
      </c>
      <c r="W35" s="154">
        <f t="shared" si="90"/>
        <v>-12.856017076528463</v>
      </c>
      <c r="X35" s="154">
        <f t="shared" si="90"/>
        <v>-13.093434408347399</v>
      </c>
      <c r="Y35" s="154">
        <f t="shared" ref="Y35:AW35" si="91">SUM(Y136,Y137)</f>
        <v>-13.333970661724321</v>
      </c>
      <c r="Z35" s="154">
        <f t="shared" si="91"/>
        <v>-13.577653082528693</v>
      </c>
      <c r="AA35" s="154">
        <f t="shared" si="91"/>
        <v>-13.824508567838496</v>
      </c>
      <c r="AB35" s="154">
        <f t="shared" si="91"/>
        <v>-14.074563635149042</v>
      </c>
      <c r="AC35" s="154">
        <f t="shared" si="91"/>
        <v>-14.327844390303175</v>
      </c>
      <c r="AD35" s="154">
        <f t="shared" si="91"/>
        <v>-14.584376494098494</v>
      </c>
      <c r="AE35" s="154">
        <f t="shared" si="91"/>
        <v>-14.844185127525513</v>
      </c>
      <c r="AF35" s="154">
        <f t="shared" si="91"/>
        <v>-15.107294955589325</v>
      </c>
      <c r="AG35" s="154">
        <f t="shared" si="91"/>
        <v>-15.373730089665633</v>
      </c>
      <c r="AH35" s="154">
        <f t="shared" si="91"/>
        <v>0</v>
      </c>
      <c r="AI35" s="154">
        <f t="shared" si="91"/>
        <v>0</v>
      </c>
      <c r="AJ35" s="154">
        <f t="shared" si="91"/>
        <v>0</v>
      </c>
      <c r="AK35" s="154">
        <f t="shared" si="91"/>
        <v>0</v>
      </c>
      <c r="AL35" s="154">
        <f t="shared" si="91"/>
        <v>0</v>
      </c>
      <c r="AM35" s="154">
        <f t="shared" si="91"/>
        <v>0</v>
      </c>
      <c r="AN35" s="154">
        <f t="shared" si="91"/>
        <v>0</v>
      </c>
      <c r="AO35" s="154">
        <f t="shared" si="91"/>
        <v>0</v>
      </c>
      <c r="AP35" s="154">
        <f t="shared" si="91"/>
        <v>0</v>
      </c>
      <c r="AQ35" s="154">
        <f t="shared" si="91"/>
        <v>0</v>
      </c>
      <c r="AR35" s="154">
        <f t="shared" si="91"/>
        <v>0</v>
      </c>
      <c r="AS35" s="154">
        <f t="shared" si="91"/>
        <v>0</v>
      </c>
      <c r="AT35" s="154">
        <f t="shared" si="91"/>
        <v>0</v>
      </c>
      <c r="AU35" s="154">
        <f t="shared" si="91"/>
        <v>0</v>
      </c>
      <c r="AV35" s="154">
        <f t="shared" si="91"/>
        <v>0</v>
      </c>
      <c r="AW35" s="154">
        <f t="shared" si="91"/>
        <v>0</v>
      </c>
    </row>
    <row r="36" spans="1:49" ht="14.25" customHeight="1">
      <c r="A36" s="1"/>
      <c r="B36" s="1"/>
      <c r="C36" s="1" t="s">
        <v>404</v>
      </c>
      <c r="D36" s="8">
        <f t="shared" ref="D36:X36" si="92">SUM(D34:D35)</f>
        <v>0</v>
      </c>
      <c r="E36" s="8">
        <f t="shared" si="92"/>
        <v>0</v>
      </c>
      <c r="F36" s="8">
        <f t="shared" si="92"/>
        <v>0</v>
      </c>
      <c r="G36" s="8">
        <f t="shared" si="92"/>
        <v>0</v>
      </c>
      <c r="H36" s="8">
        <f t="shared" si="92"/>
        <v>22.896820221481086</v>
      </c>
      <c r="I36" s="8">
        <f t="shared" si="92"/>
        <v>28.016985440161175</v>
      </c>
      <c r="J36" s="8">
        <f t="shared" si="92"/>
        <v>28.576952364066258</v>
      </c>
      <c r="K36" s="8">
        <f t="shared" si="92"/>
        <v>29.144647740523538</v>
      </c>
      <c r="L36" s="8">
        <f t="shared" si="92"/>
        <v>29.72015557963725</v>
      </c>
      <c r="M36" s="8">
        <f t="shared" si="92"/>
        <v>30.303559805851826</v>
      </c>
      <c r="N36" s="8">
        <f t="shared" si="92"/>
        <v>30.894944209973385</v>
      </c>
      <c r="O36" s="8">
        <f t="shared" si="92"/>
        <v>31.494392398959107</v>
      </c>
      <c r="P36" s="8">
        <f t="shared" si="92"/>
        <v>32.101987743394162</v>
      </c>
      <c r="Q36" s="8">
        <f t="shared" si="92"/>
        <v>32.717813322572219</v>
      </c>
      <c r="R36" s="8">
        <f t="shared" si="92"/>
        <v>33.341951867093854</v>
      </c>
      <c r="S36" s="8">
        <f t="shared" si="92"/>
        <v>33.97448569889341</v>
      </c>
      <c r="T36" s="8">
        <f t="shared" si="92"/>
        <v>34.615496668602681</v>
      </c>
      <c r="U36" s="8">
        <f t="shared" si="92"/>
        <v>35.265066090156019</v>
      </c>
      <c r="V36" s="8">
        <f t="shared" si="92"/>
        <v>35.923274672539293</v>
      </c>
      <c r="W36" s="8">
        <f t="shared" si="92"/>
        <v>36.59020244858101</v>
      </c>
      <c r="X36" s="8">
        <f t="shared" si="92"/>
        <v>37.265928700681059</v>
      </c>
      <c r="Y36" s="8">
        <f t="shared" ref="Y36:AW36" si="93">SUM(Y34:Y35)</f>
        <v>37.950531883369216</v>
      </c>
      <c r="Z36" s="8">
        <f t="shared" si="93"/>
        <v>38.644089542581668</v>
      </c>
      <c r="AA36" s="8">
        <f t="shared" si="93"/>
        <v>39.346678231540338</v>
      </c>
      <c r="AB36" s="8">
        <f t="shared" si="93"/>
        <v>40.058373423116507</v>
      </c>
      <c r="AC36" s="8">
        <f t="shared" si="93"/>
        <v>40.779249418555189</v>
      </c>
      <c r="AD36" s="8">
        <f t="shared" si="93"/>
        <v>41.509379252434179</v>
      </c>
      <c r="AE36" s="8">
        <f t="shared" si="93"/>
        <v>42.248834593726457</v>
      </c>
      <c r="AF36" s="8">
        <f t="shared" si="93"/>
        <v>42.997685642831151</v>
      </c>
      <c r="AG36" s="8">
        <f t="shared" si="93"/>
        <v>43.756001024432955</v>
      </c>
      <c r="AH36" s="8">
        <f t="shared" si="93"/>
        <v>0</v>
      </c>
      <c r="AI36" s="8">
        <f t="shared" si="93"/>
        <v>0</v>
      </c>
      <c r="AJ36" s="8">
        <f t="shared" si="93"/>
        <v>0</v>
      </c>
      <c r="AK36" s="8">
        <f t="shared" si="93"/>
        <v>0</v>
      </c>
      <c r="AL36" s="8">
        <f t="shared" si="93"/>
        <v>0</v>
      </c>
      <c r="AM36" s="8">
        <f t="shared" si="93"/>
        <v>0</v>
      </c>
      <c r="AN36" s="8">
        <f t="shared" si="93"/>
        <v>0</v>
      </c>
      <c r="AO36" s="8">
        <f t="shared" si="93"/>
        <v>0</v>
      </c>
      <c r="AP36" s="8">
        <f t="shared" si="93"/>
        <v>0</v>
      </c>
      <c r="AQ36" s="8">
        <f t="shared" si="93"/>
        <v>0</v>
      </c>
      <c r="AR36" s="8">
        <f t="shared" si="93"/>
        <v>0</v>
      </c>
      <c r="AS36" s="8">
        <f t="shared" si="93"/>
        <v>0</v>
      </c>
      <c r="AT36" s="8">
        <f t="shared" si="93"/>
        <v>0</v>
      </c>
      <c r="AU36" s="8">
        <f t="shared" si="93"/>
        <v>0</v>
      </c>
      <c r="AV36" s="8">
        <f t="shared" si="93"/>
        <v>0</v>
      </c>
      <c r="AW36" s="8">
        <f t="shared" si="93"/>
        <v>0</v>
      </c>
    </row>
    <row r="37" spans="1:49" ht="14.25" customHeight="1">
      <c r="A37" s="1"/>
      <c r="B37" s="1"/>
      <c r="C37" s="17" t="s">
        <v>405</v>
      </c>
      <c r="D37" s="15">
        <f>-D145</f>
        <v>0</v>
      </c>
      <c r="E37" s="15">
        <f t="shared" ref="E37:X37" si="94">-E145</f>
        <v>0</v>
      </c>
      <c r="F37" s="15">
        <f t="shared" si="94"/>
        <v>0</v>
      </c>
      <c r="G37" s="15">
        <f t="shared" si="94"/>
        <v>0</v>
      </c>
      <c r="H37" s="15">
        <f t="shared" si="94"/>
        <v>0</v>
      </c>
      <c r="I37" s="15">
        <f t="shared" si="94"/>
        <v>13.68</v>
      </c>
      <c r="J37" s="15">
        <f t="shared" si="94"/>
        <v>13.68</v>
      </c>
      <c r="K37" s="15">
        <f t="shared" si="94"/>
        <v>13.68</v>
      </c>
      <c r="L37" s="15">
        <f t="shared" si="94"/>
        <v>13.68</v>
      </c>
      <c r="M37" s="15">
        <f t="shared" si="94"/>
        <v>13.68</v>
      </c>
      <c r="N37" s="15">
        <f t="shared" si="94"/>
        <v>13.68</v>
      </c>
      <c r="O37" s="15">
        <f t="shared" si="94"/>
        <v>13.68</v>
      </c>
      <c r="P37" s="15">
        <f t="shared" si="94"/>
        <v>13.68</v>
      </c>
      <c r="Q37" s="15">
        <f t="shared" si="94"/>
        <v>13.68</v>
      </c>
      <c r="R37" s="15">
        <f t="shared" si="94"/>
        <v>13.68</v>
      </c>
      <c r="S37" s="15">
        <f t="shared" si="94"/>
        <v>13.68</v>
      </c>
      <c r="T37" s="15">
        <f t="shared" si="94"/>
        <v>13.68</v>
      </c>
      <c r="U37" s="15">
        <f t="shared" si="94"/>
        <v>13.68</v>
      </c>
      <c r="V37" s="15">
        <f t="shared" si="94"/>
        <v>13.68</v>
      </c>
      <c r="W37" s="15">
        <f t="shared" si="94"/>
        <v>13.68</v>
      </c>
      <c r="X37" s="15">
        <f t="shared" si="94"/>
        <v>13.68</v>
      </c>
      <c r="Y37" s="15">
        <f t="shared" ref="Y37:AW37" si="95">-Y145</f>
        <v>13.68</v>
      </c>
      <c r="Z37" s="15">
        <f t="shared" si="95"/>
        <v>13.68</v>
      </c>
      <c r="AA37" s="15">
        <f t="shared" si="95"/>
        <v>13.68</v>
      </c>
      <c r="AB37" s="15">
        <f t="shared" si="95"/>
        <v>13.68</v>
      </c>
      <c r="AC37" s="15">
        <f t="shared" si="95"/>
        <v>13.68</v>
      </c>
      <c r="AD37" s="15">
        <f t="shared" si="95"/>
        <v>13.68</v>
      </c>
      <c r="AE37" s="15">
        <f t="shared" si="95"/>
        <v>13.68</v>
      </c>
      <c r="AF37" s="15">
        <f t="shared" si="95"/>
        <v>13.68</v>
      </c>
      <c r="AG37" s="15">
        <f t="shared" si="95"/>
        <v>13.68</v>
      </c>
      <c r="AH37" s="15">
        <f t="shared" si="95"/>
        <v>0</v>
      </c>
      <c r="AI37" s="15">
        <f t="shared" si="95"/>
        <v>0</v>
      </c>
      <c r="AJ37" s="15">
        <f t="shared" si="95"/>
        <v>0</v>
      </c>
      <c r="AK37" s="15">
        <f t="shared" si="95"/>
        <v>0</v>
      </c>
      <c r="AL37" s="15">
        <f t="shared" si="95"/>
        <v>0</v>
      </c>
      <c r="AM37" s="15">
        <f t="shared" si="95"/>
        <v>0</v>
      </c>
      <c r="AN37" s="15">
        <f t="shared" si="95"/>
        <v>0</v>
      </c>
      <c r="AO37" s="15">
        <f t="shared" si="95"/>
        <v>0</v>
      </c>
      <c r="AP37" s="15">
        <f t="shared" si="95"/>
        <v>0</v>
      </c>
      <c r="AQ37" s="15">
        <f t="shared" si="95"/>
        <v>0</v>
      </c>
      <c r="AR37" s="15">
        <f t="shared" si="95"/>
        <v>0</v>
      </c>
      <c r="AS37" s="15">
        <f t="shared" si="95"/>
        <v>0</v>
      </c>
      <c r="AT37" s="15">
        <f t="shared" si="95"/>
        <v>0</v>
      </c>
      <c r="AU37" s="15">
        <f t="shared" si="95"/>
        <v>0</v>
      </c>
      <c r="AV37" s="15">
        <f t="shared" si="95"/>
        <v>0</v>
      </c>
      <c r="AW37" s="15">
        <f t="shared" si="95"/>
        <v>0</v>
      </c>
    </row>
    <row r="38" spans="1:49" ht="14.25" customHeight="1">
      <c r="A38" s="1"/>
      <c r="B38" s="1"/>
      <c r="C38" s="17" t="s">
        <v>406</v>
      </c>
      <c r="D38" s="18">
        <f>D24</f>
        <v>-82.5</v>
      </c>
      <c r="E38" s="18">
        <f t="shared" ref="E38:X38" si="96">E24</f>
        <v>-90</v>
      </c>
      <c r="F38" s="18">
        <f t="shared" si="96"/>
        <v>-90</v>
      </c>
      <c r="G38" s="18">
        <f t="shared" si="96"/>
        <v>-90</v>
      </c>
      <c r="H38" s="18">
        <f t="shared" si="96"/>
        <v>-7.5</v>
      </c>
      <c r="I38" s="18">
        <f t="shared" si="96"/>
        <v>0</v>
      </c>
      <c r="J38" s="18">
        <f t="shared" si="96"/>
        <v>0</v>
      </c>
      <c r="K38" s="18">
        <f t="shared" si="96"/>
        <v>0</v>
      </c>
      <c r="L38" s="18">
        <f t="shared" si="96"/>
        <v>0</v>
      </c>
      <c r="M38" s="18">
        <f t="shared" si="96"/>
        <v>0</v>
      </c>
      <c r="N38" s="18">
        <f t="shared" si="96"/>
        <v>0</v>
      </c>
      <c r="O38" s="18">
        <f t="shared" si="96"/>
        <v>0</v>
      </c>
      <c r="P38" s="18">
        <f t="shared" si="96"/>
        <v>0</v>
      </c>
      <c r="Q38" s="18">
        <f t="shared" si="96"/>
        <v>0</v>
      </c>
      <c r="R38" s="18">
        <f t="shared" si="96"/>
        <v>0</v>
      </c>
      <c r="S38" s="18">
        <f t="shared" si="96"/>
        <v>0</v>
      </c>
      <c r="T38" s="18">
        <f t="shared" si="96"/>
        <v>0</v>
      </c>
      <c r="U38" s="18">
        <f t="shared" si="96"/>
        <v>0</v>
      </c>
      <c r="V38" s="18">
        <f t="shared" si="96"/>
        <v>0</v>
      </c>
      <c r="W38" s="18">
        <f t="shared" si="96"/>
        <v>0</v>
      </c>
      <c r="X38" s="18">
        <f t="shared" si="96"/>
        <v>0</v>
      </c>
      <c r="Y38" s="18">
        <f t="shared" ref="Y38:AW38" si="97">Y24</f>
        <v>0</v>
      </c>
      <c r="Z38" s="18">
        <f t="shared" si="97"/>
        <v>0</v>
      </c>
      <c r="AA38" s="18">
        <f t="shared" si="97"/>
        <v>0</v>
      </c>
      <c r="AB38" s="18">
        <f t="shared" si="97"/>
        <v>0</v>
      </c>
      <c r="AC38" s="18">
        <f t="shared" si="97"/>
        <v>0</v>
      </c>
      <c r="AD38" s="18">
        <f t="shared" si="97"/>
        <v>0</v>
      </c>
      <c r="AE38" s="18">
        <f t="shared" si="97"/>
        <v>0</v>
      </c>
      <c r="AF38" s="18">
        <f t="shared" si="97"/>
        <v>0</v>
      </c>
      <c r="AG38" s="18">
        <f t="shared" si="97"/>
        <v>0</v>
      </c>
      <c r="AH38" s="18">
        <f t="shared" si="97"/>
        <v>0</v>
      </c>
      <c r="AI38" s="18">
        <f t="shared" si="97"/>
        <v>0</v>
      </c>
      <c r="AJ38" s="18">
        <f t="shared" si="97"/>
        <v>0</v>
      </c>
      <c r="AK38" s="18">
        <f t="shared" si="97"/>
        <v>0</v>
      </c>
      <c r="AL38" s="18">
        <f t="shared" si="97"/>
        <v>0</v>
      </c>
      <c r="AM38" s="18">
        <f t="shared" si="97"/>
        <v>0</v>
      </c>
      <c r="AN38" s="18">
        <f t="shared" si="97"/>
        <v>0</v>
      </c>
      <c r="AO38" s="18">
        <f t="shared" si="97"/>
        <v>0</v>
      </c>
      <c r="AP38" s="18">
        <f t="shared" si="97"/>
        <v>0</v>
      </c>
      <c r="AQ38" s="18">
        <f t="shared" si="97"/>
        <v>0</v>
      </c>
      <c r="AR38" s="18">
        <f t="shared" si="97"/>
        <v>0</v>
      </c>
      <c r="AS38" s="18">
        <f t="shared" si="97"/>
        <v>0</v>
      </c>
      <c r="AT38" s="18">
        <f t="shared" si="97"/>
        <v>0</v>
      </c>
      <c r="AU38" s="18">
        <f t="shared" si="97"/>
        <v>0</v>
      </c>
      <c r="AV38" s="18">
        <f t="shared" si="97"/>
        <v>0</v>
      </c>
      <c r="AW38" s="18">
        <f t="shared" si="97"/>
        <v>0</v>
      </c>
    </row>
    <row r="39" spans="1:49" ht="14.25" customHeight="1">
      <c r="A39" s="1"/>
      <c r="B39" s="1"/>
      <c r="C39" s="17" t="s">
        <v>407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</row>
    <row r="40" spans="1:49" ht="14.25" customHeight="1">
      <c r="A40" s="1"/>
      <c r="B40" s="1"/>
      <c r="C40" s="20" t="s">
        <v>408</v>
      </c>
      <c r="D40" s="21">
        <f>SUM(D36:D39)</f>
        <v>-82.5</v>
      </c>
      <c r="E40" s="21">
        <f t="shared" ref="E40:X40" si="98">SUM(E36:E39)</f>
        <v>-90</v>
      </c>
      <c r="F40" s="21">
        <f t="shared" si="98"/>
        <v>-90</v>
      </c>
      <c r="G40" s="21">
        <f t="shared" si="98"/>
        <v>-90</v>
      </c>
      <c r="H40" s="21">
        <f t="shared" si="98"/>
        <v>15.396820221481086</v>
      </c>
      <c r="I40" s="21">
        <f t="shared" si="98"/>
        <v>41.696985440161171</v>
      </c>
      <c r="J40" s="21">
        <f t="shared" si="98"/>
        <v>42.256952364066258</v>
      </c>
      <c r="K40" s="21">
        <f t="shared" si="98"/>
        <v>42.824647740523538</v>
      </c>
      <c r="L40" s="21">
        <f t="shared" si="98"/>
        <v>43.40015557963725</v>
      </c>
      <c r="M40" s="21">
        <f t="shared" si="98"/>
        <v>43.983559805851826</v>
      </c>
      <c r="N40" s="21">
        <f t="shared" si="98"/>
        <v>44.574944209973381</v>
      </c>
      <c r="O40" s="21">
        <f t="shared" si="98"/>
        <v>45.174392398959107</v>
      </c>
      <c r="P40" s="21">
        <f t="shared" si="98"/>
        <v>45.781987743394161</v>
      </c>
      <c r="Q40" s="21">
        <f t="shared" si="98"/>
        <v>46.397813322572219</v>
      </c>
      <c r="R40" s="21">
        <f t="shared" si="98"/>
        <v>47.021951867093854</v>
      </c>
      <c r="S40" s="21">
        <f t="shared" si="98"/>
        <v>47.65448569889341</v>
      </c>
      <c r="T40" s="21">
        <f t="shared" si="98"/>
        <v>48.295496668602681</v>
      </c>
      <c r="U40" s="21">
        <f t="shared" si="98"/>
        <v>48.945066090156018</v>
      </c>
      <c r="V40" s="21">
        <f t="shared" si="98"/>
        <v>49.603274672539293</v>
      </c>
      <c r="W40" s="21">
        <f t="shared" si="98"/>
        <v>50.27020244858101</v>
      </c>
      <c r="X40" s="21">
        <f t="shared" si="98"/>
        <v>50.945928700681058</v>
      </c>
      <c r="Y40" s="21">
        <f t="shared" ref="Y40:AW40" si="99">SUM(Y36:Y39)</f>
        <v>51.630531883369216</v>
      </c>
      <c r="Z40" s="21">
        <f t="shared" si="99"/>
        <v>52.324089542581667</v>
      </c>
      <c r="AA40" s="21">
        <f t="shared" si="99"/>
        <v>53.026678231540338</v>
      </c>
      <c r="AB40" s="21">
        <f t="shared" si="99"/>
        <v>53.738373423116506</v>
      </c>
      <c r="AC40" s="21">
        <f t="shared" si="99"/>
        <v>54.459249418555189</v>
      </c>
      <c r="AD40" s="21">
        <f t="shared" si="99"/>
        <v>55.189379252434179</v>
      </c>
      <c r="AE40" s="21">
        <f t="shared" si="99"/>
        <v>55.928834593726457</v>
      </c>
      <c r="AF40" s="21">
        <f t="shared" si="99"/>
        <v>56.67768564283115</v>
      </c>
      <c r="AG40" s="21">
        <f t="shared" si="99"/>
        <v>57.436001024432954</v>
      </c>
      <c r="AH40" s="21">
        <f t="shared" si="99"/>
        <v>0</v>
      </c>
      <c r="AI40" s="21">
        <f t="shared" si="99"/>
        <v>0</v>
      </c>
      <c r="AJ40" s="21">
        <f t="shared" si="99"/>
        <v>0</v>
      </c>
      <c r="AK40" s="21">
        <f t="shared" si="99"/>
        <v>0</v>
      </c>
      <c r="AL40" s="21">
        <f t="shared" si="99"/>
        <v>0</v>
      </c>
      <c r="AM40" s="21">
        <f t="shared" si="99"/>
        <v>0</v>
      </c>
      <c r="AN40" s="21">
        <f t="shared" si="99"/>
        <v>0</v>
      </c>
      <c r="AO40" s="21">
        <f t="shared" si="99"/>
        <v>0</v>
      </c>
      <c r="AP40" s="21">
        <f t="shared" si="99"/>
        <v>0</v>
      </c>
      <c r="AQ40" s="21">
        <f t="shared" si="99"/>
        <v>0</v>
      </c>
      <c r="AR40" s="21">
        <f t="shared" si="99"/>
        <v>0</v>
      </c>
      <c r="AS40" s="21">
        <f t="shared" si="99"/>
        <v>0</v>
      </c>
      <c r="AT40" s="21">
        <f t="shared" si="99"/>
        <v>0</v>
      </c>
      <c r="AU40" s="21">
        <f t="shared" si="99"/>
        <v>0</v>
      </c>
      <c r="AV40" s="21">
        <f t="shared" si="99"/>
        <v>0</v>
      </c>
      <c r="AW40" s="21">
        <f t="shared" si="99"/>
        <v>0</v>
      </c>
    </row>
    <row r="41" spans="1:49" ht="14.25" customHeight="1">
      <c r="A41" s="1"/>
      <c r="B41" s="1"/>
      <c r="C41" s="1" t="s">
        <v>409</v>
      </c>
      <c r="D41" s="15">
        <f>-E65</f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4.25" customHeight="1">
      <c r="A42" s="1"/>
      <c r="B42" s="1"/>
      <c r="C42" s="1" t="s">
        <v>410</v>
      </c>
      <c r="D42" s="1">
        <f>IF(AND(MOD(D32-YEAR('Assumptions &amp; Inputs'!$I$31),'Assumptions &amp; Inputs'!$I$34)=0, D32&lt;=YEAR('Assumptions &amp; Inputs'!$I$36), D9&gt;YEAR('Assumptions &amp; Inputs'!$I$31)),'Assumptions &amp; Inputs'!$I$37*'Assumptions &amp; Inputs'!$I$38*IF(D32-'Assumptions &amp; Inputs'!$I$34&gt;YEAR('Assumptions &amp; Inputs'!$I$31), 'Assumptions &amp; Inputs'!$I$33, 1), 0)</f>
        <v>0</v>
      </c>
      <c r="E42" s="1">
        <f>IF(AND(MOD(E32-YEAR('Assumptions &amp; Inputs'!$I$31),'Assumptions &amp; Inputs'!$I$34)=0, E32&lt;=YEAR('Assumptions &amp; Inputs'!$I$36), E9&gt;YEAR('Assumptions &amp; Inputs'!$I$31)),'Assumptions &amp; Inputs'!$I$37*'Assumptions &amp; Inputs'!$I$38*IF(E32-'Assumptions &amp; Inputs'!$I$34&gt;YEAR('Assumptions &amp; Inputs'!$I$31), 'Assumptions &amp; Inputs'!$I$33, 1), 0)</f>
        <v>0</v>
      </c>
      <c r="F42" s="1">
        <f>IF(AND(MOD(F32-YEAR('Assumptions &amp; Inputs'!$I$31),'Assumptions &amp; Inputs'!$I$34)=0, F32&lt;=YEAR('Assumptions &amp; Inputs'!$I$36), F9&gt;YEAR('Assumptions &amp; Inputs'!$I$31)),'Assumptions &amp; Inputs'!$I$37*'Assumptions &amp; Inputs'!$I$38*IF(F32-'Assumptions &amp; Inputs'!$I$34&gt;YEAR('Assumptions &amp; Inputs'!$I$31), 'Assumptions &amp; Inputs'!$I$33, 1), 0)</f>
        <v>0</v>
      </c>
      <c r="G42" s="1">
        <f>IF(AND(MOD(G32-YEAR('Assumptions &amp; Inputs'!$I$31),'Assumptions &amp; Inputs'!$I$34)=0, G32&lt;=YEAR('Assumptions &amp; Inputs'!$I$36), G9&gt;YEAR('Assumptions &amp; Inputs'!$I$31)),'Assumptions &amp; Inputs'!$I$37*'Assumptions &amp; Inputs'!$I$38*IF(G32-'Assumptions &amp; Inputs'!$I$34&gt;YEAR('Assumptions &amp; Inputs'!$I$31), 'Assumptions &amp; Inputs'!$I$33, 1), 0)</f>
        <v>0</v>
      </c>
      <c r="H42" s="1">
        <f>IF(AND(MOD(H32-YEAR('Assumptions &amp; Inputs'!$I$31),'Assumptions &amp; Inputs'!$I$34)=0, H32&lt;=YEAR('Assumptions &amp; Inputs'!$I$36), H9&gt;YEAR('Assumptions &amp; Inputs'!$I$31)),'Assumptions &amp; Inputs'!$I$37*'Assumptions &amp; Inputs'!$I$38*IF(H32-'Assumptions &amp; Inputs'!$I$34&gt;YEAR('Assumptions &amp; Inputs'!$I$31), 'Assumptions &amp; Inputs'!$I$33, 1), 0)</f>
        <v>0</v>
      </c>
      <c r="I42" s="1">
        <f>IF(AND(MOD(I32-YEAR('Assumptions &amp; Inputs'!$I$31),'Assumptions &amp; Inputs'!$I$34)=0, I32&lt;=YEAR('Assumptions &amp; Inputs'!$I$36), I9&gt;YEAR('Assumptions &amp; Inputs'!$I$31)),'Assumptions &amp; Inputs'!$I$37*'Assumptions &amp; Inputs'!$I$38*IF(I32-'Assumptions &amp; Inputs'!$I$34&gt;YEAR('Assumptions &amp; Inputs'!$I$31), 'Assumptions &amp; Inputs'!$I$33, 1), 0)</f>
        <v>0</v>
      </c>
      <c r="J42" s="1">
        <f>IF(AND(MOD(J32-YEAR('Assumptions &amp; Inputs'!$I$31),'Assumptions &amp; Inputs'!$I$34)=0, J32&lt;=YEAR('Assumptions &amp; Inputs'!$I$36), J9&gt;YEAR('Assumptions &amp; Inputs'!$I$31)),'Assumptions &amp; Inputs'!$I$37*'Assumptions &amp; Inputs'!$I$38*IF(J32-'Assumptions &amp; Inputs'!$I$34&gt;YEAR('Assumptions &amp; Inputs'!$I$31), 'Assumptions &amp; Inputs'!$I$33, 1), 0)</f>
        <v>0</v>
      </c>
      <c r="K42" s="1">
        <f>IF(AND(MOD(K32-YEAR('Assumptions &amp; Inputs'!$I$31),'Assumptions &amp; Inputs'!$I$34)=0, K32&lt;=YEAR('Assumptions &amp; Inputs'!$I$36), K9&gt;YEAR('Assumptions &amp; Inputs'!$I$31)),'Assumptions &amp; Inputs'!$I$37*'Assumptions &amp; Inputs'!$I$38*IF(K32-'Assumptions &amp; Inputs'!$I$34&gt;YEAR('Assumptions &amp; Inputs'!$I$31), 'Assumptions &amp; Inputs'!$I$33, 1), 0)</f>
        <v>0</v>
      </c>
      <c r="L42" s="1">
        <f>IF(AND(MOD(L32-YEAR('Assumptions &amp; Inputs'!$I$31),'Assumptions &amp; Inputs'!$I$34)=0, L32&lt;=YEAR('Assumptions &amp; Inputs'!$I$36), L9&gt;YEAR('Assumptions &amp; Inputs'!$I$31)),'Assumptions &amp; Inputs'!$I$37*'Assumptions &amp; Inputs'!$I$38*IF(L32-'Assumptions &amp; Inputs'!$I$34&gt;YEAR('Assumptions &amp; Inputs'!$I$31), 'Assumptions &amp; Inputs'!$I$33, 1), 0)</f>
        <v>0</v>
      </c>
      <c r="M42" s="1">
        <f>IF(AND(MOD(M32-YEAR('Assumptions &amp; Inputs'!$I$31),'Assumptions &amp; Inputs'!$I$34)=0, M32&lt;=YEAR('Assumptions &amp; Inputs'!$I$36), M9&gt;YEAR('Assumptions &amp; Inputs'!$I$31)),'Assumptions &amp; Inputs'!$I$37*'Assumptions &amp; Inputs'!$I$38*IF(M32-'Assumptions &amp; Inputs'!$I$34&gt;YEAR('Assumptions &amp; Inputs'!$I$31), 'Assumptions &amp; Inputs'!$I$33, 1), 0)</f>
        <v>0</v>
      </c>
      <c r="N42" s="1">
        <f>IF(AND(MOD(N32-YEAR('Assumptions &amp; Inputs'!$I$31),'Assumptions &amp; Inputs'!$I$34)=0, N32&lt;=YEAR('Assumptions &amp; Inputs'!$I$36), N9&gt;YEAR('Assumptions &amp; Inputs'!$I$31)),'Assumptions &amp; Inputs'!$I$37*'Assumptions &amp; Inputs'!$I$38*IF(N32-'Assumptions &amp; Inputs'!$I$34&gt;YEAR('Assumptions &amp; Inputs'!$I$31), 'Assumptions &amp; Inputs'!$I$33, 1), 0)</f>
        <v>0</v>
      </c>
      <c r="O42" s="1">
        <f>IF(AND(MOD(O32-YEAR('Assumptions &amp; Inputs'!$I$31),'Assumptions &amp; Inputs'!$I$34)=0, O32&lt;=YEAR('Assumptions &amp; Inputs'!$I$36), O9&gt;YEAR('Assumptions &amp; Inputs'!$I$31)),'Assumptions &amp; Inputs'!$I$37*'Assumptions &amp; Inputs'!$I$38*IF(O32-'Assumptions &amp; Inputs'!$I$34&gt;YEAR('Assumptions &amp; Inputs'!$I$31), 'Assumptions &amp; Inputs'!$I$33, 1), 0)</f>
        <v>0</v>
      </c>
      <c r="P42" s="1">
        <f>IF(AND(MOD(P32-YEAR('Assumptions &amp; Inputs'!$I$31),'Assumptions &amp; Inputs'!$I$34)=0, P32&lt;=YEAR('Assumptions &amp; Inputs'!$I$36), P9&gt;YEAR('Assumptions &amp; Inputs'!$I$31)),'Assumptions &amp; Inputs'!$I$37*'Assumptions &amp; Inputs'!$I$38*IF(P32-'Assumptions &amp; Inputs'!$I$34&gt;YEAR('Assumptions &amp; Inputs'!$I$31), 'Assumptions &amp; Inputs'!$I$33, 1), 0)</f>
        <v>0</v>
      </c>
      <c r="Q42" s="1">
        <f>IF(AND(MOD(Q32-YEAR('Assumptions &amp; Inputs'!$I$31),'Assumptions &amp; Inputs'!$I$34)=0, Q32&lt;=YEAR('Assumptions &amp; Inputs'!$I$36), Q9&gt;YEAR('Assumptions &amp; Inputs'!$I$31)),'Assumptions &amp; Inputs'!$I$37*'Assumptions &amp; Inputs'!$I$38*IF(Q32-'Assumptions &amp; Inputs'!$I$34&gt;YEAR('Assumptions &amp; Inputs'!$I$31), 'Assumptions &amp; Inputs'!$I$33, 1), 0)</f>
        <v>0</v>
      </c>
      <c r="R42" s="1">
        <f>IF(AND(MOD(R32-YEAR('Assumptions &amp; Inputs'!$I$31),'Assumptions &amp; Inputs'!$I$34)=0, R32&lt;=YEAR('Assumptions &amp; Inputs'!$I$36), R9&gt;YEAR('Assumptions &amp; Inputs'!$I$31)),'Assumptions &amp; Inputs'!$I$37*'Assumptions &amp; Inputs'!$I$38*IF(R32-'Assumptions &amp; Inputs'!$I$34&gt;YEAR('Assumptions &amp; Inputs'!$I$31), 'Assumptions &amp; Inputs'!$I$33, 1), 0)</f>
        <v>0</v>
      </c>
      <c r="S42" s="1">
        <f>IF(AND(MOD(S32-YEAR('Assumptions &amp; Inputs'!$I$31),'Assumptions &amp; Inputs'!$I$34)=0, S32&lt;=YEAR('Assumptions &amp; Inputs'!$I$36), S9&gt;YEAR('Assumptions &amp; Inputs'!$I$31)),'Assumptions &amp; Inputs'!$I$37*'Assumptions &amp; Inputs'!$I$38*IF(S32-'Assumptions &amp; Inputs'!$I$34&gt;YEAR('Assumptions &amp; Inputs'!$I$31), 'Assumptions &amp; Inputs'!$I$33, 1), 0)</f>
        <v>0</v>
      </c>
      <c r="T42" s="1">
        <f>IF(AND(MOD(T32-YEAR('Assumptions &amp; Inputs'!$I$31),'Assumptions &amp; Inputs'!$I$34)=0, T32&lt;=YEAR('Assumptions &amp; Inputs'!$I$36), T9&gt;YEAR('Assumptions &amp; Inputs'!$I$31)),'Assumptions &amp; Inputs'!$I$37*'Assumptions &amp; Inputs'!$I$38*IF(T32-'Assumptions &amp; Inputs'!$I$34&gt;YEAR('Assumptions &amp; Inputs'!$I$31), 'Assumptions &amp; Inputs'!$I$33, 1), 0)</f>
        <v>0</v>
      </c>
      <c r="U42" s="1">
        <f>IF(AND(MOD(U32-YEAR('Assumptions &amp; Inputs'!$I$31),'Assumptions &amp; Inputs'!$I$34)=0, U32&lt;=YEAR('Assumptions &amp; Inputs'!$I$36), U9&gt;YEAR('Assumptions &amp; Inputs'!$I$31)),'Assumptions &amp; Inputs'!$I$37*'Assumptions &amp; Inputs'!$I$38*IF(U32-'Assumptions &amp; Inputs'!$I$34&gt;YEAR('Assumptions &amp; Inputs'!$I$31), 'Assumptions &amp; Inputs'!$I$33, 1), 0)</f>
        <v>0</v>
      </c>
      <c r="V42" s="1">
        <f>IF(AND(MOD(V32-YEAR('Assumptions &amp; Inputs'!$I$31),'Assumptions &amp; Inputs'!$I$34)=0, V32&lt;=YEAR('Assumptions &amp; Inputs'!$I$36), V9&gt;YEAR('Assumptions &amp; Inputs'!$I$31)),'Assumptions &amp; Inputs'!$I$37*'Assumptions &amp; Inputs'!$I$38*IF(V32-'Assumptions &amp; Inputs'!$I$34&gt;YEAR('Assumptions &amp; Inputs'!$I$31), 'Assumptions &amp; Inputs'!$I$33, 1), 0)</f>
        <v>0</v>
      </c>
      <c r="W42" s="1">
        <f>IF(AND(MOD(W32-YEAR('Assumptions &amp; Inputs'!$I$31),'Assumptions &amp; Inputs'!$I$34)=0, W32&lt;=YEAR('Assumptions &amp; Inputs'!$I$36), W9&gt;YEAR('Assumptions &amp; Inputs'!$I$31)),'Assumptions &amp; Inputs'!$I$37*'Assumptions &amp; Inputs'!$I$38*IF(W32-'Assumptions &amp; Inputs'!$I$34&gt;YEAR('Assumptions &amp; Inputs'!$I$31), 'Assumptions &amp; Inputs'!$I$33, 1), 0)</f>
        <v>0</v>
      </c>
      <c r="X42" s="1">
        <f>IF(AND(MOD(X32-YEAR('Assumptions &amp; Inputs'!$I$31),'Assumptions &amp; Inputs'!$I$34)=0, X32&lt;=YEAR('Assumptions &amp; Inputs'!$I$36), X9&gt;YEAR('Assumptions &amp; Inputs'!$I$31)),'Assumptions &amp; Inputs'!$I$37*'Assumptions &amp; Inputs'!$I$38*IF(X32-'Assumptions &amp; Inputs'!$I$34&gt;YEAR('Assumptions &amp; Inputs'!$I$31), 'Assumptions &amp; Inputs'!$I$33, 1), 0)</f>
        <v>0</v>
      </c>
      <c r="Y42" s="1">
        <f>IF(AND(MOD(Y32-YEAR('Assumptions &amp; Inputs'!$I$31),'Assumptions &amp; Inputs'!$I$34)=0, Y32&lt;=YEAR('Assumptions &amp; Inputs'!$I$36), Y9&gt;YEAR('Assumptions &amp; Inputs'!$I$31)),'Assumptions &amp; Inputs'!$I$37*'Assumptions &amp; Inputs'!$I$38*IF(Y32-'Assumptions &amp; Inputs'!$I$34&gt;YEAR('Assumptions &amp; Inputs'!$I$31), 'Assumptions &amp; Inputs'!$I$33, 1), 0)</f>
        <v>0</v>
      </c>
      <c r="Z42" s="1">
        <f>IF(AND(MOD(Z32-YEAR('Assumptions &amp; Inputs'!$I$31),'Assumptions &amp; Inputs'!$I$34)=0, Z32&lt;=YEAR('Assumptions &amp; Inputs'!$I$36), Z9&gt;YEAR('Assumptions &amp; Inputs'!$I$31)),'Assumptions &amp; Inputs'!$I$37*'Assumptions &amp; Inputs'!$I$38*IF(Z32-'Assumptions &amp; Inputs'!$I$34&gt;YEAR('Assumptions &amp; Inputs'!$I$31), 'Assumptions &amp; Inputs'!$I$33, 1), 0)</f>
        <v>0</v>
      </c>
      <c r="AA42" s="1">
        <f>IF(AND(MOD(AA32-YEAR('Assumptions &amp; Inputs'!$I$31),'Assumptions &amp; Inputs'!$I$34)=0, AA32&lt;=YEAR('Assumptions &amp; Inputs'!$I$36), AA9&gt;YEAR('Assumptions &amp; Inputs'!$I$31)),'Assumptions &amp; Inputs'!$I$37*'Assumptions &amp; Inputs'!$I$38*IF(AA32-'Assumptions &amp; Inputs'!$I$34&gt;YEAR('Assumptions &amp; Inputs'!$I$31), 'Assumptions &amp; Inputs'!$I$33, 1), 0)</f>
        <v>0</v>
      </c>
      <c r="AB42" s="1">
        <f>IF(AND(MOD(AB32-YEAR('Assumptions &amp; Inputs'!$I$31),'Assumptions &amp; Inputs'!$I$34)=0, AB32&lt;=YEAR('Assumptions &amp; Inputs'!$I$36), AB9&gt;YEAR('Assumptions &amp; Inputs'!$I$31)),'Assumptions &amp; Inputs'!$I$37*'Assumptions &amp; Inputs'!$I$38*IF(AB32-'Assumptions &amp; Inputs'!$I$34&gt;YEAR('Assumptions &amp; Inputs'!$I$31), 'Assumptions &amp; Inputs'!$I$33, 1), 0)</f>
        <v>0</v>
      </c>
      <c r="AC42" s="1">
        <f>IF(AND(MOD(AC32-YEAR('Assumptions &amp; Inputs'!$I$31),'Assumptions &amp; Inputs'!$I$34)=0, AC32&lt;=YEAR('Assumptions &amp; Inputs'!$I$36), AC9&gt;YEAR('Assumptions &amp; Inputs'!$I$31)),'Assumptions &amp; Inputs'!$I$37*'Assumptions &amp; Inputs'!$I$38*IF(AC32-'Assumptions &amp; Inputs'!$I$34&gt;YEAR('Assumptions &amp; Inputs'!$I$31), 'Assumptions &amp; Inputs'!$I$33, 1), 0)</f>
        <v>0</v>
      </c>
      <c r="AD42" s="1">
        <f>IF(AND(MOD(AD32-YEAR('Assumptions &amp; Inputs'!$I$31),'Assumptions &amp; Inputs'!$I$34)=0, AD32&lt;=YEAR('Assumptions &amp; Inputs'!$I$36), AD9&gt;YEAR('Assumptions &amp; Inputs'!$I$31)),'Assumptions &amp; Inputs'!$I$37*'Assumptions &amp; Inputs'!$I$38*IF(AD32-'Assumptions &amp; Inputs'!$I$34&gt;YEAR('Assumptions &amp; Inputs'!$I$31), 'Assumptions &amp; Inputs'!$I$33, 1), 0)</f>
        <v>0</v>
      </c>
      <c r="AE42" s="1">
        <f>IF(AND(MOD(AE32-YEAR('Assumptions &amp; Inputs'!$I$31),'Assumptions &amp; Inputs'!$I$34)=0, AE32&lt;=YEAR('Assumptions &amp; Inputs'!$I$36), AE9&gt;YEAR('Assumptions &amp; Inputs'!$I$31)),'Assumptions &amp; Inputs'!$I$37*'Assumptions &amp; Inputs'!$I$38*IF(AE32-'Assumptions &amp; Inputs'!$I$34&gt;YEAR('Assumptions &amp; Inputs'!$I$31), 'Assumptions &amp; Inputs'!$I$33, 1), 0)</f>
        <v>0</v>
      </c>
      <c r="AF42" s="1">
        <f>IF(AND(MOD(AF32-YEAR('Assumptions &amp; Inputs'!$I$31),'Assumptions &amp; Inputs'!$I$34)=0, AF32&lt;=YEAR('Assumptions &amp; Inputs'!$I$36), AF9&gt;YEAR('Assumptions &amp; Inputs'!$I$31)),'Assumptions &amp; Inputs'!$I$37*'Assumptions &amp; Inputs'!$I$38*IF(AF32-'Assumptions &amp; Inputs'!$I$34&gt;YEAR('Assumptions &amp; Inputs'!$I$31), 'Assumptions &amp; Inputs'!$I$33, 1), 0)</f>
        <v>0</v>
      </c>
      <c r="AG42" s="1">
        <f>IF(AND(MOD(AG32-YEAR('Assumptions &amp; Inputs'!$I$31),'Assumptions &amp; Inputs'!$I$34)=0, AG32&lt;=YEAR('Assumptions &amp; Inputs'!$I$36), AG9&gt;YEAR('Assumptions &amp; Inputs'!$I$31)),'Assumptions &amp; Inputs'!$I$37*'Assumptions &amp; Inputs'!$I$38*IF(AG32-'Assumptions &amp; Inputs'!$I$34&gt;YEAR('Assumptions &amp; Inputs'!$I$31), 'Assumptions &amp; Inputs'!$I$33, 1), 0)</f>
        <v>18</v>
      </c>
      <c r="AH42" s="1">
        <f>IF(AND(MOD(AH32-YEAR('Assumptions &amp; Inputs'!$I$31),'Assumptions &amp; Inputs'!$I$34)=0, AH32&lt;=YEAR('Assumptions &amp; Inputs'!$I$36), AH9&gt;YEAR('Assumptions &amp; Inputs'!$I$31)),'Assumptions &amp; Inputs'!$I$37*'Assumptions &amp; Inputs'!$I$38*IF(AH32-'Assumptions &amp; Inputs'!$I$34&gt;YEAR('Assumptions &amp; Inputs'!$I$31), 'Assumptions &amp; Inputs'!$I$33, 1), 0)</f>
        <v>0</v>
      </c>
      <c r="AI42" s="1">
        <f>IF(AND(MOD(AI32-YEAR('Assumptions &amp; Inputs'!$I$31),'Assumptions &amp; Inputs'!$I$34)=0, AI32&lt;=YEAR('Assumptions &amp; Inputs'!$I$36), AI9&gt;YEAR('Assumptions &amp; Inputs'!$I$31)),'Assumptions &amp; Inputs'!$I$37*'Assumptions &amp; Inputs'!$I$38*IF(AI32-'Assumptions &amp; Inputs'!$I$34&gt;YEAR('Assumptions &amp; Inputs'!$I$31), 'Assumptions &amp; Inputs'!$I$33, 1), 0)</f>
        <v>0</v>
      </c>
      <c r="AJ42" s="1">
        <f>IF(AND(MOD(AJ32-YEAR('Assumptions &amp; Inputs'!$I$31),'Assumptions &amp; Inputs'!$I$34)=0, AJ32&lt;=YEAR('Assumptions &amp; Inputs'!$I$36), AJ9&gt;YEAR('Assumptions &amp; Inputs'!$I$31)),'Assumptions &amp; Inputs'!$I$37*'Assumptions &amp; Inputs'!$I$38*IF(AJ32-'Assumptions &amp; Inputs'!$I$34&gt;YEAR('Assumptions &amp; Inputs'!$I$31), 'Assumptions &amp; Inputs'!$I$33, 1), 0)</f>
        <v>0</v>
      </c>
      <c r="AK42" s="1">
        <f>IF(AND(MOD(AK32-YEAR('Assumptions &amp; Inputs'!$I$31),'Assumptions &amp; Inputs'!$I$34)=0, AK32&lt;=YEAR('Assumptions &amp; Inputs'!$I$36), AK9&gt;YEAR('Assumptions &amp; Inputs'!$I$31)),'Assumptions &amp; Inputs'!$I$37*'Assumptions &amp; Inputs'!$I$38*IF(AK32-'Assumptions &amp; Inputs'!$I$34&gt;YEAR('Assumptions &amp; Inputs'!$I$31), 'Assumptions &amp; Inputs'!$I$33, 1), 0)</f>
        <v>0</v>
      </c>
      <c r="AL42" s="1">
        <f>IF(AND(MOD(AL32-YEAR('Assumptions &amp; Inputs'!$I$31),'Assumptions &amp; Inputs'!$I$34)=0, AL32&lt;=YEAR('Assumptions &amp; Inputs'!$I$36), AL9&gt;YEAR('Assumptions &amp; Inputs'!$I$31)),'Assumptions &amp; Inputs'!$I$37*'Assumptions &amp; Inputs'!$I$38*IF(AL32-'Assumptions &amp; Inputs'!$I$34&gt;YEAR('Assumptions &amp; Inputs'!$I$31), 'Assumptions &amp; Inputs'!$I$33, 1), 0)</f>
        <v>0</v>
      </c>
      <c r="AM42" s="1">
        <f>IF(AND(MOD(AM32-YEAR('Assumptions &amp; Inputs'!$I$31),'Assumptions &amp; Inputs'!$I$34)=0, AM32&lt;=YEAR('Assumptions &amp; Inputs'!$I$36), AM9&gt;YEAR('Assumptions &amp; Inputs'!$I$31)),'Assumptions &amp; Inputs'!$I$37*'Assumptions &amp; Inputs'!$I$38*IF(AM32-'Assumptions &amp; Inputs'!$I$34&gt;YEAR('Assumptions &amp; Inputs'!$I$31), 'Assumptions &amp; Inputs'!$I$33, 1), 0)</f>
        <v>0</v>
      </c>
      <c r="AN42" s="1">
        <f>IF(AND(MOD(AN32-YEAR('Assumptions &amp; Inputs'!$I$31),'Assumptions &amp; Inputs'!$I$34)=0, AN32&lt;=YEAR('Assumptions &amp; Inputs'!$I$36), AN9&gt;YEAR('Assumptions &amp; Inputs'!$I$31)),'Assumptions &amp; Inputs'!$I$37*'Assumptions &amp; Inputs'!$I$38*IF(AN32-'Assumptions &amp; Inputs'!$I$34&gt;YEAR('Assumptions &amp; Inputs'!$I$31), 'Assumptions &amp; Inputs'!$I$33, 1), 0)</f>
        <v>0</v>
      </c>
      <c r="AO42" s="1">
        <f>IF(AND(MOD(AO32-YEAR('Assumptions &amp; Inputs'!$I$31),'Assumptions &amp; Inputs'!$I$34)=0, AO32&lt;=YEAR('Assumptions &amp; Inputs'!$I$36), AO9&gt;YEAR('Assumptions &amp; Inputs'!$I$31)),'Assumptions &amp; Inputs'!$I$37*'Assumptions &amp; Inputs'!$I$38*IF(AO32-'Assumptions &amp; Inputs'!$I$34&gt;YEAR('Assumptions &amp; Inputs'!$I$31), 'Assumptions &amp; Inputs'!$I$33, 1), 0)</f>
        <v>0</v>
      </c>
      <c r="AP42" s="1">
        <f>IF(AND(MOD(AP32-YEAR('Assumptions &amp; Inputs'!$I$31),'Assumptions &amp; Inputs'!$I$34)=0, AP32&lt;=YEAR('Assumptions &amp; Inputs'!$I$36), AP9&gt;YEAR('Assumptions &amp; Inputs'!$I$31)),'Assumptions &amp; Inputs'!$I$37*'Assumptions &amp; Inputs'!$I$38*IF(AP32-'Assumptions &amp; Inputs'!$I$34&gt;YEAR('Assumptions &amp; Inputs'!$I$31), 'Assumptions &amp; Inputs'!$I$33, 1), 0)</f>
        <v>0</v>
      </c>
      <c r="AQ42" s="1">
        <f>IF(AND(MOD(AQ32-YEAR('Assumptions &amp; Inputs'!$I$31),'Assumptions &amp; Inputs'!$I$34)=0, AQ32&lt;=YEAR('Assumptions &amp; Inputs'!$I$36), AQ9&gt;YEAR('Assumptions &amp; Inputs'!$I$31)),'Assumptions &amp; Inputs'!$I$37*'Assumptions &amp; Inputs'!$I$38*IF(AQ32-'Assumptions &amp; Inputs'!$I$34&gt;YEAR('Assumptions &amp; Inputs'!$I$31), 'Assumptions &amp; Inputs'!$I$33, 1), 0)</f>
        <v>0</v>
      </c>
      <c r="AR42" s="1">
        <f>IF(AND(MOD(AR32-YEAR('Assumptions &amp; Inputs'!$I$31),'Assumptions &amp; Inputs'!$I$34)=0, AR32&lt;=YEAR('Assumptions &amp; Inputs'!$I$36), AR9&gt;YEAR('Assumptions &amp; Inputs'!$I$31)),'Assumptions &amp; Inputs'!$I$37*'Assumptions &amp; Inputs'!$I$38*IF(AR32-'Assumptions &amp; Inputs'!$I$34&gt;YEAR('Assumptions &amp; Inputs'!$I$31), 'Assumptions &amp; Inputs'!$I$33, 1), 0)</f>
        <v>0</v>
      </c>
      <c r="AS42" s="1">
        <f>IF(AND(MOD(AS32-YEAR('Assumptions &amp; Inputs'!$I$31),'Assumptions &amp; Inputs'!$I$34)=0, AS32&lt;=YEAR('Assumptions &amp; Inputs'!$I$36), AS9&gt;YEAR('Assumptions &amp; Inputs'!$I$31)),'Assumptions &amp; Inputs'!$I$37*'Assumptions &amp; Inputs'!$I$38*IF(AS32-'Assumptions &amp; Inputs'!$I$34&gt;YEAR('Assumptions &amp; Inputs'!$I$31), 'Assumptions &amp; Inputs'!$I$33, 1), 0)</f>
        <v>0</v>
      </c>
      <c r="AT42" s="1">
        <f>IF(AND(MOD(AT32-YEAR('Assumptions &amp; Inputs'!$I$31),'Assumptions &amp; Inputs'!$I$34)=0, AT32&lt;=YEAR('Assumptions &amp; Inputs'!$I$36), AT9&gt;YEAR('Assumptions &amp; Inputs'!$I$31)),'Assumptions &amp; Inputs'!$I$37*'Assumptions &amp; Inputs'!$I$38*IF(AT32-'Assumptions &amp; Inputs'!$I$34&gt;YEAR('Assumptions &amp; Inputs'!$I$31), 'Assumptions &amp; Inputs'!$I$33, 1), 0)</f>
        <v>0</v>
      </c>
      <c r="AU42" s="1">
        <f>IF(AND(MOD(AU32-YEAR('Assumptions &amp; Inputs'!$I$31),'Assumptions &amp; Inputs'!$I$34)=0, AU32&lt;=YEAR('Assumptions &amp; Inputs'!$I$36), AU9&gt;YEAR('Assumptions &amp; Inputs'!$I$31)),'Assumptions &amp; Inputs'!$I$37*'Assumptions &amp; Inputs'!$I$38*IF(AU32-'Assumptions &amp; Inputs'!$I$34&gt;YEAR('Assumptions &amp; Inputs'!$I$31), 'Assumptions &amp; Inputs'!$I$33, 1), 0)</f>
        <v>0</v>
      </c>
      <c r="AV42" s="1">
        <f>IF(AND(MOD(AV32-YEAR('Assumptions &amp; Inputs'!$I$31),'Assumptions &amp; Inputs'!$I$34)=0, AV32&lt;=YEAR('Assumptions &amp; Inputs'!$I$36), AV9&gt;YEAR('Assumptions &amp; Inputs'!$I$31)),'Assumptions &amp; Inputs'!$I$37*'Assumptions &amp; Inputs'!$I$38*IF(AV32-'Assumptions &amp; Inputs'!$I$34&gt;YEAR('Assumptions &amp; Inputs'!$I$31), 'Assumptions &amp; Inputs'!$I$33, 1), 0)</f>
        <v>0</v>
      </c>
      <c r="AW42" s="1">
        <f>IF(AND(MOD(AW32-YEAR('Assumptions &amp; Inputs'!$I$31),'Assumptions &amp; Inputs'!$I$34)=0, AW32&lt;=YEAR('Assumptions &amp; Inputs'!$I$36), AW9&gt;YEAR('Assumptions &amp; Inputs'!$I$31)),'Assumptions &amp; Inputs'!$I$37*'Assumptions &amp; Inputs'!$I$38*IF(AW32-'Assumptions &amp; Inputs'!$I$34&gt;YEAR('Assumptions &amp; Inputs'!$I$31), 'Assumptions &amp; Inputs'!$I$33, 1), 0)</f>
        <v>0</v>
      </c>
    </row>
    <row r="43" spans="1:49" ht="14.25" customHeight="1">
      <c r="A43" s="1"/>
      <c r="B43" s="1" t="s">
        <v>351</v>
      </c>
      <c r="C43" s="22" t="s">
        <v>411</v>
      </c>
      <c r="D43" s="21">
        <f t="shared" ref="D43:X43" si="100">SUM(D40:D42)</f>
        <v>-82.5</v>
      </c>
      <c r="E43" s="21">
        <f>SUM(E40:E42)</f>
        <v>-90</v>
      </c>
      <c r="F43" s="21">
        <f t="shared" si="100"/>
        <v>-90</v>
      </c>
      <c r="G43" s="21">
        <f t="shared" si="100"/>
        <v>-90</v>
      </c>
      <c r="H43" s="21">
        <f t="shared" si="100"/>
        <v>15.396820221481086</v>
      </c>
      <c r="I43" s="21">
        <f t="shared" si="100"/>
        <v>41.696985440161171</v>
      </c>
      <c r="J43" s="21">
        <f t="shared" si="100"/>
        <v>42.256952364066258</v>
      </c>
      <c r="K43" s="21">
        <f t="shared" si="100"/>
        <v>42.824647740523538</v>
      </c>
      <c r="L43" s="21">
        <f t="shared" si="100"/>
        <v>43.40015557963725</v>
      </c>
      <c r="M43" s="21">
        <f t="shared" si="100"/>
        <v>43.983559805851826</v>
      </c>
      <c r="N43" s="21">
        <f t="shared" si="100"/>
        <v>44.574944209973381</v>
      </c>
      <c r="O43" s="21">
        <f t="shared" si="100"/>
        <v>45.174392398959107</v>
      </c>
      <c r="P43" s="21">
        <f t="shared" si="100"/>
        <v>45.781987743394161</v>
      </c>
      <c r="Q43" s="21">
        <f t="shared" si="100"/>
        <v>46.397813322572219</v>
      </c>
      <c r="R43" s="21">
        <f t="shared" si="100"/>
        <v>47.021951867093854</v>
      </c>
      <c r="S43" s="21">
        <f t="shared" si="100"/>
        <v>47.65448569889341</v>
      </c>
      <c r="T43" s="21">
        <f t="shared" si="100"/>
        <v>48.295496668602681</v>
      </c>
      <c r="U43" s="21">
        <f t="shared" si="100"/>
        <v>48.945066090156018</v>
      </c>
      <c r="V43" s="21">
        <f t="shared" si="100"/>
        <v>49.603274672539293</v>
      </c>
      <c r="W43" s="21">
        <f t="shared" si="100"/>
        <v>50.27020244858101</v>
      </c>
      <c r="X43" s="21">
        <f t="shared" si="100"/>
        <v>50.945928700681058</v>
      </c>
      <c r="Y43" s="21">
        <f t="shared" ref="Y43:AW43" si="101">SUM(Y40:Y42)</f>
        <v>51.630531883369216</v>
      </c>
      <c r="Z43" s="21">
        <f t="shared" si="101"/>
        <v>52.324089542581667</v>
      </c>
      <c r="AA43" s="21">
        <f t="shared" si="101"/>
        <v>53.026678231540338</v>
      </c>
      <c r="AB43" s="21">
        <f t="shared" si="101"/>
        <v>53.738373423116506</v>
      </c>
      <c r="AC43" s="21">
        <f t="shared" si="101"/>
        <v>54.459249418555189</v>
      </c>
      <c r="AD43" s="21">
        <f t="shared" si="101"/>
        <v>55.189379252434179</v>
      </c>
      <c r="AE43" s="21">
        <f t="shared" si="101"/>
        <v>55.928834593726457</v>
      </c>
      <c r="AF43" s="21">
        <f t="shared" si="101"/>
        <v>56.67768564283115</v>
      </c>
      <c r="AG43" s="21">
        <f t="shared" si="101"/>
        <v>75.436001024432954</v>
      </c>
      <c r="AH43" s="21">
        <f t="shared" si="101"/>
        <v>0</v>
      </c>
      <c r="AI43" s="21">
        <f t="shared" si="101"/>
        <v>0</v>
      </c>
      <c r="AJ43" s="21">
        <f t="shared" si="101"/>
        <v>0</v>
      </c>
      <c r="AK43" s="21">
        <f t="shared" si="101"/>
        <v>0</v>
      </c>
      <c r="AL43" s="21">
        <f t="shared" si="101"/>
        <v>0</v>
      </c>
      <c r="AM43" s="21">
        <f t="shared" si="101"/>
        <v>0</v>
      </c>
      <c r="AN43" s="21">
        <f t="shared" si="101"/>
        <v>0</v>
      </c>
      <c r="AO43" s="21">
        <f t="shared" si="101"/>
        <v>0</v>
      </c>
      <c r="AP43" s="21">
        <f t="shared" si="101"/>
        <v>0</v>
      </c>
      <c r="AQ43" s="21">
        <f t="shared" si="101"/>
        <v>0</v>
      </c>
      <c r="AR43" s="21">
        <f t="shared" si="101"/>
        <v>0</v>
      </c>
      <c r="AS43" s="21">
        <f t="shared" si="101"/>
        <v>0</v>
      </c>
      <c r="AT43" s="21">
        <f t="shared" si="101"/>
        <v>0</v>
      </c>
      <c r="AU43" s="21">
        <f t="shared" si="101"/>
        <v>0</v>
      </c>
      <c r="AV43" s="21">
        <f t="shared" si="101"/>
        <v>0</v>
      </c>
      <c r="AW43" s="21">
        <f t="shared" si="101"/>
        <v>0</v>
      </c>
    </row>
    <row r="44" spans="1:49" ht="14.25" customHeight="1">
      <c r="A44" s="4"/>
      <c r="B44" s="4"/>
      <c r="C44" s="4" t="s">
        <v>412</v>
      </c>
      <c r="D44" s="23">
        <f>D43</f>
        <v>-82.5</v>
      </c>
      <c r="E44" s="23">
        <f>D44+E43</f>
        <v>-172.5</v>
      </c>
      <c r="F44" s="23">
        <f t="shared" ref="F44:X44" si="102">E44+F43</f>
        <v>-262.5</v>
      </c>
      <c r="G44" s="23">
        <f t="shared" si="102"/>
        <v>-352.5</v>
      </c>
      <c r="H44" s="23">
        <f t="shared" si="102"/>
        <v>-337.10317977851889</v>
      </c>
      <c r="I44" s="23">
        <f t="shared" si="102"/>
        <v>-295.40619433835775</v>
      </c>
      <c r="J44" s="23">
        <f t="shared" si="102"/>
        <v>-253.1492419742915</v>
      </c>
      <c r="K44" s="23">
        <f t="shared" si="102"/>
        <v>-210.32459423376795</v>
      </c>
      <c r="L44" s="23">
        <f t="shared" si="102"/>
        <v>-166.92443865413071</v>
      </c>
      <c r="M44" s="23">
        <f t="shared" si="102"/>
        <v>-122.94087884827889</v>
      </c>
      <c r="N44" s="23">
        <f t="shared" si="102"/>
        <v>-78.365934638305504</v>
      </c>
      <c r="O44" s="23">
        <f t="shared" si="102"/>
        <v>-33.191542239346397</v>
      </c>
      <c r="P44" s="23">
        <f t="shared" si="102"/>
        <v>12.590445504047764</v>
      </c>
      <c r="Q44" s="23">
        <f t="shared" si="102"/>
        <v>58.988258826619983</v>
      </c>
      <c r="R44" s="23">
        <f t="shared" si="102"/>
        <v>106.01021069371384</v>
      </c>
      <c r="S44" s="23">
        <f t="shared" si="102"/>
        <v>153.66469639260725</v>
      </c>
      <c r="T44" s="23">
        <f t="shared" si="102"/>
        <v>201.96019306120994</v>
      </c>
      <c r="U44" s="23">
        <f t="shared" si="102"/>
        <v>250.90525915136595</v>
      </c>
      <c r="V44" s="23">
        <f t="shared" si="102"/>
        <v>300.50853382390522</v>
      </c>
      <c r="W44" s="23">
        <f t="shared" si="102"/>
        <v>350.77873627248624</v>
      </c>
      <c r="X44" s="23">
        <f t="shared" si="102"/>
        <v>401.72466497316731</v>
      </c>
      <c r="Y44" s="23">
        <f t="shared" ref="Y44" si="103">X44+Y43</f>
        <v>453.35519685653651</v>
      </c>
      <c r="Z44" s="23">
        <f t="shared" ref="Z44" si="104">Y44+Z43</f>
        <v>505.67928639911815</v>
      </c>
      <c r="AA44" s="23">
        <f t="shared" ref="AA44" si="105">Z44+AA43</f>
        <v>558.70596463065851</v>
      </c>
      <c r="AB44" s="23">
        <f t="shared" ref="AB44" si="106">AA44+AB43</f>
        <v>612.44433805377503</v>
      </c>
      <c r="AC44" s="23">
        <f t="shared" ref="AC44" si="107">AB44+AC43</f>
        <v>666.90358747233017</v>
      </c>
      <c r="AD44" s="23">
        <f t="shared" ref="AD44" si="108">AC44+AD43</f>
        <v>722.09296672476432</v>
      </c>
      <c r="AE44" s="23">
        <f t="shared" ref="AE44" si="109">AD44+AE43</f>
        <v>778.02180131849082</v>
      </c>
      <c r="AF44" s="23">
        <f t="shared" ref="AF44" si="110">AE44+AF43</f>
        <v>834.69948696132201</v>
      </c>
      <c r="AG44" s="23">
        <f t="shared" ref="AG44" si="111">AF44+AG43</f>
        <v>910.13548798575493</v>
      </c>
      <c r="AH44" s="23">
        <f t="shared" ref="AH44" si="112">AG44+AH43</f>
        <v>910.13548798575493</v>
      </c>
      <c r="AI44" s="23">
        <f t="shared" ref="AI44" si="113">AH44+AI43</f>
        <v>910.13548798575493</v>
      </c>
      <c r="AJ44" s="23">
        <f t="shared" ref="AJ44" si="114">AI44+AJ43</f>
        <v>910.13548798575493</v>
      </c>
      <c r="AK44" s="23">
        <f t="shared" ref="AK44" si="115">AJ44+AK43</f>
        <v>910.13548798575493</v>
      </c>
      <c r="AL44" s="23">
        <f t="shared" ref="AL44" si="116">AK44+AL43</f>
        <v>910.13548798575493</v>
      </c>
      <c r="AM44" s="23">
        <f t="shared" ref="AM44" si="117">AL44+AM43</f>
        <v>910.13548798575493</v>
      </c>
      <c r="AN44" s="23">
        <f t="shared" ref="AN44" si="118">AM44+AN43</f>
        <v>910.13548798575493</v>
      </c>
      <c r="AO44" s="23">
        <f t="shared" ref="AO44" si="119">AN44+AO43</f>
        <v>910.13548798575493</v>
      </c>
      <c r="AP44" s="23">
        <f t="shared" ref="AP44" si="120">AO44+AP43</f>
        <v>910.13548798575493</v>
      </c>
      <c r="AQ44" s="23">
        <f t="shared" ref="AQ44" si="121">AP44+AQ43</f>
        <v>910.13548798575493</v>
      </c>
      <c r="AR44" s="23">
        <f t="shared" ref="AR44" si="122">AQ44+AR43</f>
        <v>910.13548798575493</v>
      </c>
      <c r="AS44" s="23">
        <f t="shared" ref="AS44" si="123">AR44+AS43</f>
        <v>910.13548798575493</v>
      </c>
      <c r="AT44" s="23">
        <f t="shared" ref="AT44" si="124">AS44+AT43</f>
        <v>910.13548798575493</v>
      </c>
      <c r="AU44" s="23">
        <f t="shared" ref="AU44" si="125">AT44+AU43</f>
        <v>910.13548798575493</v>
      </c>
      <c r="AV44" s="23">
        <f t="shared" ref="AV44" si="126">AU44+AV43</f>
        <v>910.13548798575493</v>
      </c>
      <c r="AW44" s="23">
        <f t="shared" ref="AW44" si="127">AV44+AW43</f>
        <v>910.13548798575493</v>
      </c>
    </row>
    <row r="45" spans="1:49" ht="14.25" customHeight="1">
      <c r="A45" s="4"/>
      <c r="B45" s="4"/>
      <c r="C45" s="4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ht="14.25" customHeight="1">
      <c r="A46" s="4"/>
      <c r="B46" s="4"/>
      <c r="C46" s="2" t="s">
        <v>413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ht="14.25" customHeight="1">
      <c r="A47" s="4"/>
      <c r="B47" s="4"/>
      <c r="C47" s="1" t="s">
        <v>414</v>
      </c>
      <c r="D47" s="15">
        <f>D36</f>
        <v>0</v>
      </c>
      <c r="E47" s="15">
        <f>E36</f>
        <v>0</v>
      </c>
      <c r="F47" s="15">
        <f>F36</f>
        <v>0</v>
      </c>
      <c r="G47" s="15">
        <f>G36</f>
        <v>0</v>
      </c>
      <c r="H47" s="15">
        <f>H36</f>
        <v>22.896820221481086</v>
      </c>
      <c r="I47" s="15">
        <f t="shared" ref="I47:AW47" si="128">I36</f>
        <v>28.016985440161175</v>
      </c>
      <c r="J47" s="15">
        <f t="shared" si="128"/>
        <v>28.576952364066258</v>
      </c>
      <c r="K47" s="15">
        <f t="shared" si="128"/>
        <v>29.144647740523538</v>
      </c>
      <c r="L47" s="15">
        <f t="shared" si="128"/>
        <v>29.72015557963725</v>
      </c>
      <c r="M47" s="15">
        <f t="shared" si="128"/>
        <v>30.303559805851826</v>
      </c>
      <c r="N47" s="15">
        <f t="shared" si="128"/>
        <v>30.894944209973385</v>
      </c>
      <c r="O47" s="15">
        <f t="shared" si="128"/>
        <v>31.494392398959107</v>
      </c>
      <c r="P47" s="15">
        <f t="shared" si="128"/>
        <v>32.101987743394162</v>
      </c>
      <c r="Q47" s="15">
        <f t="shared" si="128"/>
        <v>32.717813322572219</v>
      </c>
      <c r="R47" s="15">
        <f t="shared" si="128"/>
        <v>33.341951867093854</v>
      </c>
      <c r="S47" s="15">
        <f t="shared" si="128"/>
        <v>33.97448569889341</v>
      </c>
      <c r="T47" s="15">
        <f t="shared" si="128"/>
        <v>34.615496668602681</v>
      </c>
      <c r="U47" s="15">
        <f t="shared" si="128"/>
        <v>35.265066090156019</v>
      </c>
      <c r="V47" s="15">
        <f t="shared" si="128"/>
        <v>35.923274672539293</v>
      </c>
      <c r="W47" s="15">
        <f t="shared" si="128"/>
        <v>36.59020244858101</v>
      </c>
      <c r="X47" s="15">
        <f t="shared" si="128"/>
        <v>37.265928700681059</v>
      </c>
      <c r="Y47" s="15">
        <f t="shared" si="128"/>
        <v>37.950531883369216</v>
      </c>
      <c r="Z47" s="15">
        <f t="shared" si="128"/>
        <v>38.644089542581668</v>
      </c>
      <c r="AA47" s="15">
        <f t="shared" si="128"/>
        <v>39.346678231540338</v>
      </c>
      <c r="AB47" s="15">
        <f t="shared" si="128"/>
        <v>40.058373423116507</v>
      </c>
      <c r="AC47" s="15">
        <f t="shared" si="128"/>
        <v>40.779249418555189</v>
      </c>
      <c r="AD47" s="15">
        <f t="shared" si="128"/>
        <v>41.509379252434179</v>
      </c>
      <c r="AE47" s="15">
        <f t="shared" si="128"/>
        <v>42.248834593726457</v>
      </c>
      <c r="AF47" s="15">
        <f t="shared" si="128"/>
        <v>42.997685642831151</v>
      </c>
      <c r="AG47" s="15">
        <f t="shared" si="128"/>
        <v>43.756001024432955</v>
      </c>
      <c r="AH47" s="15">
        <f t="shared" si="128"/>
        <v>0</v>
      </c>
      <c r="AI47" s="15">
        <f t="shared" si="128"/>
        <v>0</v>
      </c>
      <c r="AJ47" s="15">
        <f t="shared" si="128"/>
        <v>0</v>
      </c>
      <c r="AK47" s="15">
        <f t="shared" si="128"/>
        <v>0</v>
      </c>
      <c r="AL47" s="15">
        <f t="shared" si="128"/>
        <v>0</v>
      </c>
      <c r="AM47" s="15">
        <f t="shared" si="128"/>
        <v>0</v>
      </c>
      <c r="AN47" s="15">
        <f t="shared" si="128"/>
        <v>0</v>
      </c>
      <c r="AO47" s="15">
        <f t="shared" si="128"/>
        <v>0</v>
      </c>
      <c r="AP47" s="15">
        <f t="shared" si="128"/>
        <v>0</v>
      </c>
      <c r="AQ47" s="15">
        <f t="shared" si="128"/>
        <v>0</v>
      </c>
      <c r="AR47" s="15">
        <f t="shared" si="128"/>
        <v>0</v>
      </c>
      <c r="AS47" s="15">
        <f t="shared" si="128"/>
        <v>0</v>
      </c>
      <c r="AT47" s="15">
        <f t="shared" si="128"/>
        <v>0</v>
      </c>
      <c r="AU47" s="15">
        <f t="shared" si="128"/>
        <v>0</v>
      </c>
      <c r="AV47" s="15">
        <f t="shared" si="128"/>
        <v>0</v>
      </c>
      <c r="AW47" s="15">
        <f t="shared" si="128"/>
        <v>0</v>
      </c>
    </row>
    <row r="48" spans="1:49" ht="14.25" customHeight="1">
      <c r="A48" s="4"/>
      <c r="B48" s="4"/>
      <c r="C48" s="1" t="s">
        <v>415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</row>
    <row r="49" spans="2:49" ht="14.25" customHeight="1">
      <c r="B49" s="4"/>
      <c r="C49" s="1" t="s">
        <v>416</v>
      </c>
      <c r="D49" s="15">
        <f>-D24</f>
        <v>82.5</v>
      </c>
      <c r="E49" s="15">
        <f t="shared" ref="E49:AW49" si="129">-E24</f>
        <v>90</v>
      </c>
      <c r="F49" s="15">
        <f t="shared" si="129"/>
        <v>90</v>
      </c>
      <c r="G49" s="15">
        <f t="shared" si="129"/>
        <v>90</v>
      </c>
      <c r="H49" s="15">
        <f t="shared" si="129"/>
        <v>7.5</v>
      </c>
      <c r="I49" s="15">
        <f t="shared" si="129"/>
        <v>0</v>
      </c>
      <c r="J49" s="15">
        <f t="shared" si="129"/>
        <v>0</v>
      </c>
      <c r="K49" s="15">
        <f t="shared" si="129"/>
        <v>0</v>
      </c>
      <c r="L49" s="15">
        <f t="shared" si="129"/>
        <v>0</v>
      </c>
      <c r="M49" s="15">
        <f t="shared" si="129"/>
        <v>0</v>
      </c>
      <c r="N49" s="15">
        <f t="shared" si="129"/>
        <v>0</v>
      </c>
      <c r="O49" s="15">
        <f t="shared" si="129"/>
        <v>0</v>
      </c>
      <c r="P49" s="15">
        <f t="shared" si="129"/>
        <v>0</v>
      </c>
      <c r="Q49" s="15">
        <f t="shared" si="129"/>
        <v>0</v>
      </c>
      <c r="R49" s="15">
        <f t="shared" si="129"/>
        <v>0</v>
      </c>
      <c r="S49" s="15">
        <f t="shared" si="129"/>
        <v>0</v>
      </c>
      <c r="T49" s="15">
        <f t="shared" si="129"/>
        <v>0</v>
      </c>
      <c r="U49" s="15">
        <f t="shared" si="129"/>
        <v>0</v>
      </c>
      <c r="V49" s="15">
        <f t="shared" si="129"/>
        <v>0</v>
      </c>
      <c r="W49" s="15">
        <f t="shared" si="129"/>
        <v>0</v>
      </c>
      <c r="X49" s="15">
        <f t="shared" si="129"/>
        <v>0</v>
      </c>
      <c r="Y49" s="15">
        <f t="shared" si="129"/>
        <v>0</v>
      </c>
      <c r="Z49" s="15">
        <f t="shared" si="129"/>
        <v>0</v>
      </c>
      <c r="AA49" s="15">
        <f t="shared" si="129"/>
        <v>0</v>
      </c>
      <c r="AB49" s="15">
        <f t="shared" si="129"/>
        <v>0</v>
      </c>
      <c r="AC49" s="15">
        <f t="shared" si="129"/>
        <v>0</v>
      </c>
      <c r="AD49" s="15">
        <f t="shared" si="129"/>
        <v>0</v>
      </c>
      <c r="AE49" s="15">
        <f t="shared" si="129"/>
        <v>0</v>
      </c>
      <c r="AF49" s="15">
        <f t="shared" si="129"/>
        <v>0</v>
      </c>
      <c r="AG49" s="15">
        <f t="shared" si="129"/>
        <v>0</v>
      </c>
      <c r="AH49" s="15">
        <f t="shared" si="129"/>
        <v>0</v>
      </c>
      <c r="AI49" s="15">
        <f t="shared" si="129"/>
        <v>0</v>
      </c>
      <c r="AJ49" s="15">
        <f t="shared" si="129"/>
        <v>0</v>
      </c>
      <c r="AK49" s="15">
        <f t="shared" si="129"/>
        <v>0</v>
      </c>
      <c r="AL49" s="15">
        <f t="shared" si="129"/>
        <v>0</v>
      </c>
      <c r="AM49" s="15">
        <f t="shared" si="129"/>
        <v>0</v>
      </c>
      <c r="AN49" s="15">
        <f t="shared" si="129"/>
        <v>0</v>
      </c>
      <c r="AO49" s="15">
        <f t="shared" si="129"/>
        <v>0</v>
      </c>
      <c r="AP49" s="15">
        <f t="shared" si="129"/>
        <v>0</v>
      </c>
      <c r="AQ49" s="15">
        <f t="shared" si="129"/>
        <v>0</v>
      </c>
      <c r="AR49" s="15">
        <f t="shared" si="129"/>
        <v>0</v>
      </c>
      <c r="AS49" s="15">
        <f t="shared" si="129"/>
        <v>0</v>
      </c>
      <c r="AT49" s="15">
        <f t="shared" si="129"/>
        <v>0</v>
      </c>
      <c r="AU49" s="15">
        <f t="shared" si="129"/>
        <v>0</v>
      </c>
      <c r="AV49" s="15">
        <f t="shared" si="129"/>
        <v>0</v>
      </c>
      <c r="AW49" s="15">
        <f t="shared" si="129"/>
        <v>0</v>
      </c>
    </row>
    <row r="50" spans="2:49" ht="14.25" customHeight="1">
      <c r="B50" s="4"/>
      <c r="C50" s="1" t="s">
        <v>417</v>
      </c>
      <c r="D50" s="324">
        <f>D145</f>
        <v>0</v>
      </c>
      <c r="E50" s="324">
        <f t="shared" ref="E50:AW50" si="130">E145</f>
        <v>0</v>
      </c>
      <c r="F50" s="324">
        <f t="shared" si="130"/>
        <v>0</v>
      </c>
      <c r="G50" s="324">
        <f t="shared" si="130"/>
        <v>0</v>
      </c>
      <c r="H50" s="324">
        <f t="shared" si="130"/>
        <v>0</v>
      </c>
      <c r="I50" s="324">
        <f t="shared" si="130"/>
        <v>-13.68</v>
      </c>
      <c r="J50" s="324">
        <f t="shared" si="130"/>
        <v>-13.68</v>
      </c>
      <c r="K50" s="324">
        <f t="shared" si="130"/>
        <v>-13.68</v>
      </c>
      <c r="L50" s="324">
        <f t="shared" si="130"/>
        <v>-13.68</v>
      </c>
      <c r="M50" s="324">
        <f t="shared" si="130"/>
        <v>-13.68</v>
      </c>
      <c r="N50" s="324">
        <f t="shared" si="130"/>
        <v>-13.68</v>
      </c>
      <c r="O50" s="324">
        <f t="shared" si="130"/>
        <v>-13.68</v>
      </c>
      <c r="P50" s="324">
        <f t="shared" si="130"/>
        <v>-13.68</v>
      </c>
      <c r="Q50" s="324">
        <f t="shared" si="130"/>
        <v>-13.68</v>
      </c>
      <c r="R50" s="324">
        <f t="shared" si="130"/>
        <v>-13.68</v>
      </c>
      <c r="S50" s="324">
        <f t="shared" si="130"/>
        <v>-13.68</v>
      </c>
      <c r="T50" s="324">
        <f t="shared" si="130"/>
        <v>-13.68</v>
      </c>
      <c r="U50" s="324">
        <f t="shared" si="130"/>
        <v>-13.68</v>
      </c>
      <c r="V50" s="324">
        <f t="shared" si="130"/>
        <v>-13.68</v>
      </c>
      <c r="W50" s="324">
        <f t="shared" si="130"/>
        <v>-13.68</v>
      </c>
      <c r="X50" s="324">
        <f t="shared" si="130"/>
        <v>-13.68</v>
      </c>
      <c r="Y50" s="324">
        <f t="shared" si="130"/>
        <v>-13.68</v>
      </c>
      <c r="Z50" s="324">
        <f t="shared" si="130"/>
        <v>-13.68</v>
      </c>
      <c r="AA50" s="324">
        <f t="shared" si="130"/>
        <v>-13.68</v>
      </c>
      <c r="AB50" s="324">
        <f t="shared" si="130"/>
        <v>-13.68</v>
      </c>
      <c r="AC50" s="324">
        <f t="shared" si="130"/>
        <v>-13.68</v>
      </c>
      <c r="AD50" s="324">
        <f t="shared" si="130"/>
        <v>-13.68</v>
      </c>
      <c r="AE50" s="324">
        <f t="shared" si="130"/>
        <v>-13.68</v>
      </c>
      <c r="AF50" s="324">
        <f t="shared" si="130"/>
        <v>-13.68</v>
      </c>
      <c r="AG50" s="324">
        <f t="shared" si="130"/>
        <v>-13.68</v>
      </c>
      <c r="AH50" s="324">
        <f t="shared" si="130"/>
        <v>0</v>
      </c>
      <c r="AI50" s="324">
        <f t="shared" si="130"/>
        <v>0</v>
      </c>
      <c r="AJ50" s="324">
        <f t="shared" si="130"/>
        <v>0</v>
      </c>
      <c r="AK50" s="324">
        <f t="shared" si="130"/>
        <v>0</v>
      </c>
      <c r="AL50" s="324">
        <f t="shared" si="130"/>
        <v>0</v>
      </c>
      <c r="AM50" s="324">
        <f t="shared" si="130"/>
        <v>0</v>
      </c>
      <c r="AN50" s="324">
        <f t="shared" si="130"/>
        <v>0</v>
      </c>
      <c r="AO50" s="324">
        <f t="shared" si="130"/>
        <v>0</v>
      </c>
      <c r="AP50" s="324">
        <f t="shared" si="130"/>
        <v>0</v>
      </c>
      <c r="AQ50" s="324">
        <f t="shared" si="130"/>
        <v>0</v>
      </c>
      <c r="AR50" s="324">
        <f t="shared" si="130"/>
        <v>0</v>
      </c>
      <c r="AS50" s="324">
        <f t="shared" si="130"/>
        <v>0</v>
      </c>
      <c r="AT50" s="324">
        <f t="shared" si="130"/>
        <v>0</v>
      </c>
      <c r="AU50" s="324">
        <f t="shared" si="130"/>
        <v>0</v>
      </c>
      <c r="AV50" s="324">
        <f t="shared" si="130"/>
        <v>0</v>
      </c>
      <c r="AW50" s="324">
        <f t="shared" si="130"/>
        <v>0</v>
      </c>
    </row>
    <row r="51" spans="2:49" ht="14.25" customHeight="1">
      <c r="B51" s="4"/>
      <c r="C51" s="1" t="s">
        <v>418</v>
      </c>
      <c r="D51" s="8">
        <f>SUM(E64,D49:D50)</f>
        <v>82.5</v>
      </c>
      <c r="E51" s="8">
        <f>SUM(D51,E49:E50)</f>
        <v>172.5</v>
      </c>
      <c r="F51" s="8">
        <f t="shared" ref="F51:AW51" si="131">SUM(E51,F49:F50)</f>
        <v>262.5</v>
      </c>
      <c r="G51" s="8">
        <f t="shared" si="131"/>
        <v>352.5</v>
      </c>
      <c r="H51" s="8">
        <f t="shared" si="131"/>
        <v>360</v>
      </c>
      <c r="I51" s="8">
        <f t="shared" si="131"/>
        <v>346.32</v>
      </c>
      <c r="J51" s="8">
        <f t="shared" si="131"/>
        <v>332.64</v>
      </c>
      <c r="K51" s="8">
        <f t="shared" si="131"/>
        <v>318.95999999999998</v>
      </c>
      <c r="L51" s="8">
        <f t="shared" si="131"/>
        <v>305.27999999999997</v>
      </c>
      <c r="M51" s="8">
        <f t="shared" si="131"/>
        <v>291.59999999999997</v>
      </c>
      <c r="N51" s="8">
        <f t="shared" si="131"/>
        <v>277.91999999999996</v>
      </c>
      <c r="O51" s="8">
        <f t="shared" si="131"/>
        <v>264.23999999999995</v>
      </c>
      <c r="P51" s="8">
        <f t="shared" si="131"/>
        <v>250.55999999999995</v>
      </c>
      <c r="Q51" s="8">
        <f t="shared" si="131"/>
        <v>236.87999999999994</v>
      </c>
      <c r="R51" s="8">
        <f t="shared" si="131"/>
        <v>223.19999999999993</v>
      </c>
      <c r="S51" s="8">
        <f t="shared" si="131"/>
        <v>209.51999999999992</v>
      </c>
      <c r="T51" s="8">
        <f t="shared" si="131"/>
        <v>195.83999999999992</v>
      </c>
      <c r="U51" s="8">
        <f t="shared" si="131"/>
        <v>182.15999999999991</v>
      </c>
      <c r="V51" s="8">
        <f t="shared" si="131"/>
        <v>168.4799999999999</v>
      </c>
      <c r="W51" s="8">
        <f t="shared" si="131"/>
        <v>154.7999999999999</v>
      </c>
      <c r="X51" s="8">
        <f t="shared" si="131"/>
        <v>141.11999999999989</v>
      </c>
      <c r="Y51" s="8">
        <f t="shared" si="131"/>
        <v>127.43999999999988</v>
      </c>
      <c r="Z51" s="8">
        <f t="shared" si="131"/>
        <v>113.75999999999988</v>
      </c>
      <c r="AA51" s="8">
        <f t="shared" si="131"/>
        <v>100.07999999999987</v>
      </c>
      <c r="AB51" s="8">
        <f t="shared" si="131"/>
        <v>86.399999999999864</v>
      </c>
      <c r="AC51" s="8">
        <f t="shared" si="131"/>
        <v>72.719999999999857</v>
      </c>
      <c r="AD51" s="8">
        <f t="shared" si="131"/>
        <v>59.039999999999857</v>
      </c>
      <c r="AE51" s="8">
        <f t="shared" si="131"/>
        <v>45.359999999999857</v>
      </c>
      <c r="AF51" s="8">
        <f t="shared" si="131"/>
        <v>31.679999999999858</v>
      </c>
      <c r="AG51" s="8">
        <f t="shared" si="131"/>
        <v>17.999999999999858</v>
      </c>
      <c r="AH51" s="8">
        <f t="shared" si="131"/>
        <v>17.999999999999858</v>
      </c>
      <c r="AI51" s="8">
        <f t="shared" si="131"/>
        <v>17.999999999999858</v>
      </c>
      <c r="AJ51" s="8">
        <f t="shared" si="131"/>
        <v>17.999999999999858</v>
      </c>
      <c r="AK51" s="8">
        <f t="shared" si="131"/>
        <v>17.999999999999858</v>
      </c>
      <c r="AL51" s="8">
        <f t="shared" si="131"/>
        <v>17.999999999999858</v>
      </c>
      <c r="AM51" s="8">
        <f t="shared" si="131"/>
        <v>17.999999999999858</v>
      </c>
      <c r="AN51" s="8">
        <f t="shared" si="131"/>
        <v>17.999999999999858</v>
      </c>
      <c r="AO51" s="8">
        <f t="shared" si="131"/>
        <v>17.999999999999858</v>
      </c>
      <c r="AP51" s="8">
        <f t="shared" si="131"/>
        <v>17.999999999999858</v>
      </c>
      <c r="AQ51" s="8">
        <f t="shared" si="131"/>
        <v>17.999999999999858</v>
      </c>
      <c r="AR51" s="8">
        <f t="shared" si="131"/>
        <v>17.999999999999858</v>
      </c>
      <c r="AS51" s="8">
        <f t="shared" si="131"/>
        <v>17.999999999999858</v>
      </c>
      <c r="AT51" s="8">
        <f t="shared" si="131"/>
        <v>17.999999999999858</v>
      </c>
      <c r="AU51" s="8">
        <f t="shared" si="131"/>
        <v>17.999999999999858</v>
      </c>
      <c r="AV51" s="8">
        <f t="shared" si="131"/>
        <v>17.999999999999858</v>
      </c>
      <c r="AW51" s="8">
        <f t="shared" si="131"/>
        <v>17.999999999999858</v>
      </c>
    </row>
    <row r="52" spans="2:49" ht="14.25" customHeight="1">
      <c r="B52" s="4"/>
      <c r="C52" s="325" t="s">
        <v>419</v>
      </c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  <c r="AR52" s="326"/>
      <c r="AS52" s="326"/>
      <c r="AT52" s="326"/>
      <c r="AU52" s="326"/>
      <c r="AV52" s="326"/>
      <c r="AW52" s="326"/>
    </row>
    <row r="53" spans="2:49" ht="14.25" customHeight="1">
      <c r="B53" s="4"/>
      <c r="C53" s="1" t="s">
        <v>420</v>
      </c>
      <c r="D53" s="8">
        <f>SUM(D51:D52)</f>
        <v>82.5</v>
      </c>
      <c r="E53" s="8">
        <f t="shared" ref="E53:AW53" si="132">SUM(E51:E52)</f>
        <v>172.5</v>
      </c>
      <c r="F53" s="8">
        <f t="shared" si="132"/>
        <v>262.5</v>
      </c>
      <c r="G53" s="8">
        <f>SUM(G51:G52)</f>
        <v>352.5</v>
      </c>
      <c r="H53" s="8">
        <f t="shared" si="132"/>
        <v>360</v>
      </c>
      <c r="I53" s="8">
        <f t="shared" si="132"/>
        <v>346.32</v>
      </c>
      <c r="J53" s="8">
        <f t="shared" si="132"/>
        <v>332.64</v>
      </c>
      <c r="K53" s="8">
        <f t="shared" si="132"/>
        <v>318.95999999999998</v>
      </c>
      <c r="L53" s="8">
        <f t="shared" si="132"/>
        <v>305.27999999999997</v>
      </c>
      <c r="M53" s="8">
        <f t="shared" si="132"/>
        <v>291.59999999999997</v>
      </c>
      <c r="N53" s="8">
        <f t="shared" si="132"/>
        <v>277.91999999999996</v>
      </c>
      <c r="O53" s="8">
        <f t="shared" si="132"/>
        <v>264.23999999999995</v>
      </c>
      <c r="P53" s="8">
        <f t="shared" si="132"/>
        <v>250.55999999999995</v>
      </c>
      <c r="Q53" s="8">
        <f t="shared" si="132"/>
        <v>236.87999999999994</v>
      </c>
      <c r="R53" s="8">
        <f t="shared" si="132"/>
        <v>223.19999999999993</v>
      </c>
      <c r="S53" s="8">
        <f t="shared" si="132"/>
        <v>209.51999999999992</v>
      </c>
      <c r="T53" s="8">
        <f t="shared" si="132"/>
        <v>195.83999999999992</v>
      </c>
      <c r="U53" s="8">
        <f t="shared" si="132"/>
        <v>182.15999999999991</v>
      </c>
      <c r="V53" s="8">
        <f t="shared" si="132"/>
        <v>168.4799999999999</v>
      </c>
      <c r="W53" s="8">
        <f t="shared" si="132"/>
        <v>154.7999999999999</v>
      </c>
      <c r="X53" s="8">
        <f t="shared" si="132"/>
        <v>141.11999999999989</v>
      </c>
      <c r="Y53" s="8">
        <f t="shared" si="132"/>
        <v>127.43999999999988</v>
      </c>
      <c r="Z53" s="8">
        <f t="shared" si="132"/>
        <v>113.75999999999988</v>
      </c>
      <c r="AA53" s="8">
        <f t="shared" si="132"/>
        <v>100.07999999999987</v>
      </c>
      <c r="AB53" s="8">
        <f t="shared" si="132"/>
        <v>86.399999999999864</v>
      </c>
      <c r="AC53" s="8">
        <f t="shared" si="132"/>
        <v>72.719999999999857</v>
      </c>
      <c r="AD53" s="8">
        <f t="shared" si="132"/>
        <v>59.039999999999857</v>
      </c>
      <c r="AE53" s="8">
        <f t="shared" si="132"/>
        <v>45.359999999999857</v>
      </c>
      <c r="AF53" s="8">
        <f t="shared" si="132"/>
        <v>31.679999999999858</v>
      </c>
      <c r="AG53" s="8">
        <f t="shared" si="132"/>
        <v>17.999999999999858</v>
      </c>
      <c r="AH53" s="8">
        <f t="shared" si="132"/>
        <v>17.999999999999858</v>
      </c>
      <c r="AI53" s="8">
        <f t="shared" si="132"/>
        <v>17.999999999999858</v>
      </c>
      <c r="AJ53" s="8">
        <f t="shared" si="132"/>
        <v>17.999999999999858</v>
      </c>
      <c r="AK53" s="8">
        <f t="shared" si="132"/>
        <v>17.999999999999858</v>
      </c>
      <c r="AL53" s="8">
        <f t="shared" si="132"/>
        <v>17.999999999999858</v>
      </c>
      <c r="AM53" s="8">
        <f t="shared" si="132"/>
        <v>17.999999999999858</v>
      </c>
      <c r="AN53" s="8">
        <f t="shared" si="132"/>
        <v>17.999999999999858</v>
      </c>
      <c r="AO53" s="8">
        <f t="shared" si="132"/>
        <v>17.999999999999858</v>
      </c>
      <c r="AP53" s="8">
        <f t="shared" si="132"/>
        <v>17.999999999999858</v>
      </c>
      <c r="AQ53" s="8">
        <f t="shared" si="132"/>
        <v>17.999999999999858</v>
      </c>
      <c r="AR53" s="8">
        <f t="shared" si="132"/>
        <v>17.999999999999858</v>
      </c>
      <c r="AS53" s="8">
        <f t="shared" si="132"/>
        <v>17.999999999999858</v>
      </c>
      <c r="AT53" s="8">
        <f t="shared" si="132"/>
        <v>17.999999999999858</v>
      </c>
      <c r="AU53" s="8">
        <f t="shared" si="132"/>
        <v>17.999999999999858</v>
      </c>
      <c r="AV53" s="8">
        <f t="shared" si="132"/>
        <v>17.999999999999858</v>
      </c>
      <c r="AW53" s="8">
        <f t="shared" si="132"/>
        <v>17.999999999999858</v>
      </c>
    </row>
    <row r="54" spans="2:49" s="76" customFormat="1" ht="14.25" customHeight="1">
      <c r="B54" s="2" t="s">
        <v>351</v>
      </c>
      <c r="C54" s="2" t="s">
        <v>421</v>
      </c>
      <c r="D54" s="328">
        <f>IFERROR(D47/D53,"n.a.")</f>
        <v>0</v>
      </c>
      <c r="E54" s="328">
        <f t="shared" ref="E54:AW54" si="133">IFERROR(E47/E53,"n.a.")</f>
        <v>0</v>
      </c>
      <c r="F54" s="328">
        <f t="shared" si="133"/>
        <v>0</v>
      </c>
      <c r="G54" s="328">
        <f t="shared" si="133"/>
        <v>0</v>
      </c>
      <c r="H54" s="328">
        <f t="shared" si="133"/>
        <v>6.3602278393003017E-2</v>
      </c>
      <c r="I54" s="328">
        <f t="shared" si="133"/>
        <v>8.089912635759175E-2</v>
      </c>
      <c r="J54" s="328">
        <f t="shared" si="133"/>
        <v>8.5909548954023141E-2</v>
      </c>
      <c r="K54" s="328">
        <f t="shared" si="133"/>
        <v>9.1373989655516491E-2</v>
      </c>
      <c r="L54" s="328">
        <f t="shared" si="133"/>
        <v>9.7353759105205884E-2</v>
      </c>
      <c r="M54" s="328">
        <f t="shared" si="133"/>
        <v>0.10392167285957418</v>
      </c>
      <c r="N54" s="328">
        <f t="shared" si="133"/>
        <v>0.1111648827359434</v>
      </c>
      <c r="O54" s="328">
        <f t="shared" si="133"/>
        <v>0.11918858764365392</v>
      </c>
      <c r="P54" s="328">
        <f t="shared" si="133"/>
        <v>0.12812096002312487</v>
      </c>
      <c r="Q54" s="328">
        <f t="shared" si="133"/>
        <v>0.13811977930839339</v>
      </c>
      <c r="R54" s="328">
        <f t="shared" si="133"/>
        <v>0.14938150478088649</v>
      </c>
      <c r="S54" s="328">
        <f t="shared" si="133"/>
        <v>0.16215390272476815</v>
      </c>
      <c r="T54" s="328">
        <f t="shared" si="133"/>
        <v>0.17675396583232586</v>
      </c>
      <c r="U54" s="328">
        <f t="shared" si="133"/>
        <v>0.19359390695079071</v>
      </c>
      <c r="V54" s="328">
        <f t="shared" si="133"/>
        <v>0.2132198164324508</v>
      </c>
      <c r="W54" s="328">
        <f t="shared" si="133"/>
        <v>0.23637081685129868</v>
      </c>
      <c r="X54" s="328">
        <f t="shared" si="133"/>
        <v>0.26407262401276282</v>
      </c>
      <c r="Y54" s="328">
        <f t="shared" si="133"/>
        <v>0.29779136757194957</v>
      </c>
      <c r="Z54" s="328">
        <f t="shared" si="133"/>
        <v>0.33969839611974079</v>
      </c>
      <c r="AA54" s="328">
        <f t="shared" si="133"/>
        <v>0.39315226050699831</v>
      </c>
      <c r="AB54" s="328">
        <f t="shared" si="133"/>
        <v>0.46363858128607144</v>
      </c>
      <c r="AC54" s="328">
        <f t="shared" si="133"/>
        <v>0.56077075658079301</v>
      </c>
      <c r="AD54" s="328">
        <f t="shared" si="133"/>
        <v>0.70307214180952371</v>
      </c>
      <c r="AE54" s="328">
        <f t="shared" si="133"/>
        <v>0.93141169739256147</v>
      </c>
      <c r="AF54" s="328">
        <f t="shared" si="133"/>
        <v>1.3572501781196762</v>
      </c>
      <c r="AG54" s="328">
        <f t="shared" si="133"/>
        <v>2.4308889458018501</v>
      </c>
      <c r="AH54" s="328">
        <f t="shared" si="133"/>
        <v>0</v>
      </c>
      <c r="AI54" s="328">
        <f t="shared" si="133"/>
        <v>0</v>
      </c>
      <c r="AJ54" s="328">
        <f t="shared" si="133"/>
        <v>0</v>
      </c>
      <c r="AK54" s="328">
        <f t="shared" si="133"/>
        <v>0</v>
      </c>
      <c r="AL54" s="328">
        <f t="shared" si="133"/>
        <v>0</v>
      </c>
      <c r="AM54" s="328">
        <f t="shared" si="133"/>
        <v>0</v>
      </c>
      <c r="AN54" s="328">
        <f t="shared" si="133"/>
        <v>0</v>
      </c>
      <c r="AO54" s="328">
        <f t="shared" si="133"/>
        <v>0</v>
      </c>
      <c r="AP54" s="328">
        <f t="shared" si="133"/>
        <v>0</v>
      </c>
      <c r="AQ54" s="328">
        <f t="shared" si="133"/>
        <v>0</v>
      </c>
      <c r="AR54" s="328">
        <f t="shared" si="133"/>
        <v>0</v>
      </c>
      <c r="AS54" s="328">
        <f t="shared" si="133"/>
        <v>0</v>
      </c>
      <c r="AT54" s="328">
        <f t="shared" si="133"/>
        <v>0</v>
      </c>
      <c r="AU54" s="328">
        <f t="shared" si="133"/>
        <v>0</v>
      </c>
      <c r="AV54" s="328">
        <f t="shared" si="133"/>
        <v>0</v>
      </c>
      <c r="AW54" s="328">
        <f t="shared" si="133"/>
        <v>0</v>
      </c>
    </row>
    <row r="55" spans="2:49" s="76" customFormat="1" ht="14.25" customHeight="1">
      <c r="B55" s="2"/>
      <c r="C55" s="2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28"/>
      <c r="AG55" s="328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328"/>
      <c r="AV55" s="328"/>
      <c r="AW55" s="328"/>
    </row>
    <row r="56" spans="2:49" s="76" customFormat="1" ht="14.25" customHeight="1">
      <c r="B56" s="2"/>
      <c r="C56" s="2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328"/>
      <c r="AV56" s="328"/>
      <c r="AW56" s="328"/>
    </row>
    <row r="57" spans="2:49" s="76" customFormat="1" ht="14.25" customHeight="1">
      <c r="B57" s="2"/>
      <c r="C57" s="2" t="s">
        <v>422</v>
      </c>
      <c r="D57" s="329">
        <f>D30</f>
        <v>0</v>
      </c>
      <c r="E57" s="329">
        <f t="shared" ref="E57:AW57" si="134">E30</f>
        <v>1</v>
      </c>
      <c r="F57" s="329">
        <f t="shared" si="134"/>
        <v>2</v>
      </c>
      <c r="G57" s="329">
        <f t="shared" si="134"/>
        <v>3</v>
      </c>
      <c r="H57" s="329">
        <f t="shared" si="134"/>
        <v>4</v>
      </c>
      <c r="I57" s="329">
        <f t="shared" si="134"/>
        <v>5</v>
      </c>
      <c r="J57" s="329">
        <f t="shared" si="134"/>
        <v>6</v>
      </c>
      <c r="K57" s="329">
        <f t="shared" si="134"/>
        <v>7</v>
      </c>
      <c r="L57" s="329">
        <f t="shared" si="134"/>
        <v>8</v>
      </c>
      <c r="M57" s="329">
        <f t="shared" si="134"/>
        <v>9</v>
      </c>
      <c r="N57" s="329">
        <f t="shared" si="134"/>
        <v>10</v>
      </c>
      <c r="O57" s="329">
        <f t="shared" si="134"/>
        <v>11</v>
      </c>
      <c r="P57" s="329">
        <f t="shared" si="134"/>
        <v>12</v>
      </c>
      <c r="Q57" s="329">
        <f t="shared" si="134"/>
        <v>13</v>
      </c>
      <c r="R57" s="329">
        <f t="shared" si="134"/>
        <v>14</v>
      </c>
      <c r="S57" s="329">
        <f t="shared" si="134"/>
        <v>15</v>
      </c>
      <c r="T57" s="329">
        <f t="shared" si="134"/>
        <v>16</v>
      </c>
      <c r="U57" s="329">
        <f t="shared" si="134"/>
        <v>17</v>
      </c>
      <c r="V57" s="329">
        <f t="shared" si="134"/>
        <v>18</v>
      </c>
      <c r="W57" s="329">
        <f t="shared" si="134"/>
        <v>19</v>
      </c>
      <c r="X57" s="329">
        <f t="shared" si="134"/>
        <v>20</v>
      </c>
      <c r="Y57" s="329">
        <f t="shared" si="134"/>
        <v>21</v>
      </c>
      <c r="Z57" s="329">
        <f t="shared" si="134"/>
        <v>22</v>
      </c>
      <c r="AA57" s="329">
        <f t="shared" si="134"/>
        <v>23</v>
      </c>
      <c r="AB57" s="329">
        <f t="shared" si="134"/>
        <v>24</v>
      </c>
      <c r="AC57" s="329">
        <f t="shared" si="134"/>
        <v>25</v>
      </c>
      <c r="AD57" s="329">
        <f t="shared" si="134"/>
        <v>26</v>
      </c>
      <c r="AE57" s="329">
        <f t="shared" si="134"/>
        <v>27</v>
      </c>
      <c r="AF57" s="329">
        <f t="shared" si="134"/>
        <v>28</v>
      </c>
      <c r="AG57" s="329">
        <f t="shared" si="134"/>
        <v>29</v>
      </c>
      <c r="AH57" s="329">
        <f t="shared" si="134"/>
        <v>30</v>
      </c>
      <c r="AI57" s="329">
        <f t="shared" si="134"/>
        <v>31</v>
      </c>
      <c r="AJ57" s="329">
        <f t="shared" si="134"/>
        <v>32</v>
      </c>
      <c r="AK57" s="329">
        <f t="shared" si="134"/>
        <v>33</v>
      </c>
      <c r="AL57" s="329">
        <f t="shared" si="134"/>
        <v>34</v>
      </c>
      <c r="AM57" s="329">
        <f t="shared" si="134"/>
        <v>35</v>
      </c>
      <c r="AN57" s="329">
        <f t="shared" si="134"/>
        <v>36</v>
      </c>
      <c r="AO57" s="329">
        <f t="shared" si="134"/>
        <v>37</v>
      </c>
      <c r="AP57" s="329">
        <f t="shared" si="134"/>
        <v>38</v>
      </c>
      <c r="AQ57" s="329">
        <f t="shared" si="134"/>
        <v>39</v>
      </c>
      <c r="AR57" s="329">
        <f t="shared" si="134"/>
        <v>40</v>
      </c>
      <c r="AS57" s="329">
        <f t="shared" si="134"/>
        <v>41</v>
      </c>
      <c r="AT57" s="329">
        <f t="shared" si="134"/>
        <v>42</v>
      </c>
      <c r="AU57" s="329">
        <f t="shared" si="134"/>
        <v>43</v>
      </c>
      <c r="AV57" s="329">
        <f t="shared" si="134"/>
        <v>44</v>
      </c>
      <c r="AW57" s="329">
        <f t="shared" si="134"/>
        <v>45</v>
      </c>
    </row>
    <row r="58" spans="2:49" s="76" customFormat="1" ht="14.25" customHeight="1">
      <c r="B58" s="2"/>
      <c r="C58" s="1" t="s">
        <v>423</v>
      </c>
      <c r="D58" s="330">
        <f>D44</f>
        <v>-82.5</v>
      </c>
      <c r="E58" s="330">
        <f t="shared" ref="E58:AW58" si="135">E44</f>
        <v>-172.5</v>
      </c>
      <c r="F58" s="330">
        <f t="shared" si="135"/>
        <v>-262.5</v>
      </c>
      <c r="G58" s="330">
        <f t="shared" si="135"/>
        <v>-352.5</v>
      </c>
      <c r="H58" s="330">
        <f t="shared" si="135"/>
        <v>-337.10317977851889</v>
      </c>
      <c r="I58" s="330">
        <f t="shared" si="135"/>
        <v>-295.40619433835775</v>
      </c>
      <c r="J58" s="330">
        <f t="shared" si="135"/>
        <v>-253.1492419742915</v>
      </c>
      <c r="K58" s="330">
        <f t="shared" si="135"/>
        <v>-210.32459423376795</v>
      </c>
      <c r="L58" s="330">
        <f t="shared" si="135"/>
        <v>-166.92443865413071</v>
      </c>
      <c r="M58" s="330">
        <f t="shared" si="135"/>
        <v>-122.94087884827889</v>
      </c>
      <c r="N58" s="330">
        <f t="shared" si="135"/>
        <v>-78.365934638305504</v>
      </c>
      <c r="O58" s="330">
        <f t="shared" si="135"/>
        <v>-33.191542239346397</v>
      </c>
      <c r="P58" s="330">
        <f t="shared" si="135"/>
        <v>12.590445504047764</v>
      </c>
      <c r="Q58" s="330">
        <f t="shared" si="135"/>
        <v>58.988258826619983</v>
      </c>
      <c r="R58" s="330">
        <f t="shared" si="135"/>
        <v>106.01021069371384</v>
      </c>
      <c r="S58" s="330">
        <f t="shared" si="135"/>
        <v>153.66469639260725</v>
      </c>
      <c r="T58" s="330">
        <f t="shared" si="135"/>
        <v>201.96019306120994</v>
      </c>
      <c r="U58" s="330">
        <f t="shared" si="135"/>
        <v>250.90525915136595</v>
      </c>
      <c r="V58" s="330">
        <f t="shared" si="135"/>
        <v>300.50853382390522</v>
      </c>
      <c r="W58" s="330">
        <f t="shared" si="135"/>
        <v>350.77873627248624</v>
      </c>
      <c r="X58" s="330">
        <f t="shared" si="135"/>
        <v>401.72466497316731</v>
      </c>
      <c r="Y58" s="330">
        <f t="shared" si="135"/>
        <v>453.35519685653651</v>
      </c>
      <c r="Z58" s="330">
        <f t="shared" si="135"/>
        <v>505.67928639911815</v>
      </c>
      <c r="AA58" s="330">
        <f t="shared" si="135"/>
        <v>558.70596463065851</v>
      </c>
      <c r="AB58" s="330">
        <f t="shared" si="135"/>
        <v>612.44433805377503</v>
      </c>
      <c r="AC58" s="330">
        <f t="shared" si="135"/>
        <v>666.90358747233017</v>
      </c>
      <c r="AD58" s="330">
        <f t="shared" si="135"/>
        <v>722.09296672476432</v>
      </c>
      <c r="AE58" s="330">
        <f t="shared" si="135"/>
        <v>778.02180131849082</v>
      </c>
      <c r="AF58" s="330">
        <f t="shared" si="135"/>
        <v>834.69948696132201</v>
      </c>
      <c r="AG58" s="330">
        <f t="shared" si="135"/>
        <v>910.13548798575493</v>
      </c>
      <c r="AH58" s="330">
        <f t="shared" si="135"/>
        <v>910.13548798575493</v>
      </c>
      <c r="AI58" s="330">
        <f t="shared" si="135"/>
        <v>910.13548798575493</v>
      </c>
      <c r="AJ58" s="330">
        <f t="shared" si="135"/>
        <v>910.13548798575493</v>
      </c>
      <c r="AK58" s="330">
        <f t="shared" si="135"/>
        <v>910.13548798575493</v>
      </c>
      <c r="AL58" s="330">
        <f t="shared" si="135"/>
        <v>910.13548798575493</v>
      </c>
      <c r="AM58" s="330">
        <f t="shared" si="135"/>
        <v>910.13548798575493</v>
      </c>
      <c r="AN58" s="330">
        <f t="shared" si="135"/>
        <v>910.13548798575493</v>
      </c>
      <c r="AO58" s="330">
        <f t="shared" si="135"/>
        <v>910.13548798575493</v>
      </c>
      <c r="AP58" s="330">
        <f t="shared" si="135"/>
        <v>910.13548798575493</v>
      </c>
      <c r="AQ58" s="330">
        <f t="shared" si="135"/>
        <v>910.13548798575493</v>
      </c>
      <c r="AR58" s="330">
        <f t="shared" si="135"/>
        <v>910.13548798575493</v>
      </c>
      <c r="AS58" s="330">
        <f t="shared" si="135"/>
        <v>910.13548798575493</v>
      </c>
      <c r="AT58" s="330">
        <f t="shared" si="135"/>
        <v>910.13548798575493</v>
      </c>
      <c r="AU58" s="330">
        <f t="shared" si="135"/>
        <v>910.13548798575493</v>
      </c>
      <c r="AV58" s="330">
        <f t="shared" si="135"/>
        <v>910.13548798575493</v>
      </c>
      <c r="AW58" s="330">
        <f t="shared" si="135"/>
        <v>910.13548798575493</v>
      </c>
    </row>
    <row r="59" spans="2:49" s="76" customFormat="1" ht="14.25" customHeight="1">
      <c r="B59" s="2"/>
      <c r="C59" s="1" t="s">
        <v>424</v>
      </c>
      <c r="D59" s="331">
        <f>IF(AND(C58&lt;0,D58&gt;=0),1,0)</f>
        <v>0</v>
      </c>
      <c r="E59" s="331">
        <f>IF(AND(D58&lt;0,E58&gt;=0),1,0)</f>
        <v>0</v>
      </c>
      <c r="F59" s="331">
        <f t="shared" ref="F59:AW59" si="136">IF(AND(E58&lt;0,F58&gt;=0),1,0)</f>
        <v>0</v>
      </c>
      <c r="G59" s="331">
        <f t="shared" si="136"/>
        <v>0</v>
      </c>
      <c r="H59" s="331">
        <f t="shared" si="136"/>
        <v>0</v>
      </c>
      <c r="I59" s="331">
        <f t="shared" si="136"/>
        <v>0</v>
      </c>
      <c r="J59" s="331">
        <f t="shared" si="136"/>
        <v>0</v>
      </c>
      <c r="K59" s="331">
        <f t="shared" si="136"/>
        <v>0</v>
      </c>
      <c r="L59" s="331">
        <f t="shared" si="136"/>
        <v>0</v>
      </c>
      <c r="M59" s="331">
        <f t="shared" si="136"/>
        <v>0</v>
      </c>
      <c r="N59" s="331">
        <f t="shared" si="136"/>
        <v>0</v>
      </c>
      <c r="O59" s="331">
        <f t="shared" si="136"/>
        <v>0</v>
      </c>
      <c r="P59" s="331">
        <f t="shared" si="136"/>
        <v>1</v>
      </c>
      <c r="Q59" s="331">
        <f t="shared" si="136"/>
        <v>0</v>
      </c>
      <c r="R59" s="331">
        <f t="shared" si="136"/>
        <v>0</v>
      </c>
      <c r="S59" s="331">
        <f t="shared" si="136"/>
        <v>0</v>
      </c>
      <c r="T59" s="331">
        <f t="shared" si="136"/>
        <v>0</v>
      </c>
      <c r="U59" s="331">
        <f t="shared" si="136"/>
        <v>0</v>
      </c>
      <c r="V59" s="331">
        <f t="shared" si="136"/>
        <v>0</v>
      </c>
      <c r="W59" s="331">
        <f t="shared" si="136"/>
        <v>0</v>
      </c>
      <c r="X59" s="331">
        <f t="shared" si="136"/>
        <v>0</v>
      </c>
      <c r="Y59" s="331">
        <f t="shared" si="136"/>
        <v>0</v>
      </c>
      <c r="Z59" s="331">
        <f t="shared" si="136"/>
        <v>0</v>
      </c>
      <c r="AA59" s="331">
        <f t="shared" si="136"/>
        <v>0</v>
      </c>
      <c r="AB59" s="331">
        <f t="shared" si="136"/>
        <v>0</v>
      </c>
      <c r="AC59" s="331">
        <f t="shared" si="136"/>
        <v>0</v>
      </c>
      <c r="AD59" s="331">
        <f t="shared" si="136"/>
        <v>0</v>
      </c>
      <c r="AE59" s="331">
        <f t="shared" si="136"/>
        <v>0</v>
      </c>
      <c r="AF59" s="331">
        <f t="shared" si="136"/>
        <v>0</v>
      </c>
      <c r="AG59" s="331">
        <f t="shared" si="136"/>
        <v>0</v>
      </c>
      <c r="AH59" s="331">
        <f t="shared" si="136"/>
        <v>0</v>
      </c>
      <c r="AI59" s="331">
        <f t="shared" si="136"/>
        <v>0</v>
      </c>
      <c r="AJ59" s="331">
        <f t="shared" si="136"/>
        <v>0</v>
      </c>
      <c r="AK59" s="331">
        <f t="shared" si="136"/>
        <v>0</v>
      </c>
      <c r="AL59" s="331">
        <f t="shared" si="136"/>
        <v>0</v>
      </c>
      <c r="AM59" s="331">
        <f t="shared" si="136"/>
        <v>0</v>
      </c>
      <c r="AN59" s="331">
        <f t="shared" si="136"/>
        <v>0</v>
      </c>
      <c r="AO59" s="331">
        <f t="shared" si="136"/>
        <v>0</v>
      </c>
      <c r="AP59" s="331">
        <f t="shared" si="136"/>
        <v>0</v>
      </c>
      <c r="AQ59" s="331">
        <f t="shared" si="136"/>
        <v>0</v>
      </c>
      <c r="AR59" s="331">
        <f t="shared" si="136"/>
        <v>0</v>
      </c>
      <c r="AS59" s="331">
        <f t="shared" si="136"/>
        <v>0</v>
      </c>
      <c r="AT59" s="331">
        <f t="shared" si="136"/>
        <v>0</v>
      </c>
      <c r="AU59" s="331">
        <f t="shared" si="136"/>
        <v>0</v>
      </c>
      <c r="AV59" s="331">
        <f t="shared" si="136"/>
        <v>0</v>
      </c>
      <c r="AW59" s="331">
        <f t="shared" si="136"/>
        <v>0</v>
      </c>
    </row>
    <row r="60" spans="2:49" s="76" customFormat="1" ht="14.25" customHeight="1">
      <c r="B60" s="2"/>
      <c r="C60" s="1" t="s">
        <v>425</v>
      </c>
      <c r="D60" s="331">
        <f>IF(D59=1,C58/D43,0)*-1</f>
        <v>0</v>
      </c>
      <c r="E60" s="331">
        <f>IF(E59=1,D58/E43,0)*-1</f>
        <v>0</v>
      </c>
      <c r="F60" s="331">
        <f t="shared" ref="F60:AW60" si="137">IF(F59=1,E58/F43,0)*-1</f>
        <v>0</v>
      </c>
      <c r="G60" s="331">
        <f t="shared" si="137"/>
        <v>0</v>
      </c>
      <c r="H60" s="331">
        <f t="shared" si="137"/>
        <v>0</v>
      </c>
      <c r="I60" s="331">
        <f t="shared" si="137"/>
        <v>0</v>
      </c>
      <c r="J60" s="331">
        <f t="shared" si="137"/>
        <v>0</v>
      </c>
      <c r="K60" s="331">
        <f t="shared" si="137"/>
        <v>0</v>
      </c>
      <c r="L60" s="331">
        <f t="shared" si="137"/>
        <v>0</v>
      </c>
      <c r="M60" s="331">
        <f t="shared" si="137"/>
        <v>0</v>
      </c>
      <c r="N60" s="331">
        <f t="shared" si="137"/>
        <v>0</v>
      </c>
      <c r="O60" s="331">
        <f t="shared" si="137"/>
        <v>0</v>
      </c>
      <c r="P60" s="331">
        <f t="shared" si="137"/>
        <v>0.72499128752083453</v>
      </c>
      <c r="Q60" s="331">
        <f t="shared" si="137"/>
        <v>0</v>
      </c>
      <c r="R60" s="331">
        <f t="shared" si="137"/>
        <v>0</v>
      </c>
      <c r="S60" s="331">
        <f t="shared" si="137"/>
        <v>0</v>
      </c>
      <c r="T60" s="331">
        <f t="shared" si="137"/>
        <v>0</v>
      </c>
      <c r="U60" s="331">
        <f t="shared" si="137"/>
        <v>0</v>
      </c>
      <c r="V60" s="331">
        <f t="shared" si="137"/>
        <v>0</v>
      </c>
      <c r="W60" s="331">
        <f t="shared" si="137"/>
        <v>0</v>
      </c>
      <c r="X60" s="331">
        <f t="shared" si="137"/>
        <v>0</v>
      </c>
      <c r="Y60" s="331">
        <f t="shared" si="137"/>
        <v>0</v>
      </c>
      <c r="Z60" s="331">
        <f t="shared" si="137"/>
        <v>0</v>
      </c>
      <c r="AA60" s="331">
        <f t="shared" si="137"/>
        <v>0</v>
      </c>
      <c r="AB60" s="331">
        <f t="shared" si="137"/>
        <v>0</v>
      </c>
      <c r="AC60" s="331">
        <f t="shared" si="137"/>
        <v>0</v>
      </c>
      <c r="AD60" s="331">
        <f t="shared" si="137"/>
        <v>0</v>
      </c>
      <c r="AE60" s="331">
        <f t="shared" si="137"/>
        <v>0</v>
      </c>
      <c r="AF60" s="331">
        <f t="shared" si="137"/>
        <v>0</v>
      </c>
      <c r="AG60" s="331">
        <f t="shared" si="137"/>
        <v>0</v>
      </c>
      <c r="AH60" s="331">
        <f t="shared" si="137"/>
        <v>0</v>
      </c>
      <c r="AI60" s="331">
        <f t="shared" si="137"/>
        <v>0</v>
      </c>
      <c r="AJ60" s="331">
        <f t="shared" si="137"/>
        <v>0</v>
      </c>
      <c r="AK60" s="331">
        <f t="shared" si="137"/>
        <v>0</v>
      </c>
      <c r="AL60" s="331">
        <f t="shared" si="137"/>
        <v>0</v>
      </c>
      <c r="AM60" s="331">
        <f t="shared" si="137"/>
        <v>0</v>
      </c>
      <c r="AN60" s="331">
        <f t="shared" si="137"/>
        <v>0</v>
      </c>
      <c r="AO60" s="331">
        <f t="shared" si="137"/>
        <v>0</v>
      </c>
      <c r="AP60" s="331">
        <f t="shared" si="137"/>
        <v>0</v>
      </c>
      <c r="AQ60" s="331">
        <f t="shared" si="137"/>
        <v>0</v>
      </c>
      <c r="AR60" s="331">
        <f t="shared" si="137"/>
        <v>0</v>
      </c>
      <c r="AS60" s="331">
        <f t="shared" si="137"/>
        <v>0</v>
      </c>
      <c r="AT60" s="331">
        <f t="shared" si="137"/>
        <v>0</v>
      </c>
      <c r="AU60" s="331">
        <f t="shared" si="137"/>
        <v>0</v>
      </c>
      <c r="AV60" s="331">
        <f t="shared" si="137"/>
        <v>0</v>
      </c>
      <c r="AW60" s="331">
        <f t="shared" si="137"/>
        <v>0</v>
      </c>
    </row>
    <row r="61" spans="2:49" s="76" customFormat="1" ht="14.25" customHeight="1">
      <c r="B61" s="2"/>
      <c r="C61" s="1" t="s">
        <v>426</v>
      </c>
      <c r="D61" s="331">
        <f>IF(D59&lt;&gt;1,0,D57*D59-1+D60)</f>
        <v>0</v>
      </c>
      <c r="E61" s="331">
        <f>IF(E59&lt;&gt;1,0,E57*E59-1+E60)</f>
        <v>0</v>
      </c>
      <c r="F61" s="331">
        <f t="shared" ref="F61:AW61" si="138">IF(F59&lt;&gt;1,0,F57*F59-1+F60)</f>
        <v>0</v>
      </c>
      <c r="G61" s="331">
        <f t="shared" si="138"/>
        <v>0</v>
      </c>
      <c r="H61" s="331">
        <f t="shared" si="138"/>
        <v>0</v>
      </c>
      <c r="I61" s="331">
        <f t="shared" si="138"/>
        <v>0</v>
      </c>
      <c r="J61" s="331">
        <f t="shared" si="138"/>
        <v>0</v>
      </c>
      <c r="K61" s="331">
        <f t="shared" si="138"/>
        <v>0</v>
      </c>
      <c r="L61" s="331">
        <f t="shared" si="138"/>
        <v>0</v>
      </c>
      <c r="M61" s="331">
        <f t="shared" si="138"/>
        <v>0</v>
      </c>
      <c r="N61" s="331">
        <f t="shared" si="138"/>
        <v>0</v>
      </c>
      <c r="O61" s="331">
        <f t="shared" si="138"/>
        <v>0</v>
      </c>
      <c r="P61" s="331">
        <f t="shared" si="138"/>
        <v>11.724991287520835</v>
      </c>
      <c r="Q61" s="331">
        <f t="shared" si="138"/>
        <v>0</v>
      </c>
      <c r="R61" s="331">
        <f t="shared" si="138"/>
        <v>0</v>
      </c>
      <c r="S61" s="331">
        <f t="shared" si="138"/>
        <v>0</v>
      </c>
      <c r="T61" s="331">
        <f t="shared" si="138"/>
        <v>0</v>
      </c>
      <c r="U61" s="331">
        <f t="shared" si="138"/>
        <v>0</v>
      </c>
      <c r="V61" s="331">
        <f t="shared" si="138"/>
        <v>0</v>
      </c>
      <c r="W61" s="331">
        <f t="shared" si="138"/>
        <v>0</v>
      </c>
      <c r="X61" s="331">
        <f t="shared" si="138"/>
        <v>0</v>
      </c>
      <c r="Y61" s="331">
        <f t="shared" si="138"/>
        <v>0</v>
      </c>
      <c r="Z61" s="331">
        <f t="shared" si="138"/>
        <v>0</v>
      </c>
      <c r="AA61" s="331">
        <f t="shared" si="138"/>
        <v>0</v>
      </c>
      <c r="AB61" s="331">
        <f t="shared" si="138"/>
        <v>0</v>
      </c>
      <c r="AC61" s="331">
        <f t="shared" si="138"/>
        <v>0</v>
      </c>
      <c r="AD61" s="331">
        <f t="shared" si="138"/>
        <v>0</v>
      </c>
      <c r="AE61" s="331">
        <f t="shared" si="138"/>
        <v>0</v>
      </c>
      <c r="AF61" s="331">
        <f t="shared" si="138"/>
        <v>0</v>
      </c>
      <c r="AG61" s="331">
        <f t="shared" si="138"/>
        <v>0</v>
      </c>
      <c r="AH61" s="331">
        <f t="shared" si="138"/>
        <v>0</v>
      </c>
      <c r="AI61" s="331">
        <f t="shared" si="138"/>
        <v>0</v>
      </c>
      <c r="AJ61" s="331">
        <f t="shared" si="138"/>
        <v>0</v>
      </c>
      <c r="AK61" s="331">
        <f t="shared" si="138"/>
        <v>0</v>
      </c>
      <c r="AL61" s="331">
        <f t="shared" si="138"/>
        <v>0</v>
      </c>
      <c r="AM61" s="331">
        <f t="shared" si="138"/>
        <v>0</v>
      </c>
      <c r="AN61" s="331">
        <f t="shared" si="138"/>
        <v>0</v>
      </c>
      <c r="AO61" s="331">
        <f t="shared" si="138"/>
        <v>0</v>
      </c>
      <c r="AP61" s="331">
        <f t="shared" si="138"/>
        <v>0</v>
      </c>
      <c r="AQ61" s="331">
        <f t="shared" si="138"/>
        <v>0</v>
      </c>
      <c r="AR61" s="331">
        <f t="shared" si="138"/>
        <v>0</v>
      </c>
      <c r="AS61" s="331">
        <f t="shared" si="138"/>
        <v>0</v>
      </c>
      <c r="AT61" s="331">
        <f t="shared" si="138"/>
        <v>0</v>
      </c>
      <c r="AU61" s="331">
        <f t="shared" si="138"/>
        <v>0</v>
      </c>
      <c r="AV61" s="331">
        <f t="shared" si="138"/>
        <v>0</v>
      </c>
      <c r="AW61" s="331">
        <f t="shared" si="138"/>
        <v>0</v>
      </c>
    </row>
    <row r="62" spans="2:49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:49" ht="14.25" customHeight="1" thickBot="1">
      <c r="B63" s="1"/>
      <c r="C63" s="1"/>
      <c r="D63" s="1"/>
      <c r="E63" s="1"/>
      <c r="F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:49" ht="14.25" customHeight="1" thickBot="1">
      <c r="B64" s="1"/>
      <c r="C64" s="809" t="s">
        <v>427</v>
      </c>
      <c r="D64" s="830"/>
      <c r="E64" s="83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6" ht="14.25" customHeight="1">
      <c r="A65" s="1"/>
      <c r="B65" s="1"/>
      <c r="C65" s="278" t="s">
        <v>428</v>
      </c>
      <c r="D65" s="84"/>
      <c r="E65" s="332">
        <v>0</v>
      </c>
      <c r="F65" s="4" t="s">
        <v>429</v>
      </c>
    </row>
    <row r="66" spans="1:6" ht="14.25" customHeight="1">
      <c r="A66" s="1"/>
      <c r="B66" s="1"/>
      <c r="C66" s="278" t="s">
        <v>430</v>
      </c>
      <c r="D66" s="84"/>
      <c r="E66" s="333" t="e">
        <f>E65/SUM(E36:E37)</f>
        <v>#DIV/0!</v>
      </c>
      <c r="F66" s="1"/>
    </row>
    <row r="67" spans="1:6" ht="14.25" customHeight="1">
      <c r="A67" s="1"/>
      <c r="B67" s="1"/>
      <c r="C67" s="278" t="s">
        <v>431</v>
      </c>
      <c r="D67" s="84"/>
      <c r="E67" s="334">
        <f>-SUM(D38:AW38)</f>
        <v>360</v>
      </c>
      <c r="F67" s="1"/>
    </row>
    <row r="68" spans="1:6" ht="14.25" customHeight="1">
      <c r="A68" s="1"/>
      <c r="B68" s="1"/>
      <c r="C68" s="278"/>
      <c r="D68" s="84"/>
      <c r="E68" s="335"/>
      <c r="F68" s="1"/>
    </row>
    <row r="69" spans="1:6" ht="14.25" customHeight="1">
      <c r="A69" s="1"/>
      <c r="B69" s="1"/>
      <c r="C69" s="336" t="s">
        <v>432</v>
      </c>
      <c r="D69" s="83"/>
      <c r="E69" s="337">
        <f>XNPV('Assumptions &amp; Inputs'!$E$16,D43:AW43,D33:AW33)</f>
        <v>-62.52757166906062</v>
      </c>
      <c r="F69" s="1"/>
    </row>
    <row r="70" spans="1:6" ht="14.25" customHeight="1">
      <c r="A70" s="1"/>
      <c r="B70" s="1"/>
      <c r="C70" s="336" t="s">
        <v>433</v>
      </c>
      <c r="D70" s="83"/>
      <c r="E70" s="338">
        <f>IFERROR(XIRR(D43:AW43,D33:AW33),"n.a.")</f>
        <v>9.4976064562797544E-2</v>
      </c>
      <c r="F70" s="1"/>
    </row>
    <row r="71" spans="1:6">
      <c r="A71" s="1"/>
      <c r="B71" s="1"/>
      <c r="C71" s="322" t="s">
        <v>434</v>
      </c>
      <c r="D71" s="84"/>
      <c r="E71" s="340">
        <f>I54</f>
        <v>8.089912635759175E-2</v>
      </c>
      <c r="F71" s="1"/>
    </row>
    <row r="72" spans="1:6" ht="16" thickBot="1">
      <c r="A72" s="1"/>
      <c r="B72" s="1"/>
      <c r="C72" s="339" t="s">
        <v>435</v>
      </c>
      <c r="D72" s="86"/>
      <c r="E72" s="341">
        <f>L61</f>
        <v>0</v>
      </c>
      <c r="F72" s="1"/>
    </row>
    <row r="73" spans="1:6" ht="14.25" customHeight="1">
      <c r="A73" s="1"/>
      <c r="B73" s="1"/>
      <c r="C73" s="1"/>
      <c r="D73" s="1"/>
      <c r="E73" s="1"/>
      <c r="F73" s="1"/>
    </row>
    <row r="74" spans="1:6" ht="14.25" customHeight="1">
      <c r="A74" s="1"/>
      <c r="B74" s="1"/>
      <c r="C74" s="1"/>
      <c r="D74" s="1"/>
      <c r="E74" s="1"/>
      <c r="F74" s="1"/>
    </row>
    <row r="75" spans="1:6" ht="14.25" customHeight="1" thickBot="1">
      <c r="A75" s="1" t="s">
        <v>351</v>
      </c>
      <c r="B75" s="1"/>
      <c r="C75" s="9" t="s">
        <v>436</v>
      </c>
      <c r="D75" s="9"/>
      <c r="E75" s="10"/>
      <c r="F75" s="10"/>
    </row>
    <row r="76" spans="1:6" ht="14.25" customHeight="1">
      <c r="A76" s="1"/>
      <c r="B76" s="1"/>
      <c r="C76" s="12" t="s">
        <v>353</v>
      </c>
      <c r="D76" s="13"/>
      <c r="E76" s="14"/>
      <c r="F76" s="14"/>
    </row>
    <row r="77" spans="1:6" ht="14.25" customHeight="1" thickBot="1">
      <c r="A77" s="1"/>
      <c r="B77" s="1"/>
      <c r="C77" s="12"/>
      <c r="D77" s="13"/>
      <c r="E77" s="14"/>
      <c r="F77" s="14"/>
    </row>
    <row r="78" spans="1:6" ht="14.25" customHeight="1" thickBot="1">
      <c r="A78" s="1"/>
      <c r="B78" s="1"/>
      <c r="C78" s="812" t="s">
        <v>437</v>
      </c>
      <c r="D78" s="832"/>
      <c r="E78" s="832"/>
      <c r="F78" s="14"/>
    </row>
    <row r="79" spans="1:6" ht="14.25" customHeight="1">
      <c r="A79" s="1"/>
      <c r="B79" s="1"/>
      <c r="C79" s="98" t="s">
        <v>438</v>
      </c>
      <c r="D79" s="13"/>
      <c r="E79" s="99">
        <f>E80*SUM(E65,E67)</f>
        <v>0</v>
      </c>
      <c r="F79" s="14"/>
    </row>
    <row r="80" spans="1:6" ht="14.25" customHeight="1">
      <c r="A80" s="1"/>
      <c r="B80" s="1"/>
      <c r="C80" s="98" t="s">
        <v>439</v>
      </c>
      <c r="D80" s="13"/>
      <c r="E80" s="100">
        <f>'Assumptions &amp; Inputs'!G8</f>
        <v>0</v>
      </c>
      <c r="F80" s="14"/>
    </row>
    <row r="81" spans="2:49" ht="14.25" customHeight="1">
      <c r="B81" s="1"/>
      <c r="C81" s="98" t="s">
        <v>440</v>
      </c>
      <c r="D81" s="13"/>
      <c r="E81" s="95">
        <f>IFERROR(SUM(E91:AW91)/SUM(E92:AW92),0)</f>
        <v>0</v>
      </c>
      <c r="F81" s="14"/>
      <c r="G81" s="14"/>
      <c r="H81" s="14"/>
      <c r="I81" s="14"/>
      <c r="J81" s="14"/>
      <c r="K81" s="14"/>
      <c r="L81" s="14"/>
      <c r="M81" s="14"/>
      <c r="N81" s="1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49" ht="14.25" customHeight="1">
      <c r="B82" s="1"/>
      <c r="C82" s="98"/>
      <c r="D82" s="13"/>
      <c r="E82" s="95"/>
      <c r="F82" s="14"/>
      <c r="G82" s="14"/>
      <c r="H82" s="14"/>
      <c r="I82" s="14"/>
      <c r="J82" s="14"/>
      <c r="K82" s="14"/>
      <c r="L82" s="14"/>
      <c r="M82" s="14"/>
      <c r="N82" s="1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49" ht="14.25" customHeight="1">
      <c r="B83" s="1"/>
      <c r="C83" s="101" t="s">
        <v>441</v>
      </c>
      <c r="D83" s="25"/>
      <c r="E83" s="97">
        <f>XNPV('Assumptions &amp; Inputs'!$E$16,D94:AW94,D90:AW90)</f>
        <v>-340.62725608318078</v>
      </c>
      <c r="F83" s="14"/>
      <c r="G83" s="14"/>
      <c r="H83" s="14"/>
      <c r="I83" s="14"/>
      <c r="J83" s="14"/>
      <c r="K83" s="14"/>
      <c r="L83" s="14"/>
      <c r="M83" s="14"/>
      <c r="N83" s="1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49" ht="14.25" customHeight="1" thickBot="1">
      <c r="B84" s="1"/>
      <c r="C84" s="26" t="s">
        <v>442</v>
      </c>
      <c r="D84" s="27"/>
      <c r="E84" s="28">
        <f>IFERROR(XIRR(D94:AW94,D90:AW90),"n.a.")</f>
        <v>4.3003478646278376E-2</v>
      </c>
      <c r="F84" s="14"/>
      <c r="G84" s="14"/>
      <c r="H84" s="14"/>
      <c r="I84" s="14"/>
      <c r="J84" s="14"/>
      <c r="K84" s="14"/>
      <c r="L84" s="14"/>
      <c r="M84" s="14"/>
      <c r="N84" s="1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49" ht="14.25" customHeight="1">
      <c r="B85" s="1"/>
      <c r="C85" s="12"/>
      <c r="D85" s="13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49" ht="14.25" customHeight="1">
      <c r="B86" s="1"/>
      <c r="C86" s="12"/>
      <c r="D86" s="13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49" ht="14.25" customHeight="1">
      <c r="B87" s="1"/>
      <c r="C87" s="1"/>
      <c r="D87" s="119">
        <v>0</v>
      </c>
      <c r="E87" s="119">
        <f t="shared" ref="E87:X87" si="139">D87+1</f>
        <v>1</v>
      </c>
      <c r="F87" s="119">
        <f t="shared" si="139"/>
        <v>2</v>
      </c>
      <c r="G87" s="119">
        <f t="shared" si="139"/>
        <v>3</v>
      </c>
      <c r="H87" s="119">
        <f t="shared" si="139"/>
        <v>4</v>
      </c>
      <c r="I87" s="119">
        <f t="shared" si="139"/>
        <v>5</v>
      </c>
      <c r="J87" s="119">
        <f t="shared" si="139"/>
        <v>6</v>
      </c>
      <c r="K87" s="119">
        <f t="shared" si="139"/>
        <v>7</v>
      </c>
      <c r="L87" s="119">
        <f t="shared" si="139"/>
        <v>8</v>
      </c>
      <c r="M87" s="119">
        <f t="shared" si="139"/>
        <v>9</v>
      </c>
      <c r="N87" s="119">
        <f t="shared" si="139"/>
        <v>10</v>
      </c>
      <c r="O87" s="119">
        <f t="shared" si="139"/>
        <v>11</v>
      </c>
      <c r="P87" s="119">
        <f t="shared" si="139"/>
        <v>12</v>
      </c>
      <c r="Q87" s="119">
        <f t="shared" si="139"/>
        <v>13</v>
      </c>
      <c r="R87" s="119">
        <f t="shared" si="139"/>
        <v>14</v>
      </c>
      <c r="S87" s="119">
        <f t="shared" si="139"/>
        <v>15</v>
      </c>
      <c r="T87" s="119">
        <f t="shared" si="139"/>
        <v>16</v>
      </c>
      <c r="U87" s="119">
        <f t="shared" si="139"/>
        <v>17</v>
      </c>
      <c r="V87" s="119">
        <f t="shared" si="139"/>
        <v>18</v>
      </c>
      <c r="W87" s="119">
        <f t="shared" si="139"/>
        <v>19</v>
      </c>
      <c r="X87" s="119">
        <f t="shared" si="139"/>
        <v>20</v>
      </c>
      <c r="Y87" s="119">
        <f t="shared" ref="Y87" si="140">X87+1</f>
        <v>21</v>
      </c>
      <c r="Z87" s="119">
        <f t="shared" ref="Z87" si="141">Y87+1</f>
        <v>22</v>
      </c>
      <c r="AA87" s="119">
        <f t="shared" ref="AA87" si="142">Z87+1</f>
        <v>23</v>
      </c>
      <c r="AB87" s="119">
        <f t="shared" ref="AB87" si="143">AA87+1</f>
        <v>24</v>
      </c>
      <c r="AC87" s="119">
        <f t="shared" ref="AC87" si="144">AB87+1</f>
        <v>25</v>
      </c>
      <c r="AD87" s="119">
        <f t="shared" ref="AD87" si="145">AC87+1</f>
        <v>26</v>
      </c>
      <c r="AE87" s="119">
        <f t="shared" ref="AE87" si="146">AD87+1</f>
        <v>27</v>
      </c>
      <c r="AF87" s="119">
        <f t="shared" ref="AF87" si="147">AE87+1</f>
        <v>28</v>
      </c>
      <c r="AG87" s="119">
        <f t="shared" ref="AG87" si="148">AF87+1</f>
        <v>29</v>
      </c>
      <c r="AH87" s="119">
        <f t="shared" ref="AH87" si="149">AG87+1</f>
        <v>30</v>
      </c>
      <c r="AI87" s="119">
        <f t="shared" ref="AI87" si="150">AH87+1</f>
        <v>31</v>
      </c>
      <c r="AJ87" s="119">
        <f t="shared" ref="AJ87" si="151">AI87+1</f>
        <v>32</v>
      </c>
      <c r="AK87" s="119">
        <f t="shared" ref="AK87" si="152">AJ87+1</f>
        <v>33</v>
      </c>
      <c r="AL87" s="119">
        <f t="shared" ref="AL87" si="153">AK87+1</f>
        <v>34</v>
      </c>
      <c r="AM87" s="119">
        <f t="shared" ref="AM87" si="154">AL87+1</f>
        <v>35</v>
      </c>
      <c r="AN87" s="119">
        <f t="shared" ref="AN87" si="155">AM87+1</f>
        <v>36</v>
      </c>
      <c r="AO87" s="119">
        <f t="shared" ref="AO87" si="156">AN87+1</f>
        <v>37</v>
      </c>
      <c r="AP87" s="119">
        <f t="shared" ref="AP87" si="157">AO87+1</f>
        <v>38</v>
      </c>
      <c r="AQ87" s="119">
        <f t="shared" ref="AQ87" si="158">AP87+1</f>
        <v>39</v>
      </c>
      <c r="AR87" s="119">
        <f t="shared" ref="AR87" si="159">AQ87+1</f>
        <v>40</v>
      </c>
      <c r="AS87" s="119">
        <f t="shared" ref="AS87" si="160">AR87+1</f>
        <v>41</v>
      </c>
      <c r="AT87" s="119">
        <f t="shared" ref="AT87" si="161">AS87+1</f>
        <v>42</v>
      </c>
      <c r="AU87" s="119">
        <f t="shared" ref="AU87" si="162">AT87+1</f>
        <v>43</v>
      </c>
      <c r="AV87" s="119">
        <f t="shared" ref="AV87" si="163">AU87+1</f>
        <v>44</v>
      </c>
      <c r="AW87" s="119">
        <f t="shared" ref="AW87" si="164">AV87+1</f>
        <v>45</v>
      </c>
    </row>
    <row r="88" spans="2:49" ht="14.25" customHeight="1">
      <c r="B88" s="2"/>
      <c r="C88" s="2"/>
      <c r="D88" s="2"/>
      <c r="E88" s="807" t="s">
        <v>354</v>
      </c>
      <c r="F88" s="807"/>
      <c r="G88" s="807"/>
      <c r="H88" s="807"/>
      <c r="I88" s="807"/>
      <c r="J88" s="807"/>
      <c r="K88" s="807"/>
      <c r="L88" s="807"/>
      <c r="M88" s="807"/>
      <c r="N88" s="807"/>
      <c r="O88" s="807"/>
      <c r="P88" s="807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</row>
    <row r="89" spans="2:49" ht="14.25" customHeight="1">
      <c r="B89" s="2"/>
      <c r="C89" s="2"/>
      <c r="D89" s="3">
        <f>D32</f>
        <v>2026</v>
      </c>
      <c r="E89" s="120">
        <f t="shared" ref="E89:X89" si="165">D89+1</f>
        <v>2027</v>
      </c>
      <c r="F89" s="120">
        <f t="shared" si="165"/>
        <v>2028</v>
      </c>
      <c r="G89" s="120">
        <f t="shared" si="165"/>
        <v>2029</v>
      </c>
      <c r="H89" s="120">
        <f t="shared" si="165"/>
        <v>2030</v>
      </c>
      <c r="I89" s="120">
        <f t="shared" si="165"/>
        <v>2031</v>
      </c>
      <c r="J89" s="120">
        <f t="shared" si="165"/>
        <v>2032</v>
      </c>
      <c r="K89" s="120">
        <f t="shared" si="165"/>
        <v>2033</v>
      </c>
      <c r="L89" s="120">
        <f t="shared" si="165"/>
        <v>2034</v>
      </c>
      <c r="M89" s="120">
        <f t="shared" si="165"/>
        <v>2035</v>
      </c>
      <c r="N89" s="120">
        <f t="shared" si="165"/>
        <v>2036</v>
      </c>
      <c r="O89" s="120">
        <f t="shared" si="165"/>
        <v>2037</v>
      </c>
      <c r="P89" s="120">
        <f t="shared" si="165"/>
        <v>2038</v>
      </c>
      <c r="Q89" s="120">
        <f t="shared" si="165"/>
        <v>2039</v>
      </c>
      <c r="R89" s="120">
        <f t="shared" si="165"/>
        <v>2040</v>
      </c>
      <c r="S89" s="120">
        <f t="shared" si="165"/>
        <v>2041</v>
      </c>
      <c r="T89" s="120">
        <f t="shared" si="165"/>
        <v>2042</v>
      </c>
      <c r="U89" s="120">
        <f t="shared" si="165"/>
        <v>2043</v>
      </c>
      <c r="V89" s="120">
        <f t="shared" si="165"/>
        <v>2044</v>
      </c>
      <c r="W89" s="120">
        <f t="shared" si="165"/>
        <v>2045</v>
      </c>
      <c r="X89" s="120">
        <f t="shared" si="165"/>
        <v>2046</v>
      </c>
      <c r="Y89" s="120">
        <f t="shared" ref="Y89" si="166">X89+1</f>
        <v>2047</v>
      </c>
      <c r="Z89" s="120">
        <f t="shared" ref="Z89" si="167">Y89+1</f>
        <v>2048</v>
      </c>
      <c r="AA89" s="120">
        <f t="shared" ref="AA89" si="168">Z89+1</f>
        <v>2049</v>
      </c>
      <c r="AB89" s="120">
        <f t="shared" ref="AB89" si="169">AA89+1</f>
        <v>2050</v>
      </c>
      <c r="AC89" s="120">
        <f t="shared" ref="AC89" si="170">AB89+1</f>
        <v>2051</v>
      </c>
      <c r="AD89" s="120">
        <f t="shared" ref="AD89" si="171">AC89+1</f>
        <v>2052</v>
      </c>
      <c r="AE89" s="120">
        <f t="shared" ref="AE89" si="172">AD89+1</f>
        <v>2053</v>
      </c>
      <c r="AF89" s="120">
        <f t="shared" ref="AF89" si="173">AE89+1</f>
        <v>2054</v>
      </c>
      <c r="AG89" s="120">
        <f t="shared" ref="AG89" si="174">AF89+1</f>
        <v>2055</v>
      </c>
      <c r="AH89" s="120">
        <f t="shared" ref="AH89" si="175">AG89+1</f>
        <v>2056</v>
      </c>
      <c r="AI89" s="120">
        <f t="shared" ref="AI89" si="176">AH89+1</f>
        <v>2057</v>
      </c>
      <c r="AJ89" s="120">
        <f t="shared" ref="AJ89" si="177">AI89+1</f>
        <v>2058</v>
      </c>
      <c r="AK89" s="120">
        <f t="shared" ref="AK89" si="178">AJ89+1</f>
        <v>2059</v>
      </c>
      <c r="AL89" s="120">
        <f t="shared" ref="AL89" si="179">AK89+1</f>
        <v>2060</v>
      </c>
      <c r="AM89" s="120">
        <f t="shared" ref="AM89" si="180">AL89+1</f>
        <v>2061</v>
      </c>
      <c r="AN89" s="120">
        <f t="shared" ref="AN89" si="181">AM89+1</f>
        <v>2062</v>
      </c>
      <c r="AO89" s="120">
        <f t="shared" ref="AO89" si="182">AN89+1</f>
        <v>2063</v>
      </c>
      <c r="AP89" s="120">
        <f t="shared" ref="AP89" si="183">AO89+1</f>
        <v>2064</v>
      </c>
      <c r="AQ89" s="120">
        <f t="shared" ref="AQ89" si="184">AP89+1</f>
        <v>2065</v>
      </c>
      <c r="AR89" s="120">
        <f t="shared" ref="AR89" si="185">AQ89+1</f>
        <v>2066</v>
      </c>
      <c r="AS89" s="120">
        <f t="shared" ref="AS89" si="186">AR89+1</f>
        <v>2067</v>
      </c>
      <c r="AT89" s="120">
        <f t="shared" ref="AT89" si="187">AS89+1</f>
        <v>2068</v>
      </c>
      <c r="AU89" s="120">
        <f t="shared" ref="AU89" si="188">AT89+1</f>
        <v>2069</v>
      </c>
      <c r="AV89" s="120">
        <f t="shared" ref="AV89" si="189">AU89+1</f>
        <v>2070</v>
      </c>
      <c r="AW89" s="120">
        <f t="shared" ref="AW89" si="190">AV89+1</f>
        <v>2071</v>
      </c>
    </row>
    <row r="90" spans="2:49" ht="14.25" customHeight="1">
      <c r="B90" s="45"/>
      <c r="C90" s="121"/>
      <c r="D90" s="122">
        <f>D33</f>
        <v>46023</v>
      </c>
      <c r="E90" s="122">
        <f t="shared" ref="E90:X90" si="191">E33</f>
        <v>46752</v>
      </c>
      <c r="F90" s="122">
        <f t="shared" si="191"/>
        <v>47118</v>
      </c>
      <c r="G90" s="122">
        <f t="shared" si="191"/>
        <v>47483</v>
      </c>
      <c r="H90" s="122">
        <f t="shared" si="191"/>
        <v>47848</v>
      </c>
      <c r="I90" s="122">
        <f t="shared" si="191"/>
        <v>48213</v>
      </c>
      <c r="J90" s="122">
        <f t="shared" si="191"/>
        <v>48579</v>
      </c>
      <c r="K90" s="122">
        <f t="shared" si="191"/>
        <v>48944</v>
      </c>
      <c r="L90" s="122">
        <f t="shared" si="191"/>
        <v>49309</v>
      </c>
      <c r="M90" s="122">
        <f t="shared" si="191"/>
        <v>49674</v>
      </c>
      <c r="N90" s="122">
        <f t="shared" si="191"/>
        <v>50040</v>
      </c>
      <c r="O90" s="122">
        <f t="shared" si="191"/>
        <v>50405</v>
      </c>
      <c r="P90" s="122">
        <f t="shared" si="191"/>
        <v>50770</v>
      </c>
      <c r="Q90" s="122">
        <f t="shared" si="191"/>
        <v>51135</v>
      </c>
      <c r="R90" s="122">
        <f t="shared" si="191"/>
        <v>51501</v>
      </c>
      <c r="S90" s="122">
        <f t="shared" si="191"/>
        <v>51866</v>
      </c>
      <c r="T90" s="122">
        <f t="shared" si="191"/>
        <v>52231</v>
      </c>
      <c r="U90" s="122">
        <f t="shared" si="191"/>
        <v>52596</v>
      </c>
      <c r="V90" s="122">
        <f t="shared" si="191"/>
        <v>52962</v>
      </c>
      <c r="W90" s="122">
        <f t="shared" si="191"/>
        <v>53327</v>
      </c>
      <c r="X90" s="122">
        <f t="shared" si="191"/>
        <v>53692</v>
      </c>
      <c r="Y90" s="122">
        <f t="shared" ref="Y90:AW90" si="192">Y33</f>
        <v>54057</v>
      </c>
      <c r="Z90" s="122">
        <f t="shared" si="192"/>
        <v>54423</v>
      </c>
      <c r="AA90" s="122">
        <f t="shared" si="192"/>
        <v>54788</v>
      </c>
      <c r="AB90" s="122">
        <f t="shared" si="192"/>
        <v>55153</v>
      </c>
      <c r="AC90" s="122">
        <f t="shared" si="192"/>
        <v>55518</v>
      </c>
      <c r="AD90" s="122">
        <f t="shared" si="192"/>
        <v>55884</v>
      </c>
      <c r="AE90" s="122">
        <f t="shared" si="192"/>
        <v>56249</v>
      </c>
      <c r="AF90" s="122">
        <f t="shared" si="192"/>
        <v>56614</v>
      </c>
      <c r="AG90" s="122">
        <f t="shared" si="192"/>
        <v>56979</v>
      </c>
      <c r="AH90" s="122">
        <f t="shared" si="192"/>
        <v>57345</v>
      </c>
      <c r="AI90" s="122">
        <f t="shared" si="192"/>
        <v>57710</v>
      </c>
      <c r="AJ90" s="122">
        <f t="shared" si="192"/>
        <v>58075</v>
      </c>
      <c r="AK90" s="122">
        <f t="shared" si="192"/>
        <v>58440</v>
      </c>
      <c r="AL90" s="122">
        <f t="shared" si="192"/>
        <v>58806</v>
      </c>
      <c r="AM90" s="122">
        <f t="shared" si="192"/>
        <v>59171</v>
      </c>
      <c r="AN90" s="122">
        <f t="shared" si="192"/>
        <v>59536</v>
      </c>
      <c r="AO90" s="122">
        <f t="shared" si="192"/>
        <v>59901</v>
      </c>
      <c r="AP90" s="122">
        <f t="shared" si="192"/>
        <v>60267</v>
      </c>
      <c r="AQ90" s="122">
        <f t="shared" si="192"/>
        <v>60632</v>
      </c>
      <c r="AR90" s="122">
        <f t="shared" si="192"/>
        <v>60997</v>
      </c>
      <c r="AS90" s="122">
        <f t="shared" si="192"/>
        <v>61362</v>
      </c>
      <c r="AT90" s="122">
        <f t="shared" si="192"/>
        <v>61728</v>
      </c>
      <c r="AU90" s="122">
        <f t="shared" si="192"/>
        <v>62093</v>
      </c>
      <c r="AV90" s="122">
        <f t="shared" si="192"/>
        <v>62458</v>
      </c>
      <c r="AW90" s="122">
        <f t="shared" si="192"/>
        <v>62823</v>
      </c>
    </row>
    <row r="91" spans="2:49" ht="14.25" customHeight="1">
      <c r="B91" s="1"/>
      <c r="C91" s="1" t="s">
        <v>443</v>
      </c>
      <c r="D91" s="15">
        <f t="shared" ref="D91:X91" si="193">D40</f>
        <v>-82.5</v>
      </c>
      <c r="E91" s="15">
        <f t="shared" si="193"/>
        <v>-90</v>
      </c>
      <c r="F91" s="15">
        <f t="shared" si="193"/>
        <v>-90</v>
      </c>
      <c r="G91" s="15">
        <f t="shared" si="193"/>
        <v>-90</v>
      </c>
      <c r="H91" s="15">
        <f t="shared" si="193"/>
        <v>15.396820221481086</v>
      </c>
      <c r="I91" s="15">
        <f t="shared" si="193"/>
        <v>41.696985440161171</v>
      </c>
      <c r="J91" s="15">
        <f t="shared" si="193"/>
        <v>42.256952364066258</v>
      </c>
      <c r="K91" s="15">
        <f t="shared" si="193"/>
        <v>42.824647740523538</v>
      </c>
      <c r="L91" s="15">
        <f t="shared" si="193"/>
        <v>43.40015557963725</v>
      </c>
      <c r="M91" s="15">
        <f t="shared" si="193"/>
        <v>43.983559805851826</v>
      </c>
      <c r="N91" s="15">
        <f t="shared" si="193"/>
        <v>44.574944209973381</v>
      </c>
      <c r="O91" s="15">
        <f t="shared" si="193"/>
        <v>45.174392398959107</v>
      </c>
      <c r="P91" s="15">
        <f t="shared" si="193"/>
        <v>45.781987743394161</v>
      </c>
      <c r="Q91" s="15">
        <f t="shared" si="193"/>
        <v>46.397813322572219</v>
      </c>
      <c r="R91" s="15">
        <f t="shared" si="193"/>
        <v>47.021951867093854</v>
      </c>
      <c r="S91" s="15">
        <f t="shared" si="193"/>
        <v>47.65448569889341</v>
      </c>
      <c r="T91" s="15">
        <f t="shared" si="193"/>
        <v>48.295496668602681</v>
      </c>
      <c r="U91" s="15">
        <f t="shared" si="193"/>
        <v>48.945066090156018</v>
      </c>
      <c r="V91" s="15">
        <f t="shared" si="193"/>
        <v>49.603274672539293</v>
      </c>
      <c r="W91" s="15">
        <f t="shared" si="193"/>
        <v>50.27020244858101</v>
      </c>
      <c r="X91" s="15">
        <f t="shared" si="193"/>
        <v>50.945928700681058</v>
      </c>
      <c r="Y91" s="15">
        <f t="shared" ref="Y91:AW91" si="194">Y40</f>
        <v>51.630531883369216</v>
      </c>
      <c r="Z91" s="15">
        <f t="shared" si="194"/>
        <v>52.324089542581667</v>
      </c>
      <c r="AA91" s="15">
        <f t="shared" si="194"/>
        <v>53.026678231540338</v>
      </c>
      <c r="AB91" s="15">
        <f t="shared" si="194"/>
        <v>53.738373423116506</v>
      </c>
      <c r="AC91" s="15">
        <f t="shared" si="194"/>
        <v>54.459249418555189</v>
      </c>
      <c r="AD91" s="15">
        <f t="shared" si="194"/>
        <v>55.189379252434179</v>
      </c>
      <c r="AE91" s="15">
        <f t="shared" si="194"/>
        <v>55.928834593726457</v>
      </c>
      <c r="AF91" s="15">
        <f t="shared" si="194"/>
        <v>56.67768564283115</v>
      </c>
      <c r="AG91" s="15">
        <f t="shared" si="194"/>
        <v>57.436001024432954</v>
      </c>
      <c r="AH91" s="15">
        <f t="shared" si="194"/>
        <v>0</v>
      </c>
      <c r="AI91" s="15">
        <f t="shared" si="194"/>
        <v>0</v>
      </c>
      <c r="AJ91" s="15">
        <f t="shared" si="194"/>
        <v>0</v>
      </c>
      <c r="AK91" s="15">
        <f t="shared" si="194"/>
        <v>0</v>
      </c>
      <c r="AL91" s="15">
        <f t="shared" si="194"/>
        <v>0</v>
      </c>
      <c r="AM91" s="15">
        <f t="shared" si="194"/>
        <v>0</v>
      </c>
      <c r="AN91" s="15">
        <f t="shared" si="194"/>
        <v>0</v>
      </c>
      <c r="AO91" s="15">
        <f t="shared" si="194"/>
        <v>0</v>
      </c>
      <c r="AP91" s="15">
        <f t="shared" si="194"/>
        <v>0</v>
      </c>
      <c r="AQ91" s="15">
        <f t="shared" si="194"/>
        <v>0</v>
      </c>
      <c r="AR91" s="15">
        <f t="shared" si="194"/>
        <v>0</v>
      </c>
      <c r="AS91" s="15">
        <f t="shared" si="194"/>
        <v>0</v>
      </c>
      <c r="AT91" s="15">
        <f t="shared" si="194"/>
        <v>0</v>
      </c>
      <c r="AU91" s="15">
        <f t="shared" si="194"/>
        <v>0</v>
      </c>
      <c r="AV91" s="15">
        <f t="shared" si="194"/>
        <v>0</v>
      </c>
      <c r="AW91" s="15">
        <f t="shared" si="194"/>
        <v>0</v>
      </c>
    </row>
    <row r="92" spans="2:49" ht="14.25" customHeight="1">
      <c r="B92" s="1"/>
      <c r="C92" s="1" t="s">
        <v>444</v>
      </c>
      <c r="D92" s="8"/>
      <c r="E92" s="15">
        <f t="shared" ref="E92:X92" si="195">E103</f>
        <v>0</v>
      </c>
      <c r="F92" s="15">
        <f t="shared" si="195"/>
        <v>0</v>
      </c>
      <c r="G92" s="15">
        <f t="shared" si="195"/>
        <v>0</v>
      </c>
      <c r="H92" s="15">
        <f t="shared" si="195"/>
        <v>0</v>
      </c>
      <c r="I92" s="15">
        <f t="shared" si="195"/>
        <v>0</v>
      </c>
      <c r="J92" s="15">
        <f t="shared" si="195"/>
        <v>0</v>
      </c>
      <c r="K92" s="15">
        <f t="shared" si="195"/>
        <v>0</v>
      </c>
      <c r="L92" s="15">
        <f t="shared" si="195"/>
        <v>0</v>
      </c>
      <c r="M92" s="15">
        <f t="shared" si="195"/>
        <v>0</v>
      </c>
      <c r="N92" s="15">
        <f t="shared" si="195"/>
        <v>0</v>
      </c>
      <c r="O92" s="15">
        <f t="shared" si="195"/>
        <v>0</v>
      </c>
      <c r="P92" s="15">
        <f t="shared" si="195"/>
        <v>0</v>
      </c>
      <c r="Q92" s="15">
        <f t="shared" si="195"/>
        <v>0</v>
      </c>
      <c r="R92" s="15">
        <f t="shared" si="195"/>
        <v>0</v>
      </c>
      <c r="S92" s="15">
        <f t="shared" si="195"/>
        <v>0</v>
      </c>
      <c r="T92" s="15">
        <f t="shared" si="195"/>
        <v>0</v>
      </c>
      <c r="U92" s="15">
        <f t="shared" si="195"/>
        <v>0</v>
      </c>
      <c r="V92" s="15">
        <f t="shared" si="195"/>
        <v>0</v>
      </c>
      <c r="W92" s="15">
        <f t="shared" si="195"/>
        <v>0</v>
      </c>
      <c r="X92" s="15">
        <f t="shared" si="195"/>
        <v>0</v>
      </c>
      <c r="Y92" s="15">
        <f t="shared" ref="Y92:AW92" si="196">Y103</f>
        <v>0</v>
      </c>
      <c r="Z92" s="15">
        <f t="shared" si="196"/>
        <v>0</v>
      </c>
      <c r="AA92" s="15">
        <f t="shared" si="196"/>
        <v>0</v>
      </c>
      <c r="AB92" s="15">
        <f t="shared" si="196"/>
        <v>0</v>
      </c>
      <c r="AC92" s="15">
        <f t="shared" si="196"/>
        <v>0</v>
      </c>
      <c r="AD92" s="15">
        <f t="shared" si="196"/>
        <v>0</v>
      </c>
      <c r="AE92" s="15">
        <f t="shared" si="196"/>
        <v>0</v>
      </c>
      <c r="AF92" s="15">
        <f t="shared" si="196"/>
        <v>0</v>
      </c>
      <c r="AG92" s="15">
        <f t="shared" si="196"/>
        <v>0</v>
      </c>
      <c r="AH92" s="15">
        <f t="shared" si="196"/>
        <v>0</v>
      </c>
      <c r="AI92" s="15">
        <f t="shared" si="196"/>
        <v>0</v>
      </c>
      <c r="AJ92" s="15">
        <f t="shared" si="196"/>
        <v>0</v>
      </c>
      <c r="AK92" s="15">
        <f t="shared" si="196"/>
        <v>0</v>
      </c>
      <c r="AL92" s="15">
        <f t="shared" si="196"/>
        <v>0</v>
      </c>
      <c r="AM92" s="15">
        <f t="shared" si="196"/>
        <v>0</v>
      </c>
      <c r="AN92" s="15">
        <f t="shared" si="196"/>
        <v>0</v>
      </c>
      <c r="AO92" s="15">
        <f t="shared" si="196"/>
        <v>0</v>
      </c>
      <c r="AP92" s="15">
        <f t="shared" si="196"/>
        <v>0</v>
      </c>
      <c r="AQ92" s="15">
        <f t="shared" si="196"/>
        <v>0</v>
      </c>
      <c r="AR92" s="15">
        <f t="shared" si="196"/>
        <v>0</v>
      </c>
      <c r="AS92" s="15">
        <f t="shared" si="196"/>
        <v>0</v>
      </c>
      <c r="AT92" s="15">
        <f t="shared" si="196"/>
        <v>0</v>
      </c>
      <c r="AU92" s="15">
        <f t="shared" si="196"/>
        <v>0</v>
      </c>
      <c r="AV92" s="15">
        <f t="shared" si="196"/>
        <v>0</v>
      </c>
      <c r="AW92" s="15">
        <f t="shared" si="196"/>
        <v>0</v>
      </c>
    </row>
    <row r="93" spans="2:49" ht="14.25" customHeight="1">
      <c r="B93" s="1"/>
      <c r="C93" s="1" t="s">
        <v>445</v>
      </c>
      <c r="D93" s="1"/>
      <c r="E93" s="29">
        <f>IFERROR(E91/E92,0)</f>
        <v>0</v>
      </c>
      <c r="F93" s="29">
        <f t="shared" ref="F93:X93" si="197">IFERROR(F91/F92,0)</f>
        <v>0</v>
      </c>
      <c r="G93" s="29">
        <f t="shared" si="197"/>
        <v>0</v>
      </c>
      <c r="H93" s="29">
        <f t="shared" si="197"/>
        <v>0</v>
      </c>
      <c r="I93" s="29">
        <f t="shared" si="197"/>
        <v>0</v>
      </c>
      <c r="J93" s="29">
        <f t="shared" si="197"/>
        <v>0</v>
      </c>
      <c r="K93" s="29">
        <f t="shared" si="197"/>
        <v>0</v>
      </c>
      <c r="L93" s="29">
        <f t="shared" si="197"/>
        <v>0</v>
      </c>
      <c r="M93" s="29">
        <f t="shared" si="197"/>
        <v>0</v>
      </c>
      <c r="N93" s="29">
        <f t="shared" si="197"/>
        <v>0</v>
      </c>
      <c r="O93" s="29">
        <f t="shared" si="197"/>
        <v>0</v>
      </c>
      <c r="P93" s="29">
        <f t="shared" si="197"/>
        <v>0</v>
      </c>
      <c r="Q93" s="29">
        <f t="shared" si="197"/>
        <v>0</v>
      </c>
      <c r="R93" s="29">
        <f t="shared" si="197"/>
        <v>0</v>
      </c>
      <c r="S93" s="29">
        <f t="shared" si="197"/>
        <v>0</v>
      </c>
      <c r="T93" s="29">
        <f t="shared" si="197"/>
        <v>0</v>
      </c>
      <c r="U93" s="29">
        <f t="shared" si="197"/>
        <v>0</v>
      </c>
      <c r="V93" s="29">
        <f t="shared" si="197"/>
        <v>0</v>
      </c>
      <c r="W93" s="29">
        <f t="shared" si="197"/>
        <v>0</v>
      </c>
      <c r="X93" s="29">
        <f t="shared" si="197"/>
        <v>0</v>
      </c>
      <c r="Y93" s="29">
        <f t="shared" ref="Y93:AW93" si="198">IFERROR(Y91/Y92,0)</f>
        <v>0</v>
      </c>
      <c r="Z93" s="29">
        <f t="shared" si="198"/>
        <v>0</v>
      </c>
      <c r="AA93" s="29">
        <f t="shared" si="198"/>
        <v>0</v>
      </c>
      <c r="AB93" s="29">
        <f t="shared" si="198"/>
        <v>0</v>
      </c>
      <c r="AC93" s="29">
        <f t="shared" si="198"/>
        <v>0</v>
      </c>
      <c r="AD93" s="29">
        <f t="shared" si="198"/>
        <v>0</v>
      </c>
      <c r="AE93" s="29">
        <f t="shared" si="198"/>
        <v>0</v>
      </c>
      <c r="AF93" s="29">
        <f t="shared" si="198"/>
        <v>0</v>
      </c>
      <c r="AG93" s="29">
        <f t="shared" si="198"/>
        <v>0</v>
      </c>
      <c r="AH93" s="29">
        <f t="shared" si="198"/>
        <v>0</v>
      </c>
      <c r="AI93" s="29">
        <f t="shared" si="198"/>
        <v>0</v>
      </c>
      <c r="AJ93" s="29">
        <f t="shared" si="198"/>
        <v>0</v>
      </c>
      <c r="AK93" s="29">
        <f t="shared" si="198"/>
        <v>0</v>
      </c>
      <c r="AL93" s="29">
        <f t="shared" si="198"/>
        <v>0</v>
      </c>
      <c r="AM93" s="29">
        <f t="shared" si="198"/>
        <v>0</v>
      </c>
      <c r="AN93" s="29">
        <f t="shared" si="198"/>
        <v>0</v>
      </c>
      <c r="AO93" s="29">
        <f t="shared" si="198"/>
        <v>0</v>
      </c>
      <c r="AP93" s="29">
        <f t="shared" si="198"/>
        <v>0</v>
      </c>
      <c r="AQ93" s="29">
        <f t="shared" si="198"/>
        <v>0</v>
      </c>
      <c r="AR93" s="29">
        <f t="shared" si="198"/>
        <v>0</v>
      </c>
      <c r="AS93" s="29">
        <f t="shared" si="198"/>
        <v>0</v>
      </c>
      <c r="AT93" s="29">
        <f t="shared" si="198"/>
        <v>0</v>
      </c>
      <c r="AU93" s="29">
        <f t="shared" si="198"/>
        <v>0</v>
      </c>
      <c r="AV93" s="29">
        <f t="shared" si="198"/>
        <v>0</v>
      </c>
      <c r="AW93" s="29">
        <f t="shared" si="198"/>
        <v>0</v>
      </c>
    </row>
    <row r="94" spans="2:49" ht="14.25" customHeight="1">
      <c r="B94" s="2" t="s">
        <v>351</v>
      </c>
      <c r="C94" s="2" t="s">
        <v>446</v>
      </c>
      <c r="D94" s="30">
        <f>-'Assumptions &amp; Inputs'!G7*SUM(E65,E67)</f>
        <v>-360</v>
      </c>
      <c r="E94" s="31">
        <f t="shared" ref="E94:X94" si="199">SUM(E91,-E92)</f>
        <v>-90</v>
      </c>
      <c r="F94" s="31">
        <f t="shared" si="199"/>
        <v>-90</v>
      </c>
      <c r="G94" s="31">
        <f t="shared" si="199"/>
        <v>-90</v>
      </c>
      <c r="H94" s="31">
        <f t="shared" si="199"/>
        <v>15.396820221481086</v>
      </c>
      <c r="I94" s="31">
        <f t="shared" si="199"/>
        <v>41.696985440161171</v>
      </c>
      <c r="J94" s="31">
        <f t="shared" si="199"/>
        <v>42.256952364066258</v>
      </c>
      <c r="K94" s="31">
        <f t="shared" si="199"/>
        <v>42.824647740523538</v>
      </c>
      <c r="L94" s="31">
        <f t="shared" si="199"/>
        <v>43.40015557963725</v>
      </c>
      <c r="M94" s="31">
        <f t="shared" si="199"/>
        <v>43.983559805851826</v>
      </c>
      <c r="N94" s="31">
        <f t="shared" si="199"/>
        <v>44.574944209973381</v>
      </c>
      <c r="O94" s="31">
        <f t="shared" si="199"/>
        <v>45.174392398959107</v>
      </c>
      <c r="P94" s="31">
        <f t="shared" si="199"/>
        <v>45.781987743394161</v>
      </c>
      <c r="Q94" s="31">
        <f t="shared" si="199"/>
        <v>46.397813322572219</v>
      </c>
      <c r="R94" s="31">
        <f t="shared" si="199"/>
        <v>47.021951867093854</v>
      </c>
      <c r="S94" s="31">
        <f t="shared" si="199"/>
        <v>47.65448569889341</v>
      </c>
      <c r="T94" s="31">
        <f t="shared" si="199"/>
        <v>48.295496668602681</v>
      </c>
      <c r="U94" s="31">
        <f t="shared" si="199"/>
        <v>48.945066090156018</v>
      </c>
      <c r="V94" s="31">
        <f t="shared" si="199"/>
        <v>49.603274672539293</v>
      </c>
      <c r="W94" s="31">
        <f t="shared" si="199"/>
        <v>50.27020244858101</v>
      </c>
      <c r="X94" s="31">
        <f t="shared" si="199"/>
        <v>50.945928700681058</v>
      </c>
      <c r="Y94" s="31">
        <f t="shared" ref="Y94:AW94" si="200">SUM(Y91,-Y92)</f>
        <v>51.630531883369216</v>
      </c>
      <c r="Z94" s="31">
        <f t="shared" si="200"/>
        <v>52.324089542581667</v>
      </c>
      <c r="AA94" s="31">
        <f t="shared" si="200"/>
        <v>53.026678231540338</v>
      </c>
      <c r="AB94" s="31">
        <f t="shared" si="200"/>
        <v>53.738373423116506</v>
      </c>
      <c r="AC94" s="31">
        <f t="shared" si="200"/>
        <v>54.459249418555189</v>
      </c>
      <c r="AD94" s="31">
        <f t="shared" si="200"/>
        <v>55.189379252434179</v>
      </c>
      <c r="AE94" s="31">
        <f t="shared" si="200"/>
        <v>55.928834593726457</v>
      </c>
      <c r="AF94" s="31">
        <f t="shared" si="200"/>
        <v>56.67768564283115</v>
      </c>
      <c r="AG94" s="31">
        <f t="shared" si="200"/>
        <v>57.436001024432954</v>
      </c>
      <c r="AH94" s="31">
        <f t="shared" si="200"/>
        <v>0</v>
      </c>
      <c r="AI94" s="31">
        <f t="shared" si="200"/>
        <v>0</v>
      </c>
      <c r="AJ94" s="31">
        <f t="shared" si="200"/>
        <v>0</v>
      </c>
      <c r="AK94" s="31">
        <f t="shared" si="200"/>
        <v>0</v>
      </c>
      <c r="AL94" s="31">
        <f t="shared" si="200"/>
        <v>0</v>
      </c>
      <c r="AM94" s="31">
        <f t="shared" si="200"/>
        <v>0</v>
      </c>
      <c r="AN94" s="31">
        <f t="shared" si="200"/>
        <v>0</v>
      </c>
      <c r="AO94" s="31">
        <f t="shared" si="200"/>
        <v>0</v>
      </c>
      <c r="AP94" s="31">
        <f t="shared" si="200"/>
        <v>0</v>
      </c>
      <c r="AQ94" s="31">
        <f t="shared" si="200"/>
        <v>0</v>
      </c>
      <c r="AR94" s="31">
        <f t="shared" si="200"/>
        <v>0</v>
      </c>
      <c r="AS94" s="31">
        <f t="shared" si="200"/>
        <v>0</v>
      </c>
      <c r="AT94" s="31">
        <f t="shared" si="200"/>
        <v>0</v>
      </c>
      <c r="AU94" s="31">
        <f t="shared" si="200"/>
        <v>0</v>
      </c>
      <c r="AV94" s="31">
        <f t="shared" si="200"/>
        <v>0</v>
      </c>
      <c r="AW94" s="31">
        <f t="shared" si="200"/>
        <v>0</v>
      </c>
    </row>
    <row r="95" spans="2:49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2:49" ht="14.25" customHeight="1">
      <c r="B96" s="1"/>
      <c r="C96" s="1" t="s">
        <v>447</v>
      </c>
      <c r="D96" s="119">
        <v>0</v>
      </c>
      <c r="E96" s="119">
        <f t="shared" ref="E96:X96" si="201">D96+1</f>
        <v>1</v>
      </c>
      <c r="F96" s="119">
        <f t="shared" si="201"/>
        <v>2</v>
      </c>
      <c r="G96" s="119">
        <f t="shared" si="201"/>
        <v>3</v>
      </c>
      <c r="H96" s="119">
        <f t="shared" si="201"/>
        <v>4</v>
      </c>
      <c r="I96" s="119">
        <f t="shared" si="201"/>
        <v>5</v>
      </c>
      <c r="J96" s="119">
        <f t="shared" si="201"/>
        <v>6</v>
      </c>
      <c r="K96" s="119">
        <f t="shared" si="201"/>
        <v>7</v>
      </c>
      <c r="L96" s="119">
        <f t="shared" si="201"/>
        <v>8</v>
      </c>
      <c r="M96" s="119">
        <f t="shared" si="201"/>
        <v>9</v>
      </c>
      <c r="N96" s="119">
        <f t="shared" si="201"/>
        <v>10</v>
      </c>
      <c r="O96" s="119">
        <f t="shared" si="201"/>
        <v>11</v>
      </c>
      <c r="P96" s="119">
        <f t="shared" si="201"/>
        <v>12</v>
      </c>
      <c r="Q96" s="119">
        <f t="shared" si="201"/>
        <v>13</v>
      </c>
      <c r="R96" s="119">
        <f t="shared" si="201"/>
        <v>14</v>
      </c>
      <c r="S96" s="119">
        <f t="shared" si="201"/>
        <v>15</v>
      </c>
      <c r="T96" s="119">
        <f t="shared" si="201"/>
        <v>16</v>
      </c>
      <c r="U96" s="119">
        <f t="shared" si="201"/>
        <v>17</v>
      </c>
      <c r="V96" s="119">
        <f t="shared" si="201"/>
        <v>18</v>
      </c>
      <c r="W96" s="119">
        <f t="shared" si="201"/>
        <v>19</v>
      </c>
      <c r="X96" s="119">
        <f t="shared" si="201"/>
        <v>20</v>
      </c>
      <c r="Y96" s="119">
        <f t="shared" ref="Y96" si="202">X96+1</f>
        <v>21</v>
      </c>
      <c r="Z96" s="119">
        <f t="shared" ref="Z96" si="203">Y96+1</f>
        <v>22</v>
      </c>
      <c r="AA96" s="119">
        <f t="shared" ref="AA96" si="204">Z96+1</f>
        <v>23</v>
      </c>
      <c r="AB96" s="119">
        <f t="shared" ref="AB96" si="205">AA96+1</f>
        <v>24</v>
      </c>
      <c r="AC96" s="119">
        <f t="shared" ref="AC96" si="206">AB96+1</f>
        <v>25</v>
      </c>
      <c r="AD96" s="119">
        <f t="shared" ref="AD96" si="207">AC96+1</f>
        <v>26</v>
      </c>
      <c r="AE96" s="119">
        <f t="shared" ref="AE96" si="208">AD96+1</f>
        <v>27</v>
      </c>
      <c r="AF96" s="119">
        <f t="shared" ref="AF96" si="209">AE96+1</f>
        <v>28</v>
      </c>
      <c r="AG96" s="119">
        <f t="shared" ref="AG96" si="210">AF96+1</f>
        <v>29</v>
      </c>
      <c r="AH96" s="119">
        <f t="shared" ref="AH96" si="211">AG96+1</f>
        <v>30</v>
      </c>
      <c r="AI96" s="119">
        <f t="shared" ref="AI96" si="212">AH96+1</f>
        <v>31</v>
      </c>
      <c r="AJ96" s="119">
        <f t="shared" ref="AJ96" si="213">AI96+1</f>
        <v>32</v>
      </c>
      <c r="AK96" s="119">
        <f t="shared" ref="AK96" si="214">AJ96+1</f>
        <v>33</v>
      </c>
      <c r="AL96" s="119">
        <f t="shared" ref="AL96" si="215">AK96+1</f>
        <v>34</v>
      </c>
      <c r="AM96" s="119">
        <f t="shared" ref="AM96" si="216">AL96+1</f>
        <v>35</v>
      </c>
      <c r="AN96" s="119">
        <f t="shared" ref="AN96" si="217">AM96+1</f>
        <v>36</v>
      </c>
      <c r="AO96" s="119">
        <f t="shared" ref="AO96" si="218">AN96+1</f>
        <v>37</v>
      </c>
      <c r="AP96" s="119">
        <f t="shared" ref="AP96" si="219">AO96+1</f>
        <v>38</v>
      </c>
      <c r="AQ96" s="119">
        <f t="shared" ref="AQ96" si="220">AP96+1</f>
        <v>39</v>
      </c>
      <c r="AR96" s="119">
        <f t="shared" ref="AR96" si="221">AQ96+1</f>
        <v>40</v>
      </c>
      <c r="AS96" s="119">
        <f t="shared" ref="AS96" si="222">AR96+1</f>
        <v>41</v>
      </c>
      <c r="AT96" s="119">
        <f t="shared" ref="AT96" si="223">AS96+1</f>
        <v>42</v>
      </c>
      <c r="AU96" s="119">
        <f t="shared" ref="AU96" si="224">AT96+1</f>
        <v>43</v>
      </c>
      <c r="AV96" s="119">
        <f t="shared" ref="AV96" si="225">AU96+1</f>
        <v>44</v>
      </c>
      <c r="AW96" s="119">
        <f t="shared" ref="AW96" si="226">AV96+1</f>
        <v>45</v>
      </c>
    </row>
    <row r="97" spans="1:49" ht="14.25" customHeight="1">
      <c r="A97" s="1"/>
      <c r="B97" s="1"/>
      <c r="C97" s="1" t="s">
        <v>448</v>
      </c>
      <c r="D97" s="501">
        <f>IF(D89&lt;=YEAR('Assumptions &amp; Inputs'!$I$29), $E$79, IF(ISNUMBER(C99), C99, 0))</f>
        <v>0</v>
      </c>
      <c r="E97" s="501">
        <f>IF(E89&lt;=YEAR('Assumptions &amp; Inputs'!$I$29), $E$79, IF(ISNUMBER(D99), D99, 0))</f>
        <v>0</v>
      </c>
      <c r="F97" s="501">
        <f>IF(F89&lt;=YEAR('Assumptions &amp; Inputs'!$I$29), $E$79, IF(ISNUMBER(E99), E99, 0))</f>
        <v>0</v>
      </c>
      <c r="G97" s="501">
        <f>IF(G89&lt;=YEAR('Assumptions &amp; Inputs'!$I$29), $E$79, IF(ISNUMBER(F99), F99, 0))</f>
        <v>0</v>
      </c>
      <c r="H97" s="501">
        <f>IF(H89&lt;=YEAR('Assumptions &amp; Inputs'!$I$29), $E$79, IF(ISNUMBER(G99), G99, 0))</f>
        <v>0</v>
      </c>
      <c r="I97" s="501">
        <f>IF(I89&lt;=YEAR('Assumptions &amp; Inputs'!$I$29), $E$79, IF(ISNUMBER(H99), H99, 0))</f>
        <v>0</v>
      </c>
      <c r="J97" s="501">
        <f>IF(J89&lt;=YEAR('Assumptions &amp; Inputs'!$I$29), $E$79, IF(ISNUMBER(I99), I99, 0))</f>
        <v>0</v>
      </c>
      <c r="K97" s="501">
        <f>IF(K89&lt;=YEAR('Assumptions &amp; Inputs'!$I$29), $E$79, IF(ISNUMBER(J99), J99, 0))</f>
        <v>0</v>
      </c>
      <c r="L97" s="501">
        <f>IF(L89&lt;=YEAR('Assumptions &amp; Inputs'!$I$29), $E$79, IF(ISNUMBER(K99), K99, 0))</f>
        <v>0</v>
      </c>
      <c r="M97" s="501">
        <f>IF(M89&lt;=YEAR('Assumptions &amp; Inputs'!$I$29), $E$79, IF(ISNUMBER(L99), L99, 0))</f>
        <v>0</v>
      </c>
      <c r="N97" s="501">
        <f>IF(N89&lt;=YEAR('Assumptions &amp; Inputs'!$I$29), $E$79, IF(ISNUMBER(M99), M99, 0))</f>
        <v>0</v>
      </c>
      <c r="O97" s="501">
        <f>IF(O89&lt;=YEAR('Assumptions &amp; Inputs'!$I$29), $E$79, IF(ISNUMBER(N99), N99, 0))</f>
        <v>0</v>
      </c>
      <c r="P97" s="501">
        <f>IF(P89&lt;=YEAR('Assumptions &amp; Inputs'!$I$29), $E$79, IF(ISNUMBER(O99), O99, 0))</f>
        <v>0</v>
      </c>
      <c r="Q97" s="501">
        <f>IF(Q89&lt;=YEAR('Assumptions &amp; Inputs'!$I$29), $E$79, IF(ISNUMBER(P99), P99, 0))</f>
        <v>0</v>
      </c>
      <c r="R97" s="501">
        <f>IF(R89&lt;=YEAR('Assumptions &amp; Inputs'!$I$29), $E$79, IF(ISNUMBER(Q99), Q99, 0))</f>
        <v>0</v>
      </c>
      <c r="S97" s="501">
        <f>IF(S89&lt;=YEAR('Assumptions &amp; Inputs'!$I$29), $E$79, IF(ISNUMBER(R99), R99, 0))</f>
        <v>0</v>
      </c>
      <c r="T97" s="501">
        <f>IF(T89&lt;=YEAR('Assumptions &amp; Inputs'!$I$29), $E$79, IF(ISNUMBER(S99), S99, 0))</f>
        <v>0</v>
      </c>
      <c r="U97" s="501">
        <f>IF(U89&lt;=YEAR('Assumptions &amp; Inputs'!$I$29), $E$79, IF(ISNUMBER(T99), T99, 0))</f>
        <v>0</v>
      </c>
      <c r="V97" s="501">
        <f>IF(V89&lt;=YEAR('Assumptions &amp; Inputs'!$I$29), $E$79, IF(ISNUMBER(U99), U99, 0))</f>
        <v>0</v>
      </c>
      <c r="W97" s="501">
        <f>IF(W89&lt;=YEAR('Assumptions &amp; Inputs'!$I$29), $E$79, IF(ISNUMBER(V99), V99, 0))</f>
        <v>0</v>
      </c>
      <c r="X97" s="501">
        <f>IF(X89&lt;=YEAR('Assumptions &amp; Inputs'!$I$29), $E$79, IF(ISNUMBER(W99), W99, 0))</f>
        <v>0</v>
      </c>
      <c r="Y97" s="501">
        <f>IF(Y89&lt;=YEAR('Assumptions &amp; Inputs'!$I$29), $E$79, IF(ISNUMBER(X99), X99, 0))</f>
        <v>0</v>
      </c>
      <c r="Z97" s="501">
        <f>IF(Z89&lt;=YEAR('Assumptions &amp; Inputs'!$I$29), $E$79, IF(ISNUMBER(Y99), Y99, 0))</f>
        <v>0</v>
      </c>
      <c r="AA97" s="501">
        <f>IF(AA89&lt;=YEAR('Assumptions &amp; Inputs'!$I$29), $E$79, IF(ISNUMBER(Z99), Z99, 0))</f>
        <v>0</v>
      </c>
      <c r="AB97" s="501">
        <f>IF(AB89&lt;=YEAR('Assumptions &amp; Inputs'!$I$29), $E$79, IF(ISNUMBER(AA99), AA99, 0))</f>
        <v>0</v>
      </c>
      <c r="AC97" s="501">
        <f>IF(AC89&lt;=YEAR('Assumptions &amp; Inputs'!$I$29), $E$79, IF(ISNUMBER(AB99), AB99, 0))</f>
        <v>0</v>
      </c>
      <c r="AD97" s="501">
        <f>IF(AD89&lt;=YEAR('Assumptions &amp; Inputs'!$I$29), $E$79, IF(ISNUMBER(AC99), AC99, 0))</f>
        <v>0</v>
      </c>
      <c r="AE97" s="501">
        <f>IF(AE89&lt;=YEAR('Assumptions &amp; Inputs'!$I$29), $E$79, IF(ISNUMBER(AD99), AD99, 0))</f>
        <v>0</v>
      </c>
      <c r="AF97" s="501">
        <f>IF(AF89&lt;=YEAR('Assumptions &amp; Inputs'!$I$29), $E$79, IF(ISNUMBER(AE99), AE99, 0))</f>
        <v>0</v>
      </c>
      <c r="AG97" s="501">
        <f>IF(AG89&lt;=YEAR('Assumptions &amp; Inputs'!$I$29), $E$79, IF(ISNUMBER(AF99), AF99, 0))</f>
        <v>0</v>
      </c>
      <c r="AH97" s="501">
        <f>IF(AH89&lt;=YEAR('Assumptions &amp; Inputs'!$I$29), $E$79, IF(ISNUMBER(AG99), AG99, 0))</f>
        <v>0</v>
      </c>
      <c r="AI97" s="501">
        <f>IF(AI89&lt;=YEAR('Assumptions &amp; Inputs'!$I$29), $E$79, IF(ISNUMBER(AH99), AH99, 0))</f>
        <v>0</v>
      </c>
      <c r="AJ97" s="501">
        <f>IF(AJ89&lt;=YEAR('Assumptions &amp; Inputs'!$I$29), $E$79, IF(ISNUMBER(AI99), AI99, 0))</f>
        <v>0</v>
      </c>
      <c r="AK97" s="501">
        <f>IF(AK89&lt;=YEAR('Assumptions &amp; Inputs'!$I$29), $E$79, IF(ISNUMBER(AJ99), AJ99, 0))</f>
        <v>0</v>
      </c>
      <c r="AL97" s="501">
        <f>IF(AL89&lt;=YEAR('Assumptions &amp; Inputs'!$I$29), $E$79, IF(ISNUMBER(AK99), AK99, 0))</f>
        <v>0</v>
      </c>
      <c r="AM97" s="501">
        <f>IF(AM89&lt;=YEAR('Assumptions &amp; Inputs'!$I$29), $E$79, IF(ISNUMBER(AL99), AL99, 0))</f>
        <v>0</v>
      </c>
      <c r="AN97" s="501">
        <f>IF(AN89&lt;=YEAR('Assumptions &amp; Inputs'!$I$29), $E$79, IF(ISNUMBER(AM99), AM99, 0))</f>
        <v>0</v>
      </c>
      <c r="AO97" s="501">
        <f>IF(AO89&lt;=YEAR('Assumptions &amp; Inputs'!$I$29), $E$79, IF(ISNUMBER(AN99), AN99, 0))</f>
        <v>0</v>
      </c>
      <c r="AP97" s="501">
        <f>IF(AP89&lt;=YEAR('Assumptions &amp; Inputs'!$I$29), $E$79, IF(ISNUMBER(AO99), AO99, 0))</f>
        <v>0</v>
      </c>
      <c r="AQ97" s="501">
        <f>IF(AQ89&lt;=YEAR('Assumptions &amp; Inputs'!$I$29), $E$79, IF(ISNUMBER(AP99), AP99, 0))</f>
        <v>0</v>
      </c>
      <c r="AR97" s="501">
        <f>IF(AR89&lt;=YEAR('Assumptions &amp; Inputs'!$I$29), $E$79, IF(ISNUMBER(AQ99), AQ99, 0))</f>
        <v>0</v>
      </c>
      <c r="AS97" s="501">
        <f>IF(AS89&lt;=YEAR('Assumptions &amp; Inputs'!$I$29), $E$79, IF(ISNUMBER(AR99), AR99, 0))</f>
        <v>0</v>
      </c>
      <c r="AT97" s="501">
        <f>IF(AT89&lt;=YEAR('Assumptions &amp; Inputs'!$I$29), $E$79, IF(ISNUMBER(AS99), AS99, 0))</f>
        <v>0</v>
      </c>
      <c r="AU97" s="501">
        <f>IF(AU89&lt;=YEAR('Assumptions &amp; Inputs'!$I$29), $E$79, IF(ISNUMBER(AT99), AT99, 0))</f>
        <v>0</v>
      </c>
      <c r="AV97" s="501">
        <f>IF(AV89&lt;=YEAR('Assumptions &amp; Inputs'!$I$29), $E$79, IF(ISNUMBER(AU99), AU99, 0))</f>
        <v>0</v>
      </c>
      <c r="AW97" s="501">
        <f>IF(AW89&lt;=YEAR('Assumptions &amp; Inputs'!$I$29), $E$79, IF(ISNUMBER(AV99), AV99, 0))</f>
        <v>0</v>
      </c>
    </row>
    <row r="98" spans="1:49" ht="14.25" customHeight="1">
      <c r="A98" s="1"/>
      <c r="B98" s="1"/>
      <c r="C98" s="1" t="s">
        <v>449</v>
      </c>
      <c r="D98" s="501"/>
      <c r="E98" s="501">
        <f>IFERROR(PPMT('Assumptions &amp; Inputs'!$I$10,E89-YEAR('Assumptions &amp; Inputs'!$I$29),'Assumptions &amp; Inputs'!$I$9,$E$79), 0)</f>
        <v>0</v>
      </c>
      <c r="F98" s="501">
        <f>IFERROR(PPMT('Assumptions &amp; Inputs'!$I$10,F89-YEAR('Assumptions &amp; Inputs'!$I$29),'Assumptions &amp; Inputs'!$I$9,$E$79), 0)</f>
        <v>0</v>
      </c>
      <c r="G98" s="501">
        <f>IFERROR(PPMT('Assumptions &amp; Inputs'!$I$10,G89-YEAR('Assumptions &amp; Inputs'!$I$29),'Assumptions &amp; Inputs'!$I$9,$E$79), 0)</f>
        <v>0</v>
      </c>
      <c r="H98" s="501">
        <f>IFERROR(PPMT('Assumptions &amp; Inputs'!$I$10,H89-YEAR('Assumptions &amp; Inputs'!$I$29),'Assumptions &amp; Inputs'!$I$9,$E$79), 0)</f>
        <v>0</v>
      </c>
      <c r="I98" s="501">
        <f>IFERROR(PPMT('Assumptions &amp; Inputs'!$I$10,I89-YEAR('Assumptions &amp; Inputs'!$I$29),'Assumptions &amp; Inputs'!$I$9,$E$79), 0)</f>
        <v>0</v>
      </c>
      <c r="J98" s="501">
        <f>IFERROR(PPMT('Assumptions &amp; Inputs'!$I$10,J89-YEAR('Assumptions &amp; Inputs'!$I$29),'Assumptions &amp; Inputs'!$I$9,$E$79), 0)</f>
        <v>0</v>
      </c>
      <c r="K98" s="501">
        <f>IFERROR(PPMT('Assumptions &amp; Inputs'!$I$10,K89-YEAR('Assumptions &amp; Inputs'!$I$29),'Assumptions &amp; Inputs'!$I$9,$E$79), 0)</f>
        <v>0</v>
      </c>
      <c r="L98" s="501">
        <f>IFERROR(PPMT('Assumptions &amp; Inputs'!$I$10,L89-YEAR('Assumptions &amp; Inputs'!$I$29),'Assumptions &amp; Inputs'!$I$9,$E$79), 0)</f>
        <v>0</v>
      </c>
      <c r="M98" s="501">
        <f>IFERROR(PPMT('Assumptions &amp; Inputs'!$I$10,M89-YEAR('Assumptions &amp; Inputs'!$I$29),'Assumptions &amp; Inputs'!$I$9,$E$79), 0)</f>
        <v>0</v>
      </c>
      <c r="N98" s="501">
        <f>IFERROR(PPMT('Assumptions &amp; Inputs'!$I$10,N89-YEAR('Assumptions &amp; Inputs'!$I$29),'Assumptions &amp; Inputs'!$I$9,$E$79), 0)</f>
        <v>0</v>
      </c>
      <c r="O98" s="501">
        <f>IFERROR(PPMT('Assumptions &amp; Inputs'!$I$10,O89-YEAR('Assumptions &amp; Inputs'!$I$29),'Assumptions &amp; Inputs'!$I$9,$E$79), 0)</f>
        <v>0</v>
      </c>
      <c r="P98" s="501">
        <f>IFERROR(PPMT('Assumptions &amp; Inputs'!$I$10,P89-YEAR('Assumptions &amp; Inputs'!$I$29),'Assumptions &amp; Inputs'!$I$9,$E$79), 0)</f>
        <v>0</v>
      </c>
      <c r="Q98" s="501">
        <f>IFERROR(PPMT('Assumptions &amp; Inputs'!$I$10,Q89-YEAR('Assumptions &amp; Inputs'!$I$29),'Assumptions &amp; Inputs'!$I$9,$E$79), 0)</f>
        <v>0</v>
      </c>
      <c r="R98" s="501">
        <f>IFERROR(PPMT('Assumptions &amp; Inputs'!$I$10,R89-YEAR('Assumptions &amp; Inputs'!$I$29),'Assumptions &amp; Inputs'!$I$9,$E$79), 0)</f>
        <v>0</v>
      </c>
      <c r="S98" s="501">
        <f>IFERROR(PPMT('Assumptions &amp; Inputs'!$I$10,S89-YEAR('Assumptions &amp; Inputs'!$I$29),'Assumptions &amp; Inputs'!$I$9,$E$79), 0)</f>
        <v>0</v>
      </c>
      <c r="T98" s="501">
        <f>IFERROR(PPMT('Assumptions &amp; Inputs'!$I$10,T89-YEAR('Assumptions &amp; Inputs'!$I$29),'Assumptions &amp; Inputs'!$I$9,$E$79), 0)</f>
        <v>0</v>
      </c>
      <c r="U98" s="501">
        <f>IFERROR(PPMT('Assumptions &amp; Inputs'!$I$10,U89-YEAR('Assumptions &amp; Inputs'!$I$29),'Assumptions &amp; Inputs'!$I$9,$E$79), 0)</f>
        <v>0</v>
      </c>
      <c r="V98" s="501">
        <f>IFERROR(PPMT('Assumptions &amp; Inputs'!$I$10,V89-YEAR('Assumptions &amp; Inputs'!$I$29),'Assumptions &amp; Inputs'!$I$9,$E$79), 0)</f>
        <v>0</v>
      </c>
      <c r="W98" s="501">
        <f>IFERROR(PPMT('Assumptions &amp; Inputs'!$I$10,W89-YEAR('Assumptions &amp; Inputs'!$I$29),'Assumptions &amp; Inputs'!$I$9,$E$79), 0)</f>
        <v>0</v>
      </c>
      <c r="X98" s="501">
        <f>IFERROR(PPMT('Assumptions &amp; Inputs'!$I$10,X89-YEAR('Assumptions &amp; Inputs'!$I$29),'Assumptions &amp; Inputs'!$I$9,$E$79), 0)</f>
        <v>0</v>
      </c>
      <c r="Y98" s="501">
        <f>IFERROR(PPMT('Assumptions &amp; Inputs'!$I$10,Y89-YEAR('Assumptions &amp; Inputs'!$I$29),'Assumptions &amp; Inputs'!$I$9,$E$79), 0)</f>
        <v>0</v>
      </c>
      <c r="Z98" s="501">
        <f>IFERROR(PPMT('Assumptions &amp; Inputs'!$I$10,Z89-YEAR('Assumptions &amp; Inputs'!$I$29),'Assumptions &amp; Inputs'!$I$9,$E$79), 0)</f>
        <v>0</v>
      </c>
      <c r="AA98" s="501">
        <f>IFERROR(PPMT('Assumptions &amp; Inputs'!$I$10,AA89-YEAR('Assumptions &amp; Inputs'!$I$29),'Assumptions &amp; Inputs'!$I$9,$E$79), 0)</f>
        <v>0</v>
      </c>
      <c r="AB98" s="501">
        <f>IFERROR(PPMT('Assumptions &amp; Inputs'!$I$10,AB89-YEAR('Assumptions &amp; Inputs'!$I$29),'Assumptions &amp; Inputs'!$I$9,$E$79), 0)</f>
        <v>0</v>
      </c>
      <c r="AC98" s="501">
        <f>IFERROR(PPMT('Assumptions &amp; Inputs'!$I$10,AC89-YEAR('Assumptions &amp; Inputs'!$I$29),'Assumptions &amp; Inputs'!$I$9,$E$79), 0)</f>
        <v>0</v>
      </c>
      <c r="AD98" s="501">
        <f>IFERROR(PPMT('Assumptions &amp; Inputs'!$I$10,AD89-YEAR('Assumptions &amp; Inputs'!$I$29),'Assumptions &amp; Inputs'!$I$9,$E$79), 0)</f>
        <v>0</v>
      </c>
      <c r="AE98" s="501">
        <f>IFERROR(PPMT('Assumptions &amp; Inputs'!$I$10,AE89-YEAR('Assumptions &amp; Inputs'!$I$29),'Assumptions &amp; Inputs'!$I$9,$E$79), 0)</f>
        <v>0</v>
      </c>
      <c r="AF98" s="501">
        <f>IFERROR(PPMT('Assumptions &amp; Inputs'!$I$10,AF89-YEAR('Assumptions &amp; Inputs'!$I$29),'Assumptions &amp; Inputs'!$I$9,$E$79), 0)</f>
        <v>0</v>
      </c>
      <c r="AG98" s="501">
        <f>IFERROR(PPMT('Assumptions &amp; Inputs'!$I$10,AG89-YEAR('Assumptions &amp; Inputs'!$I$29),'Assumptions &amp; Inputs'!$I$9,$E$79), 0)</f>
        <v>0</v>
      </c>
      <c r="AH98" s="501">
        <f>IFERROR(PPMT('Assumptions &amp; Inputs'!$I$10,AH89-YEAR('Assumptions &amp; Inputs'!$I$29),'Assumptions &amp; Inputs'!$I$9,$E$79), 0)</f>
        <v>0</v>
      </c>
      <c r="AI98" s="501">
        <f>IFERROR(PPMT('Assumptions &amp; Inputs'!$I$10,AI89-YEAR('Assumptions &amp; Inputs'!$I$29),'Assumptions &amp; Inputs'!$I$9,$E$79), 0)</f>
        <v>0</v>
      </c>
      <c r="AJ98" s="501">
        <f>IFERROR(PPMT('Assumptions &amp; Inputs'!$I$10,AJ89-YEAR('Assumptions &amp; Inputs'!$I$29),'Assumptions &amp; Inputs'!$I$9,$E$79), 0)</f>
        <v>0</v>
      </c>
      <c r="AK98" s="501">
        <f>IFERROR(PPMT('Assumptions &amp; Inputs'!$I$10,AK89-YEAR('Assumptions &amp; Inputs'!$I$29),'Assumptions &amp; Inputs'!$I$9,$E$79), 0)</f>
        <v>0</v>
      </c>
      <c r="AL98" s="501">
        <f>IFERROR(PPMT('Assumptions &amp; Inputs'!$I$10,AL89-YEAR('Assumptions &amp; Inputs'!$I$29),'Assumptions &amp; Inputs'!$I$9,$E$79), 0)</f>
        <v>0</v>
      </c>
      <c r="AM98" s="501">
        <f>IFERROR(PPMT('Assumptions &amp; Inputs'!$I$10,AM89-YEAR('Assumptions &amp; Inputs'!$I$29),'Assumptions &amp; Inputs'!$I$9,$E$79), 0)</f>
        <v>0</v>
      </c>
      <c r="AN98" s="501">
        <f>IFERROR(PPMT('Assumptions &amp; Inputs'!$I$10,AN89-YEAR('Assumptions &amp; Inputs'!$I$29),'Assumptions &amp; Inputs'!$I$9,$E$79), 0)</f>
        <v>0</v>
      </c>
      <c r="AO98" s="501">
        <f>IFERROR(PPMT('Assumptions &amp; Inputs'!$I$10,AO89-YEAR('Assumptions &amp; Inputs'!$I$29),'Assumptions &amp; Inputs'!$I$9,$E$79), 0)</f>
        <v>0</v>
      </c>
      <c r="AP98" s="501">
        <f>IFERROR(PPMT('Assumptions &amp; Inputs'!$I$10,AP89-YEAR('Assumptions &amp; Inputs'!$I$29),'Assumptions &amp; Inputs'!$I$9,$E$79), 0)</f>
        <v>0</v>
      </c>
      <c r="AQ98" s="501">
        <f>IFERROR(PPMT('Assumptions &amp; Inputs'!$I$10,AQ89-YEAR('Assumptions &amp; Inputs'!$I$29),'Assumptions &amp; Inputs'!$I$9,$E$79), 0)</f>
        <v>0</v>
      </c>
      <c r="AR98" s="501">
        <f>IFERROR(PPMT('Assumptions &amp; Inputs'!$I$10,AR89-YEAR('Assumptions &amp; Inputs'!$I$29),'Assumptions &amp; Inputs'!$I$9,$E$79), 0)</f>
        <v>0</v>
      </c>
      <c r="AS98" s="501">
        <f>IFERROR(PPMT('Assumptions &amp; Inputs'!$I$10,AS89-YEAR('Assumptions &amp; Inputs'!$I$29),'Assumptions &amp; Inputs'!$I$9,$E$79), 0)</f>
        <v>0</v>
      </c>
      <c r="AT98" s="501">
        <f>IFERROR(PPMT('Assumptions &amp; Inputs'!$I$10,AT89-YEAR('Assumptions &amp; Inputs'!$I$29),'Assumptions &amp; Inputs'!$I$9,$E$79), 0)</f>
        <v>0</v>
      </c>
      <c r="AU98" s="501">
        <f>IFERROR(PPMT('Assumptions &amp; Inputs'!$I$10,AU89-YEAR('Assumptions &amp; Inputs'!$I$29),'Assumptions &amp; Inputs'!$I$9,$E$79), 0)</f>
        <v>0</v>
      </c>
      <c r="AV98" s="501">
        <f>IFERROR(PPMT('Assumptions &amp; Inputs'!$I$10,AV89-YEAR('Assumptions &amp; Inputs'!$I$29),'Assumptions &amp; Inputs'!$I$9,$E$79), 0)</f>
        <v>0</v>
      </c>
      <c r="AW98" s="501">
        <f>IFERROR(PPMT('Assumptions &amp; Inputs'!$I$10,AW89-YEAR('Assumptions &amp; Inputs'!$I$29),'Assumptions &amp; Inputs'!$I$9,$E$79), 0)</f>
        <v>0</v>
      </c>
    </row>
    <row r="99" spans="1:49" ht="14.25" customHeight="1">
      <c r="A99" s="1"/>
      <c r="B99" s="1"/>
      <c r="C99" s="1" t="s">
        <v>450</v>
      </c>
      <c r="D99" s="501">
        <f>D97</f>
        <v>0</v>
      </c>
      <c r="E99" s="501">
        <f>SUM(E97:E98)</f>
        <v>0</v>
      </c>
      <c r="F99" s="501">
        <f t="shared" ref="F99:AW99" si="227">SUM(F97:F98)</f>
        <v>0</v>
      </c>
      <c r="G99" s="501">
        <f t="shared" si="227"/>
        <v>0</v>
      </c>
      <c r="H99" s="501">
        <f t="shared" si="227"/>
        <v>0</v>
      </c>
      <c r="I99" s="501">
        <f t="shared" si="227"/>
        <v>0</v>
      </c>
      <c r="J99" s="501">
        <f t="shared" si="227"/>
        <v>0</v>
      </c>
      <c r="K99" s="501">
        <f t="shared" si="227"/>
        <v>0</v>
      </c>
      <c r="L99" s="501">
        <f t="shared" si="227"/>
        <v>0</v>
      </c>
      <c r="M99" s="501">
        <f t="shared" si="227"/>
        <v>0</v>
      </c>
      <c r="N99" s="501">
        <f t="shared" si="227"/>
        <v>0</v>
      </c>
      <c r="O99" s="501">
        <f t="shared" si="227"/>
        <v>0</v>
      </c>
      <c r="P99" s="501">
        <f t="shared" si="227"/>
        <v>0</v>
      </c>
      <c r="Q99" s="501">
        <f t="shared" si="227"/>
        <v>0</v>
      </c>
      <c r="R99" s="501">
        <f t="shared" si="227"/>
        <v>0</v>
      </c>
      <c r="S99" s="501">
        <f t="shared" si="227"/>
        <v>0</v>
      </c>
      <c r="T99" s="501">
        <f t="shared" si="227"/>
        <v>0</v>
      </c>
      <c r="U99" s="501">
        <f t="shared" si="227"/>
        <v>0</v>
      </c>
      <c r="V99" s="501">
        <f t="shared" si="227"/>
        <v>0</v>
      </c>
      <c r="W99" s="501">
        <f t="shared" si="227"/>
        <v>0</v>
      </c>
      <c r="X99" s="501">
        <f t="shared" si="227"/>
        <v>0</v>
      </c>
      <c r="Y99" s="501">
        <f t="shared" si="227"/>
        <v>0</v>
      </c>
      <c r="Z99" s="501">
        <f t="shared" si="227"/>
        <v>0</v>
      </c>
      <c r="AA99" s="501">
        <f t="shared" si="227"/>
        <v>0</v>
      </c>
      <c r="AB99" s="501">
        <f t="shared" si="227"/>
        <v>0</v>
      </c>
      <c r="AC99" s="501">
        <f t="shared" si="227"/>
        <v>0</v>
      </c>
      <c r="AD99" s="501">
        <f t="shared" si="227"/>
        <v>0</v>
      </c>
      <c r="AE99" s="501">
        <f t="shared" si="227"/>
        <v>0</v>
      </c>
      <c r="AF99" s="501">
        <f t="shared" si="227"/>
        <v>0</v>
      </c>
      <c r="AG99" s="501">
        <f t="shared" si="227"/>
        <v>0</v>
      </c>
      <c r="AH99" s="501">
        <f t="shared" si="227"/>
        <v>0</v>
      </c>
      <c r="AI99" s="501">
        <f t="shared" si="227"/>
        <v>0</v>
      </c>
      <c r="AJ99" s="501">
        <f t="shared" si="227"/>
        <v>0</v>
      </c>
      <c r="AK99" s="501">
        <f t="shared" si="227"/>
        <v>0</v>
      </c>
      <c r="AL99" s="501">
        <f t="shared" si="227"/>
        <v>0</v>
      </c>
      <c r="AM99" s="501">
        <f t="shared" si="227"/>
        <v>0</v>
      </c>
      <c r="AN99" s="501">
        <f t="shared" si="227"/>
        <v>0</v>
      </c>
      <c r="AO99" s="501">
        <f t="shared" si="227"/>
        <v>0</v>
      </c>
      <c r="AP99" s="501">
        <f t="shared" si="227"/>
        <v>0</v>
      </c>
      <c r="AQ99" s="501">
        <f t="shared" si="227"/>
        <v>0</v>
      </c>
      <c r="AR99" s="501">
        <f t="shared" si="227"/>
        <v>0</v>
      </c>
      <c r="AS99" s="501">
        <f t="shared" si="227"/>
        <v>0</v>
      </c>
      <c r="AT99" s="501">
        <f t="shared" si="227"/>
        <v>0</v>
      </c>
      <c r="AU99" s="501">
        <f t="shared" si="227"/>
        <v>0</v>
      </c>
      <c r="AV99" s="501">
        <f t="shared" si="227"/>
        <v>0</v>
      </c>
      <c r="AW99" s="501">
        <f t="shared" si="227"/>
        <v>0</v>
      </c>
    </row>
    <row r="100" spans="1:49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4.25" customHeight="1">
      <c r="A101" s="1"/>
      <c r="B101" s="1"/>
      <c r="C101" s="1" t="s">
        <v>451</v>
      </c>
      <c r="D101" s="1"/>
      <c r="E101" s="8">
        <f>IFERROR(-IPMT('Assumptions &amp; Inputs'!$I$10,E89-YEAR('Assumptions &amp; Inputs'!$I$29),'Assumptions &amp; Inputs'!$I$9,$E$79), 0)</f>
        <v>0</v>
      </c>
      <c r="F101" s="8">
        <f>IFERROR(-IPMT('Assumptions &amp; Inputs'!$I$10,F89-YEAR('Assumptions &amp; Inputs'!$I$29),'Assumptions &amp; Inputs'!$I$9,$E$79), 0)</f>
        <v>0</v>
      </c>
      <c r="G101" s="8">
        <f>IFERROR(-IPMT('Assumptions &amp; Inputs'!$I$10,G89-YEAR('Assumptions &amp; Inputs'!$I$29),'Assumptions &amp; Inputs'!$I$9,$E$79), 0)</f>
        <v>0</v>
      </c>
      <c r="H101" s="8">
        <f>IFERROR(-IPMT('Assumptions &amp; Inputs'!$I$10,H89-YEAR('Assumptions &amp; Inputs'!$I$29),'Assumptions &amp; Inputs'!$I$9,$E$79), 0)</f>
        <v>0</v>
      </c>
      <c r="I101" s="8">
        <f>IFERROR(-IPMT('Assumptions &amp; Inputs'!$I$10,I89-YEAR('Assumptions &amp; Inputs'!$I$29),'Assumptions &amp; Inputs'!$I$9,$E$79), 0)</f>
        <v>0</v>
      </c>
      <c r="J101" s="8">
        <f>IFERROR(-IPMT('Assumptions &amp; Inputs'!$I$10,J89-YEAR('Assumptions &amp; Inputs'!$I$29),'Assumptions &amp; Inputs'!$I$9,$E$79), 0)</f>
        <v>0</v>
      </c>
      <c r="K101" s="8">
        <f>IFERROR(-IPMT('Assumptions &amp; Inputs'!$I$10,K89-YEAR('Assumptions &amp; Inputs'!$I$29),'Assumptions &amp; Inputs'!$I$9,$E$79), 0)</f>
        <v>0</v>
      </c>
      <c r="L101" s="8">
        <f>IFERROR(-IPMT('Assumptions &amp; Inputs'!$I$10,L89-YEAR('Assumptions &amp; Inputs'!$I$29),'Assumptions &amp; Inputs'!$I$9,$E$79), 0)</f>
        <v>0</v>
      </c>
      <c r="M101" s="8">
        <f>IFERROR(-IPMT('Assumptions &amp; Inputs'!$I$10,M89-YEAR('Assumptions &amp; Inputs'!$I$29),'Assumptions &amp; Inputs'!$I$9,$E$79), 0)</f>
        <v>0</v>
      </c>
      <c r="N101" s="8">
        <f>IFERROR(-IPMT('Assumptions &amp; Inputs'!$I$10,N89-YEAR('Assumptions &amp; Inputs'!$I$29),'Assumptions &amp; Inputs'!$I$9,$E$79), 0)</f>
        <v>0</v>
      </c>
      <c r="O101" s="8">
        <f>IFERROR(-IPMT('Assumptions &amp; Inputs'!$I$10,O89-YEAR('Assumptions &amp; Inputs'!$I$29),'Assumptions &amp; Inputs'!$I$9,$E$79), 0)</f>
        <v>0</v>
      </c>
      <c r="P101" s="8">
        <f>IFERROR(-IPMT('Assumptions &amp; Inputs'!$I$10,P89-YEAR('Assumptions &amp; Inputs'!$I$29),'Assumptions &amp; Inputs'!$I$9,$E$79), 0)</f>
        <v>0</v>
      </c>
      <c r="Q101" s="8">
        <f>IFERROR(-IPMT('Assumptions &amp; Inputs'!$I$10,Q89-YEAR('Assumptions &amp; Inputs'!$I$29),'Assumptions &amp; Inputs'!$I$9,$E$79), 0)</f>
        <v>0</v>
      </c>
      <c r="R101" s="8">
        <f>IFERROR(-IPMT('Assumptions &amp; Inputs'!$I$10,R89-YEAR('Assumptions &amp; Inputs'!$I$29),'Assumptions &amp; Inputs'!$I$9,$E$79), 0)</f>
        <v>0</v>
      </c>
      <c r="S101" s="8">
        <f>IFERROR(-IPMT('Assumptions &amp; Inputs'!$I$10,S89-YEAR('Assumptions &amp; Inputs'!$I$29),'Assumptions &amp; Inputs'!$I$9,$E$79), 0)</f>
        <v>0</v>
      </c>
      <c r="T101" s="8">
        <f>IFERROR(-IPMT('Assumptions &amp; Inputs'!$I$10,T89-YEAR('Assumptions &amp; Inputs'!$I$29),'Assumptions &amp; Inputs'!$I$9,$E$79), 0)</f>
        <v>0</v>
      </c>
      <c r="U101" s="8">
        <f>IFERROR(-IPMT('Assumptions &amp; Inputs'!$I$10,U89-YEAR('Assumptions &amp; Inputs'!$I$29),'Assumptions &amp; Inputs'!$I$9,$E$79), 0)</f>
        <v>0</v>
      </c>
      <c r="V101" s="8">
        <f>IFERROR(-IPMT('Assumptions &amp; Inputs'!$I$10,V89-YEAR('Assumptions &amp; Inputs'!$I$29),'Assumptions &amp; Inputs'!$I$9,$E$79), 0)</f>
        <v>0</v>
      </c>
      <c r="W101" s="8">
        <f>IFERROR(-IPMT('Assumptions &amp; Inputs'!$I$10,W89-YEAR('Assumptions &amp; Inputs'!$I$29),'Assumptions &amp; Inputs'!$I$9,$E$79), 0)</f>
        <v>0</v>
      </c>
      <c r="X101" s="8">
        <f>IFERROR(-IPMT('Assumptions &amp; Inputs'!$I$10,X89-YEAR('Assumptions &amp; Inputs'!$I$29),'Assumptions &amp; Inputs'!$I$9,$E$79), 0)</f>
        <v>0</v>
      </c>
      <c r="Y101" s="8">
        <f>IFERROR(-IPMT('Assumptions &amp; Inputs'!$I$10,Y89-YEAR('Assumptions &amp; Inputs'!$I$29),'Assumptions &amp; Inputs'!$I$9,$E$79), 0)</f>
        <v>0</v>
      </c>
      <c r="Z101" s="8">
        <f>IFERROR(-IPMT('Assumptions &amp; Inputs'!$I$10,Z89-YEAR('Assumptions &amp; Inputs'!$I$29),'Assumptions &amp; Inputs'!$I$9,$E$79), 0)</f>
        <v>0</v>
      </c>
      <c r="AA101" s="8">
        <f>IFERROR(-IPMT('Assumptions &amp; Inputs'!$I$10,AA89-YEAR('Assumptions &amp; Inputs'!$I$29),'Assumptions &amp; Inputs'!$I$9,$E$79), 0)</f>
        <v>0</v>
      </c>
      <c r="AB101" s="8">
        <f>IFERROR(-IPMT('Assumptions &amp; Inputs'!$I$10,AB89-YEAR('Assumptions &amp; Inputs'!$I$29),'Assumptions &amp; Inputs'!$I$9,$E$79), 0)</f>
        <v>0</v>
      </c>
      <c r="AC101" s="8">
        <f>IFERROR(-IPMT('Assumptions &amp; Inputs'!$I$10,AC89-YEAR('Assumptions &amp; Inputs'!$I$29),'Assumptions &amp; Inputs'!$I$9,$E$79), 0)</f>
        <v>0</v>
      </c>
      <c r="AD101" s="8">
        <f>IFERROR(-IPMT('Assumptions &amp; Inputs'!$I$10,AD89-YEAR('Assumptions &amp; Inputs'!$I$29),'Assumptions &amp; Inputs'!$I$9,$E$79), 0)</f>
        <v>0</v>
      </c>
      <c r="AE101" s="8">
        <f>IFERROR(-IPMT('Assumptions &amp; Inputs'!$I$10,AE89-YEAR('Assumptions &amp; Inputs'!$I$29),'Assumptions &amp; Inputs'!$I$9,$E$79), 0)</f>
        <v>0</v>
      </c>
      <c r="AF101" s="8">
        <f>IFERROR(-IPMT('Assumptions &amp; Inputs'!$I$10,AF89-YEAR('Assumptions &amp; Inputs'!$I$29),'Assumptions &amp; Inputs'!$I$9,$E$79), 0)</f>
        <v>0</v>
      </c>
      <c r="AG101" s="8">
        <f>IFERROR(-IPMT('Assumptions &amp; Inputs'!$I$10,AG89-YEAR('Assumptions &amp; Inputs'!$I$29),'Assumptions &amp; Inputs'!$I$9,$E$79), 0)</f>
        <v>0</v>
      </c>
      <c r="AH101" s="8">
        <f>IFERROR(-IPMT('Assumptions &amp; Inputs'!$I$10,AH89-YEAR('Assumptions &amp; Inputs'!$I$29),'Assumptions &amp; Inputs'!$I$9,$E$79), 0)</f>
        <v>0</v>
      </c>
      <c r="AI101" s="8">
        <f>IFERROR(-IPMT('Assumptions &amp; Inputs'!$I$10,AI89-YEAR('Assumptions &amp; Inputs'!$I$29),'Assumptions &amp; Inputs'!$I$9,$E$79), 0)</f>
        <v>0</v>
      </c>
      <c r="AJ101" s="8">
        <f>IFERROR(-IPMT('Assumptions &amp; Inputs'!$I$10,AJ89-YEAR('Assumptions &amp; Inputs'!$I$29),'Assumptions &amp; Inputs'!$I$9,$E$79), 0)</f>
        <v>0</v>
      </c>
      <c r="AK101" s="8">
        <f>IFERROR(-IPMT('Assumptions &amp; Inputs'!$I$10,AK89-YEAR('Assumptions &amp; Inputs'!$I$29),'Assumptions &amp; Inputs'!$I$9,$E$79), 0)</f>
        <v>0</v>
      </c>
      <c r="AL101" s="8">
        <f>IFERROR(-IPMT('Assumptions &amp; Inputs'!$I$10,AL89-YEAR('Assumptions &amp; Inputs'!$I$29),'Assumptions &amp; Inputs'!$I$9,$E$79), 0)</f>
        <v>0</v>
      </c>
      <c r="AM101" s="8">
        <f>IFERROR(-IPMT('Assumptions &amp; Inputs'!$I$10,AM89-YEAR('Assumptions &amp; Inputs'!$I$29),'Assumptions &amp; Inputs'!$I$9,$E$79), 0)</f>
        <v>0</v>
      </c>
      <c r="AN101" s="8">
        <f>IFERROR(-IPMT('Assumptions &amp; Inputs'!$I$10,AN89-YEAR('Assumptions &amp; Inputs'!$I$29),'Assumptions &amp; Inputs'!$I$9,$E$79), 0)</f>
        <v>0</v>
      </c>
      <c r="AO101" s="8">
        <f>IFERROR(-IPMT('Assumptions &amp; Inputs'!$I$10,AO89-YEAR('Assumptions &amp; Inputs'!$I$29),'Assumptions &amp; Inputs'!$I$9,$E$79), 0)</f>
        <v>0</v>
      </c>
      <c r="AP101" s="8">
        <f>IFERROR(-IPMT('Assumptions &amp; Inputs'!$I$10,AP89-YEAR('Assumptions &amp; Inputs'!$I$29),'Assumptions &amp; Inputs'!$I$9,$E$79), 0)</f>
        <v>0</v>
      </c>
      <c r="AQ101" s="8">
        <f>IFERROR(-IPMT('Assumptions &amp; Inputs'!$I$10,AQ89-YEAR('Assumptions &amp; Inputs'!$I$29),'Assumptions &amp; Inputs'!$I$9,$E$79), 0)</f>
        <v>0</v>
      </c>
      <c r="AR101" s="8">
        <f>IFERROR(-IPMT('Assumptions &amp; Inputs'!$I$10,AR89-YEAR('Assumptions &amp; Inputs'!$I$29),'Assumptions &amp; Inputs'!$I$9,$E$79), 0)</f>
        <v>0</v>
      </c>
      <c r="AS101" s="8">
        <f>IFERROR(-IPMT('Assumptions &amp; Inputs'!$I$10,AS89-YEAR('Assumptions &amp; Inputs'!$I$29),'Assumptions &amp; Inputs'!$I$9,$E$79), 0)</f>
        <v>0</v>
      </c>
      <c r="AT101" s="8">
        <f>IFERROR(-IPMT('Assumptions &amp; Inputs'!$I$10,AT89-YEAR('Assumptions &amp; Inputs'!$I$29),'Assumptions &amp; Inputs'!$I$9,$E$79), 0)</f>
        <v>0</v>
      </c>
      <c r="AU101" s="8">
        <f>IFERROR(-IPMT('Assumptions &amp; Inputs'!$I$10,AU89-YEAR('Assumptions &amp; Inputs'!$I$29),'Assumptions &amp; Inputs'!$I$9,$E$79), 0)</f>
        <v>0</v>
      </c>
      <c r="AV101" s="8">
        <f>IFERROR(-IPMT('Assumptions &amp; Inputs'!$I$10,AV89-YEAR('Assumptions &amp; Inputs'!$I$29),'Assumptions &amp; Inputs'!$I$9,$E$79), 0)</f>
        <v>0</v>
      </c>
      <c r="AW101" s="8">
        <f>IFERROR(-IPMT('Assumptions &amp; Inputs'!$I$10,AW89-YEAR('Assumptions &amp; Inputs'!$I$29),'Assumptions &amp; Inputs'!$I$9,$E$79), 0)</f>
        <v>0</v>
      </c>
    </row>
    <row r="102" spans="1:49" ht="14.25" customHeight="1">
      <c r="A102" s="1"/>
      <c r="B102" s="1"/>
      <c r="C102" s="1" t="s">
        <v>452</v>
      </c>
      <c r="D102" s="1"/>
      <c r="E102" s="8">
        <f t="shared" ref="E102:AW102" si="228">-E98</f>
        <v>0</v>
      </c>
      <c r="F102" s="8">
        <f t="shared" si="228"/>
        <v>0</v>
      </c>
      <c r="G102" s="8">
        <f t="shared" si="228"/>
        <v>0</v>
      </c>
      <c r="H102" s="8">
        <f t="shared" si="228"/>
        <v>0</v>
      </c>
      <c r="I102" s="8">
        <f t="shared" si="228"/>
        <v>0</v>
      </c>
      <c r="J102" s="8">
        <f t="shared" si="228"/>
        <v>0</v>
      </c>
      <c r="K102" s="8">
        <f t="shared" si="228"/>
        <v>0</v>
      </c>
      <c r="L102" s="8">
        <f t="shared" si="228"/>
        <v>0</v>
      </c>
      <c r="M102" s="8">
        <f t="shared" si="228"/>
        <v>0</v>
      </c>
      <c r="N102" s="8">
        <f t="shared" si="228"/>
        <v>0</v>
      </c>
      <c r="O102" s="8">
        <f t="shared" si="228"/>
        <v>0</v>
      </c>
      <c r="P102" s="8">
        <f t="shared" si="228"/>
        <v>0</v>
      </c>
      <c r="Q102" s="8">
        <f t="shared" si="228"/>
        <v>0</v>
      </c>
      <c r="R102" s="8">
        <f t="shared" si="228"/>
        <v>0</v>
      </c>
      <c r="S102" s="8">
        <f t="shared" si="228"/>
        <v>0</v>
      </c>
      <c r="T102" s="8">
        <f t="shared" si="228"/>
        <v>0</v>
      </c>
      <c r="U102" s="8">
        <f t="shared" si="228"/>
        <v>0</v>
      </c>
      <c r="V102" s="8">
        <f t="shared" si="228"/>
        <v>0</v>
      </c>
      <c r="W102" s="8">
        <f t="shared" si="228"/>
        <v>0</v>
      </c>
      <c r="X102" s="8">
        <f t="shared" si="228"/>
        <v>0</v>
      </c>
      <c r="Y102" s="8">
        <f t="shared" si="228"/>
        <v>0</v>
      </c>
      <c r="Z102" s="8">
        <f t="shared" si="228"/>
        <v>0</v>
      </c>
      <c r="AA102" s="8">
        <f t="shared" si="228"/>
        <v>0</v>
      </c>
      <c r="AB102" s="8">
        <f t="shared" si="228"/>
        <v>0</v>
      </c>
      <c r="AC102" s="8">
        <f t="shared" si="228"/>
        <v>0</v>
      </c>
      <c r="AD102" s="8">
        <f t="shared" si="228"/>
        <v>0</v>
      </c>
      <c r="AE102" s="8">
        <f t="shared" si="228"/>
        <v>0</v>
      </c>
      <c r="AF102" s="8">
        <f t="shared" si="228"/>
        <v>0</v>
      </c>
      <c r="AG102" s="8">
        <f t="shared" si="228"/>
        <v>0</v>
      </c>
      <c r="AH102" s="8">
        <f t="shared" si="228"/>
        <v>0</v>
      </c>
      <c r="AI102" s="8">
        <f t="shared" si="228"/>
        <v>0</v>
      </c>
      <c r="AJ102" s="8">
        <f t="shared" si="228"/>
        <v>0</v>
      </c>
      <c r="AK102" s="8">
        <f t="shared" si="228"/>
        <v>0</v>
      </c>
      <c r="AL102" s="8">
        <f t="shared" si="228"/>
        <v>0</v>
      </c>
      <c r="AM102" s="8">
        <f t="shared" si="228"/>
        <v>0</v>
      </c>
      <c r="AN102" s="8">
        <f t="shared" si="228"/>
        <v>0</v>
      </c>
      <c r="AO102" s="8">
        <f t="shared" si="228"/>
        <v>0</v>
      </c>
      <c r="AP102" s="8">
        <f t="shared" si="228"/>
        <v>0</v>
      </c>
      <c r="AQ102" s="8">
        <f t="shared" si="228"/>
        <v>0</v>
      </c>
      <c r="AR102" s="8">
        <f t="shared" si="228"/>
        <v>0</v>
      </c>
      <c r="AS102" s="8">
        <f t="shared" si="228"/>
        <v>0</v>
      </c>
      <c r="AT102" s="8">
        <f t="shared" si="228"/>
        <v>0</v>
      </c>
      <c r="AU102" s="8">
        <f t="shared" si="228"/>
        <v>0</v>
      </c>
      <c r="AV102" s="8">
        <f t="shared" si="228"/>
        <v>0</v>
      </c>
      <c r="AW102" s="8">
        <f t="shared" si="228"/>
        <v>0</v>
      </c>
    </row>
    <row r="103" spans="1:49" ht="14.25" customHeight="1">
      <c r="A103" s="1"/>
      <c r="B103" s="1" t="s">
        <v>351</v>
      </c>
      <c r="C103" s="2" t="s">
        <v>444</v>
      </c>
      <c r="D103" s="2"/>
      <c r="E103" s="31">
        <f t="shared" ref="E103:AW103" si="229">SUM(E101:E102)</f>
        <v>0</v>
      </c>
      <c r="F103" s="31">
        <f t="shared" si="229"/>
        <v>0</v>
      </c>
      <c r="G103" s="31">
        <f t="shared" si="229"/>
        <v>0</v>
      </c>
      <c r="H103" s="31">
        <f t="shared" si="229"/>
        <v>0</v>
      </c>
      <c r="I103" s="31">
        <f t="shared" si="229"/>
        <v>0</v>
      </c>
      <c r="J103" s="31">
        <f t="shared" si="229"/>
        <v>0</v>
      </c>
      <c r="K103" s="31">
        <f t="shared" si="229"/>
        <v>0</v>
      </c>
      <c r="L103" s="31">
        <f t="shared" si="229"/>
        <v>0</v>
      </c>
      <c r="M103" s="31">
        <f t="shared" si="229"/>
        <v>0</v>
      </c>
      <c r="N103" s="31">
        <f t="shared" si="229"/>
        <v>0</v>
      </c>
      <c r="O103" s="31">
        <f t="shared" si="229"/>
        <v>0</v>
      </c>
      <c r="P103" s="31">
        <f t="shared" si="229"/>
        <v>0</v>
      </c>
      <c r="Q103" s="31">
        <f t="shared" si="229"/>
        <v>0</v>
      </c>
      <c r="R103" s="31">
        <f t="shared" si="229"/>
        <v>0</v>
      </c>
      <c r="S103" s="31">
        <f t="shared" si="229"/>
        <v>0</v>
      </c>
      <c r="T103" s="31">
        <f t="shared" si="229"/>
        <v>0</v>
      </c>
      <c r="U103" s="31">
        <f t="shared" si="229"/>
        <v>0</v>
      </c>
      <c r="V103" s="31">
        <f t="shared" si="229"/>
        <v>0</v>
      </c>
      <c r="W103" s="31">
        <f t="shared" si="229"/>
        <v>0</v>
      </c>
      <c r="X103" s="31">
        <f t="shared" si="229"/>
        <v>0</v>
      </c>
      <c r="Y103" s="31">
        <f t="shared" si="229"/>
        <v>0</v>
      </c>
      <c r="Z103" s="31">
        <f t="shared" si="229"/>
        <v>0</v>
      </c>
      <c r="AA103" s="31">
        <f t="shared" si="229"/>
        <v>0</v>
      </c>
      <c r="AB103" s="31">
        <f t="shared" si="229"/>
        <v>0</v>
      </c>
      <c r="AC103" s="31">
        <f t="shared" si="229"/>
        <v>0</v>
      </c>
      <c r="AD103" s="31">
        <f t="shared" si="229"/>
        <v>0</v>
      </c>
      <c r="AE103" s="31">
        <f t="shared" si="229"/>
        <v>0</v>
      </c>
      <c r="AF103" s="31">
        <f t="shared" si="229"/>
        <v>0</v>
      </c>
      <c r="AG103" s="31">
        <f t="shared" si="229"/>
        <v>0</v>
      </c>
      <c r="AH103" s="31">
        <f t="shared" si="229"/>
        <v>0</v>
      </c>
      <c r="AI103" s="31">
        <f t="shared" si="229"/>
        <v>0</v>
      </c>
      <c r="AJ103" s="31">
        <f t="shared" si="229"/>
        <v>0</v>
      </c>
      <c r="AK103" s="31">
        <f t="shared" si="229"/>
        <v>0</v>
      </c>
      <c r="AL103" s="31">
        <f t="shared" si="229"/>
        <v>0</v>
      </c>
      <c r="AM103" s="31">
        <f t="shared" si="229"/>
        <v>0</v>
      </c>
      <c r="AN103" s="31">
        <f t="shared" si="229"/>
        <v>0</v>
      </c>
      <c r="AO103" s="31">
        <f t="shared" si="229"/>
        <v>0</v>
      </c>
      <c r="AP103" s="31">
        <f t="shared" si="229"/>
        <v>0</v>
      </c>
      <c r="AQ103" s="31">
        <f t="shared" si="229"/>
        <v>0</v>
      </c>
      <c r="AR103" s="31">
        <f t="shared" si="229"/>
        <v>0</v>
      </c>
      <c r="AS103" s="31">
        <f t="shared" si="229"/>
        <v>0</v>
      </c>
      <c r="AT103" s="31">
        <f t="shared" si="229"/>
        <v>0</v>
      </c>
      <c r="AU103" s="31">
        <f t="shared" si="229"/>
        <v>0</v>
      </c>
      <c r="AV103" s="31">
        <f t="shared" si="229"/>
        <v>0</v>
      </c>
      <c r="AW103" s="31">
        <f t="shared" si="229"/>
        <v>0</v>
      </c>
    </row>
    <row r="104" spans="1:49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4.25" customHeight="1" thickBot="1">
      <c r="A106" s="1" t="s">
        <v>351</v>
      </c>
      <c r="B106" s="1"/>
      <c r="C106" s="9" t="s">
        <v>475</v>
      </c>
      <c r="D106" s="9"/>
      <c r="E106" s="10"/>
      <c r="F106" s="10"/>
      <c r="G106" s="10"/>
      <c r="H106" s="10"/>
      <c r="I106" s="10"/>
      <c r="J106" s="1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ht="14.25" customHeight="1">
      <c r="A107" s="1"/>
      <c r="B107" s="1"/>
      <c r="C107" s="12" t="s">
        <v>353</v>
      </c>
      <c r="D107" s="13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4.25" customHeight="1">
      <c r="A108" s="1"/>
      <c r="B108" s="1"/>
      <c r="C108" s="1"/>
      <c r="D108" s="43">
        <v>0</v>
      </c>
      <c r="E108" s="119">
        <f t="shared" ref="E108:X108" si="230">D108+1</f>
        <v>1</v>
      </c>
      <c r="F108" s="119">
        <f t="shared" si="230"/>
        <v>2</v>
      </c>
      <c r="G108" s="119">
        <f t="shared" si="230"/>
        <v>3</v>
      </c>
      <c r="H108" s="119">
        <f t="shared" si="230"/>
        <v>4</v>
      </c>
      <c r="I108" s="119">
        <f t="shared" si="230"/>
        <v>5</v>
      </c>
      <c r="J108" s="119">
        <f t="shared" si="230"/>
        <v>6</v>
      </c>
      <c r="K108" s="119">
        <f t="shared" si="230"/>
        <v>7</v>
      </c>
      <c r="L108" s="119">
        <f t="shared" si="230"/>
        <v>8</v>
      </c>
      <c r="M108" s="119">
        <f t="shared" si="230"/>
        <v>9</v>
      </c>
      <c r="N108" s="119">
        <f t="shared" si="230"/>
        <v>10</v>
      </c>
      <c r="O108" s="119">
        <f t="shared" si="230"/>
        <v>11</v>
      </c>
      <c r="P108" s="119">
        <f t="shared" si="230"/>
        <v>12</v>
      </c>
      <c r="Q108" s="119">
        <f t="shared" si="230"/>
        <v>13</v>
      </c>
      <c r="R108" s="119">
        <f t="shared" si="230"/>
        <v>14</v>
      </c>
      <c r="S108" s="119">
        <f t="shared" si="230"/>
        <v>15</v>
      </c>
      <c r="T108" s="119">
        <f t="shared" si="230"/>
        <v>16</v>
      </c>
      <c r="U108" s="119">
        <f t="shared" si="230"/>
        <v>17</v>
      </c>
      <c r="V108" s="119">
        <f t="shared" si="230"/>
        <v>18</v>
      </c>
      <c r="W108" s="119">
        <f t="shared" si="230"/>
        <v>19</v>
      </c>
      <c r="X108" s="119">
        <f t="shared" si="230"/>
        <v>20</v>
      </c>
      <c r="Y108" s="119">
        <f t="shared" ref="Y108" si="231">X108+1</f>
        <v>21</v>
      </c>
      <c r="Z108" s="119">
        <f t="shared" ref="Z108" si="232">Y108+1</f>
        <v>22</v>
      </c>
      <c r="AA108" s="119">
        <f t="shared" ref="AA108" si="233">Z108+1</f>
        <v>23</v>
      </c>
      <c r="AB108" s="119">
        <f t="shared" ref="AB108" si="234">AA108+1</f>
        <v>24</v>
      </c>
      <c r="AC108" s="119">
        <f t="shared" ref="AC108" si="235">AB108+1</f>
        <v>25</v>
      </c>
      <c r="AD108" s="119">
        <f t="shared" ref="AD108" si="236">AC108+1</f>
        <v>26</v>
      </c>
      <c r="AE108" s="119">
        <f t="shared" ref="AE108" si="237">AD108+1</f>
        <v>27</v>
      </c>
      <c r="AF108" s="119">
        <f t="shared" ref="AF108" si="238">AE108+1</f>
        <v>28</v>
      </c>
      <c r="AG108" s="119">
        <f t="shared" ref="AG108" si="239">AF108+1</f>
        <v>29</v>
      </c>
      <c r="AH108" s="119">
        <f t="shared" ref="AH108" si="240">AG108+1</f>
        <v>30</v>
      </c>
      <c r="AI108" s="119">
        <f t="shared" ref="AI108" si="241">AH108+1</f>
        <v>31</v>
      </c>
      <c r="AJ108" s="119">
        <f t="shared" ref="AJ108" si="242">AI108+1</f>
        <v>32</v>
      </c>
      <c r="AK108" s="119">
        <f t="shared" ref="AK108" si="243">AJ108+1</f>
        <v>33</v>
      </c>
      <c r="AL108" s="119">
        <f t="shared" ref="AL108" si="244">AK108+1</f>
        <v>34</v>
      </c>
      <c r="AM108" s="119">
        <f t="shared" ref="AM108" si="245">AL108+1</f>
        <v>35</v>
      </c>
      <c r="AN108" s="119">
        <f t="shared" ref="AN108" si="246">AM108+1</f>
        <v>36</v>
      </c>
      <c r="AO108" s="119">
        <f t="shared" ref="AO108" si="247">AN108+1</f>
        <v>37</v>
      </c>
      <c r="AP108" s="119">
        <f t="shared" ref="AP108" si="248">AO108+1</f>
        <v>38</v>
      </c>
      <c r="AQ108" s="119">
        <f t="shared" ref="AQ108" si="249">AP108+1</f>
        <v>39</v>
      </c>
      <c r="AR108" s="119">
        <f t="shared" ref="AR108" si="250">AQ108+1</f>
        <v>40</v>
      </c>
      <c r="AS108" s="119">
        <f t="shared" ref="AS108" si="251">AR108+1</f>
        <v>41</v>
      </c>
      <c r="AT108" s="119">
        <f t="shared" ref="AT108" si="252">AS108+1</f>
        <v>42</v>
      </c>
      <c r="AU108" s="119">
        <f t="shared" ref="AU108" si="253">AT108+1</f>
        <v>43</v>
      </c>
      <c r="AV108" s="119">
        <f t="shared" ref="AV108" si="254">AU108+1</f>
        <v>44</v>
      </c>
      <c r="AW108" s="119">
        <f t="shared" ref="AW108" si="255">AV108+1</f>
        <v>45</v>
      </c>
    </row>
    <row r="109" spans="1:49" ht="14.25" customHeight="1">
      <c r="A109" s="44"/>
      <c r="B109" s="44"/>
      <c r="C109" s="45"/>
      <c r="D109" s="2"/>
      <c r="E109" s="807" t="s">
        <v>354</v>
      </c>
      <c r="F109" s="807"/>
      <c r="G109" s="807"/>
      <c r="H109" s="807"/>
      <c r="I109" s="807"/>
      <c r="J109" s="807"/>
      <c r="K109" s="807"/>
      <c r="L109" s="807"/>
      <c r="M109" s="807"/>
      <c r="N109" s="807"/>
      <c r="O109" s="807"/>
      <c r="P109" s="807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</row>
    <row r="110" spans="1:49" ht="14.25" customHeight="1">
      <c r="A110" s="44"/>
      <c r="B110" s="44"/>
      <c r="C110" s="46"/>
      <c r="D110" s="3">
        <f>D89</f>
        <v>2026</v>
      </c>
      <c r="E110" s="120">
        <f t="shared" ref="E110:X110" si="256">D110+1</f>
        <v>2027</v>
      </c>
      <c r="F110" s="120">
        <f t="shared" si="256"/>
        <v>2028</v>
      </c>
      <c r="G110" s="120">
        <f t="shared" si="256"/>
        <v>2029</v>
      </c>
      <c r="H110" s="120">
        <f t="shared" si="256"/>
        <v>2030</v>
      </c>
      <c r="I110" s="120">
        <f t="shared" si="256"/>
        <v>2031</v>
      </c>
      <c r="J110" s="120">
        <f t="shared" si="256"/>
        <v>2032</v>
      </c>
      <c r="K110" s="120">
        <f t="shared" si="256"/>
        <v>2033</v>
      </c>
      <c r="L110" s="120">
        <f t="shared" si="256"/>
        <v>2034</v>
      </c>
      <c r="M110" s="120">
        <f t="shared" si="256"/>
        <v>2035</v>
      </c>
      <c r="N110" s="120">
        <f t="shared" si="256"/>
        <v>2036</v>
      </c>
      <c r="O110" s="120">
        <f t="shared" si="256"/>
        <v>2037</v>
      </c>
      <c r="P110" s="120">
        <f t="shared" si="256"/>
        <v>2038</v>
      </c>
      <c r="Q110" s="120">
        <f t="shared" si="256"/>
        <v>2039</v>
      </c>
      <c r="R110" s="120">
        <f t="shared" si="256"/>
        <v>2040</v>
      </c>
      <c r="S110" s="120">
        <f t="shared" si="256"/>
        <v>2041</v>
      </c>
      <c r="T110" s="120">
        <f t="shared" si="256"/>
        <v>2042</v>
      </c>
      <c r="U110" s="120">
        <f t="shared" si="256"/>
        <v>2043</v>
      </c>
      <c r="V110" s="120">
        <f t="shared" si="256"/>
        <v>2044</v>
      </c>
      <c r="W110" s="120">
        <f t="shared" si="256"/>
        <v>2045</v>
      </c>
      <c r="X110" s="120">
        <f t="shared" si="256"/>
        <v>2046</v>
      </c>
      <c r="Y110" s="120">
        <f t="shared" ref="Y110" si="257">X110+1</f>
        <v>2047</v>
      </c>
      <c r="Z110" s="120">
        <f t="shared" ref="Z110" si="258">Y110+1</f>
        <v>2048</v>
      </c>
      <c r="AA110" s="120">
        <f t="shared" ref="AA110" si="259">Z110+1</f>
        <v>2049</v>
      </c>
      <c r="AB110" s="120">
        <f t="shared" ref="AB110" si="260">AA110+1</f>
        <v>2050</v>
      </c>
      <c r="AC110" s="120">
        <f t="shared" ref="AC110" si="261">AB110+1</f>
        <v>2051</v>
      </c>
      <c r="AD110" s="120">
        <f t="shared" ref="AD110" si="262">AC110+1</f>
        <v>2052</v>
      </c>
      <c r="AE110" s="120">
        <f t="shared" ref="AE110" si="263">AD110+1</f>
        <v>2053</v>
      </c>
      <c r="AF110" s="120">
        <f t="shared" ref="AF110" si="264">AE110+1</f>
        <v>2054</v>
      </c>
      <c r="AG110" s="120">
        <f t="shared" ref="AG110" si="265">AF110+1</f>
        <v>2055</v>
      </c>
      <c r="AH110" s="120">
        <f t="shared" ref="AH110" si="266">AG110+1</f>
        <v>2056</v>
      </c>
      <c r="AI110" s="120">
        <f t="shared" ref="AI110" si="267">AH110+1</f>
        <v>2057</v>
      </c>
      <c r="AJ110" s="120">
        <f t="shared" ref="AJ110" si="268">AI110+1</f>
        <v>2058</v>
      </c>
      <c r="AK110" s="120">
        <f t="shared" ref="AK110" si="269">AJ110+1</f>
        <v>2059</v>
      </c>
      <c r="AL110" s="120">
        <f t="shared" ref="AL110" si="270">AK110+1</f>
        <v>2060</v>
      </c>
      <c r="AM110" s="120">
        <f t="shared" ref="AM110" si="271">AL110+1</f>
        <v>2061</v>
      </c>
      <c r="AN110" s="120">
        <f t="shared" ref="AN110" si="272">AM110+1</f>
        <v>2062</v>
      </c>
      <c r="AO110" s="120">
        <f t="shared" ref="AO110" si="273">AN110+1</f>
        <v>2063</v>
      </c>
      <c r="AP110" s="120">
        <f t="shared" ref="AP110" si="274">AO110+1</f>
        <v>2064</v>
      </c>
      <c r="AQ110" s="120">
        <f t="shared" ref="AQ110" si="275">AP110+1</f>
        <v>2065</v>
      </c>
      <c r="AR110" s="120">
        <f t="shared" ref="AR110" si="276">AQ110+1</f>
        <v>2066</v>
      </c>
      <c r="AS110" s="120">
        <f t="shared" ref="AS110" si="277">AR110+1</f>
        <v>2067</v>
      </c>
      <c r="AT110" s="120">
        <f t="shared" ref="AT110" si="278">AS110+1</f>
        <v>2068</v>
      </c>
      <c r="AU110" s="120">
        <f t="shared" ref="AU110" si="279">AT110+1</f>
        <v>2069</v>
      </c>
      <c r="AV110" s="120">
        <f t="shared" ref="AV110" si="280">AU110+1</f>
        <v>2070</v>
      </c>
      <c r="AW110" s="120">
        <f t="shared" ref="AW110" si="281">AV110+1</f>
        <v>2071</v>
      </c>
    </row>
    <row r="111" spans="1:49" ht="14.25" customHeight="1">
      <c r="A111" s="44"/>
      <c r="B111" s="44"/>
      <c r="C111" s="44"/>
      <c r="D111" s="42">
        <f>D90</f>
        <v>46023</v>
      </c>
      <c r="E111" s="42">
        <f t="shared" ref="E111:X111" si="282">E90</f>
        <v>46752</v>
      </c>
      <c r="F111" s="42">
        <f t="shared" si="282"/>
        <v>47118</v>
      </c>
      <c r="G111" s="42">
        <f t="shared" si="282"/>
        <v>47483</v>
      </c>
      <c r="H111" s="42">
        <f t="shared" si="282"/>
        <v>47848</v>
      </c>
      <c r="I111" s="42">
        <f t="shared" si="282"/>
        <v>48213</v>
      </c>
      <c r="J111" s="42">
        <f t="shared" si="282"/>
        <v>48579</v>
      </c>
      <c r="K111" s="42">
        <f t="shared" si="282"/>
        <v>48944</v>
      </c>
      <c r="L111" s="42">
        <f t="shared" si="282"/>
        <v>49309</v>
      </c>
      <c r="M111" s="42">
        <f t="shared" si="282"/>
        <v>49674</v>
      </c>
      <c r="N111" s="42">
        <f t="shared" si="282"/>
        <v>50040</v>
      </c>
      <c r="O111" s="42">
        <f t="shared" si="282"/>
        <v>50405</v>
      </c>
      <c r="P111" s="42">
        <f t="shared" si="282"/>
        <v>50770</v>
      </c>
      <c r="Q111" s="42">
        <f t="shared" si="282"/>
        <v>51135</v>
      </c>
      <c r="R111" s="42">
        <f t="shared" si="282"/>
        <v>51501</v>
      </c>
      <c r="S111" s="42">
        <f t="shared" si="282"/>
        <v>51866</v>
      </c>
      <c r="T111" s="42">
        <f t="shared" si="282"/>
        <v>52231</v>
      </c>
      <c r="U111" s="42">
        <f t="shared" si="282"/>
        <v>52596</v>
      </c>
      <c r="V111" s="42">
        <f t="shared" si="282"/>
        <v>52962</v>
      </c>
      <c r="W111" s="42">
        <f t="shared" si="282"/>
        <v>53327</v>
      </c>
      <c r="X111" s="42">
        <f t="shared" si="282"/>
        <v>53692</v>
      </c>
      <c r="Y111" s="42">
        <f t="shared" ref="Y111:AW111" si="283">Y90</f>
        <v>54057</v>
      </c>
      <c r="Z111" s="42">
        <f t="shared" si="283"/>
        <v>54423</v>
      </c>
      <c r="AA111" s="42">
        <f t="shared" si="283"/>
        <v>54788</v>
      </c>
      <c r="AB111" s="42">
        <f t="shared" si="283"/>
        <v>55153</v>
      </c>
      <c r="AC111" s="42">
        <f t="shared" si="283"/>
        <v>55518</v>
      </c>
      <c r="AD111" s="42">
        <f t="shared" si="283"/>
        <v>55884</v>
      </c>
      <c r="AE111" s="42">
        <f t="shared" si="283"/>
        <v>56249</v>
      </c>
      <c r="AF111" s="42">
        <f t="shared" si="283"/>
        <v>56614</v>
      </c>
      <c r="AG111" s="42">
        <f t="shared" si="283"/>
        <v>56979</v>
      </c>
      <c r="AH111" s="42">
        <f t="shared" si="283"/>
        <v>57345</v>
      </c>
      <c r="AI111" s="42">
        <f t="shared" si="283"/>
        <v>57710</v>
      </c>
      <c r="AJ111" s="42">
        <f t="shared" si="283"/>
        <v>58075</v>
      </c>
      <c r="AK111" s="42">
        <f t="shared" si="283"/>
        <v>58440</v>
      </c>
      <c r="AL111" s="42">
        <f t="shared" si="283"/>
        <v>58806</v>
      </c>
      <c r="AM111" s="42">
        <f t="shared" si="283"/>
        <v>59171</v>
      </c>
      <c r="AN111" s="42">
        <f t="shared" si="283"/>
        <v>59536</v>
      </c>
      <c r="AO111" s="42">
        <f t="shared" si="283"/>
        <v>59901</v>
      </c>
      <c r="AP111" s="42">
        <f t="shared" si="283"/>
        <v>60267</v>
      </c>
      <c r="AQ111" s="42">
        <f t="shared" si="283"/>
        <v>60632</v>
      </c>
      <c r="AR111" s="42">
        <f t="shared" si="283"/>
        <v>60997</v>
      </c>
      <c r="AS111" s="42">
        <f t="shared" si="283"/>
        <v>61362</v>
      </c>
      <c r="AT111" s="42">
        <f t="shared" si="283"/>
        <v>61728</v>
      </c>
      <c r="AU111" s="42">
        <f t="shared" si="283"/>
        <v>62093</v>
      </c>
      <c r="AV111" s="42">
        <f t="shared" si="283"/>
        <v>62458</v>
      </c>
      <c r="AW111" s="42">
        <f t="shared" si="283"/>
        <v>62823</v>
      </c>
    </row>
    <row r="112" spans="1:49" ht="14.25" customHeight="1">
      <c r="A112" s="44"/>
      <c r="B112" s="44"/>
      <c r="C112" s="136" t="s">
        <v>467</v>
      </c>
      <c r="D112" s="47">
        <f>_xlfn.XLOOKUP(D110, 'Power Summary'!$C$46:$AV$46, 'Power Summary'!$C$47:$AV$47)</f>
        <v>60</v>
      </c>
      <c r="E112" s="47">
        <f>_xlfn.XLOOKUP(E110, 'Power Summary'!$C$46:$AV$46, 'Power Summary'!$C$47:$AV$47)</f>
        <v>61.2</v>
      </c>
      <c r="F112" s="47">
        <f>_xlfn.XLOOKUP(F110, 'Power Summary'!$C$46:$AV$46, 'Power Summary'!$C$47:$AV$47)</f>
        <v>62.423999999999999</v>
      </c>
      <c r="G112" s="47">
        <f>_xlfn.XLOOKUP(G110, 'Power Summary'!$C$46:$AV$46, 'Power Summary'!$C$47:$AV$47)</f>
        <v>63.672479999999993</v>
      </c>
      <c r="H112" s="47">
        <f>_xlfn.XLOOKUP(H110, 'Power Summary'!$C$46:$AV$46, 'Power Summary'!$C$47:$AV$47)</f>
        <v>64.945929599999999</v>
      </c>
      <c r="I112" s="47">
        <f>_xlfn.XLOOKUP(I110, 'Power Summary'!$C$46:$AV$46, 'Power Summary'!$C$47:$AV$47)</f>
        <v>66.244848192000006</v>
      </c>
      <c r="J112" s="47">
        <f>_xlfn.XLOOKUP(J110, 'Power Summary'!$C$46:$AV$46, 'Power Summary'!$C$47:$AV$47)</f>
        <v>67.56974515584001</v>
      </c>
      <c r="K112" s="47">
        <f>_xlfn.XLOOKUP(K110, 'Power Summary'!$C$46:$AV$46, 'Power Summary'!$C$47:$AV$47)</f>
        <v>68.921140058956794</v>
      </c>
      <c r="L112" s="47">
        <f>_xlfn.XLOOKUP(L110, 'Power Summary'!$C$46:$AV$46, 'Power Summary'!$C$47:$AV$47)</f>
        <v>70.299562860135936</v>
      </c>
      <c r="M112" s="47">
        <f>_xlfn.XLOOKUP(M110, 'Power Summary'!$C$46:$AV$46, 'Power Summary'!$C$47:$AV$47)</f>
        <v>71.70555411733865</v>
      </c>
      <c r="N112" s="47">
        <f>_xlfn.XLOOKUP(N110, 'Power Summary'!$C$46:$AV$46, 'Power Summary'!$C$47:$AV$47)</f>
        <v>73.139665199685425</v>
      </c>
      <c r="O112" s="47">
        <f>_xlfn.XLOOKUP(O110, 'Power Summary'!$C$46:$AV$46, 'Power Summary'!$C$47:$AV$47)</f>
        <v>74.602458503679117</v>
      </c>
      <c r="P112" s="47">
        <f>_xlfn.XLOOKUP(P110, 'Power Summary'!$C$46:$AV$46, 'Power Summary'!$C$47:$AV$47)</f>
        <v>76.094507673752716</v>
      </c>
      <c r="Q112" s="47">
        <f>_xlfn.XLOOKUP(Q110, 'Power Summary'!$C$46:$AV$46, 'Power Summary'!$C$47:$AV$47)</f>
        <v>77.616397827227772</v>
      </c>
      <c r="R112" s="47">
        <f>_xlfn.XLOOKUP(R110, 'Power Summary'!$C$46:$AV$46, 'Power Summary'!$C$47:$AV$47)</f>
        <v>79.168725783772331</v>
      </c>
      <c r="S112" s="47">
        <f>_xlfn.XLOOKUP(S110, 'Power Summary'!$C$46:$AV$46, 'Power Summary'!$C$47:$AV$47)</f>
        <v>80.752100299447747</v>
      </c>
      <c r="T112" s="47">
        <f>_xlfn.XLOOKUP(T110, 'Power Summary'!$C$46:$AV$46, 'Power Summary'!$C$47:$AV$47)</f>
        <v>82.367142305436715</v>
      </c>
      <c r="U112" s="47">
        <f>_xlfn.XLOOKUP(U110, 'Power Summary'!$C$46:$AV$46, 'Power Summary'!$C$47:$AV$47)</f>
        <v>84.014485151545458</v>
      </c>
      <c r="V112" s="47">
        <f>_xlfn.XLOOKUP(V110, 'Power Summary'!$C$46:$AV$46, 'Power Summary'!$C$47:$AV$47)</f>
        <v>85.694774854576366</v>
      </c>
      <c r="W112" s="47">
        <f>_xlfn.XLOOKUP(W110, 'Power Summary'!$C$46:$AV$46, 'Power Summary'!$C$47:$AV$47)</f>
        <v>87.408670351667894</v>
      </c>
      <c r="X112" s="47">
        <f>_xlfn.XLOOKUP(X110, 'Power Summary'!$C$46:$AV$46, 'Power Summary'!$C$47:$AV$47)</f>
        <v>89.156843758701257</v>
      </c>
      <c r="Y112" s="47">
        <f>_xlfn.XLOOKUP(Y110, 'Power Summary'!$C$46:$AV$46, 'Power Summary'!$C$47:$AV$47)</f>
        <v>90.93998063387528</v>
      </c>
      <c r="Z112" s="47">
        <f>_xlfn.XLOOKUP(Z110, 'Power Summary'!$C$46:$AV$46, 'Power Summary'!$C$47:$AV$47)</f>
        <v>92.758780246552789</v>
      </c>
      <c r="AA112" s="47">
        <f>_xlfn.XLOOKUP(AA110, 'Power Summary'!$C$46:$AV$46, 'Power Summary'!$C$47:$AV$47)</f>
        <v>94.613955851483823</v>
      </c>
      <c r="AB112" s="47">
        <f>_xlfn.XLOOKUP(AB110, 'Power Summary'!$C$46:$AV$46, 'Power Summary'!$C$47:$AV$47)</f>
        <v>96.506234968513496</v>
      </c>
      <c r="AC112" s="47">
        <f>_xlfn.XLOOKUP(AC110, 'Power Summary'!$C$46:$AV$46, 'Power Summary'!$C$47:$AV$47)</f>
        <v>98.436359667883778</v>
      </c>
      <c r="AD112" s="47">
        <f>_xlfn.XLOOKUP(AD110, 'Power Summary'!$C$46:$AV$46, 'Power Summary'!$C$47:$AV$47)</f>
        <v>100.40508686124146</v>
      </c>
      <c r="AE112" s="47">
        <f>_xlfn.XLOOKUP(AE110, 'Power Summary'!$C$46:$AV$46, 'Power Summary'!$C$47:$AV$47)</f>
        <v>102.41318859846626</v>
      </c>
      <c r="AF112" s="47">
        <f>_xlfn.XLOOKUP(AF110, 'Power Summary'!$C$46:$AV$46, 'Power Summary'!$C$47:$AV$47)</f>
        <v>104.46145237043562</v>
      </c>
      <c r="AG112" s="47">
        <f>_xlfn.XLOOKUP(AG110, 'Power Summary'!$C$46:$AV$46, 'Power Summary'!$C$47:$AV$47)</f>
        <v>106.55068141784432</v>
      </c>
      <c r="AH112" s="47">
        <f>_xlfn.XLOOKUP(AH110, 'Power Summary'!$C$46:$AV$46, 'Power Summary'!$C$47:$AV$47)</f>
        <v>108.68169504620121</v>
      </c>
      <c r="AI112" s="47">
        <f>_xlfn.XLOOKUP(AI110, 'Power Summary'!$C$46:$AV$46, 'Power Summary'!$C$47:$AV$47)</f>
        <v>110.8553289471252</v>
      </c>
      <c r="AJ112" s="47">
        <f>_xlfn.XLOOKUP(AJ110, 'Power Summary'!$C$46:$AV$46, 'Power Summary'!$C$47:$AV$47)</f>
        <v>113.07243552606774</v>
      </c>
      <c r="AK112" s="47">
        <f>_xlfn.XLOOKUP(AK110, 'Power Summary'!$C$46:$AV$46, 'Power Summary'!$C$47:$AV$47)</f>
        <v>115.3338842365891</v>
      </c>
      <c r="AL112" s="47">
        <f>_xlfn.XLOOKUP(AL110, 'Power Summary'!$C$46:$AV$46, 'Power Summary'!$C$47:$AV$47)</f>
        <v>117.64056192132087</v>
      </c>
      <c r="AM112" s="47">
        <f>_xlfn.XLOOKUP(AM110, 'Power Summary'!$C$46:$AV$46, 'Power Summary'!$C$47:$AV$47)</f>
        <v>119.99337315974728</v>
      </c>
      <c r="AN112" s="47">
        <f>_xlfn.XLOOKUP(AN110, 'Power Summary'!$C$46:$AV$46, 'Power Summary'!$C$47:$AV$47)</f>
        <v>122.39324062294222</v>
      </c>
      <c r="AO112" s="47">
        <f>_xlfn.XLOOKUP(AO110, 'Power Summary'!$C$46:$AV$46, 'Power Summary'!$C$47:$AV$47)</f>
        <v>124.84110543540109</v>
      </c>
      <c r="AP112" s="47">
        <f>_xlfn.XLOOKUP(AP110, 'Power Summary'!$C$46:$AV$46, 'Power Summary'!$C$47:$AV$47)</f>
        <v>127.33792754410912</v>
      </c>
      <c r="AQ112" s="47">
        <f>_xlfn.XLOOKUP(AQ110, 'Power Summary'!$C$46:$AV$46, 'Power Summary'!$C$47:$AV$47)</f>
        <v>129.88468609499125</v>
      </c>
      <c r="AR112" s="47">
        <f>_xlfn.XLOOKUP(AR110, 'Power Summary'!$C$46:$AV$46, 'Power Summary'!$C$47:$AV$47)</f>
        <v>132.4823798168911</v>
      </c>
      <c r="AS112" s="47">
        <f>_xlfn.XLOOKUP(AS110, 'Power Summary'!$C$46:$AV$46, 'Power Summary'!$C$47:$AV$47)</f>
        <v>135.13202741322891</v>
      </c>
      <c r="AT112" s="47">
        <f>_xlfn.XLOOKUP(AT110, 'Power Summary'!$C$46:$AV$46, 'Power Summary'!$C$47:$AV$47)</f>
        <v>137.83466796149349</v>
      </c>
      <c r="AU112" s="47">
        <f>_xlfn.XLOOKUP(AU110, 'Power Summary'!$C$46:$AV$46, 'Power Summary'!$C$47:$AV$47)</f>
        <v>140.59136132072337</v>
      </c>
      <c r="AV112" s="47">
        <f>_xlfn.XLOOKUP(AV110, 'Power Summary'!$C$46:$AV$46, 'Power Summary'!$C$47:$AV$47)</f>
        <v>143.40318854713786</v>
      </c>
      <c r="AW112" s="47">
        <f>_xlfn.XLOOKUP(AW110, 'Power Summary'!$C$46:$AV$46, 'Power Summary'!$C$47:$AV$47)</f>
        <v>146.2712523180806</v>
      </c>
    </row>
    <row r="113" spans="3:52" ht="14.25" customHeight="1">
      <c r="C113" s="44" t="s">
        <v>521</v>
      </c>
      <c r="D113" s="68">
        <f>IFERROR(IF(AND(D11=0,D13&lt;&gt;0),0,IF(YEAR('Assumptions &amp; Inputs'!$I$31)&gt;D110,0,IF(D110=YEAR('Assumptions &amp; Inputs'!$I$31),'Assumptions &amp; Inputs'!$I$77*8760*'Assumptions &amp; Inputs'!$I$94*YEARFRAC('Assumptions &amp; Inputs'!$I$31,'Assumptions &amp; Inputs'!$I$32),IF(YEAR('Assumptions &amp; Inputs'!$I$36)&gt;=D110,'Assumptions &amp; Inputs'!$I$77*8760*'Assumptions &amp; Inputs'!$I$94*(1-'Assumptions &amp; Inputs'!$I$86)^MOD((D108-'Assumptions &amp; Inputs'!$I$28/12-1),'Assumptions &amp; Inputs'!$I$34),0)))*(1-'Assumptions &amp; Inputs'!$I$95)), 0)</f>
        <v>0</v>
      </c>
      <c r="E113" s="68">
        <f>IFERROR(IF(AND(E11=0,E13&lt;&gt;0),0,IF(YEAR('Assumptions &amp; Inputs'!$I$31)&gt;E110,0,IF(E110=YEAR('Assumptions &amp; Inputs'!$I$31),'Assumptions &amp; Inputs'!$I$77*8760*'Assumptions &amp; Inputs'!$I$94*YEARFRAC('Assumptions &amp; Inputs'!$I$31,'Assumptions &amp; Inputs'!$I$32),IF(YEAR('Assumptions &amp; Inputs'!$I$36)&gt;=E110,'Assumptions &amp; Inputs'!$I$77*8760*'Assumptions &amp; Inputs'!$I$94*(1-'Assumptions &amp; Inputs'!$I$86)^MOD((E108-'Assumptions &amp; Inputs'!$I$28/12-1),'Assumptions &amp; Inputs'!$I$34),0)))*(1-'Assumptions &amp; Inputs'!$I$95)), 0)</f>
        <v>0</v>
      </c>
      <c r="F113" s="68">
        <f>IFERROR(IF(AND(F11=0,F13&lt;&gt;0),0,IF(YEAR('Assumptions &amp; Inputs'!$I$31)&gt;F110,0,IF(F110=YEAR('Assumptions &amp; Inputs'!$I$31),'Assumptions &amp; Inputs'!$I$77*8760*'Assumptions &amp; Inputs'!$I$94*YEARFRAC('Assumptions &amp; Inputs'!$I$31,'Assumptions &amp; Inputs'!$I$32),IF(YEAR('Assumptions &amp; Inputs'!$I$36)&gt;=F110,'Assumptions &amp; Inputs'!$I$77*8760*'Assumptions &amp; Inputs'!$I$94*(1-'Assumptions &amp; Inputs'!$I$86)^MOD((F108-'Assumptions &amp; Inputs'!$I$28/12-1),'Assumptions &amp; Inputs'!$I$34),0)))*(1-'Assumptions &amp; Inputs'!$I$95)), 0)</f>
        <v>0</v>
      </c>
      <c r="G113" s="68">
        <f>IFERROR(IF(AND(G11=0,G13&lt;&gt;0),0,IF(YEAR('Assumptions &amp; Inputs'!$I$31)&gt;G110,0,IF(G110=YEAR('Assumptions &amp; Inputs'!$I$31),'Assumptions &amp; Inputs'!$I$77*8760*'Assumptions &amp; Inputs'!$I$94*YEARFRAC('Assumptions &amp; Inputs'!$I$31,'Assumptions &amp; Inputs'!$I$32),IF(YEAR('Assumptions &amp; Inputs'!$I$36)&gt;=G110,'Assumptions &amp; Inputs'!$I$77*8760*'Assumptions &amp; Inputs'!$I$94*(1-'Assumptions &amp; Inputs'!$I$86)^MOD((G108-'Assumptions &amp; Inputs'!$I$28/12-1),'Assumptions &amp; Inputs'!$I$34),0)))*(1-'Assumptions &amp; Inputs'!$I$95)), 0)</f>
        <v>0</v>
      </c>
      <c r="H113" s="68">
        <f>IFERROR(IF(AND(H11=0,H13&lt;&gt;0),0,IF(YEAR('Assumptions &amp; Inputs'!$I$31)&gt;H110,0,IF(H110=YEAR('Assumptions &amp; Inputs'!$I$31),'Assumptions &amp; Inputs'!$I$77*8760*'Assumptions &amp; Inputs'!$I$94*YEARFRAC('Assumptions &amp; Inputs'!$I$31,'Assumptions &amp; Inputs'!$I$32),IF(YEAR('Assumptions &amp; Inputs'!$I$36)&gt;=H110,'Assumptions &amp; Inputs'!$I$77*8760*'Assumptions &amp; Inputs'!$I$94*(1-'Assumptions &amp; Inputs'!$I$86)^MOD((H108-'Assumptions &amp; Inputs'!$I$28/12-1),'Assumptions &amp; Inputs'!$I$34),0)))*(1-'Assumptions &amp; Inputs'!$I$95)), 0)</f>
        <v>665691.6</v>
      </c>
      <c r="I113" s="68">
        <f>IFERROR(IF(AND(I11=0,I13&lt;&gt;0),0,IF(YEAR('Assumptions &amp; Inputs'!$I$31)&gt;I110,0,IF(I110=YEAR('Assumptions &amp; Inputs'!$I$31),'Assumptions &amp; Inputs'!$I$77*8760*'Assumptions &amp; Inputs'!$I$94*YEARFRAC('Assumptions &amp; Inputs'!$I$31,'Assumptions &amp; Inputs'!$I$32),IF(YEAR('Assumptions &amp; Inputs'!$I$36)&gt;=I110,'Assumptions &amp; Inputs'!$I$77*8760*'Assumptions &amp; Inputs'!$I$94*(1-'Assumptions &amp; Inputs'!$I$86)^MOD((I108-'Assumptions &amp; Inputs'!$I$28/12-1),'Assumptions &amp; Inputs'!$I$34),0)))*(1-'Assumptions &amp; Inputs'!$I$95)), 0)</f>
        <v>796176</v>
      </c>
      <c r="J113" s="68">
        <f>IFERROR(IF(AND(J11=0,J13&lt;&gt;0),0,IF(YEAR('Assumptions &amp; Inputs'!$I$31)&gt;J110,0,IF(J110=YEAR('Assumptions &amp; Inputs'!$I$31),'Assumptions &amp; Inputs'!$I$77*8760*'Assumptions &amp; Inputs'!$I$94*YEARFRAC('Assumptions &amp; Inputs'!$I$31,'Assumptions &amp; Inputs'!$I$32),IF(YEAR('Assumptions &amp; Inputs'!$I$36)&gt;=J110,'Assumptions &amp; Inputs'!$I$77*8760*'Assumptions &amp; Inputs'!$I$94*(1-'Assumptions &amp; Inputs'!$I$86)^MOD((J108-'Assumptions &amp; Inputs'!$I$28/12-1),'Assumptions &amp; Inputs'!$I$34),0)))*(1-'Assumptions &amp; Inputs'!$I$95)), 0)</f>
        <v>794185.55999999994</v>
      </c>
      <c r="K113" s="68">
        <f>IFERROR(IF(AND(K11=0,K13&lt;&gt;0),0,IF(YEAR('Assumptions &amp; Inputs'!$I$31)&gt;K110,0,IF(K110=YEAR('Assumptions &amp; Inputs'!$I$31),'Assumptions &amp; Inputs'!$I$77*8760*'Assumptions &amp; Inputs'!$I$94*YEARFRAC('Assumptions &amp; Inputs'!$I$31,'Assumptions &amp; Inputs'!$I$32),IF(YEAR('Assumptions &amp; Inputs'!$I$36)&gt;=K110,'Assumptions &amp; Inputs'!$I$77*8760*'Assumptions &amp; Inputs'!$I$94*(1-'Assumptions &amp; Inputs'!$I$86)^MOD((K108-'Assumptions &amp; Inputs'!$I$28/12-1),'Assumptions &amp; Inputs'!$I$34),0)))*(1-'Assumptions &amp; Inputs'!$I$95)), 0)</f>
        <v>792200.09610000008</v>
      </c>
      <c r="L113" s="68">
        <f>IFERROR(IF(AND(L11=0,L13&lt;&gt;0),0,IF(YEAR('Assumptions &amp; Inputs'!$I$31)&gt;L110,0,IF(L110=YEAR('Assumptions &amp; Inputs'!$I$31),'Assumptions &amp; Inputs'!$I$77*8760*'Assumptions &amp; Inputs'!$I$94*YEARFRAC('Assumptions &amp; Inputs'!$I$31,'Assumptions &amp; Inputs'!$I$32),IF(YEAR('Assumptions &amp; Inputs'!$I$36)&gt;=L110,'Assumptions &amp; Inputs'!$I$77*8760*'Assumptions &amp; Inputs'!$I$94*(1-'Assumptions &amp; Inputs'!$I$86)^MOD((L108-'Assumptions &amp; Inputs'!$I$28/12-1),'Assumptions &amp; Inputs'!$I$34),0)))*(1-'Assumptions &amp; Inputs'!$I$95)), 0)</f>
        <v>790219.59585975017</v>
      </c>
      <c r="M113" s="68">
        <f>IFERROR(IF(AND(M11=0,M13&lt;&gt;0),0,IF(YEAR('Assumptions &amp; Inputs'!$I$31)&gt;M110,0,IF(M110=YEAR('Assumptions &amp; Inputs'!$I$31),'Assumptions &amp; Inputs'!$I$77*8760*'Assumptions &amp; Inputs'!$I$94*YEARFRAC('Assumptions &amp; Inputs'!$I$31,'Assumptions &amp; Inputs'!$I$32),IF(YEAR('Assumptions &amp; Inputs'!$I$36)&gt;=M110,'Assumptions &amp; Inputs'!$I$77*8760*'Assumptions &amp; Inputs'!$I$94*(1-'Assumptions &amp; Inputs'!$I$86)^MOD((M108-'Assumptions &amp; Inputs'!$I$28/12-1),'Assumptions &amp; Inputs'!$I$34),0)))*(1-'Assumptions &amp; Inputs'!$I$95)), 0)</f>
        <v>788244.04687010078</v>
      </c>
      <c r="N113" s="68">
        <f>IFERROR(IF(AND(N11=0,N13&lt;&gt;0),0,IF(YEAR('Assumptions &amp; Inputs'!$I$31)&gt;N110,0,IF(N110=YEAR('Assumptions &amp; Inputs'!$I$31),'Assumptions &amp; Inputs'!$I$77*8760*'Assumptions &amp; Inputs'!$I$94*YEARFRAC('Assumptions &amp; Inputs'!$I$31,'Assumptions &amp; Inputs'!$I$32),IF(YEAR('Assumptions &amp; Inputs'!$I$36)&gt;=N110,'Assumptions &amp; Inputs'!$I$77*8760*'Assumptions &amp; Inputs'!$I$94*(1-'Assumptions &amp; Inputs'!$I$86)^MOD((N108-'Assumptions &amp; Inputs'!$I$28/12-1),'Assumptions &amp; Inputs'!$I$34),0)))*(1-'Assumptions &amp; Inputs'!$I$95)), 0)</f>
        <v>786273.43675292563</v>
      </c>
      <c r="O113" s="68">
        <f>IFERROR(IF(AND(O11=0,O13&lt;&gt;0),0,IF(YEAR('Assumptions &amp; Inputs'!$I$31)&gt;O110,0,IF(O110=YEAR('Assumptions &amp; Inputs'!$I$31),'Assumptions &amp; Inputs'!$I$77*8760*'Assumptions &amp; Inputs'!$I$94*YEARFRAC('Assumptions &amp; Inputs'!$I$31,'Assumptions &amp; Inputs'!$I$32),IF(YEAR('Assumptions &amp; Inputs'!$I$36)&gt;=O110,'Assumptions &amp; Inputs'!$I$77*8760*'Assumptions &amp; Inputs'!$I$94*(1-'Assumptions &amp; Inputs'!$I$86)^MOD((O108-'Assumptions &amp; Inputs'!$I$28/12-1),'Assumptions &amp; Inputs'!$I$34),0)))*(1-'Assumptions &amp; Inputs'!$I$95)), 0)</f>
        <v>784307.75316104328</v>
      </c>
      <c r="P113" s="68">
        <f>IFERROR(IF(AND(P11=0,P13&lt;&gt;0),0,IF(YEAR('Assumptions &amp; Inputs'!$I$31)&gt;P110,0,IF(P110=YEAR('Assumptions &amp; Inputs'!$I$31),'Assumptions &amp; Inputs'!$I$77*8760*'Assumptions &amp; Inputs'!$I$94*YEARFRAC('Assumptions &amp; Inputs'!$I$31,'Assumptions &amp; Inputs'!$I$32),IF(YEAR('Assumptions &amp; Inputs'!$I$36)&gt;=P110,'Assumptions &amp; Inputs'!$I$77*8760*'Assumptions &amp; Inputs'!$I$94*(1-'Assumptions &amp; Inputs'!$I$86)^MOD((P108-'Assumptions &amp; Inputs'!$I$28/12-1),'Assumptions &amp; Inputs'!$I$34),0)))*(1-'Assumptions &amp; Inputs'!$I$95)), 0)</f>
        <v>782346.98377814074</v>
      </c>
      <c r="Q113" s="68">
        <f>IFERROR(IF(AND(Q11=0,Q13&lt;&gt;0),0,IF(YEAR('Assumptions &amp; Inputs'!$I$31)&gt;Q110,0,IF(Q110=YEAR('Assumptions &amp; Inputs'!$I$31),'Assumptions &amp; Inputs'!$I$77*8760*'Assumptions &amp; Inputs'!$I$94*YEARFRAC('Assumptions &amp; Inputs'!$I$31,'Assumptions &amp; Inputs'!$I$32),IF(YEAR('Assumptions &amp; Inputs'!$I$36)&gt;=Q110,'Assumptions &amp; Inputs'!$I$77*8760*'Assumptions &amp; Inputs'!$I$94*(1-'Assumptions &amp; Inputs'!$I$86)^MOD((Q108-'Assumptions &amp; Inputs'!$I$28/12-1),'Assumptions &amp; Inputs'!$I$34),0)))*(1-'Assumptions &amp; Inputs'!$I$95)), 0)</f>
        <v>780391.11631869536</v>
      </c>
      <c r="R113" s="68">
        <f>IFERROR(IF(AND(R11=0,R13&lt;&gt;0),0,IF(YEAR('Assumptions &amp; Inputs'!$I$31)&gt;R110,0,IF(R110=YEAR('Assumptions &amp; Inputs'!$I$31),'Assumptions &amp; Inputs'!$I$77*8760*'Assumptions &amp; Inputs'!$I$94*YEARFRAC('Assumptions &amp; Inputs'!$I$31,'Assumptions &amp; Inputs'!$I$32),IF(YEAR('Assumptions &amp; Inputs'!$I$36)&gt;=R110,'Assumptions &amp; Inputs'!$I$77*8760*'Assumptions &amp; Inputs'!$I$94*(1-'Assumptions &amp; Inputs'!$I$86)^MOD((R108-'Assumptions &amp; Inputs'!$I$28/12-1),'Assumptions &amp; Inputs'!$I$34),0)))*(1-'Assumptions &amp; Inputs'!$I$95)), 0)</f>
        <v>778440.13852789858</v>
      </c>
      <c r="S113" s="68">
        <f>IFERROR(IF(AND(S11=0,S13&lt;&gt;0),0,IF(YEAR('Assumptions &amp; Inputs'!$I$31)&gt;S110,0,IF(S110=YEAR('Assumptions &amp; Inputs'!$I$31),'Assumptions &amp; Inputs'!$I$77*8760*'Assumptions &amp; Inputs'!$I$94*YEARFRAC('Assumptions &amp; Inputs'!$I$31,'Assumptions &amp; Inputs'!$I$32),IF(YEAR('Assumptions &amp; Inputs'!$I$36)&gt;=S110,'Assumptions &amp; Inputs'!$I$77*8760*'Assumptions &amp; Inputs'!$I$94*(1-'Assumptions &amp; Inputs'!$I$86)^MOD((S108-'Assumptions &amp; Inputs'!$I$28/12-1),'Assumptions &amp; Inputs'!$I$34),0)))*(1-'Assumptions &amp; Inputs'!$I$95)), 0)</f>
        <v>776494.03818157897</v>
      </c>
      <c r="T113" s="68">
        <f>IFERROR(IF(AND(T11=0,T13&lt;&gt;0),0,IF(YEAR('Assumptions &amp; Inputs'!$I$31)&gt;T110,0,IF(T110=YEAR('Assumptions &amp; Inputs'!$I$31),'Assumptions &amp; Inputs'!$I$77*8760*'Assumptions &amp; Inputs'!$I$94*YEARFRAC('Assumptions &amp; Inputs'!$I$31,'Assumptions &amp; Inputs'!$I$32),IF(YEAR('Assumptions &amp; Inputs'!$I$36)&gt;=T110,'Assumptions &amp; Inputs'!$I$77*8760*'Assumptions &amp; Inputs'!$I$94*(1-'Assumptions &amp; Inputs'!$I$86)^MOD((T108-'Assumptions &amp; Inputs'!$I$28/12-1),'Assumptions &amp; Inputs'!$I$34),0)))*(1-'Assumptions &amp; Inputs'!$I$95)), 0)</f>
        <v>774552.80308612506</v>
      </c>
      <c r="U113" s="68">
        <f>IFERROR(IF(AND(U11=0,U13&lt;&gt;0),0,IF(YEAR('Assumptions &amp; Inputs'!$I$31)&gt;U110,0,IF(U110=YEAR('Assumptions &amp; Inputs'!$I$31),'Assumptions &amp; Inputs'!$I$77*8760*'Assumptions &amp; Inputs'!$I$94*YEARFRAC('Assumptions &amp; Inputs'!$I$31,'Assumptions &amp; Inputs'!$I$32),IF(YEAR('Assumptions &amp; Inputs'!$I$36)&gt;=U110,'Assumptions &amp; Inputs'!$I$77*8760*'Assumptions &amp; Inputs'!$I$94*(1-'Assumptions &amp; Inputs'!$I$86)^MOD((U108-'Assumptions &amp; Inputs'!$I$28/12-1),'Assumptions &amp; Inputs'!$I$34),0)))*(1-'Assumptions &amp; Inputs'!$I$95)), 0)</f>
        <v>772616.42107840977</v>
      </c>
      <c r="V113" s="68">
        <f>IFERROR(IF(AND(V11=0,V13&lt;&gt;0),0,IF(YEAR('Assumptions &amp; Inputs'!$I$31)&gt;V110,0,IF(V110=YEAR('Assumptions &amp; Inputs'!$I$31),'Assumptions &amp; Inputs'!$I$77*8760*'Assumptions &amp; Inputs'!$I$94*YEARFRAC('Assumptions &amp; Inputs'!$I$31,'Assumptions &amp; Inputs'!$I$32),IF(YEAR('Assumptions &amp; Inputs'!$I$36)&gt;=V110,'Assumptions &amp; Inputs'!$I$77*8760*'Assumptions &amp; Inputs'!$I$94*(1-'Assumptions &amp; Inputs'!$I$86)^MOD((V108-'Assumptions &amp; Inputs'!$I$28/12-1),'Assumptions &amp; Inputs'!$I$34),0)))*(1-'Assumptions &amp; Inputs'!$I$95)), 0)</f>
        <v>770684.88002571382</v>
      </c>
      <c r="W113" s="68">
        <f>IFERROR(IF(AND(W11=0,W13&lt;&gt;0),0,IF(YEAR('Assumptions &amp; Inputs'!$I$31)&gt;W110,0,IF(W110=YEAR('Assumptions &amp; Inputs'!$I$31),'Assumptions &amp; Inputs'!$I$77*8760*'Assumptions &amp; Inputs'!$I$94*YEARFRAC('Assumptions &amp; Inputs'!$I$31,'Assumptions &amp; Inputs'!$I$32),IF(YEAR('Assumptions &amp; Inputs'!$I$36)&gt;=W110,'Assumptions &amp; Inputs'!$I$77*8760*'Assumptions &amp; Inputs'!$I$94*(1-'Assumptions &amp; Inputs'!$I$86)^MOD((W108-'Assumptions &amp; Inputs'!$I$28/12-1),'Assumptions &amp; Inputs'!$I$34),0)))*(1-'Assumptions &amp; Inputs'!$I$95)), 0)</f>
        <v>768758.16782564949</v>
      </c>
      <c r="X113" s="68">
        <f>IFERROR(IF(AND(X11=0,X13&lt;&gt;0),0,IF(YEAR('Assumptions &amp; Inputs'!$I$31)&gt;X110,0,IF(X110=YEAR('Assumptions &amp; Inputs'!$I$31),'Assumptions &amp; Inputs'!$I$77*8760*'Assumptions &amp; Inputs'!$I$94*YEARFRAC('Assumptions &amp; Inputs'!$I$31,'Assumptions &amp; Inputs'!$I$32),IF(YEAR('Assumptions &amp; Inputs'!$I$36)&gt;=X110,'Assumptions &amp; Inputs'!$I$77*8760*'Assumptions &amp; Inputs'!$I$94*(1-'Assumptions &amp; Inputs'!$I$86)^MOD((X108-'Assumptions &amp; Inputs'!$I$28/12-1),'Assumptions &amp; Inputs'!$I$34),0)))*(1-'Assumptions &amp; Inputs'!$I$95)), 0)</f>
        <v>766836.27240608551</v>
      </c>
      <c r="Y113" s="68">
        <f>IFERROR(IF(AND(Y11=0,Y13&lt;&gt;0),0,IF(YEAR('Assumptions &amp; Inputs'!$I$31)&gt;Y110,0,IF(Y110=YEAR('Assumptions &amp; Inputs'!$I$31),'Assumptions &amp; Inputs'!$I$77*8760*'Assumptions &amp; Inputs'!$I$94*YEARFRAC('Assumptions &amp; Inputs'!$I$31,'Assumptions &amp; Inputs'!$I$32),IF(YEAR('Assumptions &amp; Inputs'!$I$36)&gt;=Y110,'Assumptions &amp; Inputs'!$I$77*8760*'Assumptions &amp; Inputs'!$I$94*(1-'Assumptions &amp; Inputs'!$I$86)^MOD((Y108-'Assumptions &amp; Inputs'!$I$28/12-1),'Assumptions &amp; Inputs'!$I$34),0)))*(1-'Assumptions &amp; Inputs'!$I$95)), 0)</f>
        <v>764919.18172507023</v>
      </c>
      <c r="Z113" s="68">
        <f>IFERROR(IF(AND(Z11=0,Z13&lt;&gt;0),0,IF(YEAR('Assumptions &amp; Inputs'!$I$31)&gt;Z110,0,IF(Z110=YEAR('Assumptions &amp; Inputs'!$I$31),'Assumptions &amp; Inputs'!$I$77*8760*'Assumptions &amp; Inputs'!$I$94*YEARFRAC('Assumptions &amp; Inputs'!$I$31,'Assumptions &amp; Inputs'!$I$32),IF(YEAR('Assumptions &amp; Inputs'!$I$36)&gt;=Z110,'Assumptions &amp; Inputs'!$I$77*8760*'Assumptions &amp; Inputs'!$I$94*(1-'Assumptions &amp; Inputs'!$I$86)^MOD((Z108-'Assumptions &amp; Inputs'!$I$28/12-1),'Assumptions &amp; Inputs'!$I$34),0)))*(1-'Assumptions &amp; Inputs'!$I$95)), 0)</f>
        <v>763006.8837707577</v>
      </c>
      <c r="AA113" s="68">
        <f>IFERROR(IF(AND(AA11=0,AA13&lt;&gt;0),0,IF(YEAR('Assumptions &amp; Inputs'!$I$31)&gt;AA110,0,IF(AA110=YEAR('Assumptions &amp; Inputs'!$I$31),'Assumptions &amp; Inputs'!$I$77*8760*'Assumptions &amp; Inputs'!$I$94*YEARFRAC('Assumptions &amp; Inputs'!$I$31,'Assumptions &amp; Inputs'!$I$32),IF(YEAR('Assumptions &amp; Inputs'!$I$36)&gt;=AA110,'Assumptions &amp; Inputs'!$I$77*8760*'Assumptions &amp; Inputs'!$I$94*(1-'Assumptions &amp; Inputs'!$I$86)^MOD((AA108-'Assumptions &amp; Inputs'!$I$28/12-1),'Assumptions &amp; Inputs'!$I$34),0)))*(1-'Assumptions &amp; Inputs'!$I$95)), 0)</f>
        <v>761099.36656133074</v>
      </c>
      <c r="AB113" s="68">
        <f>IFERROR(IF(AND(AB11=0,AB13&lt;&gt;0),0,IF(YEAR('Assumptions &amp; Inputs'!$I$31)&gt;AB110,0,IF(AB110=YEAR('Assumptions &amp; Inputs'!$I$31),'Assumptions &amp; Inputs'!$I$77*8760*'Assumptions &amp; Inputs'!$I$94*YEARFRAC('Assumptions &amp; Inputs'!$I$31,'Assumptions &amp; Inputs'!$I$32),IF(YEAR('Assumptions &amp; Inputs'!$I$36)&gt;=AB110,'Assumptions &amp; Inputs'!$I$77*8760*'Assumptions &amp; Inputs'!$I$94*(1-'Assumptions &amp; Inputs'!$I$86)^MOD((AB108-'Assumptions &amp; Inputs'!$I$28/12-1),'Assumptions &amp; Inputs'!$I$34),0)))*(1-'Assumptions &amp; Inputs'!$I$95)), 0)</f>
        <v>759196.61814492743</v>
      </c>
      <c r="AC113" s="68">
        <f>IFERROR(IF(AND(AC11=0,AC13&lt;&gt;0),0,IF(YEAR('Assumptions &amp; Inputs'!$I$31)&gt;AC110,0,IF(AC110=YEAR('Assumptions &amp; Inputs'!$I$31),'Assumptions &amp; Inputs'!$I$77*8760*'Assumptions &amp; Inputs'!$I$94*YEARFRAC('Assumptions &amp; Inputs'!$I$31,'Assumptions &amp; Inputs'!$I$32),IF(YEAR('Assumptions &amp; Inputs'!$I$36)&gt;=AC110,'Assumptions &amp; Inputs'!$I$77*8760*'Assumptions &amp; Inputs'!$I$94*(1-'Assumptions &amp; Inputs'!$I$86)^MOD((AC108-'Assumptions &amp; Inputs'!$I$28/12-1),'Assumptions &amp; Inputs'!$I$34),0)))*(1-'Assumptions &amp; Inputs'!$I$95)), 0)</f>
        <v>757298.62659956515</v>
      </c>
      <c r="AD113" s="68">
        <f>IFERROR(IF(AND(AD11=0,AD13&lt;&gt;0),0,IF(YEAR('Assumptions &amp; Inputs'!$I$31)&gt;AD110,0,IF(AD110=YEAR('Assumptions &amp; Inputs'!$I$31),'Assumptions &amp; Inputs'!$I$77*8760*'Assumptions &amp; Inputs'!$I$94*YEARFRAC('Assumptions &amp; Inputs'!$I$31,'Assumptions &amp; Inputs'!$I$32),IF(YEAR('Assumptions &amp; Inputs'!$I$36)&gt;=AD110,'Assumptions &amp; Inputs'!$I$77*8760*'Assumptions &amp; Inputs'!$I$94*(1-'Assumptions &amp; Inputs'!$I$86)^MOD((AD108-'Assumptions &amp; Inputs'!$I$28/12-1),'Assumptions &amp; Inputs'!$I$34),0)))*(1-'Assumptions &amp; Inputs'!$I$95)), 0)</f>
        <v>755405.38003306638</v>
      </c>
      <c r="AE113" s="68">
        <f>IFERROR(IF(AND(AE11=0,AE13&lt;&gt;0),0,IF(YEAR('Assumptions &amp; Inputs'!$I$31)&gt;AE110,0,IF(AE110=YEAR('Assumptions &amp; Inputs'!$I$31),'Assumptions &amp; Inputs'!$I$77*8760*'Assumptions &amp; Inputs'!$I$94*YEARFRAC('Assumptions &amp; Inputs'!$I$31,'Assumptions &amp; Inputs'!$I$32),IF(YEAR('Assumptions &amp; Inputs'!$I$36)&gt;=AE110,'Assumptions &amp; Inputs'!$I$77*8760*'Assumptions &amp; Inputs'!$I$94*(1-'Assumptions &amp; Inputs'!$I$86)^MOD((AE108-'Assumptions &amp; Inputs'!$I$28/12-1),'Assumptions &amp; Inputs'!$I$34),0)))*(1-'Assumptions &amp; Inputs'!$I$95)), 0)</f>
        <v>753516.86658298376</v>
      </c>
      <c r="AF113" s="68">
        <f>IFERROR(IF(AND(AF11=0,AF13&lt;&gt;0),0,IF(YEAR('Assumptions &amp; Inputs'!$I$31)&gt;AF110,0,IF(AF110=YEAR('Assumptions &amp; Inputs'!$I$31),'Assumptions &amp; Inputs'!$I$77*8760*'Assumptions &amp; Inputs'!$I$94*YEARFRAC('Assumptions &amp; Inputs'!$I$31,'Assumptions &amp; Inputs'!$I$32),IF(YEAR('Assumptions &amp; Inputs'!$I$36)&gt;=AF110,'Assumptions &amp; Inputs'!$I$77*8760*'Assumptions &amp; Inputs'!$I$94*(1-'Assumptions &amp; Inputs'!$I$86)^MOD((AF108-'Assumptions &amp; Inputs'!$I$28/12-1),'Assumptions &amp; Inputs'!$I$34),0)))*(1-'Assumptions &amp; Inputs'!$I$95)), 0)</f>
        <v>751633.07441652624</v>
      </c>
      <c r="AG113" s="68">
        <f>IFERROR(IF(AND(AG11=0,AG13&lt;&gt;0),0,IF(YEAR('Assumptions &amp; Inputs'!$I$31)&gt;AG110,0,IF(AG110=YEAR('Assumptions &amp; Inputs'!$I$31),'Assumptions &amp; Inputs'!$I$77*8760*'Assumptions &amp; Inputs'!$I$94*YEARFRAC('Assumptions &amp; Inputs'!$I$31,'Assumptions &amp; Inputs'!$I$32),IF(YEAR('Assumptions &amp; Inputs'!$I$36)&gt;=AG110,'Assumptions &amp; Inputs'!$I$77*8760*'Assumptions &amp; Inputs'!$I$94*(1-'Assumptions &amp; Inputs'!$I$86)^MOD((AG108-'Assumptions &amp; Inputs'!$I$28/12-1),'Assumptions &amp; Inputs'!$I$34),0)))*(1-'Assumptions &amp; Inputs'!$I$95)), 0)</f>
        <v>749753.99173048488</v>
      </c>
      <c r="AH113" s="68">
        <f>IFERROR(IF(AND(AH11=0,AH13&lt;&gt;0),0,IF(YEAR('Assumptions &amp; Inputs'!$I$31)&gt;AH110,0,IF(AH110=YEAR('Assumptions &amp; Inputs'!$I$31),'Assumptions &amp; Inputs'!$I$77*8760*'Assumptions &amp; Inputs'!$I$94*YEARFRAC('Assumptions &amp; Inputs'!$I$31,'Assumptions &amp; Inputs'!$I$32),IF(YEAR('Assumptions &amp; Inputs'!$I$36)&gt;=AH110,'Assumptions &amp; Inputs'!$I$77*8760*'Assumptions &amp; Inputs'!$I$94*(1-'Assumptions &amp; Inputs'!$I$86)^MOD((AH108-'Assumptions &amp; Inputs'!$I$28/12-1),'Assumptions &amp; Inputs'!$I$34),0)))*(1-'Assumptions &amp; Inputs'!$I$95)), 0)</f>
        <v>0</v>
      </c>
      <c r="AI113" s="68">
        <f>IFERROR(IF(AND(AI11=0,AI13&lt;&gt;0),0,IF(YEAR('Assumptions &amp; Inputs'!$I$31)&gt;AI110,0,IF(AI110=YEAR('Assumptions &amp; Inputs'!$I$31),'Assumptions &amp; Inputs'!$I$77*8760*'Assumptions &amp; Inputs'!$I$94*YEARFRAC('Assumptions &amp; Inputs'!$I$31,'Assumptions &amp; Inputs'!$I$32),IF(YEAR('Assumptions &amp; Inputs'!$I$36)&gt;=AI110,'Assumptions &amp; Inputs'!$I$77*8760*'Assumptions &amp; Inputs'!$I$94*(1-'Assumptions &amp; Inputs'!$I$86)^MOD((AI108-'Assumptions &amp; Inputs'!$I$28/12-1),'Assumptions &amp; Inputs'!$I$34),0)))*(1-'Assumptions &amp; Inputs'!$I$95)), 0)</f>
        <v>0</v>
      </c>
      <c r="AJ113" s="68">
        <f>IFERROR(IF(AND(AJ11=0,AJ13&lt;&gt;0),0,IF(YEAR('Assumptions &amp; Inputs'!$I$31)&gt;AJ110,0,IF(AJ110=YEAR('Assumptions &amp; Inputs'!$I$31),'Assumptions &amp; Inputs'!$I$77*8760*'Assumptions &amp; Inputs'!$I$94*YEARFRAC('Assumptions &amp; Inputs'!$I$31,'Assumptions &amp; Inputs'!$I$32),IF(YEAR('Assumptions &amp; Inputs'!$I$36)&gt;=AJ110,'Assumptions &amp; Inputs'!$I$77*8760*'Assumptions &amp; Inputs'!$I$94*(1-'Assumptions &amp; Inputs'!$I$86)^MOD((AJ108-'Assumptions &amp; Inputs'!$I$28/12-1),'Assumptions &amp; Inputs'!$I$34),0)))*(1-'Assumptions &amp; Inputs'!$I$95)), 0)</f>
        <v>0</v>
      </c>
      <c r="AK113" s="68">
        <f>IFERROR(IF(AND(AK11=0,AK13&lt;&gt;0),0,IF(YEAR('Assumptions &amp; Inputs'!$I$31)&gt;AK110,0,IF(AK110=YEAR('Assumptions &amp; Inputs'!$I$31),'Assumptions &amp; Inputs'!$I$77*8760*'Assumptions &amp; Inputs'!$I$94*YEARFRAC('Assumptions &amp; Inputs'!$I$31,'Assumptions &amp; Inputs'!$I$32),IF(YEAR('Assumptions &amp; Inputs'!$I$36)&gt;=AK110,'Assumptions &amp; Inputs'!$I$77*8760*'Assumptions &amp; Inputs'!$I$94*(1-'Assumptions &amp; Inputs'!$I$86)^MOD((AK108-'Assumptions &amp; Inputs'!$I$28/12-1),'Assumptions &amp; Inputs'!$I$34),0)))*(1-'Assumptions &amp; Inputs'!$I$95)), 0)</f>
        <v>0</v>
      </c>
      <c r="AL113" s="68">
        <f>IFERROR(IF(AND(AL11=0,AL13&lt;&gt;0),0,IF(YEAR('Assumptions &amp; Inputs'!$I$31)&gt;AL110,0,IF(AL110=YEAR('Assumptions &amp; Inputs'!$I$31),'Assumptions &amp; Inputs'!$I$77*8760*'Assumptions &amp; Inputs'!$I$94*YEARFRAC('Assumptions &amp; Inputs'!$I$31,'Assumptions &amp; Inputs'!$I$32),IF(YEAR('Assumptions &amp; Inputs'!$I$36)&gt;=AL110,'Assumptions &amp; Inputs'!$I$77*8760*'Assumptions &amp; Inputs'!$I$94*(1-'Assumptions &amp; Inputs'!$I$86)^MOD((AL108-'Assumptions &amp; Inputs'!$I$28/12-1),'Assumptions &amp; Inputs'!$I$34),0)))*(1-'Assumptions &amp; Inputs'!$I$95)), 0)</f>
        <v>0</v>
      </c>
      <c r="AM113" s="68">
        <f>IFERROR(IF(AND(AM11=0,AM13&lt;&gt;0),0,IF(YEAR('Assumptions &amp; Inputs'!$I$31)&gt;AM110,0,IF(AM110=YEAR('Assumptions &amp; Inputs'!$I$31),'Assumptions &amp; Inputs'!$I$77*8760*'Assumptions &amp; Inputs'!$I$94*YEARFRAC('Assumptions &amp; Inputs'!$I$31,'Assumptions &amp; Inputs'!$I$32),IF(YEAR('Assumptions &amp; Inputs'!$I$36)&gt;=AM110,'Assumptions &amp; Inputs'!$I$77*8760*'Assumptions &amp; Inputs'!$I$94*(1-'Assumptions &amp; Inputs'!$I$86)^MOD((AM108-'Assumptions &amp; Inputs'!$I$28/12-1),'Assumptions &amp; Inputs'!$I$34),0)))*(1-'Assumptions &amp; Inputs'!$I$95)), 0)</f>
        <v>0</v>
      </c>
      <c r="AN113" s="68">
        <f>IFERROR(IF(AND(AN11=0,AN13&lt;&gt;0),0,IF(YEAR('Assumptions &amp; Inputs'!$I$31)&gt;AN110,0,IF(AN110=YEAR('Assumptions &amp; Inputs'!$I$31),'Assumptions &amp; Inputs'!$I$77*8760*'Assumptions &amp; Inputs'!$I$94*YEARFRAC('Assumptions &amp; Inputs'!$I$31,'Assumptions &amp; Inputs'!$I$32),IF(YEAR('Assumptions &amp; Inputs'!$I$36)&gt;=AN110,'Assumptions &amp; Inputs'!$I$77*8760*'Assumptions &amp; Inputs'!$I$94*(1-'Assumptions &amp; Inputs'!$I$86)^MOD((AN108-'Assumptions &amp; Inputs'!$I$28/12-1),'Assumptions &amp; Inputs'!$I$34),0)))*(1-'Assumptions &amp; Inputs'!$I$95)), 0)</f>
        <v>0</v>
      </c>
      <c r="AO113" s="68">
        <f>IFERROR(IF(AND(AO11=0,AO13&lt;&gt;0),0,IF(YEAR('Assumptions &amp; Inputs'!$I$31)&gt;AO110,0,IF(AO110=YEAR('Assumptions &amp; Inputs'!$I$31),'Assumptions &amp; Inputs'!$I$77*8760*'Assumptions &amp; Inputs'!$I$94*YEARFRAC('Assumptions &amp; Inputs'!$I$31,'Assumptions &amp; Inputs'!$I$32),IF(YEAR('Assumptions &amp; Inputs'!$I$36)&gt;=AO110,'Assumptions &amp; Inputs'!$I$77*8760*'Assumptions &amp; Inputs'!$I$94*(1-'Assumptions &amp; Inputs'!$I$86)^MOD((AO108-'Assumptions &amp; Inputs'!$I$28/12-1),'Assumptions &amp; Inputs'!$I$34),0)))*(1-'Assumptions &amp; Inputs'!$I$95)), 0)</f>
        <v>0</v>
      </c>
      <c r="AP113" s="68">
        <f>IFERROR(IF(AND(AP11=0,AP13&lt;&gt;0),0,IF(YEAR('Assumptions &amp; Inputs'!$I$31)&gt;AP110,0,IF(AP110=YEAR('Assumptions &amp; Inputs'!$I$31),'Assumptions &amp; Inputs'!$I$77*8760*'Assumptions &amp; Inputs'!$I$94*YEARFRAC('Assumptions &amp; Inputs'!$I$31,'Assumptions &amp; Inputs'!$I$32),IF(YEAR('Assumptions &amp; Inputs'!$I$36)&gt;=AP110,'Assumptions &amp; Inputs'!$I$77*8760*'Assumptions &amp; Inputs'!$I$94*(1-'Assumptions &amp; Inputs'!$I$86)^MOD((AP108-'Assumptions &amp; Inputs'!$I$28/12-1),'Assumptions &amp; Inputs'!$I$34),0)))*(1-'Assumptions &amp; Inputs'!$I$95)), 0)</f>
        <v>0</v>
      </c>
      <c r="AQ113" s="68">
        <f>IFERROR(IF(AND(AQ11=0,AQ13&lt;&gt;0),0,IF(YEAR('Assumptions &amp; Inputs'!$I$31)&gt;AQ110,0,IF(AQ110=YEAR('Assumptions &amp; Inputs'!$I$31),'Assumptions &amp; Inputs'!$I$77*8760*'Assumptions &amp; Inputs'!$I$94*YEARFRAC('Assumptions &amp; Inputs'!$I$31,'Assumptions &amp; Inputs'!$I$32),IF(YEAR('Assumptions &amp; Inputs'!$I$36)&gt;=AQ110,'Assumptions &amp; Inputs'!$I$77*8760*'Assumptions &amp; Inputs'!$I$94*(1-'Assumptions &amp; Inputs'!$I$86)^MOD((AQ108-'Assumptions &amp; Inputs'!$I$28/12-1),'Assumptions &amp; Inputs'!$I$34),0)))*(1-'Assumptions &amp; Inputs'!$I$95)), 0)</f>
        <v>0</v>
      </c>
      <c r="AR113" s="68">
        <f>IFERROR(IF(AND(AR11=0,AR13&lt;&gt;0),0,IF(YEAR('Assumptions &amp; Inputs'!$I$31)&gt;AR110,0,IF(AR110=YEAR('Assumptions &amp; Inputs'!$I$31),'Assumptions &amp; Inputs'!$I$77*8760*'Assumptions &amp; Inputs'!$I$94*YEARFRAC('Assumptions &amp; Inputs'!$I$31,'Assumptions &amp; Inputs'!$I$32),IF(YEAR('Assumptions &amp; Inputs'!$I$36)&gt;=AR110,'Assumptions &amp; Inputs'!$I$77*8760*'Assumptions &amp; Inputs'!$I$94*(1-'Assumptions &amp; Inputs'!$I$86)^MOD((AR108-'Assumptions &amp; Inputs'!$I$28/12-1),'Assumptions &amp; Inputs'!$I$34),0)))*(1-'Assumptions &amp; Inputs'!$I$95)), 0)</f>
        <v>0</v>
      </c>
      <c r="AS113" s="68">
        <f>IFERROR(IF(AND(AS11=0,AS13&lt;&gt;0),0,IF(YEAR('Assumptions &amp; Inputs'!$I$31)&gt;AS110,0,IF(AS110=YEAR('Assumptions &amp; Inputs'!$I$31),'Assumptions &amp; Inputs'!$I$77*8760*'Assumptions &amp; Inputs'!$I$94*YEARFRAC('Assumptions &amp; Inputs'!$I$31,'Assumptions &amp; Inputs'!$I$32),IF(YEAR('Assumptions &amp; Inputs'!$I$36)&gt;=AS110,'Assumptions &amp; Inputs'!$I$77*8760*'Assumptions &amp; Inputs'!$I$94*(1-'Assumptions &amp; Inputs'!$I$86)^MOD((AS108-'Assumptions &amp; Inputs'!$I$28/12-1),'Assumptions &amp; Inputs'!$I$34),0)))*(1-'Assumptions &amp; Inputs'!$I$95)), 0)</f>
        <v>0</v>
      </c>
      <c r="AT113" s="68">
        <f>IFERROR(IF(AND(AT11=0,AT13&lt;&gt;0),0,IF(YEAR('Assumptions &amp; Inputs'!$I$31)&gt;AT110,0,IF(AT110=YEAR('Assumptions &amp; Inputs'!$I$31),'Assumptions &amp; Inputs'!$I$77*8760*'Assumptions &amp; Inputs'!$I$94*YEARFRAC('Assumptions &amp; Inputs'!$I$31,'Assumptions &amp; Inputs'!$I$32),IF(YEAR('Assumptions &amp; Inputs'!$I$36)&gt;=AT110,'Assumptions &amp; Inputs'!$I$77*8760*'Assumptions &amp; Inputs'!$I$94*(1-'Assumptions &amp; Inputs'!$I$86)^MOD((AT108-'Assumptions &amp; Inputs'!$I$28/12-1),'Assumptions &amp; Inputs'!$I$34),0)))*(1-'Assumptions &amp; Inputs'!$I$95)), 0)</f>
        <v>0</v>
      </c>
      <c r="AU113" s="68">
        <f>IFERROR(IF(AND(AU11=0,AU13&lt;&gt;0),0,IF(YEAR('Assumptions &amp; Inputs'!$I$31)&gt;AU110,0,IF(AU110=YEAR('Assumptions &amp; Inputs'!$I$31),'Assumptions &amp; Inputs'!$I$77*8760*'Assumptions &amp; Inputs'!$I$94*YEARFRAC('Assumptions &amp; Inputs'!$I$31,'Assumptions &amp; Inputs'!$I$32),IF(YEAR('Assumptions &amp; Inputs'!$I$36)&gt;=AU110,'Assumptions &amp; Inputs'!$I$77*8760*'Assumptions &amp; Inputs'!$I$94*(1-'Assumptions &amp; Inputs'!$I$86)^MOD((AU108-'Assumptions &amp; Inputs'!$I$28/12-1),'Assumptions &amp; Inputs'!$I$34),0)))*(1-'Assumptions &amp; Inputs'!$I$95)), 0)</f>
        <v>0</v>
      </c>
      <c r="AV113" s="68">
        <f>IFERROR(IF(AND(AV11=0,AV13&lt;&gt;0),0,IF(YEAR('Assumptions &amp; Inputs'!$I$31)&gt;AV110,0,IF(AV110=YEAR('Assumptions &amp; Inputs'!$I$31),'Assumptions &amp; Inputs'!$I$77*8760*'Assumptions &amp; Inputs'!$I$94*YEARFRAC('Assumptions &amp; Inputs'!$I$31,'Assumptions &amp; Inputs'!$I$32),IF(YEAR('Assumptions &amp; Inputs'!$I$36)&gt;=AV110,'Assumptions &amp; Inputs'!$I$77*8760*'Assumptions &amp; Inputs'!$I$94*(1-'Assumptions &amp; Inputs'!$I$86)^MOD((AV108-'Assumptions &amp; Inputs'!$I$28/12-1),'Assumptions &amp; Inputs'!$I$34),0)))*(1-'Assumptions &amp; Inputs'!$I$95)), 0)</f>
        <v>0</v>
      </c>
      <c r="AW113" s="68">
        <f>IFERROR(IF(AND(AW11=0,AW13&lt;&gt;0),0,IF(YEAR('Assumptions &amp; Inputs'!$I$31)&gt;AW110,0,IF(AW110=YEAR('Assumptions &amp; Inputs'!$I$31),'Assumptions &amp; Inputs'!$I$77*8760*'Assumptions &amp; Inputs'!$I$94*YEARFRAC('Assumptions &amp; Inputs'!$I$31,'Assumptions &amp; Inputs'!$I$32),IF(YEAR('Assumptions &amp; Inputs'!$I$36)&gt;=AW110,'Assumptions &amp; Inputs'!$I$77*8760*'Assumptions &amp; Inputs'!$I$94*(1-'Assumptions &amp; Inputs'!$I$86)^MOD((AW108-'Assumptions &amp; Inputs'!$I$28/12-1),'Assumptions &amp; Inputs'!$I$34),0)))*(1-'Assumptions &amp; Inputs'!$I$95)), 0)</f>
        <v>0</v>
      </c>
      <c r="AZ113" t="s">
        <v>39</v>
      </c>
    </row>
    <row r="114" spans="3:52" ht="14.25" customHeight="1">
      <c r="C114" s="44" t="s">
        <v>522</v>
      </c>
      <c r="D114" s="68">
        <f>D115/(1-'Assumptions &amp; Inputs'!$I$95)</f>
        <v>0</v>
      </c>
      <c r="E114" s="68">
        <f>E115/(1-'Assumptions &amp; Inputs'!$I$95)</f>
        <v>0</v>
      </c>
      <c r="F114" s="68">
        <f>F115/(1-'Assumptions &amp; Inputs'!$I$95)</f>
        <v>0</v>
      </c>
      <c r="G114" s="68">
        <f>G115/(1-'Assumptions &amp; Inputs'!$I$95)</f>
        <v>0</v>
      </c>
      <c r="H114" s="68">
        <f>H115/(1-'Assumptions &amp; Inputs'!$I$95)</f>
        <v>686280</v>
      </c>
      <c r="I114" s="68">
        <f>I115/(1-'Assumptions &amp; Inputs'!$I$95)</f>
        <v>820800</v>
      </c>
      <c r="J114" s="68">
        <f>J115/(1-'Assumptions &amp; Inputs'!$I$95)</f>
        <v>818748</v>
      </c>
      <c r="K114" s="68">
        <f>K115/(1-'Assumptions &amp; Inputs'!$I$95)</f>
        <v>816701.13000000012</v>
      </c>
      <c r="L114" s="68">
        <f>L115/(1-'Assumptions &amp; Inputs'!$I$95)</f>
        <v>814659.37717500015</v>
      </c>
      <c r="M114" s="68">
        <f>M115/(1-'Assumptions &amp; Inputs'!$I$95)</f>
        <v>812622.72873206274</v>
      </c>
      <c r="N114" s="68">
        <f>N115/(1-'Assumptions &amp; Inputs'!$I$95)</f>
        <v>810591.17191023263</v>
      </c>
      <c r="O114" s="68">
        <f>O115/(1-'Assumptions &amp; Inputs'!$I$95)</f>
        <v>808564.69398045703</v>
      </c>
      <c r="P114" s="68">
        <f>P115/(1-'Assumptions &amp; Inputs'!$I$95)</f>
        <v>806543.28224550595</v>
      </c>
      <c r="Q114" s="68">
        <f>Q115/(1-'Assumptions &amp; Inputs'!$I$95)</f>
        <v>804526.92403989215</v>
      </c>
      <c r="R114" s="68">
        <f>R115/(1-'Assumptions &amp; Inputs'!$I$95)</f>
        <v>802515.60672979243</v>
      </c>
      <c r="S114" s="68">
        <f>S115/(1-'Assumptions &amp; Inputs'!$I$95)</f>
        <v>800509.31771296798</v>
      </c>
      <c r="T114" s="68">
        <f>T115/(1-'Assumptions &amp; Inputs'!$I$95)</f>
        <v>798508.0444186856</v>
      </c>
      <c r="U114" s="68">
        <f>U115/(1-'Assumptions &amp; Inputs'!$I$95)</f>
        <v>796511.77430763899</v>
      </c>
      <c r="V114" s="68">
        <f>V115/(1-'Assumptions &amp; Inputs'!$I$95)</f>
        <v>794520.49487186992</v>
      </c>
      <c r="W114" s="68">
        <f>W115/(1-'Assumptions &amp; Inputs'!$I$95)</f>
        <v>792534.19363469025</v>
      </c>
      <c r="X114" s="68">
        <f>X115/(1-'Assumptions &amp; Inputs'!$I$95)</f>
        <v>790552.8581506036</v>
      </c>
      <c r="Y114" s="68">
        <f>Y115/(1-'Assumptions &amp; Inputs'!$I$95)</f>
        <v>788576.47600522707</v>
      </c>
      <c r="Z114" s="68">
        <f>Z115/(1-'Assumptions &amp; Inputs'!$I$95)</f>
        <v>786605.03481521411</v>
      </c>
      <c r="AA114" s="68">
        <f>AA115/(1-'Assumptions &amp; Inputs'!$I$95)</f>
        <v>784638.52222817601</v>
      </c>
      <c r="AB114" s="68">
        <f>AB115/(1-'Assumptions &amp; Inputs'!$I$95)</f>
        <v>782676.92592260567</v>
      </c>
      <c r="AC114" s="68">
        <f>AC115/(1-'Assumptions &amp; Inputs'!$I$95)</f>
        <v>780720.23360779916</v>
      </c>
      <c r="AD114" s="68">
        <f>AD115/(1-'Assumptions &amp; Inputs'!$I$95)</f>
        <v>778768.43302377977</v>
      </c>
      <c r="AE114" s="68">
        <f>AE115/(1-'Assumptions &amp; Inputs'!$I$95)</f>
        <v>776821.51194122038</v>
      </c>
      <c r="AF114" s="68">
        <f>AF115/(1-'Assumptions &amp; Inputs'!$I$95)</f>
        <v>774879.45816136734</v>
      </c>
      <c r="AG114" s="68">
        <f>AG115/(1-'Assumptions &amp; Inputs'!$I$95)</f>
        <v>772942.25951596384</v>
      </c>
      <c r="AH114" s="68">
        <f>AH115/(1-'Assumptions &amp; Inputs'!$I$95)</f>
        <v>0</v>
      </c>
      <c r="AI114" s="68">
        <f>AI115/(1-'Assumptions &amp; Inputs'!$I$95)</f>
        <v>0</v>
      </c>
      <c r="AJ114" s="68">
        <f>AJ115/(1-'Assumptions &amp; Inputs'!$I$95)</f>
        <v>0</v>
      </c>
      <c r="AK114" s="68">
        <f>AK115/(1-'Assumptions &amp; Inputs'!$I$95)</f>
        <v>0</v>
      </c>
      <c r="AL114" s="68">
        <f>AL115/(1-'Assumptions &amp; Inputs'!$I$95)</f>
        <v>0</v>
      </c>
      <c r="AM114" s="68">
        <f>AM115/(1-'Assumptions &amp; Inputs'!$I$95)</f>
        <v>0</v>
      </c>
      <c r="AN114" s="68">
        <f>AN115/(1-'Assumptions &amp; Inputs'!$I$95)</f>
        <v>0</v>
      </c>
      <c r="AO114" s="68">
        <f>AO115/(1-'Assumptions &amp; Inputs'!$I$95)</f>
        <v>0</v>
      </c>
      <c r="AP114" s="68">
        <f>AP115/(1-'Assumptions &amp; Inputs'!$I$95)</f>
        <v>0</v>
      </c>
      <c r="AQ114" s="68">
        <f>AQ115/(1-'Assumptions &amp; Inputs'!$I$95)</f>
        <v>0</v>
      </c>
      <c r="AR114" s="68">
        <f>AR115/(1-'Assumptions &amp; Inputs'!$I$95)</f>
        <v>0</v>
      </c>
      <c r="AS114" s="68">
        <f>AS115/(1-'Assumptions &amp; Inputs'!$I$95)</f>
        <v>0</v>
      </c>
      <c r="AT114" s="68">
        <f>AT115/(1-'Assumptions &amp; Inputs'!$I$95)</f>
        <v>0</v>
      </c>
      <c r="AU114" s="68">
        <f>AU115/(1-'Assumptions &amp; Inputs'!$I$95)</f>
        <v>0</v>
      </c>
      <c r="AV114" s="68">
        <f>AV115/(1-'Assumptions &amp; Inputs'!$I$95)</f>
        <v>0</v>
      </c>
      <c r="AW114" s="68">
        <f>AW115/(1-'Assumptions &amp; Inputs'!$I$95)</f>
        <v>0</v>
      </c>
    </row>
    <row r="115" spans="3:52" ht="14.25" customHeight="1">
      <c r="C115" s="44" t="s">
        <v>523</v>
      </c>
      <c r="D115" s="68">
        <f>_xlfn.XLOOKUP('GEN-CARBON'!D110, 'Power Summary'!$C$3:$AV$3, 'Power Summary'!$C$22:$AV$22)</f>
        <v>0</v>
      </c>
      <c r="E115" s="68">
        <f>_xlfn.XLOOKUP('GEN-CARBON'!E110, 'Power Summary'!$C$3:$AV$3, 'Power Summary'!$C$22:$AV$22)</f>
        <v>0</v>
      </c>
      <c r="F115" s="68">
        <f>_xlfn.XLOOKUP('GEN-CARBON'!F110, 'Power Summary'!$C$3:$AV$3, 'Power Summary'!$C$22:$AV$22)</f>
        <v>0</v>
      </c>
      <c r="G115" s="68">
        <f>_xlfn.XLOOKUP('GEN-CARBON'!G110, 'Power Summary'!$C$3:$AV$3, 'Power Summary'!$C$22:$AV$22)</f>
        <v>0</v>
      </c>
      <c r="H115" s="68">
        <f>_xlfn.XLOOKUP('GEN-CARBON'!H110, 'Power Summary'!$C$3:$AV$3, 'Power Summary'!$C$22:$AV$22)</f>
        <v>665691.6</v>
      </c>
      <c r="I115" s="68">
        <f>_xlfn.XLOOKUP('GEN-CARBON'!I110, 'Power Summary'!$C$3:$AV$3, 'Power Summary'!$C$22:$AV$22)</f>
        <v>796176</v>
      </c>
      <c r="J115" s="68">
        <f>_xlfn.XLOOKUP('GEN-CARBON'!J110, 'Power Summary'!$C$3:$AV$3, 'Power Summary'!$C$22:$AV$22)</f>
        <v>794185.55999999994</v>
      </c>
      <c r="K115" s="68">
        <f>_xlfn.XLOOKUP('GEN-CARBON'!K110, 'Power Summary'!$C$3:$AV$3, 'Power Summary'!$C$22:$AV$22)</f>
        <v>792200.09610000008</v>
      </c>
      <c r="L115" s="68">
        <f>_xlfn.XLOOKUP('GEN-CARBON'!L110, 'Power Summary'!$C$3:$AV$3, 'Power Summary'!$C$22:$AV$22)</f>
        <v>790219.59585975017</v>
      </c>
      <c r="M115" s="68">
        <f>_xlfn.XLOOKUP('GEN-CARBON'!M110, 'Power Summary'!$C$3:$AV$3, 'Power Summary'!$C$22:$AV$22)</f>
        <v>788244.04687010078</v>
      </c>
      <c r="N115" s="68">
        <f>_xlfn.XLOOKUP('GEN-CARBON'!N110, 'Power Summary'!$C$3:$AV$3, 'Power Summary'!$C$22:$AV$22)</f>
        <v>786273.43675292563</v>
      </c>
      <c r="O115" s="68">
        <f>_xlfn.XLOOKUP('GEN-CARBON'!O110, 'Power Summary'!$C$3:$AV$3, 'Power Summary'!$C$22:$AV$22)</f>
        <v>784307.75316104328</v>
      </c>
      <c r="P115" s="68">
        <f>_xlfn.XLOOKUP('GEN-CARBON'!P110, 'Power Summary'!$C$3:$AV$3, 'Power Summary'!$C$22:$AV$22)</f>
        <v>782346.98377814074</v>
      </c>
      <c r="Q115" s="68">
        <f>_xlfn.XLOOKUP('GEN-CARBON'!Q110, 'Power Summary'!$C$3:$AV$3, 'Power Summary'!$C$22:$AV$22)</f>
        <v>780391.11631869536</v>
      </c>
      <c r="R115" s="68">
        <f>_xlfn.XLOOKUP('GEN-CARBON'!R110, 'Power Summary'!$C$3:$AV$3, 'Power Summary'!$C$22:$AV$22)</f>
        <v>778440.13852789858</v>
      </c>
      <c r="S115" s="68">
        <f>_xlfn.XLOOKUP('GEN-CARBON'!S110, 'Power Summary'!$C$3:$AV$3, 'Power Summary'!$C$22:$AV$22)</f>
        <v>776494.03818157897</v>
      </c>
      <c r="T115" s="68">
        <f>_xlfn.XLOOKUP('GEN-CARBON'!T110, 'Power Summary'!$C$3:$AV$3, 'Power Summary'!$C$22:$AV$22)</f>
        <v>774552.80308612506</v>
      </c>
      <c r="U115" s="68">
        <f>_xlfn.XLOOKUP('GEN-CARBON'!U110, 'Power Summary'!$C$3:$AV$3, 'Power Summary'!$C$22:$AV$22)</f>
        <v>772616.42107840977</v>
      </c>
      <c r="V115" s="68">
        <f>_xlfn.XLOOKUP('GEN-CARBON'!V110, 'Power Summary'!$C$3:$AV$3, 'Power Summary'!$C$22:$AV$22)</f>
        <v>770684.88002571382</v>
      </c>
      <c r="W115" s="68">
        <f>_xlfn.XLOOKUP('GEN-CARBON'!W110, 'Power Summary'!$C$3:$AV$3, 'Power Summary'!$C$22:$AV$22)</f>
        <v>768758.16782564949</v>
      </c>
      <c r="X115" s="68">
        <f>_xlfn.XLOOKUP('GEN-CARBON'!X110, 'Power Summary'!$C$3:$AV$3, 'Power Summary'!$C$22:$AV$22)</f>
        <v>766836.27240608551</v>
      </c>
      <c r="Y115" s="68">
        <f>_xlfn.XLOOKUP('GEN-CARBON'!Y110, 'Power Summary'!$C$3:$AV$3, 'Power Summary'!$C$22:$AV$22)</f>
        <v>764919.18172507023</v>
      </c>
      <c r="Z115" s="68">
        <f>_xlfn.XLOOKUP('GEN-CARBON'!Z110, 'Power Summary'!$C$3:$AV$3, 'Power Summary'!$C$22:$AV$22)</f>
        <v>763006.8837707577</v>
      </c>
      <c r="AA115" s="68">
        <f>_xlfn.XLOOKUP('GEN-CARBON'!AA110, 'Power Summary'!$C$3:$AV$3, 'Power Summary'!$C$22:$AV$22)</f>
        <v>761099.36656133074</v>
      </c>
      <c r="AB115" s="68">
        <f>_xlfn.XLOOKUP('GEN-CARBON'!AB110, 'Power Summary'!$C$3:$AV$3, 'Power Summary'!$C$22:$AV$22)</f>
        <v>759196.61814492743</v>
      </c>
      <c r="AC115" s="68">
        <f>_xlfn.XLOOKUP('GEN-CARBON'!AC110, 'Power Summary'!$C$3:$AV$3, 'Power Summary'!$C$22:$AV$22)</f>
        <v>757298.62659956515</v>
      </c>
      <c r="AD115" s="68">
        <f>_xlfn.XLOOKUP('GEN-CARBON'!AD110, 'Power Summary'!$C$3:$AV$3, 'Power Summary'!$C$22:$AV$22)</f>
        <v>755405.38003306638</v>
      </c>
      <c r="AE115" s="68">
        <f>_xlfn.XLOOKUP('GEN-CARBON'!AE110, 'Power Summary'!$C$3:$AV$3, 'Power Summary'!$C$22:$AV$22)</f>
        <v>753516.86658298376</v>
      </c>
      <c r="AF115" s="68">
        <f>_xlfn.XLOOKUP('GEN-CARBON'!AF110, 'Power Summary'!$C$3:$AV$3, 'Power Summary'!$C$22:$AV$22)</f>
        <v>751633.07441652624</v>
      </c>
      <c r="AG115" s="68">
        <f>_xlfn.XLOOKUP('GEN-CARBON'!AG110, 'Power Summary'!$C$3:$AV$3, 'Power Summary'!$C$22:$AV$22)</f>
        <v>749753.99173048488</v>
      </c>
      <c r="AH115" s="68">
        <f>_xlfn.XLOOKUP('GEN-CARBON'!AH110, 'Power Summary'!$C$3:$AV$3, 'Power Summary'!$C$22:$AV$22)</f>
        <v>0</v>
      </c>
      <c r="AI115" s="68">
        <f>_xlfn.XLOOKUP('GEN-CARBON'!AI110, 'Power Summary'!$C$3:$AV$3, 'Power Summary'!$C$22:$AV$22)</f>
        <v>0</v>
      </c>
      <c r="AJ115" s="68">
        <f>_xlfn.XLOOKUP('GEN-CARBON'!AJ110, 'Power Summary'!$C$3:$AV$3, 'Power Summary'!$C$22:$AV$22)</f>
        <v>0</v>
      </c>
      <c r="AK115" s="68">
        <f>_xlfn.XLOOKUP('GEN-CARBON'!AK110, 'Power Summary'!$C$3:$AV$3, 'Power Summary'!$C$22:$AV$22)</f>
        <v>0</v>
      </c>
      <c r="AL115" s="68">
        <f>_xlfn.XLOOKUP('GEN-CARBON'!AL110, 'Power Summary'!$C$3:$AV$3, 'Power Summary'!$C$22:$AV$22)</f>
        <v>0</v>
      </c>
      <c r="AM115" s="68">
        <f>_xlfn.XLOOKUP('GEN-CARBON'!AM110, 'Power Summary'!$C$3:$AV$3, 'Power Summary'!$C$22:$AV$22)</f>
        <v>0</v>
      </c>
      <c r="AN115" s="68">
        <f>_xlfn.XLOOKUP('GEN-CARBON'!AN110, 'Power Summary'!$C$3:$AV$3, 'Power Summary'!$C$22:$AV$22)</f>
        <v>0</v>
      </c>
      <c r="AO115" s="68">
        <f>_xlfn.XLOOKUP('GEN-CARBON'!AO110, 'Power Summary'!$C$3:$AV$3, 'Power Summary'!$C$22:$AV$22)</f>
        <v>0</v>
      </c>
      <c r="AP115" s="68">
        <f>_xlfn.XLOOKUP('GEN-CARBON'!AP110, 'Power Summary'!$C$3:$AV$3, 'Power Summary'!$C$22:$AV$22)</f>
        <v>0</v>
      </c>
      <c r="AQ115" s="68">
        <f>_xlfn.XLOOKUP('GEN-CARBON'!AQ110, 'Power Summary'!$C$3:$AV$3, 'Power Summary'!$C$22:$AV$22)</f>
        <v>0</v>
      </c>
      <c r="AR115" s="68">
        <f>_xlfn.XLOOKUP('GEN-CARBON'!AR110, 'Power Summary'!$C$3:$AV$3, 'Power Summary'!$C$22:$AV$22)</f>
        <v>0</v>
      </c>
      <c r="AS115" s="68">
        <f>_xlfn.XLOOKUP('GEN-CARBON'!AS110, 'Power Summary'!$C$3:$AV$3, 'Power Summary'!$C$22:$AV$22)</f>
        <v>0</v>
      </c>
      <c r="AT115" s="68">
        <f>_xlfn.XLOOKUP('GEN-CARBON'!AT110, 'Power Summary'!$C$3:$AV$3, 'Power Summary'!$C$22:$AV$22)</f>
        <v>0</v>
      </c>
      <c r="AU115" s="68">
        <f>_xlfn.XLOOKUP('GEN-CARBON'!AU110, 'Power Summary'!$C$3:$AV$3, 'Power Summary'!$C$22:$AV$22)</f>
        <v>0</v>
      </c>
      <c r="AV115" s="68">
        <f>_xlfn.XLOOKUP('GEN-CARBON'!AV110, 'Power Summary'!$C$3:$AV$3, 'Power Summary'!$C$22:$AV$22)</f>
        <v>0</v>
      </c>
      <c r="AW115" s="68">
        <f>_xlfn.XLOOKUP('GEN-CARBON'!AW110, 'Power Summary'!$C$3:$AV$3, 'Power Summary'!$C$22:$AV$22)</f>
        <v>0</v>
      </c>
    </row>
    <row r="116" spans="3:52" ht="14.25" customHeight="1">
      <c r="C116" s="48" t="s">
        <v>513</v>
      </c>
      <c r="D116" s="69">
        <f>D112*D115/$E$3</f>
        <v>0</v>
      </c>
      <c r="E116" s="69">
        <f t="shared" ref="E116:X116" si="284">E112*E115/$E$3</f>
        <v>0</v>
      </c>
      <c r="F116" s="69">
        <f>F112*F115/$E$3</f>
        <v>0</v>
      </c>
      <c r="G116" s="69">
        <f>G112*G115/$E$3</f>
        <v>0</v>
      </c>
      <c r="H116" s="69">
        <f>H112*H115/$E$3</f>
        <v>43.233959788911356</v>
      </c>
      <c r="I116" s="69">
        <f t="shared" si="284"/>
        <v>52.742558254113796</v>
      </c>
      <c r="J116" s="69">
        <f t="shared" si="284"/>
        <v>53.662915895648084</v>
      </c>
      <c r="K116" s="69">
        <f t="shared" si="284"/>
        <v>54.599333778027137</v>
      </c>
      <c r="L116" s="69">
        <f t="shared" si="284"/>
        <v>55.552092152453717</v>
      </c>
      <c r="M116" s="69">
        <f t="shared" si="284"/>
        <v>56.521476160514034</v>
      </c>
      <c r="N116" s="69">
        <f t="shared" si="284"/>
        <v>57.507775919515012</v>
      </c>
      <c r="O116" s="69">
        <f>O112*O115/$E$3</f>
        <v>58.511286609310538</v>
      </c>
      <c r="P116" s="69">
        <f t="shared" si="284"/>
        <v>59.532308560643024</v>
      </c>
      <c r="Q116" s="69">
        <f t="shared" si="284"/>
        <v>60.57114734502624</v>
      </c>
      <c r="R116" s="69">
        <f t="shared" si="284"/>
        <v>61.628113866196955</v>
      </c>
      <c r="S116" s="69">
        <f t="shared" si="284"/>
        <v>62.703524453162075</v>
      </c>
      <c r="T116" s="69">
        <f t="shared" si="284"/>
        <v>63.797700954869761</v>
      </c>
      <c r="U116" s="69">
        <f t="shared" si="284"/>
        <v>64.910970836532243</v>
      </c>
      <c r="V116" s="69">
        <f t="shared" si="284"/>
        <v>66.043667277629737</v>
      </c>
      <c r="W116" s="69">
        <f t="shared" si="284"/>
        <v>67.196129271624386</v>
      </c>
      <c r="X116" s="69">
        <f t="shared" si="284"/>
        <v>68.368701727414233</v>
      </c>
      <c r="Y116" s="69">
        <f t="shared" ref="Y116" si="285">Y112*Y115/$E$3</f>
        <v>69.561735572557609</v>
      </c>
      <c r="Z116" s="69">
        <f t="shared" ref="Z116" si="286">Z112*Z115/$E$3</f>
        <v>70.775587858298763</v>
      </c>
      <c r="AA116" s="69">
        <f t="shared" ref="AA116" si="287">AA112*AA115/$E$3</f>
        <v>72.01062186642605</v>
      </c>
      <c r="AB116" s="69">
        <f t="shared" ref="AB116" si="288">AB112*AB115/$E$3</f>
        <v>73.267207217995178</v>
      </c>
      <c r="AC116" s="69">
        <f t="shared" ref="AC116" si="289">AC112*AC115/$E$3</f>
        <v>74.545719983949212</v>
      </c>
      <c r="AD116" s="69">
        <f t="shared" ref="AD116" si="290">AD112*AD115/$E$3</f>
        <v>75.846542797669144</v>
      </c>
      <c r="AE116" s="69">
        <f t="shared" ref="AE116" si="291">AE112*AE115/$E$3</f>
        <v>77.17006496948845</v>
      </c>
      <c r="AF116" s="69">
        <f t="shared" ref="AF116" si="292">AF112*AF115/$E$3</f>
        <v>78.51668260320605</v>
      </c>
      <c r="AG116" s="69">
        <f t="shared" ref="AG116" si="293">AG112*AG115/$E$3</f>
        <v>79.886798714631979</v>
      </c>
      <c r="AH116" s="69">
        <f t="shared" ref="AH116" si="294">AH112*AH115/$E$3</f>
        <v>0</v>
      </c>
      <c r="AI116" s="69">
        <f t="shared" ref="AI116" si="295">AI112*AI115/$E$3</f>
        <v>0</v>
      </c>
      <c r="AJ116" s="69">
        <f t="shared" ref="AJ116" si="296">AJ112*AJ115/$E$3</f>
        <v>0</v>
      </c>
      <c r="AK116" s="69">
        <f t="shared" ref="AK116" si="297">AK112*AK115/$E$3</f>
        <v>0</v>
      </c>
      <c r="AL116" s="69">
        <f t="shared" ref="AL116" si="298">AL112*AL115/$E$3</f>
        <v>0</v>
      </c>
      <c r="AM116" s="69">
        <f t="shared" ref="AM116" si="299">AM112*AM115/$E$3</f>
        <v>0</v>
      </c>
      <c r="AN116" s="69">
        <f t="shared" ref="AN116" si="300">AN112*AN115/$E$3</f>
        <v>0</v>
      </c>
      <c r="AO116" s="69">
        <f t="shared" ref="AO116" si="301">AO112*AO115/$E$3</f>
        <v>0</v>
      </c>
      <c r="AP116" s="69">
        <f t="shared" ref="AP116" si="302">AP112*AP115/$E$3</f>
        <v>0</v>
      </c>
      <c r="AQ116" s="69">
        <f t="shared" ref="AQ116" si="303">AQ112*AQ115/$E$3</f>
        <v>0</v>
      </c>
      <c r="AR116" s="69">
        <f t="shared" ref="AR116" si="304">AR112*AR115/$E$3</f>
        <v>0</v>
      </c>
      <c r="AS116" s="69">
        <f t="shared" ref="AS116" si="305">AS112*AS115/$E$3</f>
        <v>0</v>
      </c>
      <c r="AT116" s="69">
        <f t="shared" ref="AT116" si="306">AT112*AT115/$E$3</f>
        <v>0</v>
      </c>
      <c r="AU116" s="69">
        <f t="shared" ref="AU116" si="307">AU112*AU115/$E$3</f>
        <v>0</v>
      </c>
      <c r="AV116" s="69">
        <f t="shared" ref="AV116" si="308">AV112*AV115/$E$3</f>
        <v>0</v>
      </c>
      <c r="AW116" s="69">
        <f t="shared" ref="AW116" si="309">AW112*AW115/$E$3</f>
        <v>0</v>
      </c>
    </row>
    <row r="117" spans="3:52" ht="14.25" customHeight="1">
      <c r="C117" s="46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</row>
    <row r="118" spans="3:52" ht="14.25" customHeight="1">
      <c r="C118" s="48" t="s">
        <v>514</v>
      </c>
      <c r="D118" s="69">
        <f>D116</f>
        <v>0</v>
      </c>
      <c r="E118" s="69">
        <f t="shared" ref="E118:AW118" si="310">E116</f>
        <v>0</v>
      </c>
      <c r="F118" s="69">
        <f t="shared" si="310"/>
        <v>0</v>
      </c>
      <c r="G118" s="69">
        <f t="shared" si="310"/>
        <v>0</v>
      </c>
      <c r="H118" s="69">
        <f t="shared" si="310"/>
        <v>43.233959788911356</v>
      </c>
      <c r="I118" s="69">
        <f t="shared" si="310"/>
        <v>52.742558254113796</v>
      </c>
      <c r="J118" s="69">
        <f t="shared" si="310"/>
        <v>53.662915895648084</v>
      </c>
      <c r="K118" s="69">
        <f t="shared" si="310"/>
        <v>54.599333778027137</v>
      </c>
      <c r="L118" s="69">
        <f t="shared" si="310"/>
        <v>55.552092152453717</v>
      </c>
      <c r="M118" s="69">
        <f t="shared" si="310"/>
        <v>56.521476160514034</v>
      </c>
      <c r="N118" s="69">
        <f t="shared" si="310"/>
        <v>57.507775919515012</v>
      </c>
      <c r="O118" s="69">
        <f t="shared" si="310"/>
        <v>58.511286609310538</v>
      </c>
      <c r="P118" s="69">
        <f t="shared" si="310"/>
        <v>59.532308560643024</v>
      </c>
      <c r="Q118" s="69">
        <f t="shared" si="310"/>
        <v>60.57114734502624</v>
      </c>
      <c r="R118" s="69">
        <f t="shared" si="310"/>
        <v>61.628113866196955</v>
      </c>
      <c r="S118" s="69">
        <f t="shared" si="310"/>
        <v>62.703524453162075</v>
      </c>
      <c r="T118" s="69">
        <f t="shared" si="310"/>
        <v>63.797700954869761</v>
      </c>
      <c r="U118" s="69">
        <f t="shared" si="310"/>
        <v>64.910970836532243</v>
      </c>
      <c r="V118" s="69">
        <f t="shared" si="310"/>
        <v>66.043667277629737</v>
      </c>
      <c r="W118" s="69">
        <f t="shared" si="310"/>
        <v>67.196129271624386</v>
      </c>
      <c r="X118" s="69">
        <f t="shared" si="310"/>
        <v>68.368701727414233</v>
      </c>
      <c r="Y118" s="69">
        <f t="shared" si="310"/>
        <v>69.561735572557609</v>
      </c>
      <c r="Z118" s="69">
        <f t="shared" si="310"/>
        <v>70.775587858298763</v>
      </c>
      <c r="AA118" s="69">
        <f t="shared" si="310"/>
        <v>72.01062186642605</v>
      </c>
      <c r="AB118" s="69">
        <f t="shared" si="310"/>
        <v>73.267207217995178</v>
      </c>
      <c r="AC118" s="69">
        <f t="shared" si="310"/>
        <v>74.545719983949212</v>
      </c>
      <c r="AD118" s="69">
        <f t="shared" si="310"/>
        <v>75.846542797669144</v>
      </c>
      <c r="AE118" s="69">
        <f t="shared" si="310"/>
        <v>77.17006496948845</v>
      </c>
      <c r="AF118" s="69">
        <f t="shared" si="310"/>
        <v>78.51668260320605</v>
      </c>
      <c r="AG118" s="69">
        <f t="shared" si="310"/>
        <v>79.886798714631979</v>
      </c>
      <c r="AH118" s="69">
        <f t="shared" si="310"/>
        <v>0</v>
      </c>
      <c r="AI118" s="69">
        <f t="shared" si="310"/>
        <v>0</v>
      </c>
      <c r="AJ118" s="69">
        <f t="shared" si="310"/>
        <v>0</v>
      </c>
      <c r="AK118" s="69">
        <f t="shared" si="310"/>
        <v>0</v>
      </c>
      <c r="AL118" s="69">
        <f t="shared" si="310"/>
        <v>0</v>
      </c>
      <c r="AM118" s="69">
        <f t="shared" si="310"/>
        <v>0</v>
      </c>
      <c r="AN118" s="69">
        <f t="shared" si="310"/>
        <v>0</v>
      </c>
      <c r="AO118" s="69">
        <f t="shared" si="310"/>
        <v>0</v>
      </c>
      <c r="AP118" s="69">
        <f t="shared" si="310"/>
        <v>0</v>
      </c>
      <c r="AQ118" s="69">
        <f t="shared" si="310"/>
        <v>0</v>
      </c>
      <c r="AR118" s="69">
        <f t="shared" si="310"/>
        <v>0</v>
      </c>
      <c r="AS118" s="69">
        <f t="shared" si="310"/>
        <v>0</v>
      </c>
      <c r="AT118" s="69">
        <f t="shared" si="310"/>
        <v>0</v>
      </c>
      <c r="AU118" s="69">
        <f t="shared" si="310"/>
        <v>0</v>
      </c>
      <c r="AV118" s="69">
        <f t="shared" si="310"/>
        <v>0</v>
      </c>
      <c r="AW118" s="69">
        <f t="shared" si="310"/>
        <v>0</v>
      </c>
    </row>
    <row r="119" spans="3:52" ht="14.25" customHeight="1">
      <c r="C119" s="44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  <c r="AA119" s="273"/>
      <c r="AB119" s="273"/>
      <c r="AC119" s="273"/>
      <c r="AD119" s="273"/>
      <c r="AE119" s="273"/>
      <c r="AF119" s="273"/>
      <c r="AG119" s="273"/>
      <c r="AH119" s="273"/>
      <c r="AI119" s="273"/>
      <c r="AJ119" s="273"/>
      <c r="AK119" s="273"/>
      <c r="AL119" s="273"/>
      <c r="AM119" s="273"/>
      <c r="AN119" s="273"/>
      <c r="AO119" s="273"/>
      <c r="AP119" s="273"/>
      <c r="AQ119" s="273"/>
      <c r="AR119" s="273"/>
      <c r="AS119" s="273"/>
      <c r="AT119" s="273"/>
      <c r="AU119" s="273"/>
      <c r="AV119" s="273"/>
      <c r="AW119" s="273"/>
    </row>
    <row r="120" spans="3:52" ht="14.25" customHeight="1">
      <c r="C120" s="44" t="s">
        <v>251</v>
      </c>
      <c r="D120" s="75">
        <f>D114*'Assumptions &amp; Inputs'!$I$81/$E$3</f>
        <v>0</v>
      </c>
      <c r="E120" s="75">
        <f>E114*'Assumptions &amp; Inputs'!$I$81/$E$3</f>
        <v>0</v>
      </c>
      <c r="F120" s="75">
        <f>F114*'Assumptions &amp; Inputs'!$I$81/$E$3</f>
        <v>0</v>
      </c>
      <c r="G120" s="75">
        <f>G114*'Assumptions &amp; Inputs'!$I$81/$E$3</f>
        <v>0</v>
      </c>
      <c r="H120" s="75">
        <f>H114*'Assumptions &amp; Inputs'!$I$81/$E$3</f>
        <v>4.80396</v>
      </c>
      <c r="I120" s="75">
        <f>I114*'Assumptions &amp; Inputs'!$I$81/$E$3</f>
        <v>5.7455999999999996</v>
      </c>
      <c r="J120" s="75">
        <f>J114*'Assumptions &amp; Inputs'!$I$81/$E$3</f>
        <v>5.731236</v>
      </c>
      <c r="K120" s="75">
        <f>K114*'Assumptions &amp; Inputs'!$I$81/$E$3</f>
        <v>5.7169079100000006</v>
      </c>
      <c r="L120" s="75">
        <f>L114*'Assumptions &amp; Inputs'!$I$81/$E$3</f>
        <v>5.7026156402250008</v>
      </c>
      <c r="M120" s="75">
        <f>M114*'Assumptions &amp; Inputs'!$I$81/$E$3</f>
        <v>5.6883591011244397</v>
      </c>
      <c r="N120" s="75">
        <f>N114*'Assumptions &amp; Inputs'!$I$81/$E$3</f>
        <v>5.6741382033716281</v>
      </c>
      <c r="O120" s="75">
        <f>O114*'Assumptions &amp; Inputs'!$I$81/$E$3</f>
        <v>5.6599528578631988</v>
      </c>
      <c r="P120" s="75">
        <f>P114*'Assumptions &amp; Inputs'!$I$81/$E$3</f>
        <v>5.6458029757185422</v>
      </c>
      <c r="Q120" s="75">
        <f>Q114*'Assumptions &amp; Inputs'!$I$81/$E$3</f>
        <v>5.6316884682792452</v>
      </c>
      <c r="R120" s="75">
        <f>R114*'Assumptions &amp; Inputs'!$I$81/$E$3</f>
        <v>5.6176092471085468</v>
      </c>
      <c r="S120" s="75">
        <f>S114*'Assumptions &amp; Inputs'!$I$81/$E$3</f>
        <v>5.6035652239907758</v>
      </c>
      <c r="T120" s="75">
        <f>T114*'Assumptions &amp; Inputs'!$I$81/$E$3</f>
        <v>5.5895563109307993</v>
      </c>
      <c r="U120" s="75">
        <f>U114*'Assumptions &amp; Inputs'!$I$81/$E$3</f>
        <v>5.5755824201534727</v>
      </c>
      <c r="V120" s="75">
        <f>V114*'Assumptions &amp; Inputs'!$I$81/$E$3</f>
        <v>5.5616434641030894</v>
      </c>
      <c r="W120" s="75">
        <f>W114*'Assumptions &amp; Inputs'!$I$81/$E$3</f>
        <v>5.5477393554428316</v>
      </c>
      <c r="X120" s="75">
        <f>X114*'Assumptions &amp; Inputs'!$I$81/$E$3</f>
        <v>5.5338700070542259</v>
      </c>
      <c r="Y120" s="75">
        <f>Y114*'Assumptions &amp; Inputs'!$I$81/$E$3</f>
        <v>5.5200353320365894</v>
      </c>
      <c r="Z120" s="75">
        <f>Z114*'Assumptions &amp; Inputs'!$I$81/$E$3</f>
        <v>5.5062352437064979</v>
      </c>
      <c r="AA120" s="75">
        <f>AA114*'Assumptions &amp; Inputs'!$I$81/$E$3</f>
        <v>5.4924696555972323</v>
      </c>
      <c r="AB120" s="75">
        <f>AB114*'Assumptions &amp; Inputs'!$I$81/$E$3</f>
        <v>5.4787384814582394</v>
      </c>
      <c r="AC120" s="75">
        <f>AC114*'Assumptions &amp; Inputs'!$I$81/$E$3</f>
        <v>5.4650416352545941</v>
      </c>
      <c r="AD120" s="75">
        <f>AD114*'Assumptions &amp; Inputs'!$I$81/$E$3</f>
        <v>5.4513790311664589</v>
      </c>
      <c r="AE120" s="75">
        <f>AE114*'Assumptions &amp; Inputs'!$I$81/$E$3</f>
        <v>5.4377505835885422</v>
      </c>
      <c r="AF120" s="75">
        <f>AF114*'Assumptions &amp; Inputs'!$I$81/$E$3</f>
        <v>5.4241562071295712</v>
      </c>
      <c r="AG120" s="75">
        <f>AG114*'Assumptions &amp; Inputs'!$I$81/$E$3</f>
        <v>5.4105958166117469</v>
      </c>
      <c r="AH120" s="75">
        <f>AH114*'Assumptions &amp; Inputs'!$I$81/$E$3</f>
        <v>0</v>
      </c>
      <c r="AI120" s="75">
        <f>AI114*'Assumptions &amp; Inputs'!$I$81/$E$3</f>
        <v>0</v>
      </c>
      <c r="AJ120" s="75">
        <f>AJ114*'Assumptions &amp; Inputs'!$I$81/$E$3</f>
        <v>0</v>
      </c>
      <c r="AK120" s="75">
        <f>AK114*'Assumptions &amp; Inputs'!$I$81/$E$3</f>
        <v>0</v>
      </c>
      <c r="AL120" s="75">
        <f>AL114*'Assumptions &amp; Inputs'!$I$81/$E$3</f>
        <v>0</v>
      </c>
      <c r="AM120" s="75">
        <f>AM114*'Assumptions &amp; Inputs'!$I$81/$E$3</f>
        <v>0</v>
      </c>
      <c r="AN120" s="75">
        <f>AN114*'Assumptions &amp; Inputs'!$I$81/$E$3</f>
        <v>0</v>
      </c>
      <c r="AO120" s="75">
        <f>AO114*'Assumptions &amp; Inputs'!$I$81/$E$3</f>
        <v>0</v>
      </c>
      <c r="AP120" s="75">
        <f>AP114*'Assumptions &amp; Inputs'!$I$81/$E$3</f>
        <v>0</v>
      </c>
      <c r="AQ120" s="75">
        <f>AQ114*'Assumptions &amp; Inputs'!$I$81/$E$3</f>
        <v>0</v>
      </c>
      <c r="AR120" s="75">
        <f>AR114*'Assumptions &amp; Inputs'!$I$81/$E$3</f>
        <v>0</v>
      </c>
      <c r="AS120" s="75">
        <f>AS114*'Assumptions &amp; Inputs'!$I$81/$E$3</f>
        <v>0</v>
      </c>
      <c r="AT120" s="75">
        <f>AT114*'Assumptions &amp; Inputs'!$I$81/$E$3</f>
        <v>0</v>
      </c>
      <c r="AU120" s="75">
        <f>AU114*'Assumptions &amp; Inputs'!$I$81/$E$3</f>
        <v>0</v>
      </c>
      <c r="AV120" s="75">
        <f>AV114*'Assumptions &amp; Inputs'!$I$81/$E$3</f>
        <v>0</v>
      </c>
      <c r="AW120" s="75">
        <f>AW114*'Assumptions &amp; Inputs'!$I$81/$E$3</f>
        <v>0</v>
      </c>
    </row>
    <row r="121" spans="3:52" ht="14.25" customHeight="1">
      <c r="C121" s="44" t="s">
        <v>525</v>
      </c>
      <c r="D121" s="273">
        <f>'Assumptions &amp; Inputs'!$I$82*'Assumptions &amp; Inputs'!$I$83*D114/$E$2/$E$3</f>
        <v>0</v>
      </c>
      <c r="E121" s="273">
        <f>'Assumptions &amp; Inputs'!$I$82*'Assumptions &amp; Inputs'!$I$83*E114/$E$2/$E$3</f>
        <v>0</v>
      </c>
      <c r="F121" s="273">
        <f>'Assumptions &amp; Inputs'!$I$82*'Assumptions &amp; Inputs'!$I$83*F114/$E$2/$E$3</f>
        <v>0</v>
      </c>
      <c r="G121" s="273">
        <f>'Assumptions &amp; Inputs'!$I$82*'Assumptions &amp; Inputs'!$I$83*G114/$E$2/$E$3</f>
        <v>0</v>
      </c>
      <c r="H121" s="273">
        <f>'Assumptions &amp; Inputs'!$I$82*'Assumptions &amp; Inputs'!$I$83*H114/$E$2/$E$3</f>
        <v>2.4716841742972715</v>
      </c>
      <c r="I121" s="273">
        <f>'Assumptions &amp; Inputs'!$I$82*'Assumptions &amp; Inputs'!$I$83*I114/$E$2/$E$3</f>
        <v>2.9561671187608565</v>
      </c>
      <c r="J121" s="273">
        <f>'Assumptions &amp; Inputs'!$I$82*'Assumptions &amp; Inputs'!$I$83*J114/$E$2/$E$3</f>
        <v>2.9487767009639541</v>
      </c>
      <c r="K121" s="273">
        <f>'Assumptions &amp; Inputs'!$I$82*'Assumptions &amp; Inputs'!$I$83*K114/$E$2/$E$3</f>
        <v>2.9414047592115442</v>
      </c>
      <c r="L121" s="273">
        <f>'Assumptions &amp; Inputs'!$I$82*'Assumptions &amp; Inputs'!$I$83*L114/$E$2/$E$3</f>
        <v>2.9340512473135156</v>
      </c>
      <c r="M121" s="273">
        <f>'Assumptions &amp; Inputs'!$I$82*'Assumptions &amp; Inputs'!$I$83*M114/$E$2/$E$3</f>
        <v>2.9267161191952322</v>
      </c>
      <c r="N121" s="273">
        <f>'Assumptions &amp; Inputs'!$I$82*'Assumptions &amp; Inputs'!$I$83*N114/$E$2/$E$3</f>
        <v>2.9193993288972444</v>
      </c>
      <c r="O121" s="273">
        <f>'Assumptions &amp; Inputs'!$I$82*'Assumptions &amp; Inputs'!$I$83*O114/$E$2/$E$3</f>
        <v>2.9121008305750014</v>
      </c>
      <c r="P121" s="273">
        <f>'Assumptions &amp; Inputs'!$I$82*'Assumptions &amp; Inputs'!$I$83*P114/$E$2/$E$3</f>
        <v>2.9048205784985641</v>
      </c>
      <c r="Q121" s="273">
        <f>'Assumptions &amp; Inputs'!$I$82*'Assumptions &amp; Inputs'!$I$83*Q114/$E$2/$E$3</f>
        <v>2.8975585270523179</v>
      </c>
      <c r="R121" s="273">
        <f>'Assumptions &amp; Inputs'!$I$82*'Assumptions &amp; Inputs'!$I$83*R114/$E$2/$E$3</f>
        <v>2.8903146307346868</v>
      </c>
      <c r="S121" s="273">
        <f>'Assumptions &amp; Inputs'!$I$82*'Assumptions &amp; Inputs'!$I$83*S114/$E$2/$E$3</f>
        <v>2.8830888441578502</v>
      </c>
      <c r="T121" s="273">
        <f>'Assumptions &amp; Inputs'!$I$82*'Assumptions &amp; Inputs'!$I$83*T114/$E$2/$E$3</f>
        <v>2.8758811220474558</v>
      </c>
      <c r="U121" s="273">
        <f>'Assumptions &amp; Inputs'!$I$82*'Assumptions &amp; Inputs'!$I$83*U114/$E$2/$E$3</f>
        <v>2.8686914192423374</v>
      </c>
      <c r="V121" s="273">
        <f>'Assumptions &amp; Inputs'!$I$82*'Assumptions &amp; Inputs'!$I$83*V114/$E$2/$E$3</f>
        <v>2.8615196906942315</v>
      </c>
      <c r="W121" s="273">
        <f>'Assumptions &amp; Inputs'!$I$82*'Assumptions &amp; Inputs'!$I$83*W114/$E$2/$E$3</f>
        <v>2.8543658914674959</v>
      </c>
      <c r="X121" s="273">
        <f>'Assumptions &amp; Inputs'!$I$82*'Assumptions &amp; Inputs'!$I$83*X114/$E$2/$E$3</f>
        <v>2.8472299767388276</v>
      </c>
      <c r="Y121" s="273">
        <f>'Assumptions &amp; Inputs'!$I$82*'Assumptions &amp; Inputs'!$I$83*Y114/$E$2/$E$3</f>
        <v>2.8401119017969805</v>
      </c>
      <c r="Z121" s="273">
        <f>'Assumptions &amp; Inputs'!$I$82*'Assumptions &amp; Inputs'!$I$83*Z114/$E$2/$E$3</f>
        <v>2.8330116220424886</v>
      </c>
      <c r="AA121" s="273">
        <f>'Assumptions &amp; Inputs'!$I$82*'Assumptions &amp; Inputs'!$I$83*AA114/$E$2/$E$3</f>
        <v>2.8259290929873817</v>
      </c>
      <c r="AB121" s="273">
        <f>'Assumptions &amp; Inputs'!$I$82*'Assumptions &amp; Inputs'!$I$83*AB114/$E$2/$E$3</f>
        <v>2.8188642702549136</v>
      </c>
      <c r="AC121" s="273">
        <f>'Assumptions &amp; Inputs'!$I$82*'Assumptions &amp; Inputs'!$I$83*AC114/$E$2/$E$3</f>
        <v>2.8118171095792768</v>
      </c>
      <c r="AD121" s="273">
        <f>'Assumptions &amp; Inputs'!$I$82*'Assumptions &amp; Inputs'!$I$83*AD114/$E$2/$E$3</f>
        <v>2.8047875668053286</v>
      </c>
      <c r="AE121" s="273">
        <f>'Assumptions &amp; Inputs'!$I$82*'Assumptions &amp; Inputs'!$I$83*AE114/$E$2/$E$3</f>
        <v>2.7977755978883154</v>
      </c>
      <c r="AF121" s="273">
        <f>'Assumptions &amp; Inputs'!$I$82*'Assumptions &amp; Inputs'!$I$83*AF114/$E$2/$E$3</f>
        <v>2.7907811588935947</v>
      </c>
      <c r="AG121" s="273">
        <f>'Assumptions &amp; Inputs'!$I$82*'Assumptions &amp; Inputs'!$I$83*AG114/$E$2/$E$3</f>
        <v>2.7838042059963608</v>
      </c>
      <c r="AH121" s="273">
        <f>'Assumptions &amp; Inputs'!$I$82*'Assumptions &amp; Inputs'!$I$83*AH114/$E$2/$E$3</f>
        <v>0</v>
      </c>
      <c r="AI121" s="273">
        <f>'Assumptions &amp; Inputs'!$I$82*'Assumptions &amp; Inputs'!$I$83*AI114/$E$2/$E$3</f>
        <v>0</v>
      </c>
      <c r="AJ121" s="273">
        <f>'Assumptions &amp; Inputs'!$I$82*'Assumptions &amp; Inputs'!$I$83*AJ114/$E$2/$E$3</f>
        <v>0</v>
      </c>
      <c r="AK121" s="273">
        <f>'Assumptions &amp; Inputs'!$I$82*'Assumptions &amp; Inputs'!$I$83*AK114/$E$2/$E$3</f>
        <v>0</v>
      </c>
      <c r="AL121" s="273">
        <f>'Assumptions &amp; Inputs'!$I$82*'Assumptions &amp; Inputs'!$I$83*AL114/$E$2/$E$3</f>
        <v>0</v>
      </c>
      <c r="AM121" s="273">
        <f>'Assumptions &amp; Inputs'!$I$82*'Assumptions &amp; Inputs'!$I$83*AM114/$E$2/$E$3</f>
        <v>0</v>
      </c>
      <c r="AN121" s="273">
        <f>'Assumptions &amp; Inputs'!$I$82*'Assumptions &amp; Inputs'!$I$83*AN114/$E$2/$E$3</f>
        <v>0</v>
      </c>
      <c r="AO121" s="273">
        <f>'Assumptions &amp; Inputs'!$I$82*'Assumptions &amp; Inputs'!$I$83*AO114/$E$2/$E$3</f>
        <v>0</v>
      </c>
      <c r="AP121" s="273">
        <f>'Assumptions &amp; Inputs'!$I$82*'Assumptions &amp; Inputs'!$I$83*AP114/$E$2/$E$3</f>
        <v>0</v>
      </c>
      <c r="AQ121" s="273">
        <f>'Assumptions &amp; Inputs'!$I$82*'Assumptions &amp; Inputs'!$I$83*AQ114/$E$2/$E$3</f>
        <v>0</v>
      </c>
      <c r="AR121" s="273">
        <f>'Assumptions &amp; Inputs'!$I$82*'Assumptions &amp; Inputs'!$I$83*AR114/$E$2/$E$3</f>
        <v>0</v>
      </c>
      <c r="AS121" s="273">
        <f>'Assumptions &amp; Inputs'!$I$82*'Assumptions &amp; Inputs'!$I$83*AS114/$E$2/$E$3</f>
        <v>0</v>
      </c>
      <c r="AT121" s="273">
        <f>'Assumptions &amp; Inputs'!$I$82*'Assumptions &amp; Inputs'!$I$83*AT114/$E$2/$E$3</f>
        <v>0</v>
      </c>
      <c r="AU121" s="273">
        <f>'Assumptions &amp; Inputs'!$I$82*'Assumptions &amp; Inputs'!$I$83*AU114/$E$2/$E$3</f>
        <v>0</v>
      </c>
      <c r="AV121" s="273">
        <f>'Assumptions &amp; Inputs'!$I$82*'Assumptions &amp; Inputs'!$I$83*AV114/$E$2/$E$3</f>
        <v>0</v>
      </c>
      <c r="AW121" s="273">
        <f>'Assumptions &amp; Inputs'!$I$82*'Assumptions &amp; Inputs'!$I$83*AW114/$E$2/$E$3</f>
        <v>0</v>
      </c>
    </row>
    <row r="122" spans="3:52" ht="14.25" customHeight="1">
      <c r="C122" s="44" t="s">
        <v>250</v>
      </c>
      <c r="D122" s="523">
        <f>IF(YEAR('Assumptions &amp; Inputs'!$I$31)&gt;D110, 0, IF(D110=YEAR('Assumptions &amp; Inputs'!$I$31),'Assumptions &amp; Inputs'!$I$80*'Assumptions &amp; Inputs'!$I$77/$E$3*(1+'Assumptions &amp; Inputs'!$I$20)^(D108-'Assumptions &amp; Inputs'!$I$28/12)*YEARFRAC('Assumptions &amp; Inputs'!$I$31,'Assumptions &amp; Inputs'!$I$32), IF(YEAR('Assumptions &amp; Inputs'!$I$36)&gt;=D110, 'Assumptions &amp; Inputs'!$I$80*'Assumptions &amp; Inputs'!$I$77/$E$3*(1+'Assumptions &amp; Inputs'!$I$20)^(D108-'Assumptions &amp; Inputs'!$I$28/12), 0)))</f>
        <v>0</v>
      </c>
      <c r="E122" s="523">
        <f>IF(YEAR('Assumptions &amp; Inputs'!$I$31)&gt;E110, 0, IF(E110=YEAR('Assumptions &amp; Inputs'!$I$31),'Assumptions &amp; Inputs'!$I$80*'Assumptions &amp; Inputs'!$I$77/$E$3*(1+'Assumptions &amp; Inputs'!$I$20)^(E108-'Assumptions &amp; Inputs'!$I$28/12)*YEARFRAC('Assumptions &amp; Inputs'!$I$31,'Assumptions &amp; Inputs'!$I$32), IF(YEAR('Assumptions &amp; Inputs'!$I$36)&gt;=E110, 'Assumptions &amp; Inputs'!$I$80*'Assumptions &amp; Inputs'!$I$77/$E$3*(1+'Assumptions &amp; Inputs'!$I$20)^(E108-'Assumptions &amp; Inputs'!$I$28/12), 0)))</f>
        <v>0</v>
      </c>
      <c r="F122" s="523">
        <f>IF(YEAR('Assumptions &amp; Inputs'!$I$31)&gt;F110, 0, IF(F110=YEAR('Assumptions &amp; Inputs'!$I$31),'Assumptions &amp; Inputs'!$I$80*'Assumptions &amp; Inputs'!$I$77/$E$3*(1+'Assumptions &amp; Inputs'!$I$20)^(F108-'Assumptions &amp; Inputs'!$I$28/12)*YEARFRAC('Assumptions &amp; Inputs'!$I$31,'Assumptions &amp; Inputs'!$I$32), IF(YEAR('Assumptions &amp; Inputs'!$I$36)&gt;=F110, 'Assumptions &amp; Inputs'!$I$80*'Assumptions &amp; Inputs'!$I$77/$E$3*(1+'Assumptions &amp; Inputs'!$I$20)^(F108-'Assumptions &amp; Inputs'!$I$28/12), 0)))</f>
        <v>0</v>
      </c>
      <c r="G122" s="523">
        <f>IF(YEAR('Assumptions &amp; Inputs'!$I$31)&gt;G110, 0, IF(G110=YEAR('Assumptions &amp; Inputs'!$I$31),'Assumptions &amp; Inputs'!$I$80*'Assumptions &amp; Inputs'!$I$77/$E$3*(1+'Assumptions &amp; Inputs'!$I$20)^(G108-'Assumptions &amp; Inputs'!$I$28/12)*YEARFRAC('Assumptions &amp; Inputs'!$I$31,'Assumptions &amp; Inputs'!$I$32), IF(YEAR('Assumptions &amp; Inputs'!$I$36)&gt;=G110, 'Assumptions &amp; Inputs'!$I$80*'Assumptions &amp; Inputs'!$I$77/$E$3*(1+'Assumptions &amp; Inputs'!$I$20)^(G108-'Assumptions &amp; Inputs'!$I$28/12), 0)))</f>
        <v>0</v>
      </c>
      <c r="H122" s="523">
        <f>IF(YEAR('Assumptions &amp; Inputs'!$I$31)&gt;H110, 0, IF(H110=YEAR('Assumptions &amp; Inputs'!$I$31),'Assumptions &amp; Inputs'!$I$80*'Assumptions &amp; Inputs'!$I$77/$E$3*(1+'Assumptions &amp; Inputs'!$I$20)^(H108-'Assumptions &amp; Inputs'!$I$28/12)*YEARFRAC('Assumptions &amp; Inputs'!$I$31,'Assumptions &amp; Inputs'!$I$32), IF(YEAR('Assumptions &amp; Inputs'!$I$36)&gt;=H110, 'Assumptions &amp; Inputs'!$I$80*'Assumptions &amp; Inputs'!$I$77/$E$3*(1+'Assumptions &amp; Inputs'!$I$20)^(H108-'Assumptions &amp; Inputs'!$I$28/12), 0)))</f>
        <v>5.0166666666666666</v>
      </c>
      <c r="I122" s="523">
        <f>IF(YEAR('Assumptions &amp; Inputs'!$I$31)&gt;I110, 0, IF(I110=YEAR('Assumptions &amp; Inputs'!$I$31),'Assumptions &amp; Inputs'!$I$80*'Assumptions &amp; Inputs'!$I$77/$E$3*(1+'Assumptions &amp; Inputs'!$I$20)^(I108-'Assumptions &amp; Inputs'!$I$28/12)*YEARFRAC('Assumptions &amp; Inputs'!$I$31,'Assumptions &amp; Inputs'!$I$32), IF(YEAR('Assumptions &amp; Inputs'!$I$36)&gt;=I110, 'Assumptions &amp; Inputs'!$I$80*'Assumptions &amp; Inputs'!$I$77/$E$3*(1+'Assumptions &amp; Inputs'!$I$20)^(I108-'Assumptions &amp; Inputs'!$I$28/12), 0)))</f>
        <v>6.18</v>
      </c>
      <c r="J122" s="523">
        <f>IF(YEAR('Assumptions &amp; Inputs'!$I$31)&gt;J110, 0, IF(J110=YEAR('Assumptions &amp; Inputs'!$I$31),'Assumptions &amp; Inputs'!$I$80*'Assumptions &amp; Inputs'!$I$77/$E$3*(1+'Assumptions &amp; Inputs'!$I$20)^(J108-'Assumptions &amp; Inputs'!$I$28/12)*YEARFRAC('Assumptions &amp; Inputs'!$I$31,'Assumptions &amp; Inputs'!$I$32), IF(YEAR('Assumptions &amp; Inputs'!$I$36)&gt;=J110, 'Assumptions &amp; Inputs'!$I$80*'Assumptions &amp; Inputs'!$I$77/$E$3*(1+'Assumptions &amp; Inputs'!$I$20)^(J108-'Assumptions &amp; Inputs'!$I$28/12), 0)))</f>
        <v>6.3653999999999993</v>
      </c>
      <c r="K122" s="523">
        <f>IF(YEAR('Assumptions &amp; Inputs'!$I$31)&gt;K110, 0, IF(K110=YEAR('Assumptions &amp; Inputs'!$I$31),'Assumptions &amp; Inputs'!$I$80*'Assumptions &amp; Inputs'!$I$77/$E$3*(1+'Assumptions &amp; Inputs'!$I$20)^(K108-'Assumptions &amp; Inputs'!$I$28/12)*YEARFRAC('Assumptions &amp; Inputs'!$I$31,'Assumptions &amp; Inputs'!$I$32), IF(YEAR('Assumptions &amp; Inputs'!$I$36)&gt;=K110, 'Assumptions &amp; Inputs'!$I$80*'Assumptions &amp; Inputs'!$I$77/$E$3*(1+'Assumptions &amp; Inputs'!$I$20)^(K108-'Assumptions &amp; Inputs'!$I$28/12), 0)))</f>
        <v>6.556362</v>
      </c>
      <c r="L122" s="523">
        <f>IF(YEAR('Assumptions &amp; Inputs'!$I$31)&gt;L110, 0, IF(L110=YEAR('Assumptions &amp; Inputs'!$I$31),'Assumptions &amp; Inputs'!$I$80*'Assumptions &amp; Inputs'!$I$77/$E$3*(1+'Assumptions &amp; Inputs'!$I$20)^(L108-'Assumptions &amp; Inputs'!$I$28/12)*YEARFRAC('Assumptions &amp; Inputs'!$I$31,'Assumptions &amp; Inputs'!$I$32), IF(YEAR('Assumptions &amp; Inputs'!$I$36)&gt;=L110, 'Assumptions &amp; Inputs'!$I$80*'Assumptions &amp; Inputs'!$I$77/$E$3*(1+'Assumptions &amp; Inputs'!$I$20)^(L108-'Assumptions &amp; Inputs'!$I$28/12), 0)))</f>
        <v>6.7530528599999995</v>
      </c>
      <c r="M122" s="523">
        <f>IF(YEAR('Assumptions &amp; Inputs'!$I$31)&gt;M110, 0, IF(M110=YEAR('Assumptions &amp; Inputs'!$I$31),'Assumptions &amp; Inputs'!$I$80*'Assumptions &amp; Inputs'!$I$77/$E$3*(1+'Assumptions &amp; Inputs'!$I$20)^(M108-'Assumptions &amp; Inputs'!$I$28/12)*YEARFRAC('Assumptions &amp; Inputs'!$I$31,'Assumptions &amp; Inputs'!$I$32), IF(YEAR('Assumptions &amp; Inputs'!$I$36)&gt;=M110, 'Assumptions &amp; Inputs'!$I$80*'Assumptions &amp; Inputs'!$I$77/$E$3*(1+'Assumptions &amp; Inputs'!$I$20)^(M108-'Assumptions &amp; Inputs'!$I$28/12), 0)))</f>
        <v>6.9556444457999991</v>
      </c>
      <c r="N122" s="523">
        <f>IF(YEAR('Assumptions &amp; Inputs'!$I$31)&gt;N110, 0, IF(N110=YEAR('Assumptions &amp; Inputs'!$I$31),'Assumptions &amp; Inputs'!$I$80*'Assumptions &amp; Inputs'!$I$77/$E$3*(1+'Assumptions &amp; Inputs'!$I$20)^(N108-'Assumptions &amp; Inputs'!$I$28/12)*YEARFRAC('Assumptions &amp; Inputs'!$I$31,'Assumptions &amp; Inputs'!$I$32), IF(YEAR('Assumptions &amp; Inputs'!$I$36)&gt;=N110, 'Assumptions &amp; Inputs'!$I$80*'Assumptions &amp; Inputs'!$I$77/$E$3*(1+'Assumptions &amp; Inputs'!$I$20)^(N108-'Assumptions &amp; Inputs'!$I$28/12), 0)))</f>
        <v>7.1643137791739999</v>
      </c>
      <c r="O122" s="523">
        <f>IF(YEAR('Assumptions &amp; Inputs'!$I$31)&gt;O110, 0, IF(O110=YEAR('Assumptions &amp; Inputs'!$I$31),'Assumptions &amp; Inputs'!$I$80*'Assumptions &amp; Inputs'!$I$77/$E$3*(1+'Assumptions &amp; Inputs'!$I$20)^(O108-'Assumptions &amp; Inputs'!$I$28/12)*YEARFRAC('Assumptions &amp; Inputs'!$I$31,'Assumptions &amp; Inputs'!$I$32), IF(YEAR('Assumptions &amp; Inputs'!$I$36)&gt;=O110, 'Assumptions &amp; Inputs'!$I$80*'Assumptions &amp; Inputs'!$I$77/$E$3*(1+'Assumptions &amp; Inputs'!$I$20)^(O108-'Assumptions &amp; Inputs'!$I$28/12), 0)))</f>
        <v>7.3792431925492199</v>
      </c>
      <c r="P122" s="523">
        <f>IF(YEAR('Assumptions &amp; Inputs'!$I$31)&gt;P110, 0, IF(P110=YEAR('Assumptions &amp; Inputs'!$I$31),'Assumptions &amp; Inputs'!$I$80*'Assumptions &amp; Inputs'!$I$77/$E$3*(1+'Assumptions &amp; Inputs'!$I$20)^(P108-'Assumptions &amp; Inputs'!$I$28/12)*YEARFRAC('Assumptions &amp; Inputs'!$I$31,'Assumptions &amp; Inputs'!$I$32), IF(YEAR('Assumptions &amp; Inputs'!$I$36)&gt;=P110, 'Assumptions &amp; Inputs'!$I$80*'Assumptions &amp; Inputs'!$I$77/$E$3*(1+'Assumptions &amp; Inputs'!$I$20)^(P108-'Assumptions &amp; Inputs'!$I$28/12), 0)))</f>
        <v>7.6006204883256956</v>
      </c>
      <c r="Q122" s="523">
        <f>IF(YEAR('Assumptions &amp; Inputs'!$I$31)&gt;Q110, 0, IF(Q110=YEAR('Assumptions &amp; Inputs'!$I$31),'Assumptions &amp; Inputs'!$I$80*'Assumptions &amp; Inputs'!$I$77/$E$3*(1+'Assumptions &amp; Inputs'!$I$20)^(Q108-'Assumptions &amp; Inputs'!$I$28/12)*YEARFRAC('Assumptions &amp; Inputs'!$I$31,'Assumptions &amp; Inputs'!$I$32), IF(YEAR('Assumptions &amp; Inputs'!$I$36)&gt;=Q110, 'Assumptions &amp; Inputs'!$I$80*'Assumptions &amp; Inputs'!$I$77/$E$3*(1+'Assumptions &amp; Inputs'!$I$20)^(Q108-'Assumptions &amp; Inputs'!$I$28/12), 0)))</f>
        <v>7.8286391029754672</v>
      </c>
      <c r="R122" s="523">
        <f>IF(YEAR('Assumptions &amp; Inputs'!$I$31)&gt;R110, 0, IF(R110=YEAR('Assumptions &amp; Inputs'!$I$31),'Assumptions &amp; Inputs'!$I$80*'Assumptions &amp; Inputs'!$I$77/$E$3*(1+'Assumptions &amp; Inputs'!$I$20)^(R108-'Assumptions &amp; Inputs'!$I$28/12)*YEARFRAC('Assumptions &amp; Inputs'!$I$31,'Assumptions &amp; Inputs'!$I$32), IF(YEAR('Assumptions &amp; Inputs'!$I$36)&gt;=R110, 'Assumptions &amp; Inputs'!$I$80*'Assumptions &amp; Inputs'!$I$77/$E$3*(1+'Assumptions &amp; Inputs'!$I$20)^(R108-'Assumptions &amp; Inputs'!$I$28/12), 0)))</f>
        <v>8.0634982760647311</v>
      </c>
      <c r="S122" s="523">
        <f>IF(YEAR('Assumptions &amp; Inputs'!$I$31)&gt;S110, 0, IF(S110=YEAR('Assumptions &amp; Inputs'!$I$31),'Assumptions &amp; Inputs'!$I$80*'Assumptions &amp; Inputs'!$I$77/$E$3*(1+'Assumptions &amp; Inputs'!$I$20)^(S108-'Assumptions &amp; Inputs'!$I$28/12)*YEARFRAC('Assumptions &amp; Inputs'!$I$31,'Assumptions &amp; Inputs'!$I$32), IF(YEAR('Assumptions &amp; Inputs'!$I$36)&gt;=S110, 'Assumptions &amp; Inputs'!$I$80*'Assumptions &amp; Inputs'!$I$77/$E$3*(1+'Assumptions &amp; Inputs'!$I$20)^(S108-'Assumptions &amp; Inputs'!$I$28/12), 0)))</f>
        <v>8.3054032243466729</v>
      </c>
      <c r="T122" s="523">
        <f>IF(YEAR('Assumptions &amp; Inputs'!$I$31)&gt;T110, 0, IF(T110=YEAR('Assumptions &amp; Inputs'!$I$31),'Assumptions &amp; Inputs'!$I$80*'Assumptions &amp; Inputs'!$I$77/$E$3*(1+'Assumptions &amp; Inputs'!$I$20)^(T108-'Assumptions &amp; Inputs'!$I$28/12)*YEARFRAC('Assumptions &amp; Inputs'!$I$31,'Assumptions &amp; Inputs'!$I$32), IF(YEAR('Assumptions &amp; Inputs'!$I$36)&gt;=T110, 'Assumptions &amp; Inputs'!$I$80*'Assumptions &amp; Inputs'!$I$77/$E$3*(1+'Assumptions &amp; Inputs'!$I$20)^(T108-'Assumptions &amp; Inputs'!$I$28/12), 0)))</f>
        <v>8.5545653210770709</v>
      </c>
      <c r="U122" s="523">
        <f>IF(YEAR('Assumptions &amp; Inputs'!$I$31)&gt;U110, 0, IF(U110=YEAR('Assumptions &amp; Inputs'!$I$31),'Assumptions &amp; Inputs'!$I$80*'Assumptions &amp; Inputs'!$I$77/$E$3*(1+'Assumptions &amp; Inputs'!$I$20)^(U108-'Assumptions &amp; Inputs'!$I$28/12)*YEARFRAC('Assumptions &amp; Inputs'!$I$31,'Assumptions &amp; Inputs'!$I$32), IF(YEAR('Assumptions &amp; Inputs'!$I$36)&gt;=U110, 'Assumptions &amp; Inputs'!$I$80*'Assumptions &amp; Inputs'!$I$77/$E$3*(1+'Assumptions &amp; Inputs'!$I$20)^(U108-'Assumptions &amp; Inputs'!$I$28/12), 0)))</f>
        <v>8.8112022807093844</v>
      </c>
      <c r="V122" s="523">
        <f>IF(YEAR('Assumptions &amp; Inputs'!$I$31)&gt;V110, 0, IF(V110=YEAR('Assumptions &amp; Inputs'!$I$31),'Assumptions &amp; Inputs'!$I$80*'Assumptions &amp; Inputs'!$I$77/$E$3*(1+'Assumptions &amp; Inputs'!$I$20)^(V108-'Assumptions &amp; Inputs'!$I$28/12)*YEARFRAC('Assumptions &amp; Inputs'!$I$31,'Assumptions &amp; Inputs'!$I$32), IF(YEAR('Assumptions &amp; Inputs'!$I$36)&gt;=V110, 'Assumptions &amp; Inputs'!$I$80*'Assumptions &amp; Inputs'!$I$77/$E$3*(1+'Assumptions &amp; Inputs'!$I$20)^(V108-'Assumptions &amp; Inputs'!$I$28/12), 0)))</f>
        <v>9.0755383491306656</v>
      </c>
      <c r="W122" s="523">
        <f>IF(YEAR('Assumptions &amp; Inputs'!$I$31)&gt;W110, 0, IF(W110=YEAR('Assumptions &amp; Inputs'!$I$31),'Assumptions &amp; Inputs'!$I$80*'Assumptions &amp; Inputs'!$I$77/$E$3*(1+'Assumptions &amp; Inputs'!$I$20)^(W108-'Assumptions &amp; Inputs'!$I$28/12)*YEARFRAC('Assumptions &amp; Inputs'!$I$31,'Assumptions &amp; Inputs'!$I$32), IF(YEAR('Assumptions &amp; Inputs'!$I$36)&gt;=W110, 'Assumptions &amp; Inputs'!$I$80*'Assumptions &amp; Inputs'!$I$77/$E$3*(1+'Assumptions &amp; Inputs'!$I$20)^(W108-'Assumptions &amp; Inputs'!$I$28/12), 0)))</f>
        <v>9.347804499604587</v>
      </c>
      <c r="X122" s="523">
        <f>IF(YEAR('Assumptions &amp; Inputs'!$I$31)&gt;X110, 0, IF(X110=YEAR('Assumptions &amp; Inputs'!$I$31),'Assumptions &amp; Inputs'!$I$80*'Assumptions &amp; Inputs'!$I$77/$E$3*(1+'Assumptions &amp; Inputs'!$I$20)^(X108-'Assumptions &amp; Inputs'!$I$28/12)*YEARFRAC('Assumptions &amp; Inputs'!$I$31,'Assumptions &amp; Inputs'!$I$32), IF(YEAR('Assumptions &amp; Inputs'!$I$36)&gt;=X110, 'Assumptions &amp; Inputs'!$I$80*'Assumptions &amp; Inputs'!$I$77/$E$3*(1+'Assumptions &amp; Inputs'!$I$20)^(X108-'Assumptions &amp; Inputs'!$I$28/12), 0)))</f>
        <v>9.6282386345927229</v>
      </c>
      <c r="Y122" s="523">
        <f>IF(YEAR('Assumptions &amp; Inputs'!$I$31)&gt;Y110, 0, IF(Y110=YEAR('Assumptions &amp; Inputs'!$I$31),'Assumptions &amp; Inputs'!$I$80*'Assumptions &amp; Inputs'!$I$77/$E$3*(1+'Assumptions &amp; Inputs'!$I$20)^(Y108-'Assumptions &amp; Inputs'!$I$28/12)*YEARFRAC('Assumptions &amp; Inputs'!$I$31,'Assumptions &amp; Inputs'!$I$32), IF(YEAR('Assumptions &amp; Inputs'!$I$36)&gt;=Y110, 'Assumptions &amp; Inputs'!$I$80*'Assumptions &amp; Inputs'!$I$77/$E$3*(1+'Assumptions &amp; Inputs'!$I$20)^(Y108-'Assumptions &amp; Inputs'!$I$28/12), 0)))</f>
        <v>9.9170857936305037</v>
      </c>
      <c r="Z122" s="523">
        <f>IF(YEAR('Assumptions &amp; Inputs'!$I$31)&gt;Z110, 0, IF(Z110=YEAR('Assumptions &amp; Inputs'!$I$31),'Assumptions &amp; Inputs'!$I$80*'Assumptions &amp; Inputs'!$I$77/$E$3*(1+'Assumptions &amp; Inputs'!$I$20)^(Z108-'Assumptions &amp; Inputs'!$I$28/12)*YEARFRAC('Assumptions &amp; Inputs'!$I$31,'Assumptions &amp; Inputs'!$I$32), IF(YEAR('Assumptions &amp; Inputs'!$I$36)&gt;=Z110, 'Assumptions &amp; Inputs'!$I$80*'Assumptions &amp; Inputs'!$I$77/$E$3*(1+'Assumptions &amp; Inputs'!$I$20)^(Z108-'Assumptions &amp; Inputs'!$I$28/12), 0)))</f>
        <v>10.21459836743942</v>
      </c>
      <c r="AA122" s="523">
        <f>IF(YEAR('Assumptions &amp; Inputs'!$I$31)&gt;AA110, 0, IF(AA110=YEAR('Assumptions &amp; Inputs'!$I$31),'Assumptions &amp; Inputs'!$I$80*'Assumptions &amp; Inputs'!$I$77/$E$3*(1+'Assumptions &amp; Inputs'!$I$20)^(AA108-'Assumptions &amp; Inputs'!$I$28/12)*YEARFRAC('Assumptions &amp; Inputs'!$I$31,'Assumptions &amp; Inputs'!$I$32), IF(YEAR('Assumptions &amp; Inputs'!$I$36)&gt;=AA110, 'Assumptions &amp; Inputs'!$I$80*'Assumptions &amp; Inputs'!$I$77/$E$3*(1+'Assumptions &amp; Inputs'!$I$20)^(AA108-'Assumptions &amp; Inputs'!$I$28/12), 0)))</f>
        <v>10.521036318462603</v>
      </c>
      <c r="AB122" s="523">
        <f>IF(YEAR('Assumptions &amp; Inputs'!$I$31)&gt;AB110, 0, IF(AB110=YEAR('Assumptions &amp; Inputs'!$I$31),'Assumptions &amp; Inputs'!$I$80*'Assumptions &amp; Inputs'!$I$77/$E$3*(1+'Assumptions &amp; Inputs'!$I$20)^(AB108-'Assumptions &amp; Inputs'!$I$28/12)*YEARFRAC('Assumptions &amp; Inputs'!$I$31,'Assumptions &amp; Inputs'!$I$32), IF(YEAR('Assumptions &amp; Inputs'!$I$36)&gt;=AB110, 'Assumptions &amp; Inputs'!$I$80*'Assumptions &amp; Inputs'!$I$77/$E$3*(1+'Assumptions &amp; Inputs'!$I$20)^(AB108-'Assumptions &amp; Inputs'!$I$28/12), 0)))</f>
        <v>10.83666740801648</v>
      </c>
      <c r="AC122" s="523">
        <f>IF(YEAR('Assumptions &amp; Inputs'!$I$31)&gt;AC110, 0, IF(AC110=YEAR('Assumptions &amp; Inputs'!$I$31),'Assumptions &amp; Inputs'!$I$80*'Assumptions &amp; Inputs'!$I$77/$E$3*(1+'Assumptions &amp; Inputs'!$I$20)^(AC108-'Assumptions &amp; Inputs'!$I$28/12)*YEARFRAC('Assumptions &amp; Inputs'!$I$31,'Assumptions &amp; Inputs'!$I$32), IF(YEAR('Assumptions &amp; Inputs'!$I$36)&gt;=AC110, 'Assumptions &amp; Inputs'!$I$80*'Assumptions &amp; Inputs'!$I$77/$E$3*(1+'Assumptions &amp; Inputs'!$I$20)^(AC108-'Assumptions &amp; Inputs'!$I$28/12), 0)))</f>
        <v>11.161767430256972</v>
      </c>
      <c r="AD122" s="523">
        <f>IF(YEAR('Assumptions &amp; Inputs'!$I$31)&gt;AD110, 0, IF(AD110=YEAR('Assumptions &amp; Inputs'!$I$31),'Assumptions &amp; Inputs'!$I$80*'Assumptions &amp; Inputs'!$I$77/$E$3*(1+'Assumptions &amp; Inputs'!$I$20)^(AD108-'Assumptions &amp; Inputs'!$I$28/12)*YEARFRAC('Assumptions &amp; Inputs'!$I$31,'Assumptions &amp; Inputs'!$I$32), IF(YEAR('Assumptions &amp; Inputs'!$I$36)&gt;=AD110, 'Assumptions &amp; Inputs'!$I$80*'Assumptions &amp; Inputs'!$I$77/$E$3*(1+'Assumptions &amp; Inputs'!$I$20)^(AD108-'Assumptions &amp; Inputs'!$I$28/12), 0)))</f>
        <v>11.496620453164683</v>
      </c>
      <c r="AE122" s="523">
        <f>IF(YEAR('Assumptions &amp; Inputs'!$I$31)&gt;AE110, 0, IF(AE110=YEAR('Assumptions &amp; Inputs'!$I$31),'Assumptions &amp; Inputs'!$I$80*'Assumptions &amp; Inputs'!$I$77/$E$3*(1+'Assumptions &amp; Inputs'!$I$20)^(AE108-'Assumptions &amp; Inputs'!$I$28/12)*YEARFRAC('Assumptions &amp; Inputs'!$I$31,'Assumptions &amp; Inputs'!$I$32), IF(YEAR('Assumptions &amp; Inputs'!$I$36)&gt;=AE110, 'Assumptions &amp; Inputs'!$I$80*'Assumptions &amp; Inputs'!$I$77/$E$3*(1+'Assumptions &amp; Inputs'!$I$20)^(AE108-'Assumptions &amp; Inputs'!$I$28/12), 0)))</f>
        <v>11.841519066759624</v>
      </c>
      <c r="AF122" s="523">
        <f>IF(YEAR('Assumptions &amp; Inputs'!$I$31)&gt;AF110, 0, IF(AF110=YEAR('Assumptions &amp; Inputs'!$I$31),'Assumptions &amp; Inputs'!$I$80*'Assumptions &amp; Inputs'!$I$77/$E$3*(1+'Assumptions &amp; Inputs'!$I$20)^(AF108-'Assumptions &amp; Inputs'!$I$28/12)*YEARFRAC('Assumptions &amp; Inputs'!$I$31,'Assumptions &amp; Inputs'!$I$32), IF(YEAR('Assumptions &amp; Inputs'!$I$36)&gt;=AF110, 'Assumptions &amp; Inputs'!$I$80*'Assumptions &amp; Inputs'!$I$77/$E$3*(1+'Assumptions &amp; Inputs'!$I$20)^(AF108-'Assumptions &amp; Inputs'!$I$28/12), 0)))</f>
        <v>12.19676463876241</v>
      </c>
      <c r="AG122" s="523">
        <f>IF(YEAR('Assumptions &amp; Inputs'!$I$31)&gt;AG110, 0, IF(AG110=YEAR('Assumptions &amp; Inputs'!$I$31),'Assumptions &amp; Inputs'!$I$80*'Assumptions &amp; Inputs'!$I$77/$E$3*(1+'Assumptions &amp; Inputs'!$I$20)^(AG108-'Assumptions &amp; Inputs'!$I$28/12)*YEARFRAC('Assumptions &amp; Inputs'!$I$31,'Assumptions &amp; Inputs'!$I$32), IF(YEAR('Assumptions &amp; Inputs'!$I$36)&gt;=AG110, 'Assumptions &amp; Inputs'!$I$80*'Assumptions &amp; Inputs'!$I$77/$E$3*(1+'Assumptions &amp; Inputs'!$I$20)^(AG108-'Assumptions &amp; Inputs'!$I$28/12), 0)))</f>
        <v>12.562667577925282</v>
      </c>
      <c r="AH122" s="523">
        <f>IF(YEAR('Assumptions &amp; Inputs'!$I$31)&gt;AH110, 0, IF(AH110=YEAR('Assumptions &amp; Inputs'!$I$31),'Assumptions &amp; Inputs'!$I$80*'Assumptions &amp; Inputs'!$I$77/$E$3*(1+'Assumptions &amp; Inputs'!$I$20)^(AH108-'Assumptions &amp; Inputs'!$I$28/12)*YEARFRAC('Assumptions &amp; Inputs'!$I$31,'Assumptions &amp; Inputs'!$I$32), IF(YEAR('Assumptions &amp; Inputs'!$I$36)&gt;=AH110, 'Assumptions &amp; Inputs'!$I$80*'Assumptions &amp; Inputs'!$I$77/$E$3*(1+'Assumptions &amp; Inputs'!$I$20)^(AH108-'Assumptions &amp; Inputs'!$I$28/12), 0)))</f>
        <v>0</v>
      </c>
      <c r="AI122" s="523">
        <f>IF(YEAR('Assumptions &amp; Inputs'!$I$31)&gt;AI110, 0, IF(AI110=YEAR('Assumptions &amp; Inputs'!$I$31),'Assumptions &amp; Inputs'!$I$80*'Assumptions &amp; Inputs'!$I$77/$E$3*(1+'Assumptions &amp; Inputs'!$I$20)^(AI108-'Assumptions &amp; Inputs'!$I$28/12)*YEARFRAC('Assumptions &amp; Inputs'!$I$31,'Assumptions &amp; Inputs'!$I$32), IF(YEAR('Assumptions &amp; Inputs'!$I$36)&gt;=AI110, 'Assumptions &amp; Inputs'!$I$80*'Assumptions &amp; Inputs'!$I$77/$E$3*(1+'Assumptions &amp; Inputs'!$I$20)^(AI108-'Assumptions &amp; Inputs'!$I$28/12), 0)))</f>
        <v>0</v>
      </c>
      <c r="AJ122" s="523">
        <f>IF(YEAR('Assumptions &amp; Inputs'!$I$31)&gt;AJ110, 0, IF(AJ110=YEAR('Assumptions &amp; Inputs'!$I$31),'Assumptions &amp; Inputs'!$I$80*'Assumptions &amp; Inputs'!$I$77/$E$3*(1+'Assumptions &amp; Inputs'!$I$20)^(AJ108-'Assumptions &amp; Inputs'!$I$28/12)*YEARFRAC('Assumptions &amp; Inputs'!$I$31,'Assumptions &amp; Inputs'!$I$32), IF(YEAR('Assumptions &amp; Inputs'!$I$36)&gt;=AJ110, 'Assumptions &amp; Inputs'!$I$80*'Assumptions &amp; Inputs'!$I$77/$E$3*(1+'Assumptions &amp; Inputs'!$I$20)^(AJ108-'Assumptions &amp; Inputs'!$I$28/12), 0)))</f>
        <v>0</v>
      </c>
      <c r="AK122" s="523">
        <f>IF(YEAR('Assumptions &amp; Inputs'!$I$31)&gt;AK110, 0, IF(AK110=YEAR('Assumptions &amp; Inputs'!$I$31),'Assumptions &amp; Inputs'!$I$80*'Assumptions &amp; Inputs'!$I$77/$E$3*(1+'Assumptions &amp; Inputs'!$I$20)^(AK108-'Assumptions &amp; Inputs'!$I$28/12)*YEARFRAC('Assumptions &amp; Inputs'!$I$31,'Assumptions &amp; Inputs'!$I$32), IF(YEAR('Assumptions &amp; Inputs'!$I$36)&gt;=AK110, 'Assumptions &amp; Inputs'!$I$80*'Assumptions &amp; Inputs'!$I$77/$E$3*(1+'Assumptions &amp; Inputs'!$I$20)^(AK108-'Assumptions &amp; Inputs'!$I$28/12), 0)))</f>
        <v>0</v>
      </c>
      <c r="AL122" s="523">
        <f>IF(YEAR('Assumptions &amp; Inputs'!$I$31)&gt;AL110, 0, IF(AL110=YEAR('Assumptions &amp; Inputs'!$I$31),'Assumptions &amp; Inputs'!$I$80*'Assumptions &amp; Inputs'!$I$77/$E$3*(1+'Assumptions &amp; Inputs'!$I$20)^(AL108-'Assumptions &amp; Inputs'!$I$28/12)*YEARFRAC('Assumptions &amp; Inputs'!$I$31,'Assumptions &amp; Inputs'!$I$32), IF(YEAR('Assumptions &amp; Inputs'!$I$36)&gt;=AL110, 'Assumptions &amp; Inputs'!$I$80*'Assumptions &amp; Inputs'!$I$77/$E$3*(1+'Assumptions &amp; Inputs'!$I$20)^(AL108-'Assumptions &amp; Inputs'!$I$28/12), 0)))</f>
        <v>0</v>
      </c>
      <c r="AM122" s="523">
        <f>IF(YEAR('Assumptions &amp; Inputs'!$I$31)&gt;AM110, 0, IF(AM110=YEAR('Assumptions &amp; Inputs'!$I$31),'Assumptions &amp; Inputs'!$I$80*'Assumptions &amp; Inputs'!$I$77/$E$3*(1+'Assumptions &amp; Inputs'!$I$20)^(AM108-'Assumptions &amp; Inputs'!$I$28/12)*YEARFRAC('Assumptions &amp; Inputs'!$I$31,'Assumptions &amp; Inputs'!$I$32), IF(YEAR('Assumptions &amp; Inputs'!$I$36)&gt;=AM110, 'Assumptions &amp; Inputs'!$I$80*'Assumptions &amp; Inputs'!$I$77/$E$3*(1+'Assumptions &amp; Inputs'!$I$20)^(AM108-'Assumptions &amp; Inputs'!$I$28/12), 0)))</f>
        <v>0</v>
      </c>
      <c r="AN122" s="523">
        <f>IF(YEAR('Assumptions &amp; Inputs'!$I$31)&gt;AN110, 0, IF(AN110=YEAR('Assumptions &amp; Inputs'!$I$31),'Assumptions &amp; Inputs'!$I$80*'Assumptions &amp; Inputs'!$I$77/$E$3*(1+'Assumptions &amp; Inputs'!$I$20)^(AN108-'Assumptions &amp; Inputs'!$I$28/12)*YEARFRAC('Assumptions &amp; Inputs'!$I$31,'Assumptions &amp; Inputs'!$I$32), IF(YEAR('Assumptions &amp; Inputs'!$I$36)&gt;=AN110, 'Assumptions &amp; Inputs'!$I$80*'Assumptions &amp; Inputs'!$I$77/$E$3*(1+'Assumptions &amp; Inputs'!$I$20)^(AN108-'Assumptions &amp; Inputs'!$I$28/12), 0)))</f>
        <v>0</v>
      </c>
      <c r="AO122" s="523">
        <f>IF(YEAR('Assumptions &amp; Inputs'!$I$31)&gt;AO110, 0, IF(AO110=YEAR('Assumptions &amp; Inputs'!$I$31),'Assumptions &amp; Inputs'!$I$80*'Assumptions &amp; Inputs'!$I$77/$E$3*(1+'Assumptions &amp; Inputs'!$I$20)^(AO108-'Assumptions &amp; Inputs'!$I$28/12)*YEARFRAC('Assumptions &amp; Inputs'!$I$31,'Assumptions &amp; Inputs'!$I$32), IF(YEAR('Assumptions &amp; Inputs'!$I$36)&gt;=AO110, 'Assumptions &amp; Inputs'!$I$80*'Assumptions &amp; Inputs'!$I$77/$E$3*(1+'Assumptions &amp; Inputs'!$I$20)^(AO108-'Assumptions &amp; Inputs'!$I$28/12), 0)))</f>
        <v>0</v>
      </c>
      <c r="AP122" s="523">
        <f>IF(YEAR('Assumptions &amp; Inputs'!$I$31)&gt;AP110, 0, IF(AP110=YEAR('Assumptions &amp; Inputs'!$I$31),'Assumptions &amp; Inputs'!$I$80*'Assumptions &amp; Inputs'!$I$77/$E$3*(1+'Assumptions &amp; Inputs'!$I$20)^(AP108-'Assumptions &amp; Inputs'!$I$28/12)*YEARFRAC('Assumptions &amp; Inputs'!$I$31,'Assumptions &amp; Inputs'!$I$32), IF(YEAR('Assumptions &amp; Inputs'!$I$36)&gt;=AP110, 'Assumptions &amp; Inputs'!$I$80*'Assumptions &amp; Inputs'!$I$77/$E$3*(1+'Assumptions &amp; Inputs'!$I$20)^(AP108-'Assumptions &amp; Inputs'!$I$28/12), 0)))</f>
        <v>0</v>
      </c>
      <c r="AQ122" s="523">
        <f>IF(YEAR('Assumptions &amp; Inputs'!$I$31)&gt;AQ110, 0, IF(AQ110=YEAR('Assumptions &amp; Inputs'!$I$31),'Assumptions &amp; Inputs'!$I$80*'Assumptions &amp; Inputs'!$I$77/$E$3*(1+'Assumptions &amp; Inputs'!$I$20)^(AQ108-'Assumptions &amp; Inputs'!$I$28/12)*YEARFRAC('Assumptions &amp; Inputs'!$I$31,'Assumptions &amp; Inputs'!$I$32), IF(YEAR('Assumptions &amp; Inputs'!$I$36)&gt;=AQ110, 'Assumptions &amp; Inputs'!$I$80*'Assumptions &amp; Inputs'!$I$77/$E$3*(1+'Assumptions &amp; Inputs'!$I$20)^(AQ108-'Assumptions &amp; Inputs'!$I$28/12), 0)))</f>
        <v>0</v>
      </c>
      <c r="AR122" s="523">
        <f>IF(YEAR('Assumptions &amp; Inputs'!$I$31)&gt;AR110, 0, IF(AR110=YEAR('Assumptions &amp; Inputs'!$I$31),'Assumptions &amp; Inputs'!$I$80*'Assumptions &amp; Inputs'!$I$77/$E$3*(1+'Assumptions &amp; Inputs'!$I$20)^(AR108-'Assumptions &amp; Inputs'!$I$28/12)*YEARFRAC('Assumptions &amp; Inputs'!$I$31,'Assumptions &amp; Inputs'!$I$32), IF(YEAR('Assumptions &amp; Inputs'!$I$36)&gt;=AR110, 'Assumptions &amp; Inputs'!$I$80*'Assumptions &amp; Inputs'!$I$77/$E$3*(1+'Assumptions &amp; Inputs'!$I$20)^(AR108-'Assumptions &amp; Inputs'!$I$28/12), 0)))</f>
        <v>0</v>
      </c>
      <c r="AS122" s="523">
        <f>IF(YEAR('Assumptions &amp; Inputs'!$I$31)&gt;AS110, 0, IF(AS110=YEAR('Assumptions &amp; Inputs'!$I$31),'Assumptions &amp; Inputs'!$I$80*'Assumptions &amp; Inputs'!$I$77/$E$3*(1+'Assumptions &amp; Inputs'!$I$20)^(AS108-'Assumptions &amp; Inputs'!$I$28/12)*YEARFRAC('Assumptions &amp; Inputs'!$I$31,'Assumptions &amp; Inputs'!$I$32), IF(YEAR('Assumptions &amp; Inputs'!$I$36)&gt;=AS110, 'Assumptions &amp; Inputs'!$I$80*'Assumptions &amp; Inputs'!$I$77/$E$3*(1+'Assumptions &amp; Inputs'!$I$20)^(AS108-'Assumptions &amp; Inputs'!$I$28/12), 0)))</f>
        <v>0</v>
      </c>
      <c r="AT122" s="523">
        <f>IF(YEAR('Assumptions &amp; Inputs'!$I$31)&gt;AT110, 0, IF(AT110=YEAR('Assumptions &amp; Inputs'!$I$31),'Assumptions &amp; Inputs'!$I$80*'Assumptions &amp; Inputs'!$I$77/$E$3*(1+'Assumptions &amp; Inputs'!$I$20)^(AT108-'Assumptions &amp; Inputs'!$I$28/12)*YEARFRAC('Assumptions &amp; Inputs'!$I$31,'Assumptions &amp; Inputs'!$I$32), IF(YEAR('Assumptions &amp; Inputs'!$I$36)&gt;=AT110, 'Assumptions &amp; Inputs'!$I$80*'Assumptions &amp; Inputs'!$I$77/$E$3*(1+'Assumptions &amp; Inputs'!$I$20)^(AT108-'Assumptions &amp; Inputs'!$I$28/12), 0)))</f>
        <v>0</v>
      </c>
      <c r="AU122" s="523">
        <f>IF(YEAR('Assumptions &amp; Inputs'!$I$31)&gt;AU110, 0, IF(AU110=YEAR('Assumptions &amp; Inputs'!$I$31),'Assumptions &amp; Inputs'!$I$80*'Assumptions &amp; Inputs'!$I$77/$E$3*(1+'Assumptions &amp; Inputs'!$I$20)^(AU108-'Assumptions &amp; Inputs'!$I$28/12)*YEARFRAC('Assumptions &amp; Inputs'!$I$31,'Assumptions &amp; Inputs'!$I$32), IF(YEAR('Assumptions &amp; Inputs'!$I$36)&gt;=AU110, 'Assumptions &amp; Inputs'!$I$80*'Assumptions &amp; Inputs'!$I$77/$E$3*(1+'Assumptions &amp; Inputs'!$I$20)^(AU108-'Assumptions &amp; Inputs'!$I$28/12), 0)))</f>
        <v>0</v>
      </c>
      <c r="AV122" s="523">
        <f>IF(YEAR('Assumptions &amp; Inputs'!$I$31)&gt;AV110, 0, IF(AV110=YEAR('Assumptions &amp; Inputs'!$I$31),'Assumptions &amp; Inputs'!$I$80*'Assumptions &amp; Inputs'!$I$77/$E$3*(1+'Assumptions &amp; Inputs'!$I$20)^(AV108-'Assumptions &amp; Inputs'!$I$28/12)*YEARFRAC('Assumptions &amp; Inputs'!$I$31,'Assumptions &amp; Inputs'!$I$32), IF(YEAR('Assumptions &amp; Inputs'!$I$36)&gt;=AV110, 'Assumptions &amp; Inputs'!$I$80*'Assumptions &amp; Inputs'!$I$77/$E$3*(1+'Assumptions &amp; Inputs'!$I$20)^(AV108-'Assumptions &amp; Inputs'!$I$28/12), 0)))</f>
        <v>0</v>
      </c>
      <c r="AW122" s="523">
        <f>IF(YEAR('Assumptions &amp; Inputs'!$I$31)&gt;AW110, 0, IF(AW110=YEAR('Assumptions &amp; Inputs'!$I$31),'Assumptions &amp; Inputs'!$I$80*'Assumptions &amp; Inputs'!$I$77/$E$3*(1+'Assumptions &amp; Inputs'!$I$20)^(AW108-'Assumptions &amp; Inputs'!$I$28/12)*YEARFRAC('Assumptions &amp; Inputs'!$I$31,'Assumptions &amp; Inputs'!$I$32), IF(YEAR('Assumptions &amp; Inputs'!$I$36)&gt;=AW110, 'Assumptions &amp; Inputs'!$I$80*'Assumptions &amp; Inputs'!$I$77/$E$3*(1+'Assumptions &amp; Inputs'!$I$20)^(AW108-'Assumptions &amp; Inputs'!$I$28/12), 0)))</f>
        <v>0</v>
      </c>
    </row>
    <row r="123" spans="3:52" ht="14.25" customHeight="1">
      <c r="C123" s="44" t="s">
        <v>239</v>
      </c>
      <c r="D123" s="273">
        <f>_xlfn.XLOOKUP(D110, 'Real Estate'!$D$103:$BA$103, 'Real Estate'!$D$109:$BA$109)</f>
        <v>0</v>
      </c>
      <c r="E123" s="273">
        <f>_xlfn.XLOOKUP(E110, 'Real Estate'!$D$103:$BA$103, 'Real Estate'!$D$109:$BA$109)</f>
        <v>0</v>
      </c>
      <c r="F123" s="273">
        <f>_xlfn.XLOOKUP(F110, 'Real Estate'!$D$103:$BA$103, 'Real Estate'!$D$109:$BA$109)</f>
        <v>0</v>
      </c>
      <c r="G123" s="273">
        <f>_xlfn.XLOOKUP(G110, 'Real Estate'!$D$103:$BA$103, 'Real Estate'!$D$109:$BA$109)</f>
        <v>0</v>
      </c>
      <c r="H123" s="273">
        <f>_xlfn.XLOOKUP(H110, 'Real Estate'!$D$103:$BA$103, 'Real Estate'!$D$109:$BA$109)</f>
        <v>0</v>
      </c>
      <c r="I123" s="273">
        <f>_xlfn.XLOOKUP(I110, 'Real Estate'!$D$103:$BA$103, 'Real Estate'!$D$109:$BA$109)</f>
        <v>0</v>
      </c>
      <c r="J123" s="273">
        <f>_xlfn.XLOOKUP(J110, 'Real Estate'!$D$103:$BA$103, 'Real Estate'!$D$109:$BA$109)</f>
        <v>0</v>
      </c>
      <c r="K123" s="273">
        <f>_xlfn.XLOOKUP(K110, 'Real Estate'!$D$103:$BA$103, 'Real Estate'!$D$109:$BA$109)</f>
        <v>0</v>
      </c>
      <c r="L123" s="273">
        <f>_xlfn.XLOOKUP(L110, 'Real Estate'!$D$103:$BA$103, 'Real Estate'!$D$109:$BA$109)</f>
        <v>0</v>
      </c>
      <c r="M123" s="273">
        <f>_xlfn.XLOOKUP(M110, 'Real Estate'!$D$103:$BA$103, 'Real Estate'!$D$109:$BA$109)</f>
        <v>0</v>
      </c>
      <c r="N123" s="273">
        <f>_xlfn.XLOOKUP(N110, 'Real Estate'!$D$103:$BA$103, 'Real Estate'!$D$109:$BA$109)</f>
        <v>0</v>
      </c>
      <c r="O123" s="273">
        <f>_xlfn.XLOOKUP(O110, 'Real Estate'!$D$103:$BA$103, 'Real Estate'!$D$109:$BA$109)</f>
        <v>0</v>
      </c>
      <c r="P123" s="273">
        <f>_xlfn.XLOOKUP(P110, 'Real Estate'!$D$103:$BA$103, 'Real Estate'!$D$109:$BA$109)</f>
        <v>0</v>
      </c>
      <c r="Q123" s="273">
        <f>_xlfn.XLOOKUP(Q110, 'Real Estate'!$D$103:$BA$103, 'Real Estate'!$D$109:$BA$109)</f>
        <v>0</v>
      </c>
      <c r="R123" s="273">
        <f>_xlfn.XLOOKUP(R110, 'Real Estate'!$D$103:$BA$103, 'Real Estate'!$D$109:$BA$109)</f>
        <v>0</v>
      </c>
      <c r="S123" s="273">
        <f>_xlfn.XLOOKUP(S110, 'Real Estate'!$D$103:$BA$103, 'Real Estate'!$D$109:$BA$109)</f>
        <v>0</v>
      </c>
      <c r="T123" s="273">
        <f>_xlfn.XLOOKUP(T110, 'Real Estate'!$D$103:$BA$103, 'Real Estate'!$D$109:$BA$109)</f>
        <v>0</v>
      </c>
      <c r="U123" s="273">
        <f>_xlfn.XLOOKUP(U110, 'Real Estate'!$D$103:$BA$103, 'Real Estate'!$D$109:$BA$109)</f>
        <v>0</v>
      </c>
      <c r="V123" s="273">
        <f>_xlfn.XLOOKUP(V110, 'Real Estate'!$D$103:$BA$103, 'Real Estate'!$D$109:$BA$109)</f>
        <v>0</v>
      </c>
      <c r="W123" s="273">
        <f>_xlfn.XLOOKUP(W110, 'Real Estate'!$D$103:$BA$103, 'Real Estate'!$D$109:$BA$109)</f>
        <v>0</v>
      </c>
      <c r="X123" s="273">
        <f>_xlfn.XLOOKUP(X110, 'Real Estate'!$D$103:$BA$103, 'Real Estate'!$D$109:$BA$109)</f>
        <v>0</v>
      </c>
      <c r="Y123" s="273">
        <f>_xlfn.XLOOKUP(Y110, 'Real Estate'!$D$103:$BA$103, 'Real Estate'!$D$109:$BA$109)</f>
        <v>0</v>
      </c>
      <c r="Z123" s="273">
        <f>_xlfn.XLOOKUP(Z110, 'Real Estate'!$D$103:$BA$103, 'Real Estate'!$D$109:$BA$109)</f>
        <v>0</v>
      </c>
      <c r="AA123" s="273">
        <f>_xlfn.XLOOKUP(AA110, 'Real Estate'!$D$103:$BA$103, 'Real Estate'!$D$109:$BA$109)</f>
        <v>0</v>
      </c>
      <c r="AB123" s="273">
        <f>_xlfn.XLOOKUP(AB110, 'Real Estate'!$D$103:$BA$103, 'Real Estate'!$D$109:$BA$109)</f>
        <v>0</v>
      </c>
      <c r="AC123" s="273">
        <f>_xlfn.XLOOKUP(AC110, 'Real Estate'!$D$103:$BA$103, 'Real Estate'!$D$109:$BA$109)</f>
        <v>0</v>
      </c>
      <c r="AD123" s="273">
        <f>_xlfn.XLOOKUP(AD110, 'Real Estate'!$D$103:$BA$103, 'Real Estate'!$D$109:$BA$109)</f>
        <v>0</v>
      </c>
      <c r="AE123" s="273">
        <f>_xlfn.XLOOKUP(AE110, 'Real Estate'!$D$103:$BA$103, 'Real Estate'!$D$109:$BA$109)</f>
        <v>0</v>
      </c>
      <c r="AF123" s="273">
        <f>_xlfn.XLOOKUP(AF110, 'Real Estate'!$D$103:$BA$103, 'Real Estate'!$D$109:$BA$109)</f>
        <v>0</v>
      </c>
      <c r="AG123" s="273">
        <f>_xlfn.XLOOKUP(AG110, 'Real Estate'!$D$103:$BA$103, 'Real Estate'!$D$109:$BA$109)</f>
        <v>0</v>
      </c>
      <c r="AH123" s="273">
        <f>_xlfn.XLOOKUP(AH110, 'Real Estate'!$D$103:$BA$103, 'Real Estate'!$D$109:$BA$109)</f>
        <v>0</v>
      </c>
      <c r="AI123" s="273">
        <f>_xlfn.XLOOKUP(AI110, 'Real Estate'!$D$103:$BA$103, 'Real Estate'!$D$109:$BA$109)</f>
        <v>0</v>
      </c>
      <c r="AJ123" s="273">
        <f>_xlfn.XLOOKUP(AJ110, 'Real Estate'!$D$103:$BA$103, 'Real Estate'!$D$109:$BA$109)</f>
        <v>0</v>
      </c>
      <c r="AK123" s="273">
        <f>_xlfn.XLOOKUP(AK110, 'Real Estate'!$D$103:$BA$103, 'Real Estate'!$D$109:$BA$109)</f>
        <v>0</v>
      </c>
      <c r="AL123" s="273">
        <f>_xlfn.XLOOKUP(AL110, 'Real Estate'!$D$103:$BA$103, 'Real Estate'!$D$109:$BA$109)</f>
        <v>0</v>
      </c>
      <c r="AM123" s="273">
        <f>_xlfn.XLOOKUP(AM110, 'Real Estate'!$D$103:$BA$103, 'Real Estate'!$D$109:$BA$109)</f>
        <v>0</v>
      </c>
      <c r="AN123" s="273">
        <f>_xlfn.XLOOKUP(AN110, 'Real Estate'!$D$103:$BA$103, 'Real Estate'!$D$109:$BA$109)</f>
        <v>0</v>
      </c>
      <c r="AO123" s="273">
        <f>_xlfn.XLOOKUP(AO110, 'Real Estate'!$D$103:$BA$103, 'Real Estate'!$D$109:$BA$109)</f>
        <v>0</v>
      </c>
      <c r="AP123" s="273">
        <f>_xlfn.XLOOKUP(AP110, 'Real Estate'!$D$103:$BA$103, 'Real Estate'!$D$109:$BA$109)</f>
        <v>0</v>
      </c>
      <c r="AQ123" s="273">
        <f>_xlfn.XLOOKUP(AQ110, 'Real Estate'!$D$103:$BA$103, 'Real Estate'!$D$109:$BA$109)</f>
        <v>0</v>
      </c>
      <c r="AR123" s="273">
        <f>_xlfn.XLOOKUP(AR110, 'Real Estate'!$D$103:$BA$103, 'Real Estate'!$D$109:$BA$109)</f>
        <v>0</v>
      </c>
      <c r="AS123" s="273">
        <f>_xlfn.XLOOKUP(AS110, 'Real Estate'!$D$103:$BA$103, 'Real Estate'!$D$109:$BA$109)</f>
        <v>0</v>
      </c>
      <c r="AT123" s="273">
        <f>_xlfn.XLOOKUP(AT110, 'Real Estate'!$D$103:$BA$103, 'Real Estate'!$D$109:$BA$109)</f>
        <v>0</v>
      </c>
      <c r="AU123" s="273">
        <f>_xlfn.XLOOKUP(AU110, 'Real Estate'!$D$103:$BA$103, 'Real Estate'!$D$109:$BA$109)</f>
        <v>0</v>
      </c>
      <c r="AV123" s="273">
        <f>_xlfn.XLOOKUP(AV110, 'Real Estate'!$D$103:$BA$103, 'Real Estate'!$D$109:$BA$109)</f>
        <v>0</v>
      </c>
      <c r="AW123" s="273">
        <f>_xlfn.XLOOKUP(AW110, 'Real Estate'!$D$103:$BA$103, 'Real Estate'!$D$109:$BA$109)</f>
        <v>0</v>
      </c>
    </row>
    <row r="124" spans="3:52" s="76" customFormat="1" ht="14.25" customHeight="1">
      <c r="C124" s="48" t="s">
        <v>526</v>
      </c>
      <c r="D124" s="71">
        <f>SUM(D120:D123)</f>
        <v>0</v>
      </c>
      <c r="E124" s="71">
        <f t="shared" ref="E124:AW124" si="311">SUM(E120:E123)</f>
        <v>0</v>
      </c>
      <c r="F124" s="71">
        <f t="shared" si="311"/>
        <v>0</v>
      </c>
      <c r="G124" s="71">
        <f t="shared" si="311"/>
        <v>0</v>
      </c>
      <c r="H124" s="71">
        <f t="shared" si="311"/>
        <v>12.292310840963939</v>
      </c>
      <c r="I124" s="71">
        <f t="shared" si="311"/>
        <v>14.881767118760855</v>
      </c>
      <c r="J124" s="71">
        <f t="shared" si="311"/>
        <v>15.045412700963952</v>
      </c>
      <c r="K124" s="71">
        <f t="shared" si="311"/>
        <v>15.214674669211545</v>
      </c>
      <c r="L124" s="71">
        <f t="shared" si="311"/>
        <v>15.389719747538518</v>
      </c>
      <c r="M124" s="71">
        <f t="shared" si="311"/>
        <v>15.57071966611967</v>
      </c>
      <c r="N124" s="71">
        <f t="shared" si="311"/>
        <v>15.757851311442872</v>
      </c>
      <c r="O124" s="71">
        <f t="shared" si="311"/>
        <v>15.951296880987419</v>
      </c>
      <c r="P124" s="71">
        <f t="shared" si="311"/>
        <v>16.1512440425428</v>
      </c>
      <c r="Q124" s="71">
        <f t="shared" si="311"/>
        <v>16.357886098307031</v>
      </c>
      <c r="R124" s="71">
        <f t="shared" si="311"/>
        <v>16.571422153907964</v>
      </c>
      <c r="S124" s="71">
        <f t="shared" si="311"/>
        <v>16.792057292495301</v>
      </c>
      <c r="T124" s="71">
        <f t="shared" si="311"/>
        <v>17.020002754055326</v>
      </c>
      <c r="U124" s="71">
        <f t="shared" si="311"/>
        <v>17.255476120105193</v>
      </c>
      <c r="V124" s="71">
        <f t="shared" si="311"/>
        <v>17.498701503927986</v>
      </c>
      <c r="W124" s="71">
        <f t="shared" si="311"/>
        <v>17.749909746514916</v>
      </c>
      <c r="X124" s="71">
        <f t="shared" si="311"/>
        <v>18.009338618385776</v>
      </c>
      <c r="Y124" s="71">
        <f t="shared" si="311"/>
        <v>18.277233027464071</v>
      </c>
      <c r="Z124" s="71">
        <f t="shared" si="311"/>
        <v>18.553845233188405</v>
      </c>
      <c r="AA124" s="71">
        <f t="shared" si="311"/>
        <v>18.839435067047216</v>
      </c>
      <c r="AB124" s="71">
        <f t="shared" si="311"/>
        <v>19.134270159729631</v>
      </c>
      <c r="AC124" s="71">
        <f t="shared" si="311"/>
        <v>19.438626175090842</v>
      </c>
      <c r="AD124" s="71">
        <f t="shared" si="311"/>
        <v>19.752787051136472</v>
      </c>
      <c r="AE124" s="71">
        <f t="shared" si="311"/>
        <v>20.07704524823648</v>
      </c>
      <c r="AF124" s="71">
        <f t="shared" si="311"/>
        <v>20.411702004785575</v>
      </c>
      <c r="AG124" s="71">
        <f t="shared" si="311"/>
        <v>20.757067600533389</v>
      </c>
      <c r="AH124" s="71">
        <f t="shared" si="311"/>
        <v>0</v>
      </c>
      <c r="AI124" s="71">
        <f t="shared" si="311"/>
        <v>0</v>
      </c>
      <c r="AJ124" s="71">
        <f t="shared" si="311"/>
        <v>0</v>
      </c>
      <c r="AK124" s="71">
        <f t="shared" si="311"/>
        <v>0</v>
      </c>
      <c r="AL124" s="71">
        <f t="shared" si="311"/>
        <v>0</v>
      </c>
      <c r="AM124" s="71">
        <f t="shared" si="311"/>
        <v>0</v>
      </c>
      <c r="AN124" s="71">
        <f t="shared" si="311"/>
        <v>0</v>
      </c>
      <c r="AO124" s="71">
        <f t="shared" si="311"/>
        <v>0</v>
      </c>
      <c r="AP124" s="71">
        <f t="shared" si="311"/>
        <v>0</v>
      </c>
      <c r="AQ124" s="71">
        <f t="shared" si="311"/>
        <v>0</v>
      </c>
      <c r="AR124" s="71">
        <f t="shared" si="311"/>
        <v>0</v>
      </c>
      <c r="AS124" s="71">
        <f t="shared" si="311"/>
        <v>0</v>
      </c>
      <c r="AT124" s="71">
        <f t="shared" si="311"/>
        <v>0</v>
      </c>
      <c r="AU124" s="71">
        <f t="shared" si="311"/>
        <v>0</v>
      </c>
      <c r="AV124" s="71">
        <f t="shared" si="311"/>
        <v>0</v>
      </c>
      <c r="AW124" s="71">
        <f t="shared" si="311"/>
        <v>0</v>
      </c>
    </row>
    <row r="125" spans="3:52" ht="14.25" customHeight="1">
      <c r="C125" s="44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</row>
    <row r="126" spans="3:52" ht="14.25" customHeight="1">
      <c r="C126" s="124" t="s">
        <v>481</v>
      </c>
      <c r="D126" s="125">
        <f>SUM(D118,-D124)</f>
        <v>0</v>
      </c>
      <c r="E126" s="125">
        <f t="shared" ref="E126:AW126" si="312">SUM(E118,-E124)</f>
        <v>0</v>
      </c>
      <c r="F126" s="125">
        <f t="shared" si="312"/>
        <v>0</v>
      </c>
      <c r="G126" s="125">
        <f t="shared" si="312"/>
        <v>0</v>
      </c>
      <c r="H126" s="125">
        <f t="shared" si="312"/>
        <v>30.941648947947417</v>
      </c>
      <c r="I126" s="125">
        <f t="shared" si="312"/>
        <v>37.86079113535294</v>
      </c>
      <c r="J126" s="125">
        <f t="shared" si="312"/>
        <v>38.617503194684133</v>
      </c>
      <c r="K126" s="125">
        <f t="shared" si="312"/>
        <v>39.38465910881559</v>
      </c>
      <c r="L126" s="125">
        <f t="shared" si="312"/>
        <v>40.162372404915203</v>
      </c>
      <c r="M126" s="125">
        <f t="shared" si="312"/>
        <v>40.950756494394362</v>
      </c>
      <c r="N126" s="125">
        <f t="shared" si="312"/>
        <v>41.749924608072142</v>
      </c>
      <c r="O126" s="125">
        <f t="shared" si="312"/>
        <v>42.559989728323117</v>
      </c>
      <c r="P126" s="125">
        <f t="shared" si="312"/>
        <v>43.381064518100224</v>
      </c>
      <c r="Q126" s="125">
        <f t="shared" si="312"/>
        <v>44.213261246719213</v>
      </c>
      <c r="R126" s="125">
        <f t="shared" si="312"/>
        <v>45.056691712288995</v>
      </c>
      <c r="S126" s="125">
        <f t="shared" si="312"/>
        <v>45.911467160666774</v>
      </c>
      <c r="T126" s="125">
        <f t="shared" si="312"/>
        <v>46.777698200814434</v>
      </c>
      <c r="U126" s="125">
        <f t="shared" si="312"/>
        <v>47.65549471642705</v>
      </c>
      <c r="V126" s="125">
        <f t="shared" si="312"/>
        <v>48.544965773701747</v>
      </c>
      <c r="W126" s="125">
        <f t="shared" si="312"/>
        <v>49.44621952510947</v>
      </c>
      <c r="X126" s="125">
        <f t="shared" si="312"/>
        <v>50.359363109028457</v>
      </c>
      <c r="Y126" s="125">
        <f t="shared" si="312"/>
        <v>51.284502545093538</v>
      </c>
      <c r="Z126" s="125">
        <f t="shared" si="312"/>
        <v>52.221742625110359</v>
      </c>
      <c r="AA126" s="125">
        <f t="shared" si="312"/>
        <v>53.17118679937883</v>
      </c>
      <c r="AB126" s="125">
        <f t="shared" si="312"/>
        <v>54.132937058265547</v>
      </c>
      <c r="AC126" s="125">
        <f t="shared" si="312"/>
        <v>55.107093808858366</v>
      </c>
      <c r="AD126" s="125">
        <f t="shared" si="312"/>
        <v>56.093755746532672</v>
      </c>
      <c r="AE126" s="125">
        <f t="shared" si="312"/>
        <v>57.09301972125197</v>
      </c>
      <c r="AF126" s="125">
        <f t="shared" si="312"/>
        <v>58.104980598420475</v>
      </c>
      <c r="AG126" s="125">
        <f t="shared" si="312"/>
        <v>59.12973111409859</v>
      </c>
      <c r="AH126" s="125">
        <f t="shared" si="312"/>
        <v>0</v>
      </c>
      <c r="AI126" s="125">
        <f t="shared" si="312"/>
        <v>0</v>
      </c>
      <c r="AJ126" s="125">
        <f t="shared" si="312"/>
        <v>0</v>
      </c>
      <c r="AK126" s="125">
        <f t="shared" si="312"/>
        <v>0</v>
      </c>
      <c r="AL126" s="125">
        <f t="shared" si="312"/>
        <v>0</v>
      </c>
      <c r="AM126" s="125">
        <f t="shared" si="312"/>
        <v>0</v>
      </c>
      <c r="AN126" s="125">
        <f t="shared" si="312"/>
        <v>0</v>
      </c>
      <c r="AO126" s="125">
        <f t="shared" si="312"/>
        <v>0</v>
      </c>
      <c r="AP126" s="125">
        <f t="shared" si="312"/>
        <v>0</v>
      </c>
      <c r="AQ126" s="125">
        <f t="shared" si="312"/>
        <v>0</v>
      </c>
      <c r="AR126" s="125">
        <f t="shared" si="312"/>
        <v>0</v>
      </c>
      <c r="AS126" s="125">
        <f t="shared" si="312"/>
        <v>0</v>
      </c>
      <c r="AT126" s="125">
        <f t="shared" si="312"/>
        <v>0</v>
      </c>
      <c r="AU126" s="125">
        <f t="shared" si="312"/>
        <v>0</v>
      </c>
      <c r="AV126" s="125">
        <f t="shared" si="312"/>
        <v>0</v>
      </c>
      <c r="AW126" s="125">
        <f t="shared" si="312"/>
        <v>0</v>
      </c>
    </row>
    <row r="127" spans="3:52" ht="14.25" customHeight="1">
      <c r="C127" s="44"/>
      <c r="D127" s="44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</row>
    <row r="128" spans="3:52" ht="14.25" customHeight="1">
      <c r="C128" s="46" t="s">
        <v>482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</row>
    <row r="129" spans="3:49" ht="14.25" customHeight="1">
      <c r="C129" s="54" t="s">
        <v>517</v>
      </c>
      <c r="D129" s="44"/>
      <c r="E129" s="55">
        <f t="shared" ref="E129:AW129" si="313">-E101</f>
        <v>0</v>
      </c>
      <c r="F129" s="55">
        <f t="shared" si="313"/>
        <v>0</v>
      </c>
      <c r="G129" s="55">
        <f t="shared" si="313"/>
        <v>0</v>
      </c>
      <c r="H129" s="55">
        <f t="shared" si="313"/>
        <v>0</v>
      </c>
      <c r="I129" s="55">
        <f t="shared" si="313"/>
        <v>0</v>
      </c>
      <c r="J129" s="55">
        <f t="shared" si="313"/>
        <v>0</v>
      </c>
      <c r="K129" s="55">
        <f t="shared" si="313"/>
        <v>0</v>
      </c>
      <c r="L129" s="55">
        <f t="shared" si="313"/>
        <v>0</v>
      </c>
      <c r="M129" s="55">
        <f t="shared" si="313"/>
        <v>0</v>
      </c>
      <c r="N129" s="55">
        <f t="shared" si="313"/>
        <v>0</v>
      </c>
      <c r="O129" s="55">
        <f t="shared" si="313"/>
        <v>0</v>
      </c>
      <c r="P129" s="55">
        <f t="shared" si="313"/>
        <v>0</v>
      </c>
      <c r="Q129" s="55">
        <f t="shared" si="313"/>
        <v>0</v>
      </c>
      <c r="R129" s="55">
        <f t="shared" si="313"/>
        <v>0</v>
      </c>
      <c r="S129" s="55">
        <f t="shared" si="313"/>
        <v>0</v>
      </c>
      <c r="T129" s="55">
        <f t="shared" si="313"/>
        <v>0</v>
      </c>
      <c r="U129" s="55">
        <f t="shared" si="313"/>
        <v>0</v>
      </c>
      <c r="V129" s="55">
        <f t="shared" si="313"/>
        <v>0</v>
      </c>
      <c r="W129" s="55">
        <f t="shared" si="313"/>
        <v>0</v>
      </c>
      <c r="X129" s="55">
        <f t="shared" si="313"/>
        <v>0</v>
      </c>
      <c r="Y129" s="55">
        <f t="shared" si="313"/>
        <v>0</v>
      </c>
      <c r="Z129" s="55">
        <f t="shared" si="313"/>
        <v>0</v>
      </c>
      <c r="AA129" s="55">
        <f t="shared" si="313"/>
        <v>0</v>
      </c>
      <c r="AB129" s="55">
        <f t="shared" si="313"/>
        <v>0</v>
      </c>
      <c r="AC129" s="55">
        <f t="shared" si="313"/>
        <v>0</v>
      </c>
      <c r="AD129" s="55">
        <f t="shared" si="313"/>
        <v>0</v>
      </c>
      <c r="AE129" s="55">
        <f t="shared" si="313"/>
        <v>0</v>
      </c>
      <c r="AF129" s="55">
        <f t="shared" si="313"/>
        <v>0</v>
      </c>
      <c r="AG129" s="55">
        <f t="shared" si="313"/>
        <v>0</v>
      </c>
      <c r="AH129" s="55">
        <f t="shared" si="313"/>
        <v>0</v>
      </c>
      <c r="AI129" s="55">
        <f t="shared" si="313"/>
        <v>0</v>
      </c>
      <c r="AJ129" s="55">
        <f t="shared" si="313"/>
        <v>0</v>
      </c>
      <c r="AK129" s="55">
        <f t="shared" si="313"/>
        <v>0</v>
      </c>
      <c r="AL129" s="55">
        <f t="shared" si="313"/>
        <v>0</v>
      </c>
      <c r="AM129" s="55">
        <f t="shared" si="313"/>
        <v>0</v>
      </c>
      <c r="AN129" s="55">
        <f t="shared" si="313"/>
        <v>0</v>
      </c>
      <c r="AO129" s="55">
        <f t="shared" si="313"/>
        <v>0</v>
      </c>
      <c r="AP129" s="55">
        <f t="shared" si="313"/>
        <v>0</v>
      </c>
      <c r="AQ129" s="55">
        <f t="shared" si="313"/>
        <v>0</v>
      </c>
      <c r="AR129" s="55">
        <f t="shared" si="313"/>
        <v>0</v>
      </c>
      <c r="AS129" s="55">
        <f t="shared" si="313"/>
        <v>0</v>
      </c>
      <c r="AT129" s="55">
        <f t="shared" si="313"/>
        <v>0</v>
      </c>
      <c r="AU129" s="55">
        <f t="shared" si="313"/>
        <v>0</v>
      </c>
      <c r="AV129" s="55">
        <f t="shared" si="313"/>
        <v>0</v>
      </c>
      <c r="AW129" s="55">
        <f t="shared" si="313"/>
        <v>0</v>
      </c>
    </row>
    <row r="130" spans="3:49" ht="14.25" customHeight="1">
      <c r="C130" s="54" t="s">
        <v>485</v>
      </c>
      <c r="D130" s="44"/>
      <c r="E130" s="55"/>
      <c r="F130" s="55"/>
      <c r="G130" s="55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</row>
    <row r="131" spans="3:49" ht="14.25" customHeight="1">
      <c r="C131" s="57" t="s">
        <v>518</v>
      </c>
      <c r="D131" s="44"/>
      <c r="E131" s="55"/>
      <c r="F131" s="55"/>
      <c r="G131" s="55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</row>
    <row r="132" spans="3:49" ht="14.25" customHeight="1">
      <c r="C132" s="59" t="s">
        <v>486</v>
      </c>
      <c r="D132" s="60">
        <f t="shared" ref="D132:X132" si="314">SUM(D129:D131)</f>
        <v>0</v>
      </c>
      <c r="E132" s="60">
        <f t="shared" si="314"/>
        <v>0</v>
      </c>
      <c r="F132" s="60">
        <f t="shared" si="314"/>
        <v>0</v>
      </c>
      <c r="G132" s="60">
        <f t="shared" si="314"/>
        <v>0</v>
      </c>
      <c r="H132" s="60">
        <f t="shared" si="314"/>
        <v>0</v>
      </c>
      <c r="I132" s="60">
        <f t="shared" si="314"/>
        <v>0</v>
      </c>
      <c r="J132" s="60">
        <f t="shared" si="314"/>
        <v>0</v>
      </c>
      <c r="K132" s="60">
        <f t="shared" si="314"/>
        <v>0</v>
      </c>
      <c r="L132" s="60">
        <f t="shared" si="314"/>
        <v>0</v>
      </c>
      <c r="M132" s="60">
        <f t="shared" si="314"/>
        <v>0</v>
      </c>
      <c r="N132" s="60">
        <f t="shared" si="314"/>
        <v>0</v>
      </c>
      <c r="O132" s="60">
        <f t="shared" si="314"/>
        <v>0</v>
      </c>
      <c r="P132" s="60">
        <f t="shared" si="314"/>
        <v>0</v>
      </c>
      <c r="Q132" s="60">
        <f t="shared" si="314"/>
        <v>0</v>
      </c>
      <c r="R132" s="60">
        <f t="shared" si="314"/>
        <v>0</v>
      </c>
      <c r="S132" s="60">
        <f t="shared" si="314"/>
        <v>0</v>
      </c>
      <c r="T132" s="60">
        <f t="shared" si="314"/>
        <v>0</v>
      </c>
      <c r="U132" s="60">
        <f t="shared" si="314"/>
        <v>0</v>
      </c>
      <c r="V132" s="60">
        <f t="shared" si="314"/>
        <v>0</v>
      </c>
      <c r="W132" s="60">
        <f t="shared" si="314"/>
        <v>0</v>
      </c>
      <c r="X132" s="60">
        <f t="shared" si="314"/>
        <v>0</v>
      </c>
      <c r="Y132" s="60">
        <f t="shared" ref="Y132:AW132" si="315">SUM(Y129:Y131)</f>
        <v>0</v>
      </c>
      <c r="Z132" s="60">
        <f t="shared" si="315"/>
        <v>0</v>
      </c>
      <c r="AA132" s="60">
        <f t="shared" si="315"/>
        <v>0</v>
      </c>
      <c r="AB132" s="60">
        <f t="shared" si="315"/>
        <v>0</v>
      </c>
      <c r="AC132" s="60">
        <f t="shared" si="315"/>
        <v>0</v>
      </c>
      <c r="AD132" s="60">
        <f t="shared" si="315"/>
        <v>0</v>
      </c>
      <c r="AE132" s="60">
        <f t="shared" si="315"/>
        <v>0</v>
      </c>
      <c r="AF132" s="60">
        <f t="shared" si="315"/>
        <v>0</v>
      </c>
      <c r="AG132" s="60">
        <f t="shared" si="315"/>
        <v>0</v>
      </c>
      <c r="AH132" s="60">
        <f t="shared" si="315"/>
        <v>0</v>
      </c>
      <c r="AI132" s="60">
        <f t="shared" si="315"/>
        <v>0</v>
      </c>
      <c r="AJ132" s="60">
        <f t="shared" si="315"/>
        <v>0</v>
      </c>
      <c r="AK132" s="60">
        <f t="shared" si="315"/>
        <v>0</v>
      </c>
      <c r="AL132" s="60">
        <f t="shared" si="315"/>
        <v>0</v>
      </c>
      <c r="AM132" s="60">
        <f t="shared" si="315"/>
        <v>0</v>
      </c>
      <c r="AN132" s="60">
        <f t="shared" si="315"/>
        <v>0</v>
      </c>
      <c r="AO132" s="60">
        <f t="shared" si="315"/>
        <v>0</v>
      </c>
      <c r="AP132" s="60">
        <f t="shared" si="315"/>
        <v>0</v>
      </c>
      <c r="AQ132" s="60">
        <f t="shared" si="315"/>
        <v>0</v>
      </c>
      <c r="AR132" s="60">
        <f t="shared" si="315"/>
        <v>0</v>
      </c>
      <c r="AS132" s="60">
        <f t="shared" si="315"/>
        <v>0</v>
      </c>
      <c r="AT132" s="60">
        <f t="shared" si="315"/>
        <v>0</v>
      </c>
      <c r="AU132" s="60">
        <f t="shared" si="315"/>
        <v>0</v>
      </c>
      <c r="AV132" s="60">
        <f t="shared" si="315"/>
        <v>0</v>
      </c>
      <c r="AW132" s="60">
        <f t="shared" si="315"/>
        <v>0</v>
      </c>
    </row>
    <row r="133" spans="3:49" ht="14.25" customHeight="1">
      <c r="C133" s="44"/>
      <c r="D133" s="44"/>
      <c r="E133" s="52"/>
      <c r="F133" s="52"/>
      <c r="G133" s="52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</row>
    <row r="134" spans="3:49" ht="14.25" customHeight="1">
      <c r="C134" s="44"/>
      <c r="D134" s="44"/>
      <c r="E134" s="52"/>
      <c r="F134" s="52"/>
      <c r="G134" s="52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</row>
    <row r="135" spans="3:49" ht="14.25" customHeight="1">
      <c r="C135" s="124" t="s">
        <v>487</v>
      </c>
      <c r="D135" s="125">
        <f t="shared" ref="D135:X135" si="316">+SUM(D126,D132)</f>
        <v>0</v>
      </c>
      <c r="E135" s="125">
        <f>+SUM(E126,E132)</f>
        <v>0</v>
      </c>
      <c r="F135" s="125">
        <f t="shared" si="316"/>
        <v>0</v>
      </c>
      <c r="G135" s="125">
        <f t="shared" si="316"/>
        <v>0</v>
      </c>
      <c r="H135" s="125">
        <f t="shared" si="316"/>
        <v>30.941648947947417</v>
      </c>
      <c r="I135" s="125">
        <f t="shared" si="316"/>
        <v>37.86079113535294</v>
      </c>
      <c r="J135" s="125">
        <f t="shared" si="316"/>
        <v>38.617503194684133</v>
      </c>
      <c r="K135" s="125">
        <f t="shared" si="316"/>
        <v>39.38465910881559</v>
      </c>
      <c r="L135" s="125">
        <f t="shared" si="316"/>
        <v>40.162372404915203</v>
      </c>
      <c r="M135" s="125">
        <f t="shared" si="316"/>
        <v>40.950756494394362</v>
      </c>
      <c r="N135" s="125">
        <f t="shared" si="316"/>
        <v>41.749924608072142</v>
      </c>
      <c r="O135" s="125">
        <f t="shared" si="316"/>
        <v>42.559989728323117</v>
      </c>
      <c r="P135" s="125">
        <f t="shared" si="316"/>
        <v>43.381064518100224</v>
      </c>
      <c r="Q135" s="125">
        <f t="shared" si="316"/>
        <v>44.213261246719213</v>
      </c>
      <c r="R135" s="125">
        <f t="shared" si="316"/>
        <v>45.056691712288995</v>
      </c>
      <c r="S135" s="125">
        <f t="shared" si="316"/>
        <v>45.911467160666774</v>
      </c>
      <c r="T135" s="125">
        <f t="shared" si="316"/>
        <v>46.777698200814434</v>
      </c>
      <c r="U135" s="125">
        <f t="shared" si="316"/>
        <v>47.65549471642705</v>
      </c>
      <c r="V135" s="125">
        <f t="shared" si="316"/>
        <v>48.544965773701747</v>
      </c>
      <c r="W135" s="125">
        <f t="shared" si="316"/>
        <v>49.44621952510947</v>
      </c>
      <c r="X135" s="125">
        <f t="shared" si="316"/>
        <v>50.359363109028457</v>
      </c>
      <c r="Y135" s="125">
        <f t="shared" ref="Y135:AW135" si="317">+SUM(Y126,Y132)</f>
        <v>51.284502545093538</v>
      </c>
      <c r="Z135" s="125">
        <f t="shared" si="317"/>
        <v>52.221742625110359</v>
      </c>
      <c r="AA135" s="125">
        <f t="shared" si="317"/>
        <v>53.17118679937883</v>
      </c>
      <c r="AB135" s="125">
        <f t="shared" si="317"/>
        <v>54.132937058265547</v>
      </c>
      <c r="AC135" s="125">
        <f t="shared" si="317"/>
        <v>55.107093808858366</v>
      </c>
      <c r="AD135" s="125">
        <f t="shared" si="317"/>
        <v>56.093755746532672</v>
      </c>
      <c r="AE135" s="125">
        <f t="shared" si="317"/>
        <v>57.09301972125197</v>
      </c>
      <c r="AF135" s="125">
        <f t="shared" si="317"/>
        <v>58.104980598420475</v>
      </c>
      <c r="AG135" s="125">
        <f t="shared" si="317"/>
        <v>59.12973111409859</v>
      </c>
      <c r="AH135" s="125">
        <f t="shared" si="317"/>
        <v>0</v>
      </c>
      <c r="AI135" s="125">
        <f t="shared" si="317"/>
        <v>0</v>
      </c>
      <c r="AJ135" s="125">
        <f t="shared" si="317"/>
        <v>0</v>
      </c>
      <c r="AK135" s="125">
        <f t="shared" si="317"/>
        <v>0</v>
      </c>
      <c r="AL135" s="125">
        <f t="shared" si="317"/>
        <v>0</v>
      </c>
      <c r="AM135" s="125">
        <f t="shared" si="317"/>
        <v>0</v>
      </c>
      <c r="AN135" s="125">
        <f t="shared" si="317"/>
        <v>0</v>
      </c>
      <c r="AO135" s="125">
        <f t="shared" si="317"/>
        <v>0</v>
      </c>
      <c r="AP135" s="125">
        <f t="shared" si="317"/>
        <v>0</v>
      </c>
      <c r="AQ135" s="125">
        <f t="shared" si="317"/>
        <v>0</v>
      </c>
      <c r="AR135" s="125">
        <f t="shared" si="317"/>
        <v>0</v>
      </c>
      <c r="AS135" s="125">
        <f t="shared" si="317"/>
        <v>0</v>
      </c>
      <c r="AT135" s="125">
        <f t="shared" si="317"/>
        <v>0</v>
      </c>
      <c r="AU135" s="125">
        <f t="shared" si="317"/>
        <v>0</v>
      </c>
      <c r="AV135" s="125">
        <f t="shared" si="317"/>
        <v>0</v>
      </c>
      <c r="AW135" s="125">
        <f t="shared" si="317"/>
        <v>0</v>
      </c>
    </row>
    <row r="136" spans="3:49" ht="14.25" customHeight="1">
      <c r="C136" s="126" t="s">
        <v>488</v>
      </c>
      <c r="D136" s="128">
        <f>IF(D135&gt;0,-D135*'Assumptions &amp; Inputs'!$I$12,0)</f>
        <v>0</v>
      </c>
      <c r="E136" s="128">
        <f>IF(E135&gt;0,-E135*'Assumptions &amp; Inputs'!$I$12,0)</f>
        <v>0</v>
      </c>
      <c r="F136" s="128">
        <f>IF(F135&gt;0,-F135*'Assumptions &amp; Inputs'!$I$12,0)</f>
        <v>0</v>
      </c>
      <c r="G136" s="128">
        <f>IF(G135&gt;0,-G135*'Assumptions &amp; Inputs'!$I$12,0)</f>
        <v>0</v>
      </c>
      <c r="H136" s="128">
        <f>IF(H135&gt;0,-H135*'Assumptions &amp; Inputs'!$I$12,0)</f>
        <v>-8.0448287264663296</v>
      </c>
      <c r="I136" s="128">
        <f>IF(I135&gt;0,-I135*'Assumptions &amp; Inputs'!$I$12,0)</f>
        <v>-9.8438056951917652</v>
      </c>
      <c r="J136" s="128">
        <f>IF(J135&gt;0,-J135*'Assumptions &amp; Inputs'!$I$12,0)</f>
        <v>-10.040550830617875</v>
      </c>
      <c r="K136" s="128">
        <f>IF(K135&gt;0,-K135*'Assumptions &amp; Inputs'!$I$12,0)</f>
        <v>-10.240011368292054</v>
      </c>
      <c r="L136" s="128">
        <f>IF(L135&gt;0,-L135*'Assumptions &amp; Inputs'!$I$12,0)</f>
        <v>-10.442216825277953</v>
      </c>
      <c r="M136" s="128">
        <f>IF(M135&gt;0,-M135*'Assumptions &amp; Inputs'!$I$12,0)</f>
        <v>-10.647196688542534</v>
      </c>
      <c r="N136" s="128">
        <f>IF(N135&gt;0,-N135*'Assumptions &amp; Inputs'!$I$12,0)</f>
        <v>-10.854980398098757</v>
      </c>
      <c r="O136" s="128">
        <f>IF(O135&gt;0,-O135*'Assumptions &amp; Inputs'!$I$12,0)</f>
        <v>-11.06559732936401</v>
      </c>
      <c r="P136" s="128">
        <f>IF(P135&gt;0,-P135*'Assumptions &amp; Inputs'!$I$12,0)</f>
        <v>-11.279076774706059</v>
      </c>
      <c r="Q136" s="128">
        <f>IF(Q135&gt;0,-Q135*'Assumptions &amp; Inputs'!$I$12,0)</f>
        <v>-11.495447924146996</v>
      </c>
      <c r="R136" s="128">
        <f>IF(R135&gt;0,-R135*'Assumptions &amp; Inputs'!$I$12,0)</f>
        <v>-11.714739845195139</v>
      </c>
      <c r="S136" s="128">
        <f>IF(S135&gt;0,-S135*'Assumptions &amp; Inputs'!$I$12,0)</f>
        <v>-11.936981461773362</v>
      </c>
      <c r="T136" s="128">
        <f>IF(T135&gt;0,-T135*'Assumptions &amp; Inputs'!$I$12,0)</f>
        <v>-12.162201532211753</v>
      </c>
      <c r="U136" s="128">
        <f>IF(U135&gt;0,-U135*'Assumptions &amp; Inputs'!$I$12,0)</f>
        <v>-12.390428626271033</v>
      </c>
      <c r="V136" s="128">
        <f>IF(V135&gt;0,-V135*'Assumptions &amp; Inputs'!$I$12,0)</f>
        <v>-12.621691101162455</v>
      </c>
      <c r="W136" s="128">
        <f>IF(W135&gt;0,-W135*'Assumptions &amp; Inputs'!$I$12,0)</f>
        <v>-12.856017076528463</v>
      </c>
      <c r="X136" s="128">
        <f>IF(X135&gt;0,-X135*'Assumptions &amp; Inputs'!$I$12,0)</f>
        <v>-13.093434408347399</v>
      </c>
      <c r="Y136" s="128">
        <f>IF(Y135&gt;0,-Y135*'Assumptions &amp; Inputs'!$I$12,0)</f>
        <v>-13.333970661724321</v>
      </c>
      <c r="Z136" s="128">
        <f>IF(Z135&gt;0,-Z135*'Assumptions &amp; Inputs'!$I$12,0)</f>
        <v>-13.577653082528693</v>
      </c>
      <c r="AA136" s="128">
        <f>IF(AA135&gt;0,-AA135*'Assumptions &amp; Inputs'!$I$12,0)</f>
        <v>-13.824508567838496</v>
      </c>
      <c r="AB136" s="128">
        <f>IF(AB135&gt;0,-AB135*'Assumptions &amp; Inputs'!$I$12,0)</f>
        <v>-14.074563635149042</v>
      </c>
      <c r="AC136" s="128">
        <f>IF(AC135&gt;0,-AC135*'Assumptions &amp; Inputs'!$I$12,0)</f>
        <v>-14.327844390303175</v>
      </c>
      <c r="AD136" s="128">
        <f>IF(AD135&gt;0,-AD135*'Assumptions &amp; Inputs'!$I$12,0)</f>
        <v>-14.584376494098494</v>
      </c>
      <c r="AE136" s="128">
        <f>IF(AE135&gt;0,-AE135*'Assumptions &amp; Inputs'!$I$12,0)</f>
        <v>-14.844185127525513</v>
      </c>
      <c r="AF136" s="128">
        <f>IF(AF135&gt;0,-AF135*'Assumptions &amp; Inputs'!$I$12,0)</f>
        <v>-15.107294955589325</v>
      </c>
      <c r="AG136" s="128">
        <f>IF(AG135&gt;0,-AG135*'Assumptions &amp; Inputs'!$I$12,0)</f>
        <v>-15.373730089665633</v>
      </c>
      <c r="AH136" s="128">
        <f>IF(AH135&gt;0,-AH135*'Assumptions &amp; Inputs'!$I$12,0)</f>
        <v>0</v>
      </c>
      <c r="AI136" s="128">
        <f>IF(AI135&gt;0,-AI135*'Assumptions &amp; Inputs'!$I$12,0)</f>
        <v>0</v>
      </c>
      <c r="AJ136" s="128">
        <f>IF(AJ135&gt;0,-AJ135*'Assumptions &amp; Inputs'!$I$12,0)</f>
        <v>0</v>
      </c>
      <c r="AK136" s="128">
        <f>IF(AK135&gt;0,-AK135*'Assumptions &amp; Inputs'!$I$12,0)</f>
        <v>0</v>
      </c>
      <c r="AL136" s="128">
        <f>IF(AL135&gt;0,-AL135*'Assumptions &amp; Inputs'!$I$12,0)</f>
        <v>0</v>
      </c>
      <c r="AM136" s="128">
        <f>IF(AM135&gt;0,-AM135*'Assumptions &amp; Inputs'!$I$12,0)</f>
        <v>0</v>
      </c>
      <c r="AN136" s="128">
        <f>IF(AN135&gt;0,-AN135*'Assumptions &amp; Inputs'!$I$12,0)</f>
        <v>0</v>
      </c>
      <c r="AO136" s="128">
        <f>IF(AO135&gt;0,-AO135*'Assumptions &amp; Inputs'!$I$12,0)</f>
        <v>0</v>
      </c>
      <c r="AP136" s="128">
        <f>IF(AP135&gt;0,-AP135*'Assumptions &amp; Inputs'!$I$12,0)</f>
        <v>0</v>
      </c>
      <c r="AQ136" s="128">
        <f>IF(AQ135&gt;0,-AQ135*'Assumptions &amp; Inputs'!$I$12,0)</f>
        <v>0</v>
      </c>
      <c r="AR136" s="128">
        <f>IF(AR135&gt;0,-AR135*'Assumptions &amp; Inputs'!$I$12,0)</f>
        <v>0</v>
      </c>
      <c r="AS136" s="128">
        <f>IF(AS135&gt;0,-AS135*'Assumptions &amp; Inputs'!$I$12,0)</f>
        <v>0</v>
      </c>
      <c r="AT136" s="128">
        <f>IF(AT135&gt;0,-AT135*'Assumptions &amp; Inputs'!$I$12,0)</f>
        <v>0</v>
      </c>
      <c r="AU136" s="128">
        <f>IF(AU135&gt;0,-AU135*'Assumptions &amp; Inputs'!$I$12,0)</f>
        <v>0</v>
      </c>
      <c r="AV136" s="128">
        <f>IF(AV135&gt;0,-AV135*'Assumptions &amp; Inputs'!$I$12,0)</f>
        <v>0</v>
      </c>
      <c r="AW136" s="128">
        <f>IF(AW135&gt;0,-AW135*'Assumptions &amp; Inputs'!$I$12,0)</f>
        <v>0</v>
      </c>
    </row>
    <row r="137" spans="3:49" s="149" customFormat="1" ht="14.25" customHeight="1">
      <c r="C137" s="147" t="s">
        <v>519</v>
      </c>
      <c r="D137" s="148">
        <f>IF(AND(D24=0,D136&lt;0,C138&lt;$D$25*'Assumptions &amp; Inputs'!$W$5),MIN(-D136,$D$25*'Assumptions &amp; Inputs'!$W$5,$D$25*'Assumptions &amp; Inputs'!$W$5-C138),0)*'Assumptions &amp; Inputs'!$W$4</f>
        <v>0</v>
      </c>
      <c r="E137" s="148">
        <f>IF(AND(E24=0,E136&lt;0,D138&lt;$D$25*'Assumptions &amp; Inputs'!$W$5),MIN(-E136,$D$25*'Assumptions &amp; Inputs'!$W$5,$D$25*'Assumptions &amp; Inputs'!$W$5-D138),0)*'Assumptions &amp; Inputs'!$W$4</f>
        <v>0</v>
      </c>
      <c r="F137" s="148">
        <f>IF(AND(F24=0,F136&lt;0,E138&lt;$D$25*'Assumptions &amp; Inputs'!$W$5),MIN(-F136,$D$25*'Assumptions &amp; Inputs'!$W$5,$D$25*'Assumptions &amp; Inputs'!$W$5-E138),0)*'Assumptions &amp; Inputs'!$W$4</f>
        <v>0</v>
      </c>
      <c r="G137" s="148">
        <f>IF(AND(G24=0,G136&lt;0,F138&lt;$D$25*'Assumptions &amp; Inputs'!$W$5),MIN(-G136,$D$25*'Assumptions &amp; Inputs'!$W$5,$D$25*'Assumptions &amp; Inputs'!$W$5-F138),0)*'Assumptions &amp; Inputs'!$W$4</f>
        <v>0</v>
      </c>
      <c r="H137" s="148">
        <f>IF(AND(H24=0,H136&lt;0,G138&lt;$D$25*'Assumptions &amp; Inputs'!$W$5),MIN(-H136,$D$25*'Assumptions &amp; Inputs'!$W$5,$D$25*'Assumptions &amp; Inputs'!$W$5-G138),0)*'Assumptions &amp; Inputs'!$W$4</f>
        <v>0</v>
      </c>
      <c r="I137" s="148">
        <f>IF(AND(I24=0,I136&lt;0,H138&lt;$D$25*'Assumptions &amp; Inputs'!$W$5),MIN(-I136,$D$25*'Assumptions &amp; Inputs'!$W$5,$D$25*'Assumptions &amp; Inputs'!$W$5-H138),0)*'Assumptions &amp; Inputs'!$W$4</f>
        <v>0</v>
      </c>
      <c r="J137" s="148">
        <f>IF(AND(J24=0,J136&lt;0,I138&lt;$D$25*'Assumptions &amp; Inputs'!$W$5),MIN(-J136,$D$25*'Assumptions &amp; Inputs'!$W$5,$D$25*'Assumptions &amp; Inputs'!$W$5-I138),0)*'Assumptions &amp; Inputs'!$W$4</f>
        <v>0</v>
      </c>
      <c r="K137" s="148">
        <f>IF(AND(K24=0,K136&lt;0,J138&lt;$D$25*'Assumptions &amp; Inputs'!$W$5),MIN(-K136,$D$25*'Assumptions &amp; Inputs'!$W$5,$D$25*'Assumptions &amp; Inputs'!$W$5-J138),0)*'Assumptions &amp; Inputs'!$W$4</f>
        <v>0</v>
      </c>
      <c r="L137" s="148">
        <f>IF(AND(L24=0,L136&lt;0,K138&lt;$D$25*'Assumptions &amp; Inputs'!$W$5),MIN(-L136,$D$25*'Assumptions &amp; Inputs'!$W$5,$D$25*'Assumptions &amp; Inputs'!$W$5-K138),0)*'Assumptions &amp; Inputs'!$W$4</f>
        <v>0</v>
      </c>
      <c r="M137" s="148">
        <f>IF(AND(M24=0,M136&lt;0,L138&lt;$D$25*'Assumptions &amp; Inputs'!$W$5),MIN(-M136,$D$25*'Assumptions &amp; Inputs'!$W$5,$D$25*'Assumptions &amp; Inputs'!$W$5-L138),0)*'Assumptions &amp; Inputs'!$W$4</f>
        <v>0</v>
      </c>
      <c r="N137" s="148">
        <f>IF(AND(N24=0,N136&lt;0,M138&lt;$D$25*'Assumptions &amp; Inputs'!$W$5),MIN(-N136,$D$25*'Assumptions &amp; Inputs'!$W$5,$D$25*'Assumptions &amp; Inputs'!$W$5-M138),0)*'Assumptions &amp; Inputs'!$W$4</f>
        <v>0</v>
      </c>
      <c r="O137" s="148">
        <f>IF(AND(O24=0,O136&lt;0,N138&lt;$D$25*'Assumptions &amp; Inputs'!$W$5),MIN(-O136,$D$25*'Assumptions &amp; Inputs'!$W$5,$D$25*'Assumptions &amp; Inputs'!$W$5-N138),0)*'Assumptions &amp; Inputs'!$W$4</f>
        <v>0</v>
      </c>
      <c r="P137" s="148">
        <f>IF(AND(P24=0,P136&lt;0,O138&lt;$D$25*'Assumptions &amp; Inputs'!$W$5),MIN(-P136,$D$25*'Assumptions &amp; Inputs'!$W$5,$D$25*'Assumptions &amp; Inputs'!$W$5-O138),0)*'Assumptions &amp; Inputs'!$W$4</f>
        <v>0</v>
      </c>
      <c r="Q137" s="148">
        <f>IF(AND(Q24=0,Q136&lt;0,P138&lt;$D$25*'Assumptions &amp; Inputs'!$W$5),MIN(-Q136,$D$25*'Assumptions &amp; Inputs'!$W$5,$D$25*'Assumptions &amp; Inputs'!$W$5-P138),0)*'Assumptions &amp; Inputs'!$W$4</f>
        <v>0</v>
      </c>
      <c r="R137" s="148">
        <f>IF(AND(R24=0,R136&lt;0,Q138&lt;$D$25*'Assumptions &amp; Inputs'!$W$5),MIN(-R136,$D$25*'Assumptions &amp; Inputs'!$W$5,$D$25*'Assumptions &amp; Inputs'!$W$5-Q138),0)*'Assumptions &amp; Inputs'!$W$4</f>
        <v>0</v>
      </c>
      <c r="S137" s="148">
        <f>IF(AND(S24=0,S136&lt;0,R138&lt;$D$25*'Assumptions &amp; Inputs'!$W$5),MIN(-S136,$D$25*'Assumptions &amp; Inputs'!$W$5,$D$25*'Assumptions &amp; Inputs'!$W$5-R138),0)*'Assumptions &amp; Inputs'!$W$4</f>
        <v>0</v>
      </c>
      <c r="T137" s="148">
        <f>IF(AND(T24=0,T136&lt;0,S138&lt;$D$25*'Assumptions &amp; Inputs'!$W$5),MIN(-T136,$D$25*'Assumptions &amp; Inputs'!$W$5,$D$25*'Assumptions &amp; Inputs'!$W$5-S138),0)*'Assumptions &amp; Inputs'!$W$4</f>
        <v>0</v>
      </c>
      <c r="U137" s="148">
        <f>IF(AND(U24=0,U136&lt;0,T138&lt;$D$25*'Assumptions &amp; Inputs'!$W$5),MIN(-U136,$D$25*'Assumptions &amp; Inputs'!$W$5,$D$25*'Assumptions &amp; Inputs'!$W$5-T138),0)*'Assumptions &amp; Inputs'!$W$4</f>
        <v>0</v>
      </c>
      <c r="V137" s="148">
        <f>IF(AND(V24=0,V136&lt;0,U138&lt;$D$25*'Assumptions &amp; Inputs'!$W$5),MIN(-V136,$D$25*'Assumptions &amp; Inputs'!$W$5,$D$25*'Assumptions &amp; Inputs'!$W$5-U138),0)*'Assumptions &amp; Inputs'!$W$4</f>
        <v>0</v>
      </c>
      <c r="W137" s="148">
        <f>IF(AND(W24=0,W136&lt;0,V138&lt;$D$25*'Assumptions &amp; Inputs'!$W$5),MIN(-W136,$D$25*'Assumptions &amp; Inputs'!$W$5,$D$25*'Assumptions &amp; Inputs'!$W$5-V138),0)*'Assumptions &amp; Inputs'!$W$4</f>
        <v>0</v>
      </c>
      <c r="X137" s="148">
        <f>IF(AND(X24=0,X136&lt;0,W138&lt;$D$25*'Assumptions &amp; Inputs'!$W$5),MIN(-X136,$D$25*'Assumptions &amp; Inputs'!$W$5,$D$25*'Assumptions &amp; Inputs'!$W$5-W138),0)*'Assumptions &amp; Inputs'!$W$4</f>
        <v>0</v>
      </c>
      <c r="Y137" s="148">
        <f>IF(AND(Y24=0,Y136&lt;0,X138&lt;$D$25*'Assumptions &amp; Inputs'!$W$5),MIN(-Y136,$D$25*'Assumptions &amp; Inputs'!$W$5,$D$25*'Assumptions &amp; Inputs'!$W$5-X138),0)*'Assumptions &amp; Inputs'!$W$4</f>
        <v>0</v>
      </c>
      <c r="Z137" s="148">
        <f>IF(AND(Z24=0,Z136&lt;0,Y138&lt;$D$25*'Assumptions &amp; Inputs'!$W$5),MIN(-Z136,$D$25*'Assumptions &amp; Inputs'!$W$5,$D$25*'Assumptions &amp; Inputs'!$W$5-Y138),0)*'Assumptions &amp; Inputs'!$W$4</f>
        <v>0</v>
      </c>
      <c r="AA137" s="148">
        <f>IF(AND(AA24=0,AA136&lt;0,Z138&lt;$D$25*'Assumptions &amp; Inputs'!$W$5),MIN(-AA136,$D$25*'Assumptions &amp; Inputs'!$W$5,$D$25*'Assumptions &amp; Inputs'!$W$5-Z138),0)*'Assumptions &amp; Inputs'!$W$4</f>
        <v>0</v>
      </c>
      <c r="AB137" s="148">
        <f>IF(AND(AB24=0,AB136&lt;0,AA138&lt;$D$25*'Assumptions &amp; Inputs'!$W$5),MIN(-AB136,$D$25*'Assumptions &amp; Inputs'!$W$5,$D$25*'Assumptions &amp; Inputs'!$W$5-AA138),0)*'Assumptions &amp; Inputs'!$W$4</f>
        <v>0</v>
      </c>
      <c r="AC137" s="148">
        <f>IF(AND(AC24=0,AC136&lt;0,AB138&lt;$D$25*'Assumptions &amp; Inputs'!$W$5),MIN(-AC136,$D$25*'Assumptions &amp; Inputs'!$W$5,$D$25*'Assumptions &amp; Inputs'!$W$5-AB138),0)*'Assumptions &amp; Inputs'!$W$4</f>
        <v>0</v>
      </c>
      <c r="AD137" s="148">
        <f>IF(AND(AD24=0,AD136&lt;0,AC138&lt;$D$25*'Assumptions &amp; Inputs'!$W$5),MIN(-AD136,$D$25*'Assumptions &amp; Inputs'!$W$5,$D$25*'Assumptions &amp; Inputs'!$W$5-AC138),0)*'Assumptions &amp; Inputs'!$W$4</f>
        <v>0</v>
      </c>
      <c r="AE137" s="148">
        <f>IF(AND(AE24=0,AE136&lt;0,AD138&lt;$D$25*'Assumptions &amp; Inputs'!$W$5),MIN(-AE136,$D$25*'Assumptions &amp; Inputs'!$W$5,$D$25*'Assumptions &amp; Inputs'!$W$5-AD138),0)*'Assumptions &amp; Inputs'!$W$4</f>
        <v>0</v>
      </c>
      <c r="AF137" s="148">
        <f>IF(AND(AF24=0,AF136&lt;0,AE138&lt;$D$25*'Assumptions &amp; Inputs'!$W$5),MIN(-AF136,$D$25*'Assumptions &amp; Inputs'!$W$5,$D$25*'Assumptions &amp; Inputs'!$W$5-AE138),0)*'Assumptions &amp; Inputs'!$W$4</f>
        <v>0</v>
      </c>
      <c r="AG137" s="148">
        <f>IF(AND(AG24=0,AG136&lt;0,AF138&lt;$D$25*'Assumptions &amp; Inputs'!$W$5),MIN(-AG136,$D$25*'Assumptions &amp; Inputs'!$W$5,$D$25*'Assumptions &amp; Inputs'!$W$5-AF138),0)*'Assumptions &amp; Inputs'!$W$4</f>
        <v>0</v>
      </c>
      <c r="AH137" s="148">
        <f>IF(AND(AH24=0,AH136&lt;0,AG138&lt;$D$25*'Assumptions &amp; Inputs'!$W$5),MIN(-AH136,$D$25*'Assumptions &amp; Inputs'!$W$5,$D$25*'Assumptions &amp; Inputs'!$W$5-AG138),0)*'Assumptions &amp; Inputs'!$W$4</f>
        <v>0</v>
      </c>
      <c r="AI137" s="148">
        <f>IF(AND(AI24=0,AI136&lt;0,AH138&lt;$D$25*'Assumptions &amp; Inputs'!$W$5),MIN(-AI136,$D$25*'Assumptions &amp; Inputs'!$W$5,$D$25*'Assumptions &amp; Inputs'!$W$5-AH138),0)*'Assumptions &amp; Inputs'!$W$4</f>
        <v>0</v>
      </c>
      <c r="AJ137" s="148">
        <f>IF(AND(AJ24=0,AJ136&lt;0,AI138&lt;$D$25*'Assumptions &amp; Inputs'!$W$5),MIN(-AJ136,$D$25*'Assumptions &amp; Inputs'!$W$5,$D$25*'Assumptions &amp; Inputs'!$W$5-AI138),0)*'Assumptions &amp; Inputs'!$W$4</f>
        <v>0</v>
      </c>
      <c r="AK137" s="148">
        <f>IF(AND(AK24=0,AK136&lt;0,AJ138&lt;$D$25*'Assumptions &amp; Inputs'!$W$5),MIN(-AK136,$D$25*'Assumptions &amp; Inputs'!$W$5,$D$25*'Assumptions &amp; Inputs'!$W$5-AJ138),0)*'Assumptions &amp; Inputs'!$W$4</f>
        <v>0</v>
      </c>
      <c r="AL137" s="148">
        <f>IF(AND(AL24=0,AL136&lt;0,AK138&lt;$D$25*'Assumptions &amp; Inputs'!$W$5),MIN(-AL136,$D$25*'Assumptions &amp; Inputs'!$W$5,$D$25*'Assumptions &amp; Inputs'!$W$5-AK138),0)*'Assumptions &amp; Inputs'!$W$4</f>
        <v>0</v>
      </c>
      <c r="AM137" s="148">
        <f>IF(AND(AM24=0,AM136&lt;0,AL138&lt;$D$25*'Assumptions &amp; Inputs'!$W$5),MIN(-AM136,$D$25*'Assumptions &amp; Inputs'!$W$5,$D$25*'Assumptions &amp; Inputs'!$W$5-AL138),0)*'Assumptions &amp; Inputs'!$W$4</f>
        <v>0</v>
      </c>
      <c r="AN137" s="148">
        <f>IF(AND(AN24=0,AN136&lt;0,AM138&lt;$D$25*'Assumptions &amp; Inputs'!$W$5),MIN(-AN136,$D$25*'Assumptions &amp; Inputs'!$W$5,$D$25*'Assumptions &amp; Inputs'!$W$5-AM138),0)*'Assumptions &amp; Inputs'!$W$4</f>
        <v>0</v>
      </c>
      <c r="AO137" s="148">
        <f>IF(AND(AO24=0,AO136&lt;0,AN138&lt;$D$25*'Assumptions &amp; Inputs'!$W$5),MIN(-AO136,$D$25*'Assumptions &amp; Inputs'!$W$5,$D$25*'Assumptions &amp; Inputs'!$W$5-AN138),0)*'Assumptions &amp; Inputs'!$W$4</f>
        <v>0</v>
      </c>
      <c r="AP137" s="148">
        <f>IF(AND(AP24=0,AP136&lt;0,AO138&lt;$D$25*'Assumptions &amp; Inputs'!$W$5),MIN(-AP136,$D$25*'Assumptions &amp; Inputs'!$W$5,$D$25*'Assumptions &amp; Inputs'!$W$5-AO138),0)*'Assumptions &amp; Inputs'!$W$4</f>
        <v>0</v>
      </c>
      <c r="AQ137" s="148">
        <f>IF(AND(AQ24=0,AQ136&lt;0,AP138&lt;$D$25*'Assumptions &amp; Inputs'!$W$5),MIN(-AQ136,$D$25*'Assumptions &amp; Inputs'!$W$5,$D$25*'Assumptions &amp; Inputs'!$W$5-AP138),0)*'Assumptions &amp; Inputs'!$W$4</f>
        <v>0</v>
      </c>
      <c r="AR137" s="148">
        <f>IF(AND(AR24=0,AR136&lt;0,AQ138&lt;$D$25*'Assumptions &amp; Inputs'!$W$5),MIN(-AR136,$D$25*'Assumptions &amp; Inputs'!$W$5,$D$25*'Assumptions &amp; Inputs'!$W$5-AQ138),0)*'Assumptions &amp; Inputs'!$W$4</f>
        <v>0</v>
      </c>
      <c r="AS137" s="148">
        <f>IF(AND(AS24=0,AS136&lt;0,AR138&lt;$D$25*'Assumptions &amp; Inputs'!$W$5),MIN(-AS136,$D$25*'Assumptions &amp; Inputs'!$W$5,$D$25*'Assumptions &amp; Inputs'!$W$5-AR138),0)*'Assumptions &amp; Inputs'!$W$4</f>
        <v>0</v>
      </c>
      <c r="AT137" s="148">
        <f>IF(AND(AT24=0,AT136&lt;0,AS138&lt;$D$25*'Assumptions &amp; Inputs'!$W$5),MIN(-AT136,$D$25*'Assumptions &amp; Inputs'!$W$5,$D$25*'Assumptions &amp; Inputs'!$W$5-AS138),0)*'Assumptions &amp; Inputs'!$W$4</f>
        <v>0</v>
      </c>
      <c r="AU137" s="148">
        <f>IF(AND(AU24=0,AU136&lt;0,AT138&lt;$D$25*'Assumptions &amp; Inputs'!$W$5),MIN(-AU136,$D$25*'Assumptions &amp; Inputs'!$W$5,$D$25*'Assumptions &amp; Inputs'!$W$5-AT138),0)*'Assumptions &amp; Inputs'!$W$4</f>
        <v>0</v>
      </c>
      <c r="AV137" s="148">
        <f>IF(AND(AV24=0,AV136&lt;0,AU138&lt;$D$25*'Assumptions &amp; Inputs'!$W$5),MIN(-AV136,$D$25*'Assumptions &amp; Inputs'!$W$5,$D$25*'Assumptions &amp; Inputs'!$W$5-AU138),0)*'Assumptions &amp; Inputs'!$W$4</f>
        <v>0</v>
      </c>
      <c r="AW137" s="148">
        <f>IF(AND(AW24=0,AW136&lt;0,AV138&lt;$D$25*'Assumptions &amp; Inputs'!$W$5),MIN(-AW136,$D$25*'Assumptions &amp; Inputs'!$W$5,$D$25*'Assumptions &amp; Inputs'!$W$5-AV138),0)*'Assumptions &amp; Inputs'!$W$4</f>
        <v>0</v>
      </c>
    </row>
    <row r="138" spans="3:49" s="149" customFormat="1" ht="14.25" customHeight="1">
      <c r="C138" s="147" t="s">
        <v>520</v>
      </c>
      <c r="D138" s="148">
        <f>SUM($D137:D$137)</f>
        <v>0</v>
      </c>
      <c r="E138" s="148">
        <f>SUM($D137:E$137)</f>
        <v>0</v>
      </c>
      <c r="F138" s="148">
        <f>SUM($D137:F$137)</f>
        <v>0</v>
      </c>
      <c r="G138" s="148">
        <f>SUM($D137:G$137)</f>
        <v>0</v>
      </c>
      <c r="H138" s="148">
        <f>SUM($D137:H$137)</f>
        <v>0</v>
      </c>
      <c r="I138" s="148">
        <f>SUM($D137:I$137)</f>
        <v>0</v>
      </c>
      <c r="J138" s="148">
        <f>SUM($D137:J$137)</f>
        <v>0</v>
      </c>
      <c r="K138" s="148">
        <f>SUM($D137:K$137)</f>
        <v>0</v>
      </c>
      <c r="L138" s="148">
        <f>SUM($D137:L$137)</f>
        <v>0</v>
      </c>
      <c r="M138" s="148">
        <f>SUM($D137:M$137)</f>
        <v>0</v>
      </c>
      <c r="N138" s="148">
        <f>SUM($D137:N$137)</f>
        <v>0</v>
      </c>
      <c r="O138" s="148">
        <f>SUM($D137:O$137)</f>
        <v>0</v>
      </c>
      <c r="P138" s="148">
        <f>SUM($D137:P$137)</f>
        <v>0</v>
      </c>
      <c r="Q138" s="148">
        <f>SUM($D137:Q$137)</f>
        <v>0</v>
      </c>
      <c r="R138" s="148">
        <f>SUM($D137:R$137)</f>
        <v>0</v>
      </c>
      <c r="S138" s="148">
        <f>SUM($D137:S$137)</f>
        <v>0</v>
      </c>
      <c r="T138" s="148">
        <f>SUM($D137:T$137)</f>
        <v>0</v>
      </c>
      <c r="U138" s="148">
        <f>SUM($D137:U$137)</f>
        <v>0</v>
      </c>
      <c r="V138" s="148">
        <f>SUM($D137:V$137)</f>
        <v>0</v>
      </c>
      <c r="W138" s="148">
        <f>SUM($D137:W$137)</f>
        <v>0</v>
      </c>
      <c r="X138" s="148">
        <f>SUM($D137:X$137)</f>
        <v>0</v>
      </c>
      <c r="Y138" s="148">
        <f>SUM($D137:Y$137)</f>
        <v>0</v>
      </c>
      <c r="Z138" s="148">
        <f>SUM($D137:Z$137)</f>
        <v>0</v>
      </c>
      <c r="AA138" s="148">
        <f>SUM($D137:AA$137)</f>
        <v>0</v>
      </c>
      <c r="AB138" s="148">
        <f>SUM($D137:AB$137)</f>
        <v>0</v>
      </c>
      <c r="AC138" s="148">
        <f>SUM($D137:AC$137)</f>
        <v>0</v>
      </c>
      <c r="AD138" s="148">
        <f>SUM($D137:AD$137)</f>
        <v>0</v>
      </c>
      <c r="AE138" s="148">
        <f>SUM($D137:AE$137)</f>
        <v>0</v>
      </c>
      <c r="AF138" s="148">
        <f>SUM($D137:AF$137)</f>
        <v>0</v>
      </c>
      <c r="AG138" s="148">
        <f>SUM($D137:AG$137)</f>
        <v>0</v>
      </c>
      <c r="AH138" s="148">
        <f>SUM($D137:AH$137)</f>
        <v>0</v>
      </c>
      <c r="AI138" s="148">
        <f>SUM($D137:AI$137)</f>
        <v>0</v>
      </c>
      <c r="AJ138" s="148">
        <f>SUM($D137:AJ$137)</f>
        <v>0</v>
      </c>
      <c r="AK138" s="148">
        <f>SUM($D137:AK$137)</f>
        <v>0</v>
      </c>
      <c r="AL138" s="148">
        <f>SUM($D137:AL$137)</f>
        <v>0</v>
      </c>
      <c r="AM138" s="148">
        <f>SUM($D137:AM$137)</f>
        <v>0</v>
      </c>
      <c r="AN138" s="148">
        <f>SUM($D137:AN$137)</f>
        <v>0</v>
      </c>
      <c r="AO138" s="148">
        <f>SUM($D137:AO$137)</f>
        <v>0</v>
      </c>
      <c r="AP138" s="148">
        <f>SUM($D137:AP$137)</f>
        <v>0</v>
      </c>
      <c r="AQ138" s="148">
        <f>SUM($D137:AQ$137)</f>
        <v>0</v>
      </c>
      <c r="AR138" s="148">
        <f>SUM($D137:AR$137)</f>
        <v>0</v>
      </c>
      <c r="AS138" s="148">
        <f>SUM($D137:AS$137)</f>
        <v>0</v>
      </c>
      <c r="AT138" s="148">
        <f>SUM($D137:AT$137)</f>
        <v>0</v>
      </c>
      <c r="AU138" s="148">
        <f>SUM($D137:AU$137)</f>
        <v>0</v>
      </c>
      <c r="AV138" s="148">
        <f>SUM($D137:AV$137)</f>
        <v>0</v>
      </c>
      <c r="AW138" s="148">
        <f>SUM($D137:AW$137)</f>
        <v>0</v>
      </c>
    </row>
    <row r="139" spans="3:49" ht="14.25" customHeight="1">
      <c r="C139" s="44"/>
      <c r="D139" s="44"/>
      <c r="E139" s="55"/>
      <c r="F139" s="55"/>
      <c r="G139" s="55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</row>
    <row r="140" spans="3:49" ht="14.25" customHeight="1">
      <c r="C140" s="7" t="s">
        <v>489</v>
      </c>
      <c r="D140" s="72">
        <f>SUM(D135,D136,D137)</f>
        <v>0</v>
      </c>
      <c r="E140" s="72">
        <f t="shared" ref="E140:X140" si="318">SUM(E135,E136,E137)</f>
        <v>0</v>
      </c>
      <c r="F140" s="72">
        <f t="shared" si="318"/>
        <v>0</v>
      </c>
      <c r="G140" s="72">
        <f t="shared" si="318"/>
        <v>0</v>
      </c>
      <c r="H140" s="72">
        <f t="shared" si="318"/>
        <v>22.896820221481086</v>
      </c>
      <c r="I140" s="72">
        <f t="shared" si="318"/>
        <v>28.016985440161175</v>
      </c>
      <c r="J140" s="72">
        <f t="shared" si="318"/>
        <v>28.576952364066258</v>
      </c>
      <c r="K140" s="72">
        <f t="shared" si="318"/>
        <v>29.144647740523538</v>
      </c>
      <c r="L140" s="72">
        <f t="shared" si="318"/>
        <v>29.72015557963725</v>
      </c>
      <c r="M140" s="72">
        <f t="shared" si="318"/>
        <v>30.303559805851826</v>
      </c>
      <c r="N140" s="72">
        <f t="shared" si="318"/>
        <v>30.894944209973385</v>
      </c>
      <c r="O140" s="72">
        <f t="shared" si="318"/>
        <v>31.494392398959107</v>
      </c>
      <c r="P140" s="72">
        <f t="shared" si="318"/>
        <v>32.101987743394162</v>
      </c>
      <c r="Q140" s="72">
        <f t="shared" si="318"/>
        <v>32.717813322572219</v>
      </c>
      <c r="R140" s="72">
        <f t="shared" si="318"/>
        <v>33.341951867093854</v>
      </c>
      <c r="S140" s="72">
        <f t="shared" si="318"/>
        <v>33.97448569889341</v>
      </c>
      <c r="T140" s="72">
        <f t="shared" si="318"/>
        <v>34.615496668602681</v>
      </c>
      <c r="U140" s="72">
        <f t="shared" si="318"/>
        <v>35.265066090156019</v>
      </c>
      <c r="V140" s="72">
        <f t="shared" si="318"/>
        <v>35.923274672539293</v>
      </c>
      <c r="W140" s="72">
        <f t="shared" si="318"/>
        <v>36.59020244858101</v>
      </c>
      <c r="X140" s="72">
        <f t="shared" si="318"/>
        <v>37.265928700681059</v>
      </c>
      <c r="Y140" s="72">
        <f t="shared" ref="Y140:AW140" si="319">SUM(Y135,Y136,Y137)</f>
        <v>37.950531883369216</v>
      </c>
      <c r="Z140" s="72">
        <f t="shared" si="319"/>
        <v>38.644089542581668</v>
      </c>
      <c r="AA140" s="72">
        <f t="shared" si="319"/>
        <v>39.346678231540338</v>
      </c>
      <c r="AB140" s="72">
        <f t="shared" si="319"/>
        <v>40.058373423116507</v>
      </c>
      <c r="AC140" s="72">
        <f t="shared" si="319"/>
        <v>40.779249418555189</v>
      </c>
      <c r="AD140" s="72">
        <f t="shared" si="319"/>
        <v>41.509379252434179</v>
      </c>
      <c r="AE140" s="72">
        <f t="shared" si="319"/>
        <v>42.248834593726457</v>
      </c>
      <c r="AF140" s="72">
        <f t="shared" si="319"/>
        <v>42.997685642831151</v>
      </c>
      <c r="AG140" s="72">
        <f t="shared" si="319"/>
        <v>43.756001024432955</v>
      </c>
      <c r="AH140" s="72">
        <f t="shared" si="319"/>
        <v>0</v>
      </c>
      <c r="AI140" s="72">
        <f t="shared" si="319"/>
        <v>0</v>
      </c>
      <c r="AJ140" s="72">
        <f t="shared" si="319"/>
        <v>0</v>
      </c>
      <c r="AK140" s="72">
        <f t="shared" si="319"/>
        <v>0</v>
      </c>
      <c r="AL140" s="72">
        <f t="shared" si="319"/>
        <v>0</v>
      </c>
      <c r="AM140" s="72">
        <f t="shared" si="319"/>
        <v>0</v>
      </c>
      <c r="AN140" s="72">
        <f t="shared" si="319"/>
        <v>0</v>
      </c>
      <c r="AO140" s="72">
        <f t="shared" si="319"/>
        <v>0</v>
      </c>
      <c r="AP140" s="72">
        <f t="shared" si="319"/>
        <v>0</v>
      </c>
      <c r="AQ140" s="72">
        <f t="shared" si="319"/>
        <v>0</v>
      </c>
      <c r="AR140" s="72">
        <f t="shared" si="319"/>
        <v>0</v>
      </c>
      <c r="AS140" s="72">
        <f t="shared" si="319"/>
        <v>0</v>
      </c>
      <c r="AT140" s="72">
        <f t="shared" si="319"/>
        <v>0</v>
      </c>
      <c r="AU140" s="72">
        <f t="shared" si="319"/>
        <v>0</v>
      </c>
      <c r="AV140" s="72">
        <f t="shared" si="319"/>
        <v>0</v>
      </c>
      <c r="AW140" s="72">
        <f t="shared" si="319"/>
        <v>0</v>
      </c>
    </row>
    <row r="141" spans="3:49" ht="14.25" customHeight="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3:49" ht="14.25" customHeight="1">
      <c r="C142" s="2" t="s">
        <v>490</v>
      </c>
      <c r="D142" s="61">
        <f>D$24</f>
        <v>-82.5</v>
      </c>
      <c r="E142" s="61">
        <f t="shared" ref="E142:AW142" si="320">E$24</f>
        <v>-90</v>
      </c>
      <c r="F142" s="61">
        <f t="shared" si="320"/>
        <v>-90</v>
      </c>
      <c r="G142" s="61">
        <f t="shared" si="320"/>
        <v>-90</v>
      </c>
      <c r="H142" s="61">
        <f t="shared" si="320"/>
        <v>-7.5</v>
      </c>
      <c r="I142" s="61">
        <f t="shared" si="320"/>
        <v>0</v>
      </c>
      <c r="J142" s="61">
        <f t="shared" si="320"/>
        <v>0</v>
      </c>
      <c r="K142" s="61">
        <f t="shared" si="320"/>
        <v>0</v>
      </c>
      <c r="L142" s="61">
        <f t="shared" si="320"/>
        <v>0</v>
      </c>
      <c r="M142" s="61">
        <f t="shared" si="320"/>
        <v>0</v>
      </c>
      <c r="N142" s="61">
        <f t="shared" si="320"/>
        <v>0</v>
      </c>
      <c r="O142" s="61">
        <f t="shared" si="320"/>
        <v>0</v>
      </c>
      <c r="P142" s="61">
        <f t="shared" si="320"/>
        <v>0</v>
      </c>
      <c r="Q142" s="61">
        <f t="shared" si="320"/>
        <v>0</v>
      </c>
      <c r="R142" s="61">
        <f t="shared" si="320"/>
        <v>0</v>
      </c>
      <c r="S142" s="61">
        <f t="shared" si="320"/>
        <v>0</v>
      </c>
      <c r="T142" s="61">
        <f t="shared" si="320"/>
        <v>0</v>
      </c>
      <c r="U142" s="61">
        <f t="shared" si="320"/>
        <v>0</v>
      </c>
      <c r="V142" s="61">
        <f t="shared" si="320"/>
        <v>0</v>
      </c>
      <c r="W142" s="61">
        <f t="shared" si="320"/>
        <v>0</v>
      </c>
      <c r="X142" s="61">
        <f t="shared" si="320"/>
        <v>0</v>
      </c>
      <c r="Y142" s="61">
        <f t="shared" si="320"/>
        <v>0</v>
      </c>
      <c r="Z142" s="61">
        <f t="shared" si="320"/>
        <v>0</v>
      </c>
      <c r="AA142" s="61">
        <f t="shared" si="320"/>
        <v>0</v>
      </c>
      <c r="AB142" s="61">
        <f t="shared" si="320"/>
        <v>0</v>
      </c>
      <c r="AC142" s="61">
        <f t="shared" si="320"/>
        <v>0</v>
      </c>
      <c r="AD142" s="61">
        <f t="shared" si="320"/>
        <v>0</v>
      </c>
      <c r="AE142" s="61">
        <f t="shared" si="320"/>
        <v>0</v>
      </c>
      <c r="AF142" s="61">
        <f t="shared" si="320"/>
        <v>0</v>
      </c>
      <c r="AG142" s="61">
        <f t="shared" si="320"/>
        <v>0</v>
      </c>
      <c r="AH142" s="61">
        <f t="shared" si="320"/>
        <v>0</v>
      </c>
      <c r="AI142" s="61">
        <f t="shared" si="320"/>
        <v>0</v>
      </c>
      <c r="AJ142" s="61">
        <f t="shared" si="320"/>
        <v>0</v>
      </c>
      <c r="AK142" s="61">
        <f t="shared" si="320"/>
        <v>0</v>
      </c>
      <c r="AL142" s="61">
        <f t="shared" si="320"/>
        <v>0</v>
      </c>
      <c r="AM142" s="61">
        <f t="shared" si="320"/>
        <v>0</v>
      </c>
      <c r="AN142" s="61">
        <f t="shared" si="320"/>
        <v>0</v>
      </c>
      <c r="AO142" s="61">
        <f t="shared" si="320"/>
        <v>0</v>
      </c>
      <c r="AP142" s="61">
        <f t="shared" si="320"/>
        <v>0</v>
      </c>
      <c r="AQ142" s="61">
        <f t="shared" si="320"/>
        <v>0</v>
      </c>
      <c r="AR142" s="61">
        <f t="shared" si="320"/>
        <v>0</v>
      </c>
      <c r="AS142" s="61">
        <f t="shared" si="320"/>
        <v>0</v>
      </c>
      <c r="AT142" s="61">
        <f t="shared" si="320"/>
        <v>0</v>
      </c>
      <c r="AU142" s="61">
        <f t="shared" si="320"/>
        <v>0</v>
      </c>
      <c r="AV142" s="61">
        <f t="shared" si="320"/>
        <v>0</v>
      </c>
      <c r="AW142" s="61">
        <f t="shared" si="320"/>
        <v>0</v>
      </c>
    </row>
    <row r="143" spans="3:49" ht="14.25" customHeight="1">
      <c r="C143" s="4" t="s">
        <v>506</v>
      </c>
      <c r="D143" s="503">
        <f>0</f>
        <v>0</v>
      </c>
      <c r="E143" s="503">
        <f>D142+D143-D144</f>
        <v>-82.5</v>
      </c>
      <c r="F143" s="503">
        <f t="shared" ref="F143:AW143" si="321">E142+E143-E144</f>
        <v>-172.5</v>
      </c>
      <c r="G143" s="503">
        <f t="shared" si="321"/>
        <v>-262.5</v>
      </c>
      <c r="H143" s="503">
        <f t="shared" si="321"/>
        <v>-352.5</v>
      </c>
      <c r="I143" s="503">
        <f t="shared" si="321"/>
        <v>-360</v>
      </c>
      <c r="J143" s="503">
        <f t="shared" si="321"/>
        <v>-360</v>
      </c>
      <c r="K143" s="503">
        <f t="shared" si="321"/>
        <v>-360</v>
      </c>
      <c r="L143" s="503">
        <f t="shared" si="321"/>
        <v>-360</v>
      </c>
      <c r="M143" s="503">
        <f t="shared" si="321"/>
        <v>-360</v>
      </c>
      <c r="N143" s="503">
        <f t="shared" si="321"/>
        <v>-360</v>
      </c>
      <c r="O143" s="503">
        <f t="shared" si="321"/>
        <v>-360</v>
      </c>
      <c r="P143" s="503">
        <f t="shared" si="321"/>
        <v>-360</v>
      </c>
      <c r="Q143" s="503">
        <f t="shared" si="321"/>
        <v>-360</v>
      </c>
      <c r="R143" s="503">
        <f t="shared" si="321"/>
        <v>-360</v>
      </c>
      <c r="S143" s="503">
        <f t="shared" si="321"/>
        <v>-360</v>
      </c>
      <c r="T143" s="503">
        <f t="shared" si="321"/>
        <v>-360</v>
      </c>
      <c r="U143" s="503">
        <f t="shared" si="321"/>
        <v>-360</v>
      </c>
      <c r="V143" s="503">
        <f>U142+U143-U144</f>
        <v>-360</v>
      </c>
      <c r="W143" s="503">
        <f t="shared" si="321"/>
        <v>-360</v>
      </c>
      <c r="X143" s="503">
        <f t="shared" si="321"/>
        <v>-360</v>
      </c>
      <c r="Y143" s="503">
        <f t="shared" si="321"/>
        <v>-360</v>
      </c>
      <c r="Z143" s="503">
        <f t="shared" si="321"/>
        <v>-360</v>
      </c>
      <c r="AA143" s="503">
        <f t="shared" si="321"/>
        <v>-360</v>
      </c>
      <c r="AB143" s="503">
        <f t="shared" si="321"/>
        <v>-360</v>
      </c>
      <c r="AC143" s="503">
        <f t="shared" si="321"/>
        <v>-360</v>
      </c>
      <c r="AD143" s="503">
        <f t="shared" si="321"/>
        <v>-360</v>
      </c>
      <c r="AE143" s="503">
        <f t="shared" si="321"/>
        <v>-360</v>
      </c>
      <c r="AF143" s="503">
        <f t="shared" si="321"/>
        <v>-360</v>
      </c>
      <c r="AG143" s="503">
        <f t="shared" si="321"/>
        <v>-360</v>
      </c>
      <c r="AH143" s="503">
        <f t="shared" si="321"/>
        <v>0</v>
      </c>
      <c r="AI143" s="503">
        <f t="shared" si="321"/>
        <v>0</v>
      </c>
      <c r="AJ143" s="503">
        <f t="shared" si="321"/>
        <v>0</v>
      </c>
      <c r="AK143" s="503">
        <f t="shared" si="321"/>
        <v>0</v>
      </c>
      <c r="AL143" s="503">
        <f t="shared" si="321"/>
        <v>0</v>
      </c>
      <c r="AM143" s="503">
        <f t="shared" si="321"/>
        <v>0</v>
      </c>
      <c r="AN143" s="503">
        <f t="shared" si="321"/>
        <v>0</v>
      </c>
      <c r="AO143" s="503">
        <f t="shared" si="321"/>
        <v>0</v>
      </c>
      <c r="AP143" s="503">
        <f t="shared" si="321"/>
        <v>0</v>
      </c>
      <c r="AQ143" s="503">
        <f t="shared" si="321"/>
        <v>0</v>
      </c>
      <c r="AR143" s="503">
        <f t="shared" si="321"/>
        <v>0</v>
      </c>
      <c r="AS143" s="503">
        <f t="shared" si="321"/>
        <v>0</v>
      </c>
      <c r="AT143" s="503">
        <f t="shared" si="321"/>
        <v>0</v>
      </c>
      <c r="AU143" s="503">
        <f t="shared" si="321"/>
        <v>0</v>
      </c>
      <c r="AV143" s="503">
        <f t="shared" si="321"/>
        <v>0</v>
      </c>
      <c r="AW143" s="503">
        <f t="shared" si="321"/>
        <v>0</v>
      </c>
    </row>
    <row r="144" spans="3:49" ht="14.25" customHeight="1">
      <c r="C144" s="4" t="s">
        <v>507</v>
      </c>
      <c r="D144" s="503">
        <f>IF(D44=0, 0, D143)</f>
        <v>0</v>
      </c>
      <c r="E144" s="503">
        <f>IF(E$42=0, 0, E143)</f>
        <v>0</v>
      </c>
      <c r="F144" s="503">
        <f t="shared" ref="F144:AW144" si="322">IF(F$42=0, 0, F143)</f>
        <v>0</v>
      </c>
      <c r="G144" s="503">
        <f t="shared" si="322"/>
        <v>0</v>
      </c>
      <c r="H144" s="503">
        <f t="shared" si="322"/>
        <v>0</v>
      </c>
      <c r="I144" s="503">
        <f t="shared" si="322"/>
        <v>0</v>
      </c>
      <c r="J144" s="503">
        <f t="shared" si="322"/>
        <v>0</v>
      </c>
      <c r="K144" s="503">
        <f t="shared" si="322"/>
        <v>0</v>
      </c>
      <c r="L144" s="503">
        <f t="shared" si="322"/>
        <v>0</v>
      </c>
      <c r="M144" s="503">
        <f t="shared" si="322"/>
        <v>0</v>
      </c>
      <c r="N144" s="503">
        <f t="shared" si="322"/>
        <v>0</v>
      </c>
      <c r="O144" s="503">
        <f t="shared" si="322"/>
        <v>0</v>
      </c>
      <c r="P144" s="503">
        <f t="shared" si="322"/>
        <v>0</v>
      </c>
      <c r="Q144" s="503">
        <f t="shared" si="322"/>
        <v>0</v>
      </c>
      <c r="R144" s="503">
        <f t="shared" si="322"/>
        <v>0</v>
      </c>
      <c r="S144" s="503">
        <f t="shared" si="322"/>
        <v>0</v>
      </c>
      <c r="T144" s="503">
        <f t="shared" si="322"/>
        <v>0</v>
      </c>
      <c r="U144" s="503">
        <f t="shared" si="322"/>
        <v>0</v>
      </c>
      <c r="V144" s="503">
        <f t="shared" si="322"/>
        <v>0</v>
      </c>
      <c r="W144" s="503">
        <f t="shared" si="322"/>
        <v>0</v>
      </c>
      <c r="X144" s="503">
        <f t="shared" si="322"/>
        <v>0</v>
      </c>
      <c r="Y144" s="503">
        <f t="shared" si="322"/>
        <v>0</v>
      </c>
      <c r="Z144" s="503">
        <f t="shared" si="322"/>
        <v>0</v>
      </c>
      <c r="AA144" s="503">
        <f t="shared" si="322"/>
        <v>0</v>
      </c>
      <c r="AB144" s="503">
        <f t="shared" si="322"/>
        <v>0</v>
      </c>
      <c r="AC144" s="503">
        <f t="shared" si="322"/>
        <v>0</v>
      </c>
      <c r="AD144" s="503">
        <f t="shared" si="322"/>
        <v>0</v>
      </c>
      <c r="AE144" s="503">
        <f t="shared" si="322"/>
        <v>0</v>
      </c>
      <c r="AF144" s="503">
        <f t="shared" si="322"/>
        <v>0</v>
      </c>
      <c r="AG144" s="503">
        <f t="shared" si="322"/>
        <v>-360</v>
      </c>
      <c r="AH144" s="503">
        <f t="shared" si="322"/>
        <v>0</v>
      </c>
      <c r="AI144" s="503">
        <f t="shared" si="322"/>
        <v>0</v>
      </c>
      <c r="AJ144" s="503">
        <f t="shared" si="322"/>
        <v>0</v>
      </c>
      <c r="AK144" s="503">
        <f t="shared" si="322"/>
        <v>0</v>
      </c>
      <c r="AL144" s="503">
        <f t="shared" si="322"/>
        <v>0</v>
      </c>
      <c r="AM144" s="503">
        <f t="shared" si="322"/>
        <v>0</v>
      </c>
      <c r="AN144" s="503">
        <f t="shared" si="322"/>
        <v>0</v>
      </c>
      <c r="AO144" s="503">
        <f t="shared" si="322"/>
        <v>0</v>
      </c>
      <c r="AP144" s="503">
        <f t="shared" si="322"/>
        <v>0</v>
      </c>
      <c r="AQ144" s="503">
        <f t="shared" si="322"/>
        <v>0</v>
      </c>
      <c r="AR144" s="503">
        <f t="shared" si="322"/>
        <v>0</v>
      </c>
      <c r="AS144" s="503">
        <f t="shared" si="322"/>
        <v>0</v>
      </c>
      <c r="AT144" s="503">
        <f t="shared" si="322"/>
        <v>0</v>
      </c>
      <c r="AU144" s="503">
        <f t="shared" si="322"/>
        <v>0</v>
      </c>
      <c r="AV144" s="503">
        <f t="shared" si="322"/>
        <v>0</v>
      </c>
      <c r="AW144" s="503">
        <f t="shared" si="322"/>
        <v>0</v>
      </c>
    </row>
    <row r="145" spans="3:49" ht="14.25" customHeight="1">
      <c r="C145" s="1" t="s">
        <v>491</v>
      </c>
      <c r="D145" s="8">
        <f>IF(AND(D142=0, C147&lt;$D$25*'Assumptions &amp; Inputs'!$I$37),MIN($D$25*(1-'Assumptions &amp; Inputs'!$I$37)/'Assumptions &amp; Inputs'!$I$35,-C147),0)</f>
        <v>0</v>
      </c>
      <c r="E145" s="8">
        <f>IF(AND(E$110&gt;YEAR('Assumptions &amp; Inputs'!$I$31), ROUND(D147, 7)&lt;SUMIF($D$110:$AW$110, "="&amp;E$110-'Assumptions &amp; Inputs'!$I$34-1, $D142:$AW142)*'Assumptions &amp; Inputs'!$I$37),MIN(E143*(1-'Assumptions &amp; Inputs'!$I$37)/'Assumptions &amp; Inputs'!$I$34,-D147),0)</f>
        <v>0</v>
      </c>
      <c r="F145" s="8">
        <f>IF(AND(F$110&gt;YEAR('Assumptions &amp; Inputs'!$I$31), ROUND(E147, 7)&lt;SUMIF($D$110:$AW$110, "="&amp;F$110-'Assumptions &amp; Inputs'!$I$34-1, $D142:$AW142)*'Assumptions &amp; Inputs'!$I$37),MIN(F143*(1-'Assumptions &amp; Inputs'!$I$37)/'Assumptions &amp; Inputs'!$I$34,-E147),0)</f>
        <v>0</v>
      </c>
      <c r="G145" s="8">
        <f>IF(AND(G$110&gt;YEAR('Assumptions &amp; Inputs'!$I$31), ROUND(F147, 7)&lt;SUMIF($D$110:$AW$110, "="&amp;G$110-'Assumptions &amp; Inputs'!$I$34-1, $D142:$AW142)*'Assumptions &amp; Inputs'!$I$37),MIN(G143*(1-'Assumptions &amp; Inputs'!$I$37)/'Assumptions &amp; Inputs'!$I$34,-F147),0)</f>
        <v>0</v>
      </c>
      <c r="H145" s="8">
        <f>IF(AND(H$110&gt;YEAR('Assumptions &amp; Inputs'!$I$31), ROUND(G147, 7)&lt;SUMIF($D$110:$AW$110, "="&amp;H$110-'Assumptions &amp; Inputs'!$I$34-1, $D142:$AW142)*'Assumptions &amp; Inputs'!$I$37),MIN(H143*(1-'Assumptions &amp; Inputs'!$I$37)/'Assumptions &amp; Inputs'!$I$34,-G147),0)</f>
        <v>0</v>
      </c>
      <c r="I145" s="8">
        <f>IF(AND(I$110&gt;YEAR('Assumptions &amp; Inputs'!$I$31), ROUND(H147, 7)&lt;SUMIF($D$110:$AW$110, "="&amp;I$110-'Assumptions &amp; Inputs'!$I$34-1, $D142:$AW142)*'Assumptions &amp; Inputs'!$I$37),MIN(I143*(1-'Assumptions &amp; Inputs'!$I$37)/'Assumptions &amp; Inputs'!$I$34,-H147),0)</f>
        <v>-13.68</v>
      </c>
      <c r="J145" s="8">
        <f>IF(AND(J$110&gt;YEAR('Assumptions &amp; Inputs'!$I$31), ROUND(I147, 7)&lt;SUMIF($D$110:$AW$110, "="&amp;J$110-'Assumptions &amp; Inputs'!$I$34-1, $D142:$AW142)*'Assumptions &amp; Inputs'!$I$37),MIN(J143*(1-'Assumptions &amp; Inputs'!$I$37)/'Assumptions &amp; Inputs'!$I$34,-I147),0)</f>
        <v>-13.68</v>
      </c>
      <c r="K145" s="8">
        <f>IF(AND(K$110&gt;YEAR('Assumptions &amp; Inputs'!$I$31), ROUND(J147, 7)&lt;SUMIF($D$110:$AW$110, "="&amp;K$110-'Assumptions &amp; Inputs'!$I$34-1, $D142:$AW142)*'Assumptions &amp; Inputs'!$I$37),MIN(K143*(1-'Assumptions &amp; Inputs'!$I$37)/'Assumptions &amp; Inputs'!$I$34,-J147),0)</f>
        <v>-13.68</v>
      </c>
      <c r="L145" s="8">
        <f>IF(AND(L$110&gt;YEAR('Assumptions &amp; Inputs'!$I$31), ROUND(K147, 7)&lt;SUMIF($D$110:$AW$110, "="&amp;L$110-'Assumptions &amp; Inputs'!$I$34-1, $D142:$AW142)*'Assumptions &amp; Inputs'!$I$37),MIN(L143*(1-'Assumptions &amp; Inputs'!$I$37)/'Assumptions &amp; Inputs'!$I$34,-K147),0)</f>
        <v>-13.68</v>
      </c>
      <c r="M145" s="8">
        <f>IF(AND(M$110&gt;YEAR('Assumptions &amp; Inputs'!$I$31), ROUND(L147, 7)&lt;SUMIF($D$110:$AW$110, "="&amp;M$110-'Assumptions &amp; Inputs'!$I$34-1, $D142:$AW142)*'Assumptions &amp; Inputs'!$I$37),MIN(M143*(1-'Assumptions &amp; Inputs'!$I$37)/'Assumptions &amp; Inputs'!$I$34,-L147),0)</f>
        <v>-13.68</v>
      </c>
      <c r="N145" s="8">
        <f>IF(AND(N$110&gt;YEAR('Assumptions &amp; Inputs'!$I$31), ROUND(M147, 7)&lt;SUMIF($D$110:$AW$110, "="&amp;N$110-'Assumptions &amp; Inputs'!$I$34-1, $D142:$AW142)*'Assumptions &amp; Inputs'!$I$37),MIN(N143*(1-'Assumptions &amp; Inputs'!$I$37)/'Assumptions &amp; Inputs'!$I$34,-M147),0)</f>
        <v>-13.68</v>
      </c>
      <c r="O145" s="8">
        <f>IF(AND(O$110&gt;YEAR('Assumptions &amp; Inputs'!$I$31), ROUND(N147, 7)&lt;SUMIF($D$110:$AW$110, "="&amp;O$110-'Assumptions &amp; Inputs'!$I$34-1, $D142:$AW142)*'Assumptions &amp; Inputs'!$I$37),MIN(O143*(1-'Assumptions &amp; Inputs'!$I$37)/'Assumptions &amp; Inputs'!$I$34,-N147),0)</f>
        <v>-13.68</v>
      </c>
      <c r="P145" s="8">
        <f>IF(AND(P$110&gt;YEAR('Assumptions &amp; Inputs'!$I$31), ROUND(O147, 7)&lt;SUMIF($D$110:$AW$110, "="&amp;P$110-'Assumptions &amp; Inputs'!$I$34-1, $D142:$AW142)*'Assumptions &amp; Inputs'!$I$37),MIN(P143*(1-'Assumptions &amp; Inputs'!$I$37)/'Assumptions &amp; Inputs'!$I$34,-O147),0)</f>
        <v>-13.68</v>
      </c>
      <c r="Q145" s="8">
        <f>IF(AND(Q$110&gt;YEAR('Assumptions &amp; Inputs'!$I$31), ROUND(P147, 7)&lt;SUMIF($D$110:$AW$110, "="&amp;Q$110-'Assumptions &amp; Inputs'!$I$34-1, $D142:$AW142)*'Assumptions &amp; Inputs'!$I$37),MIN(Q143*(1-'Assumptions &amp; Inputs'!$I$37)/'Assumptions &amp; Inputs'!$I$34,-P147),0)</f>
        <v>-13.68</v>
      </c>
      <c r="R145" s="8">
        <f>IF(AND(R$110&gt;YEAR('Assumptions &amp; Inputs'!$I$31), ROUND(Q147, 7)&lt;SUMIF($D$110:$AW$110, "="&amp;R$110-'Assumptions &amp; Inputs'!$I$34-1, $D142:$AW142)*'Assumptions &amp; Inputs'!$I$37),MIN(R143*(1-'Assumptions &amp; Inputs'!$I$37)/'Assumptions &amp; Inputs'!$I$34,-Q147),0)</f>
        <v>-13.68</v>
      </c>
      <c r="S145" s="8">
        <f>IF(AND(S$110&gt;YEAR('Assumptions &amp; Inputs'!$I$31), ROUND(R147, 7)&lt;SUMIF($D$110:$AW$110, "="&amp;S$110-'Assumptions &amp; Inputs'!$I$34-1, $D142:$AW142)*'Assumptions &amp; Inputs'!$I$37),MIN(S143*(1-'Assumptions &amp; Inputs'!$I$37)/'Assumptions &amp; Inputs'!$I$34,-R147),0)</f>
        <v>-13.68</v>
      </c>
      <c r="T145" s="8">
        <f>IF(AND(T$110&gt;YEAR('Assumptions &amp; Inputs'!$I$31), ROUND(S147, 7)&lt;SUMIF($D$110:$AW$110, "="&amp;T$110-'Assumptions &amp; Inputs'!$I$34-1, $D142:$AW142)*'Assumptions &amp; Inputs'!$I$37),MIN(T143*(1-'Assumptions &amp; Inputs'!$I$37)/'Assumptions &amp; Inputs'!$I$34,-S147),0)</f>
        <v>-13.68</v>
      </c>
      <c r="U145" s="8">
        <f>IF(AND(U$110&gt;YEAR('Assumptions &amp; Inputs'!$I$31), ROUND(T147, 7)&lt;SUMIF($D$110:$AW$110, "="&amp;U$110-'Assumptions &amp; Inputs'!$I$34-1, $D142:$AW142)*'Assumptions &amp; Inputs'!$I$37),MIN(U143*(1-'Assumptions &amp; Inputs'!$I$37)/'Assumptions &amp; Inputs'!$I$34,-T147),0)</f>
        <v>-13.68</v>
      </c>
      <c r="V145" s="8">
        <f>IF(AND(V$110&gt;YEAR('Assumptions &amp; Inputs'!$I$31), ROUND(U147, 7)&lt;SUMIF($D$110:$AW$110, "="&amp;V$110-'Assumptions &amp; Inputs'!$I$34-1, $D142:$AW142)*'Assumptions &amp; Inputs'!$I$37),MIN(V143*(1-'Assumptions &amp; Inputs'!$I$37)/'Assumptions &amp; Inputs'!$I$34,-U147),0)</f>
        <v>-13.68</v>
      </c>
      <c r="W145" s="8">
        <f>IF(AND(W$110&gt;YEAR('Assumptions &amp; Inputs'!$I$31), ROUND(V147, 7)&lt;SUMIF($D$110:$AW$110, "="&amp;W$110-'Assumptions &amp; Inputs'!$I$34-1, $D142:$AW142)*'Assumptions &amp; Inputs'!$I$37),MIN(W143*(1-'Assumptions &amp; Inputs'!$I$37)/'Assumptions &amp; Inputs'!$I$34,-V147),0)</f>
        <v>-13.68</v>
      </c>
      <c r="X145" s="8">
        <f>IF(AND(X$110&gt;YEAR('Assumptions &amp; Inputs'!$I$31), ROUND(W147, 7)&lt;SUMIF($D$110:$AW$110, "="&amp;X$110-'Assumptions &amp; Inputs'!$I$34-1, $D142:$AW142)*'Assumptions &amp; Inputs'!$I$37),MIN(X143*(1-'Assumptions &amp; Inputs'!$I$37)/'Assumptions &amp; Inputs'!$I$34,-W147),0)</f>
        <v>-13.68</v>
      </c>
      <c r="Y145" s="8">
        <f>IF(AND(Y$110&gt;YEAR('Assumptions &amp; Inputs'!$I$31), ROUND(X147, 7)&lt;SUMIF($D$110:$AW$110, "="&amp;Y$110-'Assumptions &amp; Inputs'!$I$34-1, $D142:$AW142)*'Assumptions &amp; Inputs'!$I$37),MIN(Y143*(1-'Assumptions &amp; Inputs'!$I$37)/'Assumptions &amp; Inputs'!$I$34,-X147),0)</f>
        <v>-13.68</v>
      </c>
      <c r="Z145" s="8">
        <f>IF(AND(Z$110&gt;YEAR('Assumptions &amp; Inputs'!$I$31), ROUND(Y147, 7)&lt;SUMIF($D$110:$AW$110, "="&amp;Z$110-'Assumptions &amp; Inputs'!$I$34-1, $D142:$AW142)*'Assumptions &amp; Inputs'!$I$37),MIN(Z143*(1-'Assumptions &amp; Inputs'!$I$37)/'Assumptions &amp; Inputs'!$I$34,-Y147),0)</f>
        <v>-13.68</v>
      </c>
      <c r="AA145" s="8">
        <f>IF(AND(AA$110&gt;YEAR('Assumptions &amp; Inputs'!$I$31), ROUND(Z147, 7)&lt;SUMIF($D$110:$AW$110, "="&amp;AA$110-'Assumptions &amp; Inputs'!$I$34-1, $D142:$AW142)*'Assumptions &amp; Inputs'!$I$37),MIN(AA143*(1-'Assumptions &amp; Inputs'!$I$37)/'Assumptions &amp; Inputs'!$I$34,-Z147),0)</f>
        <v>-13.68</v>
      </c>
      <c r="AB145" s="8">
        <f>IF(AND(AB$110&gt;YEAR('Assumptions &amp; Inputs'!$I$31), ROUND(AA147, 7)&lt;SUMIF($D$110:$AW$110, "="&amp;AB$110-'Assumptions &amp; Inputs'!$I$34-1, $D142:$AW142)*'Assumptions &amp; Inputs'!$I$37),MIN(AB143*(1-'Assumptions &amp; Inputs'!$I$37)/'Assumptions &amp; Inputs'!$I$34,-AA147),0)</f>
        <v>-13.68</v>
      </c>
      <c r="AC145" s="8">
        <f>IF(AND(AC$110&gt;YEAR('Assumptions &amp; Inputs'!$I$31), ROUND(AB147, 7)&lt;SUMIF($D$110:$AW$110, "="&amp;AC$110-'Assumptions &amp; Inputs'!$I$34-1, $D142:$AW142)*'Assumptions &amp; Inputs'!$I$37),MIN(AC143*(1-'Assumptions &amp; Inputs'!$I$37)/'Assumptions &amp; Inputs'!$I$34,-AB147),0)</f>
        <v>-13.68</v>
      </c>
      <c r="AD145" s="8">
        <f>IF(AND(AD$110&gt;YEAR('Assumptions &amp; Inputs'!$I$31), ROUND(AC147, 7)&lt;SUMIF($D$110:$AW$110, "="&amp;AD$110-'Assumptions &amp; Inputs'!$I$34-1, $D142:$AW142)*'Assumptions &amp; Inputs'!$I$37),MIN(AD143*(1-'Assumptions &amp; Inputs'!$I$37)/'Assumptions &amp; Inputs'!$I$34,-AC147),0)</f>
        <v>-13.68</v>
      </c>
      <c r="AE145" s="8">
        <f>IF(AND(AE$110&gt;YEAR('Assumptions &amp; Inputs'!$I$31), ROUND(AD147, 7)&lt;SUMIF($D$110:$AW$110, "="&amp;AE$110-'Assumptions &amp; Inputs'!$I$34-1, $D142:$AW142)*'Assumptions &amp; Inputs'!$I$37),MIN(AE143*(1-'Assumptions &amp; Inputs'!$I$37)/'Assumptions &amp; Inputs'!$I$34,-AD147),0)</f>
        <v>-13.68</v>
      </c>
      <c r="AF145" s="8">
        <f>IF(AND(AF$110&gt;YEAR('Assumptions &amp; Inputs'!$I$31), ROUND(AE147, 7)&lt;SUMIF($D$110:$AW$110, "="&amp;AF$110-'Assumptions &amp; Inputs'!$I$34-1, $D142:$AW142)*'Assumptions &amp; Inputs'!$I$37),MIN(AF143*(1-'Assumptions &amp; Inputs'!$I$37)/'Assumptions &amp; Inputs'!$I$34,-AE147),0)</f>
        <v>-13.68</v>
      </c>
      <c r="AG145" s="8">
        <f>IF(AND(AG$110&gt;YEAR('Assumptions &amp; Inputs'!$I$31), ROUND(AF147, 7)&lt;SUMIF($D$110:$AW$110, "="&amp;AG$110-'Assumptions &amp; Inputs'!$I$34-1, $D142:$AW142)*'Assumptions &amp; Inputs'!$I$37),MIN(AG143*(1-'Assumptions &amp; Inputs'!$I$37)/'Assumptions &amp; Inputs'!$I$34,-AF147),0)</f>
        <v>-13.68</v>
      </c>
      <c r="AH145" s="8">
        <f>IF(AND(AH$110&gt;YEAR('Assumptions &amp; Inputs'!$I$31), ROUND(AG147, 7)&lt;SUMIF($D$110:$AW$110, "="&amp;AH$110-'Assumptions &amp; Inputs'!$I$34-1, $D142:$AW142)*'Assumptions &amp; Inputs'!$I$37),MIN(AH143*(1-'Assumptions &amp; Inputs'!$I$37)/'Assumptions &amp; Inputs'!$I$34,-AG147),0)</f>
        <v>0</v>
      </c>
      <c r="AI145" s="8">
        <f>IF(AND(AI$110&gt;YEAR('Assumptions &amp; Inputs'!$I$31), ROUND(AH147, 7)&lt;SUMIF($D$110:$AW$110, "="&amp;AI$110-'Assumptions &amp; Inputs'!$I$34-1, $D142:$AW142)*'Assumptions &amp; Inputs'!$I$37),MIN(AI143*(1-'Assumptions &amp; Inputs'!$I$37)/'Assumptions &amp; Inputs'!$I$34,-AH147),0)</f>
        <v>0</v>
      </c>
      <c r="AJ145" s="8">
        <f>IF(AND(AJ$110&gt;YEAR('Assumptions &amp; Inputs'!$I$31), ROUND(AI147, 7)&lt;SUMIF($D$110:$AW$110, "="&amp;AJ$110-'Assumptions &amp; Inputs'!$I$34-1, $D142:$AW142)*'Assumptions &amp; Inputs'!$I$37),MIN(AJ143*(1-'Assumptions &amp; Inputs'!$I$37)/'Assumptions &amp; Inputs'!$I$34,-AI147),0)</f>
        <v>0</v>
      </c>
      <c r="AK145" s="8">
        <f>IF(AND(AK$110&gt;YEAR('Assumptions &amp; Inputs'!$I$31), ROUND(AJ147, 7)&lt;SUMIF($D$110:$AW$110, "="&amp;AK$110-'Assumptions &amp; Inputs'!$I$34-1, $D142:$AW142)*'Assumptions &amp; Inputs'!$I$37),MIN(AK143*(1-'Assumptions &amp; Inputs'!$I$37)/'Assumptions &amp; Inputs'!$I$34,-AJ147),0)</f>
        <v>0</v>
      </c>
      <c r="AL145" s="8">
        <f>IF(AND(AL$110&gt;YEAR('Assumptions &amp; Inputs'!$I$31), ROUND(AK147, 7)&lt;SUMIF($D$110:$AW$110, "="&amp;AL$110-'Assumptions &amp; Inputs'!$I$34-1, $D142:$AW142)*'Assumptions &amp; Inputs'!$I$37),MIN(AL143*(1-'Assumptions &amp; Inputs'!$I$37)/'Assumptions &amp; Inputs'!$I$34,-AK147),0)</f>
        <v>0</v>
      </c>
      <c r="AM145" s="8">
        <f>IF(AND(AM$110&gt;YEAR('Assumptions &amp; Inputs'!$I$31), ROUND(AL147, 7)&lt;SUMIF($D$110:$AW$110, "="&amp;AM$110-'Assumptions &amp; Inputs'!$I$34-1, $D142:$AW142)*'Assumptions &amp; Inputs'!$I$37),MIN(AM143*(1-'Assumptions &amp; Inputs'!$I$37)/'Assumptions &amp; Inputs'!$I$34,-AL147),0)</f>
        <v>0</v>
      </c>
      <c r="AN145" s="8">
        <f>IF(AND(AN$110&gt;YEAR('Assumptions &amp; Inputs'!$I$31), ROUND(AM147, 7)&lt;SUMIF($D$110:$AW$110, "="&amp;AN$110-'Assumptions &amp; Inputs'!$I$34-1, $D142:$AW142)*'Assumptions &amp; Inputs'!$I$37),MIN(AN143*(1-'Assumptions &amp; Inputs'!$I$37)/'Assumptions &amp; Inputs'!$I$34,-AM147),0)</f>
        <v>0</v>
      </c>
      <c r="AO145" s="8">
        <f>IF(AND(AO$110&gt;YEAR('Assumptions &amp; Inputs'!$I$31), ROUND(AN147, 7)&lt;SUMIF($D$110:$AW$110, "="&amp;AO$110-'Assumptions &amp; Inputs'!$I$34-1, $D142:$AW142)*'Assumptions &amp; Inputs'!$I$37),MIN(AO143*(1-'Assumptions &amp; Inputs'!$I$37)/'Assumptions &amp; Inputs'!$I$34,-AN147),0)</f>
        <v>0</v>
      </c>
      <c r="AP145" s="8">
        <f>IF(AND(AP$110&gt;YEAR('Assumptions &amp; Inputs'!$I$31), ROUND(AO147, 7)&lt;SUMIF($D$110:$AW$110, "="&amp;AP$110-'Assumptions &amp; Inputs'!$I$34-1, $D142:$AW142)*'Assumptions &amp; Inputs'!$I$37),MIN(AP143*(1-'Assumptions &amp; Inputs'!$I$37)/'Assumptions &amp; Inputs'!$I$34,-AO147),0)</f>
        <v>0</v>
      </c>
      <c r="AQ145" s="8">
        <f>IF(AND(AQ$110&gt;YEAR('Assumptions &amp; Inputs'!$I$31), ROUND(AP147, 7)&lt;SUMIF($D$110:$AW$110, "="&amp;AQ$110-'Assumptions &amp; Inputs'!$I$34-1, $D142:$AW142)*'Assumptions &amp; Inputs'!$I$37),MIN(AQ143*(1-'Assumptions &amp; Inputs'!$I$37)/'Assumptions &amp; Inputs'!$I$34,-AP147),0)</f>
        <v>0</v>
      </c>
      <c r="AR145" s="8">
        <f>IF(AND(AR$110&gt;YEAR('Assumptions &amp; Inputs'!$I$31), ROUND(AQ147, 7)&lt;SUMIF($D$110:$AW$110, "="&amp;AR$110-'Assumptions &amp; Inputs'!$I$34-1, $D142:$AW142)*'Assumptions &amp; Inputs'!$I$37),MIN(AR143*(1-'Assumptions &amp; Inputs'!$I$37)/'Assumptions &amp; Inputs'!$I$34,-AQ147),0)</f>
        <v>0</v>
      </c>
      <c r="AS145" s="8">
        <f>IF(AND(AS$110&gt;YEAR('Assumptions &amp; Inputs'!$I$31), ROUND(AR147, 7)&lt;SUMIF($D$110:$AW$110, "="&amp;AS$110-'Assumptions &amp; Inputs'!$I$34-1, $D142:$AW142)*'Assumptions &amp; Inputs'!$I$37),MIN(AS143*(1-'Assumptions &amp; Inputs'!$I$37)/'Assumptions &amp; Inputs'!$I$34,-AR147),0)</f>
        <v>0</v>
      </c>
      <c r="AT145" s="8">
        <f>IF(AND(AT$110&gt;YEAR('Assumptions &amp; Inputs'!$I$31), ROUND(AS147, 7)&lt;SUMIF($D$110:$AW$110, "="&amp;AT$110-'Assumptions &amp; Inputs'!$I$34-1, $D142:$AW142)*'Assumptions &amp; Inputs'!$I$37),MIN(AT143*(1-'Assumptions &amp; Inputs'!$I$37)/'Assumptions &amp; Inputs'!$I$34,-AS147),0)</f>
        <v>0</v>
      </c>
      <c r="AU145" s="8">
        <f>IF(AND(AU$110&gt;YEAR('Assumptions &amp; Inputs'!$I$31), ROUND(AT147, 7)&lt;SUMIF($D$110:$AW$110, "="&amp;AU$110-'Assumptions &amp; Inputs'!$I$34-1, $D142:$AW142)*'Assumptions &amp; Inputs'!$I$37),MIN(AU143*(1-'Assumptions &amp; Inputs'!$I$37)/'Assumptions &amp; Inputs'!$I$34,-AT147),0)</f>
        <v>0</v>
      </c>
      <c r="AV145" s="8">
        <f>IF(AND(AV$110&gt;YEAR('Assumptions &amp; Inputs'!$I$31), ROUND(AU147, 7)&lt;SUMIF($D$110:$AW$110, "="&amp;AV$110-'Assumptions &amp; Inputs'!$I$34-1, $D142:$AW142)*'Assumptions &amp; Inputs'!$I$37),MIN(AV143*(1-'Assumptions &amp; Inputs'!$I$37)/'Assumptions &amp; Inputs'!$I$34,-AU147),0)</f>
        <v>0</v>
      </c>
      <c r="AW145" s="8">
        <f>IF(AND(AW$110&gt;YEAR('Assumptions &amp; Inputs'!$I$31), ROUND(AV147, 7)&lt;SUMIF($D$110:$AW$110, "="&amp;AW$110-'Assumptions &amp; Inputs'!$I$34-1, $D142:$AW142)*'Assumptions &amp; Inputs'!$I$37),MIN(AW143*(1-'Assumptions &amp; Inputs'!$I$37)/'Assumptions &amp; Inputs'!$I$34,-AV147),0)</f>
        <v>0</v>
      </c>
    </row>
    <row r="146" spans="3:49" s="182" customFormat="1" ht="15" customHeight="1">
      <c r="C146" s="4" t="s">
        <v>508</v>
      </c>
      <c r="D146" s="23">
        <f>D145</f>
        <v>0</v>
      </c>
      <c r="E146" s="23">
        <f>MAX(E145+D146, $D$25)</f>
        <v>0</v>
      </c>
      <c r="F146" s="23">
        <f t="shared" ref="F146:X146" si="323">MAX(F145+E146, $D$25)</f>
        <v>0</v>
      </c>
      <c r="G146" s="23">
        <f t="shared" si="323"/>
        <v>0</v>
      </c>
      <c r="H146" s="23">
        <f t="shared" si="323"/>
        <v>0</v>
      </c>
      <c r="I146" s="23">
        <f t="shared" si="323"/>
        <v>-13.68</v>
      </c>
      <c r="J146" s="23">
        <f t="shared" si="323"/>
        <v>-27.36</v>
      </c>
      <c r="K146" s="23">
        <f t="shared" si="323"/>
        <v>-41.04</v>
      </c>
      <c r="L146" s="23">
        <f t="shared" si="323"/>
        <v>-54.72</v>
      </c>
      <c r="M146" s="23">
        <f t="shared" si="323"/>
        <v>-68.400000000000006</v>
      </c>
      <c r="N146" s="23">
        <f t="shared" si="323"/>
        <v>-82.080000000000013</v>
      </c>
      <c r="O146" s="23">
        <f t="shared" si="323"/>
        <v>-95.760000000000019</v>
      </c>
      <c r="P146" s="23">
        <f t="shared" si="323"/>
        <v>-109.44000000000003</v>
      </c>
      <c r="Q146" s="23">
        <f t="shared" si="323"/>
        <v>-123.12000000000003</v>
      </c>
      <c r="R146" s="23">
        <f t="shared" si="323"/>
        <v>-136.80000000000004</v>
      </c>
      <c r="S146" s="23">
        <f t="shared" si="323"/>
        <v>-150.48000000000005</v>
      </c>
      <c r="T146" s="23">
        <f t="shared" si="323"/>
        <v>-164.16000000000005</v>
      </c>
      <c r="U146" s="23">
        <f>MAX(U145+T146, $D$25)</f>
        <v>-177.84000000000006</v>
      </c>
      <c r="V146" s="23">
        <f t="shared" si="323"/>
        <v>-191.52000000000007</v>
      </c>
      <c r="W146" s="23">
        <f t="shared" si="323"/>
        <v>-205.20000000000007</v>
      </c>
      <c r="X146" s="23">
        <f t="shared" si="323"/>
        <v>-218.88000000000008</v>
      </c>
      <c r="Y146" s="23">
        <f t="shared" ref="Y146" si="324">MAX(Y145+X146, $D$25)</f>
        <v>-232.56000000000009</v>
      </c>
      <c r="Z146" s="23">
        <f t="shared" ref="Z146" si="325">MAX(Z145+Y146, $D$25)</f>
        <v>-246.24000000000009</v>
      </c>
      <c r="AA146" s="23">
        <f t="shared" ref="AA146" si="326">MAX(AA145+Z146, $D$25)</f>
        <v>-259.92000000000007</v>
      </c>
      <c r="AB146" s="23">
        <f t="shared" ref="AB146" si="327">MAX(AB145+AA146, $D$25)</f>
        <v>-273.60000000000008</v>
      </c>
      <c r="AC146" s="23">
        <f t="shared" ref="AC146" si="328">MAX(AC145+AB146, $D$25)</f>
        <v>-287.28000000000009</v>
      </c>
      <c r="AD146" s="23">
        <f t="shared" ref="AD146" si="329">MAX(AD145+AC146, $D$25)</f>
        <v>-300.96000000000009</v>
      </c>
      <c r="AE146" s="23">
        <f t="shared" ref="AE146" si="330">MAX(AE145+AD146, $D$25)</f>
        <v>-314.6400000000001</v>
      </c>
      <c r="AF146" s="23">
        <f t="shared" ref="AF146" si="331">MAX(AF145+AE146, $D$25)</f>
        <v>-328.32000000000011</v>
      </c>
      <c r="AG146" s="23">
        <f t="shared" ref="AG146" si="332">MAX(AG145+AF146, $D$25)</f>
        <v>-342.00000000000011</v>
      </c>
      <c r="AH146" s="23">
        <f t="shared" ref="AH146" si="333">MAX(AH145+AG146, $D$25)</f>
        <v>-342.00000000000011</v>
      </c>
      <c r="AI146" s="23">
        <f t="shared" ref="AI146" si="334">MAX(AI145+AH146, $D$25)</f>
        <v>-342.00000000000011</v>
      </c>
      <c r="AJ146" s="23">
        <f t="shared" ref="AJ146" si="335">MAX(AJ145+AI146, $D$25)</f>
        <v>-342.00000000000011</v>
      </c>
      <c r="AK146" s="23">
        <f t="shared" ref="AK146" si="336">MAX(AK145+AJ146, $D$25)</f>
        <v>-342.00000000000011</v>
      </c>
      <c r="AL146" s="23">
        <f t="shared" ref="AL146" si="337">MAX(AL145+AK146, $D$25)</f>
        <v>-342.00000000000011</v>
      </c>
      <c r="AM146" s="23">
        <f t="shared" ref="AM146" si="338">MAX(AM145+AL146, $D$25)</f>
        <v>-342.00000000000011</v>
      </c>
      <c r="AN146" s="23">
        <f t="shared" ref="AN146" si="339">MAX(AN145+AM146, $D$25)</f>
        <v>-342.00000000000011</v>
      </c>
      <c r="AO146" s="23">
        <f t="shared" ref="AO146" si="340">MAX(AO145+AN146, $D$25)</f>
        <v>-342.00000000000011</v>
      </c>
      <c r="AP146" s="23">
        <f t="shared" ref="AP146" si="341">MAX(AP145+AO146, $D$25)</f>
        <v>-342.00000000000011</v>
      </c>
      <c r="AQ146" s="23">
        <f t="shared" ref="AQ146" si="342">MAX(AQ145+AP146, $D$25)</f>
        <v>-342.00000000000011</v>
      </c>
      <c r="AR146" s="23">
        <f t="shared" ref="AR146" si="343">MAX(AR145+AQ146, $D$25)</f>
        <v>-342.00000000000011</v>
      </c>
      <c r="AS146" s="23">
        <f t="shared" ref="AS146" si="344">MAX(AS145+AR146, $D$25)</f>
        <v>-342.00000000000011</v>
      </c>
      <c r="AT146" s="23">
        <f t="shared" ref="AT146" si="345">MAX(AT145+AS146, $D$25)</f>
        <v>-342.00000000000011</v>
      </c>
      <c r="AU146" s="23">
        <f t="shared" ref="AU146" si="346">MAX(AU145+AT146, $D$25)</f>
        <v>-342.00000000000011</v>
      </c>
      <c r="AV146" s="23">
        <f t="shared" ref="AV146" si="347">MAX(AV145+AU146, $D$25)</f>
        <v>-342.00000000000011</v>
      </c>
      <c r="AW146" s="23">
        <f t="shared" ref="AW146" si="348">MAX(AW145+AV146, $D$25)</f>
        <v>-342.00000000000011</v>
      </c>
    </row>
    <row r="147" spans="3:49" s="182" customFormat="1" ht="15" customHeight="1">
      <c r="C147" s="4" t="s">
        <v>509</v>
      </c>
      <c r="D147" s="23">
        <f>SUM(-D146, D142)</f>
        <v>-82.5</v>
      </c>
      <c r="E147" s="23">
        <f>SUM(D147,-E145, E$42, E142)</f>
        <v>-172.5</v>
      </c>
      <c r="F147" s="23">
        <f t="shared" ref="F147:AW147" si="349">SUM(E147,-F145, F$42, F142)</f>
        <v>-262.5</v>
      </c>
      <c r="G147" s="23">
        <f t="shared" si="349"/>
        <v>-352.5</v>
      </c>
      <c r="H147" s="23">
        <f t="shared" si="349"/>
        <v>-360</v>
      </c>
      <c r="I147" s="23">
        <f t="shared" si="349"/>
        <v>-346.32</v>
      </c>
      <c r="J147" s="23">
        <f t="shared" si="349"/>
        <v>-332.64</v>
      </c>
      <c r="K147" s="23">
        <f t="shared" si="349"/>
        <v>-318.95999999999998</v>
      </c>
      <c r="L147" s="23">
        <f t="shared" si="349"/>
        <v>-305.27999999999997</v>
      </c>
      <c r="M147" s="23">
        <f t="shared" si="349"/>
        <v>-291.59999999999997</v>
      </c>
      <c r="N147" s="23">
        <f t="shared" si="349"/>
        <v>-277.91999999999996</v>
      </c>
      <c r="O147" s="23">
        <f t="shared" si="349"/>
        <v>-264.23999999999995</v>
      </c>
      <c r="P147" s="23">
        <f t="shared" si="349"/>
        <v>-250.55999999999995</v>
      </c>
      <c r="Q147" s="23">
        <f t="shared" si="349"/>
        <v>-236.87999999999994</v>
      </c>
      <c r="R147" s="23">
        <f t="shared" si="349"/>
        <v>-223.19999999999993</v>
      </c>
      <c r="S147" s="23">
        <f t="shared" si="349"/>
        <v>-209.51999999999992</v>
      </c>
      <c r="T147" s="23">
        <f t="shared" si="349"/>
        <v>-195.83999999999992</v>
      </c>
      <c r="U147" s="23">
        <f t="shared" si="349"/>
        <v>-182.15999999999991</v>
      </c>
      <c r="V147" s="23">
        <f t="shared" si="349"/>
        <v>-168.4799999999999</v>
      </c>
      <c r="W147" s="23">
        <f t="shared" si="349"/>
        <v>-154.7999999999999</v>
      </c>
      <c r="X147" s="23">
        <f t="shared" si="349"/>
        <v>-141.11999999999989</v>
      </c>
      <c r="Y147" s="23">
        <f t="shared" si="349"/>
        <v>-127.43999999999988</v>
      </c>
      <c r="Z147" s="23">
        <f t="shared" si="349"/>
        <v>-113.75999999999988</v>
      </c>
      <c r="AA147" s="23">
        <f t="shared" si="349"/>
        <v>-100.07999999999987</v>
      </c>
      <c r="AB147" s="23">
        <f t="shared" si="349"/>
        <v>-86.399999999999864</v>
      </c>
      <c r="AC147" s="23">
        <f t="shared" si="349"/>
        <v>-72.719999999999857</v>
      </c>
      <c r="AD147" s="23">
        <f t="shared" si="349"/>
        <v>-59.039999999999857</v>
      </c>
      <c r="AE147" s="23">
        <f t="shared" si="349"/>
        <v>-45.359999999999857</v>
      </c>
      <c r="AF147" s="23">
        <f t="shared" si="349"/>
        <v>-31.679999999999858</v>
      </c>
      <c r="AG147" s="23">
        <f t="shared" si="349"/>
        <v>1.4210854715202004E-13</v>
      </c>
      <c r="AH147" s="23">
        <f t="shared" si="349"/>
        <v>1.4210854715202004E-13</v>
      </c>
      <c r="AI147" s="23">
        <f t="shared" si="349"/>
        <v>1.4210854715202004E-13</v>
      </c>
      <c r="AJ147" s="23">
        <f t="shared" si="349"/>
        <v>1.4210854715202004E-13</v>
      </c>
      <c r="AK147" s="23">
        <f t="shared" si="349"/>
        <v>1.4210854715202004E-13</v>
      </c>
      <c r="AL147" s="23">
        <f t="shared" si="349"/>
        <v>1.4210854715202004E-13</v>
      </c>
      <c r="AM147" s="23">
        <f t="shared" si="349"/>
        <v>1.4210854715202004E-13</v>
      </c>
      <c r="AN147" s="23">
        <f t="shared" si="349"/>
        <v>1.4210854715202004E-13</v>
      </c>
      <c r="AO147" s="23">
        <f t="shared" si="349"/>
        <v>1.4210854715202004E-13</v>
      </c>
      <c r="AP147" s="23">
        <f t="shared" si="349"/>
        <v>1.4210854715202004E-13</v>
      </c>
      <c r="AQ147" s="23">
        <f t="shared" si="349"/>
        <v>1.4210854715202004E-13</v>
      </c>
      <c r="AR147" s="23">
        <f t="shared" si="349"/>
        <v>1.4210854715202004E-13</v>
      </c>
      <c r="AS147" s="23">
        <f t="shared" si="349"/>
        <v>1.4210854715202004E-13</v>
      </c>
      <c r="AT147" s="23">
        <f t="shared" si="349"/>
        <v>1.4210854715202004E-13</v>
      </c>
      <c r="AU147" s="23">
        <f t="shared" si="349"/>
        <v>1.4210854715202004E-13</v>
      </c>
      <c r="AV147" s="23">
        <f t="shared" si="349"/>
        <v>1.4210854715202004E-13</v>
      </c>
      <c r="AW147" s="23">
        <f t="shared" si="349"/>
        <v>1.4210854715202004E-13</v>
      </c>
    </row>
    <row r="148" spans="3:49" ht="14.25" customHeight="1">
      <c r="C148" s="184" t="s">
        <v>459</v>
      </c>
      <c r="D148" s="178">
        <f>IF(-SUM(D145:AW145)=ROUND($D$25*(1-'Assumptions &amp; Inputs'!$H$37),0),"yes",ROUND(SUM(D145:AW145)-$D$25*(1-'Assumptions &amp; Inputs'!$H$37),0))</f>
        <v>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3:49" ht="14.25" customHeight="1">
      <c r="C149" s="184"/>
      <c r="D149" s="17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3:49" ht="14.25" customHeight="1">
      <c r="C150" s="2" t="s">
        <v>492</v>
      </c>
      <c r="D150" s="31"/>
      <c r="E150" s="31">
        <f t="shared" ref="E150:X150" si="350">SUM(E126,-E145)</f>
        <v>0</v>
      </c>
      <c r="F150" s="31">
        <f t="shared" si="350"/>
        <v>0</v>
      </c>
      <c r="G150" s="31">
        <f t="shared" si="350"/>
        <v>0</v>
      </c>
      <c r="H150" s="31">
        <f t="shared" si="350"/>
        <v>30.941648947947417</v>
      </c>
      <c r="I150" s="31">
        <f t="shared" si="350"/>
        <v>51.54079113535294</v>
      </c>
      <c r="J150" s="31">
        <f t="shared" si="350"/>
        <v>52.297503194684133</v>
      </c>
      <c r="K150" s="31">
        <f t="shared" si="350"/>
        <v>53.06465910881559</v>
      </c>
      <c r="L150" s="31">
        <f t="shared" si="350"/>
        <v>53.842372404915203</v>
      </c>
      <c r="M150" s="31">
        <f t="shared" si="350"/>
        <v>54.630756494394362</v>
      </c>
      <c r="N150" s="31">
        <f t="shared" si="350"/>
        <v>55.429924608072142</v>
      </c>
      <c r="O150" s="31">
        <f t="shared" si="350"/>
        <v>56.239989728323117</v>
      </c>
      <c r="P150" s="31">
        <f t="shared" si="350"/>
        <v>57.061064518100224</v>
      </c>
      <c r="Q150" s="31">
        <f t="shared" si="350"/>
        <v>57.893261246719213</v>
      </c>
      <c r="R150" s="31">
        <f t="shared" si="350"/>
        <v>58.736691712288994</v>
      </c>
      <c r="S150" s="31">
        <f t="shared" si="350"/>
        <v>59.591467160666774</v>
      </c>
      <c r="T150" s="31">
        <f t="shared" si="350"/>
        <v>60.457698200814434</v>
      </c>
      <c r="U150" s="31">
        <f t="shared" si="350"/>
        <v>61.33549471642705</v>
      </c>
      <c r="V150" s="31">
        <f t="shared" si="350"/>
        <v>62.224965773701747</v>
      </c>
      <c r="W150" s="31">
        <f t="shared" si="350"/>
        <v>63.12621952510947</v>
      </c>
      <c r="X150" s="31">
        <f t="shared" si="350"/>
        <v>64.039363109028457</v>
      </c>
      <c r="Y150" s="31">
        <f t="shared" ref="Y150:AW150" si="351">SUM(Y126,-Y145)</f>
        <v>64.964502545093538</v>
      </c>
      <c r="Z150" s="31">
        <f t="shared" si="351"/>
        <v>65.901742625110359</v>
      </c>
      <c r="AA150" s="31">
        <f t="shared" si="351"/>
        <v>66.851186799378837</v>
      </c>
      <c r="AB150" s="31">
        <f t="shared" si="351"/>
        <v>67.812937058265547</v>
      </c>
      <c r="AC150" s="31">
        <f t="shared" si="351"/>
        <v>68.787093808858373</v>
      </c>
      <c r="AD150" s="31">
        <f t="shared" si="351"/>
        <v>69.773755746532672</v>
      </c>
      <c r="AE150" s="31">
        <f t="shared" si="351"/>
        <v>70.77301972125197</v>
      </c>
      <c r="AF150" s="31">
        <f t="shared" si="351"/>
        <v>71.784980598420475</v>
      </c>
      <c r="AG150" s="31">
        <f t="shared" si="351"/>
        <v>72.809731114098582</v>
      </c>
      <c r="AH150" s="31">
        <f t="shared" si="351"/>
        <v>0</v>
      </c>
      <c r="AI150" s="31">
        <f t="shared" si="351"/>
        <v>0</v>
      </c>
      <c r="AJ150" s="31">
        <f t="shared" si="351"/>
        <v>0</v>
      </c>
      <c r="AK150" s="31">
        <f t="shared" si="351"/>
        <v>0</v>
      </c>
      <c r="AL150" s="31">
        <f t="shared" si="351"/>
        <v>0</v>
      </c>
      <c r="AM150" s="31">
        <f t="shared" si="351"/>
        <v>0</v>
      </c>
      <c r="AN150" s="31">
        <f t="shared" si="351"/>
        <v>0</v>
      </c>
      <c r="AO150" s="31">
        <f t="shared" si="351"/>
        <v>0</v>
      </c>
      <c r="AP150" s="31">
        <f t="shared" si="351"/>
        <v>0</v>
      </c>
      <c r="AQ150" s="31">
        <f t="shared" si="351"/>
        <v>0</v>
      </c>
      <c r="AR150" s="31">
        <f t="shared" si="351"/>
        <v>0</v>
      </c>
      <c r="AS150" s="31">
        <f t="shared" si="351"/>
        <v>0</v>
      </c>
      <c r="AT150" s="31">
        <f t="shared" si="351"/>
        <v>0</v>
      </c>
      <c r="AU150" s="31">
        <f t="shared" si="351"/>
        <v>0</v>
      </c>
      <c r="AV150" s="31">
        <f t="shared" si="351"/>
        <v>0</v>
      </c>
      <c r="AW150" s="31">
        <f t="shared" si="351"/>
        <v>0</v>
      </c>
    </row>
  </sheetData>
  <mergeCells count="6">
    <mergeCell ref="E109:P109"/>
    <mergeCell ref="E8:P8"/>
    <mergeCell ref="E31:P31"/>
    <mergeCell ref="C64:E64"/>
    <mergeCell ref="C78:E78"/>
    <mergeCell ref="E88:P88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0962-15E5-437E-843C-FCA730A59712}">
  <sheetPr codeName="Sheet13">
    <tabColor rgb="FF92D050"/>
  </sheetPr>
  <dimension ref="A2:AW155"/>
  <sheetViews>
    <sheetView workbookViewId="0">
      <selection activeCell="T131" sqref="T131"/>
    </sheetView>
  </sheetViews>
  <sheetFormatPr baseColWidth="10" defaultColWidth="14.33203125" defaultRowHeight="15" customHeight="1"/>
  <cols>
    <col min="1" max="1" width="4.1640625" style="342" customWidth="1"/>
    <col min="2" max="2" width="3.6640625" style="342" customWidth="1"/>
    <col min="3" max="3" width="42.83203125" style="342" customWidth="1"/>
    <col min="4" max="16384" width="14.33203125" style="342"/>
  </cols>
  <sheetData>
    <row r="2" spans="1:49" ht="14.25" customHeight="1">
      <c r="C2" s="343" t="s">
        <v>469</v>
      </c>
      <c r="D2" s="344"/>
      <c r="E2" s="345">
        <v>1000</v>
      </c>
      <c r="F2" s="343"/>
    </row>
    <row r="3" spans="1:49" ht="14.25" customHeight="1">
      <c r="C3" s="343" t="s">
        <v>470</v>
      </c>
      <c r="D3" s="346"/>
      <c r="E3" s="347">
        <v>1000000</v>
      </c>
      <c r="F3" s="343"/>
    </row>
    <row r="4" spans="1:49" ht="14.25" customHeight="1"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</row>
    <row r="5" spans="1:49" ht="14.25" customHeight="1" thickBot="1">
      <c r="A5" s="342" t="s">
        <v>351</v>
      </c>
      <c r="C5" s="349" t="s">
        <v>352</v>
      </c>
      <c r="D5" s="349"/>
      <c r="E5" s="350"/>
      <c r="F5" s="350"/>
      <c r="G5" s="350"/>
      <c r="H5" s="350"/>
      <c r="I5" s="350"/>
      <c r="J5" s="351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</row>
    <row r="6" spans="1:49" ht="14.25" customHeight="1">
      <c r="C6" s="352" t="s">
        <v>353</v>
      </c>
      <c r="D6" s="353"/>
      <c r="E6" s="354"/>
      <c r="F6" s="354"/>
      <c r="G6" s="354"/>
      <c r="H6" s="354"/>
      <c r="I6" s="354"/>
      <c r="J6" s="354"/>
      <c r="K6" s="354"/>
      <c r="L6" s="354"/>
      <c r="M6" s="354"/>
      <c r="N6" s="354"/>
    </row>
    <row r="7" spans="1:49" ht="14.25" customHeight="1">
      <c r="D7" s="355">
        <v>0</v>
      </c>
      <c r="E7" s="356">
        <f t="shared" ref="E7:X7" si="0">D7+1</f>
        <v>1</v>
      </c>
      <c r="F7" s="356">
        <f t="shared" si="0"/>
        <v>2</v>
      </c>
      <c r="G7" s="356">
        <f t="shared" si="0"/>
        <v>3</v>
      </c>
      <c r="H7" s="356">
        <f t="shared" si="0"/>
        <v>4</v>
      </c>
      <c r="I7" s="356">
        <f t="shared" si="0"/>
        <v>5</v>
      </c>
      <c r="J7" s="356">
        <f t="shared" si="0"/>
        <v>6</v>
      </c>
      <c r="K7" s="356">
        <f t="shared" si="0"/>
        <v>7</v>
      </c>
      <c r="L7" s="356">
        <f t="shared" si="0"/>
        <v>8</v>
      </c>
      <c r="M7" s="356">
        <f t="shared" si="0"/>
        <v>9</v>
      </c>
      <c r="N7" s="356">
        <f t="shared" si="0"/>
        <v>10</v>
      </c>
      <c r="O7" s="356">
        <f t="shared" si="0"/>
        <v>11</v>
      </c>
      <c r="P7" s="356">
        <f t="shared" si="0"/>
        <v>12</v>
      </c>
      <c r="Q7" s="356">
        <f t="shared" si="0"/>
        <v>13</v>
      </c>
      <c r="R7" s="356">
        <f t="shared" si="0"/>
        <v>14</v>
      </c>
      <c r="S7" s="356">
        <f t="shared" si="0"/>
        <v>15</v>
      </c>
      <c r="T7" s="356">
        <f t="shared" si="0"/>
        <v>16</v>
      </c>
      <c r="U7" s="356">
        <f t="shared" si="0"/>
        <v>17</v>
      </c>
      <c r="V7" s="356">
        <f t="shared" si="0"/>
        <v>18</v>
      </c>
      <c r="W7" s="356">
        <f t="shared" si="0"/>
        <v>19</v>
      </c>
      <c r="X7" s="356">
        <f t="shared" si="0"/>
        <v>20</v>
      </c>
      <c r="Y7" s="356">
        <f t="shared" ref="Y7:AW7" si="1">X7+1</f>
        <v>21</v>
      </c>
      <c r="Z7" s="356">
        <f t="shared" si="1"/>
        <v>22</v>
      </c>
      <c r="AA7" s="356">
        <f t="shared" si="1"/>
        <v>23</v>
      </c>
      <c r="AB7" s="356">
        <f t="shared" si="1"/>
        <v>24</v>
      </c>
      <c r="AC7" s="356">
        <f t="shared" si="1"/>
        <v>25</v>
      </c>
      <c r="AD7" s="356">
        <f t="shared" si="1"/>
        <v>26</v>
      </c>
      <c r="AE7" s="356">
        <f t="shared" si="1"/>
        <v>27</v>
      </c>
      <c r="AF7" s="356">
        <f t="shared" si="1"/>
        <v>28</v>
      </c>
      <c r="AG7" s="356">
        <f t="shared" si="1"/>
        <v>29</v>
      </c>
      <c r="AH7" s="356">
        <f t="shared" si="1"/>
        <v>30</v>
      </c>
      <c r="AI7" s="356">
        <f t="shared" si="1"/>
        <v>31</v>
      </c>
      <c r="AJ7" s="356">
        <f t="shared" si="1"/>
        <v>32</v>
      </c>
      <c r="AK7" s="356">
        <f t="shared" si="1"/>
        <v>33</v>
      </c>
      <c r="AL7" s="356">
        <f t="shared" si="1"/>
        <v>34</v>
      </c>
      <c r="AM7" s="356">
        <f t="shared" si="1"/>
        <v>35</v>
      </c>
      <c r="AN7" s="356">
        <f t="shared" si="1"/>
        <v>36</v>
      </c>
      <c r="AO7" s="356">
        <f t="shared" si="1"/>
        <v>37</v>
      </c>
      <c r="AP7" s="356">
        <f t="shared" si="1"/>
        <v>38</v>
      </c>
      <c r="AQ7" s="356">
        <f t="shared" si="1"/>
        <v>39</v>
      </c>
      <c r="AR7" s="356">
        <f t="shared" si="1"/>
        <v>40</v>
      </c>
      <c r="AS7" s="356">
        <f t="shared" si="1"/>
        <v>41</v>
      </c>
      <c r="AT7" s="356">
        <f t="shared" si="1"/>
        <v>42</v>
      </c>
      <c r="AU7" s="356">
        <f t="shared" si="1"/>
        <v>43</v>
      </c>
      <c r="AV7" s="356">
        <f t="shared" si="1"/>
        <v>44</v>
      </c>
      <c r="AW7" s="356">
        <f t="shared" si="1"/>
        <v>45</v>
      </c>
    </row>
    <row r="8" spans="1:49" ht="14.25" customHeight="1" thickBot="1">
      <c r="A8" s="357"/>
      <c r="B8" s="357"/>
      <c r="C8" s="358"/>
      <c r="D8" s="359"/>
      <c r="E8" s="833" t="s">
        <v>354</v>
      </c>
      <c r="F8" s="833"/>
      <c r="G8" s="833"/>
      <c r="H8" s="833"/>
      <c r="I8" s="833"/>
      <c r="J8" s="833"/>
      <c r="K8" s="833"/>
      <c r="L8" s="833"/>
      <c r="M8" s="833"/>
      <c r="N8" s="833"/>
      <c r="O8" s="833"/>
      <c r="P8" s="833"/>
      <c r="Q8" s="360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60"/>
      <c r="AH8" s="360"/>
      <c r="AI8" s="360"/>
      <c r="AJ8" s="360"/>
      <c r="AK8" s="360"/>
      <c r="AL8" s="360"/>
      <c r="AM8" s="360"/>
      <c r="AN8" s="360"/>
      <c r="AO8" s="360"/>
      <c r="AP8" s="360"/>
      <c r="AQ8" s="360"/>
      <c r="AR8" s="360"/>
      <c r="AS8" s="360"/>
      <c r="AT8" s="360"/>
      <c r="AU8" s="360"/>
      <c r="AV8" s="360"/>
      <c r="AW8" s="360"/>
    </row>
    <row r="9" spans="1:49" ht="14.25" customHeight="1">
      <c r="A9" s="357"/>
      <c r="B9" s="359"/>
      <c r="C9" s="361"/>
      <c r="D9" s="362">
        <f>YEAR(D10)</f>
        <v>2026</v>
      </c>
      <c r="E9" s="362">
        <f t="shared" ref="E9:X9" si="2">D9+1</f>
        <v>2027</v>
      </c>
      <c r="F9" s="362">
        <f t="shared" si="2"/>
        <v>2028</v>
      </c>
      <c r="G9" s="362">
        <f t="shared" si="2"/>
        <v>2029</v>
      </c>
      <c r="H9" s="362">
        <f t="shared" si="2"/>
        <v>2030</v>
      </c>
      <c r="I9" s="362">
        <f t="shared" si="2"/>
        <v>2031</v>
      </c>
      <c r="J9" s="362">
        <f t="shared" si="2"/>
        <v>2032</v>
      </c>
      <c r="K9" s="362">
        <f t="shared" si="2"/>
        <v>2033</v>
      </c>
      <c r="L9" s="362">
        <f t="shared" si="2"/>
        <v>2034</v>
      </c>
      <c r="M9" s="362">
        <f t="shared" si="2"/>
        <v>2035</v>
      </c>
      <c r="N9" s="362">
        <f t="shared" si="2"/>
        <v>2036</v>
      </c>
      <c r="O9" s="362">
        <f t="shared" si="2"/>
        <v>2037</v>
      </c>
      <c r="P9" s="362">
        <f t="shared" si="2"/>
        <v>2038</v>
      </c>
      <c r="Q9" s="362">
        <f t="shared" si="2"/>
        <v>2039</v>
      </c>
      <c r="R9" s="362">
        <f t="shared" si="2"/>
        <v>2040</v>
      </c>
      <c r="S9" s="362">
        <f t="shared" si="2"/>
        <v>2041</v>
      </c>
      <c r="T9" s="362">
        <f t="shared" si="2"/>
        <v>2042</v>
      </c>
      <c r="U9" s="362">
        <f t="shared" si="2"/>
        <v>2043</v>
      </c>
      <c r="V9" s="362">
        <f t="shared" si="2"/>
        <v>2044</v>
      </c>
      <c r="W9" s="362">
        <f t="shared" si="2"/>
        <v>2045</v>
      </c>
      <c r="X9" s="362">
        <f t="shared" si="2"/>
        <v>2046</v>
      </c>
      <c r="Y9" s="362">
        <f t="shared" ref="Y9" si="3">X9+1</f>
        <v>2047</v>
      </c>
      <c r="Z9" s="362">
        <f t="shared" ref="Z9" si="4">Y9+1</f>
        <v>2048</v>
      </c>
      <c r="AA9" s="362">
        <f t="shared" ref="AA9" si="5">Z9+1</f>
        <v>2049</v>
      </c>
      <c r="AB9" s="362">
        <f t="shared" ref="AB9" si="6">AA9+1</f>
        <v>2050</v>
      </c>
      <c r="AC9" s="362">
        <f t="shared" ref="AC9" si="7">AB9+1</f>
        <v>2051</v>
      </c>
      <c r="AD9" s="362">
        <f t="shared" ref="AD9" si="8">AC9+1</f>
        <v>2052</v>
      </c>
      <c r="AE9" s="362">
        <f t="shared" ref="AE9" si="9">AD9+1</f>
        <v>2053</v>
      </c>
      <c r="AF9" s="362">
        <f t="shared" ref="AF9" si="10">AE9+1</f>
        <v>2054</v>
      </c>
      <c r="AG9" s="362">
        <f t="shared" ref="AG9" si="11">AF9+1</f>
        <v>2055</v>
      </c>
      <c r="AH9" s="362">
        <f t="shared" ref="AH9" si="12">AG9+1</f>
        <v>2056</v>
      </c>
      <c r="AI9" s="362">
        <f t="shared" ref="AI9" si="13">AH9+1</f>
        <v>2057</v>
      </c>
      <c r="AJ9" s="362">
        <f t="shared" ref="AJ9" si="14">AI9+1</f>
        <v>2058</v>
      </c>
      <c r="AK9" s="362">
        <f t="shared" ref="AK9" si="15">AJ9+1</f>
        <v>2059</v>
      </c>
      <c r="AL9" s="362">
        <f t="shared" ref="AL9" si="16">AK9+1</f>
        <v>2060</v>
      </c>
      <c r="AM9" s="362">
        <f t="shared" ref="AM9" si="17">AL9+1</f>
        <v>2061</v>
      </c>
      <c r="AN9" s="362">
        <f t="shared" ref="AN9" si="18">AM9+1</f>
        <v>2062</v>
      </c>
      <c r="AO9" s="362">
        <f t="shared" ref="AO9" si="19">AN9+1</f>
        <v>2063</v>
      </c>
      <c r="AP9" s="362">
        <f t="shared" ref="AP9" si="20">AO9+1</f>
        <v>2064</v>
      </c>
      <c r="AQ9" s="362">
        <f t="shared" ref="AQ9" si="21">AP9+1</f>
        <v>2065</v>
      </c>
      <c r="AR9" s="362">
        <f t="shared" ref="AR9" si="22">AQ9+1</f>
        <v>2066</v>
      </c>
      <c r="AS9" s="362">
        <f t="shared" ref="AS9" si="23">AR9+1</f>
        <v>2067</v>
      </c>
      <c r="AT9" s="362">
        <f t="shared" ref="AT9" si="24">AS9+1</f>
        <v>2068</v>
      </c>
      <c r="AU9" s="362">
        <f t="shared" ref="AU9" si="25">AT9+1</f>
        <v>2069</v>
      </c>
      <c r="AV9" s="362">
        <f t="shared" ref="AV9" si="26">AU9+1</f>
        <v>2070</v>
      </c>
      <c r="AW9" s="363">
        <f t="shared" ref="AW9" si="27">AV9+1</f>
        <v>2071</v>
      </c>
    </row>
    <row r="10" spans="1:49" ht="14.25" customHeight="1">
      <c r="A10" s="358"/>
      <c r="B10" s="358"/>
      <c r="C10" s="364"/>
      <c r="D10" s="365">
        <f>'Assumptions &amp; Inputs'!$J$27</f>
        <v>46023</v>
      </c>
      <c r="E10" s="365">
        <f>DATE(E9, 12, 31)</f>
        <v>46752</v>
      </c>
      <c r="F10" s="365">
        <f t="shared" ref="F10:X10" si="28">DATE(F9, 12, 31)</f>
        <v>47118</v>
      </c>
      <c r="G10" s="365">
        <f t="shared" si="28"/>
        <v>47483</v>
      </c>
      <c r="H10" s="365">
        <f t="shared" si="28"/>
        <v>47848</v>
      </c>
      <c r="I10" s="365">
        <f t="shared" si="28"/>
        <v>48213</v>
      </c>
      <c r="J10" s="365">
        <f t="shared" si="28"/>
        <v>48579</v>
      </c>
      <c r="K10" s="365">
        <f t="shared" si="28"/>
        <v>48944</v>
      </c>
      <c r="L10" s="365">
        <f t="shared" si="28"/>
        <v>49309</v>
      </c>
      <c r="M10" s="365">
        <f t="shared" si="28"/>
        <v>49674</v>
      </c>
      <c r="N10" s="365">
        <f t="shared" si="28"/>
        <v>50040</v>
      </c>
      <c r="O10" s="365">
        <f t="shared" si="28"/>
        <v>50405</v>
      </c>
      <c r="P10" s="365">
        <f t="shared" si="28"/>
        <v>50770</v>
      </c>
      <c r="Q10" s="365">
        <f t="shared" si="28"/>
        <v>51135</v>
      </c>
      <c r="R10" s="365">
        <f t="shared" si="28"/>
        <v>51501</v>
      </c>
      <c r="S10" s="365">
        <f t="shared" si="28"/>
        <v>51866</v>
      </c>
      <c r="T10" s="365">
        <f t="shared" si="28"/>
        <v>52231</v>
      </c>
      <c r="U10" s="365">
        <f t="shared" si="28"/>
        <v>52596</v>
      </c>
      <c r="V10" s="365">
        <f t="shared" si="28"/>
        <v>52962</v>
      </c>
      <c r="W10" s="365">
        <f t="shared" si="28"/>
        <v>53327</v>
      </c>
      <c r="X10" s="365">
        <f t="shared" si="28"/>
        <v>53692</v>
      </c>
      <c r="Y10" s="365">
        <f t="shared" ref="Y10:AW10" si="29">DATE(Y9, 12, 31)</f>
        <v>54057</v>
      </c>
      <c r="Z10" s="365">
        <f t="shared" si="29"/>
        <v>54423</v>
      </c>
      <c r="AA10" s="365">
        <f t="shared" si="29"/>
        <v>54788</v>
      </c>
      <c r="AB10" s="365">
        <f t="shared" si="29"/>
        <v>55153</v>
      </c>
      <c r="AC10" s="365">
        <f t="shared" si="29"/>
        <v>55518</v>
      </c>
      <c r="AD10" s="365">
        <f t="shared" si="29"/>
        <v>55884</v>
      </c>
      <c r="AE10" s="365">
        <f t="shared" si="29"/>
        <v>56249</v>
      </c>
      <c r="AF10" s="365">
        <f t="shared" si="29"/>
        <v>56614</v>
      </c>
      <c r="AG10" s="365">
        <f t="shared" si="29"/>
        <v>56979</v>
      </c>
      <c r="AH10" s="365">
        <f t="shared" si="29"/>
        <v>57345</v>
      </c>
      <c r="AI10" s="365">
        <f t="shared" si="29"/>
        <v>57710</v>
      </c>
      <c r="AJ10" s="365">
        <f t="shared" si="29"/>
        <v>58075</v>
      </c>
      <c r="AK10" s="365">
        <f t="shared" si="29"/>
        <v>58440</v>
      </c>
      <c r="AL10" s="365">
        <f t="shared" si="29"/>
        <v>58806</v>
      </c>
      <c r="AM10" s="365">
        <f t="shared" si="29"/>
        <v>59171</v>
      </c>
      <c r="AN10" s="365">
        <f t="shared" si="29"/>
        <v>59536</v>
      </c>
      <c r="AO10" s="365">
        <f t="shared" si="29"/>
        <v>59901</v>
      </c>
      <c r="AP10" s="365">
        <f t="shared" si="29"/>
        <v>60267</v>
      </c>
      <c r="AQ10" s="365">
        <f t="shared" si="29"/>
        <v>60632</v>
      </c>
      <c r="AR10" s="365">
        <f t="shared" si="29"/>
        <v>60997</v>
      </c>
      <c r="AS10" s="365">
        <f t="shared" si="29"/>
        <v>61362</v>
      </c>
      <c r="AT10" s="365">
        <f t="shared" si="29"/>
        <v>61728</v>
      </c>
      <c r="AU10" s="365">
        <f t="shared" si="29"/>
        <v>62093</v>
      </c>
      <c r="AV10" s="365">
        <f t="shared" si="29"/>
        <v>62458</v>
      </c>
      <c r="AW10" s="366">
        <f t="shared" si="29"/>
        <v>62823</v>
      </c>
    </row>
    <row r="11" spans="1:49" ht="14.25" customHeight="1">
      <c r="B11" s="348"/>
      <c r="C11" s="367" t="s">
        <v>471</v>
      </c>
      <c r="D11" s="368">
        <f>IF(DATEDIF('Assumptions &amp; Inputs'!$J$27,DATE(YEAR('Assumptions &amp; Inputs'!$J$27),12,31),"m")&gt;'Assumptions &amp; Inputs'!$J$28, 'Assumptions &amp; Inputs'!$J$28, DATEDIF('Assumptions &amp; Inputs'!$J$27,DATE(YEAR('Assumptions &amp; Inputs'!$J$27),12,31),"m"))</f>
        <v>11</v>
      </c>
      <c r="E11" s="368">
        <f>IF('Assumptions &amp; Inputs'!$J$28-D12&lt;=12,MIN('Assumptions &amp; Inputs'!$J$28-D12,12), 12)</f>
        <v>4</v>
      </c>
      <c r="F11" s="368">
        <f>IF('Assumptions &amp; Inputs'!$J$28-E12&lt;=12,MIN('Assumptions &amp; Inputs'!$J$28-E12,12), 12)</f>
        <v>0</v>
      </c>
      <c r="G11" s="368">
        <f>IF('Assumptions &amp; Inputs'!$J$28-F12&lt;=12,MIN('Assumptions &amp; Inputs'!$J$28-F12,12), 12)</f>
        <v>0</v>
      </c>
      <c r="H11" s="368">
        <f>IF('Assumptions &amp; Inputs'!$J$28-G12&lt;=12,MIN('Assumptions &amp; Inputs'!$J$28-G12,12), 12)</f>
        <v>0</v>
      </c>
      <c r="I11" s="368">
        <f>IF('Assumptions &amp; Inputs'!$J$28-H12&lt;=12,MIN('Assumptions &amp; Inputs'!$J$28-H12,12), 12)</f>
        <v>0</v>
      </c>
      <c r="J11" s="368">
        <f>IF('Assumptions &amp; Inputs'!$J$28-I12&lt;=12,MIN('Assumptions &amp; Inputs'!$J$28-I12,12), 12)</f>
        <v>0</v>
      </c>
      <c r="K11" s="368">
        <f>IF('Assumptions &amp; Inputs'!$J$28-J12&lt;=12,MIN('Assumptions &amp; Inputs'!$J$28-J12,12), 12)</f>
        <v>0</v>
      </c>
      <c r="L11" s="368">
        <f>IF('Assumptions &amp; Inputs'!$J$28-K12&lt;=12,MIN('Assumptions &amp; Inputs'!$J$28-K12,12), 12)</f>
        <v>0</v>
      </c>
      <c r="M11" s="368">
        <f>IF('Assumptions &amp; Inputs'!$J$28-L12&lt;=12,MIN('Assumptions &amp; Inputs'!$J$28-L12,12), 12)</f>
        <v>0</v>
      </c>
      <c r="N11" s="368">
        <f>IF('Assumptions &amp; Inputs'!$J$28-M12&lt;=12,MIN('Assumptions &amp; Inputs'!$J$28-M12,12), 12)</f>
        <v>0</v>
      </c>
      <c r="O11" s="368">
        <f>IF('Assumptions &amp; Inputs'!$J$28-N12&lt;=12,MIN('Assumptions &amp; Inputs'!$J$28-N12,12), 12)</f>
        <v>0</v>
      </c>
      <c r="P11" s="368">
        <f>IF('Assumptions &amp; Inputs'!$J$28-O12&lt;=12,MIN('Assumptions &amp; Inputs'!$J$28-O12,12), 12)</f>
        <v>0</v>
      </c>
      <c r="Q11" s="368">
        <f>IF('Assumptions &amp; Inputs'!$J$28-P12&lt;=12,MIN('Assumptions &amp; Inputs'!$J$28-P12,12), 12)</f>
        <v>0</v>
      </c>
      <c r="R11" s="368">
        <f>IF('Assumptions &amp; Inputs'!$J$28-Q12&lt;=12,MIN('Assumptions &amp; Inputs'!$J$28-Q12,12), 12)</f>
        <v>0</v>
      </c>
      <c r="S11" s="368">
        <f>IF('Assumptions &amp; Inputs'!$J$28-R12&lt;=12,MIN('Assumptions &amp; Inputs'!$J$28-R12,12), 12)</f>
        <v>0</v>
      </c>
      <c r="T11" s="368">
        <f>IF('Assumptions &amp; Inputs'!$J$28-S12&lt;=12,MIN('Assumptions &amp; Inputs'!$J$28-S12,12), 12)</f>
        <v>0</v>
      </c>
      <c r="U11" s="368">
        <f>IF('Assumptions &amp; Inputs'!$J$28-T12&lt;=12,MIN('Assumptions &amp; Inputs'!$J$28-T12,12), 12)</f>
        <v>0</v>
      </c>
      <c r="V11" s="368">
        <f>IF('Assumptions &amp; Inputs'!$J$28-U12&lt;=12,MIN('Assumptions &amp; Inputs'!$J$28-U12,12), 12)</f>
        <v>0</v>
      </c>
      <c r="W11" s="368">
        <f>IF('Assumptions &amp; Inputs'!$J$28-V12&lt;=12,MIN('Assumptions &amp; Inputs'!$J$28-V12,12), 12)</f>
        <v>0</v>
      </c>
      <c r="X11" s="368">
        <f>IF('Assumptions &amp; Inputs'!$J$28-W12&lt;=12,MIN('Assumptions &amp; Inputs'!$J$28-W12,12), 12)</f>
        <v>0</v>
      </c>
      <c r="Y11" s="368">
        <f>IF('Assumptions &amp; Inputs'!$J$28-X12&lt;=12,MIN('Assumptions &amp; Inputs'!$J$28-X12,12), 12)</f>
        <v>0</v>
      </c>
      <c r="Z11" s="368">
        <f>IF('Assumptions &amp; Inputs'!$J$28-Y12&lt;=12,MIN('Assumptions &amp; Inputs'!$J$28-Y12,12), 12)</f>
        <v>0</v>
      </c>
      <c r="AA11" s="368">
        <f>IF('Assumptions &amp; Inputs'!$J$28-Z12&lt;=12,MIN('Assumptions &amp; Inputs'!$J$28-Z12,12), 12)</f>
        <v>0</v>
      </c>
      <c r="AB11" s="368">
        <f>IF('Assumptions &amp; Inputs'!$J$28-AA12&lt;=12,MIN('Assumptions &amp; Inputs'!$J$28-AA12,12), 12)</f>
        <v>0</v>
      </c>
      <c r="AC11" s="368">
        <f>IF('Assumptions &amp; Inputs'!$J$28-AB12&lt;=12,MIN('Assumptions &amp; Inputs'!$J$28-AB12,12), 12)</f>
        <v>0</v>
      </c>
      <c r="AD11" s="368">
        <f>IF('Assumptions &amp; Inputs'!$J$28-AC12&lt;=12,MIN('Assumptions &amp; Inputs'!$J$28-AC12,12), 12)</f>
        <v>0</v>
      </c>
      <c r="AE11" s="368">
        <f>IF('Assumptions &amp; Inputs'!$J$28-AD12&lt;=12,MIN('Assumptions &amp; Inputs'!$J$28-AD12,12), 12)</f>
        <v>0</v>
      </c>
      <c r="AF11" s="368">
        <f>IF('Assumptions &amp; Inputs'!$J$28-AE12&lt;=12,MIN('Assumptions &amp; Inputs'!$J$28-AE12,12), 12)</f>
        <v>0</v>
      </c>
      <c r="AG11" s="368">
        <f>IF('Assumptions &amp; Inputs'!$J$28-AF12&lt;=12,MIN('Assumptions &amp; Inputs'!$J$28-AF12,12), 12)</f>
        <v>0</v>
      </c>
      <c r="AH11" s="368">
        <f>IF('Assumptions &amp; Inputs'!$J$28-AG12&lt;=12,MIN('Assumptions &amp; Inputs'!$J$28-AG12,12), 12)</f>
        <v>0</v>
      </c>
      <c r="AI11" s="368">
        <f>IF('Assumptions &amp; Inputs'!$J$28-AH12&lt;=12,MIN('Assumptions &amp; Inputs'!$J$28-AH12,12), 12)</f>
        <v>0</v>
      </c>
      <c r="AJ11" s="368">
        <f>IF('Assumptions &amp; Inputs'!$J$28-AI12&lt;=12,MIN('Assumptions &amp; Inputs'!$J$28-AI12,12), 12)</f>
        <v>0</v>
      </c>
      <c r="AK11" s="368">
        <f>IF('Assumptions &amp; Inputs'!$J$28-AJ12&lt;=12,MIN('Assumptions &amp; Inputs'!$J$28-AJ12,12), 12)</f>
        <v>0</v>
      </c>
      <c r="AL11" s="368">
        <f>IF('Assumptions &amp; Inputs'!$J$28-AK12&lt;=12,MIN('Assumptions &amp; Inputs'!$J$28-AK12,12), 12)</f>
        <v>0</v>
      </c>
      <c r="AM11" s="368">
        <f>IF('Assumptions &amp; Inputs'!$J$28-AL12&lt;=12,MIN('Assumptions &amp; Inputs'!$J$28-AL12,12), 12)</f>
        <v>0</v>
      </c>
      <c r="AN11" s="368">
        <f>IF('Assumptions &amp; Inputs'!$J$28-AM12&lt;=12,MIN('Assumptions &amp; Inputs'!$J$28-AM12,12), 12)</f>
        <v>0</v>
      </c>
      <c r="AO11" s="368">
        <f>IF('Assumptions &amp; Inputs'!$J$28-AN12&lt;=12,MIN('Assumptions &amp; Inputs'!$J$28-AN12,12), 12)</f>
        <v>0</v>
      </c>
      <c r="AP11" s="368">
        <f>IF('Assumptions &amp; Inputs'!$J$28-AO12&lt;=12,MIN('Assumptions &amp; Inputs'!$J$28-AO12,12), 12)</f>
        <v>0</v>
      </c>
      <c r="AQ11" s="368">
        <f>IF('Assumptions &amp; Inputs'!$J$28-AP12&lt;=12,MIN('Assumptions &amp; Inputs'!$J$28-AP12,12), 12)</f>
        <v>0</v>
      </c>
      <c r="AR11" s="368">
        <f>IF('Assumptions &amp; Inputs'!$J$28-AQ12&lt;=12,MIN('Assumptions &amp; Inputs'!$J$28-AQ12,12), 12)</f>
        <v>0</v>
      </c>
      <c r="AS11" s="368">
        <f>IF('Assumptions &amp; Inputs'!$J$28-AR12&lt;=12,MIN('Assumptions &amp; Inputs'!$J$28-AR12,12), 12)</f>
        <v>0</v>
      </c>
      <c r="AT11" s="368">
        <f>IF('Assumptions &amp; Inputs'!$J$28-AS12&lt;=12,MIN('Assumptions &amp; Inputs'!$J$28-AS12,12), 12)</f>
        <v>0</v>
      </c>
      <c r="AU11" s="368">
        <f>IF('Assumptions &amp; Inputs'!$J$28-AT12&lt;=12,MIN('Assumptions &amp; Inputs'!$J$28-AT12,12), 12)</f>
        <v>0</v>
      </c>
      <c r="AV11" s="368">
        <f>IF('Assumptions &amp; Inputs'!$J$28-AU12&lt;=12,MIN('Assumptions &amp; Inputs'!$J$28-AU12,12), 12)</f>
        <v>0</v>
      </c>
      <c r="AW11" s="369">
        <f>IF('Assumptions &amp; Inputs'!$J$28-AV12&lt;=12,MIN('Assumptions &amp; Inputs'!$J$28-AV12,12), 12)</f>
        <v>0</v>
      </c>
    </row>
    <row r="12" spans="1:49" ht="14.25" customHeight="1">
      <c r="B12" s="348"/>
      <c r="C12" s="367" t="s">
        <v>472</v>
      </c>
      <c r="D12" s="368">
        <f>D11</f>
        <v>11</v>
      </c>
      <c r="E12" s="368">
        <f>E11+D12</f>
        <v>15</v>
      </c>
      <c r="F12" s="368">
        <f t="shared" ref="F12:X12" si="30">F11+E12</f>
        <v>15</v>
      </c>
      <c r="G12" s="368">
        <f t="shared" si="30"/>
        <v>15</v>
      </c>
      <c r="H12" s="368">
        <f t="shared" si="30"/>
        <v>15</v>
      </c>
      <c r="I12" s="368">
        <f t="shared" si="30"/>
        <v>15</v>
      </c>
      <c r="J12" s="368">
        <f t="shared" si="30"/>
        <v>15</v>
      </c>
      <c r="K12" s="368">
        <f t="shared" si="30"/>
        <v>15</v>
      </c>
      <c r="L12" s="368">
        <f t="shared" si="30"/>
        <v>15</v>
      </c>
      <c r="M12" s="368">
        <f t="shared" si="30"/>
        <v>15</v>
      </c>
      <c r="N12" s="368">
        <f t="shared" si="30"/>
        <v>15</v>
      </c>
      <c r="O12" s="368">
        <f t="shared" si="30"/>
        <v>15</v>
      </c>
      <c r="P12" s="368">
        <f t="shared" si="30"/>
        <v>15</v>
      </c>
      <c r="Q12" s="368">
        <f t="shared" si="30"/>
        <v>15</v>
      </c>
      <c r="R12" s="368">
        <f t="shared" si="30"/>
        <v>15</v>
      </c>
      <c r="S12" s="368">
        <f t="shared" si="30"/>
        <v>15</v>
      </c>
      <c r="T12" s="368">
        <f t="shared" si="30"/>
        <v>15</v>
      </c>
      <c r="U12" s="368">
        <f t="shared" si="30"/>
        <v>15</v>
      </c>
      <c r="V12" s="368">
        <f t="shared" si="30"/>
        <v>15</v>
      </c>
      <c r="W12" s="368">
        <f t="shared" si="30"/>
        <v>15</v>
      </c>
      <c r="X12" s="368">
        <f t="shared" si="30"/>
        <v>15</v>
      </c>
      <c r="Y12" s="368">
        <f t="shared" ref="Y12" si="31">Y11+X12</f>
        <v>15</v>
      </c>
      <c r="Z12" s="368">
        <f t="shared" ref="Z12" si="32">Z11+Y12</f>
        <v>15</v>
      </c>
      <c r="AA12" s="368">
        <f t="shared" ref="AA12" si="33">AA11+Z12</f>
        <v>15</v>
      </c>
      <c r="AB12" s="368">
        <f t="shared" ref="AB12" si="34">AB11+AA12</f>
        <v>15</v>
      </c>
      <c r="AC12" s="368">
        <f t="shared" ref="AC12" si="35">AC11+AB12</f>
        <v>15</v>
      </c>
      <c r="AD12" s="368">
        <f t="shared" ref="AD12" si="36">AD11+AC12</f>
        <v>15</v>
      </c>
      <c r="AE12" s="368">
        <f t="shared" ref="AE12" si="37">AE11+AD12</f>
        <v>15</v>
      </c>
      <c r="AF12" s="368">
        <f t="shared" ref="AF12" si="38">AF11+AE12</f>
        <v>15</v>
      </c>
      <c r="AG12" s="368">
        <f t="shared" ref="AG12" si="39">AG11+AF12</f>
        <v>15</v>
      </c>
      <c r="AH12" s="368">
        <f t="shared" ref="AH12" si="40">AH11+AG12</f>
        <v>15</v>
      </c>
      <c r="AI12" s="368">
        <f t="shared" ref="AI12" si="41">AI11+AH12</f>
        <v>15</v>
      </c>
      <c r="AJ12" s="368">
        <f t="shared" ref="AJ12" si="42">AJ11+AI12</f>
        <v>15</v>
      </c>
      <c r="AK12" s="368">
        <f t="shared" ref="AK12" si="43">AK11+AJ12</f>
        <v>15</v>
      </c>
      <c r="AL12" s="368">
        <f t="shared" ref="AL12" si="44">AL11+AK12</f>
        <v>15</v>
      </c>
      <c r="AM12" s="368">
        <f t="shared" ref="AM12" si="45">AM11+AL12</f>
        <v>15</v>
      </c>
      <c r="AN12" s="368">
        <f t="shared" ref="AN12" si="46">AN11+AM12</f>
        <v>15</v>
      </c>
      <c r="AO12" s="368">
        <f t="shared" ref="AO12" si="47">AO11+AN12</f>
        <v>15</v>
      </c>
      <c r="AP12" s="368">
        <f t="shared" ref="AP12" si="48">AP11+AO12</f>
        <v>15</v>
      </c>
      <c r="AQ12" s="368">
        <f t="shared" ref="AQ12" si="49">AQ11+AP12</f>
        <v>15</v>
      </c>
      <c r="AR12" s="368">
        <f t="shared" ref="AR12" si="50">AR11+AQ12</f>
        <v>15</v>
      </c>
      <c r="AS12" s="368">
        <f t="shared" ref="AS12" si="51">AS11+AR12</f>
        <v>15</v>
      </c>
      <c r="AT12" s="368">
        <f t="shared" ref="AT12" si="52">AT11+AS12</f>
        <v>15</v>
      </c>
      <c r="AU12" s="368">
        <f t="shared" ref="AU12" si="53">AU11+AT12</f>
        <v>15</v>
      </c>
      <c r="AV12" s="368">
        <f t="shared" ref="AV12" si="54">AV11+AU12</f>
        <v>15</v>
      </c>
      <c r="AW12" s="369">
        <f t="shared" ref="AW12" si="55">AW11+AV12</f>
        <v>15</v>
      </c>
    </row>
    <row r="13" spans="1:49" ht="14.25" customHeight="1">
      <c r="B13" s="348"/>
      <c r="C13" s="370" t="s">
        <v>493</v>
      </c>
      <c r="D13" s="371">
        <f>IF(AND(MOD(D9-YEAR('Assumptions &amp; Inputs'!$J$31),'Assumptions &amp; Inputs'!$J$34)=0, D9&lt;YEAR('Assumptions &amp; Inputs'!$J$36), D9&gt;YEAR('Assumptions &amp; Inputs'!$J$31)), (-'Assumptions &amp; Inputs'!$J$38)*'Assumptions &amp; Inputs'!$J$33, -D11/'Assumptions &amp; Inputs'!$J$28*'Assumptions &amp; Inputs'!$J$38)</f>
        <v>-22</v>
      </c>
      <c r="E13" s="371">
        <f>IF(AND(MOD(E9-YEAR('Assumptions &amp; Inputs'!$J$31),'Assumptions &amp; Inputs'!$J$34)=0, E9&lt;YEAR('Assumptions &amp; Inputs'!$J$36), E9&gt;YEAR('Assumptions &amp; Inputs'!$J$31)), (-'Assumptions &amp; Inputs'!$J$38)*'Assumptions &amp; Inputs'!$J$33, -E11/'Assumptions &amp; Inputs'!$J$28*'Assumptions &amp; Inputs'!$J$38)</f>
        <v>-8</v>
      </c>
      <c r="F13" s="371">
        <f>IF(AND(MOD(F9-YEAR('Assumptions &amp; Inputs'!$J$31),'Assumptions &amp; Inputs'!$J$34)=0, F9&lt;YEAR('Assumptions &amp; Inputs'!$J$36), F9&gt;YEAR('Assumptions &amp; Inputs'!$J$31)), (-'Assumptions &amp; Inputs'!$J$38)*'Assumptions &amp; Inputs'!$J$33, -F11/'Assumptions &amp; Inputs'!$J$28*'Assumptions &amp; Inputs'!$J$38)</f>
        <v>0</v>
      </c>
      <c r="G13" s="371">
        <f>IF(AND(MOD(G9-YEAR('Assumptions &amp; Inputs'!$J$31),'Assumptions &amp; Inputs'!$J$34)=0, G9&lt;YEAR('Assumptions &amp; Inputs'!$J$36), G9&gt;YEAR('Assumptions &amp; Inputs'!$J$31)), (-'Assumptions &amp; Inputs'!$J$38)*'Assumptions &amp; Inputs'!$J$33, -G11/'Assumptions &amp; Inputs'!$J$28*'Assumptions &amp; Inputs'!$J$38)</f>
        <v>0</v>
      </c>
      <c r="H13" s="371">
        <f>IF(AND(MOD(H9-YEAR('Assumptions &amp; Inputs'!$J$31),'Assumptions &amp; Inputs'!$J$34)=0, H9&lt;YEAR('Assumptions &amp; Inputs'!$J$36), H9&gt;YEAR('Assumptions &amp; Inputs'!$J$31)), (-'Assumptions &amp; Inputs'!$J$38)*'Assumptions &amp; Inputs'!$J$33, -H11/'Assumptions &amp; Inputs'!$J$28*'Assumptions &amp; Inputs'!$J$38)</f>
        <v>0</v>
      </c>
      <c r="I13" s="371">
        <f>IF(AND(MOD(I9-YEAR('Assumptions &amp; Inputs'!$J$31),'Assumptions &amp; Inputs'!$J$34)=0, I9&lt;YEAR('Assumptions &amp; Inputs'!$J$36), I9&gt;YEAR('Assumptions &amp; Inputs'!$J$31)), (-'Assumptions &amp; Inputs'!$J$38)*'Assumptions &amp; Inputs'!$J$33, -I11/'Assumptions &amp; Inputs'!$J$28*'Assumptions &amp; Inputs'!$J$38)</f>
        <v>0</v>
      </c>
      <c r="J13" s="371">
        <f>IF(AND(MOD(J9-YEAR('Assumptions &amp; Inputs'!$J$31),'Assumptions &amp; Inputs'!$J$34)=0, J9&lt;YEAR('Assumptions &amp; Inputs'!$J$36), J9&gt;YEAR('Assumptions &amp; Inputs'!$J$31)), (-'Assumptions &amp; Inputs'!$J$38)*'Assumptions &amp; Inputs'!$J$33, -J11/'Assumptions &amp; Inputs'!$J$28*'Assumptions &amp; Inputs'!$J$38)</f>
        <v>0</v>
      </c>
      <c r="K13" s="371">
        <f>IF(AND(MOD(K9-YEAR('Assumptions &amp; Inputs'!$J$31),'Assumptions &amp; Inputs'!$J$34)=0, K9&lt;YEAR('Assumptions &amp; Inputs'!$J$36), K9&gt;YEAR('Assumptions &amp; Inputs'!$J$31)), (-'Assumptions &amp; Inputs'!$J$38)*'Assumptions &amp; Inputs'!$J$33, -K11/'Assumptions &amp; Inputs'!$J$28*'Assumptions &amp; Inputs'!$J$38)</f>
        <v>0</v>
      </c>
      <c r="L13" s="371">
        <f>IF(AND(MOD(L9-YEAR('Assumptions &amp; Inputs'!$J$31),'Assumptions &amp; Inputs'!$J$34)=0, L9&lt;YEAR('Assumptions &amp; Inputs'!$J$36), L9&gt;YEAR('Assumptions &amp; Inputs'!$J$31)), (-'Assumptions &amp; Inputs'!$J$38)*'Assumptions &amp; Inputs'!$J$33, -L11/'Assumptions &amp; Inputs'!$J$28*'Assumptions &amp; Inputs'!$J$38)</f>
        <v>0</v>
      </c>
      <c r="M13" s="371">
        <f>IF(AND(MOD(M9-YEAR('Assumptions &amp; Inputs'!$J$31),'Assumptions &amp; Inputs'!$J$34)=0, M9&lt;YEAR('Assumptions &amp; Inputs'!$J$36), M9&gt;YEAR('Assumptions &amp; Inputs'!$J$31)), (-'Assumptions &amp; Inputs'!$J$38)*'Assumptions &amp; Inputs'!$J$33, -M11/'Assumptions &amp; Inputs'!$J$28*'Assumptions &amp; Inputs'!$J$38)</f>
        <v>0</v>
      </c>
      <c r="N13" s="371">
        <f>IF(AND(MOD(N9-YEAR('Assumptions &amp; Inputs'!$J$31),'Assumptions &amp; Inputs'!$J$34)=0, N9&lt;YEAR('Assumptions &amp; Inputs'!$J$36), N9&gt;YEAR('Assumptions &amp; Inputs'!$J$31)), (-'Assumptions &amp; Inputs'!$J$38)*'Assumptions &amp; Inputs'!$J$33, -N11/'Assumptions &amp; Inputs'!$J$28*'Assumptions &amp; Inputs'!$J$38)</f>
        <v>0</v>
      </c>
      <c r="O13" s="371">
        <f>IF(AND(MOD(O9-YEAR('Assumptions &amp; Inputs'!$J$31),'Assumptions &amp; Inputs'!$J$34)=0, O9&lt;YEAR('Assumptions &amp; Inputs'!$J$36), O9&gt;YEAR('Assumptions &amp; Inputs'!$J$31)), (-'Assumptions &amp; Inputs'!$J$38)*'Assumptions &amp; Inputs'!$J$33, -O11/'Assumptions &amp; Inputs'!$J$28*'Assumptions &amp; Inputs'!$J$38)</f>
        <v>0</v>
      </c>
      <c r="P13" s="371">
        <f>IF(AND(MOD(P9-YEAR('Assumptions &amp; Inputs'!$J$31),'Assumptions &amp; Inputs'!$J$34)=0, P9&lt;YEAR('Assumptions &amp; Inputs'!$J$36), P9&gt;YEAR('Assumptions &amp; Inputs'!$J$31)), (-'Assumptions &amp; Inputs'!$J$38)*'Assumptions &amp; Inputs'!$J$33, -P11/'Assumptions &amp; Inputs'!$J$28*'Assumptions &amp; Inputs'!$J$38)</f>
        <v>0</v>
      </c>
      <c r="Q13" s="371">
        <f>IF(AND(MOD(Q9-YEAR('Assumptions &amp; Inputs'!$J$31),'Assumptions &amp; Inputs'!$J$34)=0, Q9&lt;YEAR('Assumptions &amp; Inputs'!$J$36), Q9&gt;YEAR('Assumptions &amp; Inputs'!$J$31)), (-'Assumptions &amp; Inputs'!$J$38)*'Assumptions &amp; Inputs'!$J$33, -Q11/'Assumptions &amp; Inputs'!$J$28*'Assumptions &amp; Inputs'!$J$38)</f>
        <v>0</v>
      </c>
      <c r="R13" s="371">
        <f>IF(AND(MOD(R9-YEAR('Assumptions &amp; Inputs'!$J$31),'Assumptions &amp; Inputs'!$J$34)=0, R9&lt;YEAR('Assumptions &amp; Inputs'!$J$36), R9&gt;YEAR('Assumptions &amp; Inputs'!$J$31)), (-'Assumptions &amp; Inputs'!$J$38)*'Assumptions &amp; Inputs'!$J$33, -R11/'Assumptions &amp; Inputs'!$J$28*'Assumptions &amp; Inputs'!$J$38)</f>
        <v>0</v>
      </c>
      <c r="S13" s="371">
        <f>IF(AND(MOD(S9-YEAR('Assumptions &amp; Inputs'!$J$31),'Assumptions &amp; Inputs'!$J$34)=0, S9&lt;YEAR('Assumptions &amp; Inputs'!$J$36), S9&gt;YEAR('Assumptions &amp; Inputs'!$J$31)), (-'Assumptions &amp; Inputs'!$J$38)*'Assumptions &amp; Inputs'!$J$33, -S11/'Assumptions &amp; Inputs'!$J$28*'Assumptions &amp; Inputs'!$J$38)</f>
        <v>0</v>
      </c>
      <c r="T13" s="371">
        <f>IF(AND(MOD(T9-YEAR('Assumptions &amp; Inputs'!$J$31),'Assumptions &amp; Inputs'!$J$34)=0, T9&lt;YEAR('Assumptions &amp; Inputs'!$J$36), T9&gt;YEAR('Assumptions &amp; Inputs'!$J$31)), (-'Assumptions &amp; Inputs'!$J$38)*'Assumptions &amp; Inputs'!$J$33, -T11/'Assumptions &amp; Inputs'!$J$28*'Assumptions &amp; Inputs'!$J$38)</f>
        <v>0</v>
      </c>
      <c r="U13" s="371">
        <f>IF(AND(MOD(U9-YEAR('Assumptions &amp; Inputs'!$J$31),'Assumptions &amp; Inputs'!$J$34)=0, U9&lt;YEAR('Assumptions &amp; Inputs'!$J$36), U9&gt;YEAR('Assumptions &amp; Inputs'!$J$31)), (-'Assumptions &amp; Inputs'!$J$38)*'Assumptions &amp; Inputs'!$J$33, -U11/'Assumptions &amp; Inputs'!$J$28*'Assumptions &amp; Inputs'!$J$38)</f>
        <v>0</v>
      </c>
      <c r="V13" s="371">
        <f>IF(AND(MOD(V9-YEAR('Assumptions &amp; Inputs'!$J$31),'Assumptions &amp; Inputs'!$J$34)=0, V9&lt;YEAR('Assumptions &amp; Inputs'!$J$36), V9&gt;YEAR('Assumptions &amp; Inputs'!$J$31)), (-'Assumptions &amp; Inputs'!$J$38)*'Assumptions &amp; Inputs'!$J$33, -V11/'Assumptions &amp; Inputs'!$J$28*'Assumptions &amp; Inputs'!$J$38)</f>
        <v>0</v>
      </c>
      <c r="W13" s="371">
        <f>IF(AND(MOD(W9-YEAR('Assumptions &amp; Inputs'!$J$31),'Assumptions &amp; Inputs'!$J$34)=0, W9&lt;YEAR('Assumptions &amp; Inputs'!$J$36), W9&gt;YEAR('Assumptions &amp; Inputs'!$J$31)), (-'Assumptions &amp; Inputs'!$J$38)*'Assumptions &amp; Inputs'!$J$33, -W11/'Assumptions &amp; Inputs'!$J$28*'Assumptions &amp; Inputs'!$J$38)</f>
        <v>0</v>
      </c>
      <c r="X13" s="371">
        <f>IF(AND(MOD(X9-YEAR('Assumptions &amp; Inputs'!$J$31),'Assumptions &amp; Inputs'!$J$34)=0, X9&lt;YEAR('Assumptions &amp; Inputs'!$J$36), X9&gt;YEAR('Assumptions &amp; Inputs'!$J$31)), (-'Assumptions &amp; Inputs'!$J$38)*'Assumptions &amp; Inputs'!$J$33, -X11/'Assumptions &amp; Inputs'!$J$28*'Assumptions &amp; Inputs'!$J$38)</f>
        <v>0</v>
      </c>
      <c r="Y13" s="371">
        <f>IF(AND(MOD(Y9-YEAR('Assumptions &amp; Inputs'!$J$31),'Assumptions &amp; Inputs'!$J$34)=0, Y9&lt;YEAR('Assumptions &amp; Inputs'!$J$36), Y9&gt;YEAR('Assumptions &amp; Inputs'!$J$31)), (-'Assumptions &amp; Inputs'!$J$38)*'Assumptions &amp; Inputs'!$J$33, -Y11/'Assumptions &amp; Inputs'!$J$28*'Assumptions &amp; Inputs'!$J$38)</f>
        <v>0</v>
      </c>
      <c r="Z13" s="371">
        <f>IF(AND(MOD(Z9-YEAR('Assumptions &amp; Inputs'!$J$31),'Assumptions &amp; Inputs'!$J$34)=0, Z9&lt;YEAR('Assumptions &amp; Inputs'!$J$36), Z9&gt;YEAR('Assumptions &amp; Inputs'!$J$31)), (-'Assumptions &amp; Inputs'!$J$38)*'Assumptions &amp; Inputs'!$J$33, -Z11/'Assumptions &amp; Inputs'!$J$28*'Assumptions &amp; Inputs'!$J$38)</f>
        <v>0</v>
      </c>
      <c r="AA13" s="371">
        <f>IF(AND(MOD(AA9-YEAR('Assumptions &amp; Inputs'!$J$31),'Assumptions &amp; Inputs'!$J$34)=0, AA9&lt;YEAR('Assumptions &amp; Inputs'!$J$36), AA9&gt;YEAR('Assumptions &amp; Inputs'!$J$31)), (-'Assumptions &amp; Inputs'!$J$38)*'Assumptions &amp; Inputs'!$J$33, -AA11/'Assumptions &amp; Inputs'!$J$28*'Assumptions &amp; Inputs'!$J$38)</f>
        <v>0</v>
      </c>
      <c r="AB13" s="371">
        <f>IF(AND(MOD(AB9-YEAR('Assumptions &amp; Inputs'!$J$31),'Assumptions &amp; Inputs'!$J$34)=0, AB9&lt;YEAR('Assumptions &amp; Inputs'!$J$36), AB9&gt;YEAR('Assumptions &amp; Inputs'!$J$31)), (-'Assumptions &amp; Inputs'!$J$38)*'Assumptions &amp; Inputs'!$J$33, -AB11/'Assumptions &amp; Inputs'!$J$28*'Assumptions &amp; Inputs'!$J$38)</f>
        <v>0</v>
      </c>
      <c r="AC13" s="371">
        <f>IF(AND(MOD(AC9-YEAR('Assumptions &amp; Inputs'!$J$31),'Assumptions &amp; Inputs'!$J$34)=0, AC9&lt;YEAR('Assumptions &amp; Inputs'!$J$36), AC9&gt;YEAR('Assumptions &amp; Inputs'!$J$31)), (-'Assumptions &amp; Inputs'!$J$38)*'Assumptions &amp; Inputs'!$J$33, -AC11/'Assumptions &amp; Inputs'!$J$28*'Assumptions &amp; Inputs'!$J$38)</f>
        <v>0</v>
      </c>
      <c r="AD13" s="371">
        <f>IF(AND(MOD(AD9-YEAR('Assumptions &amp; Inputs'!$J$31),'Assumptions &amp; Inputs'!$J$34)=0, AD9&lt;YEAR('Assumptions &amp; Inputs'!$J$36), AD9&gt;YEAR('Assumptions &amp; Inputs'!$J$31)), (-'Assumptions &amp; Inputs'!$J$38)*'Assumptions &amp; Inputs'!$J$33, -AD11/'Assumptions &amp; Inputs'!$J$28*'Assumptions &amp; Inputs'!$J$38)</f>
        <v>0</v>
      </c>
      <c r="AE13" s="371">
        <f>IF(AND(MOD(AE9-YEAR('Assumptions &amp; Inputs'!$J$31),'Assumptions &amp; Inputs'!$J$34)=0, AE9&lt;YEAR('Assumptions &amp; Inputs'!$J$36), AE9&gt;YEAR('Assumptions &amp; Inputs'!$J$31)), (-'Assumptions &amp; Inputs'!$J$38)*'Assumptions &amp; Inputs'!$J$33, -AE11/'Assumptions &amp; Inputs'!$J$28*'Assumptions &amp; Inputs'!$J$38)</f>
        <v>0</v>
      </c>
      <c r="AF13" s="371">
        <f>IF(AND(MOD(AF9-YEAR('Assumptions &amp; Inputs'!$J$31),'Assumptions &amp; Inputs'!$J$34)=0, AF9&lt;YEAR('Assumptions &amp; Inputs'!$J$36), AF9&gt;YEAR('Assumptions &amp; Inputs'!$J$31)), (-'Assumptions &amp; Inputs'!$J$38)*'Assumptions &amp; Inputs'!$J$33, -AF11/'Assumptions &amp; Inputs'!$J$28*'Assumptions &amp; Inputs'!$J$38)</f>
        <v>0</v>
      </c>
      <c r="AG13" s="371">
        <f>IF(AND(MOD(AG9-YEAR('Assumptions &amp; Inputs'!$J$31),'Assumptions &amp; Inputs'!$J$34)=0, AG9&lt;YEAR('Assumptions &amp; Inputs'!$J$36), AG9&gt;YEAR('Assumptions &amp; Inputs'!$J$31)), (-'Assumptions &amp; Inputs'!$J$38)*'Assumptions &amp; Inputs'!$J$33, -AG11/'Assumptions &amp; Inputs'!$J$28*'Assumptions &amp; Inputs'!$J$38)</f>
        <v>0</v>
      </c>
      <c r="AH13" s="371">
        <f>IF(AND(MOD(AH9-YEAR('Assumptions &amp; Inputs'!$J$31),'Assumptions &amp; Inputs'!$J$34)=0, AH9&lt;YEAR('Assumptions &amp; Inputs'!$J$36), AH9&gt;YEAR('Assumptions &amp; Inputs'!$J$31)), (-'Assumptions &amp; Inputs'!$J$38)*'Assumptions &amp; Inputs'!$J$33, -AH11/'Assumptions &amp; Inputs'!$J$28*'Assumptions &amp; Inputs'!$J$38)</f>
        <v>0</v>
      </c>
      <c r="AI13" s="371">
        <f>IF(AND(MOD(AI9-YEAR('Assumptions &amp; Inputs'!$J$31),'Assumptions &amp; Inputs'!$J$34)=0, AI9&lt;YEAR('Assumptions &amp; Inputs'!$J$36), AI9&gt;YEAR('Assumptions &amp; Inputs'!$J$31)), (-'Assumptions &amp; Inputs'!$J$38)*'Assumptions &amp; Inputs'!$J$33, -AI11/'Assumptions &amp; Inputs'!$J$28*'Assumptions &amp; Inputs'!$J$38)</f>
        <v>0</v>
      </c>
      <c r="AJ13" s="371">
        <f>IF(AND(MOD(AJ9-YEAR('Assumptions &amp; Inputs'!$J$31),'Assumptions &amp; Inputs'!$J$34)=0, AJ9&lt;YEAR('Assumptions &amp; Inputs'!$J$36), AJ9&gt;YEAR('Assumptions &amp; Inputs'!$J$31)), (-'Assumptions &amp; Inputs'!$J$38)*'Assumptions &amp; Inputs'!$J$33, -AJ11/'Assumptions &amp; Inputs'!$J$28*'Assumptions &amp; Inputs'!$J$38)</f>
        <v>0</v>
      </c>
      <c r="AK13" s="371">
        <f>IF(AND(MOD(AK9-YEAR('Assumptions &amp; Inputs'!$J$31),'Assumptions &amp; Inputs'!$J$34)=0, AK9&lt;YEAR('Assumptions &amp; Inputs'!$J$36), AK9&gt;YEAR('Assumptions &amp; Inputs'!$J$31)), (-'Assumptions &amp; Inputs'!$J$38)*'Assumptions &amp; Inputs'!$J$33, -AK11/'Assumptions &amp; Inputs'!$J$28*'Assumptions &amp; Inputs'!$J$38)</f>
        <v>0</v>
      </c>
      <c r="AL13" s="371">
        <f>IF(AND(MOD(AL9-YEAR('Assumptions &amp; Inputs'!$J$31),'Assumptions &amp; Inputs'!$J$34)=0, AL9&lt;YEAR('Assumptions &amp; Inputs'!$J$36), AL9&gt;YEAR('Assumptions &amp; Inputs'!$J$31)), (-'Assumptions &amp; Inputs'!$J$38)*'Assumptions &amp; Inputs'!$J$33, -AL11/'Assumptions &amp; Inputs'!$J$28*'Assumptions &amp; Inputs'!$J$38)</f>
        <v>0</v>
      </c>
      <c r="AM13" s="371">
        <f>IF(AND(MOD(AM9-YEAR('Assumptions &amp; Inputs'!$J$31),'Assumptions &amp; Inputs'!$J$34)=0, AM9&lt;YEAR('Assumptions &amp; Inputs'!$J$36), AM9&gt;YEAR('Assumptions &amp; Inputs'!$J$31)), (-'Assumptions &amp; Inputs'!$J$38)*'Assumptions &amp; Inputs'!$J$33, -AM11/'Assumptions &amp; Inputs'!$J$28*'Assumptions &amp; Inputs'!$J$38)</f>
        <v>0</v>
      </c>
      <c r="AN13" s="371">
        <f>IF(AND(MOD(AN9-YEAR('Assumptions &amp; Inputs'!$J$31),'Assumptions &amp; Inputs'!$J$34)=0, AN9&lt;YEAR('Assumptions &amp; Inputs'!$J$36), AN9&gt;YEAR('Assumptions &amp; Inputs'!$J$31)), (-'Assumptions &amp; Inputs'!$J$38)*'Assumptions &amp; Inputs'!$J$33, -AN11/'Assumptions &amp; Inputs'!$J$28*'Assumptions &amp; Inputs'!$J$38)</f>
        <v>0</v>
      </c>
      <c r="AO13" s="371">
        <f>IF(AND(MOD(AO9-YEAR('Assumptions &amp; Inputs'!$J$31),'Assumptions &amp; Inputs'!$J$34)=0, AO9&lt;YEAR('Assumptions &amp; Inputs'!$J$36), AO9&gt;YEAR('Assumptions &amp; Inputs'!$J$31)), (-'Assumptions &amp; Inputs'!$J$38)*'Assumptions &amp; Inputs'!$J$33, -AO11/'Assumptions &amp; Inputs'!$J$28*'Assumptions &amp; Inputs'!$J$38)</f>
        <v>0</v>
      </c>
      <c r="AP13" s="371">
        <f>IF(AND(MOD(AP9-YEAR('Assumptions &amp; Inputs'!$J$31),'Assumptions &amp; Inputs'!$J$34)=0, AP9&lt;YEAR('Assumptions &amp; Inputs'!$J$36), AP9&gt;YEAR('Assumptions &amp; Inputs'!$J$31)), (-'Assumptions &amp; Inputs'!$J$38)*'Assumptions &amp; Inputs'!$J$33, -AP11/'Assumptions &amp; Inputs'!$J$28*'Assumptions &amp; Inputs'!$J$38)</f>
        <v>0</v>
      </c>
      <c r="AQ13" s="371">
        <f>IF(AND(MOD(AQ9-YEAR('Assumptions &amp; Inputs'!$J$31),'Assumptions &amp; Inputs'!$J$34)=0, AQ9&lt;YEAR('Assumptions &amp; Inputs'!$J$36), AQ9&gt;YEAR('Assumptions &amp; Inputs'!$J$31)), (-'Assumptions &amp; Inputs'!$J$38)*'Assumptions &amp; Inputs'!$J$33, -AQ11/'Assumptions &amp; Inputs'!$J$28*'Assumptions &amp; Inputs'!$J$38)</f>
        <v>0</v>
      </c>
      <c r="AR13" s="371">
        <f>IF(AND(MOD(AR9-YEAR('Assumptions &amp; Inputs'!$J$31),'Assumptions &amp; Inputs'!$J$34)=0, AR9&lt;YEAR('Assumptions &amp; Inputs'!$J$36), AR9&gt;YEAR('Assumptions &amp; Inputs'!$J$31)), (-'Assumptions &amp; Inputs'!$J$38)*'Assumptions &amp; Inputs'!$J$33, -AR11/'Assumptions &amp; Inputs'!$J$28*'Assumptions &amp; Inputs'!$J$38)</f>
        <v>0</v>
      </c>
      <c r="AS13" s="371">
        <f>IF(AND(MOD(AS9-YEAR('Assumptions &amp; Inputs'!$J$31),'Assumptions &amp; Inputs'!$J$34)=0, AS9&lt;YEAR('Assumptions &amp; Inputs'!$J$36), AS9&gt;YEAR('Assumptions &amp; Inputs'!$J$31)), (-'Assumptions &amp; Inputs'!$J$38)*'Assumptions &amp; Inputs'!$J$33, -AS11/'Assumptions &amp; Inputs'!$J$28*'Assumptions &amp; Inputs'!$J$38)</f>
        <v>0</v>
      </c>
      <c r="AT13" s="371">
        <f>IF(AND(MOD(AT9-YEAR('Assumptions &amp; Inputs'!$J$31),'Assumptions &amp; Inputs'!$J$34)=0, AT9&lt;YEAR('Assumptions &amp; Inputs'!$J$36), AT9&gt;YEAR('Assumptions &amp; Inputs'!$J$31)), (-'Assumptions &amp; Inputs'!$J$38)*'Assumptions &amp; Inputs'!$J$33, -AT11/'Assumptions &amp; Inputs'!$J$28*'Assumptions &amp; Inputs'!$J$38)</f>
        <v>0</v>
      </c>
      <c r="AU13" s="371">
        <f>IF(AND(MOD(AU9-YEAR('Assumptions &amp; Inputs'!$J$31),'Assumptions &amp; Inputs'!$J$34)=0, AU9&lt;YEAR('Assumptions &amp; Inputs'!$J$36), AU9&gt;YEAR('Assumptions &amp; Inputs'!$J$31)), (-'Assumptions &amp; Inputs'!$J$38)*'Assumptions &amp; Inputs'!$J$33, -AU11/'Assumptions &amp; Inputs'!$J$28*'Assumptions &amp; Inputs'!$J$38)</f>
        <v>0</v>
      </c>
      <c r="AV13" s="371">
        <f>IF(AND(MOD(AV9-YEAR('Assumptions &amp; Inputs'!$J$31),'Assumptions &amp; Inputs'!$J$34)=0, AV9&lt;YEAR('Assumptions &amp; Inputs'!$J$36), AV9&gt;YEAR('Assumptions &amp; Inputs'!$J$31)), (-'Assumptions &amp; Inputs'!$J$38)*'Assumptions &amp; Inputs'!$J$33, -AV11/'Assumptions &amp; Inputs'!$J$28*'Assumptions &amp; Inputs'!$J$38)</f>
        <v>0</v>
      </c>
      <c r="AW13" s="371">
        <f>IF(AND(MOD(AW9-YEAR('Assumptions &amp; Inputs'!$J$31),'Assumptions &amp; Inputs'!$J$34)=0, AW9&lt;YEAR('Assumptions &amp; Inputs'!$J$36), AW9&gt;YEAR('Assumptions &amp; Inputs'!$J$31)), (-'Assumptions &amp; Inputs'!$J$38)*'Assumptions &amp; Inputs'!$J$33, -AW11/'Assumptions &amp; Inputs'!$J$28*'Assumptions &amp; Inputs'!$J$38)</f>
        <v>0</v>
      </c>
    </row>
    <row r="14" spans="1:49" ht="14.25" customHeight="1">
      <c r="B14" s="348"/>
      <c r="C14" s="364" t="s">
        <v>219</v>
      </c>
      <c r="D14" s="373">
        <f>D$13*'Assumptions &amp; Inputs'!$J39</f>
        <v>-1.1000000000000001</v>
      </c>
      <c r="E14" s="373">
        <f>E$13*'Assumptions &amp; Inputs'!$J39</f>
        <v>-0.4</v>
      </c>
      <c r="F14" s="373">
        <f>F$13*'Assumptions &amp; Inputs'!$J39</f>
        <v>0</v>
      </c>
      <c r="G14" s="373">
        <f>G$13*'Assumptions &amp; Inputs'!$J39</f>
        <v>0</v>
      </c>
      <c r="H14" s="373">
        <f>H$13*'Assumptions &amp; Inputs'!$J39</f>
        <v>0</v>
      </c>
      <c r="I14" s="373">
        <f>I$13*'Assumptions &amp; Inputs'!$J39</f>
        <v>0</v>
      </c>
      <c r="J14" s="373">
        <f>J$13*'Assumptions &amp; Inputs'!$J39</f>
        <v>0</v>
      </c>
      <c r="K14" s="373">
        <f>K$13*'Assumptions &amp; Inputs'!$J39</f>
        <v>0</v>
      </c>
      <c r="L14" s="373">
        <f>L$13*'Assumptions &amp; Inputs'!$J39</f>
        <v>0</v>
      </c>
      <c r="M14" s="373">
        <f>M$13*'Assumptions &amp; Inputs'!$J39</f>
        <v>0</v>
      </c>
      <c r="N14" s="373">
        <f>N$13*'Assumptions &amp; Inputs'!$J39</f>
        <v>0</v>
      </c>
      <c r="O14" s="373">
        <f>O$13*'Assumptions &amp; Inputs'!$J39</f>
        <v>0</v>
      </c>
      <c r="P14" s="373">
        <f>P$13*'Assumptions &amp; Inputs'!$J39</f>
        <v>0</v>
      </c>
      <c r="Q14" s="373">
        <f>Q$13*'Assumptions &amp; Inputs'!$J39</f>
        <v>0</v>
      </c>
      <c r="R14" s="373">
        <f>R$13*'Assumptions &amp; Inputs'!$J39</f>
        <v>0</v>
      </c>
      <c r="S14" s="373">
        <f>S$13*'Assumptions &amp; Inputs'!$J39</f>
        <v>0</v>
      </c>
      <c r="T14" s="373">
        <f>T$13*'Assumptions &amp; Inputs'!$J39</f>
        <v>0</v>
      </c>
      <c r="U14" s="373">
        <f>U$13*'Assumptions &amp; Inputs'!$J39</f>
        <v>0</v>
      </c>
      <c r="V14" s="373">
        <f>V$13*'Assumptions &amp; Inputs'!$J39</f>
        <v>0</v>
      </c>
      <c r="W14" s="373">
        <f>W$13*'Assumptions &amp; Inputs'!$J39</f>
        <v>0</v>
      </c>
      <c r="X14" s="373">
        <f>X$13*'Assumptions &amp; Inputs'!$J39</f>
        <v>0</v>
      </c>
      <c r="Y14" s="373">
        <f>Y$13*'Assumptions &amp; Inputs'!$J39</f>
        <v>0</v>
      </c>
      <c r="Z14" s="373">
        <f>Z$13*'Assumptions &amp; Inputs'!$J39</f>
        <v>0</v>
      </c>
      <c r="AA14" s="373">
        <f>AA$13*'Assumptions &amp; Inputs'!$J39</f>
        <v>0</v>
      </c>
      <c r="AB14" s="373">
        <f>AB$13*'Assumptions &amp; Inputs'!$J39</f>
        <v>0</v>
      </c>
      <c r="AC14" s="373">
        <f>AC$13*'Assumptions &amp; Inputs'!$J39</f>
        <v>0</v>
      </c>
      <c r="AD14" s="373">
        <f>AD$13*'Assumptions &amp; Inputs'!$J39</f>
        <v>0</v>
      </c>
      <c r="AE14" s="373">
        <f>AE$13*'Assumptions &amp; Inputs'!$J39</f>
        <v>0</v>
      </c>
      <c r="AF14" s="373">
        <f>AF$13*'Assumptions &amp; Inputs'!$J39</f>
        <v>0</v>
      </c>
      <c r="AG14" s="373">
        <f>AG$13*'Assumptions &amp; Inputs'!$J39</f>
        <v>0</v>
      </c>
      <c r="AH14" s="373">
        <f>AH$13*'Assumptions &amp; Inputs'!$J39</f>
        <v>0</v>
      </c>
      <c r="AI14" s="373">
        <f>AI$13*'Assumptions &amp; Inputs'!$J39</f>
        <v>0</v>
      </c>
      <c r="AJ14" s="373">
        <f>AJ$13*'Assumptions &amp; Inputs'!$J39</f>
        <v>0</v>
      </c>
      <c r="AK14" s="373">
        <f>AK$13*'Assumptions &amp; Inputs'!$J39</f>
        <v>0</v>
      </c>
      <c r="AL14" s="373">
        <f>AL$13*'Assumptions &amp; Inputs'!$J39</f>
        <v>0</v>
      </c>
      <c r="AM14" s="373">
        <f>AM$13*'Assumptions &amp; Inputs'!$J39</f>
        <v>0</v>
      </c>
      <c r="AN14" s="373">
        <f>AN$13*'Assumptions &amp; Inputs'!$J39</f>
        <v>0</v>
      </c>
      <c r="AO14" s="373">
        <f>AO$13*'Assumptions &amp; Inputs'!$J39</f>
        <v>0</v>
      </c>
      <c r="AP14" s="373">
        <f>AP$13*'Assumptions &amp; Inputs'!$J39</f>
        <v>0</v>
      </c>
      <c r="AQ14" s="373">
        <f>AQ$13*'Assumptions &amp; Inputs'!$J39</f>
        <v>0</v>
      </c>
      <c r="AR14" s="373">
        <f>AR$13*'Assumptions &amp; Inputs'!$J39</f>
        <v>0</v>
      </c>
      <c r="AS14" s="373">
        <f>AS$13*'Assumptions &amp; Inputs'!$J39</f>
        <v>0</v>
      </c>
      <c r="AT14" s="373">
        <f>AT$13*'Assumptions &amp; Inputs'!$J39</f>
        <v>0</v>
      </c>
      <c r="AU14" s="373">
        <f>AU$13*'Assumptions &amp; Inputs'!$J39</f>
        <v>0</v>
      </c>
      <c r="AV14" s="373">
        <f>AV$13*'Assumptions &amp; Inputs'!$J39</f>
        <v>0</v>
      </c>
      <c r="AW14" s="374">
        <f>AW$13*'Assumptions &amp; Inputs'!$J39</f>
        <v>0</v>
      </c>
    </row>
    <row r="15" spans="1:49" ht="14.25" customHeight="1">
      <c r="B15" s="348"/>
      <c r="C15" s="364" t="s">
        <v>220</v>
      </c>
      <c r="D15" s="373">
        <f>D$13*'Assumptions &amp; Inputs'!$J40</f>
        <v>-3.3</v>
      </c>
      <c r="E15" s="373">
        <f>E$13*'Assumptions &amp; Inputs'!$J40</f>
        <v>-1.2</v>
      </c>
      <c r="F15" s="373">
        <f>F$13*'Assumptions &amp; Inputs'!$J40</f>
        <v>0</v>
      </c>
      <c r="G15" s="373">
        <f>G$13*'Assumptions &amp; Inputs'!$J40</f>
        <v>0</v>
      </c>
      <c r="H15" s="373">
        <f>H$13*'Assumptions &amp; Inputs'!$J40</f>
        <v>0</v>
      </c>
      <c r="I15" s="373">
        <f>I$13*'Assumptions &amp; Inputs'!$J40</f>
        <v>0</v>
      </c>
      <c r="J15" s="373">
        <f>J$13*'Assumptions &amp; Inputs'!$J40</f>
        <v>0</v>
      </c>
      <c r="K15" s="373">
        <f>K$13*'Assumptions &amp; Inputs'!$J40</f>
        <v>0</v>
      </c>
      <c r="L15" s="373">
        <f>L$13*'Assumptions &amp; Inputs'!$J40</f>
        <v>0</v>
      </c>
      <c r="M15" s="373">
        <f>M$13*'Assumptions &amp; Inputs'!$J40</f>
        <v>0</v>
      </c>
      <c r="N15" s="373">
        <f>N$13*'Assumptions &amp; Inputs'!$J40</f>
        <v>0</v>
      </c>
      <c r="O15" s="373">
        <f>O$13*'Assumptions &amp; Inputs'!$J40</f>
        <v>0</v>
      </c>
      <c r="P15" s="373">
        <f>P$13*'Assumptions &amp; Inputs'!$J40</f>
        <v>0</v>
      </c>
      <c r="Q15" s="373">
        <f>Q$13*'Assumptions &amp; Inputs'!$J40</f>
        <v>0</v>
      </c>
      <c r="R15" s="373">
        <f>R$13*'Assumptions &amp; Inputs'!$J40</f>
        <v>0</v>
      </c>
      <c r="S15" s="373">
        <f>S$13*'Assumptions &amp; Inputs'!$J40</f>
        <v>0</v>
      </c>
      <c r="T15" s="373">
        <f>T$13*'Assumptions &amp; Inputs'!$J40</f>
        <v>0</v>
      </c>
      <c r="U15" s="373">
        <f>U$13*'Assumptions &amp; Inputs'!$J40</f>
        <v>0</v>
      </c>
      <c r="V15" s="373">
        <f>V$13*'Assumptions &amp; Inputs'!$J40</f>
        <v>0</v>
      </c>
      <c r="W15" s="373">
        <f>W$13*'Assumptions &amp; Inputs'!$J40</f>
        <v>0</v>
      </c>
      <c r="X15" s="373">
        <f>X$13*'Assumptions &amp; Inputs'!$J40</f>
        <v>0</v>
      </c>
      <c r="Y15" s="373">
        <f>Y$13*'Assumptions &amp; Inputs'!$J40</f>
        <v>0</v>
      </c>
      <c r="Z15" s="373">
        <f>Z$13*'Assumptions &amp; Inputs'!$J40</f>
        <v>0</v>
      </c>
      <c r="AA15" s="373">
        <f>AA$13*'Assumptions &amp; Inputs'!$J40</f>
        <v>0</v>
      </c>
      <c r="AB15" s="373">
        <f>AB$13*'Assumptions &amp; Inputs'!$J40</f>
        <v>0</v>
      </c>
      <c r="AC15" s="373">
        <f>AC$13*'Assumptions &amp; Inputs'!$J40</f>
        <v>0</v>
      </c>
      <c r="AD15" s="373">
        <f>AD$13*'Assumptions &amp; Inputs'!$J40</f>
        <v>0</v>
      </c>
      <c r="AE15" s="373">
        <f>AE$13*'Assumptions &amp; Inputs'!$J40</f>
        <v>0</v>
      </c>
      <c r="AF15" s="373">
        <f>AF$13*'Assumptions &amp; Inputs'!$J40</f>
        <v>0</v>
      </c>
      <c r="AG15" s="373">
        <f>AG$13*'Assumptions &amp; Inputs'!$J40</f>
        <v>0</v>
      </c>
      <c r="AH15" s="373">
        <f>AH$13*'Assumptions &amp; Inputs'!$J40</f>
        <v>0</v>
      </c>
      <c r="AI15" s="373">
        <f>AI$13*'Assumptions &amp; Inputs'!$J40</f>
        <v>0</v>
      </c>
      <c r="AJ15" s="373">
        <f>AJ$13*'Assumptions &amp; Inputs'!$J40</f>
        <v>0</v>
      </c>
      <c r="AK15" s="373">
        <f>AK$13*'Assumptions &amp; Inputs'!$J40</f>
        <v>0</v>
      </c>
      <c r="AL15" s="373">
        <f>AL$13*'Assumptions &amp; Inputs'!$J40</f>
        <v>0</v>
      </c>
      <c r="AM15" s="373">
        <f>AM$13*'Assumptions &amp; Inputs'!$J40</f>
        <v>0</v>
      </c>
      <c r="AN15" s="373">
        <f>AN$13*'Assumptions &amp; Inputs'!$J40</f>
        <v>0</v>
      </c>
      <c r="AO15" s="373">
        <f>AO$13*'Assumptions &amp; Inputs'!$J40</f>
        <v>0</v>
      </c>
      <c r="AP15" s="373">
        <f>AP$13*'Assumptions &amp; Inputs'!$J40</f>
        <v>0</v>
      </c>
      <c r="AQ15" s="373">
        <f>AQ$13*'Assumptions &amp; Inputs'!$J40</f>
        <v>0</v>
      </c>
      <c r="AR15" s="373">
        <f>AR$13*'Assumptions &amp; Inputs'!$J40</f>
        <v>0</v>
      </c>
      <c r="AS15" s="373">
        <f>AS$13*'Assumptions &amp; Inputs'!$J40</f>
        <v>0</v>
      </c>
      <c r="AT15" s="373">
        <f>AT$13*'Assumptions &amp; Inputs'!$J40</f>
        <v>0</v>
      </c>
      <c r="AU15" s="373">
        <f>AU$13*'Assumptions &amp; Inputs'!$J40</f>
        <v>0</v>
      </c>
      <c r="AV15" s="373">
        <f>AV$13*'Assumptions &amp; Inputs'!$J40</f>
        <v>0</v>
      </c>
      <c r="AW15" s="374">
        <f>AW$13*'Assumptions &amp; Inputs'!$J40</f>
        <v>0</v>
      </c>
    </row>
    <row r="16" spans="1:49" ht="14.25" customHeight="1">
      <c r="B16" s="348"/>
      <c r="C16" s="364" t="s">
        <v>221</v>
      </c>
      <c r="D16" s="373">
        <f>D$13*'Assumptions &amp; Inputs'!$J41</f>
        <v>-0.22</v>
      </c>
      <c r="E16" s="373">
        <f>E$13*'Assumptions &amp; Inputs'!$J41</f>
        <v>-0.08</v>
      </c>
      <c r="F16" s="373">
        <f>F$13*'Assumptions &amp; Inputs'!$J41</f>
        <v>0</v>
      </c>
      <c r="G16" s="373">
        <f>G$13*'Assumptions &amp; Inputs'!$J41</f>
        <v>0</v>
      </c>
      <c r="H16" s="373">
        <f>H$13*'Assumptions &amp; Inputs'!$J41</f>
        <v>0</v>
      </c>
      <c r="I16" s="373">
        <f>I$13*'Assumptions &amp; Inputs'!$J41</f>
        <v>0</v>
      </c>
      <c r="J16" s="373">
        <f>J$13*'Assumptions &amp; Inputs'!$J41</f>
        <v>0</v>
      </c>
      <c r="K16" s="373">
        <f>K$13*'Assumptions &amp; Inputs'!$J41</f>
        <v>0</v>
      </c>
      <c r="L16" s="373">
        <f>L$13*'Assumptions &amp; Inputs'!$J41</f>
        <v>0</v>
      </c>
      <c r="M16" s="373">
        <f>M$13*'Assumptions &amp; Inputs'!$J41</f>
        <v>0</v>
      </c>
      <c r="N16" s="373">
        <f>N$13*'Assumptions &amp; Inputs'!$J41</f>
        <v>0</v>
      </c>
      <c r="O16" s="373">
        <f>O$13*'Assumptions &amp; Inputs'!$J41</f>
        <v>0</v>
      </c>
      <c r="P16" s="373">
        <f>P$13*'Assumptions &amp; Inputs'!$J41</f>
        <v>0</v>
      </c>
      <c r="Q16" s="373">
        <f>Q$13*'Assumptions &amp; Inputs'!$J41</f>
        <v>0</v>
      </c>
      <c r="R16" s="373">
        <f>R$13*'Assumptions &amp; Inputs'!$J41</f>
        <v>0</v>
      </c>
      <c r="S16" s="373">
        <f>S$13*'Assumptions &amp; Inputs'!$J41</f>
        <v>0</v>
      </c>
      <c r="T16" s="373">
        <f>T$13*'Assumptions &amp; Inputs'!$J41</f>
        <v>0</v>
      </c>
      <c r="U16" s="373">
        <f>U$13*'Assumptions &amp; Inputs'!$J41</f>
        <v>0</v>
      </c>
      <c r="V16" s="373">
        <f>V$13*'Assumptions &amp; Inputs'!$J41</f>
        <v>0</v>
      </c>
      <c r="W16" s="373">
        <f>W$13*'Assumptions &amp; Inputs'!$J41</f>
        <v>0</v>
      </c>
      <c r="X16" s="373">
        <f>X$13*'Assumptions &amp; Inputs'!$J41</f>
        <v>0</v>
      </c>
      <c r="Y16" s="373">
        <f>Y$13*'Assumptions &amp; Inputs'!$J41</f>
        <v>0</v>
      </c>
      <c r="Z16" s="373">
        <f>Z$13*'Assumptions &amp; Inputs'!$J41</f>
        <v>0</v>
      </c>
      <c r="AA16" s="373">
        <f>AA$13*'Assumptions &amp; Inputs'!$J41</f>
        <v>0</v>
      </c>
      <c r="AB16" s="373">
        <f>AB$13*'Assumptions &amp; Inputs'!$J41</f>
        <v>0</v>
      </c>
      <c r="AC16" s="373">
        <f>AC$13*'Assumptions &amp; Inputs'!$J41</f>
        <v>0</v>
      </c>
      <c r="AD16" s="373">
        <f>AD$13*'Assumptions &amp; Inputs'!$J41</f>
        <v>0</v>
      </c>
      <c r="AE16" s="373">
        <f>AE$13*'Assumptions &amp; Inputs'!$J41</f>
        <v>0</v>
      </c>
      <c r="AF16" s="373">
        <f>AF$13*'Assumptions &amp; Inputs'!$J41</f>
        <v>0</v>
      </c>
      <c r="AG16" s="373">
        <f>AG$13*'Assumptions &amp; Inputs'!$J41</f>
        <v>0</v>
      </c>
      <c r="AH16" s="373">
        <f>AH$13*'Assumptions &amp; Inputs'!$J41</f>
        <v>0</v>
      </c>
      <c r="AI16" s="373">
        <f>AI$13*'Assumptions &amp; Inputs'!$J41</f>
        <v>0</v>
      </c>
      <c r="AJ16" s="373">
        <f>AJ$13*'Assumptions &amp; Inputs'!$J41</f>
        <v>0</v>
      </c>
      <c r="AK16" s="373">
        <f>AK$13*'Assumptions &amp; Inputs'!$J41</f>
        <v>0</v>
      </c>
      <c r="AL16" s="373">
        <f>AL$13*'Assumptions &amp; Inputs'!$J41</f>
        <v>0</v>
      </c>
      <c r="AM16" s="373">
        <f>AM$13*'Assumptions &amp; Inputs'!$J41</f>
        <v>0</v>
      </c>
      <c r="AN16" s="373">
        <f>AN$13*'Assumptions &amp; Inputs'!$J41</f>
        <v>0</v>
      </c>
      <c r="AO16" s="373">
        <f>AO$13*'Assumptions &amp; Inputs'!$J41</f>
        <v>0</v>
      </c>
      <c r="AP16" s="373">
        <f>AP$13*'Assumptions &amp; Inputs'!$J41</f>
        <v>0</v>
      </c>
      <c r="AQ16" s="373">
        <f>AQ$13*'Assumptions &amp; Inputs'!$J41</f>
        <v>0</v>
      </c>
      <c r="AR16" s="373">
        <f>AR$13*'Assumptions &amp; Inputs'!$J41</f>
        <v>0</v>
      </c>
      <c r="AS16" s="373">
        <f>AS$13*'Assumptions &amp; Inputs'!$J41</f>
        <v>0</v>
      </c>
      <c r="AT16" s="373">
        <f>AT$13*'Assumptions &amp; Inputs'!$J41</f>
        <v>0</v>
      </c>
      <c r="AU16" s="373">
        <f>AU$13*'Assumptions &amp; Inputs'!$J41</f>
        <v>0</v>
      </c>
      <c r="AV16" s="373">
        <f>AV$13*'Assumptions &amp; Inputs'!$J41</f>
        <v>0</v>
      </c>
      <c r="AW16" s="374">
        <f>AW$13*'Assumptions &amp; Inputs'!$J41</f>
        <v>0</v>
      </c>
    </row>
    <row r="17" spans="1:49" ht="14.25" customHeight="1">
      <c r="B17" s="348"/>
      <c r="C17" s="364" t="s">
        <v>222</v>
      </c>
      <c r="D17" s="373">
        <f>D$13*'Assumptions &amp; Inputs'!$J42</f>
        <v>-1.76</v>
      </c>
      <c r="E17" s="373">
        <f>E$13*'Assumptions &amp; Inputs'!$J42</f>
        <v>-0.64</v>
      </c>
      <c r="F17" s="373">
        <f>F$13*'Assumptions &amp; Inputs'!$J42</f>
        <v>0</v>
      </c>
      <c r="G17" s="373">
        <f>G$13*'Assumptions &amp; Inputs'!$J42</f>
        <v>0</v>
      </c>
      <c r="H17" s="373">
        <f>H$13*'Assumptions &amp; Inputs'!$J42</f>
        <v>0</v>
      </c>
      <c r="I17" s="373">
        <f>I$13*'Assumptions &amp; Inputs'!$J42</f>
        <v>0</v>
      </c>
      <c r="J17" s="373">
        <f>J$13*'Assumptions &amp; Inputs'!$J42</f>
        <v>0</v>
      </c>
      <c r="K17" s="373">
        <f>K$13*'Assumptions &amp; Inputs'!$J42</f>
        <v>0</v>
      </c>
      <c r="L17" s="373">
        <f>L$13*'Assumptions &amp; Inputs'!$J42</f>
        <v>0</v>
      </c>
      <c r="M17" s="373">
        <f>M$13*'Assumptions &amp; Inputs'!$J42</f>
        <v>0</v>
      </c>
      <c r="N17" s="373">
        <f>N$13*'Assumptions &amp; Inputs'!$J42</f>
        <v>0</v>
      </c>
      <c r="O17" s="373">
        <f>O$13*'Assumptions &amp; Inputs'!$J42</f>
        <v>0</v>
      </c>
      <c r="P17" s="373">
        <f>P$13*'Assumptions &amp; Inputs'!$J42</f>
        <v>0</v>
      </c>
      <c r="Q17" s="373">
        <f>Q$13*'Assumptions &amp; Inputs'!$J42</f>
        <v>0</v>
      </c>
      <c r="R17" s="373">
        <f>R$13*'Assumptions &amp; Inputs'!$J42</f>
        <v>0</v>
      </c>
      <c r="S17" s="373">
        <f>S$13*'Assumptions &amp; Inputs'!$J42</f>
        <v>0</v>
      </c>
      <c r="T17" s="373">
        <f>T$13*'Assumptions &amp; Inputs'!$J42</f>
        <v>0</v>
      </c>
      <c r="U17" s="373">
        <f>U$13*'Assumptions &amp; Inputs'!$J42</f>
        <v>0</v>
      </c>
      <c r="V17" s="373">
        <f>V$13*'Assumptions &amp; Inputs'!$J42</f>
        <v>0</v>
      </c>
      <c r="W17" s="373">
        <f>W$13*'Assumptions &amp; Inputs'!$J42</f>
        <v>0</v>
      </c>
      <c r="X17" s="373">
        <f>X$13*'Assumptions &amp; Inputs'!$J42</f>
        <v>0</v>
      </c>
      <c r="Y17" s="373">
        <f>Y$13*'Assumptions &amp; Inputs'!$J42</f>
        <v>0</v>
      </c>
      <c r="Z17" s="373">
        <f>Z$13*'Assumptions &amp; Inputs'!$J42</f>
        <v>0</v>
      </c>
      <c r="AA17" s="373">
        <f>AA$13*'Assumptions &amp; Inputs'!$J42</f>
        <v>0</v>
      </c>
      <c r="AB17" s="373">
        <f>AB$13*'Assumptions &amp; Inputs'!$J42</f>
        <v>0</v>
      </c>
      <c r="AC17" s="373">
        <f>AC$13*'Assumptions &amp; Inputs'!$J42</f>
        <v>0</v>
      </c>
      <c r="AD17" s="373">
        <f>AD$13*'Assumptions &amp; Inputs'!$J42</f>
        <v>0</v>
      </c>
      <c r="AE17" s="373">
        <f>AE$13*'Assumptions &amp; Inputs'!$J42</f>
        <v>0</v>
      </c>
      <c r="AF17" s="373">
        <f>AF$13*'Assumptions &amp; Inputs'!$J42</f>
        <v>0</v>
      </c>
      <c r="AG17" s="373">
        <f>AG$13*'Assumptions &amp; Inputs'!$J42</f>
        <v>0</v>
      </c>
      <c r="AH17" s="373">
        <f>AH$13*'Assumptions &amp; Inputs'!$J42</f>
        <v>0</v>
      </c>
      <c r="AI17" s="373">
        <f>AI$13*'Assumptions &amp; Inputs'!$J42</f>
        <v>0</v>
      </c>
      <c r="AJ17" s="373">
        <f>AJ$13*'Assumptions &amp; Inputs'!$J42</f>
        <v>0</v>
      </c>
      <c r="AK17" s="373">
        <f>AK$13*'Assumptions &amp; Inputs'!$J42</f>
        <v>0</v>
      </c>
      <c r="AL17" s="373">
        <f>AL$13*'Assumptions &amp; Inputs'!$J42</f>
        <v>0</v>
      </c>
      <c r="AM17" s="373">
        <f>AM$13*'Assumptions &amp; Inputs'!$J42</f>
        <v>0</v>
      </c>
      <c r="AN17" s="373">
        <f>AN$13*'Assumptions &amp; Inputs'!$J42</f>
        <v>0</v>
      </c>
      <c r="AO17" s="373">
        <f>AO$13*'Assumptions &amp; Inputs'!$J42</f>
        <v>0</v>
      </c>
      <c r="AP17" s="373">
        <f>AP$13*'Assumptions &amp; Inputs'!$J42</f>
        <v>0</v>
      </c>
      <c r="AQ17" s="373">
        <f>AQ$13*'Assumptions &amp; Inputs'!$J42</f>
        <v>0</v>
      </c>
      <c r="AR17" s="373">
        <f>AR$13*'Assumptions &amp; Inputs'!$J42</f>
        <v>0</v>
      </c>
      <c r="AS17" s="373">
        <f>AS$13*'Assumptions &amp; Inputs'!$J42</f>
        <v>0</v>
      </c>
      <c r="AT17" s="373">
        <f>AT$13*'Assumptions &amp; Inputs'!$J42</f>
        <v>0</v>
      </c>
      <c r="AU17" s="373">
        <f>AU$13*'Assumptions &amp; Inputs'!$J42</f>
        <v>0</v>
      </c>
      <c r="AV17" s="373">
        <f>AV$13*'Assumptions &amp; Inputs'!$J42</f>
        <v>0</v>
      </c>
      <c r="AW17" s="374">
        <f>AW$13*'Assumptions &amp; Inputs'!$J42</f>
        <v>0</v>
      </c>
    </row>
    <row r="18" spans="1:49" ht="14.25" customHeight="1">
      <c r="B18" s="348"/>
      <c r="C18" s="364" t="s">
        <v>223</v>
      </c>
      <c r="D18" s="373">
        <f>D$13*'Assumptions &amp; Inputs'!$J43</f>
        <v>-2.2000000000000002</v>
      </c>
      <c r="E18" s="373">
        <f>E$13*'Assumptions &amp; Inputs'!$J43</f>
        <v>-0.8</v>
      </c>
      <c r="F18" s="373">
        <f>F$13*'Assumptions &amp; Inputs'!$J43</f>
        <v>0</v>
      </c>
      <c r="G18" s="373">
        <f>G$13*'Assumptions &amp; Inputs'!$J43</f>
        <v>0</v>
      </c>
      <c r="H18" s="373">
        <f>H$13*'Assumptions &amp; Inputs'!$J43</f>
        <v>0</v>
      </c>
      <c r="I18" s="373">
        <f>I$13*'Assumptions &amp; Inputs'!$J43</f>
        <v>0</v>
      </c>
      <c r="J18" s="373">
        <f>J$13*'Assumptions &amp; Inputs'!$J43</f>
        <v>0</v>
      </c>
      <c r="K18" s="373">
        <f>K$13*'Assumptions &amp; Inputs'!$J43</f>
        <v>0</v>
      </c>
      <c r="L18" s="373">
        <f>L$13*'Assumptions &amp; Inputs'!$J43</f>
        <v>0</v>
      </c>
      <c r="M18" s="373">
        <f>M$13*'Assumptions &amp; Inputs'!$J43</f>
        <v>0</v>
      </c>
      <c r="N18" s="373">
        <f>N$13*'Assumptions &amp; Inputs'!$J43</f>
        <v>0</v>
      </c>
      <c r="O18" s="373">
        <f>O$13*'Assumptions &amp; Inputs'!$J43</f>
        <v>0</v>
      </c>
      <c r="P18" s="373">
        <f>P$13*'Assumptions &amp; Inputs'!$J43</f>
        <v>0</v>
      </c>
      <c r="Q18" s="373">
        <f>Q$13*'Assumptions &amp; Inputs'!$J43</f>
        <v>0</v>
      </c>
      <c r="R18" s="373">
        <f>R$13*'Assumptions &amp; Inputs'!$J43</f>
        <v>0</v>
      </c>
      <c r="S18" s="373">
        <f>S$13*'Assumptions &amp; Inputs'!$J43</f>
        <v>0</v>
      </c>
      <c r="T18" s="373">
        <f>T$13*'Assumptions &amp; Inputs'!$J43</f>
        <v>0</v>
      </c>
      <c r="U18" s="373">
        <f>U$13*'Assumptions &amp; Inputs'!$J43</f>
        <v>0</v>
      </c>
      <c r="V18" s="373">
        <f>V$13*'Assumptions &amp; Inputs'!$J43</f>
        <v>0</v>
      </c>
      <c r="W18" s="373">
        <f>W$13*'Assumptions &amp; Inputs'!$J43</f>
        <v>0</v>
      </c>
      <c r="X18" s="373">
        <f>X$13*'Assumptions &amp; Inputs'!$J43</f>
        <v>0</v>
      </c>
      <c r="Y18" s="373">
        <f>Y$13*'Assumptions &amp; Inputs'!$J43</f>
        <v>0</v>
      </c>
      <c r="Z18" s="373">
        <f>Z$13*'Assumptions &amp; Inputs'!$J43</f>
        <v>0</v>
      </c>
      <c r="AA18" s="373">
        <f>AA$13*'Assumptions &amp; Inputs'!$J43</f>
        <v>0</v>
      </c>
      <c r="AB18" s="373">
        <f>AB$13*'Assumptions &amp; Inputs'!$J43</f>
        <v>0</v>
      </c>
      <c r="AC18" s="373">
        <f>AC$13*'Assumptions &amp; Inputs'!$J43</f>
        <v>0</v>
      </c>
      <c r="AD18" s="373">
        <f>AD$13*'Assumptions &amp; Inputs'!$J43</f>
        <v>0</v>
      </c>
      <c r="AE18" s="373">
        <f>AE$13*'Assumptions &amp; Inputs'!$J43</f>
        <v>0</v>
      </c>
      <c r="AF18" s="373">
        <f>AF$13*'Assumptions &amp; Inputs'!$J43</f>
        <v>0</v>
      </c>
      <c r="AG18" s="373">
        <f>AG$13*'Assumptions &amp; Inputs'!$J43</f>
        <v>0</v>
      </c>
      <c r="AH18" s="373">
        <f>AH$13*'Assumptions &amp; Inputs'!$J43</f>
        <v>0</v>
      </c>
      <c r="AI18" s="373">
        <f>AI$13*'Assumptions &amp; Inputs'!$J43</f>
        <v>0</v>
      </c>
      <c r="AJ18" s="373">
        <f>AJ$13*'Assumptions &amp; Inputs'!$J43</f>
        <v>0</v>
      </c>
      <c r="AK18" s="373">
        <f>AK$13*'Assumptions &amp; Inputs'!$J43</f>
        <v>0</v>
      </c>
      <c r="AL18" s="373">
        <f>AL$13*'Assumptions &amp; Inputs'!$J43</f>
        <v>0</v>
      </c>
      <c r="AM18" s="373">
        <f>AM$13*'Assumptions &amp; Inputs'!$J43</f>
        <v>0</v>
      </c>
      <c r="AN18" s="373">
        <f>AN$13*'Assumptions &amp; Inputs'!$J43</f>
        <v>0</v>
      </c>
      <c r="AO18" s="373">
        <f>AO$13*'Assumptions &amp; Inputs'!$J43</f>
        <v>0</v>
      </c>
      <c r="AP18" s="373">
        <f>AP$13*'Assumptions &amp; Inputs'!$J43</f>
        <v>0</v>
      </c>
      <c r="AQ18" s="373">
        <f>AQ$13*'Assumptions &amp; Inputs'!$J43</f>
        <v>0</v>
      </c>
      <c r="AR18" s="373">
        <f>AR$13*'Assumptions &amp; Inputs'!$J43</f>
        <v>0</v>
      </c>
      <c r="AS18" s="373">
        <f>AS$13*'Assumptions &amp; Inputs'!$J43</f>
        <v>0</v>
      </c>
      <c r="AT18" s="373">
        <f>AT$13*'Assumptions &amp; Inputs'!$J43</f>
        <v>0</v>
      </c>
      <c r="AU18" s="373">
        <f>AU$13*'Assumptions &amp; Inputs'!$J43</f>
        <v>0</v>
      </c>
      <c r="AV18" s="373">
        <f>AV$13*'Assumptions &amp; Inputs'!$J43</f>
        <v>0</v>
      </c>
      <c r="AW18" s="374">
        <f>AW$13*'Assumptions &amp; Inputs'!$J43</f>
        <v>0</v>
      </c>
    </row>
    <row r="19" spans="1:49" ht="14.25" customHeight="1">
      <c r="B19" s="348"/>
      <c r="C19" s="364" t="s">
        <v>224</v>
      </c>
      <c r="D19" s="373">
        <f>D$13*'Assumptions &amp; Inputs'!$J44</f>
        <v>-3.3</v>
      </c>
      <c r="E19" s="373">
        <f>E$13*'Assumptions &amp; Inputs'!$J44</f>
        <v>-1.2</v>
      </c>
      <c r="F19" s="373">
        <f>F$13*'Assumptions &amp; Inputs'!$J44</f>
        <v>0</v>
      </c>
      <c r="G19" s="373">
        <f>G$13*'Assumptions &amp; Inputs'!$J44</f>
        <v>0</v>
      </c>
      <c r="H19" s="373">
        <f>H$13*'Assumptions &amp; Inputs'!$J44</f>
        <v>0</v>
      </c>
      <c r="I19" s="373">
        <f>I$13*'Assumptions &amp; Inputs'!$J44</f>
        <v>0</v>
      </c>
      <c r="J19" s="373">
        <f>J$13*'Assumptions &amp; Inputs'!$J44</f>
        <v>0</v>
      </c>
      <c r="K19" s="373">
        <f>K$13*'Assumptions &amp; Inputs'!$J44</f>
        <v>0</v>
      </c>
      <c r="L19" s="373">
        <f>L$13*'Assumptions &amp; Inputs'!$J44</f>
        <v>0</v>
      </c>
      <c r="M19" s="373">
        <f>M$13*'Assumptions &amp; Inputs'!$J44</f>
        <v>0</v>
      </c>
      <c r="N19" s="373">
        <f>N$13*'Assumptions &amp; Inputs'!$J44</f>
        <v>0</v>
      </c>
      <c r="O19" s="373">
        <f>O$13*'Assumptions &amp; Inputs'!$J44</f>
        <v>0</v>
      </c>
      <c r="P19" s="373">
        <f>P$13*'Assumptions &amp; Inputs'!$J44</f>
        <v>0</v>
      </c>
      <c r="Q19" s="373">
        <f>Q$13*'Assumptions &amp; Inputs'!$J44</f>
        <v>0</v>
      </c>
      <c r="R19" s="373">
        <f>R$13*'Assumptions &amp; Inputs'!$J44</f>
        <v>0</v>
      </c>
      <c r="S19" s="373">
        <f>S$13*'Assumptions &amp; Inputs'!$J44</f>
        <v>0</v>
      </c>
      <c r="T19" s="373">
        <f>T$13*'Assumptions &amp; Inputs'!$J44</f>
        <v>0</v>
      </c>
      <c r="U19" s="373">
        <f>U$13*'Assumptions &amp; Inputs'!$J44</f>
        <v>0</v>
      </c>
      <c r="V19" s="373">
        <f>V$13*'Assumptions &amp; Inputs'!$J44</f>
        <v>0</v>
      </c>
      <c r="W19" s="373">
        <f>W$13*'Assumptions &amp; Inputs'!$J44</f>
        <v>0</v>
      </c>
      <c r="X19" s="373">
        <f>X$13*'Assumptions &amp; Inputs'!$J44</f>
        <v>0</v>
      </c>
      <c r="Y19" s="373">
        <f>Y$13*'Assumptions &amp; Inputs'!$J44</f>
        <v>0</v>
      </c>
      <c r="Z19" s="373">
        <f>Z$13*'Assumptions &amp; Inputs'!$J44</f>
        <v>0</v>
      </c>
      <c r="AA19" s="373">
        <f>AA$13*'Assumptions &amp; Inputs'!$J44</f>
        <v>0</v>
      </c>
      <c r="AB19" s="373">
        <f>AB$13*'Assumptions &amp; Inputs'!$J44</f>
        <v>0</v>
      </c>
      <c r="AC19" s="373">
        <f>AC$13*'Assumptions &amp; Inputs'!$J44</f>
        <v>0</v>
      </c>
      <c r="AD19" s="373">
        <f>AD$13*'Assumptions &amp; Inputs'!$J44</f>
        <v>0</v>
      </c>
      <c r="AE19" s="373">
        <f>AE$13*'Assumptions &amp; Inputs'!$J44</f>
        <v>0</v>
      </c>
      <c r="AF19" s="373">
        <f>AF$13*'Assumptions &amp; Inputs'!$J44</f>
        <v>0</v>
      </c>
      <c r="AG19" s="373">
        <f>AG$13*'Assumptions &amp; Inputs'!$J44</f>
        <v>0</v>
      </c>
      <c r="AH19" s="373">
        <f>AH$13*'Assumptions &amp; Inputs'!$J44</f>
        <v>0</v>
      </c>
      <c r="AI19" s="373">
        <f>AI$13*'Assumptions &amp; Inputs'!$J44</f>
        <v>0</v>
      </c>
      <c r="AJ19" s="373">
        <f>AJ$13*'Assumptions &amp; Inputs'!$J44</f>
        <v>0</v>
      </c>
      <c r="AK19" s="373">
        <f>AK$13*'Assumptions &amp; Inputs'!$J44</f>
        <v>0</v>
      </c>
      <c r="AL19" s="373">
        <f>AL$13*'Assumptions &amp; Inputs'!$J44</f>
        <v>0</v>
      </c>
      <c r="AM19" s="373">
        <f>AM$13*'Assumptions &amp; Inputs'!$J44</f>
        <v>0</v>
      </c>
      <c r="AN19" s="373">
        <f>AN$13*'Assumptions &amp; Inputs'!$J44</f>
        <v>0</v>
      </c>
      <c r="AO19" s="373">
        <f>AO$13*'Assumptions &amp; Inputs'!$J44</f>
        <v>0</v>
      </c>
      <c r="AP19" s="373">
        <f>AP$13*'Assumptions &amp; Inputs'!$J44</f>
        <v>0</v>
      </c>
      <c r="AQ19" s="373">
        <f>AQ$13*'Assumptions &amp; Inputs'!$J44</f>
        <v>0</v>
      </c>
      <c r="AR19" s="373">
        <f>AR$13*'Assumptions &amp; Inputs'!$J44</f>
        <v>0</v>
      </c>
      <c r="AS19" s="373">
        <f>AS$13*'Assumptions &amp; Inputs'!$J44</f>
        <v>0</v>
      </c>
      <c r="AT19" s="373">
        <f>AT$13*'Assumptions &amp; Inputs'!$J44</f>
        <v>0</v>
      </c>
      <c r="AU19" s="373">
        <f>AU$13*'Assumptions &amp; Inputs'!$J44</f>
        <v>0</v>
      </c>
      <c r="AV19" s="373">
        <f>AV$13*'Assumptions &amp; Inputs'!$J44</f>
        <v>0</v>
      </c>
      <c r="AW19" s="374">
        <f>AW$13*'Assumptions &amp; Inputs'!$J44</f>
        <v>0</v>
      </c>
    </row>
    <row r="20" spans="1:49" ht="14.25" customHeight="1">
      <c r="A20" s="375"/>
      <c r="B20" s="376"/>
      <c r="C20" s="364" t="s">
        <v>225</v>
      </c>
      <c r="D20" s="373">
        <f>D$13*'Assumptions &amp; Inputs'!$J45</f>
        <v>-4.4000000000000004</v>
      </c>
      <c r="E20" s="373">
        <f>E$13*'Assumptions &amp; Inputs'!$J45</f>
        <v>-1.6</v>
      </c>
      <c r="F20" s="373">
        <f>F$13*'Assumptions &amp; Inputs'!$J45</f>
        <v>0</v>
      </c>
      <c r="G20" s="373">
        <f>G$13*'Assumptions &amp; Inputs'!$J45</f>
        <v>0</v>
      </c>
      <c r="H20" s="373">
        <f>H$13*'Assumptions &amp; Inputs'!$J45</f>
        <v>0</v>
      </c>
      <c r="I20" s="373">
        <f>I$13*'Assumptions &amp; Inputs'!$J45</f>
        <v>0</v>
      </c>
      <c r="J20" s="373">
        <f>J$13*'Assumptions &amp; Inputs'!$J45</f>
        <v>0</v>
      </c>
      <c r="K20" s="373">
        <f>K$13*'Assumptions &amp; Inputs'!$J45</f>
        <v>0</v>
      </c>
      <c r="L20" s="373">
        <f>L$13*'Assumptions &amp; Inputs'!$J45</f>
        <v>0</v>
      </c>
      <c r="M20" s="373">
        <f>M$13*'Assumptions &amp; Inputs'!$J45</f>
        <v>0</v>
      </c>
      <c r="N20" s="373">
        <f>N$13*'Assumptions &amp; Inputs'!$J45</f>
        <v>0</v>
      </c>
      <c r="O20" s="373">
        <f>O$13*'Assumptions &amp; Inputs'!$J45</f>
        <v>0</v>
      </c>
      <c r="P20" s="373">
        <f>P$13*'Assumptions &amp; Inputs'!$J45</f>
        <v>0</v>
      </c>
      <c r="Q20" s="373">
        <f>Q$13*'Assumptions &amp; Inputs'!$J45</f>
        <v>0</v>
      </c>
      <c r="R20" s="373">
        <f>R$13*'Assumptions &amp; Inputs'!$J45</f>
        <v>0</v>
      </c>
      <c r="S20" s="373">
        <f>S$13*'Assumptions &amp; Inputs'!$J45</f>
        <v>0</v>
      </c>
      <c r="T20" s="373">
        <f>T$13*'Assumptions &amp; Inputs'!$J45</f>
        <v>0</v>
      </c>
      <c r="U20" s="373">
        <f>U$13*'Assumptions &amp; Inputs'!$J45</f>
        <v>0</v>
      </c>
      <c r="V20" s="373">
        <f>V$13*'Assumptions &amp; Inputs'!$J45</f>
        <v>0</v>
      </c>
      <c r="W20" s="373">
        <f>W$13*'Assumptions &amp; Inputs'!$J45</f>
        <v>0</v>
      </c>
      <c r="X20" s="373">
        <f>X$13*'Assumptions &amp; Inputs'!$J45</f>
        <v>0</v>
      </c>
      <c r="Y20" s="373">
        <f>Y$13*'Assumptions &amp; Inputs'!$J45</f>
        <v>0</v>
      </c>
      <c r="Z20" s="373">
        <f>Z$13*'Assumptions &amp; Inputs'!$J45</f>
        <v>0</v>
      </c>
      <c r="AA20" s="373">
        <f>AA$13*'Assumptions &amp; Inputs'!$J45</f>
        <v>0</v>
      </c>
      <c r="AB20" s="373">
        <f>AB$13*'Assumptions &amp; Inputs'!$J45</f>
        <v>0</v>
      </c>
      <c r="AC20" s="373">
        <f>AC$13*'Assumptions &amp; Inputs'!$J45</f>
        <v>0</v>
      </c>
      <c r="AD20" s="373">
        <f>AD$13*'Assumptions &amp; Inputs'!$J45</f>
        <v>0</v>
      </c>
      <c r="AE20" s="373">
        <f>AE$13*'Assumptions &amp; Inputs'!$J45</f>
        <v>0</v>
      </c>
      <c r="AF20" s="373">
        <f>AF$13*'Assumptions &amp; Inputs'!$J45</f>
        <v>0</v>
      </c>
      <c r="AG20" s="373">
        <f>AG$13*'Assumptions &amp; Inputs'!$J45</f>
        <v>0</v>
      </c>
      <c r="AH20" s="373">
        <f>AH$13*'Assumptions &amp; Inputs'!$J45</f>
        <v>0</v>
      </c>
      <c r="AI20" s="373">
        <f>AI$13*'Assumptions &amp; Inputs'!$J45</f>
        <v>0</v>
      </c>
      <c r="AJ20" s="373">
        <f>AJ$13*'Assumptions &amp; Inputs'!$J45</f>
        <v>0</v>
      </c>
      <c r="AK20" s="373">
        <f>AK$13*'Assumptions &amp; Inputs'!$J45</f>
        <v>0</v>
      </c>
      <c r="AL20" s="373">
        <f>AL$13*'Assumptions &amp; Inputs'!$J45</f>
        <v>0</v>
      </c>
      <c r="AM20" s="373">
        <f>AM$13*'Assumptions &amp; Inputs'!$J45</f>
        <v>0</v>
      </c>
      <c r="AN20" s="373">
        <f>AN$13*'Assumptions &amp; Inputs'!$J45</f>
        <v>0</v>
      </c>
      <c r="AO20" s="373">
        <f>AO$13*'Assumptions &amp; Inputs'!$J45</f>
        <v>0</v>
      </c>
      <c r="AP20" s="373">
        <f>AP$13*'Assumptions &amp; Inputs'!$J45</f>
        <v>0</v>
      </c>
      <c r="AQ20" s="373">
        <f>AQ$13*'Assumptions &amp; Inputs'!$J45</f>
        <v>0</v>
      </c>
      <c r="AR20" s="373">
        <f>AR$13*'Assumptions &amp; Inputs'!$J45</f>
        <v>0</v>
      </c>
      <c r="AS20" s="373">
        <f>AS$13*'Assumptions &amp; Inputs'!$J45</f>
        <v>0</v>
      </c>
      <c r="AT20" s="373">
        <f>AT$13*'Assumptions &amp; Inputs'!$J45</f>
        <v>0</v>
      </c>
      <c r="AU20" s="373">
        <f>AU$13*'Assumptions &amp; Inputs'!$J45</f>
        <v>0</v>
      </c>
      <c r="AV20" s="373">
        <f>AV$13*'Assumptions &amp; Inputs'!$J45</f>
        <v>0</v>
      </c>
      <c r="AW20" s="374">
        <f>AW$13*'Assumptions &amp; Inputs'!$J45</f>
        <v>0</v>
      </c>
    </row>
    <row r="21" spans="1:49" ht="14.25" customHeight="1">
      <c r="B21" s="348"/>
      <c r="C21" s="364" t="s">
        <v>226</v>
      </c>
      <c r="D21" s="373">
        <f>D$13*'Assumptions &amp; Inputs'!$J46</f>
        <v>-4.4000000000000004</v>
      </c>
      <c r="E21" s="373">
        <f>E$13*'Assumptions &amp; Inputs'!$J46</f>
        <v>-1.6</v>
      </c>
      <c r="F21" s="373">
        <f>F$13*'Assumptions &amp; Inputs'!$J46</f>
        <v>0</v>
      </c>
      <c r="G21" s="373">
        <f>G$13*'Assumptions &amp; Inputs'!$J46</f>
        <v>0</v>
      </c>
      <c r="H21" s="373">
        <f>H$13*'Assumptions &amp; Inputs'!$J46</f>
        <v>0</v>
      </c>
      <c r="I21" s="373">
        <f>I$13*'Assumptions &amp; Inputs'!$J46</f>
        <v>0</v>
      </c>
      <c r="J21" s="373">
        <f>J$13*'Assumptions &amp; Inputs'!$J46</f>
        <v>0</v>
      </c>
      <c r="K21" s="373">
        <f>K$13*'Assumptions &amp; Inputs'!$J46</f>
        <v>0</v>
      </c>
      <c r="L21" s="373">
        <f>L$13*'Assumptions &amp; Inputs'!$J46</f>
        <v>0</v>
      </c>
      <c r="M21" s="373">
        <f>M$13*'Assumptions &amp; Inputs'!$J46</f>
        <v>0</v>
      </c>
      <c r="N21" s="373">
        <f>N$13*'Assumptions &amp; Inputs'!$J46</f>
        <v>0</v>
      </c>
      <c r="O21" s="373">
        <f>O$13*'Assumptions &amp; Inputs'!$J46</f>
        <v>0</v>
      </c>
      <c r="P21" s="373">
        <f>P$13*'Assumptions &amp; Inputs'!$J46</f>
        <v>0</v>
      </c>
      <c r="Q21" s="373">
        <f>Q$13*'Assumptions &amp; Inputs'!$J46</f>
        <v>0</v>
      </c>
      <c r="R21" s="373">
        <f>R$13*'Assumptions &amp; Inputs'!$J46</f>
        <v>0</v>
      </c>
      <c r="S21" s="373">
        <f>S$13*'Assumptions &amp; Inputs'!$J46</f>
        <v>0</v>
      </c>
      <c r="T21" s="373">
        <f>T$13*'Assumptions &amp; Inputs'!$J46</f>
        <v>0</v>
      </c>
      <c r="U21" s="373">
        <f>U$13*'Assumptions &amp; Inputs'!$J46</f>
        <v>0</v>
      </c>
      <c r="V21" s="373">
        <f>V$13*'Assumptions &amp; Inputs'!$J46</f>
        <v>0</v>
      </c>
      <c r="W21" s="373">
        <f>W$13*'Assumptions &amp; Inputs'!$J46</f>
        <v>0</v>
      </c>
      <c r="X21" s="373">
        <f>X$13*'Assumptions &amp; Inputs'!$J46</f>
        <v>0</v>
      </c>
      <c r="Y21" s="373">
        <f>Y$13*'Assumptions &amp; Inputs'!$J46</f>
        <v>0</v>
      </c>
      <c r="Z21" s="373">
        <f>Z$13*'Assumptions &amp; Inputs'!$J46</f>
        <v>0</v>
      </c>
      <c r="AA21" s="373">
        <f>AA$13*'Assumptions &amp; Inputs'!$J46</f>
        <v>0</v>
      </c>
      <c r="AB21" s="373">
        <f>AB$13*'Assumptions &amp; Inputs'!$J46</f>
        <v>0</v>
      </c>
      <c r="AC21" s="373">
        <f>AC$13*'Assumptions &amp; Inputs'!$J46</f>
        <v>0</v>
      </c>
      <c r="AD21" s="373">
        <f>AD$13*'Assumptions &amp; Inputs'!$J46</f>
        <v>0</v>
      </c>
      <c r="AE21" s="373">
        <f>AE$13*'Assumptions &amp; Inputs'!$J46</f>
        <v>0</v>
      </c>
      <c r="AF21" s="373">
        <f>AF$13*'Assumptions &amp; Inputs'!$J46</f>
        <v>0</v>
      </c>
      <c r="AG21" s="373">
        <f>AG$13*'Assumptions &amp; Inputs'!$J46</f>
        <v>0</v>
      </c>
      <c r="AH21" s="373">
        <f>AH$13*'Assumptions &amp; Inputs'!$J46</f>
        <v>0</v>
      </c>
      <c r="AI21" s="373">
        <f>AI$13*'Assumptions &amp; Inputs'!$J46</f>
        <v>0</v>
      </c>
      <c r="AJ21" s="373">
        <f>AJ$13*'Assumptions &amp; Inputs'!$J46</f>
        <v>0</v>
      </c>
      <c r="AK21" s="373">
        <f>AK$13*'Assumptions &amp; Inputs'!$J46</f>
        <v>0</v>
      </c>
      <c r="AL21" s="373">
        <f>AL$13*'Assumptions &amp; Inputs'!$J46</f>
        <v>0</v>
      </c>
      <c r="AM21" s="373">
        <f>AM$13*'Assumptions &amp; Inputs'!$J46</f>
        <v>0</v>
      </c>
      <c r="AN21" s="373">
        <f>AN$13*'Assumptions &amp; Inputs'!$J46</f>
        <v>0</v>
      </c>
      <c r="AO21" s="373">
        <f>AO$13*'Assumptions &amp; Inputs'!$J46</f>
        <v>0</v>
      </c>
      <c r="AP21" s="373">
        <f>AP$13*'Assumptions &amp; Inputs'!$J46</f>
        <v>0</v>
      </c>
      <c r="AQ21" s="373">
        <f>AQ$13*'Assumptions &amp; Inputs'!$J46</f>
        <v>0</v>
      </c>
      <c r="AR21" s="373">
        <f>AR$13*'Assumptions &amp; Inputs'!$J46</f>
        <v>0</v>
      </c>
      <c r="AS21" s="373">
        <f>AS$13*'Assumptions &amp; Inputs'!$J46</f>
        <v>0</v>
      </c>
      <c r="AT21" s="373">
        <f>AT$13*'Assumptions &amp; Inputs'!$J46</f>
        <v>0</v>
      </c>
      <c r="AU21" s="373">
        <f>AU$13*'Assumptions &amp; Inputs'!$J46</f>
        <v>0</v>
      </c>
      <c r="AV21" s="373">
        <f>AV$13*'Assumptions &amp; Inputs'!$J46</f>
        <v>0</v>
      </c>
      <c r="AW21" s="374">
        <f>AW$13*'Assumptions &amp; Inputs'!$J46</f>
        <v>0</v>
      </c>
    </row>
    <row r="22" spans="1:49" ht="14.25" customHeight="1">
      <c r="B22" s="348"/>
      <c r="C22" s="364" t="s">
        <v>227</v>
      </c>
      <c r="D22" s="373">
        <f>D$13*'Assumptions &amp; Inputs'!$J47</f>
        <v>-1.3199999999999998</v>
      </c>
      <c r="E22" s="373">
        <f>E$13*'Assumptions &amp; Inputs'!$J47</f>
        <v>-0.48</v>
      </c>
      <c r="F22" s="373">
        <f>F$13*'Assumptions &amp; Inputs'!$J47</f>
        <v>0</v>
      </c>
      <c r="G22" s="373">
        <f>G$13*'Assumptions &amp; Inputs'!$J47</f>
        <v>0</v>
      </c>
      <c r="H22" s="373">
        <f>H$13*'Assumptions &amp; Inputs'!$J47</f>
        <v>0</v>
      </c>
      <c r="I22" s="373">
        <f>I$13*'Assumptions &amp; Inputs'!$J47</f>
        <v>0</v>
      </c>
      <c r="J22" s="373">
        <f>J$13*'Assumptions &amp; Inputs'!$J47</f>
        <v>0</v>
      </c>
      <c r="K22" s="373">
        <f>K$13*'Assumptions &amp; Inputs'!$J47</f>
        <v>0</v>
      </c>
      <c r="L22" s="373">
        <f>L$13*'Assumptions &amp; Inputs'!$J47</f>
        <v>0</v>
      </c>
      <c r="M22" s="373">
        <f>M$13*'Assumptions &amp; Inputs'!$J47</f>
        <v>0</v>
      </c>
      <c r="N22" s="373">
        <f>N$13*'Assumptions &amp; Inputs'!$J47</f>
        <v>0</v>
      </c>
      <c r="O22" s="373">
        <f>O$13*'Assumptions &amp; Inputs'!$J47</f>
        <v>0</v>
      </c>
      <c r="P22" s="373">
        <f>P$13*'Assumptions &amp; Inputs'!$J47</f>
        <v>0</v>
      </c>
      <c r="Q22" s="373">
        <f>Q$13*'Assumptions &amp; Inputs'!$J47</f>
        <v>0</v>
      </c>
      <c r="R22" s="373">
        <f>R$13*'Assumptions &amp; Inputs'!$J47</f>
        <v>0</v>
      </c>
      <c r="S22" s="373">
        <f>S$13*'Assumptions &amp; Inputs'!$J47</f>
        <v>0</v>
      </c>
      <c r="T22" s="373">
        <f>T$13*'Assumptions &amp; Inputs'!$J47</f>
        <v>0</v>
      </c>
      <c r="U22" s="373">
        <f>U$13*'Assumptions &amp; Inputs'!$J47</f>
        <v>0</v>
      </c>
      <c r="V22" s="373">
        <f>V$13*'Assumptions &amp; Inputs'!$J47</f>
        <v>0</v>
      </c>
      <c r="W22" s="373">
        <f>W$13*'Assumptions &amp; Inputs'!$J47</f>
        <v>0</v>
      </c>
      <c r="X22" s="373">
        <f>X$13*'Assumptions &amp; Inputs'!$J47</f>
        <v>0</v>
      </c>
      <c r="Y22" s="373">
        <f>Y$13*'Assumptions &amp; Inputs'!$J47</f>
        <v>0</v>
      </c>
      <c r="Z22" s="373">
        <f>Z$13*'Assumptions &amp; Inputs'!$J47</f>
        <v>0</v>
      </c>
      <c r="AA22" s="373">
        <f>AA$13*'Assumptions &amp; Inputs'!$J47</f>
        <v>0</v>
      </c>
      <c r="AB22" s="373">
        <f>AB$13*'Assumptions &amp; Inputs'!$J47</f>
        <v>0</v>
      </c>
      <c r="AC22" s="373">
        <f>AC$13*'Assumptions &amp; Inputs'!$J47</f>
        <v>0</v>
      </c>
      <c r="AD22" s="373">
        <f>AD$13*'Assumptions &amp; Inputs'!$J47</f>
        <v>0</v>
      </c>
      <c r="AE22" s="373">
        <f>AE$13*'Assumptions &amp; Inputs'!$J47</f>
        <v>0</v>
      </c>
      <c r="AF22" s="373">
        <f>AF$13*'Assumptions &amp; Inputs'!$J47</f>
        <v>0</v>
      </c>
      <c r="AG22" s="373">
        <f>AG$13*'Assumptions &amp; Inputs'!$J47</f>
        <v>0</v>
      </c>
      <c r="AH22" s="373">
        <f>AH$13*'Assumptions &amp; Inputs'!$J47</f>
        <v>0</v>
      </c>
      <c r="AI22" s="373">
        <f>AI$13*'Assumptions &amp; Inputs'!$J47</f>
        <v>0</v>
      </c>
      <c r="AJ22" s="373">
        <f>AJ$13*'Assumptions &amp; Inputs'!$J47</f>
        <v>0</v>
      </c>
      <c r="AK22" s="373">
        <f>AK$13*'Assumptions &amp; Inputs'!$J47</f>
        <v>0</v>
      </c>
      <c r="AL22" s="373">
        <f>AL$13*'Assumptions &amp; Inputs'!$J47</f>
        <v>0</v>
      </c>
      <c r="AM22" s="373">
        <f>AM$13*'Assumptions &amp; Inputs'!$J47</f>
        <v>0</v>
      </c>
      <c r="AN22" s="373">
        <f>AN$13*'Assumptions &amp; Inputs'!$J47</f>
        <v>0</v>
      </c>
      <c r="AO22" s="373">
        <f>AO$13*'Assumptions &amp; Inputs'!$J47</f>
        <v>0</v>
      </c>
      <c r="AP22" s="373">
        <f>AP$13*'Assumptions &amp; Inputs'!$J47</f>
        <v>0</v>
      </c>
      <c r="AQ22" s="373">
        <f>AQ$13*'Assumptions &amp; Inputs'!$J47</f>
        <v>0</v>
      </c>
      <c r="AR22" s="373">
        <f>AR$13*'Assumptions &amp; Inputs'!$J47</f>
        <v>0</v>
      </c>
      <c r="AS22" s="373">
        <f>AS$13*'Assumptions &amp; Inputs'!$J47</f>
        <v>0</v>
      </c>
      <c r="AT22" s="373">
        <f>AT$13*'Assumptions &amp; Inputs'!$J47</f>
        <v>0</v>
      </c>
      <c r="AU22" s="373">
        <f>AU$13*'Assumptions &amp; Inputs'!$J47</f>
        <v>0</v>
      </c>
      <c r="AV22" s="373">
        <f>AV$13*'Assumptions &amp; Inputs'!$J47</f>
        <v>0</v>
      </c>
      <c r="AW22" s="374">
        <f>AW$13*'Assumptions &amp; Inputs'!$J47</f>
        <v>0</v>
      </c>
    </row>
    <row r="23" spans="1:49" ht="14.25" customHeight="1">
      <c r="B23" s="348"/>
      <c r="C23" s="370"/>
      <c r="D23" s="371"/>
      <c r="E23" s="371"/>
      <c r="F23" s="371"/>
      <c r="G23" s="371"/>
      <c r="H23" s="371"/>
      <c r="I23" s="371"/>
      <c r="J23" s="371"/>
      <c r="K23" s="371"/>
      <c r="L23" s="371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Z23" s="371"/>
      <c r="AA23" s="371"/>
      <c r="AB23" s="371"/>
      <c r="AC23" s="371"/>
      <c r="AD23" s="371"/>
      <c r="AE23" s="371"/>
      <c r="AF23" s="371"/>
      <c r="AG23" s="371"/>
      <c r="AH23" s="371"/>
      <c r="AI23" s="371"/>
      <c r="AJ23" s="371"/>
      <c r="AK23" s="371"/>
      <c r="AL23" s="371"/>
      <c r="AM23" s="371"/>
      <c r="AN23" s="371"/>
      <c r="AO23" s="371"/>
      <c r="AP23" s="371"/>
      <c r="AQ23" s="371"/>
      <c r="AR23" s="371"/>
      <c r="AS23" s="371"/>
      <c r="AT23" s="371"/>
      <c r="AU23" s="371"/>
      <c r="AV23" s="371"/>
      <c r="AW23" s="372"/>
    </row>
    <row r="24" spans="1:49" ht="14.25" customHeight="1">
      <c r="B24" s="348"/>
      <c r="C24" s="377" t="s">
        <v>359</v>
      </c>
      <c r="D24" s="378">
        <f>SUM(D14:D22)</f>
        <v>-22</v>
      </c>
      <c r="E24" s="378">
        <f t="shared" ref="E24:X24" si="56">SUM(E14:E22)</f>
        <v>-8</v>
      </c>
      <c r="F24" s="378">
        <f t="shared" si="56"/>
        <v>0</v>
      </c>
      <c r="G24" s="378">
        <f t="shared" si="56"/>
        <v>0</v>
      </c>
      <c r="H24" s="378">
        <f t="shared" si="56"/>
        <v>0</v>
      </c>
      <c r="I24" s="378">
        <f t="shared" si="56"/>
        <v>0</v>
      </c>
      <c r="J24" s="378">
        <f t="shared" si="56"/>
        <v>0</v>
      </c>
      <c r="K24" s="378">
        <f t="shared" si="56"/>
        <v>0</v>
      </c>
      <c r="L24" s="378">
        <f t="shared" si="56"/>
        <v>0</v>
      </c>
      <c r="M24" s="378">
        <f t="shared" si="56"/>
        <v>0</v>
      </c>
      <c r="N24" s="378">
        <f t="shared" si="56"/>
        <v>0</v>
      </c>
      <c r="O24" s="378">
        <f t="shared" si="56"/>
        <v>0</v>
      </c>
      <c r="P24" s="378">
        <f t="shared" si="56"/>
        <v>0</v>
      </c>
      <c r="Q24" s="378">
        <f t="shared" si="56"/>
        <v>0</v>
      </c>
      <c r="R24" s="378">
        <f t="shared" si="56"/>
        <v>0</v>
      </c>
      <c r="S24" s="378">
        <f t="shared" si="56"/>
        <v>0</v>
      </c>
      <c r="T24" s="378">
        <f t="shared" si="56"/>
        <v>0</v>
      </c>
      <c r="U24" s="378">
        <f t="shared" si="56"/>
        <v>0</v>
      </c>
      <c r="V24" s="378">
        <f t="shared" si="56"/>
        <v>0</v>
      </c>
      <c r="W24" s="378">
        <f t="shared" si="56"/>
        <v>0</v>
      </c>
      <c r="X24" s="378">
        <f t="shared" si="56"/>
        <v>0</v>
      </c>
      <c r="Y24" s="378">
        <f t="shared" ref="Y24:AW24" si="57">SUM(Y14:Y22)</f>
        <v>0</v>
      </c>
      <c r="Z24" s="378">
        <f t="shared" si="57"/>
        <v>0</v>
      </c>
      <c r="AA24" s="378">
        <f t="shared" si="57"/>
        <v>0</v>
      </c>
      <c r="AB24" s="378">
        <f t="shared" si="57"/>
        <v>0</v>
      </c>
      <c r="AC24" s="378">
        <f t="shared" si="57"/>
        <v>0</v>
      </c>
      <c r="AD24" s="378">
        <f t="shared" si="57"/>
        <v>0</v>
      </c>
      <c r="AE24" s="378">
        <f t="shared" si="57"/>
        <v>0</v>
      </c>
      <c r="AF24" s="378">
        <f t="shared" si="57"/>
        <v>0</v>
      </c>
      <c r="AG24" s="378">
        <f t="shared" si="57"/>
        <v>0</v>
      </c>
      <c r="AH24" s="378">
        <f t="shared" si="57"/>
        <v>0</v>
      </c>
      <c r="AI24" s="378">
        <f t="shared" si="57"/>
        <v>0</v>
      </c>
      <c r="AJ24" s="378">
        <f t="shared" si="57"/>
        <v>0</v>
      </c>
      <c r="AK24" s="378">
        <f t="shared" si="57"/>
        <v>0</v>
      </c>
      <c r="AL24" s="378">
        <f t="shared" si="57"/>
        <v>0</v>
      </c>
      <c r="AM24" s="378">
        <f t="shared" si="57"/>
        <v>0</v>
      </c>
      <c r="AN24" s="378">
        <f t="shared" si="57"/>
        <v>0</v>
      </c>
      <c r="AO24" s="378">
        <f t="shared" si="57"/>
        <v>0</v>
      </c>
      <c r="AP24" s="378">
        <f t="shared" si="57"/>
        <v>0</v>
      </c>
      <c r="AQ24" s="378">
        <f t="shared" si="57"/>
        <v>0</v>
      </c>
      <c r="AR24" s="378">
        <f t="shared" si="57"/>
        <v>0</v>
      </c>
      <c r="AS24" s="378">
        <f t="shared" si="57"/>
        <v>0</v>
      </c>
      <c r="AT24" s="378">
        <f t="shared" si="57"/>
        <v>0</v>
      </c>
      <c r="AU24" s="378">
        <f t="shared" si="57"/>
        <v>0</v>
      </c>
      <c r="AV24" s="378">
        <f t="shared" si="57"/>
        <v>0</v>
      </c>
      <c r="AW24" s="379">
        <f t="shared" si="57"/>
        <v>0</v>
      </c>
    </row>
    <row r="25" spans="1:49" ht="14.25" customHeight="1" thickBot="1">
      <c r="B25" s="348"/>
      <c r="C25" s="380" t="s">
        <v>360</v>
      </c>
      <c r="D25" s="381">
        <f>SUM(D24:BW24)</f>
        <v>-30</v>
      </c>
      <c r="E25" s="382"/>
      <c r="F25" s="382"/>
      <c r="G25" s="382"/>
      <c r="H25" s="382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  <c r="W25" s="382"/>
      <c r="X25" s="382"/>
      <c r="Y25" s="382"/>
      <c r="Z25" s="382"/>
      <c r="AA25" s="382"/>
      <c r="AB25" s="382"/>
      <c r="AC25" s="382"/>
      <c r="AD25" s="382"/>
      <c r="AE25" s="382"/>
      <c r="AF25" s="382"/>
      <c r="AG25" s="382"/>
      <c r="AH25" s="382"/>
      <c r="AI25" s="382"/>
      <c r="AJ25" s="382"/>
      <c r="AK25" s="382"/>
      <c r="AL25" s="382"/>
      <c r="AM25" s="382"/>
      <c r="AN25" s="382"/>
      <c r="AO25" s="382"/>
      <c r="AP25" s="382"/>
      <c r="AQ25" s="382"/>
      <c r="AR25" s="382"/>
      <c r="AS25" s="382"/>
      <c r="AT25" s="382"/>
      <c r="AU25" s="382"/>
      <c r="AV25" s="382"/>
      <c r="AW25" s="383"/>
    </row>
    <row r="26" spans="1:49" ht="14.25" customHeight="1"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8"/>
      <c r="AK26" s="348"/>
      <c r="AL26" s="348"/>
      <c r="AM26" s="348"/>
      <c r="AN26" s="348"/>
      <c r="AO26" s="348"/>
      <c r="AP26" s="348"/>
      <c r="AQ26" s="348"/>
      <c r="AR26" s="348"/>
      <c r="AS26" s="348"/>
      <c r="AT26" s="348"/>
      <c r="AU26" s="348"/>
      <c r="AV26" s="348"/>
      <c r="AW26" s="348"/>
    </row>
    <row r="27" spans="1:49" ht="14.25" customHeight="1"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8"/>
      <c r="AK27" s="348"/>
      <c r="AL27" s="348"/>
      <c r="AM27" s="348"/>
      <c r="AN27" s="348"/>
      <c r="AO27" s="348"/>
      <c r="AP27" s="348"/>
      <c r="AQ27" s="348"/>
      <c r="AR27" s="348"/>
      <c r="AS27" s="348"/>
      <c r="AT27" s="348"/>
      <c r="AU27" s="348"/>
      <c r="AV27" s="348"/>
      <c r="AW27" s="348"/>
    </row>
    <row r="28" spans="1:49" ht="14.25" customHeight="1" thickBot="1">
      <c r="A28" s="342" t="s">
        <v>351</v>
      </c>
      <c r="C28" s="349" t="s">
        <v>402</v>
      </c>
      <c r="D28" s="349"/>
      <c r="E28" s="350"/>
      <c r="F28" s="350"/>
      <c r="G28" s="350"/>
      <c r="H28" s="350"/>
      <c r="I28" s="350"/>
      <c r="J28" s="351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50"/>
      <c r="W28" s="350"/>
      <c r="X28" s="350"/>
      <c r="Y28" s="350"/>
      <c r="Z28" s="350"/>
      <c r="AA28" s="350"/>
      <c r="AB28" s="350"/>
      <c r="AC28" s="350"/>
      <c r="AD28" s="350"/>
      <c r="AE28" s="350"/>
      <c r="AF28" s="350"/>
      <c r="AG28" s="350"/>
      <c r="AH28" s="350"/>
      <c r="AI28" s="350"/>
      <c r="AJ28" s="350"/>
      <c r="AK28" s="350"/>
      <c r="AL28" s="350"/>
      <c r="AM28" s="350"/>
      <c r="AN28" s="350"/>
      <c r="AO28" s="350"/>
      <c r="AP28" s="350"/>
      <c r="AQ28" s="350"/>
      <c r="AR28" s="350"/>
      <c r="AS28" s="350"/>
      <c r="AT28" s="350"/>
      <c r="AU28" s="350"/>
      <c r="AV28" s="350"/>
      <c r="AW28" s="350"/>
    </row>
    <row r="29" spans="1:49" ht="14.25" customHeight="1">
      <c r="C29" s="352" t="s">
        <v>353</v>
      </c>
      <c r="D29" s="353"/>
      <c r="E29" s="354"/>
      <c r="F29" s="354"/>
      <c r="G29" s="354"/>
      <c r="H29" s="354"/>
      <c r="I29" s="354"/>
      <c r="J29" s="354"/>
      <c r="K29" s="354"/>
      <c r="L29" s="354"/>
      <c r="M29" s="354"/>
      <c r="N29" s="354"/>
    </row>
    <row r="30" spans="1:49" ht="14.25" customHeight="1">
      <c r="D30" s="384">
        <v>0</v>
      </c>
      <c r="E30" s="384">
        <f t="shared" ref="E30:X30" si="58">D30+1</f>
        <v>1</v>
      </c>
      <c r="F30" s="384">
        <f t="shared" si="58"/>
        <v>2</v>
      </c>
      <c r="G30" s="384">
        <f t="shared" si="58"/>
        <v>3</v>
      </c>
      <c r="H30" s="384">
        <f t="shared" si="58"/>
        <v>4</v>
      </c>
      <c r="I30" s="384">
        <f t="shared" si="58"/>
        <v>5</v>
      </c>
      <c r="J30" s="384">
        <f t="shared" si="58"/>
        <v>6</v>
      </c>
      <c r="K30" s="384">
        <f t="shared" si="58"/>
        <v>7</v>
      </c>
      <c r="L30" s="384">
        <f t="shared" si="58"/>
        <v>8</v>
      </c>
      <c r="M30" s="384">
        <f t="shared" si="58"/>
        <v>9</v>
      </c>
      <c r="N30" s="384">
        <f t="shared" si="58"/>
        <v>10</v>
      </c>
      <c r="O30" s="384">
        <f t="shared" si="58"/>
        <v>11</v>
      </c>
      <c r="P30" s="384">
        <f t="shared" si="58"/>
        <v>12</v>
      </c>
      <c r="Q30" s="384">
        <f t="shared" si="58"/>
        <v>13</v>
      </c>
      <c r="R30" s="384">
        <f t="shared" si="58"/>
        <v>14</v>
      </c>
      <c r="S30" s="384">
        <f t="shared" si="58"/>
        <v>15</v>
      </c>
      <c r="T30" s="384">
        <f t="shared" si="58"/>
        <v>16</v>
      </c>
      <c r="U30" s="384">
        <f t="shared" si="58"/>
        <v>17</v>
      </c>
      <c r="V30" s="384">
        <f t="shared" si="58"/>
        <v>18</v>
      </c>
      <c r="W30" s="384">
        <f t="shared" si="58"/>
        <v>19</v>
      </c>
      <c r="X30" s="384">
        <f t="shared" si="58"/>
        <v>20</v>
      </c>
      <c r="Y30" s="384">
        <f t="shared" ref="Y30" si="59">X30+1</f>
        <v>21</v>
      </c>
      <c r="Z30" s="384">
        <f t="shared" ref="Z30" si="60">Y30+1</f>
        <v>22</v>
      </c>
      <c r="AA30" s="384">
        <f t="shared" ref="AA30" si="61">Z30+1</f>
        <v>23</v>
      </c>
      <c r="AB30" s="384">
        <f t="shared" ref="AB30" si="62">AA30+1</f>
        <v>24</v>
      </c>
      <c r="AC30" s="384">
        <f t="shared" ref="AC30" si="63">AB30+1</f>
        <v>25</v>
      </c>
      <c r="AD30" s="384">
        <f t="shared" ref="AD30" si="64">AC30+1</f>
        <v>26</v>
      </c>
      <c r="AE30" s="384">
        <f t="shared" ref="AE30" si="65">AD30+1</f>
        <v>27</v>
      </c>
      <c r="AF30" s="384">
        <f t="shared" ref="AF30" si="66">AE30+1</f>
        <v>28</v>
      </c>
      <c r="AG30" s="384">
        <f t="shared" ref="AG30" si="67">AF30+1</f>
        <v>29</v>
      </c>
      <c r="AH30" s="384">
        <f t="shared" ref="AH30" si="68">AG30+1</f>
        <v>30</v>
      </c>
      <c r="AI30" s="384">
        <f t="shared" ref="AI30" si="69">AH30+1</f>
        <v>31</v>
      </c>
      <c r="AJ30" s="384">
        <f t="shared" ref="AJ30" si="70">AI30+1</f>
        <v>32</v>
      </c>
      <c r="AK30" s="384">
        <f t="shared" ref="AK30" si="71">AJ30+1</f>
        <v>33</v>
      </c>
      <c r="AL30" s="384">
        <f t="shared" ref="AL30" si="72">AK30+1</f>
        <v>34</v>
      </c>
      <c r="AM30" s="384">
        <f t="shared" ref="AM30" si="73">AL30+1</f>
        <v>35</v>
      </c>
      <c r="AN30" s="384">
        <f t="shared" ref="AN30" si="74">AM30+1</f>
        <v>36</v>
      </c>
      <c r="AO30" s="384">
        <f t="shared" ref="AO30" si="75">AN30+1</f>
        <v>37</v>
      </c>
      <c r="AP30" s="384">
        <f t="shared" ref="AP30" si="76">AO30+1</f>
        <v>38</v>
      </c>
      <c r="AQ30" s="384">
        <f t="shared" ref="AQ30" si="77">AP30+1</f>
        <v>39</v>
      </c>
      <c r="AR30" s="384">
        <f t="shared" ref="AR30" si="78">AQ30+1</f>
        <v>40</v>
      </c>
      <c r="AS30" s="384">
        <f t="shared" ref="AS30" si="79">AR30+1</f>
        <v>41</v>
      </c>
      <c r="AT30" s="384">
        <f t="shared" ref="AT30" si="80">AS30+1</f>
        <v>42</v>
      </c>
      <c r="AU30" s="384">
        <f t="shared" ref="AU30" si="81">AT30+1</f>
        <v>43</v>
      </c>
      <c r="AV30" s="384">
        <f t="shared" ref="AV30" si="82">AU30+1</f>
        <v>44</v>
      </c>
      <c r="AW30" s="384">
        <f t="shared" ref="AW30" si="83">AV30+1</f>
        <v>45</v>
      </c>
    </row>
    <row r="31" spans="1:49" ht="14.25" customHeight="1">
      <c r="C31" s="357"/>
      <c r="D31" s="357"/>
      <c r="E31" s="833" t="s">
        <v>354</v>
      </c>
      <c r="F31" s="834"/>
      <c r="G31" s="834"/>
      <c r="H31" s="834"/>
      <c r="I31" s="834"/>
      <c r="J31" s="834"/>
      <c r="K31" s="834"/>
      <c r="L31" s="834"/>
      <c r="M31" s="834"/>
      <c r="N31" s="834"/>
      <c r="O31" s="834"/>
      <c r="P31" s="834"/>
      <c r="Q31" s="360"/>
      <c r="R31" s="360"/>
      <c r="S31" s="360"/>
      <c r="T31" s="360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0"/>
      <c r="AH31" s="360"/>
      <c r="AI31" s="360"/>
      <c r="AJ31" s="360"/>
      <c r="AK31" s="360"/>
      <c r="AL31" s="360"/>
      <c r="AM31" s="360"/>
      <c r="AN31" s="360"/>
      <c r="AO31" s="360"/>
      <c r="AP31" s="360"/>
      <c r="AQ31" s="360"/>
      <c r="AR31" s="360"/>
      <c r="AS31" s="360"/>
      <c r="AT31" s="360"/>
      <c r="AU31" s="360"/>
      <c r="AV31" s="360"/>
      <c r="AW31" s="360"/>
    </row>
    <row r="32" spans="1:49" ht="14.25" customHeight="1">
      <c r="C32" s="357"/>
      <c r="D32" s="385">
        <f>D9</f>
        <v>2026</v>
      </c>
      <c r="E32" s="360">
        <f t="shared" ref="E32:X32" si="84">D32+1</f>
        <v>2027</v>
      </c>
      <c r="F32" s="360">
        <f t="shared" si="84"/>
        <v>2028</v>
      </c>
      <c r="G32" s="360">
        <f t="shared" si="84"/>
        <v>2029</v>
      </c>
      <c r="H32" s="360">
        <f t="shared" si="84"/>
        <v>2030</v>
      </c>
      <c r="I32" s="360">
        <f t="shared" si="84"/>
        <v>2031</v>
      </c>
      <c r="J32" s="360">
        <f t="shared" si="84"/>
        <v>2032</v>
      </c>
      <c r="K32" s="360">
        <f t="shared" si="84"/>
        <v>2033</v>
      </c>
      <c r="L32" s="360">
        <f t="shared" si="84"/>
        <v>2034</v>
      </c>
      <c r="M32" s="360">
        <f t="shared" si="84"/>
        <v>2035</v>
      </c>
      <c r="N32" s="360">
        <f t="shared" si="84"/>
        <v>2036</v>
      </c>
      <c r="O32" s="360">
        <f t="shared" si="84"/>
        <v>2037</v>
      </c>
      <c r="P32" s="360">
        <f t="shared" si="84"/>
        <v>2038</v>
      </c>
      <c r="Q32" s="360">
        <f t="shared" si="84"/>
        <v>2039</v>
      </c>
      <c r="R32" s="360">
        <f t="shared" si="84"/>
        <v>2040</v>
      </c>
      <c r="S32" s="360">
        <f t="shared" si="84"/>
        <v>2041</v>
      </c>
      <c r="T32" s="360">
        <f t="shared" si="84"/>
        <v>2042</v>
      </c>
      <c r="U32" s="360">
        <f t="shared" si="84"/>
        <v>2043</v>
      </c>
      <c r="V32" s="360">
        <f t="shared" si="84"/>
        <v>2044</v>
      </c>
      <c r="W32" s="360">
        <f t="shared" si="84"/>
        <v>2045</v>
      </c>
      <c r="X32" s="360">
        <f t="shared" si="84"/>
        <v>2046</v>
      </c>
      <c r="Y32" s="360">
        <f t="shared" ref="Y32" si="85">X32+1</f>
        <v>2047</v>
      </c>
      <c r="Z32" s="360">
        <f t="shared" ref="Z32" si="86">Y32+1</f>
        <v>2048</v>
      </c>
      <c r="AA32" s="360">
        <f t="shared" ref="AA32" si="87">Z32+1</f>
        <v>2049</v>
      </c>
      <c r="AB32" s="360">
        <f t="shared" ref="AB32" si="88">AA32+1</f>
        <v>2050</v>
      </c>
      <c r="AC32" s="360">
        <f t="shared" ref="AC32" si="89">AB32+1</f>
        <v>2051</v>
      </c>
      <c r="AD32" s="360">
        <f t="shared" ref="AD32" si="90">AC32+1</f>
        <v>2052</v>
      </c>
      <c r="AE32" s="360">
        <f t="shared" ref="AE32" si="91">AD32+1</f>
        <v>2053</v>
      </c>
      <c r="AF32" s="360">
        <f t="shared" ref="AF32" si="92">AE32+1</f>
        <v>2054</v>
      </c>
      <c r="AG32" s="360">
        <f t="shared" ref="AG32" si="93">AF32+1</f>
        <v>2055</v>
      </c>
      <c r="AH32" s="360">
        <f t="shared" ref="AH32" si="94">AG32+1</f>
        <v>2056</v>
      </c>
      <c r="AI32" s="360">
        <f t="shared" ref="AI32" si="95">AH32+1</f>
        <v>2057</v>
      </c>
      <c r="AJ32" s="360">
        <f t="shared" ref="AJ32" si="96">AI32+1</f>
        <v>2058</v>
      </c>
      <c r="AK32" s="360">
        <f t="shared" ref="AK32" si="97">AJ32+1</f>
        <v>2059</v>
      </c>
      <c r="AL32" s="360">
        <f t="shared" ref="AL32" si="98">AK32+1</f>
        <v>2060</v>
      </c>
      <c r="AM32" s="360">
        <f t="shared" ref="AM32" si="99">AL32+1</f>
        <v>2061</v>
      </c>
      <c r="AN32" s="360">
        <f t="shared" ref="AN32" si="100">AM32+1</f>
        <v>2062</v>
      </c>
      <c r="AO32" s="360">
        <f t="shared" ref="AO32" si="101">AN32+1</f>
        <v>2063</v>
      </c>
      <c r="AP32" s="360">
        <f t="shared" ref="AP32" si="102">AO32+1</f>
        <v>2064</v>
      </c>
      <c r="AQ32" s="360">
        <f t="shared" ref="AQ32" si="103">AP32+1</f>
        <v>2065</v>
      </c>
      <c r="AR32" s="360">
        <f t="shared" ref="AR32" si="104">AQ32+1</f>
        <v>2066</v>
      </c>
      <c r="AS32" s="360">
        <f t="shared" ref="AS32" si="105">AR32+1</f>
        <v>2067</v>
      </c>
      <c r="AT32" s="360">
        <f t="shared" ref="AT32" si="106">AS32+1</f>
        <v>2068</v>
      </c>
      <c r="AU32" s="360">
        <f t="shared" ref="AU32" si="107">AT32+1</f>
        <v>2069</v>
      </c>
      <c r="AV32" s="360">
        <f t="shared" ref="AV32" si="108">AU32+1</f>
        <v>2070</v>
      </c>
      <c r="AW32" s="360">
        <f t="shared" ref="AW32" si="109">AV32+1</f>
        <v>2071</v>
      </c>
    </row>
    <row r="33" spans="2:49" ht="14.25" customHeight="1">
      <c r="C33" s="386"/>
      <c r="D33" s="387">
        <f>D10</f>
        <v>46023</v>
      </c>
      <c r="E33" s="387">
        <f t="shared" ref="E33:X33" si="110">E10</f>
        <v>46752</v>
      </c>
      <c r="F33" s="387">
        <f t="shared" si="110"/>
        <v>47118</v>
      </c>
      <c r="G33" s="387">
        <f t="shared" si="110"/>
        <v>47483</v>
      </c>
      <c r="H33" s="387">
        <f t="shared" si="110"/>
        <v>47848</v>
      </c>
      <c r="I33" s="387">
        <f t="shared" si="110"/>
        <v>48213</v>
      </c>
      <c r="J33" s="387">
        <f t="shared" si="110"/>
        <v>48579</v>
      </c>
      <c r="K33" s="387">
        <f t="shared" si="110"/>
        <v>48944</v>
      </c>
      <c r="L33" s="387">
        <f t="shared" si="110"/>
        <v>49309</v>
      </c>
      <c r="M33" s="387">
        <f t="shared" si="110"/>
        <v>49674</v>
      </c>
      <c r="N33" s="387">
        <f t="shared" si="110"/>
        <v>50040</v>
      </c>
      <c r="O33" s="387">
        <f t="shared" si="110"/>
        <v>50405</v>
      </c>
      <c r="P33" s="387">
        <f t="shared" si="110"/>
        <v>50770</v>
      </c>
      <c r="Q33" s="387">
        <f t="shared" si="110"/>
        <v>51135</v>
      </c>
      <c r="R33" s="387">
        <f t="shared" si="110"/>
        <v>51501</v>
      </c>
      <c r="S33" s="387">
        <f t="shared" si="110"/>
        <v>51866</v>
      </c>
      <c r="T33" s="387">
        <f t="shared" si="110"/>
        <v>52231</v>
      </c>
      <c r="U33" s="387">
        <f t="shared" si="110"/>
        <v>52596</v>
      </c>
      <c r="V33" s="387">
        <f t="shared" si="110"/>
        <v>52962</v>
      </c>
      <c r="W33" s="387">
        <f t="shared" si="110"/>
        <v>53327</v>
      </c>
      <c r="X33" s="387">
        <f t="shared" si="110"/>
        <v>53692</v>
      </c>
      <c r="Y33" s="387">
        <f t="shared" ref="Y33:AW33" si="111">Y10</f>
        <v>54057</v>
      </c>
      <c r="Z33" s="387">
        <f t="shared" si="111"/>
        <v>54423</v>
      </c>
      <c r="AA33" s="387">
        <f t="shared" si="111"/>
        <v>54788</v>
      </c>
      <c r="AB33" s="387">
        <f t="shared" si="111"/>
        <v>55153</v>
      </c>
      <c r="AC33" s="387">
        <f t="shared" si="111"/>
        <v>55518</v>
      </c>
      <c r="AD33" s="387">
        <f t="shared" si="111"/>
        <v>55884</v>
      </c>
      <c r="AE33" s="387">
        <f t="shared" si="111"/>
        <v>56249</v>
      </c>
      <c r="AF33" s="387">
        <f t="shared" si="111"/>
        <v>56614</v>
      </c>
      <c r="AG33" s="387">
        <f t="shared" si="111"/>
        <v>56979</v>
      </c>
      <c r="AH33" s="387">
        <f t="shared" si="111"/>
        <v>57345</v>
      </c>
      <c r="AI33" s="387">
        <f t="shared" si="111"/>
        <v>57710</v>
      </c>
      <c r="AJ33" s="387">
        <f t="shared" si="111"/>
        <v>58075</v>
      </c>
      <c r="AK33" s="387">
        <f t="shared" si="111"/>
        <v>58440</v>
      </c>
      <c r="AL33" s="387">
        <f t="shared" si="111"/>
        <v>58806</v>
      </c>
      <c r="AM33" s="387">
        <f t="shared" si="111"/>
        <v>59171</v>
      </c>
      <c r="AN33" s="387">
        <f t="shared" si="111"/>
        <v>59536</v>
      </c>
      <c r="AO33" s="387">
        <f t="shared" si="111"/>
        <v>59901</v>
      </c>
      <c r="AP33" s="387">
        <f t="shared" si="111"/>
        <v>60267</v>
      </c>
      <c r="AQ33" s="387">
        <f t="shared" si="111"/>
        <v>60632</v>
      </c>
      <c r="AR33" s="387">
        <f t="shared" si="111"/>
        <v>60997</v>
      </c>
      <c r="AS33" s="387">
        <f t="shared" si="111"/>
        <v>61362</v>
      </c>
      <c r="AT33" s="387">
        <f t="shared" si="111"/>
        <v>61728</v>
      </c>
      <c r="AU33" s="387">
        <f t="shared" si="111"/>
        <v>62093</v>
      </c>
      <c r="AV33" s="387">
        <f t="shared" si="111"/>
        <v>62458</v>
      </c>
      <c r="AW33" s="387">
        <f t="shared" si="111"/>
        <v>62823</v>
      </c>
    </row>
    <row r="34" spans="2:49" ht="14.25" customHeight="1">
      <c r="C34" s="342" t="s">
        <v>403</v>
      </c>
      <c r="D34" s="388">
        <f t="shared" ref="D34:X34" si="112">D131</f>
        <v>0</v>
      </c>
      <c r="E34" s="388">
        <f t="shared" si="112"/>
        <v>18.337368887863267</v>
      </c>
      <c r="F34" s="388">
        <f t="shared" si="112"/>
        <v>29.014158519182118</v>
      </c>
      <c r="G34" s="388">
        <f t="shared" si="112"/>
        <v>31.481419318239695</v>
      </c>
      <c r="H34" s="388">
        <f t="shared" si="112"/>
        <v>35.077671856985155</v>
      </c>
      <c r="I34" s="388">
        <f t="shared" si="112"/>
        <v>36.824438109260903</v>
      </c>
      <c r="J34" s="388">
        <f t="shared" si="112"/>
        <v>38.29240151262912</v>
      </c>
      <c r="K34" s="388">
        <f t="shared" si="112"/>
        <v>39.811870618788582</v>
      </c>
      <c r="L34" s="388">
        <f t="shared" si="112"/>
        <v>41.384543095659758</v>
      </c>
      <c r="M34" s="388">
        <f t="shared" si="112"/>
        <v>43.012170641245618</v>
      </c>
      <c r="N34" s="388">
        <f t="shared" si="112"/>
        <v>44.696560667340641</v>
      </c>
      <c r="O34" s="388">
        <f t="shared" si="112"/>
        <v>46.439578035020354</v>
      </c>
      <c r="P34" s="388">
        <f t="shared" si="112"/>
        <v>48.243146843490287</v>
      </c>
      <c r="Q34" s="388">
        <f t="shared" si="112"/>
        <v>50.109252273921783</v>
      </c>
      <c r="R34" s="388">
        <f t="shared" si="112"/>
        <v>52.039942489950043</v>
      </c>
      <c r="S34" s="388">
        <f t="shared" si="112"/>
        <v>54.0373305965621</v>
      </c>
      <c r="T34" s="388">
        <f t="shared" si="112"/>
        <v>56.103596659153972</v>
      </c>
      <c r="U34" s="388">
        <f t="shared" si="112"/>
        <v>58.240989784590568</v>
      </c>
      <c r="V34" s="388">
        <f t="shared" si="112"/>
        <v>60.451830266156563</v>
      </c>
      <c r="W34" s="388">
        <f t="shared" si="112"/>
        <v>62.7385117943453</v>
      </c>
      <c r="X34" s="388">
        <f t="shared" si="112"/>
        <v>65.103503735490406</v>
      </c>
      <c r="Y34" s="388">
        <f t="shared" ref="Y34:AW34" si="113">Y131</f>
        <v>67.549353480306124</v>
      </c>
      <c r="Z34" s="388">
        <f t="shared" si="113"/>
        <v>70.078688864464965</v>
      </c>
      <c r="AA34" s="388">
        <f t="shared" si="113"/>
        <v>72.694220663405233</v>
      </c>
      <c r="AB34" s="388">
        <f t="shared" si="113"/>
        <v>75.398745163628746</v>
      </c>
      <c r="AC34" s="388">
        <f t="shared" si="113"/>
        <v>78.195146812815722</v>
      </c>
      <c r="AD34" s="388">
        <f t="shared" si="113"/>
        <v>81.086400951155753</v>
      </c>
      <c r="AE34" s="388">
        <f t="shared" si="113"/>
        <v>0</v>
      </c>
      <c r="AF34" s="388">
        <f t="shared" si="113"/>
        <v>0</v>
      </c>
      <c r="AG34" s="388">
        <f t="shared" si="113"/>
        <v>0</v>
      </c>
      <c r="AH34" s="388">
        <f t="shared" si="113"/>
        <v>0</v>
      </c>
      <c r="AI34" s="388">
        <f t="shared" si="113"/>
        <v>0</v>
      </c>
      <c r="AJ34" s="388">
        <f t="shared" si="113"/>
        <v>0</v>
      </c>
      <c r="AK34" s="388">
        <f t="shared" si="113"/>
        <v>0</v>
      </c>
      <c r="AL34" s="388">
        <f t="shared" si="113"/>
        <v>0</v>
      </c>
      <c r="AM34" s="388">
        <f t="shared" si="113"/>
        <v>0</v>
      </c>
      <c r="AN34" s="388">
        <f t="shared" si="113"/>
        <v>0</v>
      </c>
      <c r="AO34" s="388">
        <f t="shared" si="113"/>
        <v>0</v>
      </c>
      <c r="AP34" s="388">
        <f t="shared" si="113"/>
        <v>0</v>
      </c>
      <c r="AQ34" s="388">
        <f t="shared" si="113"/>
        <v>0</v>
      </c>
      <c r="AR34" s="388">
        <f t="shared" si="113"/>
        <v>0</v>
      </c>
      <c r="AS34" s="388">
        <f t="shared" si="113"/>
        <v>0</v>
      </c>
      <c r="AT34" s="388">
        <f t="shared" si="113"/>
        <v>0</v>
      </c>
      <c r="AU34" s="388">
        <f t="shared" si="113"/>
        <v>0</v>
      </c>
      <c r="AV34" s="388">
        <f t="shared" si="113"/>
        <v>0</v>
      </c>
      <c r="AW34" s="388">
        <f t="shared" si="113"/>
        <v>0</v>
      </c>
    </row>
    <row r="35" spans="2:49" ht="14.25" customHeight="1">
      <c r="C35" s="375" t="str">
        <f>"   Less: Taxes @ "&amp;TEXT('Assumptions &amp; Inputs'!J12,"0.0%")</f>
        <v xml:space="preserve">   Less: Taxes @ 26.0%</v>
      </c>
      <c r="D35" s="389">
        <f>SUM(D141,D142)</f>
        <v>0</v>
      </c>
      <c r="E35" s="389">
        <f t="shared" ref="E35:X35" si="114">E141</f>
        <v>-4.7677159108444496</v>
      </c>
      <c r="F35" s="389">
        <f t="shared" si="114"/>
        <v>-7.5436812149873509</v>
      </c>
      <c r="G35" s="389">
        <f t="shared" si="114"/>
        <v>-8.1851690227423202</v>
      </c>
      <c r="H35" s="389">
        <f t="shared" si="114"/>
        <v>-9.1201946828161411</v>
      </c>
      <c r="I35" s="389">
        <f>I141</f>
        <v>-9.5743539084078346</v>
      </c>
      <c r="J35" s="389">
        <f t="shared" si="114"/>
        <v>-9.9560243932835721</v>
      </c>
      <c r="K35" s="389">
        <f t="shared" si="114"/>
        <v>-10.351086360885033</v>
      </c>
      <c r="L35" s="389">
        <f t="shared" si="114"/>
        <v>-10.759981204871538</v>
      </c>
      <c r="M35" s="389">
        <f t="shared" si="114"/>
        <v>-11.183164366723862</v>
      </c>
      <c r="N35" s="389">
        <f t="shared" si="114"/>
        <v>-11.621105773508567</v>
      </c>
      <c r="O35" s="389">
        <f t="shared" si="114"/>
        <v>-12.074290289105292</v>
      </c>
      <c r="P35" s="389">
        <f t="shared" si="114"/>
        <v>-12.543218179307475</v>
      </c>
      <c r="Q35" s="389">
        <f t="shared" si="114"/>
        <v>-13.028405591219665</v>
      </c>
      <c r="R35" s="389">
        <f t="shared" si="114"/>
        <v>-13.530385047387012</v>
      </c>
      <c r="S35" s="389">
        <f t="shared" si="114"/>
        <v>-14.049705955106147</v>
      </c>
      <c r="T35" s="389">
        <f t="shared" si="114"/>
        <v>-14.586935131380033</v>
      </c>
      <c r="U35" s="389">
        <f t="shared" si="114"/>
        <v>-15.142657343993548</v>
      </c>
      <c r="V35" s="389">
        <f t="shared" si="114"/>
        <v>-15.717475869200706</v>
      </c>
      <c r="W35" s="389">
        <f t="shared" si="114"/>
        <v>-16.312013066529779</v>
      </c>
      <c r="X35" s="389">
        <f t="shared" si="114"/>
        <v>-16.926910971227507</v>
      </c>
      <c r="Y35" s="389">
        <f t="shared" ref="Y35:AW35" si="115">Y141</f>
        <v>-17.562831904879594</v>
      </c>
      <c r="Z35" s="389">
        <f t="shared" si="115"/>
        <v>-18.220459104760891</v>
      </c>
      <c r="AA35" s="389">
        <f t="shared" si="115"/>
        <v>-18.900497372485361</v>
      </c>
      <c r="AB35" s="389">
        <f t="shared" si="115"/>
        <v>-19.603673742543474</v>
      </c>
      <c r="AC35" s="389">
        <f t="shared" si="115"/>
        <v>-20.33073817133209</v>
      </c>
      <c r="AD35" s="389">
        <f t="shared" si="115"/>
        <v>-21.082464247300496</v>
      </c>
      <c r="AE35" s="389">
        <f t="shared" si="115"/>
        <v>0</v>
      </c>
      <c r="AF35" s="389">
        <f t="shared" si="115"/>
        <v>0</v>
      </c>
      <c r="AG35" s="389">
        <f t="shared" si="115"/>
        <v>0</v>
      </c>
      <c r="AH35" s="389">
        <f t="shared" si="115"/>
        <v>0</v>
      </c>
      <c r="AI35" s="389">
        <f t="shared" si="115"/>
        <v>0</v>
      </c>
      <c r="AJ35" s="389">
        <f t="shared" si="115"/>
        <v>0</v>
      </c>
      <c r="AK35" s="389">
        <f t="shared" si="115"/>
        <v>0</v>
      </c>
      <c r="AL35" s="389">
        <f t="shared" si="115"/>
        <v>0</v>
      </c>
      <c r="AM35" s="389">
        <f t="shared" si="115"/>
        <v>0</v>
      </c>
      <c r="AN35" s="389">
        <f t="shared" si="115"/>
        <v>0</v>
      </c>
      <c r="AO35" s="389">
        <f t="shared" si="115"/>
        <v>0</v>
      </c>
      <c r="AP35" s="389">
        <f t="shared" si="115"/>
        <v>0</v>
      </c>
      <c r="AQ35" s="389">
        <f t="shared" si="115"/>
        <v>0</v>
      </c>
      <c r="AR35" s="389">
        <f t="shared" si="115"/>
        <v>0</v>
      </c>
      <c r="AS35" s="389">
        <f t="shared" si="115"/>
        <v>0</v>
      </c>
      <c r="AT35" s="389">
        <f t="shared" si="115"/>
        <v>0</v>
      </c>
      <c r="AU35" s="389">
        <f t="shared" si="115"/>
        <v>0</v>
      </c>
      <c r="AV35" s="389">
        <f t="shared" si="115"/>
        <v>0</v>
      </c>
      <c r="AW35" s="389">
        <f t="shared" si="115"/>
        <v>0</v>
      </c>
    </row>
    <row r="36" spans="2:49" ht="14.25" customHeight="1">
      <c r="C36" s="342" t="s">
        <v>404</v>
      </c>
      <c r="D36" s="390">
        <f t="shared" ref="D36:X36" si="116">SUM(D34:D35)</f>
        <v>0</v>
      </c>
      <c r="E36" s="390">
        <f t="shared" si="116"/>
        <v>13.569652977018817</v>
      </c>
      <c r="F36" s="390">
        <f t="shared" si="116"/>
        <v>21.470477304194766</v>
      </c>
      <c r="G36" s="390">
        <f t="shared" si="116"/>
        <v>23.296250295497373</v>
      </c>
      <c r="H36" s="390">
        <f t="shared" si="116"/>
        <v>25.957477174169014</v>
      </c>
      <c r="I36" s="390">
        <f t="shared" si="116"/>
        <v>27.250084200853067</v>
      </c>
      <c r="J36" s="390">
        <f t="shared" si="116"/>
        <v>28.336377119345549</v>
      </c>
      <c r="K36" s="390">
        <f t="shared" si="116"/>
        <v>29.460784257903548</v>
      </c>
      <c r="L36" s="390">
        <f t="shared" si="116"/>
        <v>30.624561890788222</v>
      </c>
      <c r="M36" s="390">
        <f t="shared" si="116"/>
        <v>31.829006274521756</v>
      </c>
      <c r="N36" s="390">
        <f t="shared" si="116"/>
        <v>33.075454893832074</v>
      </c>
      <c r="O36" s="390">
        <f t="shared" si="116"/>
        <v>34.365287745915062</v>
      </c>
      <c r="P36" s="390">
        <f t="shared" si="116"/>
        <v>35.699928664182814</v>
      </c>
      <c r="Q36" s="390">
        <f t="shared" si="116"/>
        <v>37.080846682702116</v>
      </c>
      <c r="R36" s="390">
        <f t="shared" si="116"/>
        <v>38.509557442563029</v>
      </c>
      <c r="S36" s="390">
        <f t="shared" si="116"/>
        <v>39.987624641455952</v>
      </c>
      <c r="T36" s="390">
        <f t="shared" si="116"/>
        <v>41.516661527773941</v>
      </c>
      <c r="U36" s="390">
        <f t="shared" si="116"/>
        <v>43.098332440597019</v>
      </c>
      <c r="V36" s="390">
        <f t="shared" si="116"/>
        <v>44.734354396955858</v>
      </c>
      <c r="W36" s="390">
        <f t="shared" si="116"/>
        <v>46.42649872781552</v>
      </c>
      <c r="X36" s="390">
        <f t="shared" si="116"/>
        <v>48.176592764262899</v>
      </c>
      <c r="Y36" s="390">
        <f t="shared" ref="Y36:AW36" si="117">SUM(Y34:Y35)</f>
        <v>49.986521575426529</v>
      </c>
      <c r="Z36" s="390">
        <f t="shared" si="117"/>
        <v>51.858229759704074</v>
      </c>
      <c r="AA36" s="390">
        <f t="shared" si="117"/>
        <v>53.793723290919871</v>
      </c>
      <c r="AB36" s="390">
        <f t="shared" si="117"/>
        <v>55.795071421085268</v>
      </c>
      <c r="AC36" s="390">
        <f t="shared" si="117"/>
        <v>57.864408641483635</v>
      </c>
      <c r="AD36" s="390">
        <f t="shared" si="117"/>
        <v>60.00393670385526</v>
      </c>
      <c r="AE36" s="390">
        <f t="shared" si="117"/>
        <v>0</v>
      </c>
      <c r="AF36" s="390">
        <f t="shared" si="117"/>
        <v>0</v>
      </c>
      <c r="AG36" s="390">
        <f t="shared" si="117"/>
        <v>0</v>
      </c>
      <c r="AH36" s="390">
        <f t="shared" si="117"/>
        <v>0</v>
      </c>
      <c r="AI36" s="390">
        <f t="shared" si="117"/>
        <v>0</v>
      </c>
      <c r="AJ36" s="390">
        <f t="shared" si="117"/>
        <v>0</v>
      </c>
      <c r="AK36" s="390">
        <f t="shared" si="117"/>
        <v>0</v>
      </c>
      <c r="AL36" s="390">
        <f t="shared" si="117"/>
        <v>0</v>
      </c>
      <c r="AM36" s="390">
        <f t="shared" si="117"/>
        <v>0</v>
      </c>
      <c r="AN36" s="390">
        <f t="shared" si="117"/>
        <v>0</v>
      </c>
      <c r="AO36" s="390">
        <f t="shared" si="117"/>
        <v>0</v>
      </c>
      <c r="AP36" s="390">
        <f t="shared" si="117"/>
        <v>0</v>
      </c>
      <c r="AQ36" s="390">
        <f t="shared" si="117"/>
        <v>0</v>
      </c>
      <c r="AR36" s="390">
        <f t="shared" si="117"/>
        <v>0</v>
      </c>
      <c r="AS36" s="390">
        <f t="shared" si="117"/>
        <v>0</v>
      </c>
      <c r="AT36" s="390">
        <f t="shared" si="117"/>
        <v>0</v>
      </c>
      <c r="AU36" s="390">
        <f t="shared" si="117"/>
        <v>0</v>
      </c>
      <c r="AV36" s="390">
        <f t="shared" si="117"/>
        <v>0</v>
      </c>
      <c r="AW36" s="390">
        <f t="shared" si="117"/>
        <v>0</v>
      </c>
    </row>
    <row r="37" spans="2:49" ht="14.25" customHeight="1">
      <c r="C37" s="391" t="s">
        <v>405</v>
      </c>
      <c r="D37" s="388">
        <f>-D150</f>
        <v>0</v>
      </c>
      <c r="E37" s="388">
        <f t="shared" ref="E37:X37" si="118">-E150</f>
        <v>0</v>
      </c>
      <c r="F37" s="388">
        <f t="shared" si="118"/>
        <v>1.1399999999999999</v>
      </c>
      <c r="G37" s="388">
        <f t="shared" si="118"/>
        <v>1.1399999999999999</v>
      </c>
      <c r="H37" s="388">
        <f t="shared" si="118"/>
        <v>1.1399999999999999</v>
      </c>
      <c r="I37" s="388">
        <f t="shared" si="118"/>
        <v>1.1399999999999999</v>
      </c>
      <c r="J37" s="388">
        <f t="shared" si="118"/>
        <v>1.1399999999999999</v>
      </c>
      <c r="K37" s="388">
        <f t="shared" si="118"/>
        <v>1.1399999999999999</v>
      </c>
      <c r="L37" s="388">
        <f t="shared" si="118"/>
        <v>1.1399999999999999</v>
      </c>
      <c r="M37" s="388">
        <f t="shared" si="118"/>
        <v>1.1399999999999999</v>
      </c>
      <c r="N37" s="388">
        <f t="shared" si="118"/>
        <v>1.1399999999999999</v>
      </c>
      <c r="O37" s="388">
        <f t="shared" si="118"/>
        <v>1.1399999999999999</v>
      </c>
      <c r="P37" s="388">
        <f t="shared" si="118"/>
        <v>1.1399999999999999</v>
      </c>
      <c r="Q37" s="388">
        <f t="shared" si="118"/>
        <v>1.1399999999999999</v>
      </c>
      <c r="R37" s="388">
        <f t="shared" si="118"/>
        <v>1.1399999999999999</v>
      </c>
      <c r="S37" s="388">
        <f t="shared" si="118"/>
        <v>1.1399999999999999</v>
      </c>
      <c r="T37" s="388">
        <f t="shared" si="118"/>
        <v>1.1399999999999999</v>
      </c>
      <c r="U37" s="388">
        <f t="shared" si="118"/>
        <v>1.1399999999999999</v>
      </c>
      <c r="V37" s="388">
        <f t="shared" si="118"/>
        <v>1.1399999999999999</v>
      </c>
      <c r="W37" s="388">
        <f t="shared" si="118"/>
        <v>1.1399999999999999</v>
      </c>
      <c r="X37" s="388">
        <f t="shared" si="118"/>
        <v>1.1399999999999999</v>
      </c>
      <c r="Y37" s="388">
        <f t="shared" ref="Y37:AW37" si="119">-Y150</f>
        <v>1.1399999999999999</v>
      </c>
      <c r="Z37" s="388">
        <f t="shared" si="119"/>
        <v>1.1399999999999999</v>
      </c>
      <c r="AA37" s="388">
        <f t="shared" si="119"/>
        <v>1.1399999999999999</v>
      </c>
      <c r="AB37" s="388">
        <f t="shared" si="119"/>
        <v>1.1399999999999999</v>
      </c>
      <c r="AC37" s="388">
        <f t="shared" si="119"/>
        <v>1.1399999999999999</v>
      </c>
      <c r="AD37" s="388">
        <f t="shared" si="119"/>
        <v>1.1399999999999999</v>
      </c>
      <c r="AE37" s="388">
        <f t="shared" si="119"/>
        <v>0</v>
      </c>
      <c r="AF37" s="388">
        <f t="shared" si="119"/>
        <v>0</v>
      </c>
      <c r="AG37" s="388">
        <f t="shared" si="119"/>
        <v>0</v>
      </c>
      <c r="AH37" s="388">
        <f t="shared" si="119"/>
        <v>0</v>
      </c>
      <c r="AI37" s="388">
        <f t="shared" si="119"/>
        <v>0</v>
      </c>
      <c r="AJ37" s="388">
        <f t="shared" si="119"/>
        <v>0</v>
      </c>
      <c r="AK37" s="388">
        <f t="shared" si="119"/>
        <v>0</v>
      </c>
      <c r="AL37" s="388">
        <f t="shared" si="119"/>
        <v>0</v>
      </c>
      <c r="AM37" s="388">
        <f t="shared" si="119"/>
        <v>0</v>
      </c>
      <c r="AN37" s="388">
        <f t="shared" si="119"/>
        <v>0</v>
      </c>
      <c r="AO37" s="388">
        <f t="shared" si="119"/>
        <v>0</v>
      </c>
      <c r="AP37" s="388">
        <f t="shared" si="119"/>
        <v>0</v>
      </c>
      <c r="AQ37" s="388">
        <f t="shared" si="119"/>
        <v>0</v>
      </c>
      <c r="AR37" s="388">
        <f t="shared" si="119"/>
        <v>0</v>
      </c>
      <c r="AS37" s="388">
        <f t="shared" si="119"/>
        <v>0</v>
      </c>
      <c r="AT37" s="388">
        <f t="shared" si="119"/>
        <v>0</v>
      </c>
      <c r="AU37" s="388">
        <f t="shared" si="119"/>
        <v>0</v>
      </c>
      <c r="AV37" s="388">
        <f t="shared" si="119"/>
        <v>0</v>
      </c>
      <c r="AW37" s="388">
        <f t="shared" si="119"/>
        <v>0</v>
      </c>
    </row>
    <row r="38" spans="2:49" ht="14.25" customHeight="1">
      <c r="C38" s="391" t="s">
        <v>406</v>
      </c>
      <c r="D38" s="392">
        <f>D24</f>
        <v>-22</v>
      </c>
      <c r="E38" s="392">
        <f t="shared" ref="E38:X38" si="120">E24</f>
        <v>-8</v>
      </c>
      <c r="F38" s="392">
        <f t="shared" si="120"/>
        <v>0</v>
      </c>
      <c r="G38" s="392">
        <f t="shared" si="120"/>
        <v>0</v>
      </c>
      <c r="H38" s="392">
        <f t="shared" si="120"/>
        <v>0</v>
      </c>
      <c r="I38" s="392">
        <f t="shared" si="120"/>
        <v>0</v>
      </c>
      <c r="J38" s="392">
        <f t="shared" si="120"/>
        <v>0</v>
      </c>
      <c r="K38" s="392">
        <f t="shared" si="120"/>
        <v>0</v>
      </c>
      <c r="L38" s="392">
        <f t="shared" si="120"/>
        <v>0</v>
      </c>
      <c r="M38" s="392">
        <f t="shared" si="120"/>
        <v>0</v>
      </c>
      <c r="N38" s="392">
        <f t="shared" si="120"/>
        <v>0</v>
      </c>
      <c r="O38" s="392">
        <f t="shared" si="120"/>
        <v>0</v>
      </c>
      <c r="P38" s="392">
        <f t="shared" si="120"/>
        <v>0</v>
      </c>
      <c r="Q38" s="392">
        <f t="shared" si="120"/>
        <v>0</v>
      </c>
      <c r="R38" s="392">
        <f t="shared" si="120"/>
        <v>0</v>
      </c>
      <c r="S38" s="392">
        <f t="shared" si="120"/>
        <v>0</v>
      </c>
      <c r="T38" s="392">
        <f t="shared" si="120"/>
        <v>0</v>
      </c>
      <c r="U38" s="392">
        <f t="shared" si="120"/>
        <v>0</v>
      </c>
      <c r="V38" s="392">
        <f t="shared" si="120"/>
        <v>0</v>
      </c>
      <c r="W38" s="392">
        <f t="shared" si="120"/>
        <v>0</v>
      </c>
      <c r="X38" s="392">
        <f t="shared" si="120"/>
        <v>0</v>
      </c>
      <c r="Y38" s="392">
        <f t="shared" ref="Y38:AW38" si="121">Y24</f>
        <v>0</v>
      </c>
      <c r="Z38" s="392">
        <f t="shared" si="121"/>
        <v>0</v>
      </c>
      <c r="AA38" s="392">
        <f t="shared" si="121"/>
        <v>0</v>
      </c>
      <c r="AB38" s="392">
        <f t="shared" si="121"/>
        <v>0</v>
      </c>
      <c r="AC38" s="392">
        <f t="shared" si="121"/>
        <v>0</v>
      </c>
      <c r="AD38" s="392">
        <f t="shared" si="121"/>
        <v>0</v>
      </c>
      <c r="AE38" s="392">
        <f t="shared" si="121"/>
        <v>0</v>
      </c>
      <c r="AF38" s="392">
        <f t="shared" si="121"/>
        <v>0</v>
      </c>
      <c r="AG38" s="392">
        <f t="shared" si="121"/>
        <v>0</v>
      </c>
      <c r="AH38" s="392">
        <f t="shared" si="121"/>
        <v>0</v>
      </c>
      <c r="AI38" s="392">
        <f t="shared" si="121"/>
        <v>0</v>
      </c>
      <c r="AJ38" s="392">
        <f t="shared" si="121"/>
        <v>0</v>
      </c>
      <c r="AK38" s="392">
        <f t="shared" si="121"/>
        <v>0</v>
      </c>
      <c r="AL38" s="392">
        <f t="shared" si="121"/>
        <v>0</v>
      </c>
      <c r="AM38" s="392">
        <f t="shared" si="121"/>
        <v>0</v>
      </c>
      <c r="AN38" s="392">
        <f t="shared" si="121"/>
        <v>0</v>
      </c>
      <c r="AO38" s="392">
        <f t="shared" si="121"/>
        <v>0</v>
      </c>
      <c r="AP38" s="392">
        <f t="shared" si="121"/>
        <v>0</v>
      </c>
      <c r="AQ38" s="392">
        <f t="shared" si="121"/>
        <v>0</v>
      </c>
      <c r="AR38" s="392">
        <f t="shared" si="121"/>
        <v>0</v>
      </c>
      <c r="AS38" s="392">
        <f t="shared" si="121"/>
        <v>0</v>
      </c>
      <c r="AT38" s="392">
        <f t="shared" si="121"/>
        <v>0</v>
      </c>
      <c r="AU38" s="392">
        <f t="shared" si="121"/>
        <v>0</v>
      </c>
      <c r="AV38" s="392">
        <f t="shared" si="121"/>
        <v>0</v>
      </c>
      <c r="AW38" s="392">
        <f t="shared" si="121"/>
        <v>0</v>
      </c>
    </row>
    <row r="39" spans="2:49" ht="14.25" customHeight="1">
      <c r="C39" s="391" t="s">
        <v>407</v>
      </c>
      <c r="D39" s="393">
        <v>0</v>
      </c>
      <c r="E39" s="393">
        <v>0</v>
      </c>
      <c r="F39" s="393">
        <v>0</v>
      </c>
      <c r="G39" s="393">
        <v>0</v>
      </c>
      <c r="H39" s="393">
        <v>0</v>
      </c>
      <c r="I39" s="393">
        <v>0</v>
      </c>
      <c r="J39" s="393">
        <v>0</v>
      </c>
      <c r="K39" s="393">
        <v>0</v>
      </c>
      <c r="L39" s="393">
        <v>0</v>
      </c>
      <c r="M39" s="393">
        <v>0</v>
      </c>
      <c r="N39" s="393">
        <v>0</v>
      </c>
      <c r="O39" s="393">
        <v>0</v>
      </c>
      <c r="P39" s="393">
        <v>0</v>
      </c>
      <c r="Q39" s="393">
        <v>0</v>
      </c>
      <c r="R39" s="393">
        <v>0</v>
      </c>
      <c r="S39" s="393">
        <v>0</v>
      </c>
      <c r="T39" s="393">
        <v>0</v>
      </c>
      <c r="U39" s="393">
        <v>0</v>
      </c>
      <c r="V39" s="393">
        <v>0</v>
      </c>
      <c r="W39" s="393">
        <v>0</v>
      </c>
      <c r="X39" s="393">
        <v>0</v>
      </c>
      <c r="Y39" s="393">
        <v>0</v>
      </c>
      <c r="Z39" s="393">
        <v>0</v>
      </c>
      <c r="AA39" s="393">
        <v>0</v>
      </c>
      <c r="AB39" s="393">
        <v>0</v>
      </c>
      <c r="AC39" s="393">
        <v>0</v>
      </c>
      <c r="AD39" s="393">
        <v>0</v>
      </c>
      <c r="AE39" s="393">
        <v>0</v>
      </c>
      <c r="AF39" s="393">
        <v>0</v>
      </c>
      <c r="AG39" s="393">
        <v>0</v>
      </c>
      <c r="AH39" s="393">
        <v>0</v>
      </c>
      <c r="AI39" s="393">
        <v>0</v>
      </c>
      <c r="AJ39" s="393">
        <v>0</v>
      </c>
      <c r="AK39" s="393">
        <v>0</v>
      </c>
      <c r="AL39" s="393">
        <v>0</v>
      </c>
      <c r="AM39" s="393">
        <v>0</v>
      </c>
      <c r="AN39" s="393">
        <v>0</v>
      </c>
      <c r="AO39" s="393">
        <v>0</v>
      </c>
      <c r="AP39" s="393">
        <v>0</v>
      </c>
      <c r="AQ39" s="393">
        <v>0</v>
      </c>
      <c r="AR39" s="393">
        <v>0</v>
      </c>
      <c r="AS39" s="393">
        <v>0</v>
      </c>
      <c r="AT39" s="393">
        <v>0</v>
      </c>
      <c r="AU39" s="393">
        <v>0</v>
      </c>
      <c r="AV39" s="393">
        <v>0</v>
      </c>
      <c r="AW39" s="393">
        <v>0</v>
      </c>
    </row>
    <row r="40" spans="2:49" ht="14.25" customHeight="1">
      <c r="C40" s="394" t="s">
        <v>408</v>
      </c>
      <c r="D40" s="395">
        <f t="shared" ref="D40:X40" si="122">SUM(D36:D39)</f>
        <v>-22</v>
      </c>
      <c r="E40" s="395">
        <f t="shared" si="122"/>
        <v>5.5696529770188175</v>
      </c>
      <c r="F40" s="395">
        <f t="shared" si="122"/>
        <v>22.610477304194767</v>
      </c>
      <c r="G40" s="395">
        <f t="shared" si="122"/>
        <v>24.436250295497373</v>
      </c>
      <c r="H40" s="395">
        <f t="shared" si="122"/>
        <v>27.097477174169015</v>
      </c>
      <c r="I40" s="395">
        <f t="shared" si="122"/>
        <v>28.390084200853067</v>
      </c>
      <c r="J40" s="395">
        <f t="shared" si="122"/>
        <v>29.47637711934555</v>
      </c>
      <c r="K40" s="395">
        <f t="shared" si="122"/>
        <v>30.600784257903548</v>
      </c>
      <c r="L40" s="395">
        <f t="shared" si="122"/>
        <v>31.764561890788222</v>
      </c>
      <c r="M40" s="395">
        <f t="shared" si="122"/>
        <v>32.969006274521753</v>
      </c>
      <c r="N40" s="395">
        <f t="shared" si="122"/>
        <v>34.215454893832074</v>
      </c>
      <c r="O40" s="395">
        <f t="shared" si="122"/>
        <v>35.505287745915062</v>
      </c>
      <c r="P40" s="395">
        <f t="shared" si="122"/>
        <v>36.839928664182814</v>
      </c>
      <c r="Q40" s="395">
        <f t="shared" si="122"/>
        <v>38.220846682702117</v>
      </c>
      <c r="R40" s="395">
        <f t="shared" si="122"/>
        <v>39.649557442563029</v>
      </c>
      <c r="S40" s="395">
        <f t="shared" si="122"/>
        <v>41.127624641455952</v>
      </c>
      <c r="T40" s="395">
        <f t="shared" si="122"/>
        <v>42.656661527773942</v>
      </c>
      <c r="U40" s="395">
        <f t="shared" si="122"/>
        <v>44.23833244059702</v>
      </c>
      <c r="V40" s="395">
        <f t="shared" si="122"/>
        <v>45.874354396955859</v>
      </c>
      <c r="W40" s="395">
        <f t="shared" si="122"/>
        <v>47.566498727815521</v>
      </c>
      <c r="X40" s="395">
        <f t="shared" si="122"/>
        <v>49.3165927642629</v>
      </c>
      <c r="Y40" s="395">
        <f t="shared" ref="Y40:AW40" si="123">SUM(Y36:Y39)</f>
        <v>51.12652157542653</v>
      </c>
      <c r="Z40" s="395">
        <f t="shared" si="123"/>
        <v>52.998229759704074</v>
      </c>
      <c r="AA40" s="395">
        <f t="shared" si="123"/>
        <v>54.933723290919872</v>
      </c>
      <c r="AB40" s="395">
        <f t="shared" si="123"/>
        <v>56.935071421085269</v>
      </c>
      <c r="AC40" s="395">
        <f t="shared" si="123"/>
        <v>59.004408641483636</v>
      </c>
      <c r="AD40" s="395">
        <f t="shared" si="123"/>
        <v>61.14393670385526</v>
      </c>
      <c r="AE40" s="395">
        <f t="shared" si="123"/>
        <v>0</v>
      </c>
      <c r="AF40" s="395">
        <f t="shared" si="123"/>
        <v>0</v>
      </c>
      <c r="AG40" s="395">
        <f t="shared" si="123"/>
        <v>0</v>
      </c>
      <c r="AH40" s="395">
        <f t="shared" si="123"/>
        <v>0</v>
      </c>
      <c r="AI40" s="395">
        <f t="shared" si="123"/>
        <v>0</v>
      </c>
      <c r="AJ40" s="395">
        <f t="shared" si="123"/>
        <v>0</v>
      </c>
      <c r="AK40" s="395">
        <f t="shared" si="123"/>
        <v>0</v>
      </c>
      <c r="AL40" s="395">
        <f t="shared" si="123"/>
        <v>0</v>
      </c>
      <c r="AM40" s="395">
        <f t="shared" si="123"/>
        <v>0</v>
      </c>
      <c r="AN40" s="395">
        <f t="shared" si="123"/>
        <v>0</v>
      </c>
      <c r="AO40" s="395">
        <f t="shared" si="123"/>
        <v>0</v>
      </c>
      <c r="AP40" s="395">
        <f t="shared" si="123"/>
        <v>0</v>
      </c>
      <c r="AQ40" s="395">
        <f t="shared" si="123"/>
        <v>0</v>
      </c>
      <c r="AR40" s="395">
        <f t="shared" si="123"/>
        <v>0</v>
      </c>
      <c r="AS40" s="395">
        <f t="shared" si="123"/>
        <v>0</v>
      </c>
      <c r="AT40" s="395">
        <f t="shared" si="123"/>
        <v>0</v>
      </c>
      <c r="AU40" s="395">
        <f t="shared" si="123"/>
        <v>0</v>
      </c>
      <c r="AV40" s="395">
        <f t="shared" si="123"/>
        <v>0</v>
      </c>
      <c r="AW40" s="395">
        <f t="shared" si="123"/>
        <v>0</v>
      </c>
    </row>
    <row r="41" spans="2:49" ht="14.25" customHeight="1">
      <c r="C41" s="342" t="s">
        <v>409</v>
      </c>
      <c r="D41" s="388">
        <f>-E65</f>
        <v>0</v>
      </c>
    </row>
    <row r="42" spans="2:49" ht="14.25" customHeight="1">
      <c r="C42" s="342" t="s">
        <v>410</v>
      </c>
      <c r="D42" s="342">
        <f>IF(AND(MOD(D32-YEAR('Assumptions &amp; Inputs'!$J$31),'Assumptions &amp; Inputs'!$J$34)=0, D32&lt;=YEAR('Assumptions &amp; Inputs'!$J$36), D9&gt;YEAR('Assumptions &amp; Inputs'!$J$31)),'Assumptions &amp; Inputs'!$J$37*'Assumptions &amp; Inputs'!$J$38*IF(D32-'Assumptions &amp; Inputs'!$J$34&gt;YEAR('Assumptions &amp; Inputs'!$J$31), 'Assumptions &amp; Inputs'!$J$33, 1), 0)</f>
        <v>0</v>
      </c>
      <c r="E42" s="342">
        <f>IF(AND(MOD(E32-YEAR('Assumptions &amp; Inputs'!$J$31),'Assumptions &amp; Inputs'!$J$34)=0, E32&lt;=YEAR('Assumptions &amp; Inputs'!$J$36), E9&gt;YEAR('Assumptions &amp; Inputs'!$J$31)),'Assumptions &amp; Inputs'!$J$37*'Assumptions &amp; Inputs'!$J$38*IF(E32-'Assumptions &amp; Inputs'!$J$34&gt;YEAR('Assumptions &amp; Inputs'!$J$31), 'Assumptions &amp; Inputs'!$J$33, 1), 0)</f>
        <v>0</v>
      </c>
      <c r="F42" s="342">
        <f>IF(AND(MOD(F32-YEAR('Assumptions &amp; Inputs'!$J$31),'Assumptions &amp; Inputs'!$J$34)=0, F32&lt;=YEAR('Assumptions &amp; Inputs'!$J$36), F9&gt;YEAR('Assumptions &amp; Inputs'!$J$31)),'Assumptions &amp; Inputs'!$J$37*'Assumptions &amp; Inputs'!$J$38*IF(F32-'Assumptions &amp; Inputs'!$J$34&gt;YEAR('Assumptions &amp; Inputs'!$J$31), 'Assumptions &amp; Inputs'!$J$33, 1), 0)</f>
        <v>0</v>
      </c>
      <c r="G42" s="342">
        <f>IF(AND(MOD(G32-YEAR('Assumptions &amp; Inputs'!$J$31),'Assumptions &amp; Inputs'!$J$34)=0, G32&lt;=YEAR('Assumptions &amp; Inputs'!$J$36), G9&gt;YEAR('Assumptions &amp; Inputs'!$J$31)),'Assumptions &amp; Inputs'!$J$37*'Assumptions &amp; Inputs'!$J$38*IF(G32-'Assumptions &amp; Inputs'!$J$34&gt;YEAR('Assumptions &amp; Inputs'!$J$31), 'Assumptions &amp; Inputs'!$J$33, 1), 0)</f>
        <v>0</v>
      </c>
      <c r="H42" s="342">
        <f>IF(AND(MOD(H32-YEAR('Assumptions &amp; Inputs'!$J$31),'Assumptions &amp; Inputs'!$J$34)=0, H32&lt;=YEAR('Assumptions &amp; Inputs'!$J$36), H9&gt;YEAR('Assumptions &amp; Inputs'!$J$31)),'Assumptions &amp; Inputs'!$J$37*'Assumptions &amp; Inputs'!$J$38*IF(H32-'Assumptions &amp; Inputs'!$J$34&gt;YEAR('Assumptions &amp; Inputs'!$J$31), 'Assumptions &amp; Inputs'!$J$33, 1), 0)</f>
        <v>0</v>
      </c>
      <c r="I42" s="342">
        <f>IF(AND(MOD(I32-YEAR('Assumptions &amp; Inputs'!$J$31),'Assumptions &amp; Inputs'!$J$34)=0, I32&lt;=YEAR('Assumptions &amp; Inputs'!$J$36), I9&gt;YEAR('Assumptions &amp; Inputs'!$J$31)),'Assumptions &amp; Inputs'!$J$37*'Assumptions &amp; Inputs'!$J$38*IF(I32-'Assumptions &amp; Inputs'!$J$34&gt;YEAR('Assumptions &amp; Inputs'!$J$31), 'Assumptions &amp; Inputs'!$J$33, 1), 0)</f>
        <v>0</v>
      </c>
      <c r="J42" s="342">
        <f>IF(AND(MOD(J32-YEAR('Assumptions &amp; Inputs'!$J$31),'Assumptions &amp; Inputs'!$J$34)=0, J32&lt;=YEAR('Assumptions &amp; Inputs'!$J$36), J9&gt;YEAR('Assumptions &amp; Inputs'!$J$31)),'Assumptions &amp; Inputs'!$J$37*'Assumptions &amp; Inputs'!$J$38*IF(J32-'Assumptions &amp; Inputs'!$J$34&gt;YEAR('Assumptions &amp; Inputs'!$J$31), 'Assumptions &amp; Inputs'!$J$33, 1), 0)</f>
        <v>0</v>
      </c>
      <c r="K42" s="342">
        <f>IF(AND(MOD(K32-YEAR('Assumptions &amp; Inputs'!$J$31),'Assumptions &amp; Inputs'!$J$34)=0, K32&lt;=YEAR('Assumptions &amp; Inputs'!$J$36), K9&gt;YEAR('Assumptions &amp; Inputs'!$J$31)),'Assumptions &amp; Inputs'!$J$37*'Assumptions &amp; Inputs'!$J$38*IF(K32-'Assumptions &amp; Inputs'!$J$34&gt;YEAR('Assumptions &amp; Inputs'!$J$31), 'Assumptions &amp; Inputs'!$J$33, 1), 0)</f>
        <v>0</v>
      </c>
      <c r="L42" s="342">
        <f>IF(AND(MOD(L32-YEAR('Assumptions &amp; Inputs'!$J$31),'Assumptions &amp; Inputs'!$J$34)=0, L32&lt;=YEAR('Assumptions &amp; Inputs'!$J$36), L9&gt;YEAR('Assumptions &amp; Inputs'!$J$31)),'Assumptions &amp; Inputs'!$J$37*'Assumptions &amp; Inputs'!$J$38*IF(L32-'Assumptions &amp; Inputs'!$J$34&gt;YEAR('Assumptions &amp; Inputs'!$J$31), 'Assumptions &amp; Inputs'!$J$33, 1), 0)</f>
        <v>0</v>
      </c>
      <c r="M42" s="342">
        <f>IF(AND(MOD(M32-YEAR('Assumptions &amp; Inputs'!$J$31),'Assumptions &amp; Inputs'!$J$34)=0, M32&lt;=YEAR('Assumptions &amp; Inputs'!$J$36), M9&gt;YEAR('Assumptions &amp; Inputs'!$J$31)),'Assumptions &amp; Inputs'!$J$37*'Assumptions &amp; Inputs'!$J$38*IF(M32-'Assumptions &amp; Inputs'!$J$34&gt;YEAR('Assumptions &amp; Inputs'!$J$31), 'Assumptions &amp; Inputs'!$J$33, 1), 0)</f>
        <v>0</v>
      </c>
      <c r="N42" s="342">
        <f>IF(AND(MOD(N32-YEAR('Assumptions &amp; Inputs'!$J$31),'Assumptions &amp; Inputs'!$J$34)=0, N32&lt;=YEAR('Assumptions &amp; Inputs'!$J$36), N9&gt;YEAR('Assumptions &amp; Inputs'!$J$31)),'Assumptions &amp; Inputs'!$J$37*'Assumptions &amp; Inputs'!$J$38*IF(N32-'Assumptions &amp; Inputs'!$J$34&gt;YEAR('Assumptions &amp; Inputs'!$J$31), 'Assumptions &amp; Inputs'!$J$33, 1), 0)</f>
        <v>0</v>
      </c>
      <c r="O42" s="342">
        <f>IF(AND(MOD(O32-YEAR('Assumptions &amp; Inputs'!$J$31),'Assumptions &amp; Inputs'!$J$34)=0, O32&lt;=YEAR('Assumptions &amp; Inputs'!$J$36), O9&gt;YEAR('Assumptions &amp; Inputs'!$J$31)),'Assumptions &amp; Inputs'!$J$37*'Assumptions &amp; Inputs'!$J$38*IF(O32-'Assumptions &amp; Inputs'!$J$34&gt;YEAR('Assumptions &amp; Inputs'!$J$31), 'Assumptions &amp; Inputs'!$J$33, 1), 0)</f>
        <v>0</v>
      </c>
      <c r="P42" s="342">
        <f>IF(AND(MOD(P32-YEAR('Assumptions &amp; Inputs'!$J$31),'Assumptions &amp; Inputs'!$J$34)=0, P32&lt;=YEAR('Assumptions &amp; Inputs'!$J$36), P9&gt;YEAR('Assumptions &amp; Inputs'!$J$31)),'Assumptions &amp; Inputs'!$J$37*'Assumptions &amp; Inputs'!$J$38*IF(P32-'Assumptions &amp; Inputs'!$J$34&gt;YEAR('Assumptions &amp; Inputs'!$J$31), 'Assumptions &amp; Inputs'!$J$33, 1), 0)</f>
        <v>0</v>
      </c>
      <c r="Q42" s="342">
        <f>IF(AND(MOD(Q32-YEAR('Assumptions &amp; Inputs'!$J$31),'Assumptions &amp; Inputs'!$J$34)=0, Q32&lt;=YEAR('Assumptions &amp; Inputs'!$J$36), Q9&gt;YEAR('Assumptions &amp; Inputs'!$J$31)),'Assumptions &amp; Inputs'!$J$37*'Assumptions &amp; Inputs'!$J$38*IF(Q32-'Assumptions &amp; Inputs'!$J$34&gt;YEAR('Assumptions &amp; Inputs'!$J$31), 'Assumptions &amp; Inputs'!$J$33, 1), 0)</f>
        <v>0</v>
      </c>
      <c r="R42" s="342">
        <f>IF(AND(MOD(R32-YEAR('Assumptions &amp; Inputs'!$J$31),'Assumptions &amp; Inputs'!$J$34)=0, R32&lt;=YEAR('Assumptions &amp; Inputs'!$J$36), R9&gt;YEAR('Assumptions &amp; Inputs'!$J$31)),'Assumptions &amp; Inputs'!$J$37*'Assumptions &amp; Inputs'!$J$38*IF(R32-'Assumptions &amp; Inputs'!$J$34&gt;YEAR('Assumptions &amp; Inputs'!$J$31), 'Assumptions &amp; Inputs'!$J$33, 1), 0)</f>
        <v>0</v>
      </c>
      <c r="S42" s="342">
        <f>IF(AND(MOD(S32-YEAR('Assumptions &amp; Inputs'!$J$31),'Assumptions &amp; Inputs'!$J$34)=0, S32&lt;=YEAR('Assumptions &amp; Inputs'!$J$36), S9&gt;YEAR('Assumptions &amp; Inputs'!$J$31)),'Assumptions &amp; Inputs'!$J$37*'Assumptions &amp; Inputs'!$J$38*IF(S32-'Assumptions &amp; Inputs'!$J$34&gt;YEAR('Assumptions &amp; Inputs'!$J$31), 'Assumptions &amp; Inputs'!$J$33, 1), 0)</f>
        <v>0</v>
      </c>
      <c r="T42" s="342">
        <f>IF(AND(MOD(T32-YEAR('Assumptions &amp; Inputs'!$J$31),'Assumptions &amp; Inputs'!$J$34)=0, T32&lt;=YEAR('Assumptions &amp; Inputs'!$J$36), T9&gt;YEAR('Assumptions &amp; Inputs'!$J$31)),'Assumptions &amp; Inputs'!$J$37*'Assumptions &amp; Inputs'!$J$38*IF(T32-'Assumptions &amp; Inputs'!$J$34&gt;YEAR('Assumptions &amp; Inputs'!$J$31), 'Assumptions &amp; Inputs'!$J$33, 1), 0)</f>
        <v>0</v>
      </c>
      <c r="U42" s="342">
        <f>IF(AND(MOD(U32-YEAR('Assumptions &amp; Inputs'!$J$31),'Assumptions &amp; Inputs'!$J$34)=0, U32&lt;=YEAR('Assumptions &amp; Inputs'!$J$36), U9&gt;YEAR('Assumptions &amp; Inputs'!$J$31)),'Assumptions &amp; Inputs'!$J$37*'Assumptions &amp; Inputs'!$J$38*IF(U32-'Assumptions &amp; Inputs'!$J$34&gt;YEAR('Assumptions &amp; Inputs'!$J$31), 'Assumptions &amp; Inputs'!$J$33, 1), 0)</f>
        <v>0</v>
      </c>
      <c r="V42" s="342">
        <f>IF(AND(MOD(V32-YEAR('Assumptions &amp; Inputs'!$J$31),'Assumptions &amp; Inputs'!$J$34)=0, V32&lt;=YEAR('Assumptions &amp; Inputs'!$J$36), V9&gt;YEAR('Assumptions &amp; Inputs'!$J$31)),'Assumptions &amp; Inputs'!$J$37*'Assumptions &amp; Inputs'!$J$38*IF(V32-'Assumptions &amp; Inputs'!$J$34&gt;YEAR('Assumptions &amp; Inputs'!$J$31), 'Assumptions &amp; Inputs'!$J$33, 1), 0)</f>
        <v>0</v>
      </c>
      <c r="W42" s="342">
        <f>IF(AND(MOD(W32-YEAR('Assumptions &amp; Inputs'!$J$31),'Assumptions &amp; Inputs'!$J$34)=0, W32&lt;=YEAR('Assumptions &amp; Inputs'!$J$36), W9&gt;YEAR('Assumptions &amp; Inputs'!$J$31)),'Assumptions &amp; Inputs'!$J$37*'Assumptions &amp; Inputs'!$J$38*IF(W32-'Assumptions &amp; Inputs'!$J$34&gt;YEAR('Assumptions &amp; Inputs'!$J$31), 'Assumptions &amp; Inputs'!$J$33, 1), 0)</f>
        <v>0</v>
      </c>
      <c r="X42" s="342">
        <f>IF(AND(MOD(X32-YEAR('Assumptions &amp; Inputs'!$J$31),'Assumptions &amp; Inputs'!$J$34)=0, X32&lt;=YEAR('Assumptions &amp; Inputs'!$J$36), X9&gt;YEAR('Assumptions &amp; Inputs'!$J$31)),'Assumptions &amp; Inputs'!$J$37*'Assumptions &amp; Inputs'!$J$38*IF(X32-'Assumptions &amp; Inputs'!$J$34&gt;YEAR('Assumptions &amp; Inputs'!$J$31), 'Assumptions &amp; Inputs'!$J$33, 1), 0)</f>
        <v>0</v>
      </c>
      <c r="Y42" s="342">
        <f>IF(AND(MOD(Y32-YEAR('Assumptions &amp; Inputs'!$J$31),'Assumptions &amp; Inputs'!$J$34)=0, Y32&lt;=YEAR('Assumptions &amp; Inputs'!$J$36), Y9&gt;YEAR('Assumptions &amp; Inputs'!$J$31)),'Assumptions &amp; Inputs'!$J$37*'Assumptions &amp; Inputs'!$J$38*IF(Y32-'Assumptions &amp; Inputs'!$J$34&gt;YEAR('Assumptions &amp; Inputs'!$J$31), 'Assumptions &amp; Inputs'!$J$33, 1), 0)</f>
        <v>0</v>
      </c>
      <c r="Z42" s="342">
        <f>IF(AND(MOD(Z32-YEAR('Assumptions &amp; Inputs'!$J$31),'Assumptions &amp; Inputs'!$J$34)=0, Z32&lt;=YEAR('Assumptions &amp; Inputs'!$J$36), Z9&gt;YEAR('Assumptions &amp; Inputs'!$J$31)),'Assumptions &amp; Inputs'!$J$37*'Assumptions &amp; Inputs'!$J$38*IF(Z32-'Assumptions &amp; Inputs'!$J$34&gt;YEAR('Assumptions &amp; Inputs'!$J$31), 'Assumptions &amp; Inputs'!$J$33, 1), 0)</f>
        <v>0</v>
      </c>
      <c r="AA42" s="342">
        <f>IF(AND(MOD(AA32-YEAR('Assumptions &amp; Inputs'!$J$31),'Assumptions &amp; Inputs'!$J$34)=0, AA32&lt;=YEAR('Assumptions &amp; Inputs'!$J$36), AA9&gt;YEAR('Assumptions &amp; Inputs'!$J$31)),'Assumptions &amp; Inputs'!$J$37*'Assumptions &amp; Inputs'!$J$38*IF(AA32-'Assumptions &amp; Inputs'!$J$34&gt;YEAR('Assumptions &amp; Inputs'!$J$31), 'Assumptions &amp; Inputs'!$J$33, 1), 0)</f>
        <v>0</v>
      </c>
      <c r="AB42" s="342">
        <f>IF(AND(MOD(AB32-YEAR('Assumptions &amp; Inputs'!$J$31),'Assumptions &amp; Inputs'!$J$34)=0, AB32&lt;=YEAR('Assumptions &amp; Inputs'!$J$36), AB9&gt;YEAR('Assumptions &amp; Inputs'!$J$31)),'Assumptions &amp; Inputs'!$J$37*'Assumptions &amp; Inputs'!$J$38*IF(AB32-'Assumptions &amp; Inputs'!$J$34&gt;YEAR('Assumptions &amp; Inputs'!$J$31), 'Assumptions &amp; Inputs'!$J$33, 1), 0)</f>
        <v>0</v>
      </c>
      <c r="AC42" s="342">
        <f>IF(AND(MOD(AC32-YEAR('Assumptions &amp; Inputs'!$J$31),'Assumptions &amp; Inputs'!$J$34)=0, AC32&lt;=YEAR('Assumptions &amp; Inputs'!$J$36), AC9&gt;YEAR('Assumptions &amp; Inputs'!$J$31)),'Assumptions &amp; Inputs'!$J$37*'Assumptions &amp; Inputs'!$J$38*IF(AC32-'Assumptions &amp; Inputs'!$J$34&gt;YEAR('Assumptions &amp; Inputs'!$J$31), 'Assumptions &amp; Inputs'!$J$33, 1), 0)</f>
        <v>0</v>
      </c>
      <c r="AD42" s="342">
        <f>IF(AND(MOD(AD32-YEAR('Assumptions &amp; Inputs'!$J$31),'Assumptions &amp; Inputs'!$J$34)=0, AD32&lt;=YEAR('Assumptions &amp; Inputs'!$J$36), AD9&gt;YEAR('Assumptions &amp; Inputs'!$J$31)),'Assumptions &amp; Inputs'!$J$37*'Assumptions &amp; Inputs'!$J$38*IF(AD32-'Assumptions &amp; Inputs'!$J$34&gt;YEAR('Assumptions &amp; Inputs'!$J$31), 'Assumptions &amp; Inputs'!$J$33, 1), 0)</f>
        <v>1.5</v>
      </c>
      <c r="AE42" s="342">
        <f>IF(AND(MOD(AE32-YEAR('Assumptions &amp; Inputs'!$J$31),'Assumptions &amp; Inputs'!$J$34)=0, AE32&lt;=YEAR('Assumptions &amp; Inputs'!$J$36), AE9&gt;YEAR('Assumptions &amp; Inputs'!$J$31)),'Assumptions &amp; Inputs'!$J$37*'Assumptions &amp; Inputs'!$J$38*IF(AE32-'Assumptions &amp; Inputs'!$J$34&gt;YEAR('Assumptions &amp; Inputs'!$J$31), 'Assumptions &amp; Inputs'!$J$33, 1), 0)</f>
        <v>0</v>
      </c>
      <c r="AF42" s="342">
        <f>IF(AND(MOD(AF32-YEAR('Assumptions &amp; Inputs'!$J$31),'Assumptions &amp; Inputs'!$J$34)=0, AF32&lt;=YEAR('Assumptions &amp; Inputs'!$J$36), AF9&gt;YEAR('Assumptions &amp; Inputs'!$J$31)),'Assumptions &amp; Inputs'!$J$37*'Assumptions &amp; Inputs'!$J$38*IF(AF32-'Assumptions &amp; Inputs'!$J$34&gt;YEAR('Assumptions &amp; Inputs'!$J$31), 'Assumptions &amp; Inputs'!$J$33, 1), 0)</f>
        <v>0</v>
      </c>
      <c r="AG42" s="342">
        <f>IF(AND(MOD(AG32-YEAR('Assumptions &amp; Inputs'!$J$31),'Assumptions &amp; Inputs'!$J$34)=0, AG32&lt;=YEAR('Assumptions &amp; Inputs'!$J$36), AG9&gt;YEAR('Assumptions &amp; Inputs'!$J$31)),'Assumptions &amp; Inputs'!$J$37*'Assumptions &amp; Inputs'!$J$38*IF(AG32-'Assumptions &amp; Inputs'!$J$34&gt;YEAR('Assumptions &amp; Inputs'!$J$31), 'Assumptions &amp; Inputs'!$J$33, 1), 0)</f>
        <v>0</v>
      </c>
      <c r="AH42" s="342">
        <f>IF(AND(MOD(AH32-YEAR('Assumptions &amp; Inputs'!$J$31),'Assumptions &amp; Inputs'!$J$34)=0, AH32&lt;=YEAR('Assumptions &amp; Inputs'!$J$36), AH9&gt;YEAR('Assumptions &amp; Inputs'!$J$31)),'Assumptions &amp; Inputs'!$J$37*'Assumptions &amp; Inputs'!$J$38*IF(AH32-'Assumptions &amp; Inputs'!$J$34&gt;YEAR('Assumptions &amp; Inputs'!$J$31), 'Assumptions &amp; Inputs'!$J$33, 1), 0)</f>
        <v>0</v>
      </c>
      <c r="AI42" s="342">
        <f>IF(AND(MOD(AI32-YEAR('Assumptions &amp; Inputs'!$J$31),'Assumptions &amp; Inputs'!$J$34)=0, AI32&lt;=YEAR('Assumptions &amp; Inputs'!$J$36), AI9&gt;YEAR('Assumptions &amp; Inputs'!$J$31)),'Assumptions &amp; Inputs'!$J$37*'Assumptions &amp; Inputs'!$J$38*IF(AI32-'Assumptions &amp; Inputs'!$J$34&gt;YEAR('Assumptions &amp; Inputs'!$J$31), 'Assumptions &amp; Inputs'!$J$33, 1), 0)</f>
        <v>0</v>
      </c>
      <c r="AJ42" s="342">
        <f>IF(AND(MOD(AJ32-YEAR('Assumptions &amp; Inputs'!$J$31),'Assumptions &amp; Inputs'!$J$34)=0, AJ32&lt;=YEAR('Assumptions &amp; Inputs'!$J$36), AJ9&gt;YEAR('Assumptions &amp; Inputs'!$J$31)),'Assumptions &amp; Inputs'!$J$37*'Assumptions &amp; Inputs'!$J$38*IF(AJ32-'Assumptions &amp; Inputs'!$J$34&gt;YEAR('Assumptions &amp; Inputs'!$J$31), 'Assumptions &amp; Inputs'!$J$33, 1), 0)</f>
        <v>0</v>
      </c>
      <c r="AK42" s="342">
        <f>IF(AND(MOD(AK32-YEAR('Assumptions &amp; Inputs'!$J$31),'Assumptions &amp; Inputs'!$J$34)=0, AK32&lt;=YEAR('Assumptions &amp; Inputs'!$J$36), AK9&gt;YEAR('Assumptions &amp; Inputs'!$J$31)),'Assumptions &amp; Inputs'!$J$37*'Assumptions &amp; Inputs'!$J$38*IF(AK32-'Assumptions &amp; Inputs'!$J$34&gt;YEAR('Assumptions &amp; Inputs'!$J$31), 'Assumptions &amp; Inputs'!$J$33, 1), 0)</f>
        <v>0</v>
      </c>
      <c r="AL42" s="342">
        <f>IF(AND(MOD(AL32-YEAR('Assumptions &amp; Inputs'!$J$31),'Assumptions &amp; Inputs'!$J$34)=0, AL32&lt;=YEAR('Assumptions &amp; Inputs'!$J$36), AL9&gt;YEAR('Assumptions &amp; Inputs'!$J$31)),'Assumptions &amp; Inputs'!$J$37*'Assumptions &amp; Inputs'!$J$38*IF(AL32-'Assumptions &amp; Inputs'!$J$34&gt;YEAR('Assumptions &amp; Inputs'!$J$31), 'Assumptions &amp; Inputs'!$J$33, 1), 0)</f>
        <v>0</v>
      </c>
      <c r="AM42" s="342">
        <f>IF(AND(MOD(AM32-YEAR('Assumptions &amp; Inputs'!$J$31),'Assumptions &amp; Inputs'!$J$34)=0, AM32&lt;=YEAR('Assumptions &amp; Inputs'!$J$36), AM9&gt;YEAR('Assumptions &amp; Inputs'!$J$31)),'Assumptions &amp; Inputs'!$J$37*'Assumptions &amp; Inputs'!$J$38*IF(AM32-'Assumptions &amp; Inputs'!$J$34&gt;YEAR('Assumptions &amp; Inputs'!$J$31), 'Assumptions &amp; Inputs'!$J$33, 1), 0)</f>
        <v>0</v>
      </c>
      <c r="AN42" s="342">
        <f>IF(AND(MOD(AN32-YEAR('Assumptions &amp; Inputs'!$J$31),'Assumptions &amp; Inputs'!$J$34)=0, AN32&lt;=YEAR('Assumptions &amp; Inputs'!$J$36), AN9&gt;YEAR('Assumptions &amp; Inputs'!$J$31)),'Assumptions &amp; Inputs'!$J$37*'Assumptions &amp; Inputs'!$J$38*IF(AN32-'Assumptions &amp; Inputs'!$J$34&gt;YEAR('Assumptions &amp; Inputs'!$J$31), 'Assumptions &amp; Inputs'!$J$33, 1), 0)</f>
        <v>0</v>
      </c>
      <c r="AO42" s="342">
        <f>IF(AND(MOD(AO32-YEAR('Assumptions &amp; Inputs'!$J$31),'Assumptions &amp; Inputs'!$J$34)=0, AO32&lt;=YEAR('Assumptions &amp; Inputs'!$J$36), AO9&gt;YEAR('Assumptions &amp; Inputs'!$J$31)),'Assumptions &amp; Inputs'!$J$37*'Assumptions &amp; Inputs'!$J$38*IF(AO32-'Assumptions &amp; Inputs'!$J$34&gt;YEAR('Assumptions &amp; Inputs'!$J$31), 'Assumptions &amp; Inputs'!$J$33, 1), 0)</f>
        <v>0</v>
      </c>
      <c r="AP42" s="342">
        <f>IF(AND(MOD(AP32-YEAR('Assumptions &amp; Inputs'!$J$31),'Assumptions &amp; Inputs'!$J$34)=0, AP32&lt;=YEAR('Assumptions &amp; Inputs'!$J$36), AP9&gt;YEAR('Assumptions &amp; Inputs'!$J$31)),'Assumptions &amp; Inputs'!$J$37*'Assumptions &amp; Inputs'!$J$38*IF(AP32-'Assumptions &amp; Inputs'!$J$34&gt;YEAR('Assumptions &amp; Inputs'!$J$31), 'Assumptions &amp; Inputs'!$J$33, 1), 0)</f>
        <v>0</v>
      </c>
      <c r="AQ42" s="342">
        <f>IF(AND(MOD(AQ32-YEAR('Assumptions &amp; Inputs'!$J$31),'Assumptions &amp; Inputs'!$J$34)=0, AQ32&lt;=YEAR('Assumptions &amp; Inputs'!$J$36), AQ9&gt;YEAR('Assumptions &amp; Inputs'!$J$31)),'Assumptions &amp; Inputs'!$J$37*'Assumptions &amp; Inputs'!$J$38*IF(AQ32-'Assumptions &amp; Inputs'!$J$34&gt;YEAR('Assumptions &amp; Inputs'!$J$31), 'Assumptions &amp; Inputs'!$J$33, 1), 0)</f>
        <v>0</v>
      </c>
      <c r="AR42" s="342">
        <f>IF(AND(MOD(AR32-YEAR('Assumptions &amp; Inputs'!$J$31),'Assumptions &amp; Inputs'!$J$34)=0, AR32&lt;=YEAR('Assumptions &amp; Inputs'!$J$36), AR9&gt;YEAR('Assumptions &amp; Inputs'!$J$31)),'Assumptions &amp; Inputs'!$J$37*'Assumptions &amp; Inputs'!$J$38*IF(AR32-'Assumptions &amp; Inputs'!$J$34&gt;YEAR('Assumptions &amp; Inputs'!$J$31), 'Assumptions &amp; Inputs'!$J$33, 1), 0)</f>
        <v>0</v>
      </c>
      <c r="AS42" s="342">
        <f>IF(AND(MOD(AS32-YEAR('Assumptions &amp; Inputs'!$J$31),'Assumptions &amp; Inputs'!$J$34)=0, AS32&lt;=YEAR('Assumptions &amp; Inputs'!$J$36), AS9&gt;YEAR('Assumptions &amp; Inputs'!$J$31)),'Assumptions &amp; Inputs'!$J$37*'Assumptions &amp; Inputs'!$J$38*IF(AS32-'Assumptions &amp; Inputs'!$J$34&gt;YEAR('Assumptions &amp; Inputs'!$J$31), 'Assumptions &amp; Inputs'!$J$33, 1), 0)</f>
        <v>0</v>
      </c>
      <c r="AT42" s="342">
        <f>IF(AND(MOD(AT32-YEAR('Assumptions &amp; Inputs'!$J$31),'Assumptions &amp; Inputs'!$J$34)=0, AT32&lt;=YEAR('Assumptions &amp; Inputs'!$J$36), AT9&gt;YEAR('Assumptions &amp; Inputs'!$J$31)),'Assumptions &amp; Inputs'!$J$37*'Assumptions &amp; Inputs'!$J$38*IF(AT32-'Assumptions &amp; Inputs'!$J$34&gt;YEAR('Assumptions &amp; Inputs'!$J$31), 'Assumptions &amp; Inputs'!$J$33, 1), 0)</f>
        <v>0</v>
      </c>
      <c r="AU42" s="342">
        <f>IF(AND(MOD(AU32-YEAR('Assumptions &amp; Inputs'!$J$31),'Assumptions &amp; Inputs'!$J$34)=0, AU32&lt;=YEAR('Assumptions &amp; Inputs'!$J$36), AU9&gt;YEAR('Assumptions &amp; Inputs'!$J$31)),'Assumptions &amp; Inputs'!$J$37*'Assumptions &amp; Inputs'!$J$38*IF(AU32-'Assumptions &amp; Inputs'!$J$34&gt;YEAR('Assumptions &amp; Inputs'!$J$31), 'Assumptions &amp; Inputs'!$J$33, 1), 0)</f>
        <v>0</v>
      </c>
      <c r="AV42" s="342">
        <f>IF(AND(MOD(AV32-YEAR('Assumptions &amp; Inputs'!$J$31),'Assumptions &amp; Inputs'!$J$34)=0, AV32&lt;=YEAR('Assumptions &amp; Inputs'!$J$36), AV9&gt;YEAR('Assumptions &amp; Inputs'!$J$31)),'Assumptions &amp; Inputs'!$J$37*'Assumptions &amp; Inputs'!$J$38*IF(AV32-'Assumptions &amp; Inputs'!$J$34&gt;YEAR('Assumptions &amp; Inputs'!$J$31), 'Assumptions &amp; Inputs'!$J$33, 1), 0)</f>
        <v>0</v>
      </c>
      <c r="AW42" s="342">
        <f>IF(AND(MOD(AW32-YEAR('Assumptions &amp; Inputs'!$J$31),'Assumptions &amp; Inputs'!$J$34)=0, AW32&lt;=YEAR('Assumptions &amp; Inputs'!$J$36), AW9&gt;YEAR('Assumptions &amp; Inputs'!$J$31)),'Assumptions &amp; Inputs'!$J$37*'Assumptions &amp; Inputs'!$J$38*IF(AW32-'Assumptions &amp; Inputs'!$J$34&gt;YEAR('Assumptions &amp; Inputs'!$J$31), 'Assumptions &amp; Inputs'!$J$33, 1), 0)</f>
        <v>0</v>
      </c>
    </row>
    <row r="43" spans="2:49" ht="14.25" customHeight="1">
      <c r="C43" s="396" t="s">
        <v>411</v>
      </c>
      <c r="D43" s="395">
        <f t="shared" ref="D43:X43" si="124">SUM(D40:D42)</f>
        <v>-22</v>
      </c>
      <c r="E43" s="395">
        <f t="shared" si="124"/>
        <v>5.5696529770188175</v>
      </c>
      <c r="F43" s="395">
        <f t="shared" si="124"/>
        <v>22.610477304194767</v>
      </c>
      <c r="G43" s="395">
        <f t="shared" si="124"/>
        <v>24.436250295497373</v>
      </c>
      <c r="H43" s="395">
        <f t="shared" si="124"/>
        <v>27.097477174169015</v>
      </c>
      <c r="I43" s="395">
        <f t="shared" si="124"/>
        <v>28.390084200853067</v>
      </c>
      <c r="J43" s="395">
        <f t="shared" si="124"/>
        <v>29.47637711934555</v>
      </c>
      <c r="K43" s="395">
        <f t="shared" si="124"/>
        <v>30.600784257903548</v>
      </c>
      <c r="L43" s="395">
        <f t="shared" si="124"/>
        <v>31.764561890788222</v>
      </c>
      <c r="M43" s="395">
        <f t="shared" si="124"/>
        <v>32.969006274521753</v>
      </c>
      <c r="N43" s="395">
        <f t="shared" si="124"/>
        <v>34.215454893832074</v>
      </c>
      <c r="O43" s="395">
        <f t="shared" si="124"/>
        <v>35.505287745915062</v>
      </c>
      <c r="P43" s="395">
        <f t="shared" si="124"/>
        <v>36.839928664182814</v>
      </c>
      <c r="Q43" s="395">
        <f t="shared" si="124"/>
        <v>38.220846682702117</v>
      </c>
      <c r="R43" s="395">
        <f t="shared" si="124"/>
        <v>39.649557442563029</v>
      </c>
      <c r="S43" s="395">
        <f t="shared" si="124"/>
        <v>41.127624641455952</v>
      </c>
      <c r="T43" s="395">
        <f t="shared" si="124"/>
        <v>42.656661527773942</v>
      </c>
      <c r="U43" s="395">
        <f t="shared" si="124"/>
        <v>44.23833244059702</v>
      </c>
      <c r="V43" s="395">
        <f t="shared" si="124"/>
        <v>45.874354396955859</v>
      </c>
      <c r="W43" s="395">
        <f t="shared" si="124"/>
        <v>47.566498727815521</v>
      </c>
      <c r="X43" s="395">
        <f t="shared" si="124"/>
        <v>49.3165927642629</v>
      </c>
      <c r="Y43" s="395">
        <f t="shared" ref="Y43:AW43" si="125">SUM(Y40:Y42)</f>
        <v>51.12652157542653</v>
      </c>
      <c r="Z43" s="395">
        <f t="shared" si="125"/>
        <v>52.998229759704074</v>
      </c>
      <c r="AA43" s="395">
        <f t="shared" si="125"/>
        <v>54.933723290919872</v>
      </c>
      <c r="AB43" s="395">
        <f t="shared" si="125"/>
        <v>56.935071421085269</v>
      </c>
      <c r="AC43" s="395">
        <f t="shared" si="125"/>
        <v>59.004408641483636</v>
      </c>
      <c r="AD43" s="395">
        <f t="shared" si="125"/>
        <v>62.64393670385526</v>
      </c>
      <c r="AE43" s="395">
        <f t="shared" si="125"/>
        <v>0</v>
      </c>
      <c r="AF43" s="395">
        <f t="shared" si="125"/>
        <v>0</v>
      </c>
      <c r="AG43" s="395">
        <f t="shared" si="125"/>
        <v>0</v>
      </c>
      <c r="AH43" s="395">
        <f t="shared" si="125"/>
        <v>0</v>
      </c>
      <c r="AI43" s="395">
        <f t="shared" si="125"/>
        <v>0</v>
      </c>
      <c r="AJ43" s="395">
        <f t="shared" si="125"/>
        <v>0</v>
      </c>
      <c r="AK43" s="395">
        <f t="shared" si="125"/>
        <v>0</v>
      </c>
      <c r="AL43" s="395">
        <f t="shared" si="125"/>
        <v>0</v>
      </c>
      <c r="AM43" s="395">
        <f t="shared" si="125"/>
        <v>0</v>
      </c>
      <c r="AN43" s="395">
        <f t="shared" si="125"/>
        <v>0</v>
      </c>
      <c r="AO43" s="395">
        <f t="shared" si="125"/>
        <v>0</v>
      </c>
      <c r="AP43" s="395">
        <f t="shared" si="125"/>
        <v>0</v>
      </c>
      <c r="AQ43" s="395">
        <f t="shared" si="125"/>
        <v>0</v>
      </c>
      <c r="AR43" s="395">
        <f t="shared" si="125"/>
        <v>0</v>
      </c>
      <c r="AS43" s="395">
        <f t="shared" si="125"/>
        <v>0</v>
      </c>
      <c r="AT43" s="395">
        <f t="shared" si="125"/>
        <v>0</v>
      </c>
      <c r="AU43" s="395">
        <f t="shared" si="125"/>
        <v>0</v>
      </c>
      <c r="AV43" s="395">
        <f t="shared" si="125"/>
        <v>0</v>
      </c>
      <c r="AW43" s="395">
        <f t="shared" si="125"/>
        <v>0</v>
      </c>
    </row>
    <row r="44" spans="2:49" ht="14.25" customHeight="1">
      <c r="C44" s="375" t="s">
        <v>412</v>
      </c>
      <c r="D44" s="397">
        <f>D43</f>
        <v>-22</v>
      </c>
      <c r="E44" s="397">
        <f t="shared" ref="E44:X44" si="126">D44+E43</f>
        <v>-16.430347022981181</v>
      </c>
      <c r="F44" s="397">
        <f t="shared" si="126"/>
        <v>6.1801302812135859</v>
      </c>
      <c r="G44" s="397">
        <f t="shared" si="126"/>
        <v>30.616380576710959</v>
      </c>
      <c r="H44" s="397">
        <f t="shared" si="126"/>
        <v>57.713857750879974</v>
      </c>
      <c r="I44" s="397">
        <f t="shared" si="126"/>
        <v>86.103941951733049</v>
      </c>
      <c r="J44" s="397">
        <f t="shared" si="126"/>
        <v>115.58031907107861</v>
      </c>
      <c r="K44" s="397">
        <f t="shared" si="126"/>
        <v>146.18110332898215</v>
      </c>
      <c r="L44" s="397">
        <f t="shared" si="126"/>
        <v>177.94566521977038</v>
      </c>
      <c r="M44" s="397">
        <f t="shared" si="126"/>
        <v>210.91467149429212</v>
      </c>
      <c r="N44" s="397">
        <f t="shared" si="126"/>
        <v>245.13012638812421</v>
      </c>
      <c r="O44" s="397">
        <f t="shared" si="126"/>
        <v>280.63541413403925</v>
      </c>
      <c r="P44" s="397">
        <f t="shared" si="126"/>
        <v>317.47534279822207</v>
      </c>
      <c r="Q44" s="397">
        <f t="shared" si="126"/>
        <v>355.6961894809242</v>
      </c>
      <c r="R44" s="397">
        <f t="shared" si="126"/>
        <v>395.34574692348724</v>
      </c>
      <c r="S44" s="397">
        <f t="shared" si="126"/>
        <v>436.47337156494319</v>
      </c>
      <c r="T44" s="397">
        <f t="shared" si="126"/>
        <v>479.13003309271716</v>
      </c>
      <c r="U44" s="397">
        <f t="shared" si="126"/>
        <v>523.3683655333142</v>
      </c>
      <c r="V44" s="397">
        <f t="shared" si="126"/>
        <v>569.24271993027003</v>
      </c>
      <c r="W44" s="397">
        <f t="shared" si="126"/>
        <v>616.80921865808557</v>
      </c>
      <c r="X44" s="397">
        <f t="shared" si="126"/>
        <v>666.12581142234842</v>
      </c>
      <c r="Y44" s="397">
        <f t="shared" ref="Y44" si="127">X44+Y43</f>
        <v>717.25233299777494</v>
      </c>
      <c r="Z44" s="397">
        <f t="shared" ref="Z44" si="128">Y44+Z43</f>
        <v>770.25056275747897</v>
      </c>
      <c r="AA44" s="397">
        <f t="shared" ref="AA44" si="129">Z44+AA43</f>
        <v>825.1842860483988</v>
      </c>
      <c r="AB44" s="397">
        <f t="shared" ref="AB44" si="130">AA44+AB43</f>
        <v>882.11935746948404</v>
      </c>
      <c r="AC44" s="397">
        <f t="shared" ref="AC44" si="131">AB44+AC43</f>
        <v>941.12376611096772</v>
      </c>
      <c r="AD44" s="397">
        <f t="shared" ref="AD44" si="132">AC44+AD43</f>
        <v>1003.767702814823</v>
      </c>
      <c r="AE44" s="397">
        <f t="shared" ref="AE44" si="133">AD44+AE43</f>
        <v>1003.767702814823</v>
      </c>
      <c r="AF44" s="397">
        <f t="shared" ref="AF44" si="134">AE44+AF43</f>
        <v>1003.767702814823</v>
      </c>
      <c r="AG44" s="397">
        <f t="shared" ref="AG44" si="135">AF44+AG43</f>
        <v>1003.767702814823</v>
      </c>
      <c r="AH44" s="397">
        <f t="shared" ref="AH44" si="136">AG44+AH43</f>
        <v>1003.767702814823</v>
      </c>
      <c r="AI44" s="397">
        <f t="shared" ref="AI44" si="137">AH44+AI43</f>
        <v>1003.767702814823</v>
      </c>
      <c r="AJ44" s="397">
        <f t="shared" ref="AJ44" si="138">AI44+AJ43</f>
        <v>1003.767702814823</v>
      </c>
      <c r="AK44" s="397">
        <f t="shared" ref="AK44" si="139">AJ44+AK43</f>
        <v>1003.767702814823</v>
      </c>
      <c r="AL44" s="397">
        <f t="shared" ref="AL44" si="140">AK44+AL43</f>
        <v>1003.767702814823</v>
      </c>
      <c r="AM44" s="397">
        <f t="shared" ref="AM44" si="141">AL44+AM43</f>
        <v>1003.767702814823</v>
      </c>
      <c r="AN44" s="397">
        <f t="shared" ref="AN44" si="142">AM44+AN43</f>
        <v>1003.767702814823</v>
      </c>
      <c r="AO44" s="397">
        <f t="shared" ref="AO44" si="143">AN44+AO43</f>
        <v>1003.767702814823</v>
      </c>
      <c r="AP44" s="397">
        <f t="shared" ref="AP44" si="144">AO44+AP43</f>
        <v>1003.767702814823</v>
      </c>
      <c r="AQ44" s="397">
        <f t="shared" ref="AQ44" si="145">AP44+AQ43</f>
        <v>1003.767702814823</v>
      </c>
      <c r="AR44" s="397">
        <f t="shared" ref="AR44" si="146">AQ44+AR43</f>
        <v>1003.767702814823</v>
      </c>
      <c r="AS44" s="397">
        <f t="shared" ref="AS44" si="147">AR44+AS43</f>
        <v>1003.767702814823</v>
      </c>
      <c r="AT44" s="397">
        <f t="shared" ref="AT44" si="148">AS44+AT43</f>
        <v>1003.767702814823</v>
      </c>
      <c r="AU44" s="397">
        <f t="shared" ref="AU44" si="149">AT44+AU43</f>
        <v>1003.767702814823</v>
      </c>
      <c r="AV44" s="397">
        <f t="shared" ref="AV44" si="150">AU44+AV43</f>
        <v>1003.767702814823</v>
      </c>
      <c r="AW44" s="397">
        <f t="shared" ref="AW44" si="151">AV44+AW43</f>
        <v>1003.767702814823</v>
      </c>
    </row>
    <row r="45" spans="2:49" ht="14.25" customHeight="1">
      <c r="B45" s="375"/>
      <c r="C45" s="375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7"/>
      <c r="S45" s="397"/>
      <c r="T45" s="397"/>
      <c r="U45" s="397"/>
      <c r="V45" s="397"/>
      <c r="W45" s="397"/>
      <c r="X45" s="397"/>
      <c r="Y45" s="397"/>
      <c r="Z45" s="397"/>
      <c r="AA45" s="397"/>
      <c r="AB45" s="397"/>
      <c r="AC45" s="397"/>
      <c r="AD45" s="397"/>
      <c r="AE45" s="397"/>
      <c r="AF45" s="397"/>
      <c r="AG45" s="397"/>
      <c r="AH45" s="397"/>
      <c r="AI45" s="397"/>
      <c r="AJ45" s="397"/>
      <c r="AK45" s="397"/>
      <c r="AL45" s="397"/>
      <c r="AM45" s="397"/>
      <c r="AN45" s="397"/>
      <c r="AO45" s="397"/>
      <c r="AP45" s="397"/>
      <c r="AQ45" s="397"/>
      <c r="AR45" s="397"/>
      <c r="AS45" s="397"/>
      <c r="AT45" s="397"/>
      <c r="AU45" s="397"/>
      <c r="AV45" s="397"/>
      <c r="AW45" s="397"/>
    </row>
    <row r="46" spans="2:49" ht="14.25" customHeight="1">
      <c r="B46" s="375"/>
      <c r="C46" s="357" t="s">
        <v>413</v>
      </c>
      <c r="D46" s="397"/>
      <c r="E46" s="397"/>
      <c r="F46" s="397"/>
      <c r="G46" s="397"/>
      <c r="H46" s="397"/>
      <c r="I46" s="397"/>
      <c r="J46" s="397"/>
      <c r="K46" s="397"/>
      <c r="L46" s="397"/>
      <c r="M46" s="397"/>
      <c r="N46" s="397"/>
      <c r="O46" s="397"/>
      <c r="P46" s="397"/>
      <c r="Q46" s="397"/>
      <c r="R46" s="397"/>
      <c r="S46" s="397"/>
      <c r="T46" s="397"/>
      <c r="U46" s="397"/>
      <c r="V46" s="397"/>
      <c r="W46" s="397"/>
      <c r="X46" s="397"/>
      <c r="Y46" s="397"/>
      <c r="Z46" s="397"/>
      <c r="AA46" s="397"/>
      <c r="AB46" s="397"/>
      <c r="AC46" s="397"/>
      <c r="AD46" s="397"/>
      <c r="AE46" s="397"/>
      <c r="AF46" s="397"/>
      <c r="AG46" s="397"/>
      <c r="AH46" s="397"/>
      <c r="AI46" s="397"/>
      <c r="AJ46" s="397"/>
      <c r="AK46" s="397"/>
      <c r="AL46" s="397"/>
      <c r="AM46" s="397"/>
      <c r="AN46" s="397"/>
      <c r="AO46" s="397"/>
      <c r="AP46" s="397"/>
      <c r="AQ46" s="397"/>
      <c r="AR46" s="397"/>
      <c r="AS46" s="397"/>
      <c r="AT46" s="397"/>
      <c r="AU46" s="397"/>
      <c r="AV46" s="397"/>
      <c r="AW46" s="397"/>
    </row>
    <row r="47" spans="2:49" ht="14.25" customHeight="1">
      <c r="B47" s="375"/>
      <c r="C47" s="342" t="s">
        <v>414</v>
      </c>
      <c r="D47" s="388">
        <f>D36</f>
        <v>0</v>
      </c>
      <c r="E47" s="388">
        <f>E36</f>
        <v>13.569652977018817</v>
      </c>
      <c r="F47" s="388">
        <f>F36</f>
        <v>21.470477304194766</v>
      </c>
      <c r="G47" s="388">
        <f>G36</f>
        <v>23.296250295497373</v>
      </c>
      <c r="H47" s="388">
        <f>H36</f>
        <v>25.957477174169014</v>
      </c>
      <c r="I47" s="388">
        <f t="shared" ref="I47:AW47" si="152">I36</f>
        <v>27.250084200853067</v>
      </c>
      <c r="J47" s="388">
        <f t="shared" si="152"/>
        <v>28.336377119345549</v>
      </c>
      <c r="K47" s="388">
        <f t="shared" si="152"/>
        <v>29.460784257903548</v>
      </c>
      <c r="L47" s="388">
        <f t="shared" si="152"/>
        <v>30.624561890788222</v>
      </c>
      <c r="M47" s="388">
        <f t="shared" si="152"/>
        <v>31.829006274521756</v>
      </c>
      <c r="N47" s="388">
        <f t="shared" si="152"/>
        <v>33.075454893832074</v>
      </c>
      <c r="O47" s="388">
        <f t="shared" si="152"/>
        <v>34.365287745915062</v>
      </c>
      <c r="P47" s="388">
        <f t="shared" si="152"/>
        <v>35.699928664182814</v>
      </c>
      <c r="Q47" s="388">
        <f t="shared" si="152"/>
        <v>37.080846682702116</v>
      </c>
      <c r="R47" s="388">
        <f t="shared" si="152"/>
        <v>38.509557442563029</v>
      </c>
      <c r="S47" s="388">
        <f t="shared" si="152"/>
        <v>39.987624641455952</v>
      </c>
      <c r="T47" s="388">
        <f t="shared" si="152"/>
        <v>41.516661527773941</v>
      </c>
      <c r="U47" s="388">
        <f t="shared" si="152"/>
        <v>43.098332440597019</v>
      </c>
      <c r="V47" s="388">
        <f t="shared" si="152"/>
        <v>44.734354396955858</v>
      </c>
      <c r="W47" s="388">
        <f t="shared" si="152"/>
        <v>46.42649872781552</v>
      </c>
      <c r="X47" s="388">
        <f t="shared" si="152"/>
        <v>48.176592764262899</v>
      </c>
      <c r="Y47" s="388">
        <f t="shared" si="152"/>
        <v>49.986521575426529</v>
      </c>
      <c r="Z47" s="388">
        <f t="shared" si="152"/>
        <v>51.858229759704074</v>
      </c>
      <c r="AA47" s="388">
        <f t="shared" si="152"/>
        <v>53.793723290919871</v>
      </c>
      <c r="AB47" s="388">
        <f t="shared" si="152"/>
        <v>55.795071421085268</v>
      </c>
      <c r="AC47" s="388">
        <f t="shared" si="152"/>
        <v>57.864408641483635</v>
      </c>
      <c r="AD47" s="388">
        <f t="shared" si="152"/>
        <v>60.00393670385526</v>
      </c>
      <c r="AE47" s="388">
        <f t="shared" si="152"/>
        <v>0</v>
      </c>
      <c r="AF47" s="388">
        <f t="shared" si="152"/>
        <v>0</v>
      </c>
      <c r="AG47" s="388">
        <f t="shared" si="152"/>
        <v>0</v>
      </c>
      <c r="AH47" s="388">
        <f t="shared" si="152"/>
        <v>0</v>
      </c>
      <c r="AI47" s="388">
        <f t="shared" si="152"/>
        <v>0</v>
      </c>
      <c r="AJ47" s="388">
        <f t="shared" si="152"/>
        <v>0</v>
      </c>
      <c r="AK47" s="388">
        <f t="shared" si="152"/>
        <v>0</v>
      </c>
      <c r="AL47" s="388">
        <f t="shared" si="152"/>
        <v>0</v>
      </c>
      <c r="AM47" s="388">
        <f t="shared" si="152"/>
        <v>0</v>
      </c>
      <c r="AN47" s="388">
        <f t="shared" si="152"/>
        <v>0</v>
      </c>
      <c r="AO47" s="388">
        <f t="shared" si="152"/>
        <v>0</v>
      </c>
      <c r="AP47" s="388">
        <f t="shared" si="152"/>
        <v>0</v>
      </c>
      <c r="AQ47" s="388">
        <f t="shared" si="152"/>
        <v>0</v>
      </c>
      <c r="AR47" s="388">
        <f t="shared" si="152"/>
        <v>0</v>
      </c>
      <c r="AS47" s="388">
        <f t="shared" si="152"/>
        <v>0</v>
      </c>
      <c r="AT47" s="388">
        <f t="shared" si="152"/>
        <v>0</v>
      </c>
      <c r="AU47" s="388">
        <f t="shared" si="152"/>
        <v>0</v>
      </c>
      <c r="AV47" s="388">
        <f t="shared" si="152"/>
        <v>0</v>
      </c>
      <c r="AW47" s="388">
        <f t="shared" si="152"/>
        <v>0</v>
      </c>
    </row>
    <row r="48" spans="2:49" ht="14.25" customHeight="1">
      <c r="B48" s="375"/>
      <c r="C48" s="342" t="s">
        <v>415</v>
      </c>
      <c r="D48" s="397"/>
      <c r="E48" s="397"/>
      <c r="F48" s="397"/>
      <c r="G48" s="397"/>
      <c r="H48" s="397"/>
      <c r="I48" s="397"/>
      <c r="J48" s="397"/>
      <c r="K48" s="397"/>
      <c r="L48" s="397"/>
      <c r="M48" s="397"/>
      <c r="N48" s="397"/>
      <c r="O48" s="397"/>
      <c r="P48" s="397"/>
      <c r="Q48" s="397"/>
      <c r="R48" s="397"/>
      <c r="S48" s="397"/>
      <c r="T48" s="397"/>
      <c r="U48" s="397"/>
      <c r="V48" s="397"/>
      <c r="W48" s="397"/>
      <c r="X48" s="397"/>
      <c r="Y48" s="397"/>
      <c r="Z48" s="397"/>
      <c r="AA48" s="397"/>
      <c r="AB48" s="397"/>
      <c r="AC48" s="397"/>
      <c r="AD48" s="397"/>
      <c r="AE48" s="397"/>
      <c r="AF48" s="397"/>
      <c r="AG48" s="397"/>
      <c r="AH48" s="397"/>
      <c r="AI48" s="397"/>
      <c r="AJ48" s="397"/>
      <c r="AK48" s="397"/>
      <c r="AL48" s="397"/>
      <c r="AM48" s="397"/>
      <c r="AN48" s="397"/>
      <c r="AO48" s="397"/>
      <c r="AP48" s="397"/>
      <c r="AQ48" s="397"/>
      <c r="AR48" s="397"/>
      <c r="AS48" s="397"/>
      <c r="AT48" s="397"/>
      <c r="AU48" s="397"/>
      <c r="AV48" s="397"/>
      <c r="AW48" s="397"/>
    </row>
    <row r="49" spans="2:49" ht="14.25" customHeight="1">
      <c r="B49" s="375"/>
      <c r="C49" s="342" t="s">
        <v>416</v>
      </c>
      <c r="D49" s="388">
        <f>-D24</f>
        <v>22</v>
      </c>
      <c r="E49" s="388">
        <f t="shared" ref="E49:AW49" si="153">-E24</f>
        <v>8</v>
      </c>
      <c r="F49" s="388">
        <f t="shared" si="153"/>
        <v>0</v>
      </c>
      <c r="G49" s="388">
        <f t="shared" si="153"/>
        <v>0</v>
      </c>
      <c r="H49" s="388">
        <f t="shared" si="153"/>
        <v>0</v>
      </c>
      <c r="I49" s="388">
        <f t="shared" si="153"/>
        <v>0</v>
      </c>
      <c r="J49" s="388">
        <f t="shared" si="153"/>
        <v>0</v>
      </c>
      <c r="K49" s="388">
        <f t="shared" si="153"/>
        <v>0</v>
      </c>
      <c r="L49" s="388">
        <f t="shared" si="153"/>
        <v>0</v>
      </c>
      <c r="M49" s="388">
        <f t="shared" si="153"/>
        <v>0</v>
      </c>
      <c r="N49" s="388">
        <f t="shared" si="153"/>
        <v>0</v>
      </c>
      <c r="O49" s="388">
        <f t="shared" si="153"/>
        <v>0</v>
      </c>
      <c r="P49" s="388">
        <f t="shared" si="153"/>
        <v>0</v>
      </c>
      <c r="Q49" s="388">
        <f t="shared" si="153"/>
        <v>0</v>
      </c>
      <c r="R49" s="388">
        <f t="shared" si="153"/>
        <v>0</v>
      </c>
      <c r="S49" s="388">
        <f t="shared" si="153"/>
        <v>0</v>
      </c>
      <c r="T49" s="388">
        <f t="shared" si="153"/>
        <v>0</v>
      </c>
      <c r="U49" s="388">
        <f t="shared" si="153"/>
        <v>0</v>
      </c>
      <c r="V49" s="388">
        <f t="shared" si="153"/>
        <v>0</v>
      </c>
      <c r="W49" s="388">
        <f t="shared" si="153"/>
        <v>0</v>
      </c>
      <c r="X49" s="388">
        <f t="shared" si="153"/>
        <v>0</v>
      </c>
      <c r="Y49" s="388">
        <f t="shared" si="153"/>
        <v>0</v>
      </c>
      <c r="Z49" s="388">
        <f t="shared" si="153"/>
        <v>0</v>
      </c>
      <c r="AA49" s="388">
        <f t="shared" si="153"/>
        <v>0</v>
      </c>
      <c r="AB49" s="388">
        <f t="shared" si="153"/>
        <v>0</v>
      </c>
      <c r="AC49" s="388">
        <f t="shared" si="153"/>
        <v>0</v>
      </c>
      <c r="AD49" s="388">
        <f t="shared" si="153"/>
        <v>0</v>
      </c>
      <c r="AE49" s="388">
        <f t="shared" si="153"/>
        <v>0</v>
      </c>
      <c r="AF49" s="388">
        <f t="shared" si="153"/>
        <v>0</v>
      </c>
      <c r="AG49" s="388">
        <f t="shared" si="153"/>
        <v>0</v>
      </c>
      <c r="AH49" s="388">
        <f t="shared" si="153"/>
        <v>0</v>
      </c>
      <c r="AI49" s="388">
        <f t="shared" si="153"/>
        <v>0</v>
      </c>
      <c r="AJ49" s="388">
        <f t="shared" si="153"/>
        <v>0</v>
      </c>
      <c r="AK49" s="388">
        <f t="shared" si="153"/>
        <v>0</v>
      </c>
      <c r="AL49" s="388">
        <f t="shared" si="153"/>
        <v>0</v>
      </c>
      <c r="AM49" s="388">
        <f t="shared" si="153"/>
        <v>0</v>
      </c>
      <c r="AN49" s="388">
        <f t="shared" si="153"/>
        <v>0</v>
      </c>
      <c r="AO49" s="388">
        <f t="shared" si="153"/>
        <v>0</v>
      </c>
      <c r="AP49" s="388">
        <f t="shared" si="153"/>
        <v>0</v>
      </c>
      <c r="AQ49" s="388">
        <f t="shared" si="153"/>
        <v>0</v>
      </c>
      <c r="AR49" s="388">
        <f t="shared" si="153"/>
        <v>0</v>
      </c>
      <c r="AS49" s="388">
        <f t="shared" si="153"/>
        <v>0</v>
      </c>
      <c r="AT49" s="388">
        <f t="shared" si="153"/>
        <v>0</v>
      </c>
      <c r="AU49" s="388">
        <f t="shared" si="153"/>
        <v>0</v>
      </c>
      <c r="AV49" s="388">
        <f t="shared" si="153"/>
        <v>0</v>
      </c>
      <c r="AW49" s="388">
        <f t="shared" si="153"/>
        <v>0</v>
      </c>
    </row>
    <row r="50" spans="2:49" ht="14.25" customHeight="1">
      <c r="B50" s="375"/>
      <c r="C50" s="342" t="s">
        <v>417</v>
      </c>
      <c r="D50" s="398">
        <f>D150</f>
        <v>0</v>
      </c>
      <c r="E50" s="398">
        <f t="shared" ref="E50:AW50" si="154">E150</f>
        <v>0</v>
      </c>
      <c r="F50" s="398">
        <f t="shared" si="154"/>
        <v>-1.1399999999999999</v>
      </c>
      <c r="G50" s="398">
        <f t="shared" si="154"/>
        <v>-1.1399999999999999</v>
      </c>
      <c r="H50" s="398">
        <f t="shared" si="154"/>
        <v>-1.1399999999999999</v>
      </c>
      <c r="I50" s="398">
        <f t="shared" si="154"/>
        <v>-1.1399999999999999</v>
      </c>
      <c r="J50" s="398">
        <f t="shared" si="154"/>
        <v>-1.1399999999999999</v>
      </c>
      <c r="K50" s="398">
        <f t="shared" si="154"/>
        <v>-1.1399999999999999</v>
      </c>
      <c r="L50" s="398">
        <f t="shared" si="154"/>
        <v>-1.1399999999999999</v>
      </c>
      <c r="M50" s="398">
        <f t="shared" si="154"/>
        <v>-1.1399999999999999</v>
      </c>
      <c r="N50" s="398">
        <f t="shared" si="154"/>
        <v>-1.1399999999999999</v>
      </c>
      <c r="O50" s="398">
        <f t="shared" si="154"/>
        <v>-1.1399999999999999</v>
      </c>
      <c r="P50" s="398">
        <f t="shared" si="154"/>
        <v>-1.1399999999999999</v>
      </c>
      <c r="Q50" s="398">
        <f t="shared" si="154"/>
        <v>-1.1399999999999999</v>
      </c>
      <c r="R50" s="398">
        <f t="shared" si="154"/>
        <v>-1.1399999999999999</v>
      </c>
      <c r="S50" s="398">
        <f t="shared" si="154"/>
        <v>-1.1399999999999999</v>
      </c>
      <c r="T50" s="398">
        <f t="shared" si="154"/>
        <v>-1.1399999999999999</v>
      </c>
      <c r="U50" s="398">
        <f t="shared" si="154"/>
        <v>-1.1399999999999999</v>
      </c>
      <c r="V50" s="398">
        <f t="shared" si="154"/>
        <v>-1.1399999999999999</v>
      </c>
      <c r="W50" s="398">
        <f t="shared" si="154"/>
        <v>-1.1399999999999999</v>
      </c>
      <c r="X50" s="398">
        <f t="shared" si="154"/>
        <v>-1.1399999999999999</v>
      </c>
      <c r="Y50" s="398">
        <f t="shared" si="154"/>
        <v>-1.1399999999999999</v>
      </c>
      <c r="Z50" s="398">
        <f t="shared" si="154"/>
        <v>-1.1399999999999999</v>
      </c>
      <c r="AA50" s="398">
        <f t="shared" si="154"/>
        <v>-1.1399999999999999</v>
      </c>
      <c r="AB50" s="398">
        <f t="shared" si="154"/>
        <v>-1.1399999999999999</v>
      </c>
      <c r="AC50" s="398">
        <f t="shared" si="154"/>
        <v>-1.1399999999999999</v>
      </c>
      <c r="AD50" s="398">
        <f t="shared" si="154"/>
        <v>-1.1399999999999999</v>
      </c>
      <c r="AE50" s="398">
        <f t="shared" si="154"/>
        <v>0</v>
      </c>
      <c r="AF50" s="398">
        <f t="shared" si="154"/>
        <v>0</v>
      </c>
      <c r="AG50" s="398">
        <f t="shared" si="154"/>
        <v>0</v>
      </c>
      <c r="AH50" s="398">
        <f t="shared" si="154"/>
        <v>0</v>
      </c>
      <c r="AI50" s="398">
        <f t="shared" si="154"/>
        <v>0</v>
      </c>
      <c r="AJ50" s="398">
        <f t="shared" si="154"/>
        <v>0</v>
      </c>
      <c r="AK50" s="398">
        <f t="shared" si="154"/>
        <v>0</v>
      </c>
      <c r="AL50" s="398">
        <f t="shared" si="154"/>
        <v>0</v>
      </c>
      <c r="AM50" s="398">
        <f t="shared" si="154"/>
        <v>0</v>
      </c>
      <c r="AN50" s="398">
        <f t="shared" si="154"/>
        <v>0</v>
      </c>
      <c r="AO50" s="398">
        <f t="shared" si="154"/>
        <v>0</v>
      </c>
      <c r="AP50" s="398">
        <f t="shared" si="154"/>
        <v>0</v>
      </c>
      <c r="AQ50" s="398">
        <f t="shared" si="154"/>
        <v>0</v>
      </c>
      <c r="AR50" s="398">
        <f t="shared" si="154"/>
        <v>0</v>
      </c>
      <c r="AS50" s="398">
        <f t="shared" si="154"/>
        <v>0</v>
      </c>
      <c r="AT50" s="398">
        <f t="shared" si="154"/>
        <v>0</v>
      </c>
      <c r="AU50" s="398">
        <f t="shared" si="154"/>
        <v>0</v>
      </c>
      <c r="AV50" s="398">
        <f t="shared" si="154"/>
        <v>0</v>
      </c>
      <c r="AW50" s="398">
        <f t="shared" si="154"/>
        <v>0</v>
      </c>
    </row>
    <row r="51" spans="2:49" ht="14.25" customHeight="1">
      <c r="B51" s="375"/>
      <c r="C51" s="342" t="s">
        <v>418</v>
      </c>
      <c r="D51" s="390">
        <f>SUM(E64,D49:D50)</f>
        <v>22</v>
      </c>
      <c r="E51" s="390">
        <f>SUM(D51,E49:E50)</f>
        <v>30</v>
      </c>
      <c r="F51" s="390">
        <f t="shared" ref="F51:AW51" si="155">SUM(E51,F49:F50)</f>
        <v>28.86</v>
      </c>
      <c r="G51" s="390">
        <f t="shared" si="155"/>
        <v>27.72</v>
      </c>
      <c r="H51" s="390">
        <f t="shared" si="155"/>
        <v>26.58</v>
      </c>
      <c r="I51" s="390">
        <f t="shared" si="155"/>
        <v>25.439999999999998</v>
      </c>
      <c r="J51" s="390">
        <f t="shared" si="155"/>
        <v>24.299999999999997</v>
      </c>
      <c r="K51" s="390">
        <f t="shared" si="155"/>
        <v>23.159999999999997</v>
      </c>
      <c r="L51" s="390">
        <f t="shared" si="155"/>
        <v>22.019999999999996</v>
      </c>
      <c r="M51" s="390">
        <f t="shared" si="155"/>
        <v>20.879999999999995</v>
      </c>
      <c r="N51" s="390">
        <f t="shared" si="155"/>
        <v>19.739999999999995</v>
      </c>
      <c r="O51" s="390">
        <f t="shared" si="155"/>
        <v>18.599999999999994</v>
      </c>
      <c r="P51" s="390">
        <f t="shared" si="155"/>
        <v>17.459999999999994</v>
      </c>
      <c r="Q51" s="390">
        <f t="shared" si="155"/>
        <v>16.319999999999993</v>
      </c>
      <c r="R51" s="390">
        <f t="shared" si="155"/>
        <v>15.179999999999993</v>
      </c>
      <c r="S51" s="390">
        <f t="shared" si="155"/>
        <v>14.039999999999992</v>
      </c>
      <c r="T51" s="390">
        <f t="shared" si="155"/>
        <v>12.899999999999991</v>
      </c>
      <c r="U51" s="390">
        <f t="shared" si="155"/>
        <v>11.759999999999991</v>
      </c>
      <c r="V51" s="390">
        <f t="shared" si="155"/>
        <v>10.61999999999999</v>
      </c>
      <c r="W51" s="390">
        <f t="shared" si="155"/>
        <v>9.4799999999999898</v>
      </c>
      <c r="X51" s="390">
        <f t="shared" si="155"/>
        <v>8.3399999999999892</v>
      </c>
      <c r="Y51" s="390">
        <f t="shared" si="155"/>
        <v>7.1999999999999895</v>
      </c>
      <c r="Z51" s="390">
        <f t="shared" si="155"/>
        <v>6.0599999999999898</v>
      </c>
      <c r="AA51" s="390">
        <f t="shared" si="155"/>
        <v>4.9199999999999902</v>
      </c>
      <c r="AB51" s="390">
        <f t="shared" si="155"/>
        <v>3.7799999999999905</v>
      </c>
      <c r="AC51" s="390">
        <f t="shared" si="155"/>
        <v>2.6399999999999908</v>
      </c>
      <c r="AD51" s="390">
        <f t="shared" si="155"/>
        <v>1.4999999999999909</v>
      </c>
      <c r="AE51" s="390">
        <f t="shared" si="155"/>
        <v>1.4999999999999909</v>
      </c>
      <c r="AF51" s="390">
        <f t="shared" si="155"/>
        <v>1.4999999999999909</v>
      </c>
      <c r="AG51" s="390">
        <f t="shared" si="155"/>
        <v>1.4999999999999909</v>
      </c>
      <c r="AH51" s="390">
        <f t="shared" si="155"/>
        <v>1.4999999999999909</v>
      </c>
      <c r="AI51" s="390">
        <f t="shared" si="155"/>
        <v>1.4999999999999909</v>
      </c>
      <c r="AJ51" s="390">
        <f t="shared" si="155"/>
        <v>1.4999999999999909</v>
      </c>
      <c r="AK51" s="390">
        <f t="shared" si="155"/>
        <v>1.4999999999999909</v>
      </c>
      <c r="AL51" s="390">
        <f t="shared" si="155"/>
        <v>1.4999999999999909</v>
      </c>
      <c r="AM51" s="390">
        <f t="shared" si="155"/>
        <v>1.4999999999999909</v>
      </c>
      <c r="AN51" s="390">
        <f t="shared" si="155"/>
        <v>1.4999999999999909</v>
      </c>
      <c r="AO51" s="390">
        <f t="shared" si="155"/>
        <v>1.4999999999999909</v>
      </c>
      <c r="AP51" s="390">
        <f t="shared" si="155"/>
        <v>1.4999999999999909</v>
      </c>
      <c r="AQ51" s="390">
        <f t="shared" si="155"/>
        <v>1.4999999999999909</v>
      </c>
      <c r="AR51" s="390">
        <f t="shared" si="155"/>
        <v>1.4999999999999909</v>
      </c>
      <c r="AS51" s="390">
        <f t="shared" si="155"/>
        <v>1.4999999999999909</v>
      </c>
      <c r="AT51" s="390">
        <f t="shared" si="155"/>
        <v>1.4999999999999909</v>
      </c>
      <c r="AU51" s="390">
        <f t="shared" si="155"/>
        <v>1.4999999999999909</v>
      </c>
      <c r="AV51" s="390">
        <f t="shared" si="155"/>
        <v>1.4999999999999909</v>
      </c>
      <c r="AW51" s="390">
        <f t="shared" si="155"/>
        <v>1.4999999999999909</v>
      </c>
    </row>
    <row r="52" spans="2:49" ht="14.25" customHeight="1">
      <c r="B52" s="375"/>
      <c r="C52" s="399" t="s">
        <v>419</v>
      </c>
      <c r="D52" s="400"/>
      <c r="E52" s="400"/>
      <c r="F52" s="400"/>
      <c r="G52" s="400"/>
      <c r="H52" s="400"/>
      <c r="I52" s="400"/>
      <c r="J52" s="400"/>
      <c r="K52" s="400"/>
      <c r="L52" s="400"/>
      <c r="M52" s="400"/>
      <c r="N52" s="400"/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  <c r="AA52" s="400"/>
      <c r="AB52" s="400"/>
      <c r="AC52" s="400"/>
      <c r="AD52" s="400"/>
      <c r="AE52" s="400"/>
      <c r="AF52" s="400"/>
      <c r="AG52" s="400"/>
      <c r="AH52" s="400"/>
      <c r="AI52" s="400"/>
      <c r="AJ52" s="400"/>
      <c r="AK52" s="400"/>
      <c r="AL52" s="400"/>
      <c r="AM52" s="400"/>
      <c r="AN52" s="400"/>
      <c r="AO52" s="400"/>
      <c r="AP52" s="400"/>
      <c r="AQ52" s="400"/>
      <c r="AR52" s="400"/>
      <c r="AS52" s="400"/>
      <c r="AT52" s="400"/>
      <c r="AU52" s="400"/>
      <c r="AV52" s="400"/>
      <c r="AW52" s="400"/>
    </row>
    <row r="53" spans="2:49" ht="14.25" customHeight="1">
      <c r="B53" s="375"/>
      <c r="C53" s="342" t="s">
        <v>420</v>
      </c>
      <c r="D53" s="390">
        <f>SUM(D51:D52)</f>
        <v>22</v>
      </c>
      <c r="E53" s="390">
        <f>SUM(E51:E52)</f>
        <v>30</v>
      </c>
      <c r="F53" s="390">
        <f>SUM(F51:F52)</f>
        <v>28.86</v>
      </c>
      <c r="G53" s="390">
        <f>SUM(G51:G52)</f>
        <v>27.72</v>
      </c>
      <c r="H53" s="390">
        <f t="shared" ref="H53:AW53" si="156">SUM(H51:H52)</f>
        <v>26.58</v>
      </c>
      <c r="I53" s="390">
        <f>SUM(I51:I52)</f>
        <v>25.439999999999998</v>
      </c>
      <c r="J53" s="390">
        <f>SUM(J51:J52)</f>
        <v>24.299999999999997</v>
      </c>
      <c r="K53" s="390">
        <f>SUM(K51:K52)</f>
        <v>23.159999999999997</v>
      </c>
      <c r="L53" s="390">
        <f t="shared" si="156"/>
        <v>22.019999999999996</v>
      </c>
      <c r="M53" s="390">
        <f t="shared" si="156"/>
        <v>20.879999999999995</v>
      </c>
      <c r="N53" s="390">
        <f t="shared" si="156"/>
        <v>19.739999999999995</v>
      </c>
      <c r="O53" s="390">
        <f t="shared" si="156"/>
        <v>18.599999999999994</v>
      </c>
      <c r="P53" s="390">
        <f t="shared" si="156"/>
        <v>17.459999999999994</v>
      </c>
      <c r="Q53" s="390">
        <f t="shared" si="156"/>
        <v>16.319999999999993</v>
      </c>
      <c r="R53" s="390">
        <f t="shared" si="156"/>
        <v>15.179999999999993</v>
      </c>
      <c r="S53" s="390">
        <f t="shared" si="156"/>
        <v>14.039999999999992</v>
      </c>
      <c r="T53" s="390">
        <f t="shared" si="156"/>
        <v>12.899999999999991</v>
      </c>
      <c r="U53" s="390">
        <f t="shared" si="156"/>
        <v>11.759999999999991</v>
      </c>
      <c r="V53" s="390">
        <f t="shared" si="156"/>
        <v>10.61999999999999</v>
      </c>
      <c r="W53" s="390">
        <f t="shared" si="156"/>
        <v>9.4799999999999898</v>
      </c>
      <c r="X53" s="390">
        <f t="shared" si="156"/>
        <v>8.3399999999999892</v>
      </c>
      <c r="Y53" s="390">
        <f t="shared" si="156"/>
        <v>7.1999999999999895</v>
      </c>
      <c r="Z53" s="390">
        <f t="shared" si="156"/>
        <v>6.0599999999999898</v>
      </c>
      <c r="AA53" s="390">
        <f t="shared" si="156"/>
        <v>4.9199999999999902</v>
      </c>
      <c r="AB53" s="390">
        <f t="shared" si="156"/>
        <v>3.7799999999999905</v>
      </c>
      <c r="AC53" s="390">
        <f t="shared" si="156"/>
        <v>2.6399999999999908</v>
      </c>
      <c r="AD53" s="390">
        <f t="shared" si="156"/>
        <v>1.4999999999999909</v>
      </c>
      <c r="AE53" s="390">
        <f t="shared" si="156"/>
        <v>1.4999999999999909</v>
      </c>
      <c r="AF53" s="390">
        <f t="shared" si="156"/>
        <v>1.4999999999999909</v>
      </c>
      <c r="AG53" s="390">
        <f t="shared" si="156"/>
        <v>1.4999999999999909</v>
      </c>
      <c r="AH53" s="390">
        <f t="shared" si="156"/>
        <v>1.4999999999999909</v>
      </c>
      <c r="AI53" s="390">
        <f t="shared" si="156"/>
        <v>1.4999999999999909</v>
      </c>
      <c r="AJ53" s="390">
        <f t="shared" si="156"/>
        <v>1.4999999999999909</v>
      </c>
      <c r="AK53" s="390">
        <f t="shared" si="156"/>
        <v>1.4999999999999909</v>
      </c>
      <c r="AL53" s="390">
        <f t="shared" si="156"/>
        <v>1.4999999999999909</v>
      </c>
      <c r="AM53" s="390">
        <f t="shared" si="156"/>
        <v>1.4999999999999909</v>
      </c>
      <c r="AN53" s="390">
        <f t="shared" si="156"/>
        <v>1.4999999999999909</v>
      </c>
      <c r="AO53" s="390">
        <f t="shared" si="156"/>
        <v>1.4999999999999909</v>
      </c>
      <c r="AP53" s="390">
        <f t="shared" si="156"/>
        <v>1.4999999999999909</v>
      </c>
      <c r="AQ53" s="390">
        <f t="shared" si="156"/>
        <v>1.4999999999999909</v>
      </c>
      <c r="AR53" s="390">
        <f t="shared" si="156"/>
        <v>1.4999999999999909</v>
      </c>
      <c r="AS53" s="390">
        <f t="shared" si="156"/>
        <v>1.4999999999999909</v>
      </c>
      <c r="AT53" s="390">
        <f t="shared" si="156"/>
        <v>1.4999999999999909</v>
      </c>
      <c r="AU53" s="390">
        <f t="shared" si="156"/>
        <v>1.4999999999999909</v>
      </c>
      <c r="AV53" s="390">
        <f t="shared" si="156"/>
        <v>1.4999999999999909</v>
      </c>
      <c r="AW53" s="390">
        <f t="shared" si="156"/>
        <v>1.4999999999999909</v>
      </c>
    </row>
    <row r="54" spans="2:49" s="357" customFormat="1" ht="14.25" customHeight="1">
      <c r="B54" s="357" t="s">
        <v>351</v>
      </c>
      <c r="C54" s="357" t="s">
        <v>421</v>
      </c>
      <c r="D54" s="401">
        <f>IFERROR(D47/D53,"n.a.")</f>
        <v>0</v>
      </c>
      <c r="E54" s="401">
        <f t="shared" ref="E54:AW54" si="157">IFERROR(E47/E53,"n.a.")</f>
        <v>0.45232176590062723</v>
      </c>
      <c r="F54" s="401">
        <f t="shared" si="157"/>
        <v>0.74395278254313124</v>
      </c>
      <c r="G54" s="401">
        <f t="shared" si="157"/>
        <v>0.84041306982313757</v>
      </c>
      <c r="H54" s="401">
        <f t="shared" si="157"/>
        <v>0.97657927668054989</v>
      </c>
      <c r="I54" s="401">
        <f t="shared" si="157"/>
        <v>1.0711511085240986</v>
      </c>
      <c r="J54" s="401">
        <f t="shared" si="157"/>
        <v>1.1661060542940556</v>
      </c>
      <c r="K54" s="401">
        <f t="shared" si="157"/>
        <v>1.2720545879923812</v>
      </c>
      <c r="L54" s="401">
        <f t="shared" si="157"/>
        <v>1.3907612121157233</v>
      </c>
      <c r="M54" s="401">
        <f t="shared" si="157"/>
        <v>1.5243776951399313</v>
      </c>
      <c r="N54" s="401">
        <f t="shared" si="157"/>
        <v>1.6755549591606931</v>
      </c>
      <c r="O54" s="401">
        <f t="shared" si="157"/>
        <v>1.8475961153717781</v>
      </c>
      <c r="P54" s="401">
        <f t="shared" si="157"/>
        <v>2.0446694538478138</v>
      </c>
      <c r="Q54" s="401">
        <f t="shared" si="157"/>
        <v>2.2721107035969443</v>
      </c>
      <c r="R54" s="401">
        <f t="shared" si="157"/>
        <v>2.5368614916049439</v>
      </c>
      <c r="S54" s="401">
        <f t="shared" si="157"/>
        <v>2.8481214132091148</v>
      </c>
      <c r="T54" s="401">
        <f t="shared" si="157"/>
        <v>3.218345854866199</v>
      </c>
      <c r="U54" s="401">
        <f t="shared" si="157"/>
        <v>3.6648241871255998</v>
      </c>
      <c r="V54" s="401">
        <f t="shared" si="157"/>
        <v>4.2122744253254139</v>
      </c>
      <c r="W54" s="401">
        <f t="shared" si="157"/>
        <v>4.8973099923856083</v>
      </c>
      <c r="X54" s="401">
        <f t="shared" si="157"/>
        <v>5.7765698758109068</v>
      </c>
      <c r="Y54" s="401">
        <f t="shared" si="157"/>
        <v>6.9425724410314729</v>
      </c>
      <c r="Z54" s="401">
        <f t="shared" si="157"/>
        <v>8.5574636567168589</v>
      </c>
      <c r="AA54" s="401">
        <f t="shared" si="157"/>
        <v>10.933683595715443</v>
      </c>
      <c r="AB54" s="401">
        <f t="shared" si="157"/>
        <v>14.760600905049049</v>
      </c>
      <c r="AC54" s="401">
        <f t="shared" si="157"/>
        <v>21.918336606622667</v>
      </c>
      <c r="AD54" s="401">
        <f t="shared" si="157"/>
        <v>40.002624469237084</v>
      </c>
      <c r="AE54" s="401">
        <f t="shared" si="157"/>
        <v>0</v>
      </c>
      <c r="AF54" s="401">
        <f t="shared" si="157"/>
        <v>0</v>
      </c>
      <c r="AG54" s="401">
        <f t="shared" si="157"/>
        <v>0</v>
      </c>
      <c r="AH54" s="401">
        <f t="shared" si="157"/>
        <v>0</v>
      </c>
      <c r="AI54" s="401">
        <f t="shared" si="157"/>
        <v>0</v>
      </c>
      <c r="AJ54" s="401">
        <f t="shared" si="157"/>
        <v>0</v>
      </c>
      <c r="AK54" s="401">
        <f t="shared" si="157"/>
        <v>0</v>
      </c>
      <c r="AL54" s="401">
        <f t="shared" si="157"/>
        <v>0</v>
      </c>
      <c r="AM54" s="401">
        <f t="shared" si="157"/>
        <v>0</v>
      </c>
      <c r="AN54" s="401">
        <f t="shared" si="157"/>
        <v>0</v>
      </c>
      <c r="AO54" s="401">
        <f t="shared" si="157"/>
        <v>0</v>
      </c>
      <c r="AP54" s="401">
        <f t="shared" si="157"/>
        <v>0</v>
      </c>
      <c r="AQ54" s="401">
        <f t="shared" si="157"/>
        <v>0</v>
      </c>
      <c r="AR54" s="401">
        <f t="shared" si="157"/>
        <v>0</v>
      </c>
      <c r="AS54" s="401">
        <f t="shared" si="157"/>
        <v>0</v>
      </c>
      <c r="AT54" s="401">
        <f t="shared" si="157"/>
        <v>0</v>
      </c>
      <c r="AU54" s="401">
        <f t="shared" si="157"/>
        <v>0</v>
      </c>
      <c r="AV54" s="401">
        <f t="shared" si="157"/>
        <v>0</v>
      </c>
      <c r="AW54" s="401">
        <f t="shared" si="157"/>
        <v>0</v>
      </c>
    </row>
    <row r="55" spans="2:49" s="357" customFormat="1" ht="14.25" customHeight="1">
      <c r="D55" s="401"/>
      <c r="E55" s="401"/>
      <c r="F55" s="401"/>
      <c r="G55" s="401"/>
      <c r="H55" s="401"/>
      <c r="I55" s="401"/>
      <c r="J55" s="401"/>
      <c r="K55" s="401"/>
      <c r="L55" s="401"/>
      <c r="M55" s="401"/>
      <c r="N55" s="401"/>
      <c r="O55" s="401"/>
      <c r="P55" s="401"/>
      <c r="Q55" s="401"/>
      <c r="R55" s="401"/>
      <c r="S55" s="401"/>
      <c r="T55" s="401"/>
      <c r="U55" s="401"/>
      <c r="V55" s="401"/>
      <c r="W55" s="401"/>
      <c r="X55" s="401"/>
      <c r="Y55" s="401"/>
      <c r="Z55" s="401"/>
      <c r="AA55" s="401"/>
      <c r="AB55" s="401"/>
      <c r="AC55" s="401"/>
      <c r="AD55" s="401"/>
      <c r="AE55" s="401"/>
      <c r="AF55" s="401"/>
      <c r="AG55" s="401"/>
      <c r="AH55" s="401"/>
      <c r="AI55" s="401"/>
      <c r="AJ55" s="401"/>
      <c r="AK55" s="401"/>
      <c r="AL55" s="401"/>
      <c r="AM55" s="401"/>
      <c r="AN55" s="401"/>
      <c r="AO55" s="401"/>
      <c r="AP55" s="401"/>
      <c r="AQ55" s="401"/>
      <c r="AR55" s="401"/>
      <c r="AS55" s="401"/>
      <c r="AT55" s="401"/>
      <c r="AU55" s="401"/>
      <c r="AV55" s="401"/>
      <c r="AW55" s="401"/>
    </row>
    <row r="56" spans="2:49" s="357" customFormat="1" ht="14.25" customHeight="1">
      <c r="D56" s="401"/>
      <c r="E56" s="401"/>
      <c r="F56" s="401"/>
      <c r="G56" s="401"/>
      <c r="H56" s="401"/>
      <c r="I56" s="401"/>
      <c r="J56" s="401"/>
      <c r="K56" s="401"/>
      <c r="L56" s="401"/>
      <c r="M56" s="401"/>
      <c r="N56" s="401"/>
      <c r="O56" s="401"/>
      <c r="P56" s="401"/>
      <c r="Q56" s="401"/>
      <c r="R56" s="401"/>
      <c r="S56" s="401"/>
      <c r="T56" s="401"/>
      <c r="U56" s="401"/>
      <c r="V56" s="401"/>
      <c r="W56" s="401"/>
      <c r="X56" s="401"/>
      <c r="Y56" s="401"/>
      <c r="Z56" s="401"/>
      <c r="AA56" s="401"/>
      <c r="AB56" s="401"/>
      <c r="AC56" s="401"/>
      <c r="AD56" s="401"/>
      <c r="AE56" s="401"/>
      <c r="AF56" s="401"/>
      <c r="AG56" s="401"/>
      <c r="AH56" s="401"/>
      <c r="AI56" s="401"/>
      <c r="AJ56" s="401"/>
      <c r="AK56" s="401"/>
      <c r="AL56" s="401"/>
      <c r="AM56" s="401"/>
      <c r="AN56" s="401"/>
      <c r="AO56" s="401"/>
      <c r="AP56" s="401"/>
      <c r="AQ56" s="401"/>
      <c r="AR56" s="401"/>
      <c r="AS56" s="401"/>
      <c r="AT56" s="401"/>
      <c r="AU56" s="401"/>
      <c r="AV56" s="401"/>
      <c r="AW56" s="401"/>
    </row>
    <row r="57" spans="2:49" s="357" customFormat="1" ht="14.25" customHeight="1">
      <c r="C57" s="357" t="s">
        <v>422</v>
      </c>
      <c r="D57" s="329">
        <f>D30</f>
        <v>0</v>
      </c>
      <c r="E57" s="329">
        <f t="shared" ref="E57:AW57" si="158">E30</f>
        <v>1</v>
      </c>
      <c r="F57" s="329">
        <f t="shared" si="158"/>
        <v>2</v>
      </c>
      <c r="G57" s="329">
        <f t="shared" si="158"/>
        <v>3</v>
      </c>
      <c r="H57" s="329">
        <f t="shared" si="158"/>
        <v>4</v>
      </c>
      <c r="I57" s="329">
        <f t="shared" si="158"/>
        <v>5</v>
      </c>
      <c r="J57" s="329">
        <f t="shared" si="158"/>
        <v>6</v>
      </c>
      <c r="K57" s="329">
        <f t="shared" si="158"/>
        <v>7</v>
      </c>
      <c r="L57" s="329">
        <f t="shared" si="158"/>
        <v>8</v>
      </c>
      <c r="M57" s="329">
        <f t="shared" si="158"/>
        <v>9</v>
      </c>
      <c r="N57" s="329">
        <f t="shared" si="158"/>
        <v>10</v>
      </c>
      <c r="O57" s="329">
        <f t="shared" si="158"/>
        <v>11</v>
      </c>
      <c r="P57" s="329">
        <f t="shared" si="158"/>
        <v>12</v>
      </c>
      <c r="Q57" s="329">
        <f t="shared" si="158"/>
        <v>13</v>
      </c>
      <c r="R57" s="329">
        <f t="shared" si="158"/>
        <v>14</v>
      </c>
      <c r="S57" s="329">
        <f t="shared" si="158"/>
        <v>15</v>
      </c>
      <c r="T57" s="329">
        <f t="shared" si="158"/>
        <v>16</v>
      </c>
      <c r="U57" s="329">
        <f t="shared" si="158"/>
        <v>17</v>
      </c>
      <c r="V57" s="329">
        <f t="shared" si="158"/>
        <v>18</v>
      </c>
      <c r="W57" s="329">
        <f t="shared" si="158"/>
        <v>19</v>
      </c>
      <c r="X57" s="329">
        <f t="shared" si="158"/>
        <v>20</v>
      </c>
      <c r="Y57" s="329">
        <f t="shared" si="158"/>
        <v>21</v>
      </c>
      <c r="Z57" s="329">
        <f t="shared" si="158"/>
        <v>22</v>
      </c>
      <c r="AA57" s="329">
        <f t="shared" si="158"/>
        <v>23</v>
      </c>
      <c r="AB57" s="329">
        <f t="shared" si="158"/>
        <v>24</v>
      </c>
      <c r="AC57" s="329">
        <f t="shared" si="158"/>
        <v>25</v>
      </c>
      <c r="AD57" s="329">
        <f t="shared" si="158"/>
        <v>26</v>
      </c>
      <c r="AE57" s="329">
        <f t="shared" si="158"/>
        <v>27</v>
      </c>
      <c r="AF57" s="329">
        <f t="shared" si="158"/>
        <v>28</v>
      </c>
      <c r="AG57" s="329">
        <f t="shared" si="158"/>
        <v>29</v>
      </c>
      <c r="AH57" s="329">
        <f t="shared" si="158"/>
        <v>30</v>
      </c>
      <c r="AI57" s="329">
        <f t="shared" si="158"/>
        <v>31</v>
      </c>
      <c r="AJ57" s="329">
        <f t="shared" si="158"/>
        <v>32</v>
      </c>
      <c r="AK57" s="329">
        <f t="shared" si="158"/>
        <v>33</v>
      </c>
      <c r="AL57" s="329">
        <f t="shared" si="158"/>
        <v>34</v>
      </c>
      <c r="AM57" s="329">
        <f t="shared" si="158"/>
        <v>35</v>
      </c>
      <c r="AN57" s="329">
        <f t="shared" si="158"/>
        <v>36</v>
      </c>
      <c r="AO57" s="329">
        <f t="shared" si="158"/>
        <v>37</v>
      </c>
      <c r="AP57" s="329">
        <f t="shared" si="158"/>
        <v>38</v>
      </c>
      <c r="AQ57" s="329">
        <f t="shared" si="158"/>
        <v>39</v>
      </c>
      <c r="AR57" s="329">
        <f t="shared" si="158"/>
        <v>40</v>
      </c>
      <c r="AS57" s="329">
        <f t="shared" si="158"/>
        <v>41</v>
      </c>
      <c r="AT57" s="329">
        <f t="shared" si="158"/>
        <v>42</v>
      </c>
      <c r="AU57" s="329">
        <f t="shared" si="158"/>
        <v>43</v>
      </c>
      <c r="AV57" s="329">
        <f t="shared" si="158"/>
        <v>44</v>
      </c>
      <c r="AW57" s="329">
        <f t="shared" si="158"/>
        <v>45</v>
      </c>
    </row>
    <row r="58" spans="2:49" s="357" customFormat="1" ht="14.25" customHeight="1">
      <c r="C58" s="342" t="s">
        <v>423</v>
      </c>
      <c r="D58" s="402">
        <f>D44</f>
        <v>-22</v>
      </c>
      <c r="E58" s="402">
        <f t="shared" ref="E58:AW58" si="159">E44</f>
        <v>-16.430347022981181</v>
      </c>
      <c r="F58" s="402">
        <f t="shared" si="159"/>
        <v>6.1801302812135859</v>
      </c>
      <c r="G58" s="402">
        <f t="shared" si="159"/>
        <v>30.616380576710959</v>
      </c>
      <c r="H58" s="402">
        <f t="shared" si="159"/>
        <v>57.713857750879974</v>
      </c>
      <c r="I58" s="402">
        <f t="shared" si="159"/>
        <v>86.103941951733049</v>
      </c>
      <c r="J58" s="402">
        <f t="shared" si="159"/>
        <v>115.58031907107861</v>
      </c>
      <c r="K58" s="402">
        <f t="shared" si="159"/>
        <v>146.18110332898215</v>
      </c>
      <c r="L58" s="402">
        <f t="shared" si="159"/>
        <v>177.94566521977038</v>
      </c>
      <c r="M58" s="402">
        <f t="shared" si="159"/>
        <v>210.91467149429212</v>
      </c>
      <c r="N58" s="402">
        <f t="shared" si="159"/>
        <v>245.13012638812421</v>
      </c>
      <c r="O58" s="402">
        <f t="shared" si="159"/>
        <v>280.63541413403925</v>
      </c>
      <c r="P58" s="402">
        <f t="shared" si="159"/>
        <v>317.47534279822207</v>
      </c>
      <c r="Q58" s="402">
        <f t="shared" si="159"/>
        <v>355.6961894809242</v>
      </c>
      <c r="R58" s="402">
        <f t="shared" si="159"/>
        <v>395.34574692348724</v>
      </c>
      <c r="S58" s="402">
        <f t="shared" si="159"/>
        <v>436.47337156494319</v>
      </c>
      <c r="T58" s="402">
        <f t="shared" si="159"/>
        <v>479.13003309271716</v>
      </c>
      <c r="U58" s="402">
        <f t="shared" si="159"/>
        <v>523.3683655333142</v>
      </c>
      <c r="V58" s="402">
        <f t="shared" si="159"/>
        <v>569.24271993027003</v>
      </c>
      <c r="W58" s="402">
        <f t="shared" si="159"/>
        <v>616.80921865808557</v>
      </c>
      <c r="X58" s="402">
        <f t="shared" si="159"/>
        <v>666.12581142234842</v>
      </c>
      <c r="Y58" s="402">
        <f t="shared" si="159"/>
        <v>717.25233299777494</v>
      </c>
      <c r="Z58" s="402">
        <f t="shared" si="159"/>
        <v>770.25056275747897</v>
      </c>
      <c r="AA58" s="402">
        <f t="shared" si="159"/>
        <v>825.1842860483988</v>
      </c>
      <c r="AB58" s="402">
        <f t="shared" si="159"/>
        <v>882.11935746948404</v>
      </c>
      <c r="AC58" s="402">
        <f t="shared" si="159"/>
        <v>941.12376611096772</v>
      </c>
      <c r="AD58" s="402">
        <f t="shared" si="159"/>
        <v>1003.767702814823</v>
      </c>
      <c r="AE58" s="402">
        <f t="shared" si="159"/>
        <v>1003.767702814823</v>
      </c>
      <c r="AF58" s="402">
        <f t="shared" si="159"/>
        <v>1003.767702814823</v>
      </c>
      <c r="AG58" s="402">
        <f t="shared" si="159"/>
        <v>1003.767702814823</v>
      </c>
      <c r="AH58" s="402">
        <f t="shared" si="159"/>
        <v>1003.767702814823</v>
      </c>
      <c r="AI58" s="402">
        <f t="shared" si="159"/>
        <v>1003.767702814823</v>
      </c>
      <c r="AJ58" s="402">
        <f t="shared" si="159"/>
        <v>1003.767702814823</v>
      </c>
      <c r="AK58" s="402">
        <f t="shared" si="159"/>
        <v>1003.767702814823</v>
      </c>
      <c r="AL58" s="402">
        <f t="shared" si="159"/>
        <v>1003.767702814823</v>
      </c>
      <c r="AM58" s="402">
        <f t="shared" si="159"/>
        <v>1003.767702814823</v>
      </c>
      <c r="AN58" s="402">
        <f t="shared" si="159"/>
        <v>1003.767702814823</v>
      </c>
      <c r="AO58" s="402">
        <f t="shared" si="159"/>
        <v>1003.767702814823</v>
      </c>
      <c r="AP58" s="402">
        <f t="shared" si="159"/>
        <v>1003.767702814823</v>
      </c>
      <c r="AQ58" s="402">
        <f t="shared" si="159"/>
        <v>1003.767702814823</v>
      </c>
      <c r="AR58" s="402">
        <f t="shared" si="159"/>
        <v>1003.767702814823</v>
      </c>
      <c r="AS58" s="402">
        <f t="shared" si="159"/>
        <v>1003.767702814823</v>
      </c>
      <c r="AT58" s="402">
        <f t="shared" si="159"/>
        <v>1003.767702814823</v>
      </c>
      <c r="AU58" s="402">
        <f t="shared" si="159"/>
        <v>1003.767702814823</v>
      </c>
      <c r="AV58" s="402">
        <f t="shared" si="159"/>
        <v>1003.767702814823</v>
      </c>
      <c r="AW58" s="402">
        <f t="shared" si="159"/>
        <v>1003.767702814823</v>
      </c>
    </row>
    <row r="59" spans="2:49" s="357" customFormat="1" ht="14.25" customHeight="1">
      <c r="C59" s="342" t="s">
        <v>424</v>
      </c>
      <c r="D59" s="403">
        <f>IF(AND(C58&lt;0,D58&gt;=0),1,0)</f>
        <v>0</v>
      </c>
      <c r="E59" s="403">
        <f>IF(AND(D58&lt;0,E58&gt;=0),1,0)</f>
        <v>0</v>
      </c>
      <c r="F59" s="403">
        <f t="shared" ref="F59:AW59" si="160">IF(AND(E58&lt;0,F58&gt;=0),1,0)</f>
        <v>1</v>
      </c>
      <c r="G59" s="403">
        <f t="shared" si="160"/>
        <v>0</v>
      </c>
      <c r="H59" s="403">
        <f t="shared" si="160"/>
        <v>0</v>
      </c>
      <c r="I59" s="403">
        <f t="shared" si="160"/>
        <v>0</v>
      </c>
      <c r="J59" s="403">
        <f t="shared" si="160"/>
        <v>0</v>
      </c>
      <c r="K59" s="403">
        <f t="shared" si="160"/>
        <v>0</v>
      </c>
      <c r="L59" s="403">
        <f t="shared" si="160"/>
        <v>0</v>
      </c>
      <c r="M59" s="403">
        <f t="shared" si="160"/>
        <v>0</v>
      </c>
      <c r="N59" s="403">
        <f t="shared" si="160"/>
        <v>0</v>
      </c>
      <c r="O59" s="403">
        <f t="shared" si="160"/>
        <v>0</v>
      </c>
      <c r="P59" s="403">
        <f t="shared" si="160"/>
        <v>0</v>
      </c>
      <c r="Q59" s="403">
        <f t="shared" si="160"/>
        <v>0</v>
      </c>
      <c r="R59" s="403">
        <f t="shared" si="160"/>
        <v>0</v>
      </c>
      <c r="S59" s="403">
        <f t="shared" si="160"/>
        <v>0</v>
      </c>
      <c r="T59" s="403">
        <f t="shared" si="160"/>
        <v>0</v>
      </c>
      <c r="U59" s="403">
        <f t="shared" si="160"/>
        <v>0</v>
      </c>
      <c r="V59" s="403">
        <f t="shared" si="160"/>
        <v>0</v>
      </c>
      <c r="W59" s="403">
        <f t="shared" si="160"/>
        <v>0</v>
      </c>
      <c r="X59" s="403">
        <f t="shared" si="160"/>
        <v>0</v>
      </c>
      <c r="Y59" s="403">
        <f t="shared" si="160"/>
        <v>0</v>
      </c>
      <c r="Z59" s="403">
        <f t="shared" si="160"/>
        <v>0</v>
      </c>
      <c r="AA59" s="403">
        <f t="shared" si="160"/>
        <v>0</v>
      </c>
      <c r="AB59" s="403">
        <f t="shared" si="160"/>
        <v>0</v>
      </c>
      <c r="AC59" s="403">
        <f t="shared" si="160"/>
        <v>0</v>
      </c>
      <c r="AD59" s="403">
        <f t="shared" si="160"/>
        <v>0</v>
      </c>
      <c r="AE59" s="403">
        <f t="shared" si="160"/>
        <v>0</v>
      </c>
      <c r="AF59" s="403">
        <f t="shared" si="160"/>
        <v>0</v>
      </c>
      <c r="AG59" s="403">
        <f t="shared" si="160"/>
        <v>0</v>
      </c>
      <c r="AH59" s="403">
        <f t="shared" si="160"/>
        <v>0</v>
      </c>
      <c r="AI59" s="403">
        <f t="shared" si="160"/>
        <v>0</v>
      </c>
      <c r="AJ59" s="403">
        <f t="shared" si="160"/>
        <v>0</v>
      </c>
      <c r="AK59" s="403">
        <f t="shared" si="160"/>
        <v>0</v>
      </c>
      <c r="AL59" s="403">
        <f t="shared" si="160"/>
        <v>0</v>
      </c>
      <c r="AM59" s="403">
        <f t="shared" si="160"/>
        <v>0</v>
      </c>
      <c r="AN59" s="403">
        <f t="shared" si="160"/>
        <v>0</v>
      </c>
      <c r="AO59" s="403">
        <f t="shared" si="160"/>
        <v>0</v>
      </c>
      <c r="AP59" s="403">
        <f t="shared" si="160"/>
        <v>0</v>
      </c>
      <c r="AQ59" s="403">
        <f t="shared" si="160"/>
        <v>0</v>
      </c>
      <c r="AR59" s="403">
        <f t="shared" si="160"/>
        <v>0</v>
      </c>
      <c r="AS59" s="403">
        <f t="shared" si="160"/>
        <v>0</v>
      </c>
      <c r="AT59" s="403">
        <f t="shared" si="160"/>
        <v>0</v>
      </c>
      <c r="AU59" s="403">
        <f t="shared" si="160"/>
        <v>0</v>
      </c>
      <c r="AV59" s="403">
        <f t="shared" si="160"/>
        <v>0</v>
      </c>
      <c r="AW59" s="403">
        <f t="shared" si="160"/>
        <v>0</v>
      </c>
    </row>
    <row r="60" spans="2:49" s="357" customFormat="1" ht="14.25" customHeight="1">
      <c r="C60" s="342" t="s">
        <v>425</v>
      </c>
      <c r="D60" s="403">
        <f>IF(D59=1,C58/D43,0)*-1</f>
        <v>0</v>
      </c>
      <c r="E60" s="403">
        <f>IF(E59=1,D58/E43,0)*-1</f>
        <v>0</v>
      </c>
      <c r="F60" s="403">
        <f t="shared" ref="F60:AW60" si="161">IF(F59=1,E58/F43,0)*-1</f>
        <v>0.72666962319866513</v>
      </c>
      <c r="G60" s="403">
        <f t="shared" si="161"/>
        <v>0</v>
      </c>
      <c r="H60" s="403">
        <f t="shared" si="161"/>
        <v>0</v>
      </c>
      <c r="I60" s="403">
        <f t="shared" si="161"/>
        <v>0</v>
      </c>
      <c r="J60" s="403">
        <f t="shared" si="161"/>
        <v>0</v>
      </c>
      <c r="K60" s="403">
        <f t="shared" si="161"/>
        <v>0</v>
      </c>
      <c r="L60" s="403">
        <f t="shared" si="161"/>
        <v>0</v>
      </c>
      <c r="M60" s="403">
        <f t="shared" si="161"/>
        <v>0</v>
      </c>
      <c r="N60" s="403">
        <f t="shared" si="161"/>
        <v>0</v>
      </c>
      <c r="O60" s="403">
        <f t="shared" si="161"/>
        <v>0</v>
      </c>
      <c r="P60" s="403">
        <f t="shared" si="161"/>
        <v>0</v>
      </c>
      <c r="Q60" s="403">
        <f t="shared" si="161"/>
        <v>0</v>
      </c>
      <c r="R60" s="403">
        <f t="shared" si="161"/>
        <v>0</v>
      </c>
      <c r="S60" s="403">
        <f t="shared" si="161"/>
        <v>0</v>
      </c>
      <c r="T60" s="403">
        <f t="shared" si="161"/>
        <v>0</v>
      </c>
      <c r="U60" s="403">
        <f t="shared" si="161"/>
        <v>0</v>
      </c>
      <c r="V60" s="403">
        <f t="shared" si="161"/>
        <v>0</v>
      </c>
      <c r="W60" s="403">
        <f t="shared" si="161"/>
        <v>0</v>
      </c>
      <c r="X60" s="403">
        <f t="shared" si="161"/>
        <v>0</v>
      </c>
      <c r="Y60" s="403">
        <f t="shared" si="161"/>
        <v>0</v>
      </c>
      <c r="Z60" s="403">
        <f t="shared" si="161"/>
        <v>0</v>
      </c>
      <c r="AA60" s="403">
        <f t="shared" si="161"/>
        <v>0</v>
      </c>
      <c r="AB60" s="403">
        <f t="shared" si="161"/>
        <v>0</v>
      </c>
      <c r="AC60" s="403">
        <f t="shared" si="161"/>
        <v>0</v>
      </c>
      <c r="AD60" s="403">
        <f t="shared" si="161"/>
        <v>0</v>
      </c>
      <c r="AE60" s="403">
        <f t="shared" si="161"/>
        <v>0</v>
      </c>
      <c r="AF60" s="403">
        <f t="shared" si="161"/>
        <v>0</v>
      </c>
      <c r="AG60" s="403">
        <f t="shared" si="161"/>
        <v>0</v>
      </c>
      <c r="AH60" s="403">
        <f t="shared" si="161"/>
        <v>0</v>
      </c>
      <c r="AI60" s="403">
        <f t="shared" si="161"/>
        <v>0</v>
      </c>
      <c r="AJ60" s="403">
        <f t="shared" si="161"/>
        <v>0</v>
      </c>
      <c r="AK60" s="403">
        <f t="shared" si="161"/>
        <v>0</v>
      </c>
      <c r="AL60" s="403">
        <f t="shared" si="161"/>
        <v>0</v>
      </c>
      <c r="AM60" s="403">
        <f t="shared" si="161"/>
        <v>0</v>
      </c>
      <c r="AN60" s="403">
        <f t="shared" si="161"/>
        <v>0</v>
      </c>
      <c r="AO60" s="403">
        <f t="shared" si="161"/>
        <v>0</v>
      </c>
      <c r="AP60" s="403">
        <f t="shared" si="161"/>
        <v>0</v>
      </c>
      <c r="AQ60" s="403">
        <f t="shared" si="161"/>
        <v>0</v>
      </c>
      <c r="AR60" s="403">
        <f t="shared" si="161"/>
        <v>0</v>
      </c>
      <c r="AS60" s="403">
        <f t="shared" si="161"/>
        <v>0</v>
      </c>
      <c r="AT60" s="403">
        <f t="shared" si="161"/>
        <v>0</v>
      </c>
      <c r="AU60" s="403">
        <f t="shared" si="161"/>
        <v>0</v>
      </c>
      <c r="AV60" s="403">
        <f t="shared" si="161"/>
        <v>0</v>
      </c>
      <c r="AW60" s="403">
        <f t="shared" si="161"/>
        <v>0</v>
      </c>
    </row>
    <row r="61" spans="2:49" s="357" customFormat="1" ht="14.25" customHeight="1">
      <c r="C61" s="342" t="s">
        <v>426</v>
      </c>
      <c r="D61" s="403">
        <f>IF(D59&lt;&gt;1,0,D57*D59-1+D60)</f>
        <v>0</v>
      </c>
      <c r="E61" s="403">
        <f>IF(E59&lt;&gt;1,0,E57*E59-1+E60)</f>
        <v>0</v>
      </c>
      <c r="F61" s="403">
        <f t="shared" ref="F61:AW61" si="162">IF(F59&lt;&gt;1,0,F57*F59-1+F60)</f>
        <v>1.7266696231986651</v>
      </c>
      <c r="G61" s="403">
        <f t="shared" si="162"/>
        <v>0</v>
      </c>
      <c r="H61" s="403">
        <f t="shared" si="162"/>
        <v>0</v>
      </c>
      <c r="I61" s="403">
        <f t="shared" si="162"/>
        <v>0</v>
      </c>
      <c r="J61" s="403">
        <f t="shared" si="162"/>
        <v>0</v>
      </c>
      <c r="K61" s="403">
        <f t="shared" si="162"/>
        <v>0</v>
      </c>
      <c r="L61" s="403">
        <f t="shared" si="162"/>
        <v>0</v>
      </c>
      <c r="M61" s="403">
        <f t="shared" si="162"/>
        <v>0</v>
      </c>
      <c r="N61" s="403">
        <f t="shared" si="162"/>
        <v>0</v>
      </c>
      <c r="O61" s="403">
        <f t="shared" si="162"/>
        <v>0</v>
      </c>
      <c r="P61" s="403">
        <f t="shared" si="162"/>
        <v>0</v>
      </c>
      <c r="Q61" s="403">
        <f t="shared" si="162"/>
        <v>0</v>
      </c>
      <c r="R61" s="403">
        <f t="shared" si="162"/>
        <v>0</v>
      </c>
      <c r="S61" s="403">
        <f t="shared" si="162"/>
        <v>0</v>
      </c>
      <c r="T61" s="403">
        <f t="shared" si="162"/>
        <v>0</v>
      </c>
      <c r="U61" s="403">
        <f t="shared" si="162"/>
        <v>0</v>
      </c>
      <c r="V61" s="403">
        <f t="shared" si="162"/>
        <v>0</v>
      </c>
      <c r="W61" s="403">
        <f t="shared" si="162"/>
        <v>0</v>
      </c>
      <c r="X61" s="403">
        <f t="shared" si="162"/>
        <v>0</v>
      </c>
      <c r="Y61" s="403">
        <f t="shared" si="162"/>
        <v>0</v>
      </c>
      <c r="Z61" s="403">
        <f t="shared" si="162"/>
        <v>0</v>
      </c>
      <c r="AA61" s="403">
        <f t="shared" si="162"/>
        <v>0</v>
      </c>
      <c r="AB61" s="403">
        <f t="shared" si="162"/>
        <v>0</v>
      </c>
      <c r="AC61" s="403">
        <f t="shared" si="162"/>
        <v>0</v>
      </c>
      <c r="AD61" s="403">
        <f t="shared" si="162"/>
        <v>0</v>
      </c>
      <c r="AE61" s="403">
        <f t="shared" si="162"/>
        <v>0</v>
      </c>
      <c r="AF61" s="403">
        <f t="shared" si="162"/>
        <v>0</v>
      </c>
      <c r="AG61" s="403">
        <f t="shared" si="162"/>
        <v>0</v>
      </c>
      <c r="AH61" s="403">
        <f t="shared" si="162"/>
        <v>0</v>
      </c>
      <c r="AI61" s="403">
        <f t="shared" si="162"/>
        <v>0</v>
      </c>
      <c r="AJ61" s="403">
        <f t="shared" si="162"/>
        <v>0</v>
      </c>
      <c r="AK61" s="403">
        <f t="shared" si="162"/>
        <v>0</v>
      </c>
      <c r="AL61" s="403">
        <f t="shared" si="162"/>
        <v>0</v>
      </c>
      <c r="AM61" s="403">
        <f t="shared" si="162"/>
        <v>0</v>
      </c>
      <c r="AN61" s="403">
        <f t="shared" si="162"/>
        <v>0</v>
      </c>
      <c r="AO61" s="403">
        <f t="shared" si="162"/>
        <v>0</v>
      </c>
      <c r="AP61" s="403">
        <f t="shared" si="162"/>
        <v>0</v>
      </c>
      <c r="AQ61" s="403">
        <f t="shared" si="162"/>
        <v>0</v>
      </c>
      <c r="AR61" s="403">
        <f t="shared" si="162"/>
        <v>0</v>
      </c>
      <c r="AS61" s="403">
        <f t="shared" si="162"/>
        <v>0</v>
      </c>
      <c r="AT61" s="403">
        <f t="shared" si="162"/>
        <v>0</v>
      </c>
      <c r="AU61" s="403">
        <f t="shared" si="162"/>
        <v>0</v>
      </c>
      <c r="AV61" s="403">
        <f t="shared" si="162"/>
        <v>0</v>
      </c>
      <c r="AW61" s="403">
        <f t="shared" si="162"/>
        <v>0</v>
      </c>
    </row>
    <row r="62" spans="2:49" ht="14.25" customHeight="1"/>
    <row r="63" spans="2:49" ht="14.25" customHeight="1" thickBot="1">
      <c r="B63" s="357"/>
    </row>
    <row r="64" spans="2:49" ht="14.25" customHeight="1" thickBot="1">
      <c r="B64" s="357"/>
      <c r="C64" s="835" t="s">
        <v>427</v>
      </c>
      <c r="D64" s="836"/>
      <c r="E64" s="837"/>
    </row>
    <row r="65" spans="1:6" ht="14.25" customHeight="1">
      <c r="A65" s="358"/>
      <c r="B65" s="358"/>
      <c r="C65" s="449" t="s">
        <v>428</v>
      </c>
      <c r="D65" s="348"/>
      <c r="E65" s="451">
        <f>'Assumptions &amp; Inputs'!J5</f>
        <v>0</v>
      </c>
      <c r="F65" s="375" t="s">
        <v>429</v>
      </c>
    </row>
    <row r="66" spans="1:6" ht="14.25" customHeight="1">
      <c r="C66" s="449" t="s">
        <v>430</v>
      </c>
      <c r="D66" s="348"/>
      <c r="E66" s="450">
        <f>E65/SUM(E36:E37)</f>
        <v>0</v>
      </c>
    </row>
    <row r="67" spans="1:6" ht="14.25" customHeight="1">
      <c r="C67" s="449" t="s">
        <v>431</v>
      </c>
      <c r="D67" s="348"/>
      <c r="E67" s="451">
        <f>-SUM(D38:G38)</f>
        <v>30</v>
      </c>
    </row>
    <row r="68" spans="1:6" ht="14.25" customHeight="1">
      <c r="C68" s="449"/>
      <c r="D68" s="348"/>
      <c r="E68" s="452"/>
    </row>
    <row r="69" spans="1:6" ht="14.25" customHeight="1">
      <c r="A69" s="357"/>
      <c r="B69" s="357"/>
      <c r="C69" s="453" t="s">
        <v>432</v>
      </c>
      <c r="D69" s="359"/>
      <c r="E69" s="454">
        <f>XNPV('Assumptions &amp; Inputs'!$E$16,D43:AW43,D33:AW33)</f>
        <v>188.56869035568104</v>
      </c>
    </row>
    <row r="70" spans="1:6" ht="14.25" customHeight="1">
      <c r="C70" s="453" t="s">
        <v>433</v>
      </c>
      <c r="D70" s="359"/>
      <c r="E70" s="455">
        <f>IFERROR(XIRR(D43:AW43,D33:AW33),"n.a.")</f>
        <v>0.54773450493812559</v>
      </c>
    </row>
    <row r="71" spans="1:6" customFormat="1">
      <c r="A71" s="1"/>
      <c r="B71" s="1"/>
      <c r="C71" s="322" t="s">
        <v>434</v>
      </c>
      <c r="D71" s="84"/>
      <c r="E71" s="340">
        <f>I54</f>
        <v>1.0711511085240986</v>
      </c>
      <c r="F71" s="1"/>
    </row>
    <row r="72" spans="1:6" customFormat="1" ht="16" thickBot="1">
      <c r="A72" s="1"/>
      <c r="B72" s="1"/>
      <c r="C72" s="339" t="s">
        <v>435</v>
      </c>
      <c r="D72" s="86"/>
      <c r="E72" s="341">
        <f>J61</f>
        <v>0</v>
      </c>
      <c r="F72" s="1"/>
    </row>
    <row r="73" spans="1:6" ht="14.25" customHeight="1"/>
    <row r="74" spans="1:6" ht="14.25" customHeight="1"/>
    <row r="75" spans="1:6" ht="14.25" customHeight="1" thickBot="1">
      <c r="A75" s="342" t="s">
        <v>351</v>
      </c>
      <c r="C75" s="349" t="s">
        <v>436</v>
      </c>
      <c r="D75" s="349"/>
      <c r="E75" s="350"/>
      <c r="F75" s="350"/>
    </row>
    <row r="76" spans="1:6" ht="14.25" customHeight="1">
      <c r="C76" s="352" t="s">
        <v>353</v>
      </c>
      <c r="D76" s="353"/>
      <c r="E76" s="354"/>
      <c r="F76" s="354"/>
    </row>
    <row r="77" spans="1:6" ht="14.25" customHeight="1" thickBot="1">
      <c r="C77" s="352"/>
      <c r="D77" s="353"/>
      <c r="E77" s="354"/>
      <c r="F77" s="354"/>
    </row>
    <row r="78" spans="1:6" ht="14.25" customHeight="1" thickBot="1">
      <c r="C78" s="838" t="s">
        <v>437</v>
      </c>
      <c r="D78" s="839"/>
      <c r="E78" s="840"/>
      <c r="F78" s="354"/>
    </row>
    <row r="79" spans="1:6" ht="14.25" customHeight="1">
      <c r="C79" s="406" t="s">
        <v>438</v>
      </c>
      <c r="D79" s="353"/>
      <c r="E79" s="407">
        <f>E80*SUM(E65,E67)</f>
        <v>0</v>
      </c>
      <c r="F79" s="354"/>
    </row>
    <row r="80" spans="1:6" ht="14.25" customHeight="1">
      <c r="C80" s="406" t="s">
        <v>439</v>
      </c>
      <c r="D80" s="353"/>
      <c r="E80" s="408">
        <f>'Assumptions &amp; Inputs'!J8</f>
        <v>0</v>
      </c>
      <c r="F80" s="354"/>
    </row>
    <row r="81" spans="3:49" ht="14.25" customHeight="1">
      <c r="C81" s="406" t="s">
        <v>440</v>
      </c>
      <c r="D81" s="353"/>
      <c r="E81" s="404" t="e">
        <f>SUM(E91:AW91)/SUM(E92:AW92)</f>
        <v>#DIV/0!</v>
      </c>
      <c r="F81" s="354"/>
      <c r="G81" s="354"/>
      <c r="H81" s="354"/>
      <c r="I81" s="354"/>
      <c r="J81" s="354"/>
      <c r="K81" s="354"/>
      <c r="L81" s="354"/>
      <c r="M81" s="354"/>
      <c r="N81" s="354"/>
    </row>
    <row r="82" spans="3:49" ht="14.25" customHeight="1">
      <c r="C82" s="406"/>
      <c r="D82" s="353"/>
      <c r="E82" s="404"/>
      <c r="F82" s="354"/>
      <c r="G82" s="354"/>
      <c r="H82" s="354"/>
      <c r="I82" s="354"/>
      <c r="J82" s="354"/>
      <c r="K82" s="354"/>
      <c r="L82" s="354"/>
      <c r="M82" s="354"/>
      <c r="N82" s="354"/>
    </row>
    <row r="83" spans="3:49" ht="14.25" customHeight="1">
      <c r="C83" s="409" t="s">
        <v>441</v>
      </c>
      <c r="D83" s="410"/>
      <c r="E83" s="405">
        <f>XNPV('Assumptions &amp; Inputs'!$E$16,D94:AW94,D90:AW90)</f>
        <v>180.49848090363432</v>
      </c>
      <c r="F83" s="354"/>
      <c r="G83" s="354"/>
      <c r="H83" s="354"/>
      <c r="I83" s="354"/>
      <c r="J83" s="354"/>
      <c r="K83" s="354"/>
      <c r="L83" s="354"/>
      <c r="M83" s="354"/>
      <c r="N83" s="354"/>
    </row>
    <row r="84" spans="3:49" ht="14.25" customHeight="1" thickBot="1">
      <c r="C84" s="411" t="s">
        <v>442</v>
      </c>
      <c r="D84" s="412"/>
      <c r="E84" s="413">
        <f>IFERROR(XIRR(D94:AW94,D90:AW90),"n.a.")</f>
        <v>0.45504953265190129</v>
      </c>
      <c r="F84" s="354"/>
      <c r="G84" s="354"/>
      <c r="H84" s="354"/>
      <c r="I84" s="354"/>
      <c r="J84" s="354"/>
      <c r="K84" s="354"/>
      <c r="L84" s="354"/>
      <c r="M84" s="354"/>
      <c r="N84" s="354"/>
    </row>
    <row r="85" spans="3:49" ht="14.25" customHeight="1">
      <c r="C85" s="352"/>
      <c r="D85" s="353"/>
      <c r="E85" s="354"/>
      <c r="F85" s="354"/>
      <c r="G85" s="354"/>
      <c r="H85" s="354"/>
      <c r="I85" s="354"/>
      <c r="J85" s="354"/>
      <c r="K85" s="354"/>
      <c r="L85" s="354"/>
      <c r="M85" s="354"/>
      <c r="N85" s="354"/>
    </row>
    <row r="86" spans="3:49" ht="14.25" customHeight="1">
      <c r="C86" s="352"/>
      <c r="D86" s="353"/>
      <c r="E86" s="354"/>
      <c r="F86" s="354"/>
      <c r="G86" s="354"/>
      <c r="H86" s="354"/>
      <c r="I86" s="354"/>
      <c r="J86" s="354"/>
      <c r="K86" s="354"/>
      <c r="L86" s="354"/>
      <c r="M86" s="354"/>
      <c r="N86" s="354"/>
    </row>
    <row r="87" spans="3:49" ht="14.25" customHeight="1">
      <c r="D87" s="384">
        <v>0</v>
      </c>
      <c r="E87" s="384">
        <f t="shared" ref="E87:X87" si="163">D87+1</f>
        <v>1</v>
      </c>
      <c r="F87" s="384">
        <f t="shared" si="163"/>
        <v>2</v>
      </c>
      <c r="G87" s="384">
        <f t="shared" si="163"/>
        <v>3</v>
      </c>
      <c r="H87" s="384">
        <f t="shared" si="163"/>
        <v>4</v>
      </c>
      <c r="I87" s="384">
        <f t="shared" si="163"/>
        <v>5</v>
      </c>
      <c r="J87" s="384">
        <f t="shared" si="163"/>
        <v>6</v>
      </c>
      <c r="K87" s="384">
        <f t="shared" si="163"/>
        <v>7</v>
      </c>
      <c r="L87" s="384">
        <f t="shared" si="163"/>
        <v>8</v>
      </c>
      <c r="M87" s="384">
        <f t="shared" si="163"/>
        <v>9</v>
      </c>
      <c r="N87" s="384">
        <f t="shared" si="163"/>
        <v>10</v>
      </c>
      <c r="O87" s="384">
        <f t="shared" si="163"/>
        <v>11</v>
      </c>
      <c r="P87" s="384">
        <f t="shared" si="163"/>
        <v>12</v>
      </c>
      <c r="Q87" s="384">
        <f t="shared" si="163"/>
        <v>13</v>
      </c>
      <c r="R87" s="384">
        <f t="shared" si="163"/>
        <v>14</v>
      </c>
      <c r="S87" s="384">
        <f t="shared" si="163"/>
        <v>15</v>
      </c>
      <c r="T87" s="384">
        <f t="shared" si="163"/>
        <v>16</v>
      </c>
      <c r="U87" s="384">
        <f t="shared" si="163"/>
        <v>17</v>
      </c>
      <c r="V87" s="384">
        <f t="shared" si="163"/>
        <v>18</v>
      </c>
      <c r="W87" s="384">
        <f t="shared" si="163"/>
        <v>19</v>
      </c>
      <c r="X87" s="384">
        <f t="shared" si="163"/>
        <v>20</v>
      </c>
      <c r="Y87" s="384">
        <f t="shared" ref="Y87" si="164">X87+1</f>
        <v>21</v>
      </c>
      <c r="Z87" s="384">
        <f t="shared" ref="Z87" si="165">Y87+1</f>
        <v>22</v>
      </c>
      <c r="AA87" s="384">
        <f t="shared" ref="AA87" si="166">Z87+1</f>
        <v>23</v>
      </c>
      <c r="AB87" s="384">
        <f t="shared" ref="AB87" si="167">AA87+1</f>
        <v>24</v>
      </c>
      <c r="AC87" s="384">
        <f t="shared" ref="AC87" si="168">AB87+1</f>
        <v>25</v>
      </c>
      <c r="AD87" s="384">
        <f t="shared" ref="AD87" si="169">AC87+1</f>
        <v>26</v>
      </c>
      <c r="AE87" s="384">
        <f t="shared" ref="AE87" si="170">AD87+1</f>
        <v>27</v>
      </c>
      <c r="AF87" s="384">
        <f t="shared" ref="AF87" si="171">AE87+1</f>
        <v>28</v>
      </c>
      <c r="AG87" s="384">
        <f t="shared" ref="AG87" si="172">AF87+1</f>
        <v>29</v>
      </c>
      <c r="AH87" s="384">
        <f t="shared" ref="AH87" si="173">AG87+1</f>
        <v>30</v>
      </c>
      <c r="AI87" s="384">
        <f t="shared" ref="AI87" si="174">AH87+1</f>
        <v>31</v>
      </c>
      <c r="AJ87" s="384">
        <f t="shared" ref="AJ87" si="175">AI87+1</f>
        <v>32</v>
      </c>
      <c r="AK87" s="384">
        <f t="shared" ref="AK87" si="176">AJ87+1</f>
        <v>33</v>
      </c>
      <c r="AL87" s="384">
        <f t="shared" ref="AL87" si="177">AK87+1</f>
        <v>34</v>
      </c>
      <c r="AM87" s="384">
        <f t="shared" ref="AM87" si="178">AL87+1</f>
        <v>35</v>
      </c>
      <c r="AN87" s="384">
        <f t="shared" ref="AN87" si="179">AM87+1</f>
        <v>36</v>
      </c>
      <c r="AO87" s="384">
        <f t="shared" ref="AO87" si="180">AN87+1</f>
        <v>37</v>
      </c>
      <c r="AP87" s="384">
        <f t="shared" ref="AP87" si="181">AO87+1</f>
        <v>38</v>
      </c>
      <c r="AQ87" s="384">
        <f t="shared" ref="AQ87" si="182">AP87+1</f>
        <v>39</v>
      </c>
      <c r="AR87" s="384">
        <f t="shared" ref="AR87" si="183">AQ87+1</f>
        <v>40</v>
      </c>
      <c r="AS87" s="384">
        <f t="shared" ref="AS87" si="184">AR87+1</f>
        <v>41</v>
      </c>
      <c r="AT87" s="384">
        <f t="shared" ref="AT87" si="185">AS87+1</f>
        <v>42</v>
      </c>
      <c r="AU87" s="384">
        <f t="shared" ref="AU87" si="186">AT87+1</f>
        <v>43</v>
      </c>
      <c r="AV87" s="384">
        <f t="shared" ref="AV87" si="187">AU87+1</f>
        <v>44</v>
      </c>
      <c r="AW87" s="384">
        <f t="shared" ref="AW87" si="188">AV87+1</f>
        <v>45</v>
      </c>
    </row>
    <row r="88" spans="3:49" ht="14.25" customHeight="1">
      <c r="C88" s="357"/>
      <c r="D88" s="357"/>
      <c r="E88" s="833" t="s">
        <v>354</v>
      </c>
      <c r="F88" s="834"/>
      <c r="G88" s="834"/>
      <c r="H88" s="834"/>
      <c r="I88" s="834"/>
      <c r="J88" s="834"/>
      <c r="K88" s="834"/>
      <c r="L88" s="834"/>
      <c r="M88" s="834"/>
      <c r="N88" s="834"/>
      <c r="O88" s="834"/>
      <c r="P88" s="834"/>
      <c r="Q88" s="360"/>
      <c r="R88" s="360"/>
      <c r="S88" s="360"/>
      <c r="T88" s="360"/>
      <c r="U88" s="360"/>
      <c r="V88" s="360"/>
      <c r="W88" s="360"/>
      <c r="X88" s="360"/>
      <c r="Y88" s="360"/>
      <c r="Z88" s="360"/>
      <c r="AA88" s="360"/>
      <c r="AB88" s="360"/>
      <c r="AC88" s="360"/>
      <c r="AD88" s="360"/>
      <c r="AE88" s="360"/>
      <c r="AF88" s="360"/>
      <c r="AG88" s="360"/>
      <c r="AH88" s="360"/>
      <c r="AI88" s="360"/>
      <c r="AJ88" s="360"/>
      <c r="AK88" s="360"/>
      <c r="AL88" s="360"/>
      <c r="AM88" s="360"/>
      <c r="AN88" s="360"/>
      <c r="AO88" s="360"/>
      <c r="AP88" s="360"/>
      <c r="AQ88" s="360"/>
      <c r="AR88" s="360"/>
      <c r="AS88" s="360"/>
      <c r="AT88" s="360"/>
      <c r="AU88" s="360"/>
      <c r="AV88" s="360"/>
      <c r="AW88" s="360"/>
    </row>
    <row r="89" spans="3:49" ht="14.25" customHeight="1">
      <c r="C89" s="357"/>
      <c r="D89" s="385">
        <f>D32</f>
        <v>2026</v>
      </c>
      <c r="E89" s="360">
        <f t="shared" ref="E89:X89" si="189">D89+1</f>
        <v>2027</v>
      </c>
      <c r="F89" s="360">
        <f t="shared" si="189"/>
        <v>2028</v>
      </c>
      <c r="G89" s="360">
        <f t="shared" si="189"/>
        <v>2029</v>
      </c>
      <c r="H89" s="360">
        <f t="shared" si="189"/>
        <v>2030</v>
      </c>
      <c r="I89" s="360">
        <f t="shared" si="189"/>
        <v>2031</v>
      </c>
      <c r="J89" s="360">
        <f t="shared" si="189"/>
        <v>2032</v>
      </c>
      <c r="K89" s="360">
        <f t="shared" si="189"/>
        <v>2033</v>
      </c>
      <c r="L89" s="360">
        <f t="shared" si="189"/>
        <v>2034</v>
      </c>
      <c r="M89" s="360">
        <f t="shared" si="189"/>
        <v>2035</v>
      </c>
      <c r="N89" s="360">
        <f t="shared" si="189"/>
        <v>2036</v>
      </c>
      <c r="O89" s="360">
        <f t="shared" si="189"/>
        <v>2037</v>
      </c>
      <c r="P89" s="360">
        <f t="shared" si="189"/>
        <v>2038</v>
      </c>
      <c r="Q89" s="360">
        <f t="shared" si="189"/>
        <v>2039</v>
      </c>
      <c r="R89" s="360">
        <f t="shared" si="189"/>
        <v>2040</v>
      </c>
      <c r="S89" s="360">
        <f t="shared" si="189"/>
        <v>2041</v>
      </c>
      <c r="T89" s="360">
        <f t="shared" si="189"/>
        <v>2042</v>
      </c>
      <c r="U89" s="360">
        <f t="shared" si="189"/>
        <v>2043</v>
      </c>
      <c r="V89" s="360">
        <f t="shared" si="189"/>
        <v>2044</v>
      </c>
      <c r="W89" s="360">
        <f t="shared" si="189"/>
        <v>2045</v>
      </c>
      <c r="X89" s="360">
        <f t="shared" si="189"/>
        <v>2046</v>
      </c>
      <c r="Y89" s="360">
        <f t="shared" ref="Y89" si="190">X89+1</f>
        <v>2047</v>
      </c>
      <c r="Z89" s="360">
        <f t="shared" ref="Z89" si="191">Y89+1</f>
        <v>2048</v>
      </c>
      <c r="AA89" s="360">
        <f t="shared" ref="AA89" si="192">Z89+1</f>
        <v>2049</v>
      </c>
      <c r="AB89" s="360">
        <f t="shared" ref="AB89" si="193">AA89+1</f>
        <v>2050</v>
      </c>
      <c r="AC89" s="360">
        <f t="shared" ref="AC89" si="194">AB89+1</f>
        <v>2051</v>
      </c>
      <c r="AD89" s="360">
        <f t="shared" ref="AD89" si="195">AC89+1</f>
        <v>2052</v>
      </c>
      <c r="AE89" s="360">
        <f t="shared" ref="AE89" si="196">AD89+1</f>
        <v>2053</v>
      </c>
      <c r="AF89" s="360">
        <f t="shared" ref="AF89" si="197">AE89+1</f>
        <v>2054</v>
      </c>
      <c r="AG89" s="360">
        <f t="shared" ref="AG89" si="198">AF89+1</f>
        <v>2055</v>
      </c>
      <c r="AH89" s="360">
        <f t="shared" ref="AH89" si="199">AG89+1</f>
        <v>2056</v>
      </c>
      <c r="AI89" s="360">
        <f t="shared" ref="AI89" si="200">AH89+1</f>
        <v>2057</v>
      </c>
      <c r="AJ89" s="360">
        <f t="shared" ref="AJ89" si="201">AI89+1</f>
        <v>2058</v>
      </c>
      <c r="AK89" s="360">
        <f t="shared" ref="AK89" si="202">AJ89+1</f>
        <v>2059</v>
      </c>
      <c r="AL89" s="360">
        <f t="shared" ref="AL89" si="203">AK89+1</f>
        <v>2060</v>
      </c>
      <c r="AM89" s="360">
        <f t="shared" ref="AM89" si="204">AL89+1</f>
        <v>2061</v>
      </c>
      <c r="AN89" s="360">
        <f t="shared" ref="AN89" si="205">AM89+1</f>
        <v>2062</v>
      </c>
      <c r="AO89" s="360">
        <f t="shared" ref="AO89" si="206">AN89+1</f>
        <v>2063</v>
      </c>
      <c r="AP89" s="360">
        <f t="shared" ref="AP89" si="207">AO89+1</f>
        <v>2064</v>
      </c>
      <c r="AQ89" s="360">
        <f t="shared" ref="AQ89" si="208">AP89+1</f>
        <v>2065</v>
      </c>
      <c r="AR89" s="360">
        <f t="shared" ref="AR89" si="209">AQ89+1</f>
        <v>2066</v>
      </c>
      <c r="AS89" s="360">
        <f t="shared" ref="AS89" si="210">AR89+1</f>
        <v>2067</v>
      </c>
      <c r="AT89" s="360">
        <f t="shared" ref="AT89" si="211">AS89+1</f>
        <v>2068</v>
      </c>
      <c r="AU89" s="360">
        <f t="shared" ref="AU89" si="212">AT89+1</f>
        <v>2069</v>
      </c>
      <c r="AV89" s="360">
        <f t="shared" ref="AV89" si="213">AU89+1</f>
        <v>2070</v>
      </c>
      <c r="AW89" s="360">
        <f t="shared" ref="AW89" si="214">AV89+1</f>
        <v>2071</v>
      </c>
    </row>
    <row r="90" spans="3:49" ht="14.25" customHeight="1">
      <c r="C90" s="386"/>
      <c r="D90" s="387">
        <f>D33</f>
        <v>46023</v>
      </c>
      <c r="E90" s="387">
        <f t="shared" ref="E90:AW90" si="215">E33</f>
        <v>46752</v>
      </c>
      <c r="F90" s="387">
        <f t="shared" si="215"/>
        <v>47118</v>
      </c>
      <c r="G90" s="387">
        <f t="shared" si="215"/>
        <v>47483</v>
      </c>
      <c r="H90" s="387">
        <f t="shared" si="215"/>
        <v>47848</v>
      </c>
      <c r="I90" s="387">
        <f t="shared" si="215"/>
        <v>48213</v>
      </c>
      <c r="J90" s="387">
        <f t="shared" si="215"/>
        <v>48579</v>
      </c>
      <c r="K90" s="387">
        <f t="shared" si="215"/>
        <v>48944</v>
      </c>
      <c r="L90" s="387">
        <f t="shared" si="215"/>
        <v>49309</v>
      </c>
      <c r="M90" s="387">
        <f t="shared" si="215"/>
        <v>49674</v>
      </c>
      <c r="N90" s="387">
        <f t="shared" si="215"/>
        <v>50040</v>
      </c>
      <c r="O90" s="387">
        <f t="shared" si="215"/>
        <v>50405</v>
      </c>
      <c r="P90" s="387">
        <f t="shared" si="215"/>
        <v>50770</v>
      </c>
      <c r="Q90" s="387">
        <f t="shared" si="215"/>
        <v>51135</v>
      </c>
      <c r="R90" s="387">
        <f t="shared" si="215"/>
        <v>51501</v>
      </c>
      <c r="S90" s="387">
        <f t="shared" si="215"/>
        <v>51866</v>
      </c>
      <c r="T90" s="387">
        <f t="shared" si="215"/>
        <v>52231</v>
      </c>
      <c r="U90" s="387">
        <f t="shared" si="215"/>
        <v>52596</v>
      </c>
      <c r="V90" s="387">
        <f t="shared" si="215"/>
        <v>52962</v>
      </c>
      <c r="W90" s="387">
        <f t="shared" si="215"/>
        <v>53327</v>
      </c>
      <c r="X90" s="387">
        <f t="shared" si="215"/>
        <v>53692</v>
      </c>
      <c r="Y90" s="387">
        <f t="shared" si="215"/>
        <v>54057</v>
      </c>
      <c r="Z90" s="387">
        <f t="shared" si="215"/>
        <v>54423</v>
      </c>
      <c r="AA90" s="387">
        <f t="shared" si="215"/>
        <v>54788</v>
      </c>
      <c r="AB90" s="387">
        <f t="shared" si="215"/>
        <v>55153</v>
      </c>
      <c r="AC90" s="387">
        <f t="shared" si="215"/>
        <v>55518</v>
      </c>
      <c r="AD90" s="387">
        <f t="shared" si="215"/>
        <v>55884</v>
      </c>
      <c r="AE90" s="387">
        <f t="shared" si="215"/>
        <v>56249</v>
      </c>
      <c r="AF90" s="387">
        <f t="shared" si="215"/>
        <v>56614</v>
      </c>
      <c r="AG90" s="387">
        <f t="shared" si="215"/>
        <v>56979</v>
      </c>
      <c r="AH90" s="387">
        <f t="shared" si="215"/>
        <v>57345</v>
      </c>
      <c r="AI90" s="387">
        <f t="shared" si="215"/>
        <v>57710</v>
      </c>
      <c r="AJ90" s="387">
        <f t="shared" si="215"/>
        <v>58075</v>
      </c>
      <c r="AK90" s="387">
        <f t="shared" si="215"/>
        <v>58440</v>
      </c>
      <c r="AL90" s="387">
        <f t="shared" si="215"/>
        <v>58806</v>
      </c>
      <c r="AM90" s="387">
        <f t="shared" si="215"/>
        <v>59171</v>
      </c>
      <c r="AN90" s="387">
        <f t="shared" si="215"/>
        <v>59536</v>
      </c>
      <c r="AO90" s="387">
        <f t="shared" si="215"/>
        <v>59901</v>
      </c>
      <c r="AP90" s="387">
        <f t="shared" si="215"/>
        <v>60267</v>
      </c>
      <c r="AQ90" s="387">
        <f t="shared" si="215"/>
        <v>60632</v>
      </c>
      <c r="AR90" s="387">
        <f t="shared" si="215"/>
        <v>60997</v>
      </c>
      <c r="AS90" s="387">
        <f t="shared" si="215"/>
        <v>61362</v>
      </c>
      <c r="AT90" s="387">
        <f t="shared" si="215"/>
        <v>61728</v>
      </c>
      <c r="AU90" s="387">
        <f t="shared" si="215"/>
        <v>62093</v>
      </c>
      <c r="AV90" s="387">
        <f t="shared" si="215"/>
        <v>62458</v>
      </c>
      <c r="AW90" s="387">
        <f t="shared" si="215"/>
        <v>62823</v>
      </c>
    </row>
    <row r="91" spans="3:49" ht="14.25" customHeight="1">
      <c r="C91" s="342" t="s">
        <v>443</v>
      </c>
      <c r="D91" s="388">
        <f t="shared" ref="D91:AW91" si="216">D40</f>
        <v>-22</v>
      </c>
      <c r="E91" s="388">
        <f t="shared" si="216"/>
        <v>5.5696529770188175</v>
      </c>
      <c r="F91" s="388">
        <f t="shared" si="216"/>
        <v>22.610477304194767</v>
      </c>
      <c r="G91" s="388">
        <f t="shared" si="216"/>
        <v>24.436250295497373</v>
      </c>
      <c r="H91" s="388">
        <f t="shared" si="216"/>
        <v>27.097477174169015</v>
      </c>
      <c r="I91" s="388">
        <f t="shared" si="216"/>
        <v>28.390084200853067</v>
      </c>
      <c r="J91" s="388">
        <f t="shared" si="216"/>
        <v>29.47637711934555</v>
      </c>
      <c r="K91" s="388">
        <f t="shared" si="216"/>
        <v>30.600784257903548</v>
      </c>
      <c r="L91" s="388">
        <f t="shared" si="216"/>
        <v>31.764561890788222</v>
      </c>
      <c r="M91" s="388">
        <f t="shared" si="216"/>
        <v>32.969006274521753</v>
      </c>
      <c r="N91" s="388">
        <f t="shared" si="216"/>
        <v>34.215454893832074</v>
      </c>
      <c r="O91" s="388">
        <f t="shared" si="216"/>
        <v>35.505287745915062</v>
      </c>
      <c r="P91" s="388">
        <f t="shared" si="216"/>
        <v>36.839928664182814</v>
      </c>
      <c r="Q91" s="388">
        <f t="shared" si="216"/>
        <v>38.220846682702117</v>
      </c>
      <c r="R91" s="388">
        <f t="shared" si="216"/>
        <v>39.649557442563029</v>
      </c>
      <c r="S91" s="388">
        <f t="shared" si="216"/>
        <v>41.127624641455952</v>
      </c>
      <c r="T91" s="388">
        <f t="shared" si="216"/>
        <v>42.656661527773942</v>
      </c>
      <c r="U91" s="388">
        <f t="shared" si="216"/>
        <v>44.23833244059702</v>
      </c>
      <c r="V91" s="388">
        <f t="shared" si="216"/>
        <v>45.874354396955859</v>
      </c>
      <c r="W91" s="388">
        <f t="shared" si="216"/>
        <v>47.566498727815521</v>
      </c>
      <c r="X91" s="388">
        <f t="shared" si="216"/>
        <v>49.3165927642629</v>
      </c>
      <c r="Y91" s="388">
        <f t="shared" si="216"/>
        <v>51.12652157542653</v>
      </c>
      <c r="Z91" s="388">
        <f t="shared" si="216"/>
        <v>52.998229759704074</v>
      </c>
      <c r="AA91" s="388">
        <f t="shared" si="216"/>
        <v>54.933723290919872</v>
      </c>
      <c r="AB91" s="388">
        <f t="shared" si="216"/>
        <v>56.935071421085269</v>
      </c>
      <c r="AC91" s="388">
        <f t="shared" si="216"/>
        <v>59.004408641483636</v>
      </c>
      <c r="AD91" s="388">
        <f t="shared" si="216"/>
        <v>61.14393670385526</v>
      </c>
      <c r="AE91" s="388">
        <f t="shared" si="216"/>
        <v>0</v>
      </c>
      <c r="AF91" s="388">
        <f t="shared" si="216"/>
        <v>0</v>
      </c>
      <c r="AG91" s="388">
        <f t="shared" si="216"/>
        <v>0</v>
      </c>
      <c r="AH91" s="388">
        <f t="shared" si="216"/>
        <v>0</v>
      </c>
      <c r="AI91" s="388">
        <f t="shared" si="216"/>
        <v>0</v>
      </c>
      <c r="AJ91" s="388">
        <f t="shared" si="216"/>
        <v>0</v>
      </c>
      <c r="AK91" s="388">
        <f t="shared" si="216"/>
        <v>0</v>
      </c>
      <c r="AL91" s="388">
        <f t="shared" si="216"/>
        <v>0</v>
      </c>
      <c r="AM91" s="388">
        <f t="shared" si="216"/>
        <v>0</v>
      </c>
      <c r="AN91" s="388">
        <f t="shared" si="216"/>
        <v>0</v>
      </c>
      <c r="AO91" s="388">
        <f t="shared" si="216"/>
        <v>0</v>
      </c>
      <c r="AP91" s="388">
        <f t="shared" si="216"/>
        <v>0</v>
      </c>
      <c r="AQ91" s="388">
        <f t="shared" si="216"/>
        <v>0</v>
      </c>
      <c r="AR91" s="388">
        <f t="shared" si="216"/>
        <v>0</v>
      </c>
      <c r="AS91" s="388">
        <f t="shared" si="216"/>
        <v>0</v>
      </c>
      <c r="AT91" s="388">
        <f t="shared" si="216"/>
        <v>0</v>
      </c>
      <c r="AU91" s="388">
        <f t="shared" si="216"/>
        <v>0</v>
      </c>
      <c r="AV91" s="388">
        <f t="shared" si="216"/>
        <v>0</v>
      </c>
      <c r="AW91" s="388">
        <f t="shared" si="216"/>
        <v>0</v>
      </c>
    </row>
    <row r="92" spans="3:49" ht="14.25" customHeight="1">
      <c r="C92" s="342" t="s">
        <v>444</v>
      </c>
      <c r="D92" s="390"/>
      <c r="E92" s="388">
        <f>E103</f>
        <v>0</v>
      </c>
      <c r="F92" s="388">
        <f t="shared" ref="F92:X92" si="217">F103</f>
        <v>0</v>
      </c>
      <c r="G92" s="388">
        <f t="shared" si="217"/>
        <v>0</v>
      </c>
      <c r="H92" s="388">
        <f t="shared" si="217"/>
        <v>0</v>
      </c>
      <c r="I92" s="388">
        <f t="shared" si="217"/>
        <v>0</v>
      </c>
      <c r="J92" s="388">
        <f t="shared" si="217"/>
        <v>0</v>
      </c>
      <c r="K92" s="388">
        <f t="shared" si="217"/>
        <v>0</v>
      </c>
      <c r="L92" s="388">
        <f t="shared" si="217"/>
        <v>0</v>
      </c>
      <c r="M92" s="388">
        <f t="shared" si="217"/>
        <v>0</v>
      </c>
      <c r="N92" s="388">
        <f t="shared" si="217"/>
        <v>0</v>
      </c>
      <c r="O92" s="388">
        <f t="shared" si="217"/>
        <v>0</v>
      </c>
      <c r="P92" s="388">
        <f t="shared" si="217"/>
        <v>0</v>
      </c>
      <c r="Q92" s="388">
        <f t="shared" si="217"/>
        <v>0</v>
      </c>
      <c r="R92" s="388">
        <f t="shared" si="217"/>
        <v>0</v>
      </c>
      <c r="S92" s="388">
        <f t="shared" si="217"/>
        <v>0</v>
      </c>
      <c r="T92" s="388">
        <f t="shared" si="217"/>
        <v>0</v>
      </c>
      <c r="U92" s="388">
        <f t="shared" si="217"/>
        <v>0</v>
      </c>
      <c r="V92" s="388">
        <f t="shared" si="217"/>
        <v>0</v>
      </c>
      <c r="W92" s="388">
        <f t="shared" si="217"/>
        <v>0</v>
      </c>
      <c r="X92" s="388">
        <f t="shared" si="217"/>
        <v>0</v>
      </c>
      <c r="Y92" s="388">
        <f t="shared" ref="Y92:AW92" si="218">Y103</f>
        <v>0</v>
      </c>
      <c r="Z92" s="388">
        <f t="shared" si="218"/>
        <v>0</v>
      </c>
      <c r="AA92" s="388">
        <f t="shared" si="218"/>
        <v>0</v>
      </c>
      <c r="AB92" s="388">
        <f t="shared" si="218"/>
        <v>0</v>
      </c>
      <c r="AC92" s="388">
        <f t="shared" si="218"/>
        <v>0</v>
      </c>
      <c r="AD92" s="388">
        <f t="shared" si="218"/>
        <v>0</v>
      </c>
      <c r="AE92" s="388">
        <f t="shared" si="218"/>
        <v>0</v>
      </c>
      <c r="AF92" s="388">
        <f t="shared" si="218"/>
        <v>0</v>
      </c>
      <c r="AG92" s="388">
        <f t="shared" si="218"/>
        <v>0</v>
      </c>
      <c r="AH92" s="388">
        <f t="shared" si="218"/>
        <v>0</v>
      </c>
      <c r="AI92" s="388">
        <f t="shared" si="218"/>
        <v>0</v>
      </c>
      <c r="AJ92" s="388">
        <f t="shared" si="218"/>
        <v>0</v>
      </c>
      <c r="AK92" s="388">
        <f t="shared" si="218"/>
        <v>0</v>
      </c>
      <c r="AL92" s="388">
        <f t="shared" si="218"/>
        <v>0</v>
      </c>
      <c r="AM92" s="388">
        <f t="shared" si="218"/>
        <v>0</v>
      </c>
      <c r="AN92" s="388">
        <f t="shared" si="218"/>
        <v>0</v>
      </c>
      <c r="AO92" s="388">
        <f t="shared" si="218"/>
        <v>0</v>
      </c>
      <c r="AP92" s="388">
        <f t="shared" si="218"/>
        <v>0</v>
      </c>
      <c r="AQ92" s="388">
        <f t="shared" si="218"/>
        <v>0</v>
      </c>
      <c r="AR92" s="388">
        <f t="shared" si="218"/>
        <v>0</v>
      </c>
      <c r="AS92" s="388">
        <f t="shared" si="218"/>
        <v>0</v>
      </c>
      <c r="AT92" s="388">
        <f t="shared" si="218"/>
        <v>0</v>
      </c>
      <c r="AU92" s="388">
        <f t="shared" si="218"/>
        <v>0</v>
      </c>
      <c r="AV92" s="388">
        <f t="shared" si="218"/>
        <v>0</v>
      </c>
      <c r="AW92" s="388">
        <f t="shared" si="218"/>
        <v>0</v>
      </c>
    </row>
    <row r="93" spans="3:49" ht="14.25" customHeight="1">
      <c r="C93" s="342" t="s">
        <v>445</v>
      </c>
      <c r="E93" s="415">
        <f>IFERROR(E91/E92,0)</f>
        <v>0</v>
      </c>
      <c r="F93" s="415">
        <f t="shared" ref="F93:AW93" si="219">IFERROR(F91/F92,0)</f>
        <v>0</v>
      </c>
      <c r="G93" s="415">
        <f t="shared" si="219"/>
        <v>0</v>
      </c>
      <c r="H93" s="415">
        <f t="shared" si="219"/>
        <v>0</v>
      </c>
      <c r="I93" s="415">
        <f t="shared" si="219"/>
        <v>0</v>
      </c>
      <c r="J93" s="415">
        <f t="shared" si="219"/>
        <v>0</v>
      </c>
      <c r="K93" s="415">
        <f t="shared" si="219"/>
        <v>0</v>
      </c>
      <c r="L93" s="415">
        <f t="shared" si="219"/>
        <v>0</v>
      </c>
      <c r="M93" s="415">
        <f t="shared" si="219"/>
        <v>0</v>
      </c>
      <c r="N93" s="415">
        <f t="shared" si="219"/>
        <v>0</v>
      </c>
      <c r="O93" s="415">
        <f t="shared" si="219"/>
        <v>0</v>
      </c>
      <c r="P93" s="415">
        <f t="shared" si="219"/>
        <v>0</v>
      </c>
      <c r="Q93" s="415">
        <f t="shared" si="219"/>
        <v>0</v>
      </c>
      <c r="R93" s="415">
        <f t="shared" si="219"/>
        <v>0</v>
      </c>
      <c r="S93" s="415">
        <f t="shared" si="219"/>
        <v>0</v>
      </c>
      <c r="T93" s="415">
        <f t="shared" si="219"/>
        <v>0</v>
      </c>
      <c r="U93" s="415">
        <f t="shared" si="219"/>
        <v>0</v>
      </c>
      <c r="V93" s="415">
        <f t="shared" si="219"/>
        <v>0</v>
      </c>
      <c r="W93" s="415">
        <f t="shared" si="219"/>
        <v>0</v>
      </c>
      <c r="X93" s="415">
        <f t="shared" si="219"/>
        <v>0</v>
      </c>
      <c r="Y93" s="415">
        <f t="shared" si="219"/>
        <v>0</v>
      </c>
      <c r="Z93" s="415">
        <f t="shared" si="219"/>
        <v>0</v>
      </c>
      <c r="AA93" s="415">
        <f t="shared" si="219"/>
        <v>0</v>
      </c>
      <c r="AB93" s="415">
        <f t="shared" si="219"/>
        <v>0</v>
      </c>
      <c r="AC93" s="415">
        <f t="shared" si="219"/>
        <v>0</v>
      </c>
      <c r="AD93" s="415">
        <f t="shared" si="219"/>
        <v>0</v>
      </c>
      <c r="AE93" s="415">
        <f t="shared" si="219"/>
        <v>0</v>
      </c>
      <c r="AF93" s="415">
        <f t="shared" si="219"/>
        <v>0</v>
      </c>
      <c r="AG93" s="415">
        <f t="shared" si="219"/>
        <v>0</v>
      </c>
      <c r="AH93" s="415">
        <f t="shared" si="219"/>
        <v>0</v>
      </c>
      <c r="AI93" s="415">
        <f t="shared" si="219"/>
        <v>0</v>
      </c>
      <c r="AJ93" s="415">
        <f t="shared" si="219"/>
        <v>0</v>
      </c>
      <c r="AK93" s="415">
        <f t="shared" si="219"/>
        <v>0</v>
      </c>
      <c r="AL93" s="415">
        <f t="shared" si="219"/>
        <v>0</v>
      </c>
      <c r="AM93" s="415">
        <f t="shared" si="219"/>
        <v>0</v>
      </c>
      <c r="AN93" s="415">
        <f t="shared" si="219"/>
        <v>0</v>
      </c>
      <c r="AO93" s="415">
        <f t="shared" si="219"/>
        <v>0</v>
      </c>
      <c r="AP93" s="415">
        <f t="shared" si="219"/>
        <v>0</v>
      </c>
      <c r="AQ93" s="415">
        <f t="shared" si="219"/>
        <v>0</v>
      </c>
      <c r="AR93" s="415">
        <f t="shared" si="219"/>
        <v>0</v>
      </c>
      <c r="AS93" s="415">
        <f t="shared" si="219"/>
        <v>0</v>
      </c>
      <c r="AT93" s="415">
        <f t="shared" si="219"/>
        <v>0</v>
      </c>
      <c r="AU93" s="415">
        <f t="shared" si="219"/>
        <v>0</v>
      </c>
      <c r="AV93" s="415">
        <f t="shared" si="219"/>
        <v>0</v>
      </c>
      <c r="AW93" s="415">
        <f t="shared" si="219"/>
        <v>0</v>
      </c>
    </row>
    <row r="94" spans="3:49" ht="14.25" customHeight="1">
      <c r="C94" s="357" t="s">
        <v>446</v>
      </c>
      <c r="D94" s="416">
        <f>-'Assumptions &amp; Inputs'!J7*SUM(E65,E67)</f>
        <v>-30</v>
      </c>
      <c r="E94" s="417">
        <f t="shared" ref="E94:X94" si="220">SUM(E91,-E92)</f>
        <v>5.5696529770188175</v>
      </c>
      <c r="F94" s="417">
        <f t="shared" si="220"/>
        <v>22.610477304194767</v>
      </c>
      <c r="G94" s="417">
        <f t="shared" si="220"/>
        <v>24.436250295497373</v>
      </c>
      <c r="H94" s="417">
        <f t="shared" si="220"/>
        <v>27.097477174169015</v>
      </c>
      <c r="I94" s="417">
        <f t="shared" si="220"/>
        <v>28.390084200853067</v>
      </c>
      <c r="J94" s="417">
        <f t="shared" si="220"/>
        <v>29.47637711934555</v>
      </c>
      <c r="K94" s="417">
        <f t="shared" si="220"/>
        <v>30.600784257903548</v>
      </c>
      <c r="L94" s="417">
        <f t="shared" si="220"/>
        <v>31.764561890788222</v>
      </c>
      <c r="M94" s="417">
        <f t="shared" si="220"/>
        <v>32.969006274521753</v>
      </c>
      <c r="N94" s="417">
        <f t="shared" si="220"/>
        <v>34.215454893832074</v>
      </c>
      <c r="O94" s="417">
        <f t="shared" si="220"/>
        <v>35.505287745915062</v>
      </c>
      <c r="P94" s="417">
        <f t="shared" si="220"/>
        <v>36.839928664182814</v>
      </c>
      <c r="Q94" s="417">
        <f t="shared" si="220"/>
        <v>38.220846682702117</v>
      </c>
      <c r="R94" s="417">
        <f t="shared" si="220"/>
        <v>39.649557442563029</v>
      </c>
      <c r="S94" s="417">
        <f t="shared" si="220"/>
        <v>41.127624641455952</v>
      </c>
      <c r="T94" s="417">
        <f t="shared" si="220"/>
        <v>42.656661527773942</v>
      </c>
      <c r="U94" s="417">
        <f t="shared" si="220"/>
        <v>44.23833244059702</v>
      </c>
      <c r="V94" s="417">
        <f t="shared" si="220"/>
        <v>45.874354396955859</v>
      </c>
      <c r="W94" s="417">
        <f t="shared" si="220"/>
        <v>47.566498727815521</v>
      </c>
      <c r="X94" s="417">
        <f t="shared" si="220"/>
        <v>49.3165927642629</v>
      </c>
      <c r="Y94" s="417">
        <f t="shared" ref="Y94:AW94" si="221">SUM(Y91,-Y92)</f>
        <v>51.12652157542653</v>
      </c>
      <c r="Z94" s="417">
        <f t="shared" si="221"/>
        <v>52.998229759704074</v>
      </c>
      <c r="AA94" s="417">
        <f t="shared" si="221"/>
        <v>54.933723290919872</v>
      </c>
      <c r="AB94" s="417">
        <f t="shared" si="221"/>
        <v>56.935071421085269</v>
      </c>
      <c r="AC94" s="417">
        <f t="shared" si="221"/>
        <v>59.004408641483636</v>
      </c>
      <c r="AD94" s="417">
        <f t="shared" si="221"/>
        <v>61.14393670385526</v>
      </c>
      <c r="AE94" s="417">
        <f t="shared" si="221"/>
        <v>0</v>
      </c>
      <c r="AF94" s="417">
        <f t="shared" si="221"/>
        <v>0</v>
      </c>
      <c r="AG94" s="417">
        <f t="shared" si="221"/>
        <v>0</v>
      </c>
      <c r="AH94" s="417">
        <f t="shared" si="221"/>
        <v>0</v>
      </c>
      <c r="AI94" s="417">
        <f t="shared" si="221"/>
        <v>0</v>
      </c>
      <c r="AJ94" s="417">
        <f t="shared" si="221"/>
        <v>0</v>
      </c>
      <c r="AK94" s="417">
        <f t="shared" si="221"/>
        <v>0</v>
      </c>
      <c r="AL94" s="417">
        <f t="shared" si="221"/>
        <v>0</v>
      </c>
      <c r="AM94" s="417">
        <f t="shared" si="221"/>
        <v>0</v>
      </c>
      <c r="AN94" s="417">
        <f t="shared" si="221"/>
        <v>0</v>
      </c>
      <c r="AO94" s="417">
        <f t="shared" si="221"/>
        <v>0</v>
      </c>
      <c r="AP94" s="417">
        <f t="shared" si="221"/>
        <v>0</v>
      </c>
      <c r="AQ94" s="417">
        <f t="shared" si="221"/>
        <v>0</v>
      </c>
      <c r="AR94" s="417">
        <f t="shared" si="221"/>
        <v>0</v>
      </c>
      <c r="AS94" s="417">
        <f t="shared" si="221"/>
        <v>0</v>
      </c>
      <c r="AT94" s="417">
        <f t="shared" si="221"/>
        <v>0</v>
      </c>
      <c r="AU94" s="417">
        <f t="shared" si="221"/>
        <v>0</v>
      </c>
      <c r="AV94" s="417">
        <f t="shared" si="221"/>
        <v>0</v>
      </c>
      <c r="AW94" s="417">
        <f t="shared" si="221"/>
        <v>0</v>
      </c>
    </row>
    <row r="95" spans="3:49" ht="14.25" customHeight="1"/>
    <row r="96" spans="3:49" ht="14.25" customHeight="1">
      <c r="C96" s="342" t="s">
        <v>447</v>
      </c>
      <c r="D96" s="384">
        <v>0</v>
      </c>
      <c r="E96" s="384">
        <f t="shared" ref="E96:X96" si="222">D96+1</f>
        <v>1</v>
      </c>
      <c r="F96" s="384">
        <f t="shared" si="222"/>
        <v>2</v>
      </c>
      <c r="G96" s="384">
        <f t="shared" si="222"/>
        <v>3</v>
      </c>
      <c r="H96" s="384">
        <f t="shared" si="222"/>
        <v>4</v>
      </c>
      <c r="I96" s="384">
        <f t="shared" si="222"/>
        <v>5</v>
      </c>
      <c r="J96" s="384">
        <f t="shared" si="222"/>
        <v>6</v>
      </c>
      <c r="K96" s="384">
        <f t="shared" si="222"/>
        <v>7</v>
      </c>
      <c r="L96" s="384">
        <f t="shared" si="222"/>
        <v>8</v>
      </c>
      <c r="M96" s="384">
        <f t="shared" si="222"/>
        <v>9</v>
      </c>
      <c r="N96" s="384">
        <f t="shared" si="222"/>
        <v>10</v>
      </c>
      <c r="O96" s="384">
        <f t="shared" si="222"/>
        <v>11</v>
      </c>
      <c r="P96" s="384">
        <f t="shared" si="222"/>
        <v>12</v>
      </c>
      <c r="Q96" s="384">
        <f t="shared" si="222"/>
        <v>13</v>
      </c>
      <c r="R96" s="384">
        <f t="shared" si="222"/>
        <v>14</v>
      </c>
      <c r="S96" s="384">
        <f t="shared" si="222"/>
        <v>15</v>
      </c>
      <c r="T96" s="384">
        <f t="shared" si="222"/>
        <v>16</v>
      </c>
      <c r="U96" s="384">
        <f t="shared" si="222"/>
        <v>17</v>
      </c>
      <c r="V96" s="384">
        <f t="shared" si="222"/>
        <v>18</v>
      </c>
      <c r="W96" s="384">
        <f t="shared" si="222"/>
        <v>19</v>
      </c>
      <c r="X96" s="384">
        <f t="shared" si="222"/>
        <v>20</v>
      </c>
      <c r="Y96" s="384">
        <f t="shared" ref="Y96" si="223">X96+1</f>
        <v>21</v>
      </c>
      <c r="Z96" s="384">
        <f t="shared" ref="Z96" si="224">Y96+1</f>
        <v>22</v>
      </c>
      <c r="AA96" s="384">
        <f t="shared" ref="AA96" si="225">Z96+1</f>
        <v>23</v>
      </c>
      <c r="AB96" s="384">
        <f t="shared" ref="AB96" si="226">AA96+1</f>
        <v>24</v>
      </c>
      <c r="AC96" s="384">
        <f t="shared" ref="AC96" si="227">AB96+1</f>
        <v>25</v>
      </c>
      <c r="AD96" s="384">
        <f t="shared" ref="AD96" si="228">AC96+1</f>
        <v>26</v>
      </c>
      <c r="AE96" s="384">
        <f t="shared" ref="AE96" si="229">AD96+1</f>
        <v>27</v>
      </c>
      <c r="AF96" s="384">
        <f t="shared" ref="AF96" si="230">AE96+1</f>
        <v>28</v>
      </c>
      <c r="AG96" s="384">
        <f t="shared" ref="AG96" si="231">AF96+1</f>
        <v>29</v>
      </c>
      <c r="AH96" s="384">
        <f t="shared" ref="AH96" si="232">AG96+1</f>
        <v>30</v>
      </c>
      <c r="AI96" s="384">
        <f t="shared" ref="AI96" si="233">AH96+1</f>
        <v>31</v>
      </c>
      <c r="AJ96" s="384">
        <f t="shared" ref="AJ96" si="234">AI96+1</f>
        <v>32</v>
      </c>
      <c r="AK96" s="384">
        <f t="shared" ref="AK96" si="235">AJ96+1</f>
        <v>33</v>
      </c>
      <c r="AL96" s="384">
        <f t="shared" ref="AL96" si="236">AK96+1</f>
        <v>34</v>
      </c>
      <c r="AM96" s="384">
        <f t="shared" ref="AM96" si="237">AL96+1</f>
        <v>35</v>
      </c>
      <c r="AN96" s="384">
        <f t="shared" ref="AN96" si="238">AM96+1</f>
        <v>36</v>
      </c>
      <c r="AO96" s="384">
        <f t="shared" ref="AO96" si="239">AN96+1</f>
        <v>37</v>
      </c>
      <c r="AP96" s="384">
        <f t="shared" ref="AP96" si="240">AO96+1</f>
        <v>38</v>
      </c>
      <c r="AQ96" s="384">
        <f t="shared" ref="AQ96" si="241">AP96+1</f>
        <v>39</v>
      </c>
      <c r="AR96" s="384">
        <f t="shared" ref="AR96" si="242">AQ96+1</f>
        <v>40</v>
      </c>
      <c r="AS96" s="384">
        <f t="shared" ref="AS96" si="243">AR96+1</f>
        <v>41</v>
      </c>
      <c r="AT96" s="384">
        <f t="shared" ref="AT96" si="244">AS96+1</f>
        <v>42</v>
      </c>
      <c r="AU96" s="384">
        <f t="shared" ref="AU96" si="245">AT96+1</f>
        <v>43</v>
      </c>
      <c r="AV96" s="384">
        <f t="shared" ref="AV96" si="246">AU96+1</f>
        <v>44</v>
      </c>
      <c r="AW96" s="384">
        <f t="shared" ref="AW96" si="247">AV96+1</f>
        <v>45</v>
      </c>
    </row>
    <row r="97" spans="1:49" ht="14.25" customHeight="1">
      <c r="A97" s="414"/>
      <c r="B97" s="414"/>
      <c r="C97" s="342" t="s">
        <v>448</v>
      </c>
      <c r="D97" s="501">
        <f>IF(D89&lt;=YEAR('Assumptions &amp; Inputs'!$J$29), $E$79, IF(ISNUMBER(C99), C99, 0))</f>
        <v>0</v>
      </c>
      <c r="E97" s="501">
        <f>IF(E89&lt;=YEAR('Assumptions &amp; Inputs'!$J$29), $E$79, IF(ISNUMBER(D99), D99, 0))</f>
        <v>0</v>
      </c>
      <c r="F97" s="501">
        <f>IF(F89&lt;=YEAR('Assumptions &amp; Inputs'!$J$29), $E$79, IF(ISNUMBER(E99), E99, 0))</f>
        <v>0</v>
      </c>
      <c r="G97" s="501">
        <f>IF(G89&lt;=YEAR('Assumptions &amp; Inputs'!$J$29), $E$79, IF(ISNUMBER(F99), F99, 0))</f>
        <v>0</v>
      </c>
      <c r="H97" s="501">
        <f>IF(H89&lt;=YEAR('Assumptions &amp; Inputs'!$J$29), $E$79, IF(ISNUMBER(G99), G99, 0))</f>
        <v>0</v>
      </c>
      <c r="I97" s="501">
        <f>IF(I89&lt;=YEAR('Assumptions &amp; Inputs'!$J$29), $E$79, IF(ISNUMBER(H99), H99, 0))</f>
        <v>0</v>
      </c>
      <c r="J97" s="501">
        <f>IF(J89&lt;=YEAR('Assumptions &amp; Inputs'!$J$29), $E$79, IF(ISNUMBER(I99), I99, 0))</f>
        <v>0</v>
      </c>
      <c r="K97" s="501">
        <f>IF(K89&lt;=YEAR('Assumptions &amp; Inputs'!$J$29), $E$79, IF(ISNUMBER(J99), J99, 0))</f>
        <v>0</v>
      </c>
      <c r="L97" s="501">
        <f>IF(L89&lt;=YEAR('Assumptions &amp; Inputs'!$J$29), $E$79, IF(ISNUMBER(K99), K99, 0))</f>
        <v>0</v>
      </c>
      <c r="M97" s="501">
        <f>IF(M89&lt;=YEAR('Assumptions &amp; Inputs'!$J$29), $E$79, IF(ISNUMBER(L99), L99, 0))</f>
        <v>0</v>
      </c>
      <c r="N97" s="501">
        <f>IF(N89&lt;=YEAR('Assumptions &amp; Inputs'!$J$29), $E$79, IF(ISNUMBER(M99), M99, 0))</f>
        <v>0</v>
      </c>
      <c r="O97" s="501">
        <f>IF(O89&lt;=YEAR('Assumptions &amp; Inputs'!$J$29), $E$79, IF(ISNUMBER(N99), N99, 0))</f>
        <v>0</v>
      </c>
      <c r="P97" s="501">
        <f>IF(P89&lt;=YEAR('Assumptions &amp; Inputs'!$J$29), $E$79, IF(ISNUMBER(O99), O99, 0))</f>
        <v>0</v>
      </c>
      <c r="Q97" s="501">
        <f>IF(Q89&lt;=YEAR('Assumptions &amp; Inputs'!$J$29), $E$79, IF(ISNUMBER(P99), P99, 0))</f>
        <v>0</v>
      </c>
      <c r="R97" s="501">
        <f>IF(R89&lt;=YEAR('Assumptions &amp; Inputs'!$J$29), $E$79, IF(ISNUMBER(Q99), Q99, 0))</f>
        <v>0</v>
      </c>
      <c r="S97" s="501">
        <f>IF(S89&lt;=YEAR('Assumptions &amp; Inputs'!$J$29), $E$79, IF(ISNUMBER(R99), R99, 0))</f>
        <v>0</v>
      </c>
      <c r="T97" s="501">
        <f>IF(T89&lt;=YEAR('Assumptions &amp; Inputs'!$J$29), $E$79, IF(ISNUMBER(S99), S99, 0))</f>
        <v>0</v>
      </c>
      <c r="U97" s="501">
        <f>IF(U89&lt;=YEAR('Assumptions &amp; Inputs'!$J$29), $E$79, IF(ISNUMBER(T99), T99, 0))</f>
        <v>0</v>
      </c>
      <c r="V97" s="501">
        <f>IF(V89&lt;=YEAR('Assumptions &amp; Inputs'!$J$29), $E$79, IF(ISNUMBER(U99), U99, 0))</f>
        <v>0</v>
      </c>
      <c r="W97" s="501">
        <f>IF(W89&lt;=YEAR('Assumptions &amp; Inputs'!$J$29), $E$79, IF(ISNUMBER(V99), V99, 0))</f>
        <v>0</v>
      </c>
      <c r="X97" s="501">
        <f>IF(X89&lt;=YEAR('Assumptions &amp; Inputs'!$J$29), $E$79, IF(ISNUMBER(W99), W99, 0))</f>
        <v>0</v>
      </c>
      <c r="Y97" s="501">
        <f>IF(Y89&lt;=YEAR('Assumptions &amp; Inputs'!$J$29), $E$79, IF(ISNUMBER(X99), X99, 0))</f>
        <v>0</v>
      </c>
      <c r="Z97" s="501">
        <f>IF(Z89&lt;=YEAR('Assumptions &amp; Inputs'!$J$29), $E$79, IF(ISNUMBER(Y99), Y99, 0))</f>
        <v>0</v>
      </c>
      <c r="AA97" s="501">
        <f>IF(AA89&lt;=YEAR('Assumptions &amp; Inputs'!$J$29), $E$79, IF(ISNUMBER(Z99), Z99, 0))</f>
        <v>0</v>
      </c>
      <c r="AB97" s="501">
        <f>IF(AB89&lt;=YEAR('Assumptions &amp; Inputs'!$J$29), $E$79, IF(ISNUMBER(AA99), AA99, 0))</f>
        <v>0</v>
      </c>
      <c r="AC97" s="501">
        <f>IF(AC89&lt;=YEAR('Assumptions &amp; Inputs'!$J$29), $E$79, IF(ISNUMBER(AB99), AB99, 0))</f>
        <v>0</v>
      </c>
      <c r="AD97" s="501">
        <f>IF(AD89&lt;=YEAR('Assumptions &amp; Inputs'!$J$29), $E$79, IF(ISNUMBER(AC99), AC99, 0))</f>
        <v>0</v>
      </c>
      <c r="AE97" s="501">
        <f>IF(AE89&lt;=YEAR('Assumptions &amp; Inputs'!$J$29), $E$79, IF(ISNUMBER(AD99), AD99, 0))</f>
        <v>0</v>
      </c>
      <c r="AF97" s="501">
        <f>IF(AF89&lt;=YEAR('Assumptions &amp; Inputs'!$J$29), $E$79, IF(ISNUMBER(AE99), AE99, 0))</f>
        <v>0</v>
      </c>
      <c r="AG97" s="501">
        <f>IF(AG89&lt;=YEAR('Assumptions &amp; Inputs'!$J$29), $E$79, IF(ISNUMBER(AF99), AF99, 0))</f>
        <v>0</v>
      </c>
      <c r="AH97" s="501">
        <f>IF(AH89&lt;=YEAR('Assumptions &amp; Inputs'!$J$29), $E$79, IF(ISNUMBER(AG99), AG99, 0))</f>
        <v>0</v>
      </c>
      <c r="AI97" s="501">
        <f>IF(AI89&lt;=YEAR('Assumptions &amp; Inputs'!$J$29), $E$79, IF(ISNUMBER(AH99), AH99, 0))</f>
        <v>0</v>
      </c>
      <c r="AJ97" s="501">
        <f>IF(AJ89&lt;=YEAR('Assumptions &amp; Inputs'!$J$29), $E$79, IF(ISNUMBER(AI99), AI99, 0))</f>
        <v>0</v>
      </c>
      <c r="AK97" s="501">
        <f>IF(AK89&lt;=YEAR('Assumptions &amp; Inputs'!$J$29), $E$79, IF(ISNUMBER(AJ99), AJ99, 0))</f>
        <v>0</v>
      </c>
      <c r="AL97" s="501">
        <f>IF(AL89&lt;=YEAR('Assumptions &amp; Inputs'!$J$29), $E$79, IF(ISNUMBER(AK99), AK99, 0))</f>
        <v>0</v>
      </c>
      <c r="AM97" s="501">
        <f>IF(AM89&lt;=YEAR('Assumptions &amp; Inputs'!$J$29), $E$79, IF(ISNUMBER(AL99), AL99, 0))</f>
        <v>0</v>
      </c>
      <c r="AN97" s="501">
        <f>IF(AN89&lt;=YEAR('Assumptions &amp; Inputs'!$J$29), $E$79, IF(ISNUMBER(AM99), AM99, 0))</f>
        <v>0</v>
      </c>
      <c r="AO97" s="501">
        <f>IF(AO89&lt;=YEAR('Assumptions &amp; Inputs'!$J$29), $E$79, IF(ISNUMBER(AN99), AN99, 0))</f>
        <v>0</v>
      </c>
      <c r="AP97" s="501">
        <f>IF(AP89&lt;=YEAR('Assumptions &amp; Inputs'!$J$29), $E$79, IF(ISNUMBER(AO99), AO99, 0))</f>
        <v>0</v>
      </c>
      <c r="AQ97" s="501">
        <f>IF(AQ89&lt;=YEAR('Assumptions &amp; Inputs'!$J$29), $E$79, IF(ISNUMBER(AP99), AP99, 0))</f>
        <v>0</v>
      </c>
      <c r="AR97" s="501">
        <f>IF(AR89&lt;=YEAR('Assumptions &amp; Inputs'!$J$29), $E$79, IF(ISNUMBER(AQ99), AQ99, 0))</f>
        <v>0</v>
      </c>
      <c r="AS97" s="501">
        <f>IF(AS89&lt;=YEAR('Assumptions &amp; Inputs'!$J$29), $E$79, IF(ISNUMBER(AR99), AR99, 0))</f>
        <v>0</v>
      </c>
      <c r="AT97" s="501">
        <f>IF(AT89&lt;=YEAR('Assumptions &amp; Inputs'!$J$29), $E$79, IF(ISNUMBER(AS99), AS99, 0))</f>
        <v>0</v>
      </c>
      <c r="AU97" s="501">
        <f>IF(AU89&lt;=YEAR('Assumptions &amp; Inputs'!$J$29), $E$79, IF(ISNUMBER(AT99), AT99, 0))</f>
        <v>0</v>
      </c>
      <c r="AV97" s="501">
        <f>IF(AV89&lt;=YEAR('Assumptions &amp; Inputs'!$J$29), $E$79, IF(ISNUMBER(AU99), AU99, 0))</f>
        <v>0</v>
      </c>
      <c r="AW97" s="501">
        <f>IF(AW89&lt;=YEAR('Assumptions &amp; Inputs'!$J$29), $E$79, IF(ISNUMBER(AV99), AV99, 0))</f>
        <v>0</v>
      </c>
    </row>
    <row r="98" spans="1:49" ht="14.25" customHeight="1">
      <c r="A98" s="414"/>
      <c r="B98" s="414"/>
      <c r="C98" s="342" t="s">
        <v>449</v>
      </c>
      <c r="D98" s="501"/>
      <c r="E98" s="501">
        <f>IFERROR(PPMT('Assumptions &amp; Inputs'!$J$10,E89-YEAR('Assumptions &amp; Inputs'!$J$29),'Assumptions &amp; Inputs'!$J$9,$E$79), 0)</f>
        <v>0</v>
      </c>
      <c r="F98" s="501">
        <f>IFERROR(PPMT('Assumptions &amp; Inputs'!$J$10,F89-YEAR('Assumptions &amp; Inputs'!$J$29),'Assumptions &amp; Inputs'!$J$9,$E$79), 0)</f>
        <v>0</v>
      </c>
      <c r="G98" s="501">
        <f>IFERROR(PPMT('Assumptions &amp; Inputs'!$J$10,G89-YEAR('Assumptions &amp; Inputs'!$J$29),'Assumptions &amp; Inputs'!$J$9,$E$79), 0)</f>
        <v>0</v>
      </c>
      <c r="H98" s="501">
        <f>IFERROR(PPMT('Assumptions &amp; Inputs'!$J$10,H89-YEAR('Assumptions &amp; Inputs'!$J$29),'Assumptions &amp; Inputs'!$J$9,$E$79), 0)</f>
        <v>0</v>
      </c>
      <c r="I98" s="501">
        <f>IFERROR(PPMT('Assumptions &amp; Inputs'!$J$10,I89-YEAR('Assumptions &amp; Inputs'!$J$29),'Assumptions &amp; Inputs'!$J$9,$E$79), 0)</f>
        <v>0</v>
      </c>
      <c r="J98" s="501">
        <f>IFERROR(PPMT('Assumptions &amp; Inputs'!$J$10,J89-YEAR('Assumptions &amp; Inputs'!$J$29),'Assumptions &amp; Inputs'!$J$9,$E$79), 0)</f>
        <v>0</v>
      </c>
      <c r="K98" s="501">
        <f>IFERROR(PPMT('Assumptions &amp; Inputs'!$J$10,K89-YEAR('Assumptions &amp; Inputs'!$J$29),'Assumptions &amp; Inputs'!$J$9,$E$79), 0)</f>
        <v>0</v>
      </c>
      <c r="L98" s="501">
        <f>IFERROR(PPMT('Assumptions &amp; Inputs'!$J$10,L89-YEAR('Assumptions &amp; Inputs'!$J$29),'Assumptions &amp; Inputs'!$J$9,$E$79), 0)</f>
        <v>0</v>
      </c>
      <c r="M98" s="501">
        <f>IFERROR(PPMT('Assumptions &amp; Inputs'!$J$10,M89-YEAR('Assumptions &amp; Inputs'!$J$29),'Assumptions &amp; Inputs'!$J$9,$E$79), 0)</f>
        <v>0</v>
      </c>
      <c r="N98" s="501">
        <f>IFERROR(PPMT('Assumptions &amp; Inputs'!$J$10,N89-YEAR('Assumptions &amp; Inputs'!$J$29),'Assumptions &amp; Inputs'!$J$9,$E$79), 0)</f>
        <v>0</v>
      </c>
      <c r="O98" s="501">
        <f>IFERROR(PPMT('Assumptions &amp; Inputs'!$J$10,O89-YEAR('Assumptions &amp; Inputs'!$J$29),'Assumptions &amp; Inputs'!$J$9,$E$79), 0)</f>
        <v>0</v>
      </c>
      <c r="P98" s="501">
        <f>IFERROR(PPMT('Assumptions &amp; Inputs'!$J$10,P89-YEAR('Assumptions &amp; Inputs'!$J$29),'Assumptions &amp; Inputs'!$J$9,$E$79), 0)</f>
        <v>0</v>
      </c>
      <c r="Q98" s="501">
        <f>IFERROR(PPMT('Assumptions &amp; Inputs'!$J$10,Q89-YEAR('Assumptions &amp; Inputs'!$J$29),'Assumptions &amp; Inputs'!$J$9,$E$79), 0)</f>
        <v>0</v>
      </c>
      <c r="R98" s="501">
        <f>IFERROR(PPMT('Assumptions &amp; Inputs'!$J$10,R89-YEAR('Assumptions &amp; Inputs'!$J$29),'Assumptions &amp; Inputs'!$J$9,$E$79), 0)</f>
        <v>0</v>
      </c>
      <c r="S98" s="501">
        <f>IFERROR(PPMT('Assumptions &amp; Inputs'!$J$10,S89-YEAR('Assumptions &amp; Inputs'!$J$29),'Assumptions &amp; Inputs'!$J$9,$E$79), 0)</f>
        <v>0</v>
      </c>
      <c r="T98" s="501">
        <f>IFERROR(PPMT('Assumptions &amp; Inputs'!$J$10,T89-YEAR('Assumptions &amp; Inputs'!$J$29),'Assumptions &amp; Inputs'!$J$9,$E$79), 0)</f>
        <v>0</v>
      </c>
      <c r="U98" s="501">
        <f>IFERROR(PPMT('Assumptions &amp; Inputs'!$J$10,U89-YEAR('Assumptions &amp; Inputs'!$J$29),'Assumptions &amp; Inputs'!$J$9,$E$79), 0)</f>
        <v>0</v>
      </c>
      <c r="V98" s="501">
        <f>IFERROR(PPMT('Assumptions &amp; Inputs'!$J$10,V89-YEAR('Assumptions &amp; Inputs'!$J$29),'Assumptions &amp; Inputs'!$J$9,$E$79), 0)</f>
        <v>0</v>
      </c>
      <c r="W98" s="501">
        <f>IFERROR(PPMT('Assumptions &amp; Inputs'!$J$10,W89-YEAR('Assumptions &amp; Inputs'!$J$29),'Assumptions &amp; Inputs'!$J$9,$E$79), 0)</f>
        <v>0</v>
      </c>
      <c r="X98" s="501">
        <f>IFERROR(PPMT('Assumptions &amp; Inputs'!$J$10,X89-YEAR('Assumptions &amp; Inputs'!$J$29),'Assumptions &amp; Inputs'!$J$9,$E$79), 0)</f>
        <v>0</v>
      </c>
      <c r="Y98" s="501">
        <f>IFERROR(PPMT('Assumptions &amp; Inputs'!$J$10,Y89-YEAR('Assumptions &amp; Inputs'!$J$29),'Assumptions &amp; Inputs'!$J$9,$E$79), 0)</f>
        <v>0</v>
      </c>
      <c r="Z98" s="501">
        <f>IFERROR(PPMT('Assumptions &amp; Inputs'!$J$10,Z89-YEAR('Assumptions &amp; Inputs'!$J$29),'Assumptions &amp; Inputs'!$J$9,$E$79), 0)</f>
        <v>0</v>
      </c>
      <c r="AA98" s="501">
        <f>IFERROR(PPMT('Assumptions &amp; Inputs'!$J$10,AA89-YEAR('Assumptions &amp; Inputs'!$J$29),'Assumptions &amp; Inputs'!$J$9,$E$79), 0)</f>
        <v>0</v>
      </c>
      <c r="AB98" s="501">
        <f>IFERROR(PPMT('Assumptions &amp; Inputs'!$J$10,AB89-YEAR('Assumptions &amp; Inputs'!$J$29),'Assumptions &amp; Inputs'!$J$9,$E$79), 0)</f>
        <v>0</v>
      </c>
      <c r="AC98" s="501">
        <f>IFERROR(PPMT('Assumptions &amp; Inputs'!$J$10,AC89-YEAR('Assumptions &amp; Inputs'!$J$29),'Assumptions &amp; Inputs'!$J$9,$E$79), 0)</f>
        <v>0</v>
      </c>
      <c r="AD98" s="501">
        <f>IFERROR(PPMT('Assumptions &amp; Inputs'!$J$10,AD89-YEAR('Assumptions &amp; Inputs'!$J$29),'Assumptions &amp; Inputs'!$J$9,$E$79), 0)</f>
        <v>0</v>
      </c>
      <c r="AE98" s="501">
        <f>IFERROR(PPMT('Assumptions &amp; Inputs'!$J$10,AE89-YEAR('Assumptions &amp; Inputs'!$J$29),'Assumptions &amp; Inputs'!$J$9,$E$79), 0)</f>
        <v>0</v>
      </c>
      <c r="AF98" s="501">
        <f>IFERROR(PPMT('Assumptions &amp; Inputs'!$J$10,AF89-YEAR('Assumptions &amp; Inputs'!$J$29),'Assumptions &amp; Inputs'!$J$9,$E$79), 0)</f>
        <v>0</v>
      </c>
      <c r="AG98" s="501">
        <f>IFERROR(PPMT('Assumptions &amp; Inputs'!$J$10,AG89-YEAR('Assumptions &amp; Inputs'!$J$29),'Assumptions &amp; Inputs'!$J$9,$E$79), 0)</f>
        <v>0</v>
      </c>
      <c r="AH98" s="501">
        <f>IFERROR(PPMT('Assumptions &amp; Inputs'!$J$10,AH89-YEAR('Assumptions &amp; Inputs'!$J$29),'Assumptions &amp; Inputs'!$J$9,$E$79), 0)</f>
        <v>0</v>
      </c>
      <c r="AI98" s="501">
        <f>IFERROR(PPMT('Assumptions &amp; Inputs'!$J$10,AI89-YEAR('Assumptions &amp; Inputs'!$J$29),'Assumptions &amp; Inputs'!$J$9,$E$79), 0)</f>
        <v>0</v>
      </c>
      <c r="AJ98" s="501">
        <f>IFERROR(PPMT('Assumptions &amp; Inputs'!$J$10,AJ89-YEAR('Assumptions &amp; Inputs'!$J$29),'Assumptions &amp; Inputs'!$J$9,$E$79), 0)</f>
        <v>0</v>
      </c>
      <c r="AK98" s="501">
        <f>IFERROR(PPMT('Assumptions &amp; Inputs'!$J$10,AK89-YEAR('Assumptions &amp; Inputs'!$J$29),'Assumptions &amp; Inputs'!$J$9,$E$79), 0)</f>
        <v>0</v>
      </c>
      <c r="AL98" s="501">
        <f>IFERROR(PPMT('Assumptions &amp; Inputs'!$J$10,AL89-YEAR('Assumptions &amp; Inputs'!$J$29),'Assumptions &amp; Inputs'!$J$9,$E$79), 0)</f>
        <v>0</v>
      </c>
      <c r="AM98" s="501">
        <f>IFERROR(PPMT('Assumptions &amp; Inputs'!$J$10,AM89-YEAR('Assumptions &amp; Inputs'!$J$29),'Assumptions &amp; Inputs'!$J$9,$E$79), 0)</f>
        <v>0</v>
      </c>
      <c r="AN98" s="501">
        <f>IFERROR(PPMT('Assumptions &amp; Inputs'!$J$10,AN89-YEAR('Assumptions &amp; Inputs'!$J$29),'Assumptions &amp; Inputs'!$J$9,$E$79), 0)</f>
        <v>0</v>
      </c>
      <c r="AO98" s="501">
        <f>IFERROR(PPMT('Assumptions &amp; Inputs'!$J$10,AO89-YEAR('Assumptions &amp; Inputs'!$J$29),'Assumptions &amp; Inputs'!$J$9,$E$79), 0)</f>
        <v>0</v>
      </c>
      <c r="AP98" s="501">
        <f>IFERROR(PPMT('Assumptions &amp; Inputs'!$J$10,AP89-YEAR('Assumptions &amp; Inputs'!$J$29),'Assumptions &amp; Inputs'!$J$9,$E$79), 0)</f>
        <v>0</v>
      </c>
      <c r="AQ98" s="501">
        <f>IFERROR(PPMT('Assumptions &amp; Inputs'!$J$10,AQ89-YEAR('Assumptions &amp; Inputs'!$J$29),'Assumptions &amp; Inputs'!$J$9,$E$79), 0)</f>
        <v>0</v>
      </c>
      <c r="AR98" s="501">
        <f>IFERROR(PPMT('Assumptions &amp; Inputs'!$J$10,AR89-YEAR('Assumptions &amp; Inputs'!$J$29),'Assumptions &amp; Inputs'!$J$9,$E$79), 0)</f>
        <v>0</v>
      </c>
      <c r="AS98" s="501">
        <f>IFERROR(PPMT('Assumptions &amp; Inputs'!$J$10,AS89-YEAR('Assumptions &amp; Inputs'!$J$29),'Assumptions &amp; Inputs'!$J$9,$E$79), 0)</f>
        <v>0</v>
      </c>
      <c r="AT98" s="501">
        <f>IFERROR(PPMT('Assumptions &amp; Inputs'!$J$10,AT89-YEAR('Assumptions &amp; Inputs'!$J$29),'Assumptions &amp; Inputs'!$J$9,$E$79), 0)</f>
        <v>0</v>
      </c>
      <c r="AU98" s="501">
        <f>IFERROR(PPMT('Assumptions &amp; Inputs'!$J$10,AU89-YEAR('Assumptions &amp; Inputs'!$J$29),'Assumptions &amp; Inputs'!$J$9,$E$79), 0)</f>
        <v>0</v>
      </c>
      <c r="AV98" s="501">
        <f>IFERROR(PPMT('Assumptions &amp; Inputs'!$J$10,AV89-YEAR('Assumptions &amp; Inputs'!$J$29),'Assumptions &amp; Inputs'!$J$9,$E$79), 0)</f>
        <v>0</v>
      </c>
      <c r="AW98" s="501">
        <f>IFERROR(PPMT('Assumptions &amp; Inputs'!$J$10,AW89-YEAR('Assumptions &amp; Inputs'!$J$29),'Assumptions &amp; Inputs'!$J$9,$E$79), 0)</f>
        <v>0</v>
      </c>
    </row>
    <row r="99" spans="1:49" ht="14.25" customHeight="1">
      <c r="C99" s="342" t="s">
        <v>450</v>
      </c>
      <c r="D99" s="501">
        <f>D97</f>
        <v>0</v>
      </c>
      <c r="E99" s="501">
        <f>SUM(E97:E98)</f>
        <v>0</v>
      </c>
      <c r="F99" s="501">
        <f t="shared" ref="F99:AW99" si="248">SUM(F97:F98)</f>
        <v>0</v>
      </c>
      <c r="G99" s="501">
        <f t="shared" si="248"/>
        <v>0</v>
      </c>
      <c r="H99" s="501">
        <f t="shared" si="248"/>
        <v>0</v>
      </c>
      <c r="I99" s="501">
        <f t="shared" si="248"/>
        <v>0</v>
      </c>
      <c r="J99" s="501">
        <f t="shared" si="248"/>
        <v>0</v>
      </c>
      <c r="K99" s="501">
        <f t="shared" si="248"/>
        <v>0</v>
      </c>
      <c r="L99" s="501">
        <f t="shared" si="248"/>
        <v>0</v>
      </c>
      <c r="M99" s="501">
        <f t="shared" si="248"/>
        <v>0</v>
      </c>
      <c r="N99" s="501">
        <f t="shared" si="248"/>
        <v>0</v>
      </c>
      <c r="O99" s="501">
        <f t="shared" si="248"/>
        <v>0</v>
      </c>
      <c r="P99" s="501">
        <f t="shared" si="248"/>
        <v>0</v>
      </c>
      <c r="Q99" s="501">
        <f t="shared" si="248"/>
        <v>0</v>
      </c>
      <c r="R99" s="501">
        <f t="shared" si="248"/>
        <v>0</v>
      </c>
      <c r="S99" s="501">
        <f t="shared" si="248"/>
        <v>0</v>
      </c>
      <c r="T99" s="501">
        <f t="shared" si="248"/>
        <v>0</v>
      </c>
      <c r="U99" s="501">
        <f t="shared" si="248"/>
        <v>0</v>
      </c>
      <c r="V99" s="501">
        <f t="shared" si="248"/>
        <v>0</v>
      </c>
      <c r="W99" s="501">
        <f t="shared" si="248"/>
        <v>0</v>
      </c>
      <c r="X99" s="501">
        <f t="shared" si="248"/>
        <v>0</v>
      </c>
      <c r="Y99" s="501">
        <f t="shared" si="248"/>
        <v>0</v>
      </c>
      <c r="Z99" s="501">
        <f t="shared" si="248"/>
        <v>0</v>
      </c>
      <c r="AA99" s="501">
        <f t="shared" si="248"/>
        <v>0</v>
      </c>
      <c r="AB99" s="501">
        <f t="shared" si="248"/>
        <v>0</v>
      </c>
      <c r="AC99" s="501">
        <f t="shared" si="248"/>
        <v>0</v>
      </c>
      <c r="AD99" s="501">
        <f t="shared" si="248"/>
        <v>0</v>
      </c>
      <c r="AE99" s="501">
        <f t="shared" si="248"/>
        <v>0</v>
      </c>
      <c r="AF99" s="501">
        <f t="shared" si="248"/>
        <v>0</v>
      </c>
      <c r="AG99" s="501">
        <f t="shared" si="248"/>
        <v>0</v>
      </c>
      <c r="AH99" s="501">
        <f t="shared" si="248"/>
        <v>0</v>
      </c>
      <c r="AI99" s="501">
        <f t="shared" si="248"/>
        <v>0</v>
      </c>
      <c r="AJ99" s="501">
        <f t="shared" si="248"/>
        <v>0</v>
      </c>
      <c r="AK99" s="501">
        <f t="shared" si="248"/>
        <v>0</v>
      </c>
      <c r="AL99" s="501">
        <f t="shared" si="248"/>
        <v>0</v>
      </c>
      <c r="AM99" s="501">
        <f t="shared" si="248"/>
        <v>0</v>
      </c>
      <c r="AN99" s="501">
        <f t="shared" si="248"/>
        <v>0</v>
      </c>
      <c r="AO99" s="501">
        <f t="shared" si="248"/>
        <v>0</v>
      </c>
      <c r="AP99" s="501">
        <f t="shared" si="248"/>
        <v>0</v>
      </c>
      <c r="AQ99" s="501">
        <f t="shared" si="248"/>
        <v>0</v>
      </c>
      <c r="AR99" s="501">
        <f t="shared" si="248"/>
        <v>0</v>
      </c>
      <c r="AS99" s="501">
        <f t="shared" si="248"/>
        <v>0</v>
      </c>
      <c r="AT99" s="501">
        <f t="shared" si="248"/>
        <v>0</v>
      </c>
      <c r="AU99" s="501">
        <f t="shared" si="248"/>
        <v>0</v>
      </c>
      <c r="AV99" s="501">
        <f t="shared" si="248"/>
        <v>0</v>
      </c>
      <c r="AW99" s="501">
        <f t="shared" si="248"/>
        <v>0</v>
      </c>
    </row>
    <row r="100" spans="1:49" ht="14.25" customHeight="1">
      <c r="A100" s="414"/>
      <c r="B100" s="41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4.25" customHeight="1">
      <c r="A101" s="414"/>
      <c r="B101" s="414"/>
      <c r="C101" s="342" t="s">
        <v>451</v>
      </c>
      <c r="D101" s="1"/>
      <c r="E101" s="8">
        <f>IFERROR(-IPMT('Assumptions &amp; Inputs'!$J$10,E89-YEAR('Assumptions &amp; Inputs'!$J$29),'Assumptions &amp; Inputs'!$J$9,$E$79), 0)</f>
        <v>0</v>
      </c>
      <c r="F101" s="8">
        <f>IFERROR(-IPMT('Assumptions &amp; Inputs'!$J$10,F89-YEAR('Assumptions &amp; Inputs'!$J$29),'Assumptions &amp; Inputs'!$J$9,$E$79), 0)</f>
        <v>0</v>
      </c>
      <c r="G101" s="8">
        <f>IFERROR(-IPMT('Assumptions &amp; Inputs'!$J$10,G89-YEAR('Assumptions &amp; Inputs'!$J$29),'Assumptions &amp; Inputs'!$J$9,$E$79), 0)</f>
        <v>0</v>
      </c>
      <c r="H101" s="8">
        <f>IFERROR(-IPMT('Assumptions &amp; Inputs'!$J$10,H89-YEAR('Assumptions &amp; Inputs'!$J$29),'Assumptions &amp; Inputs'!$J$9,$E$79), 0)</f>
        <v>0</v>
      </c>
      <c r="I101" s="8">
        <f>IFERROR(-IPMT('Assumptions &amp; Inputs'!$J$10,I89-YEAR('Assumptions &amp; Inputs'!$J$29),'Assumptions &amp; Inputs'!$J$9,$E$79), 0)</f>
        <v>0</v>
      </c>
      <c r="J101" s="8">
        <f>IFERROR(-IPMT('Assumptions &amp; Inputs'!$J$10,J89-YEAR('Assumptions &amp; Inputs'!$J$29),'Assumptions &amp; Inputs'!$J$9,$E$79), 0)</f>
        <v>0</v>
      </c>
      <c r="K101" s="8">
        <f>IFERROR(-IPMT('Assumptions &amp; Inputs'!$J$10,K89-YEAR('Assumptions &amp; Inputs'!$J$29),'Assumptions &amp; Inputs'!$J$9,$E$79), 0)</f>
        <v>0</v>
      </c>
      <c r="L101" s="8">
        <f>IFERROR(-IPMT('Assumptions &amp; Inputs'!$J$10,L89-YEAR('Assumptions &amp; Inputs'!$J$29),'Assumptions &amp; Inputs'!$J$9,$E$79), 0)</f>
        <v>0</v>
      </c>
      <c r="M101" s="8">
        <f>IFERROR(-IPMT('Assumptions &amp; Inputs'!$J$10,M89-YEAR('Assumptions &amp; Inputs'!$J$29),'Assumptions &amp; Inputs'!$J$9,$E$79), 0)</f>
        <v>0</v>
      </c>
      <c r="N101" s="8">
        <f>IFERROR(-IPMT('Assumptions &amp; Inputs'!$J$10,N89-YEAR('Assumptions &amp; Inputs'!$J$29),'Assumptions &amp; Inputs'!$J$9,$E$79), 0)</f>
        <v>0</v>
      </c>
      <c r="O101" s="8">
        <f>IFERROR(-IPMT('Assumptions &amp; Inputs'!$J$10,O89-YEAR('Assumptions &amp; Inputs'!$J$29),'Assumptions &amp; Inputs'!$J$9,$E$79), 0)</f>
        <v>0</v>
      </c>
      <c r="P101" s="8">
        <f>IFERROR(-IPMT('Assumptions &amp; Inputs'!$J$10,P89-YEAR('Assumptions &amp; Inputs'!$J$29),'Assumptions &amp; Inputs'!$J$9,$E$79), 0)</f>
        <v>0</v>
      </c>
      <c r="Q101" s="8">
        <f>IFERROR(-IPMT('Assumptions &amp; Inputs'!$J$10,Q89-YEAR('Assumptions &amp; Inputs'!$J$29),'Assumptions &amp; Inputs'!$J$9,$E$79), 0)</f>
        <v>0</v>
      </c>
      <c r="R101" s="8">
        <f>IFERROR(-IPMT('Assumptions &amp; Inputs'!$J$10,R89-YEAR('Assumptions &amp; Inputs'!$J$29),'Assumptions &amp; Inputs'!$J$9,$E$79), 0)</f>
        <v>0</v>
      </c>
      <c r="S101" s="8">
        <f>IFERROR(-IPMT('Assumptions &amp; Inputs'!$J$10,S89-YEAR('Assumptions &amp; Inputs'!$J$29),'Assumptions &amp; Inputs'!$J$9,$E$79), 0)</f>
        <v>0</v>
      </c>
      <c r="T101" s="8">
        <f>IFERROR(-IPMT('Assumptions &amp; Inputs'!$J$10,T89-YEAR('Assumptions &amp; Inputs'!$J$29),'Assumptions &amp; Inputs'!$J$9,$E$79), 0)</f>
        <v>0</v>
      </c>
      <c r="U101" s="8">
        <f>IFERROR(-IPMT('Assumptions &amp; Inputs'!$J$10,U89-YEAR('Assumptions &amp; Inputs'!$J$29),'Assumptions &amp; Inputs'!$J$9,$E$79), 0)</f>
        <v>0</v>
      </c>
      <c r="V101" s="8">
        <f>IFERROR(-IPMT('Assumptions &amp; Inputs'!$J$10,V89-YEAR('Assumptions &amp; Inputs'!$J$29),'Assumptions &amp; Inputs'!$J$9,$E$79), 0)</f>
        <v>0</v>
      </c>
      <c r="W101" s="8">
        <f>IFERROR(-IPMT('Assumptions &amp; Inputs'!$J$10,W89-YEAR('Assumptions &amp; Inputs'!$J$29),'Assumptions &amp; Inputs'!$J$9,$E$79), 0)</f>
        <v>0</v>
      </c>
      <c r="X101" s="8">
        <f>IFERROR(-IPMT('Assumptions &amp; Inputs'!$J$10,X89-YEAR('Assumptions &amp; Inputs'!$J$29),'Assumptions &amp; Inputs'!$J$9,$E$79), 0)</f>
        <v>0</v>
      </c>
      <c r="Y101" s="8">
        <f>IFERROR(-IPMT('Assumptions &amp; Inputs'!$J$10,Y89-YEAR('Assumptions &amp; Inputs'!$J$29),'Assumptions &amp; Inputs'!$J$9,$E$79), 0)</f>
        <v>0</v>
      </c>
      <c r="Z101" s="8">
        <f>IFERROR(-IPMT('Assumptions &amp; Inputs'!$J$10,Z89-YEAR('Assumptions &amp; Inputs'!$J$29),'Assumptions &amp; Inputs'!$J$9,$E$79), 0)</f>
        <v>0</v>
      </c>
      <c r="AA101" s="8">
        <f>IFERROR(-IPMT('Assumptions &amp; Inputs'!$J$10,AA89-YEAR('Assumptions &amp; Inputs'!$J$29),'Assumptions &amp; Inputs'!$J$9,$E$79), 0)</f>
        <v>0</v>
      </c>
      <c r="AB101" s="8">
        <f>IFERROR(-IPMT('Assumptions &amp; Inputs'!$J$10,AB89-YEAR('Assumptions &amp; Inputs'!$J$29),'Assumptions &amp; Inputs'!$J$9,$E$79), 0)</f>
        <v>0</v>
      </c>
      <c r="AC101" s="8">
        <f>IFERROR(-IPMT('Assumptions &amp; Inputs'!$J$10,AC89-YEAR('Assumptions &amp; Inputs'!$J$29),'Assumptions &amp; Inputs'!$J$9,$E$79), 0)</f>
        <v>0</v>
      </c>
      <c r="AD101" s="8">
        <f>IFERROR(-IPMT('Assumptions &amp; Inputs'!$J$10,AD89-YEAR('Assumptions &amp; Inputs'!$J$29),'Assumptions &amp; Inputs'!$J$9,$E$79), 0)</f>
        <v>0</v>
      </c>
      <c r="AE101" s="8">
        <f>IFERROR(-IPMT('Assumptions &amp; Inputs'!$J$10,AE89-YEAR('Assumptions &amp; Inputs'!$J$29),'Assumptions &amp; Inputs'!$J$9,$E$79), 0)</f>
        <v>0</v>
      </c>
      <c r="AF101" s="8">
        <f>IFERROR(-IPMT('Assumptions &amp; Inputs'!$J$10,AF89-YEAR('Assumptions &amp; Inputs'!$J$29),'Assumptions &amp; Inputs'!$J$9,$E$79), 0)</f>
        <v>0</v>
      </c>
      <c r="AG101" s="8">
        <f>IFERROR(-IPMT('Assumptions &amp; Inputs'!$J$10,AG89-YEAR('Assumptions &amp; Inputs'!$J$29),'Assumptions &amp; Inputs'!$J$9,$E$79), 0)</f>
        <v>0</v>
      </c>
      <c r="AH101" s="8">
        <f>IFERROR(-IPMT('Assumptions &amp; Inputs'!$J$10,AH89-YEAR('Assumptions &amp; Inputs'!$J$29),'Assumptions &amp; Inputs'!$J$9,$E$79), 0)</f>
        <v>0</v>
      </c>
      <c r="AI101" s="8">
        <f>IFERROR(-IPMT('Assumptions &amp; Inputs'!$J$10,AI89-YEAR('Assumptions &amp; Inputs'!$J$29),'Assumptions &amp; Inputs'!$J$9,$E$79), 0)</f>
        <v>0</v>
      </c>
      <c r="AJ101" s="8">
        <f>IFERROR(-IPMT('Assumptions &amp; Inputs'!$J$10,AJ89-YEAR('Assumptions &amp; Inputs'!$J$29),'Assumptions &amp; Inputs'!$J$9,$E$79), 0)</f>
        <v>0</v>
      </c>
      <c r="AK101" s="8">
        <f>IFERROR(-IPMT('Assumptions &amp; Inputs'!$J$10,AK89-YEAR('Assumptions &amp; Inputs'!$J$29),'Assumptions &amp; Inputs'!$J$9,$E$79), 0)</f>
        <v>0</v>
      </c>
      <c r="AL101" s="8">
        <f>IFERROR(-IPMT('Assumptions &amp; Inputs'!$J$10,AL89-YEAR('Assumptions &amp; Inputs'!$J$29),'Assumptions &amp; Inputs'!$J$9,$E$79), 0)</f>
        <v>0</v>
      </c>
      <c r="AM101" s="8">
        <f>IFERROR(-IPMT('Assumptions &amp; Inputs'!$J$10,AM89-YEAR('Assumptions &amp; Inputs'!$J$29),'Assumptions &amp; Inputs'!$J$9,$E$79), 0)</f>
        <v>0</v>
      </c>
      <c r="AN101" s="8">
        <f>IFERROR(-IPMT('Assumptions &amp; Inputs'!$J$10,AN89-YEAR('Assumptions &amp; Inputs'!$J$29),'Assumptions &amp; Inputs'!$J$9,$E$79), 0)</f>
        <v>0</v>
      </c>
      <c r="AO101" s="8">
        <f>IFERROR(-IPMT('Assumptions &amp; Inputs'!$J$10,AO89-YEAR('Assumptions &amp; Inputs'!$J$29),'Assumptions &amp; Inputs'!$J$9,$E$79), 0)</f>
        <v>0</v>
      </c>
      <c r="AP101" s="8">
        <f>IFERROR(-IPMT('Assumptions &amp; Inputs'!$J$10,AP89-YEAR('Assumptions &amp; Inputs'!$J$29),'Assumptions &amp; Inputs'!$J$9,$E$79), 0)</f>
        <v>0</v>
      </c>
      <c r="AQ101" s="8">
        <f>IFERROR(-IPMT('Assumptions &amp; Inputs'!$J$10,AQ89-YEAR('Assumptions &amp; Inputs'!$J$29),'Assumptions &amp; Inputs'!$J$9,$E$79), 0)</f>
        <v>0</v>
      </c>
      <c r="AR101" s="8">
        <f>IFERROR(-IPMT('Assumptions &amp; Inputs'!$J$10,AR89-YEAR('Assumptions &amp; Inputs'!$J$29),'Assumptions &amp; Inputs'!$J$9,$E$79), 0)</f>
        <v>0</v>
      </c>
      <c r="AS101" s="8">
        <f>IFERROR(-IPMT('Assumptions &amp; Inputs'!$J$10,AS89-YEAR('Assumptions &amp; Inputs'!$J$29),'Assumptions &amp; Inputs'!$J$9,$E$79), 0)</f>
        <v>0</v>
      </c>
      <c r="AT101" s="8">
        <f>IFERROR(-IPMT('Assumptions &amp; Inputs'!$J$10,AT89-YEAR('Assumptions &amp; Inputs'!$J$29),'Assumptions &amp; Inputs'!$J$9,$E$79), 0)</f>
        <v>0</v>
      </c>
      <c r="AU101" s="8">
        <f>IFERROR(-IPMT('Assumptions &amp; Inputs'!$J$10,AU89-YEAR('Assumptions &amp; Inputs'!$J$29),'Assumptions &amp; Inputs'!$J$9,$E$79), 0)</f>
        <v>0</v>
      </c>
      <c r="AV101" s="8">
        <f>IFERROR(-IPMT('Assumptions &amp; Inputs'!$J$10,AV89-YEAR('Assumptions &amp; Inputs'!$J$29),'Assumptions &amp; Inputs'!$J$9,$E$79), 0)</f>
        <v>0</v>
      </c>
      <c r="AW101" s="8">
        <f>IFERROR(-IPMT('Assumptions &amp; Inputs'!$J$10,AW89-YEAR('Assumptions &amp; Inputs'!$J$29),'Assumptions &amp; Inputs'!$J$9,$E$79), 0)</f>
        <v>0</v>
      </c>
    </row>
    <row r="102" spans="1:49" ht="14.25" customHeight="1">
      <c r="A102" s="414"/>
      <c r="B102" s="414"/>
      <c r="C102" s="342" t="s">
        <v>452</v>
      </c>
      <c r="D102" s="1"/>
      <c r="E102" s="8">
        <f t="shared" ref="E102:AW102" si="249">-E98</f>
        <v>0</v>
      </c>
      <c r="F102" s="8">
        <f t="shared" si="249"/>
        <v>0</v>
      </c>
      <c r="G102" s="8">
        <f t="shared" si="249"/>
        <v>0</v>
      </c>
      <c r="H102" s="8">
        <f t="shared" si="249"/>
        <v>0</v>
      </c>
      <c r="I102" s="8">
        <f t="shared" si="249"/>
        <v>0</v>
      </c>
      <c r="J102" s="8">
        <f t="shared" si="249"/>
        <v>0</v>
      </c>
      <c r="K102" s="8">
        <f t="shared" si="249"/>
        <v>0</v>
      </c>
      <c r="L102" s="8">
        <f t="shared" si="249"/>
        <v>0</v>
      </c>
      <c r="M102" s="8">
        <f t="shared" si="249"/>
        <v>0</v>
      </c>
      <c r="N102" s="8">
        <f t="shared" si="249"/>
        <v>0</v>
      </c>
      <c r="O102" s="8">
        <f t="shared" si="249"/>
        <v>0</v>
      </c>
      <c r="P102" s="8">
        <f t="shared" si="249"/>
        <v>0</v>
      </c>
      <c r="Q102" s="8">
        <f t="shared" si="249"/>
        <v>0</v>
      </c>
      <c r="R102" s="8">
        <f t="shared" si="249"/>
        <v>0</v>
      </c>
      <c r="S102" s="8">
        <f t="shared" si="249"/>
        <v>0</v>
      </c>
      <c r="T102" s="8">
        <f t="shared" si="249"/>
        <v>0</v>
      </c>
      <c r="U102" s="8">
        <f t="shared" si="249"/>
        <v>0</v>
      </c>
      <c r="V102" s="8">
        <f t="shared" si="249"/>
        <v>0</v>
      </c>
      <c r="W102" s="8">
        <f t="shared" si="249"/>
        <v>0</v>
      </c>
      <c r="X102" s="8">
        <f t="shared" si="249"/>
        <v>0</v>
      </c>
      <c r="Y102" s="8">
        <f t="shared" si="249"/>
        <v>0</v>
      </c>
      <c r="Z102" s="8">
        <f t="shared" si="249"/>
        <v>0</v>
      </c>
      <c r="AA102" s="8">
        <f t="shared" si="249"/>
        <v>0</v>
      </c>
      <c r="AB102" s="8">
        <f t="shared" si="249"/>
        <v>0</v>
      </c>
      <c r="AC102" s="8">
        <f t="shared" si="249"/>
        <v>0</v>
      </c>
      <c r="AD102" s="8">
        <f t="shared" si="249"/>
        <v>0</v>
      </c>
      <c r="AE102" s="8">
        <f t="shared" si="249"/>
        <v>0</v>
      </c>
      <c r="AF102" s="8">
        <f t="shared" si="249"/>
        <v>0</v>
      </c>
      <c r="AG102" s="8">
        <f t="shared" si="249"/>
        <v>0</v>
      </c>
      <c r="AH102" s="8">
        <f t="shared" si="249"/>
        <v>0</v>
      </c>
      <c r="AI102" s="8">
        <f t="shared" si="249"/>
        <v>0</v>
      </c>
      <c r="AJ102" s="8">
        <f t="shared" si="249"/>
        <v>0</v>
      </c>
      <c r="AK102" s="8">
        <f t="shared" si="249"/>
        <v>0</v>
      </c>
      <c r="AL102" s="8">
        <f t="shared" si="249"/>
        <v>0</v>
      </c>
      <c r="AM102" s="8">
        <f t="shared" si="249"/>
        <v>0</v>
      </c>
      <c r="AN102" s="8">
        <f t="shared" si="249"/>
        <v>0</v>
      </c>
      <c r="AO102" s="8">
        <f t="shared" si="249"/>
        <v>0</v>
      </c>
      <c r="AP102" s="8">
        <f t="shared" si="249"/>
        <v>0</v>
      </c>
      <c r="AQ102" s="8">
        <f t="shared" si="249"/>
        <v>0</v>
      </c>
      <c r="AR102" s="8">
        <f t="shared" si="249"/>
        <v>0</v>
      </c>
      <c r="AS102" s="8">
        <f t="shared" si="249"/>
        <v>0</v>
      </c>
      <c r="AT102" s="8">
        <f t="shared" si="249"/>
        <v>0</v>
      </c>
      <c r="AU102" s="8">
        <f t="shared" si="249"/>
        <v>0</v>
      </c>
      <c r="AV102" s="8">
        <f t="shared" si="249"/>
        <v>0</v>
      </c>
      <c r="AW102" s="8">
        <f t="shared" si="249"/>
        <v>0</v>
      </c>
    </row>
    <row r="103" spans="1:49" ht="14.25" customHeight="1">
      <c r="A103" s="414"/>
      <c r="B103" s="414"/>
      <c r="C103" s="357" t="s">
        <v>444</v>
      </c>
      <c r="D103" s="2"/>
      <c r="E103" s="31">
        <f t="shared" ref="E103:AW103" si="250">SUM(E101:E102)</f>
        <v>0</v>
      </c>
      <c r="F103" s="31">
        <f t="shared" si="250"/>
        <v>0</v>
      </c>
      <c r="G103" s="31">
        <f t="shared" si="250"/>
        <v>0</v>
      </c>
      <c r="H103" s="31">
        <f t="shared" si="250"/>
        <v>0</v>
      </c>
      <c r="I103" s="31">
        <f t="shared" si="250"/>
        <v>0</v>
      </c>
      <c r="J103" s="31">
        <f t="shared" si="250"/>
        <v>0</v>
      </c>
      <c r="K103" s="31">
        <f t="shared" si="250"/>
        <v>0</v>
      </c>
      <c r="L103" s="31">
        <f t="shared" si="250"/>
        <v>0</v>
      </c>
      <c r="M103" s="31">
        <f t="shared" si="250"/>
        <v>0</v>
      </c>
      <c r="N103" s="31">
        <f t="shared" si="250"/>
        <v>0</v>
      </c>
      <c r="O103" s="31">
        <f t="shared" si="250"/>
        <v>0</v>
      </c>
      <c r="P103" s="31">
        <f t="shared" si="250"/>
        <v>0</v>
      </c>
      <c r="Q103" s="31">
        <f t="shared" si="250"/>
        <v>0</v>
      </c>
      <c r="R103" s="31">
        <f t="shared" si="250"/>
        <v>0</v>
      </c>
      <c r="S103" s="31">
        <f t="shared" si="250"/>
        <v>0</v>
      </c>
      <c r="T103" s="31">
        <f t="shared" si="250"/>
        <v>0</v>
      </c>
      <c r="U103" s="31">
        <f t="shared" si="250"/>
        <v>0</v>
      </c>
      <c r="V103" s="31">
        <f t="shared" si="250"/>
        <v>0</v>
      </c>
      <c r="W103" s="31">
        <f t="shared" si="250"/>
        <v>0</v>
      </c>
      <c r="X103" s="31">
        <f t="shared" si="250"/>
        <v>0</v>
      </c>
      <c r="Y103" s="31">
        <f t="shared" si="250"/>
        <v>0</v>
      </c>
      <c r="Z103" s="31">
        <f t="shared" si="250"/>
        <v>0</v>
      </c>
      <c r="AA103" s="31">
        <f t="shared" si="250"/>
        <v>0</v>
      </c>
      <c r="AB103" s="31">
        <f t="shared" si="250"/>
        <v>0</v>
      </c>
      <c r="AC103" s="31">
        <f t="shared" si="250"/>
        <v>0</v>
      </c>
      <c r="AD103" s="31">
        <f t="shared" si="250"/>
        <v>0</v>
      </c>
      <c r="AE103" s="31">
        <f t="shared" si="250"/>
        <v>0</v>
      </c>
      <c r="AF103" s="31">
        <f t="shared" si="250"/>
        <v>0</v>
      </c>
      <c r="AG103" s="31">
        <f t="shared" si="250"/>
        <v>0</v>
      </c>
      <c r="AH103" s="31">
        <f t="shared" si="250"/>
        <v>0</v>
      </c>
      <c r="AI103" s="31">
        <f t="shared" si="250"/>
        <v>0</v>
      </c>
      <c r="AJ103" s="31">
        <f t="shared" si="250"/>
        <v>0</v>
      </c>
      <c r="AK103" s="31">
        <f t="shared" si="250"/>
        <v>0</v>
      </c>
      <c r="AL103" s="31">
        <f t="shared" si="250"/>
        <v>0</v>
      </c>
      <c r="AM103" s="31">
        <f t="shared" si="250"/>
        <v>0</v>
      </c>
      <c r="AN103" s="31">
        <f t="shared" si="250"/>
        <v>0</v>
      </c>
      <c r="AO103" s="31">
        <f t="shared" si="250"/>
        <v>0</v>
      </c>
      <c r="AP103" s="31">
        <f t="shared" si="250"/>
        <v>0</v>
      </c>
      <c r="AQ103" s="31">
        <f t="shared" si="250"/>
        <v>0</v>
      </c>
      <c r="AR103" s="31">
        <f t="shared" si="250"/>
        <v>0</v>
      </c>
      <c r="AS103" s="31">
        <f t="shared" si="250"/>
        <v>0</v>
      </c>
      <c r="AT103" s="31">
        <f t="shared" si="250"/>
        <v>0</v>
      </c>
      <c r="AU103" s="31">
        <f t="shared" si="250"/>
        <v>0</v>
      </c>
      <c r="AV103" s="31">
        <f t="shared" si="250"/>
        <v>0</v>
      </c>
      <c r="AW103" s="31">
        <f t="shared" si="250"/>
        <v>0</v>
      </c>
    </row>
    <row r="104" spans="1:49" ht="14.25" customHeight="1">
      <c r="A104" s="414"/>
      <c r="B104" s="414"/>
    </row>
    <row r="105" spans="1:49" ht="14.25" customHeight="1">
      <c r="A105" s="414"/>
      <c r="B105" s="414"/>
    </row>
    <row r="106" spans="1:49" ht="14.25" customHeight="1" thickBot="1">
      <c r="A106" s="414" t="s">
        <v>351</v>
      </c>
      <c r="B106" s="414"/>
      <c r="C106" s="349" t="s">
        <v>475</v>
      </c>
      <c r="D106" s="349"/>
      <c r="E106" s="350"/>
      <c r="F106" s="350"/>
      <c r="G106" s="350"/>
      <c r="H106" s="350"/>
      <c r="I106" s="350"/>
      <c r="J106" s="351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350"/>
      <c r="AA106" s="350"/>
      <c r="AB106" s="350"/>
      <c r="AC106" s="350"/>
      <c r="AD106" s="350"/>
      <c r="AE106" s="350"/>
      <c r="AF106" s="350"/>
      <c r="AG106" s="350"/>
      <c r="AH106" s="350"/>
      <c r="AI106" s="350"/>
      <c r="AJ106" s="350"/>
      <c r="AK106" s="350"/>
      <c r="AL106" s="350"/>
      <c r="AM106" s="350"/>
      <c r="AN106" s="350"/>
      <c r="AO106" s="350"/>
      <c r="AP106" s="350"/>
      <c r="AQ106" s="350"/>
      <c r="AR106" s="350"/>
      <c r="AS106" s="350"/>
      <c r="AT106" s="350"/>
      <c r="AU106" s="350"/>
      <c r="AV106" s="350"/>
      <c r="AW106" s="350"/>
    </row>
    <row r="107" spans="1:49" ht="14.25" customHeight="1">
      <c r="A107" s="414"/>
      <c r="B107" s="414"/>
      <c r="C107" s="352" t="s">
        <v>353</v>
      </c>
      <c r="D107" s="353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</row>
    <row r="108" spans="1:49" ht="14.25" customHeight="1">
      <c r="A108" s="414"/>
      <c r="B108" s="414"/>
      <c r="D108" s="355">
        <v>0</v>
      </c>
      <c r="E108" s="384">
        <f t="shared" ref="E108:X108" si="251">D108+1</f>
        <v>1</v>
      </c>
      <c r="F108" s="384">
        <f t="shared" si="251"/>
        <v>2</v>
      </c>
      <c r="G108" s="384">
        <f t="shared" si="251"/>
        <v>3</v>
      </c>
      <c r="H108" s="384">
        <f t="shared" si="251"/>
        <v>4</v>
      </c>
      <c r="I108" s="384">
        <f t="shared" si="251"/>
        <v>5</v>
      </c>
      <c r="J108" s="384">
        <f t="shared" si="251"/>
        <v>6</v>
      </c>
      <c r="K108" s="384">
        <f t="shared" si="251"/>
        <v>7</v>
      </c>
      <c r="L108" s="384">
        <f t="shared" si="251"/>
        <v>8</v>
      </c>
      <c r="M108" s="384">
        <f t="shared" si="251"/>
        <v>9</v>
      </c>
      <c r="N108" s="384">
        <f t="shared" si="251"/>
        <v>10</v>
      </c>
      <c r="O108" s="384">
        <f t="shared" si="251"/>
        <v>11</v>
      </c>
      <c r="P108" s="384">
        <f t="shared" si="251"/>
        <v>12</v>
      </c>
      <c r="Q108" s="384">
        <f t="shared" si="251"/>
        <v>13</v>
      </c>
      <c r="R108" s="384">
        <f t="shared" si="251"/>
        <v>14</v>
      </c>
      <c r="S108" s="384">
        <f t="shared" si="251"/>
        <v>15</v>
      </c>
      <c r="T108" s="384">
        <f t="shared" si="251"/>
        <v>16</v>
      </c>
      <c r="U108" s="384">
        <f t="shared" si="251"/>
        <v>17</v>
      </c>
      <c r="V108" s="384">
        <f t="shared" si="251"/>
        <v>18</v>
      </c>
      <c r="W108" s="384">
        <f t="shared" si="251"/>
        <v>19</v>
      </c>
      <c r="X108" s="384">
        <f t="shared" si="251"/>
        <v>20</v>
      </c>
      <c r="Y108" s="384">
        <f t="shared" ref="Y108" si="252">X108+1</f>
        <v>21</v>
      </c>
      <c r="Z108" s="384">
        <f t="shared" ref="Z108" si="253">Y108+1</f>
        <v>22</v>
      </c>
      <c r="AA108" s="384">
        <f t="shared" ref="AA108" si="254">Z108+1</f>
        <v>23</v>
      </c>
      <c r="AB108" s="384">
        <f t="shared" ref="AB108" si="255">AA108+1</f>
        <v>24</v>
      </c>
      <c r="AC108" s="384">
        <f t="shared" ref="AC108" si="256">AB108+1</f>
        <v>25</v>
      </c>
      <c r="AD108" s="384">
        <f t="shared" ref="AD108" si="257">AC108+1</f>
        <v>26</v>
      </c>
      <c r="AE108" s="384">
        <f t="shared" ref="AE108" si="258">AD108+1</f>
        <v>27</v>
      </c>
      <c r="AF108" s="384">
        <f t="shared" ref="AF108" si="259">AE108+1</f>
        <v>28</v>
      </c>
      <c r="AG108" s="384">
        <f t="shared" ref="AG108" si="260">AF108+1</f>
        <v>29</v>
      </c>
      <c r="AH108" s="384">
        <f t="shared" ref="AH108" si="261">AG108+1</f>
        <v>30</v>
      </c>
      <c r="AI108" s="384">
        <f t="shared" ref="AI108" si="262">AH108+1</f>
        <v>31</v>
      </c>
      <c r="AJ108" s="384">
        <f t="shared" ref="AJ108" si="263">AI108+1</f>
        <v>32</v>
      </c>
      <c r="AK108" s="384">
        <f t="shared" ref="AK108" si="264">AJ108+1</f>
        <v>33</v>
      </c>
      <c r="AL108" s="384">
        <f t="shared" ref="AL108" si="265">AK108+1</f>
        <v>34</v>
      </c>
      <c r="AM108" s="384">
        <f t="shared" ref="AM108" si="266">AL108+1</f>
        <v>35</v>
      </c>
      <c r="AN108" s="384">
        <f t="shared" ref="AN108" si="267">AM108+1</f>
        <v>36</v>
      </c>
      <c r="AO108" s="384">
        <f t="shared" ref="AO108" si="268">AN108+1</f>
        <v>37</v>
      </c>
      <c r="AP108" s="384">
        <f t="shared" ref="AP108" si="269">AO108+1</f>
        <v>38</v>
      </c>
      <c r="AQ108" s="384">
        <f t="shared" ref="AQ108" si="270">AP108+1</f>
        <v>39</v>
      </c>
      <c r="AR108" s="384">
        <f t="shared" ref="AR108" si="271">AQ108+1</f>
        <v>40</v>
      </c>
      <c r="AS108" s="384">
        <f t="shared" ref="AS108" si="272">AR108+1</f>
        <v>41</v>
      </c>
      <c r="AT108" s="384">
        <f t="shared" ref="AT108" si="273">AS108+1</f>
        <v>42</v>
      </c>
      <c r="AU108" s="384">
        <f t="shared" ref="AU108" si="274">AT108+1</f>
        <v>43</v>
      </c>
      <c r="AV108" s="384">
        <f t="shared" ref="AV108" si="275">AU108+1</f>
        <v>44</v>
      </c>
      <c r="AW108" s="384">
        <f t="shared" ref="AW108" si="276">AV108+1</f>
        <v>45</v>
      </c>
    </row>
    <row r="109" spans="1:49" ht="14.25" customHeight="1">
      <c r="A109" s="414"/>
      <c r="B109" s="414"/>
      <c r="C109" s="418"/>
      <c r="D109" s="357"/>
      <c r="E109" s="833" t="s">
        <v>354</v>
      </c>
      <c r="F109" s="834"/>
      <c r="G109" s="834"/>
      <c r="H109" s="834"/>
      <c r="I109" s="834"/>
      <c r="J109" s="834"/>
      <c r="K109" s="834"/>
      <c r="L109" s="834"/>
      <c r="M109" s="834"/>
      <c r="N109" s="834"/>
      <c r="O109" s="834"/>
      <c r="P109" s="834"/>
      <c r="Q109" s="360"/>
      <c r="R109" s="360"/>
      <c r="S109" s="360"/>
      <c r="T109" s="360"/>
      <c r="U109" s="360"/>
      <c r="V109" s="360"/>
      <c r="W109" s="360"/>
      <c r="X109" s="360"/>
      <c r="Y109" s="360"/>
      <c r="Z109" s="360"/>
      <c r="AA109" s="360"/>
      <c r="AB109" s="360"/>
      <c r="AC109" s="360"/>
      <c r="AD109" s="360"/>
      <c r="AE109" s="360"/>
      <c r="AF109" s="360"/>
      <c r="AG109" s="360"/>
      <c r="AH109" s="360"/>
      <c r="AI109" s="360"/>
      <c r="AJ109" s="360"/>
      <c r="AK109" s="360"/>
      <c r="AL109" s="360"/>
      <c r="AM109" s="360"/>
      <c r="AN109" s="360"/>
      <c r="AO109" s="360"/>
      <c r="AP109" s="360"/>
      <c r="AQ109" s="360"/>
      <c r="AR109" s="360"/>
      <c r="AS109" s="360"/>
      <c r="AT109" s="360"/>
      <c r="AU109" s="360"/>
      <c r="AV109" s="360"/>
      <c r="AW109" s="360"/>
    </row>
    <row r="110" spans="1:49" ht="14.25" customHeight="1">
      <c r="A110" s="414"/>
      <c r="B110" s="414"/>
      <c r="C110" s="419"/>
      <c r="D110" s="385">
        <f>D89</f>
        <v>2026</v>
      </c>
      <c r="E110" s="360">
        <f t="shared" ref="E110:X110" si="277">D110+1</f>
        <v>2027</v>
      </c>
      <c r="F110" s="360">
        <f t="shared" si="277"/>
        <v>2028</v>
      </c>
      <c r="G110" s="360">
        <f t="shared" si="277"/>
        <v>2029</v>
      </c>
      <c r="H110" s="360">
        <f t="shared" si="277"/>
        <v>2030</v>
      </c>
      <c r="I110" s="360">
        <f t="shared" si="277"/>
        <v>2031</v>
      </c>
      <c r="J110" s="360">
        <f t="shared" si="277"/>
        <v>2032</v>
      </c>
      <c r="K110" s="360">
        <f t="shared" si="277"/>
        <v>2033</v>
      </c>
      <c r="L110" s="360">
        <f t="shared" si="277"/>
        <v>2034</v>
      </c>
      <c r="M110" s="360">
        <f t="shared" si="277"/>
        <v>2035</v>
      </c>
      <c r="N110" s="360">
        <f t="shared" si="277"/>
        <v>2036</v>
      </c>
      <c r="O110" s="360">
        <f t="shared" si="277"/>
        <v>2037</v>
      </c>
      <c r="P110" s="360">
        <f t="shared" si="277"/>
        <v>2038</v>
      </c>
      <c r="Q110" s="360">
        <f t="shared" si="277"/>
        <v>2039</v>
      </c>
      <c r="R110" s="360">
        <f t="shared" si="277"/>
        <v>2040</v>
      </c>
      <c r="S110" s="360">
        <f t="shared" si="277"/>
        <v>2041</v>
      </c>
      <c r="T110" s="360">
        <f t="shared" si="277"/>
        <v>2042</v>
      </c>
      <c r="U110" s="360">
        <f t="shared" si="277"/>
        <v>2043</v>
      </c>
      <c r="V110" s="360">
        <f t="shared" si="277"/>
        <v>2044</v>
      </c>
      <c r="W110" s="360">
        <f t="shared" si="277"/>
        <v>2045</v>
      </c>
      <c r="X110" s="360">
        <f t="shared" si="277"/>
        <v>2046</v>
      </c>
      <c r="Y110" s="360">
        <f t="shared" ref="Y110" si="278">X110+1</f>
        <v>2047</v>
      </c>
      <c r="Z110" s="360">
        <f t="shared" ref="Z110" si="279">Y110+1</f>
        <v>2048</v>
      </c>
      <c r="AA110" s="360">
        <f t="shared" ref="AA110" si="280">Z110+1</f>
        <v>2049</v>
      </c>
      <c r="AB110" s="360">
        <f t="shared" ref="AB110" si="281">AA110+1</f>
        <v>2050</v>
      </c>
      <c r="AC110" s="360">
        <f t="shared" ref="AC110" si="282">AB110+1</f>
        <v>2051</v>
      </c>
      <c r="AD110" s="360">
        <f t="shared" ref="AD110" si="283">AC110+1</f>
        <v>2052</v>
      </c>
      <c r="AE110" s="360">
        <f t="shared" ref="AE110" si="284">AD110+1</f>
        <v>2053</v>
      </c>
      <c r="AF110" s="360">
        <f t="shared" ref="AF110" si="285">AE110+1</f>
        <v>2054</v>
      </c>
      <c r="AG110" s="360">
        <f t="shared" ref="AG110" si="286">AF110+1</f>
        <v>2055</v>
      </c>
      <c r="AH110" s="360">
        <f t="shared" ref="AH110" si="287">AG110+1</f>
        <v>2056</v>
      </c>
      <c r="AI110" s="360">
        <f t="shared" ref="AI110" si="288">AH110+1</f>
        <v>2057</v>
      </c>
      <c r="AJ110" s="360">
        <f t="shared" ref="AJ110" si="289">AI110+1</f>
        <v>2058</v>
      </c>
      <c r="AK110" s="360">
        <f t="shared" ref="AK110" si="290">AJ110+1</f>
        <v>2059</v>
      </c>
      <c r="AL110" s="360">
        <f t="shared" ref="AL110" si="291">AK110+1</f>
        <v>2060</v>
      </c>
      <c r="AM110" s="360">
        <f t="shared" ref="AM110" si="292">AL110+1</f>
        <v>2061</v>
      </c>
      <c r="AN110" s="360">
        <f t="shared" ref="AN110" si="293">AM110+1</f>
        <v>2062</v>
      </c>
      <c r="AO110" s="360">
        <f t="shared" ref="AO110" si="294">AN110+1</f>
        <v>2063</v>
      </c>
      <c r="AP110" s="360">
        <f t="shared" ref="AP110" si="295">AO110+1</f>
        <v>2064</v>
      </c>
      <c r="AQ110" s="360">
        <f t="shared" ref="AQ110" si="296">AP110+1</f>
        <v>2065</v>
      </c>
      <c r="AR110" s="360">
        <f t="shared" ref="AR110" si="297">AQ110+1</f>
        <v>2066</v>
      </c>
      <c r="AS110" s="360">
        <f t="shared" ref="AS110" si="298">AR110+1</f>
        <v>2067</v>
      </c>
      <c r="AT110" s="360">
        <f t="shared" ref="AT110" si="299">AS110+1</f>
        <v>2068</v>
      </c>
      <c r="AU110" s="360">
        <f t="shared" ref="AU110" si="300">AT110+1</f>
        <v>2069</v>
      </c>
      <c r="AV110" s="360">
        <f t="shared" ref="AV110" si="301">AU110+1</f>
        <v>2070</v>
      </c>
      <c r="AW110" s="360">
        <f t="shared" ref="AW110" si="302">AV110+1</f>
        <v>2071</v>
      </c>
    </row>
    <row r="111" spans="1:49" ht="14.25" customHeight="1">
      <c r="A111" s="414"/>
      <c r="B111" s="414"/>
      <c r="C111" s="414"/>
      <c r="D111" s="420">
        <f>D90</f>
        <v>46023</v>
      </c>
      <c r="E111" s="420">
        <f t="shared" ref="E111:X111" si="303">E90</f>
        <v>46752</v>
      </c>
      <c r="F111" s="420">
        <f t="shared" si="303"/>
        <v>47118</v>
      </c>
      <c r="G111" s="420">
        <f t="shared" si="303"/>
        <v>47483</v>
      </c>
      <c r="H111" s="420">
        <f t="shared" si="303"/>
        <v>47848</v>
      </c>
      <c r="I111" s="420">
        <f t="shared" si="303"/>
        <v>48213</v>
      </c>
      <c r="J111" s="420">
        <f t="shared" si="303"/>
        <v>48579</v>
      </c>
      <c r="K111" s="420">
        <f t="shared" si="303"/>
        <v>48944</v>
      </c>
      <c r="L111" s="420">
        <f t="shared" si="303"/>
        <v>49309</v>
      </c>
      <c r="M111" s="420">
        <f t="shared" si="303"/>
        <v>49674</v>
      </c>
      <c r="N111" s="420">
        <f t="shared" si="303"/>
        <v>50040</v>
      </c>
      <c r="O111" s="420">
        <f t="shared" si="303"/>
        <v>50405</v>
      </c>
      <c r="P111" s="420">
        <f t="shared" si="303"/>
        <v>50770</v>
      </c>
      <c r="Q111" s="420">
        <f t="shared" si="303"/>
        <v>51135</v>
      </c>
      <c r="R111" s="420">
        <f t="shared" si="303"/>
        <v>51501</v>
      </c>
      <c r="S111" s="420">
        <f t="shared" si="303"/>
        <v>51866</v>
      </c>
      <c r="T111" s="420">
        <f t="shared" si="303"/>
        <v>52231</v>
      </c>
      <c r="U111" s="420">
        <f t="shared" si="303"/>
        <v>52596</v>
      </c>
      <c r="V111" s="420">
        <f t="shared" si="303"/>
        <v>52962</v>
      </c>
      <c r="W111" s="420">
        <f t="shared" si="303"/>
        <v>53327</v>
      </c>
      <c r="X111" s="420">
        <f t="shared" si="303"/>
        <v>53692</v>
      </c>
      <c r="Y111" s="420">
        <f t="shared" ref="Y111:AW111" si="304">Y90</f>
        <v>54057</v>
      </c>
      <c r="Z111" s="420">
        <f t="shared" si="304"/>
        <v>54423</v>
      </c>
      <c r="AA111" s="420">
        <f t="shared" si="304"/>
        <v>54788</v>
      </c>
      <c r="AB111" s="420">
        <f t="shared" si="304"/>
        <v>55153</v>
      </c>
      <c r="AC111" s="420">
        <f t="shared" si="304"/>
        <v>55518</v>
      </c>
      <c r="AD111" s="420">
        <f t="shared" si="304"/>
        <v>55884</v>
      </c>
      <c r="AE111" s="420">
        <f t="shared" si="304"/>
        <v>56249</v>
      </c>
      <c r="AF111" s="420">
        <f t="shared" si="304"/>
        <v>56614</v>
      </c>
      <c r="AG111" s="420">
        <f t="shared" si="304"/>
        <v>56979</v>
      </c>
      <c r="AH111" s="420">
        <f t="shared" si="304"/>
        <v>57345</v>
      </c>
      <c r="AI111" s="420">
        <f t="shared" si="304"/>
        <v>57710</v>
      </c>
      <c r="AJ111" s="420">
        <f t="shared" si="304"/>
        <v>58075</v>
      </c>
      <c r="AK111" s="420">
        <f t="shared" si="304"/>
        <v>58440</v>
      </c>
      <c r="AL111" s="420">
        <f t="shared" si="304"/>
        <v>58806</v>
      </c>
      <c r="AM111" s="420">
        <f t="shared" si="304"/>
        <v>59171</v>
      </c>
      <c r="AN111" s="420">
        <f t="shared" si="304"/>
        <v>59536</v>
      </c>
      <c r="AO111" s="420">
        <f t="shared" si="304"/>
        <v>59901</v>
      </c>
      <c r="AP111" s="420">
        <f t="shared" si="304"/>
        <v>60267</v>
      </c>
      <c r="AQ111" s="420">
        <f t="shared" si="304"/>
        <v>60632</v>
      </c>
      <c r="AR111" s="420">
        <f t="shared" si="304"/>
        <v>60997</v>
      </c>
      <c r="AS111" s="420">
        <f t="shared" si="304"/>
        <v>61362</v>
      </c>
      <c r="AT111" s="420">
        <f t="shared" si="304"/>
        <v>61728</v>
      </c>
      <c r="AU111" s="420">
        <f t="shared" si="304"/>
        <v>62093</v>
      </c>
      <c r="AV111" s="420">
        <f t="shared" si="304"/>
        <v>62458</v>
      </c>
      <c r="AW111" s="420">
        <f t="shared" si="304"/>
        <v>62823</v>
      </c>
    </row>
    <row r="112" spans="1:49" ht="14.25" customHeight="1">
      <c r="A112" s="414"/>
      <c r="B112" s="414"/>
      <c r="C112" s="414" t="s">
        <v>467</v>
      </c>
      <c r="D112" s="421">
        <f>_xlfn.XLOOKUP(D$110, 'Power Summary'!$C$46:$AV$46, 'Power Summary'!$C47:$AV47)</f>
        <v>60</v>
      </c>
      <c r="E112" s="421">
        <f>_xlfn.XLOOKUP(E$110, 'Power Summary'!$C$46:$AV$46, 'Power Summary'!$C47:$AV47)</f>
        <v>61.2</v>
      </c>
      <c r="F112" s="421">
        <f>_xlfn.XLOOKUP(F$110, 'Power Summary'!$C$46:$AV$46, 'Power Summary'!$C47:$AV47)</f>
        <v>62.423999999999999</v>
      </c>
      <c r="G112" s="421">
        <f>_xlfn.XLOOKUP(G$110, 'Power Summary'!$C$46:$AV$46, 'Power Summary'!$C47:$AV47)</f>
        <v>63.672479999999993</v>
      </c>
      <c r="H112" s="421">
        <f>_xlfn.XLOOKUP(H$110, 'Power Summary'!$C$46:$AV$46, 'Power Summary'!$C47:$AV47)</f>
        <v>64.945929599999999</v>
      </c>
      <c r="I112" s="421">
        <f>_xlfn.XLOOKUP(I$110, 'Power Summary'!$C$46:$AV$46, 'Power Summary'!$C47:$AV47)</f>
        <v>66.244848192000006</v>
      </c>
      <c r="J112" s="421">
        <f>_xlfn.XLOOKUP(J$110, 'Power Summary'!$C$46:$AV$46, 'Power Summary'!$C47:$AV47)</f>
        <v>67.56974515584001</v>
      </c>
      <c r="K112" s="421">
        <f>_xlfn.XLOOKUP(K$110, 'Power Summary'!$C$46:$AV$46, 'Power Summary'!$C47:$AV47)</f>
        <v>68.921140058956794</v>
      </c>
      <c r="L112" s="421">
        <f>_xlfn.XLOOKUP(L$110, 'Power Summary'!$C$46:$AV$46, 'Power Summary'!$C47:$AV47)</f>
        <v>70.299562860135936</v>
      </c>
      <c r="M112" s="421">
        <f>_xlfn.XLOOKUP(M$110, 'Power Summary'!$C$46:$AV$46, 'Power Summary'!$C47:$AV47)</f>
        <v>71.70555411733865</v>
      </c>
      <c r="N112" s="421">
        <f>_xlfn.XLOOKUP(N$110, 'Power Summary'!$C$46:$AV$46, 'Power Summary'!$C47:$AV47)</f>
        <v>73.139665199685425</v>
      </c>
      <c r="O112" s="421">
        <f>_xlfn.XLOOKUP(O$110, 'Power Summary'!$C$46:$AV$46, 'Power Summary'!$C47:$AV47)</f>
        <v>74.602458503679117</v>
      </c>
      <c r="P112" s="421">
        <f>_xlfn.XLOOKUP(P$110, 'Power Summary'!$C$46:$AV$46, 'Power Summary'!$C47:$AV47)</f>
        <v>76.094507673752716</v>
      </c>
      <c r="Q112" s="421">
        <f>_xlfn.XLOOKUP(Q$110, 'Power Summary'!$C$46:$AV$46, 'Power Summary'!$C47:$AV47)</f>
        <v>77.616397827227772</v>
      </c>
      <c r="R112" s="421">
        <f>_xlfn.XLOOKUP(R$110, 'Power Summary'!$C$46:$AV$46, 'Power Summary'!$C47:$AV47)</f>
        <v>79.168725783772331</v>
      </c>
      <c r="S112" s="421">
        <f>_xlfn.XLOOKUP(S$110, 'Power Summary'!$C$46:$AV$46, 'Power Summary'!$C47:$AV47)</f>
        <v>80.752100299447747</v>
      </c>
      <c r="T112" s="421">
        <f>_xlfn.XLOOKUP(T$110, 'Power Summary'!$C$46:$AV$46, 'Power Summary'!$C47:$AV47)</f>
        <v>82.367142305436715</v>
      </c>
      <c r="U112" s="421">
        <f>_xlfn.XLOOKUP(U$110, 'Power Summary'!$C$46:$AV$46, 'Power Summary'!$C47:$AV47)</f>
        <v>84.014485151545458</v>
      </c>
      <c r="V112" s="421">
        <f>_xlfn.XLOOKUP(V$110, 'Power Summary'!$C$46:$AV$46, 'Power Summary'!$C47:$AV47)</f>
        <v>85.694774854576366</v>
      </c>
      <c r="W112" s="421">
        <f>_xlfn.XLOOKUP(W$110, 'Power Summary'!$C$46:$AV$46, 'Power Summary'!$C47:$AV47)</f>
        <v>87.408670351667894</v>
      </c>
      <c r="X112" s="421">
        <f>_xlfn.XLOOKUP(X$110, 'Power Summary'!$C$46:$AV$46, 'Power Summary'!$C47:$AV47)</f>
        <v>89.156843758701257</v>
      </c>
      <c r="Y112" s="421">
        <f>_xlfn.XLOOKUP(Y$110, 'Power Summary'!$C$46:$AV$46, 'Power Summary'!$C47:$AV47)</f>
        <v>90.93998063387528</v>
      </c>
      <c r="Z112" s="421">
        <f>_xlfn.XLOOKUP(Z$110, 'Power Summary'!$C$46:$AV$46, 'Power Summary'!$C47:$AV47)</f>
        <v>92.758780246552789</v>
      </c>
      <c r="AA112" s="421">
        <f>_xlfn.XLOOKUP(AA$110, 'Power Summary'!$C$46:$AV$46, 'Power Summary'!$C47:$AV47)</f>
        <v>94.613955851483823</v>
      </c>
      <c r="AB112" s="421">
        <f>_xlfn.XLOOKUP(AB$110, 'Power Summary'!$C$46:$AV$46, 'Power Summary'!$C47:$AV47)</f>
        <v>96.506234968513496</v>
      </c>
      <c r="AC112" s="421">
        <f>_xlfn.XLOOKUP(AC$110, 'Power Summary'!$C$46:$AV$46, 'Power Summary'!$C47:$AV47)</f>
        <v>98.436359667883778</v>
      </c>
      <c r="AD112" s="421">
        <f>_xlfn.XLOOKUP(AD$110, 'Power Summary'!$C$46:$AV$46, 'Power Summary'!$C47:$AV47)</f>
        <v>100.40508686124146</v>
      </c>
      <c r="AE112" s="421">
        <f>_xlfn.XLOOKUP(AE$110, 'Power Summary'!$C$46:$AV$46, 'Power Summary'!$C47:$AV47)</f>
        <v>102.41318859846626</v>
      </c>
      <c r="AF112" s="421">
        <f>_xlfn.XLOOKUP(AF$110, 'Power Summary'!$C$46:$AV$46, 'Power Summary'!$C47:$AV47)</f>
        <v>104.46145237043562</v>
      </c>
      <c r="AG112" s="421">
        <f>_xlfn.XLOOKUP(AG$110, 'Power Summary'!$C$46:$AV$46, 'Power Summary'!$C47:$AV47)</f>
        <v>106.55068141784432</v>
      </c>
      <c r="AH112" s="421">
        <f>_xlfn.XLOOKUP(AH$110, 'Power Summary'!$C$46:$AV$46, 'Power Summary'!$C47:$AV47)</f>
        <v>108.68169504620121</v>
      </c>
      <c r="AI112" s="421">
        <f>_xlfn.XLOOKUP(AI$110, 'Power Summary'!$C$46:$AV$46, 'Power Summary'!$C47:$AV47)</f>
        <v>110.8553289471252</v>
      </c>
      <c r="AJ112" s="421">
        <f>_xlfn.XLOOKUP(AJ$110, 'Power Summary'!$C$46:$AV$46, 'Power Summary'!$C47:$AV47)</f>
        <v>113.07243552606774</v>
      </c>
      <c r="AK112" s="421">
        <f>_xlfn.XLOOKUP(AK$110, 'Power Summary'!$C$46:$AV$46, 'Power Summary'!$C47:$AV47)</f>
        <v>115.3338842365891</v>
      </c>
      <c r="AL112" s="421">
        <f>_xlfn.XLOOKUP(AL$110, 'Power Summary'!$C$46:$AV$46, 'Power Summary'!$C47:$AV47)</f>
        <v>117.64056192132087</v>
      </c>
      <c r="AM112" s="421">
        <f>_xlfn.XLOOKUP(AM$110, 'Power Summary'!$C$46:$AV$46, 'Power Summary'!$C47:$AV47)</f>
        <v>119.99337315974728</v>
      </c>
      <c r="AN112" s="421">
        <f>_xlfn.XLOOKUP(AN$110, 'Power Summary'!$C$46:$AV$46, 'Power Summary'!$C47:$AV47)</f>
        <v>122.39324062294222</v>
      </c>
      <c r="AO112" s="421">
        <f>_xlfn.XLOOKUP(AO$110, 'Power Summary'!$C$46:$AV$46, 'Power Summary'!$C47:$AV47)</f>
        <v>124.84110543540109</v>
      </c>
      <c r="AP112" s="421">
        <f>_xlfn.XLOOKUP(AP$110, 'Power Summary'!$C$46:$AV$46, 'Power Summary'!$C47:$AV47)</f>
        <v>127.33792754410912</v>
      </c>
      <c r="AQ112" s="421">
        <f>_xlfn.XLOOKUP(AQ$110, 'Power Summary'!$C$46:$AV$46, 'Power Summary'!$C47:$AV47)</f>
        <v>129.88468609499125</v>
      </c>
      <c r="AR112" s="421">
        <f>_xlfn.XLOOKUP(AR$110, 'Power Summary'!$C$46:$AV$46, 'Power Summary'!$C47:$AV47)</f>
        <v>132.4823798168911</v>
      </c>
      <c r="AS112" s="421">
        <f>_xlfn.XLOOKUP(AS$110, 'Power Summary'!$C$46:$AV$46, 'Power Summary'!$C47:$AV47)</f>
        <v>135.13202741322891</v>
      </c>
      <c r="AT112" s="421">
        <f>_xlfn.XLOOKUP(AT$110, 'Power Summary'!$C$46:$AV$46, 'Power Summary'!$C47:$AV47)</f>
        <v>137.83466796149349</v>
      </c>
      <c r="AU112" s="421">
        <f>_xlfn.XLOOKUP(AU$110, 'Power Summary'!$C$46:$AV$46, 'Power Summary'!$C47:$AV47)</f>
        <v>140.59136132072337</v>
      </c>
      <c r="AV112" s="421">
        <f>_xlfn.XLOOKUP(AV$110, 'Power Summary'!$C$46:$AV$46, 'Power Summary'!$C47:$AV47)</f>
        <v>143.40318854713786</v>
      </c>
      <c r="AW112" s="421">
        <f>_xlfn.XLOOKUP(AW$110, 'Power Summary'!$C$46:$AV$46, 'Power Summary'!$C47:$AV47)</f>
        <v>146.2712523180806</v>
      </c>
    </row>
    <row r="113" spans="3:49" ht="14.25" customHeight="1">
      <c r="C113" s="414" t="s">
        <v>468</v>
      </c>
      <c r="D113" s="421">
        <f>_xlfn.XLOOKUP(D$110, 'Power Summary'!$C$46:$AV$46, 'Power Summary'!$C48:$AV48)</f>
        <v>75</v>
      </c>
      <c r="E113" s="421">
        <f>_xlfn.XLOOKUP(E$110, 'Power Summary'!$C$46:$AV$46, 'Power Summary'!$C48:$AV48)</f>
        <v>76.5</v>
      </c>
      <c r="F113" s="421">
        <f>_xlfn.XLOOKUP(F$110, 'Power Summary'!$C$46:$AV$46, 'Power Summary'!$C48:$AV48)</f>
        <v>78.03</v>
      </c>
      <c r="G113" s="421">
        <f>_xlfn.XLOOKUP(G$110, 'Power Summary'!$C$46:$AV$46, 'Power Summary'!$C48:$AV48)</f>
        <v>79.590599999999995</v>
      </c>
      <c r="H113" s="421">
        <f>_xlfn.XLOOKUP(H$110, 'Power Summary'!$C$46:$AV$46, 'Power Summary'!$C48:$AV48)</f>
        <v>81.182411999999999</v>
      </c>
      <c r="I113" s="421">
        <f>_xlfn.XLOOKUP(I$110, 'Power Summary'!$C$46:$AV$46, 'Power Summary'!$C48:$AV48)</f>
        <v>82.806060240000008</v>
      </c>
      <c r="J113" s="421">
        <f>_xlfn.XLOOKUP(J$110, 'Power Summary'!$C$46:$AV$46, 'Power Summary'!$C48:$AV48)</f>
        <v>84.462181444800009</v>
      </c>
      <c r="K113" s="421">
        <f>_xlfn.XLOOKUP(K$110, 'Power Summary'!$C$46:$AV$46, 'Power Summary'!$C48:$AV48)</f>
        <v>86.151425073695989</v>
      </c>
      <c r="L113" s="421">
        <f>_xlfn.XLOOKUP(L$110, 'Power Summary'!$C$46:$AV$46, 'Power Summary'!$C48:$AV48)</f>
        <v>87.874453575169909</v>
      </c>
      <c r="M113" s="421">
        <f>_xlfn.XLOOKUP(M$110, 'Power Summary'!$C$46:$AV$46, 'Power Summary'!$C48:$AV48)</f>
        <v>89.631942646673309</v>
      </c>
      <c r="N113" s="421">
        <f>_xlfn.XLOOKUP(N$110, 'Power Summary'!$C$46:$AV$46, 'Power Summary'!$C48:$AV48)</f>
        <v>91.424581499606788</v>
      </c>
      <c r="O113" s="421">
        <f>_xlfn.XLOOKUP(O$110, 'Power Summary'!$C$46:$AV$46, 'Power Summary'!$C48:$AV48)</f>
        <v>93.253073129598903</v>
      </c>
      <c r="P113" s="421">
        <f>_xlfn.XLOOKUP(P$110, 'Power Summary'!$C$46:$AV$46, 'Power Summary'!$C48:$AV48)</f>
        <v>95.118134592190899</v>
      </c>
      <c r="Q113" s="421">
        <f>_xlfn.XLOOKUP(Q$110, 'Power Summary'!$C$46:$AV$46, 'Power Summary'!$C48:$AV48)</f>
        <v>97.020497284034704</v>
      </c>
      <c r="R113" s="421">
        <f>_xlfn.XLOOKUP(R$110, 'Power Summary'!$C$46:$AV$46, 'Power Summary'!$C48:$AV48)</f>
        <v>98.960907229715417</v>
      </c>
      <c r="S113" s="421">
        <f>_xlfn.XLOOKUP(S$110, 'Power Summary'!$C$46:$AV$46, 'Power Summary'!$C48:$AV48)</f>
        <v>100.94012537430969</v>
      </c>
      <c r="T113" s="421">
        <f>_xlfn.XLOOKUP(T$110, 'Power Summary'!$C$46:$AV$46, 'Power Summary'!$C48:$AV48)</f>
        <v>102.9589278817959</v>
      </c>
      <c r="U113" s="421">
        <f>_xlfn.XLOOKUP(U$110, 'Power Summary'!$C$46:$AV$46, 'Power Summary'!$C48:$AV48)</f>
        <v>105.01810643943183</v>
      </c>
      <c r="V113" s="421">
        <f>_xlfn.XLOOKUP(V$110, 'Power Summary'!$C$46:$AV$46, 'Power Summary'!$C48:$AV48)</f>
        <v>107.11846856822045</v>
      </c>
      <c r="W113" s="421">
        <f>_xlfn.XLOOKUP(W$110, 'Power Summary'!$C$46:$AV$46, 'Power Summary'!$C48:$AV48)</f>
        <v>109.26083793958486</v>
      </c>
      <c r="X113" s="421">
        <f>_xlfn.XLOOKUP(X$110, 'Power Summary'!$C$46:$AV$46, 'Power Summary'!$C48:$AV48)</f>
        <v>111.44605469837657</v>
      </c>
      <c r="Y113" s="421">
        <f>_xlfn.XLOOKUP(Y$110, 'Power Summary'!$C$46:$AV$46, 'Power Summary'!$C48:$AV48)</f>
        <v>113.67497579234409</v>
      </c>
      <c r="Z113" s="421">
        <f>_xlfn.XLOOKUP(Z$110, 'Power Summary'!$C$46:$AV$46, 'Power Summary'!$C48:$AV48)</f>
        <v>115.94847530819098</v>
      </c>
      <c r="AA113" s="421">
        <f>_xlfn.XLOOKUP(AA$110, 'Power Summary'!$C$46:$AV$46, 'Power Summary'!$C48:$AV48)</f>
        <v>118.26744481435477</v>
      </c>
      <c r="AB113" s="421">
        <f>_xlfn.XLOOKUP(AB$110, 'Power Summary'!$C$46:$AV$46, 'Power Summary'!$C48:$AV48)</f>
        <v>120.63279371064188</v>
      </c>
      <c r="AC113" s="421">
        <f>_xlfn.XLOOKUP(AC$110, 'Power Summary'!$C$46:$AV$46, 'Power Summary'!$C48:$AV48)</f>
        <v>123.04544958485472</v>
      </c>
      <c r="AD113" s="421">
        <f>_xlfn.XLOOKUP(AD$110, 'Power Summary'!$C$46:$AV$46, 'Power Summary'!$C48:$AV48)</f>
        <v>125.50635857655182</v>
      </c>
      <c r="AE113" s="421">
        <f>_xlfn.XLOOKUP(AE$110, 'Power Summary'!$C$46:$AV$46, 'Power Summary'!$C48:$AV48)</f>
        <v>128.01648574808283</v>
      </c>
      <c r="AF113" s="421">
        <f>_xlfn.XLOOKUP(AF$110, 'Power Summary'!$C$46:$AV$46, 'Power Summary'!$C48:$AV48)</f>
        <v>130.57681546304451</v>
      </c>
      <c r="AG113" s="421">
        <f>_xlfn.XLOOKUP(AG$110, 'Power Summary'!$C$46:$AV$46, 'Power Summary'!$C48:$AV48)</f>
        <v>133.1883517723054</v>
      </c>
      <c r="AH113" s="421">
        <f>_xlfn.XLOOKUP(AH$110, 'Power Summary'!$C$46:$AV$46, 'Power Summary'!$C48:$AV48)</f>
        <v>135.85211880775151</v>
      </c>
      <c r="AI113" s="421">
        <f>_xlfn.XLOOKUP(AI$110, 'Power Summary'!$C$46:$AV$46, 'Power Summary'!$C48:$AV48)</f>
        <v>138.56916118390652</v>
      </c>
      <c r="AJ113" s="421">
        <f>_xlfn.XLOOKUP(AJ$110, 'Power Summary'!$C$46:$AV$46, 'Power Summary'!$C48:$AV48)</f>
        <v>141.34054440758467</v>
      </c>
      <c r="AK113" s="421">
        <f>_xlfn.XLOOKUP(AK$110, 'Power Summary'!$C$46:$AV$46, 'Power Summary'!$C48:$AV48)</f>
        <v>144.16735529573637</v>
      </c>
      <c r="AL113" s="421">
        <f>_xlfn.XLOOKUP(AL$110, 'Power Summary'!$C$46:$AV$46, 'Power Summary'!$C48:$AV48)</f>
        <v>147.05070240165108</v>
      </c>
      <c r="AM113" s="421">
        <f>_xlfn.XLOOKUP(AM$110, 'Power Summary'!$C$46:$AV$46, 'Power Summary'!$C48:$AV48)</f>
        <v>149.99171644968411</v>
      </c>
      <c r="AN113" s="421">
        <f>_xlfn.XLOOKUP(AN$110, 'Power Summary'!$C$46:$AV$46, 'Power Summary'!$C48:$AV48)</f>
        <v>152.99155077867778</v>
      </c>
      <c r="AO113" s="421">
        <f>_xlfn.XLOOKUP(AO$110, 'Power Summary'!$C$46:$AV$46, 'Power Summary'!$C48:$AV48)</f>
        <v>156.05138179425134</v>
      </c>
      <c r="AP113" s="421">
        <f>_xlfn.XLOOKUP(AP$110, 'Power Summary'!$C$46:$AV$46, 'Power Summary'!$C48:$AV48)</f>
        <v>159.17240943013638</v>
      </c>
      <c r="AQ113" s="421">
        <f>_xlfn.XLOOKUP(AQ$110, 'Power Summary'!$C$46:$AV$46, 'Power Summary'!$C48:$AV48)</f>
        <v>162.35585761873907</v>
      </c>
      <c r="AR113" s="421">
        <f>_xlfn.XLOOKUP(AR$110, 'Power Summary'!$C$46:$AV$46, 'Power Summary'!$C48:$AV48)</f>
        <v>165.60297477111388</v>
      </c>
      <c r="AS113" s="421">
        <f>_xlfn.XLOOKUP(AS$110, 'Power Summary'!$C$46:$AV$46, 'Power Summary'!$C48:$AV48)</f>
        <v>168.91503426653617</v>
      </c>
      <c r="AT113" s="421">
        <f>_xlfn.XLOOKUP(AT$110, 'Power Summary'!$C$46:$AV$46, 'Power Summary'!$C48:$AV48)</f>
        <v>172.29333495186688</v>
      </c>
      <c r="AU113" s="421">
        <f>_xlfn.XLOOKUP(AU$110, 'Power Summary'!$C$46:$AV$46, 'Power Summary'!$C48:$AV48)</f>
        <v>175.73920165090419</v>
      </c>
      <c r="AV113" s="421">
        <f>_xlfn.XLOOKUP(AV$110, 'Power Summary'!$C$46:$AV$46, 'Power Summary'!$C48:$AV48)</f>
        <v>179.25398568392231</v>
      </c>
      <c r="AW113" s="421">
        <f>_xlfn.XLOOKUP(AW$110, 'Power Summary'!$C$46:$AV$46, 'Power Summary'!$C48:$AV48)</f>
        <v>182.83906539760073</v>
      </c>
    </row>
    <row r="114" spans="3:49" ht="14.25" customHeight="1">
      <c r="C114" s="414" t="s">
        <v>529</v>
      </c>
      <c r="D114" s="421">
        <f>'Assumptions &amp; Inputs'!$J$65*(1+'Assumptions &amp; Inputs'!$J$20)^D108</f>
        <v>7.5</v>
      </c>
      <c r="E114" s="421">
        <f>'Assumptions &amp; Inputs'!$J$65*(1+'Assumptions &amp; Inputs'!$J$20)^E108</f>
        <v>7.7250000000000005</v>
      </c>
      <c r="F114" s="421">
        <f>'Assumptions &amp; Inputs'!$J$65*(1+'Assumptions &amp; Inputs'!$J$20)^F108</f>
        <v>7.9567499999999995</v>
      </c>
      <c r="G114" s="421">
        <f>'Assumptions &amp; Inputs'!$J$65*(1+'Assumptions &amp; Inputs'!$J$20)^G108</f>
        <v>8.1954525</v>
      </c>
      <c r="H114" s="421">
        <f>'Assumptions &amp; Inputs'!$J$65*(1+'Assumptions &amp; Inputs'!$J$20)^H108</f>
        <v>8.4413160749999996</v>
      </c>
      <c r="I114" s="421">
        <f>'Assumptions &amp; Inputs'!$J$65*(1+'Assumptions &amp; Inputs'!$J$20)^I108</f>
        <v>8.6945555572499984</v>
      </c>
      <c r="J114" s="421">
        <f>'Assumptions &amp; Inputs'!$J$65*(1+'Assumptions &amp; Inputs'!$J$20)^J108</f>
        <v>8.9553922239674986</v>
      </c>
      <c r="K114" s="421">
        <f>'Assumptions &amp; Inputs'!$J$65*(1+'Assumptions &amp; Inputs'!$J$20)^K108</f>
        <v>9.2240539906865244</v>
      </c>
      <c r="L114" s="421">
        <f>'Assumptions &amp; Inputs'!$J$65*(1+'Assumptions &amp; Inputs'!$J$20)^L108</f>
        <v>9.5007756104071195</v>
      </c>
      <c r="M114" s="421">
        <f>'Assumptions &amp; Inputs'!$J$65*(1+'Assumptions &amp; Inputs'!$J$20)^M108</f>
        <v>9.7857988787193335</v>
      </c>
      <c r="N114" s="421">
        <f>'Assumptions &amp; Inputs'!$J$65*(1+'Assumptions &amp; Inputs'!$J$20)^N108</f>
        <v>10.079372845080913</v>
      </c>
      <c r="O114" s="421">
        <f>'Assumptions &amp; Inputs'!$J$65*(1+'Assumptions &amp; Inputs'!$J$20)^O108</f>
        <v>10.381754030433342</v>
      </c>
      <c r="P114" s="421">
        <f>'Assumptions &amp; Inputs'!$J$65*(1+'Assumptions &amp; Inputs'!$J$20)^P108</f>
        <v>10.69320665134634</v>
      </c>
      <c r="Q114" s="421">
        <f>'Assumptions &amp; Inputs'!$J$65*(1+'Assumptions &amp; Inputs'!$J$20)^Q108</f>
        <v>11.01400285088673</v>
      </c>
      <c r="R114" s="421">
        <f>'Assumptions &amp; Inputs'!$J$65*(1+'Assumptions &amp; Inputs'!$J$20)^R108</f>
        <v>11.344422936413332</v>
      </c>
      <c r="S114" s="421">
        <f>'Assumptions &amp; Inputs'!$J$65*(1+'Assumptions &amp; Inputs'!$J$20)^S108</f>
        <v>11.684755624505733</v>
      </c>
      <c r="T114" s="421">
        <f>'Assumptions &amp; Inputs'!$J$65*(1+'Assumptions &amp; Inputs'!$J$20)^T108</f>
        <v>12.035298293240903</v>
      </c>
      <c r="U114" s="421">
        <f>'Assumptions &amp; Inputs'!$J$65*(1+'Assumptions &amp; Inputs'!$J$20)^U108</f>
        <v>12.39635724203813</v>
      </c>
      <c r="V114" s="421">
        <f>'Assumptions &amp; Inputs'!$J$65*(1+'Assumptions &amp; Inputs'!$J$20)^V108</f>
        <v>12.768247959299273</v>
      </c>
      <c r="W114" s="421">
        <f>'Assumptions &amp; Inputs'!$J$65*(1+'Assumptions &amp; Inputs'!$J$20)^W108</f>
        <v>13.151295398078252</v>
      </c>
      <c r="X114" s="421">
        <f>'Assumptions &amp; Inputs'!$J$65*(1+'Assumptions &amp; Inputs'!$J$20)^X108</f>
        <v>13.5458342600206</v>
      </c>
      <c r="Y114" s="421">
        <f>'Assumptions &amp; Inputs'!$J$65*(1+'Assumptions &amp; Inputs'!$J$20)^Y108</f>
        <v>13.952209287821216</v>
      </c>
      <c r="Z114" s="421">
        <f>'Assumptions &amp; Inputs'!$J$65*(1+'Assumptions &amp; Inputs'!$J$20)^Z108</f>
        <v>14.370775566455853</v>
      </c>
      <c r="AA114" s="421">
        <f>'Assumptions &amp; Inputs'!$J$65*(1+'Assumptions &amp; Inputs'!$J$20)^AA108</f>
        <v>14.801898833449529</v>
      </c>
      <c r="AB114" s="421">
        <f>'Assumptions &amp; Inputs'!$J$65*(1+'Assumptions &amp; Inputs'!$J$20)^AB108</f>
        <v>15.245955798453014</v>
      </c>
      <c r="AC114" s="421">
        <f>'Assumptions &amp; Inputs'!$J$65*(1+'Assumptions &amp; Inputs'!$J$20)^AC108</f>
        <v>15.703334472406604</v>
      </c>
      <c r="AD114" s="421">
        <f>'Assumptions &amp; Inputs'!$J$65*(1+'Assumptions &amp; Inputs'!$J$20)^AD108</f>
        <v>16.174434506578805</v>
      </c>
      <c r="AE114" s="421">
        <f>'Assumptions &amp; Inputs'!$J$65*(1+'Assumptions &amp; Inputs'!$J$20)^AE108</f>
        <v>16.659667541776166</v>
      </c>
      <c r="AF114" s="421">
        <f>'Assumptions &amp; Inputs'!$J$65*(1+'Assumptions &amp; Inputs'!$J$20)^AF108</f>
        <v>17.159457568029453</v>
      </c>
      <c r="AG114" s="421">
        <f>'Assumptions &amp; Inputs'!$J$65*(1+'Assumptions &amp; Inputs'!$J$20)^AG108</f>
        <v>17.674241295070335</v>
      </c>
      <c r="AH114" s="421">
        <f>'Assumptions &amp; Inputs'!$J$65*(1+'Assumptions &amp; Inputs'!$J$20)^AH108</f>
        <v>18.204468533922444</v>
      </c>
      <c r="AI114" s="421">
        <f>'Assumptions &amp; Inputs'!$J$65*(1+'Assumptions &amp; Inputs'!$J$20)^AI108</f>
        <v>18.750602589940119</v>
      </c>
      <c r="AJ114" s="421">
        <f>'Assumptions &amp; Inputs'!$J$65*(1+'Assumptions &amp; Inputs'!$J$20)^AJ108</f>
        <v>19.313120667638319</v>
      </c>
      <c r="AK114" s="421">
        <f>'Assumptions &amp; Inputs'!$J$65*(1+'Assumptions &amp; Inputs'!$J$20)^AK108</f>
        <v>19.892514287667471</v>
      </c>
      <c r="AL114" s="421">
        <f>'Assumptions &amp; Inputs'!$J$65*(1+'Assumptions &amp; Inputs'!$J$20)^AL108</f>
        <v>20.489289716297492</v>
      </c>
      <c r="AM114" s="421">
        <f>'Assumptions &amp; Inputs'!$J$65*(1+'Assumptions &amp; Inputs'!$J$20)^AM108</f>
        <v>21.103968407786418</v>
      </c>
      <c r="AN114" s="421">
        <f>'Assumptions &amp; Inputs'!$J$65*(1+'Assumptions &amp; Inputs'!$J$20)^AN108</f>
        <v>21.73708746002001</v>
      </c>
      <c r="AO114" s="421">
        <f>'Assumptions &amp; Inputs'!$J$65*(1+'Assumptions &amp; Inputs'!$J$20)^AO108</f>
        <v>22.389200083820608</v>
      </c>
      <c r="AP114" s="421">
        <f>'Assumptions &amp; Inputs'!$J$65*(1+'Assumptions &amp; Inputs'!$J$20)^AP108</f>
        <v>23.060876086335227</v>
      </c>
      <c r="AQ114" s="421">
        <f>'Assumptions &amp; Inputs'!$J$65*(1+'Assumptions &amp; Inputs'!$J$20)^AQ108</f>
        <v>23.752702368925284</v>
      </c>
      <c r="AR114" s="421">
        <f>'Assumptions &amp; Inputs'!$J$65*(1+'Assumptions &amp; Inputs'!$J$20)^AR108</f>
        <v>24.465283439993041</v>
      </c>
      <c r="AS114" s="421">
        <f>'Assumptions &amp; Inputs'!$J$65*(1+'Assumptions &amp; Inputs'!$J$20)^AS108</f>
        <v>25.199241943192831</v>
      </c>
      <c r="AT114" s="421">
        <f>'Assumptions &amp; Inputs'!$J$65*(1+'Assumptions &amp; Inputs'!$J$20)^AT108</f>
        <v>25.955219201488621</v>
      </c>
      <c r="AU114" s="421">
        <f>'Assumptions &amp; Inputs'!$J$65*(1+'Assumptions &amp; Inputs'!$J$20)^AU108</f>
        <v>26.733875777533278</v>
      </c>
      <c r="AV114" s="421">
        <f>'Assumptions &amp; Inputs'!$J$65*(1+'Assumptions &amp; Inputs'!$J$20)^AV108</f>
        <v>27.535892050859271</v>
      </c>
      <c r="AW114" s="421">
        <f>'Assumptions &amp; Inputs'!$J$65*(1+'Assumptions &amp; Inputs'!$J$20)^AW108</f>
        <v>28.361968812385051</v>
      </c>
    </row>
    <row r="115" spans="3:49" ht="14.25" customHeight="1">
      <c r="C115" s="414"/>
      <c r="D115" s="421"/>
      <c r="E115" s="421"/>
      <c r="F115" s="421"/>
      <c r="G115" s="421"/>
      <c r="H115" s="421"/>
      <c r="I115" s="421"/>
      <c r="J115" s="421"/>
      <c r="K115" s="421"/>
      <c r="L115" s="421"/>
      <c r="M115" s="421"/>
      <c r="N115" s="421"/>
      <c r="O115" s="421"/>
      <c r="P115" s="421"/>
      <c r="Q115" s="421"/>
      <c r="R115" s="421"/>
      <c r="S115" s="421"/>
      <c r="T115" s="421"/>
      <c r="U115" s="421"/>
      <c r="V115" s="421"/>
      <c r="W115" s="421"/>
      <c r="X115" s="421"/>
      <c r="Y115" s="421"/>
      <c r="Z115" s="421"/>
      <c r="AA115" s="421"/>
      <c r="AB115" s="421"/>
      <c r="AC115" s="421"/>
      <c r="AD115" s="421"/>
      <c r="AE115" s="421"/>
      <c r="AF115" s="421"/>
      <c r="AG115" s="421"/>
      <c r="AH115" s="421"/>
      <c r="AI115" s="421"/>
      <c r="AJ115" s="421"/>
      <c r="AK115" s="421"/>
      <c r="AL115" s="421"/>
      <c r="AM115" s="421"/>
      <c r="AN115" s="421"/>
      <c r="AO115" s="421"/>
      <c r="AP115" s="421"/>
      <c r="AQ115" s="421"/>
      <c r="AR115" s="421"/>
      <c r="AS115" s="421"/>
      <c r="AT115" s="421"/>
      <c r="AU115" s="421"/>
      <c r="AV115" s="421"/>
      <c r="AW115" s="421"/>
    </row>
    <row r="116" spans="3:49" ht="14.25" customHeight="1">
      <c r="C116" s="414" t="s">
        <v>530</v>
      </c>
      <c r="D116" s="422">
        <f>IF(YEAR('Assumptions &amp; Inputs'!$J$31)&gt;D110, 0, IF(D110=YEAR('Assumptions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Inputs'!$J$36)&gt;=D110, 'Assumptions &amp; Inputs'!$J$63*'Assumptions &amp; Inputs'!$J$71*'Assumptions &amp; Inputs'!$J$73*'Assumptions &amp; Inputs'!$J$72, 0)))</f>
        <v>0</v>
      </c>
      <c r="E116" s="422">
        <f>IF(YEAR('Assumptions &amp; Inputs'!$J$31)&gt;E110, 0, IF(E110=YEAR('Assumptions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Inputs'!$J$36)&gt;=E110, 'Assumptions &amp; Inputs'!$J$63*'Assumptions &amp; Inputs'!$J$71*'Assumptions &amp; Inputs'!$J$73*'Assumptions &amp; Inputs'!$J$72, 0)))</f>
        <v>321200.00000000006</v>
      </c>
      <c r="F116" s="422">
        <f>IF(YEAR('Assumptions &amp; Inputs'!$J$31)&gt;F110, 0, IF(F110=YEAR('Assumptions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Inputs'!$J$36)&gt;=F110, 'Assumptions &amp; Inputs'!$J$63*'Assumptions &amp; Inputs'!$J$71*'Assumptions &amp; Inputs'!$J$73*'Assumptions &amp; Inputs'!$J$72, 0)))</f>
        <v>481800.00000000006</v>
      </c>
      <c r="G116" s="422">
        <f>IF(YEAR('Assumptions &amp; Inputs'!$J$31)&gt;G110, 0, IF(G110=YEAR('Assumptions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Inputs'!$J$36)&gt;=G110, 'Assumptions &amp; Inputs'!$J$63*'Assumptions &amp; Inputs'!$J$71*'Assumptions &amp; Inputs'!$J$73*'Assumptions &amp; Inputs'!$J$72, 0)))</f>
        <v>481800.00000000006</v>
      </c>
      <c r="H116" s="422">
        <f>IF(YEAR('Assumptions &amp; Inputs'!$J$31)&gt;H110, 0, IF(H110=YEAR('Assumptions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Inputs'!$J$36)&gt;=H110, 'Assumptions &amp; Inputs'!$J$63*'Assumptions &amp; Inputs'!$J$71*'Assumptions &amp; Inputs'!$J$73*'Assumptions &amp; Inputs'!$J$72, 0)))</f>
        <v>481800.00000000006</v>
      </c>
      <c r="I116" s="422">
        <f>IF(YEAR('Assumptions &amp; Inputs'!$J$31)&gt;I110, 0, IF(I110=YEAR('Assumptions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Inputs'!$J$36)&gt;=I110, 'Assumptions &amp; Inputs'!$J$63*'Assumptions &amp; Inputs'!$J$71*'Assumptions &amp; Inputs'!$J$73*'Assumptions &amp; Inputs'!$J$72, 0)))</f>
        <v>481800.00000000006</v>
      </c>
      <c r="J116" s="422">
        <f>IF(YEAR('Assumptions &amp; Inputs'!$J$31)&gt;J110, 0, IF(J110=YEAR('Assumptions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Inputs'!$J$36)&gt;=J110, 'Assumptions &amp; Inputs'!$J$63*'Assumptions &amp; Inputs'!$J$71*'Assumptions &amp; Inputs'!$J$73*'Assumptions &amp; Inputs'!$J$72, 0)))</f>
        <v>481800.00000000006</v>
      </c>
      <c r="K116" s="422">
        <f>IF(YEAR('Assumptions &amp; Inputs'!$J$31)&gt;K110, 0, IF(K110=YEAR('Assumptions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Inputs'!$J$36)&gt;=K110, 'Assumptions &amp; Inputs'!$J$63*'Assumptions &amp; Inputs'!$J$71*'Assumptions &amp; Inputs'!$J$73*'Assumptions &amp; Inputs'!$J$72, 0)))</f>
        <v>481800.00000000006</v>
      </c>
      <c r="L116" s="422">
        <f>IF(YEAR('Assumptions &amp; Inputs'!$J$31)&gt;L110, 0, IF(L110=YEAR('Assumptions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Inputs'!$J$36)&gt;=L110, 'Assumptions &amp; Inputs'!$J$63*'Assumptions &amp; Inputs'!$J$71*'Assumptions &amp; Inputs'!$J$73*'Assumptions &amp; Inputs'!$J$72, 0)))</f>
        <v>481800.00000000006</v>
      </c>
      <c r="M116" s="422">
        <f>IF(YEAR('Assumptions &amp; Inputs'!$J$31)&gt;M110, 0, IF(M110=YEAR('Assumptions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Inputs'!$J$36)&gt;=M110, 'Assumptions &amp; Inputs'!$J$63*'Assumptions &amp; Inputs'!$J$71*'Assumptions &amp; Inputs'!$J$73*'Assumptions &amp; Inputs'!$J$72, 0)))</f>
        <v>481800.00000000006</v>
      </c>
      <c r="N116" s="422">
        <f>IF(YEAR('Assumptions &amp; Inputs'!$J$31)&gt;N110, 0, IF(N110=YEAR('Assumptions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Inputs'!$J$36)&gt;=N110, 'Assumptions &amp; Inputs'!$J$63*'Assumptions &amp; Inputs'!$J$71*'Assumptions &amp; Inputs'!$J$73*'Assumptions &amp; Inputs'!$J$72, 0)))</f>
        <v>481800.00000000006</v>
      </c>
      <c r="O116" s="422">
        <f>IF(YEAR('Assumptions &amp; Inputs'!$J$31)&gt;O110, 0, IF(O110=YEAR('Assumptions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Inputs'!$J$36)&gt;=O110, 'Assumptions &amp; Inputs'!$J$63*'Assumptions &amp; Inputs'!$J$71*'Assumptions &amp; Inputs'!$J$73*'Assumptions &amp; Inputs'!$J$72, 0)))</f>
        <v>481800.00000000006</v>
      </c>
      <c r="P116" s="422">
        <f>IF(YEAR('Assumptions &amp; Inputs'!$J$31)&gt;P110, 0, IF(P110=YEAR('Assumptions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Inputs'!$J$36)&gt;=P110, 'Assumptions &amp; Inputs'!$J$63*'Assumptions &amp; Inputs'!$J$71*'Assumptions &amp; Inputs'!$J$73*'Assumptions &amp; Inputs'!$J$72, 0)))</f>
        <v>481800.00000000006</v>
      </c>
      <c r="Q116" s="422">
        <f>IF(YEAR('Assumptions &amp; Inputs'!$J$31)&gt;Q110, 0, IF(Q110=YEAR('Assumptions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Inputs'!$J$36)&gt;=Q110, 'Assumptions &amp; Inputs'!$J$63*'Assumptions &amp; Inputs'!$J$71*'Assumptions &amp; Inputs'!$J$73*'Assumptions &amp; Inputs'!$J$72, 0)))</f>
        <v>481800.00000000006</v>
      </c>
      <c r="R116" s="422">
        <f>IF(YEAR('Assumptions &amp; Inputs'!$J$31)&gt;R110, 0, IF(R110=YEAR('Assumptions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Inputs'!$J$36)&gt;=R110, 'Assumptions &amp; Inputs'!$J$63*'Assumptions &amp; Inputs'!$J$71*'Assumptions &amp; Inputs'!$J$73*'Assumptions &amp; Inputs'!$J$72, 0)))</f>
        <v>481800.00000000006</v>
      </c>
      <c r="S116" s="422">
        <f>IF(YEAR('Assumptions &amp; Inputs'!$J$31)&gt;S110, 0, IF(S110=YEAR('Assumptions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Inputs'!$J$36)&gt;=S110, 'Assumptions &amp; Inputs'!$J$63*'Assumptions &amp; Inputs'!$J$71*'Assumptions &amp; Inputs'!$J$73*'Assumptions &amp; Inputs'!$J$72, 0)))</f>
        <v>481800.00000000006</v>
      </c>
      <c r="T116" s="422">
        <f>IF(YEAR('Assumptions &amp; Inputs'!$J$31)&gt;T110, 0, IF(T110=YEAR('Assumptions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Inputs'!$J$36)&gt;=T110, 'Assumptions &amp; Inputs'!$J$63*'Assumptions &amp; Inputs'!$J$71*'Assumptions &amp; Inputs'!$J$73*'Assumptions &amp; Inputs'!$J$72, 0)))</f>
        <v>481800.00000000006</v>
      </c>
      <c r="U116" s="422">
        <f>IF(YEAR('Assumptions &amp; Inputs'!$J$31)&gt;U110, 0, IF(U110=YEAR('Assumptions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Inputs'!$J$36)&gt;=U110, 'Assumptions &amp; Inputs'!$J$63*'Assumptions &amp; Inputs'!$J$71*'Assumptions &amp; Inputs'!$J$73*'Assumptions &amp; Inputs'!$J$72, 0)))</f>
        <v>481800.00000000006</v>
      </c>
      <c r="V116" s="422">
        <f>IF(YEAR('Assumptions &amp; Inputs'!$J$31)&gt;V110, 0, IF(V110=YEAR('Assumptions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Inputs'!$J$36)&gt;=V110, 'Assumptions &amp; Inputs'!$J$63*'Assumptions &amp; Inputs'!$J$71*'Assumptions &amp; Inputs'!$J$73*'Assumptions &amp; Inputs'!$J$72, 0)))</f>
        <v>481800.00000000006</v>
      </c>
      <c r="W116" s="422">
        <f>IF(YEAR('Assumptions &amp; Inputs'!$J$31)&gt;W110, 0, IF(W110=YEAR('Assumptions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Inputs'!$J$36)&gt;=W110, 'Assumptions &amp; Inputs'!$J$63*'Assumptions &amp; Inputs'!$J$71*'Assumptions &amp; Inputs'!$J$73*'Assumptions &amp; Inputs'!$J$72, 0)))</f>
        <v>481800.00000000006</v>
      </c>
      <c r="X116" s="422">
        <f>IF(YEAR('Assumptions &amp; Inputs'!$J$31)&gt;X110, 0, IF(X110=YEAR('Assumptions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Inputs'!$J$36)&gt;=X110, 'Assumptions &amp; Inputs'!$J$63*'Assumptions &amp; Inputs'!$J$71*'Assumptions &amp; Inputs'!$J$73*'Assumptions &amp; Inputs'!$J$72, 0)))</f>
        <v>481800.00000000006</v>
      </c>
      <c r="Y116" s="422">
        <f>IF(YEAR('Assumptions &amp; Inputs'!$J$31)&gt;Y110, 0, IF(Y110=YEAR('Assumptions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Inputs'!$J$36)&gt;=Y110, 'Assumptions &amp; Inputs'!$J$63*'Assumptions &amp; Inputs'!$J$71*'Assumptions &amp; Inputs'!$J$73*'Assumptions &amp; Inputs'!$J$72, 0)))</f>
        <v>481800.00000000006</v>
      </c>
      <c r="Z116" s="422">
        <f>IF(YEAR('Assumptions &amp; Inputs'!$J$31)&gt;Z110, 0, IF(Z110=YEAR('Assumptions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Inputs'!$J$36)&gt;=Z110, 'Assumptions &amp; Inputs'!$J$63*'Assumptions &amp; Inputs'!$J$71*'Assumptions &amp; Inputs'!$J$73*'Assumptions &amp; Inputs'!$J$72, 0)))</f>
        <v>481800.00000000006</v>
      </c>
      <c r="AA116" s="422">
        <f>IF(YEAR('Assumptions &amp; Inputs'!$J$31)&gt;AA110, 0, IF(AA110=YEAR('Assumptions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Inputs'!$J$36)&gt;=AA110, 'Assumptions &amp; Inputs'!$J$63*'Assumptions &amp; Inputs'!$J$71*'Assumptions &amp; Inputs'!$J$73*'Assumptions &amp; Inputs'!$J$72, 0)))</f>
        <v>481800.00000000006</v>
      </c>
      <c r="AB116" s="422">
        <f>IF(YEAR('Assumptions &amp; Inputs'!$J$31)&gt;AB110, 0, IF(AB110=YEAR('Assumptions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Inputs'!$J$36)&gt;=AB110, 'Assumptions &amp; Inputs'!$J$63*'Assumptions &amp; Inputs'!$J$71*'Assumptions &amp; Inputs'!$J$73*'Assumptions &amp; Inputs'!$J$72, 0)))</f>
        <v>481800.00000000006</v>
      </c>
      <c r="AC116" s="422">
        <f>IF(YEAR('Assumptions &amp; Inputs'!$J$31)&gt;AC110, 0, IF(AC110=YEAR('Assumptions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Inputs'!$J$36)&gt;=AC110, 'Assumptions &amp; Inputs'!$J$63*'Assumptions &amp; Inputs'!$J$71*'Assumptions &amp; Inputs'!$J$73*'Assumptions &amp; Inputs'!$J$72, 0)))</f>
        <v>481800.00000000006</v>
      </c>
      <c r="AD116" s="422">
        <f>IF(YEAR('Assumptions &amp; Inputs'!$J$31)&gt;AD110, 0, IF(AD110=YEAR('Assumptions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Inputs'!$J$36)&gt;=AD110, 'Assumptions &amp; Inputs'!$J$63*'Assumptions &amp; Inputs'!$J$71*'Assumptions &amp; Inputs'!$J$73*'Assumptions &amp; Inputs'!$J$72, 0)))</f>
        <v>481800.00000000006</v>
      </c>
      <c r="AE116" s="422">
        <f>IF(YEAR('Assumptions &amp; Inputs'!$J$31)&gt;AE110, 0, IF(AE110=YEAR('Assumptions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Inputs'!$J$36)&gt;=AE110, 'Assumptions &amp; Inputs'!$J$63*'Assumptions &amp; Inputs'!$J$71*'Assumptions &amp; Inputs'!$J$73*'Assumptions &amp; Inputs'!$J$72, 0)))</f>
        <v>0</v>
      </c>
      <c r="AF116" s="422">
        <f>IF(YEAR('Assumptions &amp; Inputs'!$J$31)&gt;AF110, 0, IF(AF110=YEAR('Assumptions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Inputs'!$J$36)&gt;=AF110, 'Assumptions &amp; Inputs'!$J$63*'Assumptions &amp; Inputs'!$J$71*'Assumptions &amp; Inputs'!$J$73*'Assumptions &amp; Inputs'!$J$72, 0)))</f>
        <v>0</v>
      </c>
      <c r="AG116" s="422">
        <f>IF(YEAR('Assumptions &amp; Inputs'!$J$31)&gt;AG110, 0, IF(AG110=YEAR('Assumptions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Inputs'!$J$36)&gt;=AG110, 'Assumptions &amp; Inputs'!$J$63*'Assumptions &amp; Inputs'!$J$71*'Assumptions &amp; Inputs'!$J$73*'Assumptions &amp; Inputs'!$J$72, 0)))</f>
        <v>0</v>
      </c>
      <c r="AH116" s="422">
        <f>IF(YEAR('Assumptions &amp; Inputs'!$J$31)&gt;AH110, 0, IF(AH110=YEAR('Assumptions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Inputs'!$J$36)&gt;=AH110, 'Assumptions &amp; Inputs'!$J$63*'Assumptions &amp; Inputs'!$J$71*'Assumptions &amp; Inputs'!$J$73*'Assumptions &amp; Inputs'!$J$72, 0)))</f>
        <v>0</v>
      </c>
      <c r="AI116" s="422">
        <f>IF(YEAR('Assumptions &amp; Inputs'!$J$31)&gt;AI110, 0, IF(AI110=YEAR('Assumptions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Inputs'!$J$36)&gt;=AI110, 'Assumptions &amp; Inputs'!$J$63*'Assumptions &amp; Inputs'!$J$71*'Assumptions &amp; Inputs'!$J$73*'Assumptions &amp; Inputs'!$J$72, 0)))</f>
        <v>0</v>
      </c>
      <c r="AJ116" s="422">
        <f>IF(YEAR('Assumptions &amp; Inputs'!$J$31)&gt;AJ110, 0, IF(AJ110=YEAR('Assumptions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Inputs'!$J$36)&gt;=AJ110, 'Assumptions &amp; Inputs'!$J$63*'Assumptions &amp; Inputs'!$J$71*'Assumptions &amp; Inputs'!$J$73*'Assumptions &amp; Inputs'!$J$72, 0)))</f>
        <v>0</v>
      </c>
      <c r="AK116" s="422">
        <f>IF(YEAR('Assumptions &amp; Inputs'!$J$31)&gt;AK110, 0, IF(AK110=YEAR('Assumptions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Inputs'!$J$36)&gt;=AK110, 'Assumptions &amp; Inputs'!$J$63*'Assumptions &amp; Inputs'!$J$71*'Assumptions &amp; Inputs'!$J$73*'Assumptions &amp; Inputs'!$J$72, 0)))</f>
        <v>0</v>
      </c>
      <c r="AL116" s="422">
        <f>IF(YEAR('Assumptions &amp; Inputs'!$J$31)&gt;AL110, 0, IF(AL110=YEAR('Assumptions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Inputs'!$J$36)&gt;=AL110, 'Assumptions &amp; Inputs'!$J$63*'Assumptions &amp; Inputs'!$J$71*'Assumptions &amp; Inputs'!$J$73*'Assumptions &amp; Inputs'!$J$72, 0)))</f>
        <v>0</v>
      </c>
      <c r="AM116" s="422">
        <f>IF(YEAR('Assumptions &amp; Inputs'!$J$31)&gt;AM110, 0, IF(AM110=YEAR('Assumptions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Inputs'!$J$36)&gt;=AM110, 'Assumptions &amp; Inputs'!$J$63*'Assumptions &amp; Inputs'!$J$71*'Assumptions &amp; Inputs'!$J$73*'Assumptions &amp; Inputs'!$J$72, 0)))</f>
        <v>0</v>
      </c>
      <c r="AN116" s="422">
        <f>IF(YEAR('Assumptions &amp; Inputs'!$J$31)&gt;AN110, 0, IF(AN110=YEAR('Assumptions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Inputs'!$J$36)&gt;=AN110, 'Assumptions &amp; Inputs'!$J$63*'Assumptions &amp; Inputs'!$J$71*'Assumptions &amp; Inputs'!$J$73*'Assumptions &amp; Inputs'!$J$72, 0)))</f>
        <v>0</v>
      </c>
      <c r="AO116" s="422">
        <f>IF(YEAR('Assumptions &amp; Inputs'!$J$31)&gt;AO110, 0, IF(AO110=YEAR('Assumptions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Inputs'!$J$36)&gt;=AO110, 'Assumptions &amp; Inputs'!$J$63*'Assumptions &amp; Inputs'!$J$71*'Assumptions &amp; Inputs'!$J$73*'Assumptions &amp; Inputs'!$J$72, 0)))</f>
        <v>0</v>
      </c>
      <c r="AP116" s="422">
        <f>IF(YEAR('Assumptions &amp; Inputs'!$J$31)&gt;AP110, 0, IF(AP110=YEAR('Assumptions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Inputs'!$J$36)&gt;=AP110, 'Assumptions &amp; Inputs'!$J$63*'Assumptions &amp; Inputs'!$J$71*'Assumptions &amp; Inputs'!$J$73*'Assumptions &amp; Inputs'!$J$72, 0)))</f>
        <v>0</v>
      </c>
      <c r="AQ116" s="422">
        <f>IF(YEAR('Assumptions &amp; Inputs'!$J$31)&gt;AQ110, 0, IF(AQ110=YEAR('Assumptions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Inputs'!$J$36)&gt;=AQ110, 'Assumptions &amp; Inputs'!$J$63*'Assumptions &amp; Inputs'!$J$71*'Assumptions &amp; Inputs'!$J$73*'Assumptions &amp; Inputs'!$J$72, 0)))</f>
        <v>0</v>
      </c>
      <c r="AR116" s="422">
        <f>IF(YEAR('Assumptions &amp; Inputs'!$J$31)&gt;AR110, 0, IF(AR110=YEAR('Assumptions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Inputs'!$J$36)&gt;=AR110, 'Assumptions &amp; Inputs'!$J$63*'Assumptions &amp; Inputs'!$J$71*'Assumptions &amp; Inputs'!$J$73*'Assumptions &amp; Inputs'!$J$72, 0)))</f>
        <v>0</v>
      </c>
      <c r="AS116" s="422">
        <f>IF(YEAR('Assumptions &amp; Inputs'!$J$31)&gt;AS110, 0, IF(AS110=YEAR('Assumptions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Inputs'!$J$36)&gt;=AS110, 'Assumptions &amp; Inputs'!$J$63*'Assumptions &amp; Inputs'!$J$71*'Assumptions &amp; Inputs'!$J$73*'Assumptions &amp; Inputs'!$J$72, 0)))</f>
        <v>0</v>
      </c>
      <c r="AT116" s="422">
        <f>IF(YEAR('Assumptions &amp; Inputs'!$J$31)&gt;AT110, 0, IF(AT110=YEAR('Assumptions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Inputs'!$J$36)&gt;=AT110, 'Assumptions &amp; Inputs'!$J$63*'Assumptions &amp; Inputs'!$J$71*'Assumptions &amp; Inputs'!$J$73*'Assumptions &amp; Inputs'!$J$72, 0)))</f>
        <v>0</v>
      </c>
      <c r="AU116" s="422">
        <f>IF(YEAR('Assumptions &amp; Inputs'!$J$31)&gt;AU110, 0, IF(AU110=YEAR('Assumptions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Inputs'!$J$36)&gt;=AU110, 'Assumptions &amp; Inputs'!$J$63*'Assumptions &amp; Inputs'!$J$71*'Assumptions &amp; Inputs'!$J$73*'Assumptions &amp; Inputs'!$J$72, 0)))</f>
        <v>0</v>
      </c>
      <c r="AV116" s="422">
        <f>IF(YEAR('Assumptions &amp; Inputs'!$J$31)&gt;AV110, 0, IF(AV110=YEAR('Assumptions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Inputs'!$J$36)&gt;=AV110, 'Assumptions &amp; Inputs'!$J$63*'Assumptions &amp; Inputs'!$J$71*'Assumptions &amp; Inputs'!$J$73*'Assumptions &amp; Inputs'!$J$72, 0)))</f>
        <v>0</v>
      </c>
      <c r="AW116" s="422">
        <f>IF(YEAR('Assumptions &amp; Inputs'!$J$31)&gt;AW110, 0, IF(AW110=YEAR('Assumptions &amp; Inputs'!$J$31),'Assumptions &amp; Inputs'!$J$63*'Assumptions &amp; Inputs'!$J$71*'Assumptions &amp; Inputs'!$J$72*'Assumptions &amp; Inputs'!$J$73*YEARFRAC('Assumptions &amp; Inputs'!$J$31,'Assumptions &amp; Inputs'!$J$32), IF(YEAR('Assumptions &amp; Inputs'!$J$36)&gt;=AW110, 'Assumptions &amp; Inputs'!$J$63*'Assumptions &amp; Inputs'!$J$71*'Assumptions &amp; Inputs'!$J$73*'Assumptions &amp; Inputs'!$J$72, 0)))</f>
        <v>0</v>
      </c>
    </row>
    <row r="117" spans="3:49" ht="14.25" customHeight="1">
      <c r="C117" s="414" t="s">
        <v>531</v>
      </c>
      <c r="D117" s="422">
        <f>'Assumptions &amp; Inputs'!$J$101/'Assumptions &amp; Inputs'!$J$61+'Assumptions &amp; Inputs'!$J$102</f>
        <v>55.606896551724141</v>
      </c>
      <c r="E117" s="422">
        <f>'Assumptions &amp; Inputs'!$J$101/'Assumptions &amp; Inputs'!$J$61+'Assumptions &amp; Inputs'!$J$102</f>
        <v>55.606896551724141</v>
      </c>
      <c r="F117" s="422">
        <f>'Assumptions &amp; Inputs'!$J$101/'Assumptions &amp; Inputs'!$J$61+'Assumptions &amp; Inputs'!$J$102</f>
        <v>55.606896551724141</v>
      </c>
      <c r="G117" s="422">
        <f>'Assumptions &amp; Inputs'!$J$101/'Assumptions &amp; Inputs'!$J$61+'Assumptions &amp; Inputs'!$J$102</f>
        <v>55.606896551724141</v>
      </c>
      <c r="H117" s="422">
        <f>'Assumptions &amp; Inputs'!$J$101/'Assumptions &amp; Inputs'!$J$61+'Assumptions &amp; Inputs'!$J$102</f>
        <v>55.606896551724141</v>
      </c>
      <c r="I117" s="422">
        <f>'Assumptions &amp; Inputs'!$J$101/'Assumptions &amp; Inputs'!$J$61+'Assumptions &amp; Inputs'!$J$102</f>
        <v>55.606896551724141</v>
      </c>
      <c r="J117" s="422">
        <f>'Assumptions &amp; Inputs'!$J$101/'Assumptions &amp; Inputs'!$J$61+'Assumptions &amp; Inputs'!$J$102</f>
        <v>55.606896551724141</v>
      </c>
      <c r="K117" s="422">
        <f>'Assumptions &amp; Inputs'!$J$101/'Assumptions &amp; Inputs'!$J$61+'Assumptions &amp; Inputs'!$J$102</f>
        <v>55.606896551724141</v>
      </c>
      <c r="L117" s="422">
        <f>'Assumptions &amp; Inputs'!$J$101/'Assumptions &amp; Inputs'!$J$61+'Assumptions &amp; Inputs'!$J$102</f>
        <v>55.606896551724141</v>
      </c>
      <c r="M117" s="422">
        <f>'Assumptions &amp; Inputs'!$J$101/'Assumptions &amp; Inputs'!$J$61+'Assumptions &amp; Inputs'!$J$102</f>
        <v>55.606896551724141</v>
      </c>
      <c r="N117" s="422">
        <f>'Assumptions &amp; Inputs'!$J$101/'Assumptions &amp; Inputs'!$J$61+'Assumptions &amp; Inputs'!$J$102</f>
        <v>55.606896551724141</v>
      </c>
      <c r="O117" s="422">
        <f>'Assumptions &amp; Inputs'!$J$101/'Assumptions &amp; Inputs'!$J$61+'Assumptions &amp; Inputs'!$J$102</f>
        <v>55.606896551724141</v>
      </c>
      <c r="P117" s="422">
        <f>'Assumptions &amp; Inputs'!$J$101/'Assumptions &amp; Inputs'!$J$61+'Assumptions &amp; Inputs'!$J$102</f>
        <v>55.606896551724141</v>
      </c>
      <c r="Q117" s="422">
        <f>'Assumptions &amp; Inputs'!$J$101/'Assumptions &amp; Inputs'!$J$61+'Assumptions &amp; Inputs'!$J$102</f>
        <v>55.606896551724141</v>
      </c>
      <c r="R117" s="422">
        <f>'Assumptions &amp; Inputs'!$J$101/'Assumptions &amp; Inputs'!$J$61+'Assumptions &amp; Inputs'!$J$102</f>
        <v>55.606896551724141</v>
      </c>
      <c r="S117" s="422">
        <f>'Assumptions &amp; Inputs'!$J$101/'Assumptions &amp; Inputs'!$J$61+'Assumptions &amp; Inputs'!$J$102</f>
        <v>55.606896551724141</v>
      </c>
      <c r="T117" s="422">
        <f>'Assumptions &amp; Inputs'!$J$101/'Assumptions &amp; Inputs'!$J$61+'Assumptions &amp; Inputs'!$J$102</f>
        <v>55.606896551724141</v>
      </c>
      <c r="U117" s="422">
        <f>'Assumptions &amp; Inputs'!$J$101/'Assumptions &amp; Inputs'!$J$61+'Assumptions &amp; Inputs'!$J$102</f>
        <v>55.606896551724141</v>
      </c>
      <c r="V117" s="422">
        <f>'Assumptions &amp; Inputs'!$J$101/'Assumptions &amp; Inputs'!$J$61+'Assumptions &amp; Inputs'!$J$102</f>
        <v>55.606896551724141</v>
      </c>
      <c r="W117" s="422">
        <f>'Assumptions &amp; Inputs'!$J$101/'Assumptions &amp; Inputs'!$J$61+'Assumptions &amp; Inputs'!$J$102</f>
        <v>55.606896551724141</v>
      </c>
      <c r="X117" s="422">
        <f>'Assumptions &amp; Inputs'!$J$101/'Assumptions &amp; Inputs'!$J$61+'Assumptions &amp; Inputs'!$J$102</f>
        <v>55.606896551724141</v>
      </c>
      <c r="Y117" s="422">
        <f>'Assumptions &amp; Inputs'!$J$101/'Assumptions &amp; Inputs'!$J$61+'Assumptions &amp; Inputs'!$J$102</f>
        <v>55.606896551724141</v>
      </c>
      <c r="Z117" s="422">
        <f>'Assumptions &amp; Inputs'!$J$101/'Assumptions &amp; Inputs'!$J$61+'Assumptions &amp; Inputs'!$J$102</f>
        <v>55.606896551724141</v>
      </c>
      <c r="AA117" s="422">
        <f>'Assumptions &amp; Inputs'!$J$101/'Assumptions &amp; Inputs'!$J$61+'Assumptions &amp; Inputs'!$J$102</f>
        <v>55.606896551724141</v>
      </c>
      <c r="AB117" s="422">
        <f>'Assumptions &amp; Inputs'!$J$101/'Assumptions &amp; Inputs'!$J$61+'Assumptions &amp; Inputs'!$J$102</f>
        <v>55.606896551724141</v>
      </c>
      <c r="AC117" s="422">
        <f>'Assumptions &amp; Inputs'!$J$101/'Assumptions &amp; Inputs'!$J$61+'Assumptions &amp; Inputs'!$J$102</f>
        <v>55.606896551724141</v>
      </c>
      <c r="AD117" s="422">
        <f>'Assumptions &amp; Inputs'!$J$101/'Assumptions &amp; Inputs'!$J$61+'Assumptions &amp; Inputs'!$J$102</f>
        <v>55.606896551724141</v>
      </c>
      <c r="AE117" s="422">
        <f>'Assumptions &amp; Inputs'!$J$101/'Assumptions &amp; Inputs'!$J$61+'Assumptions &amp; Inputs'!$J$102</f>
        <v>55.606896551724141</v>
      </c>
      <c r="AF117" s="422">
        <f>'Assumptions &amp; Inputs'!$J$101/'Assumptions &amp; Inputs'!$J$61+'Assumptions &amp; Inputs'!$J$102</f>
        <v>55.606896551724141</v>
      </c>
      <c r="AG117" s="422">
        <f>'Assumptions &amp; Inputs'!$J$101/'Assumptions &amp; Inputs'!$J$61+'Assumptions &amp; Inputs'!$J$102</f>
        <v>55.606896551724141</v>
      </c>
      <c r="AH117" s="422">
        <f>'Assumptions &amp; Inputs'!$J$101/'Assumptions &amp; Inputs'!$J$61+'Assumptions &amp; Inputs'!$J$102</f>
        <v>55.606896551724141</v>
      </c>
      <c r="AI117" s="422">
        <f>'Assumptions &amp; Inputs'!$J$101/'Assumptions &amp; Inputs'!$J$61+'Assumptions &amp; Inputs'!$J$102</f>
        <v>55.606896551724141</v>
      </c>
      <c r="AJ117" s="422">
        <f>'Assumptions &amp; Inputs'!$J$101/'Assumptions &amp; Inputs'!$J$61+'Assumptions &amp; Inputs'!$J$102</f>
        <v>55.606896551724141</v>
      </c>
      <c r="AK117" s="422">
        <f>'Assumptions &amp; Inputs'!$J$101/'Assumptions &amp; Inputs'!$J$61+'Assumptions &amp; Inputs'!$J$102</f>
        <v>55.606896551724141</v>
      </c>
      <c r="AL117" s="422">
        <f>'Assumptions &amp; Inputs'!$J$101/'Assumptions &amp; Inputs'!$J$61+'Assumptions &amp; Inputs'!$J$102</f>
        <v>55.606896551724141</v>
      </c>
      <c r="AM117" s="422">
        <f>'Assumptions &amp; Inputs'!$J$101/'Assumptions &amp; Inputs'!$J$61+'Assumptions &amp; Inputs'!$J$102</f>
        <v>55.606896551724141</v>
      </c>
      <c r="AN117" s="422">
        <f>'Assumptions &amp; Inputs'!$J$101/'Assumptions &amp; Inputs'!$J$61+'Assumptions &amp; Inputs'!$J$102</f>
        <v>55.606896551724141</v>
      </c>
      <c r="AO117" s="422">
        <f>'Assumptions &amp; Inputs'!$J$101/'Assumptions &amp; Inputs'!$J$61+'Assumptions &amp; Inputs'!$J$102</f>
        <v>55.606896551724141</v>
      </c>
      <c r="AP117" s="422">
        <f>'Assumptions &amp; Inputs'!$J$101/'Assumptions &amp; Inputs'!$J$61+'Assumptions &amp; Inputs'!$J$102</f>
        <v>55.606896551724141</v>
      </c>
      <c r="AQ117" s="422">
        <f>'Assumptions &amp; Inputs'!$J$101/'Assumptions &amp; Inputs'!$J$61+'Assumptions &amp; Inputs'!$J$102</f>
        <v>55.606896551724141</v>
      </c>
      <c r="AR117" s="422">
        <f>'Assumptions &amp; Inputs'!$J$101/'Assumptions &amp; Inputs'!$J$61+'Assumptions &amp; Inputs'!$J$102</f>
        <v>55.606896551724141</v>
      </c>
      <c r="AS117" s="422">
        <f>'Assumptions &amp; Inputs'!$J$101/'Assumptions &amp; Inputs'!$J$61+'Assumptions &amp; Inputs'!$J$102</f>
        <v>55.606896551724141</v>
      </c>
      <c r="AT117" s="422">
        <f>'Assumptions &amp; Inputs'!$J$101/'Assumptions &amp; Inputs'!$J$61+'Assumptions &amp; Inputs'!$J$102</f>
        <v>55.606896551724141</v>
      </c>
      <c r="AU117" s="422">
        <f>'Assumptions &amp; Inputs'!$J$101/'Assumptions &amp; Inputs'!$J$61+'Assumptions &amp; Inputs'!$J$102</f>
        <v>55.606896551724141</v>
      </c>
      <c r="AV117" s="422">
        <f>'Assumptions &amp; Inputs'!$J$101/'Assumptions &amp; Inputs'!$J$61+'Assumptions &amp; Inputs'!$J$102</f>
        <v>55.606896551724141</v>
      </c>
      <c r="AW117" s="422">
        <f>'Assumptions &amp; Inputs'!$J$101/'Assumptions &amp; Inputs'!$J$61+'Assumptions &amp; Inputs'!$J$102</f>
        <v>55.606896551724141</v>
      </c>
    </row>
    <row r="118" spans="3:49" ht="14.25" customHeight="1">
      <c r="C118" s="414" t="s">
        <v>532</v>
      </c>
      <c r="D118" s="422">
        <f>D116/D117</f>
        <v>0</v>
      </c>
      <c r="E118" s="422">
        <f t="shared" ref="E118:X118" si="305">E116/E117</f>
        <v>5776.2619372442023</v>
      </c>
      <c r="F118" s="422">
        <f t="shared" si="305"/>
        <v>8664.3929058663034</v>
      </c>
      <c r="G118" s="422">
        <f t="shared" si="305"/>
        <v>8664.3929058663034</v>
      </c>
      <c r="H118" s="422">
        <f t="shared" si="305"/>
        <v>8664.3929058663034</v>
      </c>
      <c r="I118" s="422">
        <f t="shared" si="305"/>
        <v>8664.3929058663034</v>
      </c>
      <c r="J118" s="422">
        <f t="shared" si="305"/>
        <v>8664.3929058663034</v>
      </c>
      <c r="K118" s="422">
        <f t="shared" si="305"/>
        <v>8664.3929058663034</v>
      </c>
      <c r="L118" s="422">
        <f t="shared" si="305"/>
        <v>8664.3929058663034</v>
      </c>
      <c r="M118" s="422">
        <f t="shared" si="305"/>
        <v>8664.3929058663034</v>
      </c>
      <c r="N118" s="422">
        <f t="shared" si="305"/>
        <v>8664.3929058663034</v>
      </c>
      <c r="O118" s="422">
        <f t="shared" si="305"/>
        <v>8664.3929058663034</v>
      </c>
      <c r="P118" s="422">
        <f t="shared" si="305"/>
        <v>8664.3929058663034</v>
      </c>
      <c r="Q118" s="422">
        <f t="shared" si="305"/>
        <v>8664.3929058663034</v>
      </c>
      <c r="R118" s="422">
        <f t="shared" si="305"/>
        <v>8664.3929058663034</v>
      </c>
      <c r="S118" s="422">
        <f t="shared" si="305"/>
        <v>8664.3929058663034</v>
      </c>
      <c r="T118" s="422">
        <f t="shared" si="305"/>
        <v>8664.3929058663034</v>
      </c>
      <c r="U118" s="422">
        <f t="shared" si="305"/>
        <v>8664.3929058663034</v>
      </c>
      <c r="V118" s="422">
        <f t="shared" si="305"/>
        <v>8664.3929058663034</v>
      </c>
      <c r="W118" s="422">
        <f t="shared" si="305"/>
        <v>8664.3929058663034</v>
      </c>
      <c r="X118" s="422">
        <f t="shared" si="305"/>
        <v>8664.3929058663034</v>
      </c>
      <c r="Y118" s="422">
        <f t="shared" ref="Y118:AW118" si="306">Y116/Y117</f>
        <v>8664.3929058663034</v>
      </c>
      <c r="Z118" s="422">
        <f t="shared" si="306"/>
        <v>8664.3929058663034</v>
      </c>
      <c r="AA118" s="422">
        <f t="shared" si="306"/>
        <v>8664.3929058663034</v>
      </c>
      <c r="AB118" s="422">
        <f t="shared" si="306"/>
        <v>8664.3929058663034</v>
      </c>
      <c r="AC118" s="422">
        <f t="shared" si="306"/>
        <v>8664.3929058663034</v>
      </c>
      <c r="AD118" s="422">
        <f t="shared" si="306"/>
        <v>8664.3929058663034</v>
      </c>
      <c r="AE118" s="422">
        <f t="shared" si="306"/>
        <v>0</v>
      </c>
      <c r="AF118" s="422">
        <f t="shared" si="306"/>
        <v>0</v>
      </c>
      <c r="AG118" s="422">
        <f t="shared" si="306"/>
        <v>0</v>
      </c>
      <c r="AH118" s="422">
        <f t="shared" si="306"/>
        <v>0</v>
      </c>
      <c r="AI118" s="422">
        <f t="shared" si="306"/>
        <v>0</v>
      </c>
      <c r="AJ118" s="422">
        <f t="shared" si="306"/>
        <v>0</v>
      </c>
      <c r="AK118" s="422">
        <f t="shared" si="306"/>
        <v>0</v>
      </c>
      <c r="AL118" s="422">
        <f t="shared" si="306"/>
        <v>0</v>
      </c>
      <c r="AM118" s="422">
        <f t="shared" si="306"/>
        <v>0</v>
      </c>
      <c r="AN118" s="422">
        <f t="shared" si="306"/>
        <v>0</v>
      </c>
      <c r="AO118" s="422">
        <f t="shared" si="306"/>
        <v>0</v>
      </c>
      <c r="AP118" s="422">
        <f t="shared" si="306"/>
        <v>0</v>
      </c>
      <c r="AQ118" s="422">
        <f t="shared" si="306"/>
        <v>0</v>
      </c>
      <c r="AR118" s="422">
        <f t="shared" si="306"/>
        <v>0</v>
      </c>
      <c r="AS118" s="422">
        <f t="shared" si="306"/>
        <v>0</v>
      </c>
      <c r="AT118" s="422">
        <f t="shared" si="306"/>
        <v>0</v>
      </c>
      <c r="AU118" s="422">
        <f t="shared" si="306"/>
        <v>0</v>
      </c>
      <c r="AV118" s="422">
        <f t="shared" si="306"/>
        <v>0</v>
      </c>
      <c r="AW118" s="422">
        <f t="shared" si="306"/>
        <v>0</v>
      </c>
    </row>
    <row r="119" spans="3:49" ht="14.25" customHeight="1">
      <c r="C119" s="423" t="s">
        <v>513</v>
      </c>
      <c r="D119" s="424">
        <f>D114*D118</f>
        <v>0</v>
      </c>
      <c r="E119" s="424">
        <f t="shared" ref="E119:AW119" si="307">E114*E118*$E$2/$E$3</f>
        <v>44.621623465211464</v>
      </c>
      <c r="F119" s="424">
        <f t="shared" si="307"/>
        <v>68.940408253751713</v>
      </c>
      <c r="G119" s="424">
        <f t="shared" si="307"/>
        <v>71.008620501364263</v>
      </c>
      <c r="H119" s="424">
        <f t="shared" si="307"/>
        <v>73.138879116405178</v>
      </c>
      <c r="I119" s="424">
        <f t="shared" si="307"/>
        <v>75.33304548989733</v>
      </c>
      <c r="J119" s="424">
        <f t="shared" si="307"/>
        <v>77.593036854594246</v>
      </c>
      <c r="K119" s="424">
        <f t="shared" si="307"/>
        <v>79.920827960232074</v>
      </c>
      <c r="L119" s="424">
        <f t="shared" si="307"/>
        <v>82.318452799039051</v>
      </c>
      <c r="M119" s="424">
        <f t="shared" si="307"/>
        <v>84.788006383010213</v>
      </c>
      <c r="N119" s="424">
        <f t="shared" si="307"/>
        <v>87.331646574500525</v>
      </c>
      <c r="O119" s="424">
        <f t="shared" si="307"/>
        <v>89.951595971735557</v>
      </c>
      <c r="P119" s="424">
        <f t="shared" si="307"/>
        <v>92.650143850887602</v>
      </c>
      <c r="Q119" s="424">
        <f t="shared" si="307"/>
        <v>95.429648166414211</v>
      </c>
      <c r="R119" s="424">
        <f t="shared" si="307"/>
        <v>98.292537611406658</v>
      </c>
      <c r="S119" s="424">
        <f t="shared" si="307"/>
        <v>101.24131373974886</v>
      </c>
      <c r="T119" s="424">
        <f t="shared" si="307"/>
        <v>104.2785531519413</v>
      </c>
      <c r="U119" s="424">
        <f t="shared" si="307"/>
        <v>107.40690974649954</v>
      </c>
      <c r="V119" s="424">
        <f t="shared" si="307"/>
        <v>110.62911703889453</v>
      </c>
      <c r="W119" s="424">
        <f t="shared" si="307"/>
        <v>113.94799055006138</v>
      </c>
      <c r="X119" s="424">
        <f t="shared" si="307"/>
        <v>117.36643026656321</v>
      </c>
      <c r="Y119" s="424">
        <f t="shared" si="307"/>
        <v>120.88742317456008</v>
      </c>
      <c r="Z119" s="424">
        <f t="shared" si="307"/>
        <v>124.5140458697969</v>
      </c>
      <c r="AA119" s="424">
        <f t="shared" si="307"/>
        <v>128.2494672458908</v>
      </c>
      <c r="AB119" s="424">
        <f t="shared" si="307"/>
        <v>132.09695126326753</v>
      </c>
      <c r="AC119" s="424">
        <f t="shared" si="307"/>
        <v>136.05985980116554</v>
      </c>
      <c r="AD119" s="424">
        <f t="shared" si="307"/>
        <v>140.14165559520055</v>
      </c>
      <c r="AE119" s="424">
        <f t="shared" si="307"/>
        <v>0</v>
      </c>
      <c r="AF119" s="424">
        <f t="shared" si="307"/>
        <v>0</v>
      </c>
      <c r="AG119" s="424">
        <f t="shared" si="307"/>
        <v>0</v>
      </c>
      <c r="AH119" s="424">
        <f t="shared" si="307"/>
        <v>0</v>
      </c>
      <c r="AI119" s="424">
        <f t="shared" si="307"/>
        <v>0</v>
      </c>
      <c r="AJ119" s="424">
        <f t="shared" si="307"/>
        <v>0</v>
      </c>
      <c r="AK119" s="424">
        <f t="shared" si="307"/>
        <v>0</v>
      </c>
      <c r="AL119" s="424">
        <f t="shared" si="307"/>
        <v>0</v>
      </c>
      <c r="AM119" s="424">
        <f t="shared" si="307"/>
        <v>0</v>
      </c>
      <c r="AN119" s="424">
        <f t="shared" si="307"/>
        <v>0</v>
      </c>
      <c r="AO119" s="424">
        <f t="shared" si="307"/>
        <v>0</v>
      </c>
      <c r="AP119" s="424">
        <f t="shared" si="307"/>
        <v>0</v>
      </c>
      <c r="AQ119" s="424">
        <f t="shared" si="307"/>
        <v>0</v>
      </c>
      <c r="AR119" s="424">
        <f t="shared" si="307"/>
        <v>0</v>
      </c>
      <c r="AS119" s="424">
        <f t="shared" si="307"/>
        <v>0</v>
      </c>
      <c r="AT119" s="424">
        <f t="shared" si="307"/>
        <v>0</v>
      </c>
      <c r="AU119" s="424">
        <f t="shared" si="307"/>
        <v>0</v>
      </c>
      <c r="AV119" s="424">
        <f t="shared" si="307"/>
        <v>0</v>
      </c>
      <c r="AW119" s="424">
        <f t="shared" si="307"/>
        <v>0</v>
      </c>
    </row>
    <row r="120" spans="3:49" ht="14.25" customHeight="1">
      <c r="C120" s="419"/>
      <c r="D120" s="414"/>
      <c r="E120" s="414"/>
      <c r="F120" s="414"/>
      <c r="G120" s="414"/>
      <c r="H120" s="414"/>
      <c r="I120" s="414"/>
      <c r="J120" s="414"/>
      <c r="K120" s="414"/>
      <c r="L120" s="414"/>
      <c r="M120" s="414"/>
      <c r="N120" s="414"/>
      <c r="O120" s="414"/>
      <c r="P120" s="414"/>
      <c r="Q120" s="414"/>
      <c r="R120" s="414"/>
      <c r="S120" s="414"/>
      <c r="T120" s="414"/>
      <c r="U120" s="414"/>
      <c r="V120" s="414"/>
      <c r="W120" s="414"/>
      <c r="X120" s="414"/>
      <c r="Y120" s="414"/>
      <c r="Z120" s="414"/>
      <c r="AA120" s="414"/>
      <c r="AB120" s="414"/>
      <c r="AC120" s="414"/>
      <c r="AD120" s="414"/>
      <c r="AE120" s="414"/>
      <c r="AF120" s="414"/>
      <c r="AG120" s="414"/>
      <c r="AH120" s="414"/>
      <c r="AI120" s="414"/>
      <c r="AJ120" s="414"/>
      <c r="AK120" s="414"/>
      <c r="AL120" s="414"/>
      <c r="AM120" s="414"/>
      <c r="AN120" s="414"/>
      <c r="AO120" s="414"/>
      <c r="AP120" s="414"/>
      <c r="AQ120" s="414"/>
      <c r="AR120" s="414"/>
      <c r="AS120" s="414"/>
      <c r="AT120" s="414"/>
      <c r="AU120" s="414"/>
      <c r="AV120" s="414"/>
      <c r="AW120" s="414"/>
    </row>
    <row r="121" spans="3:49" ht="14.25" customHeight="1">
      <c r="C121" s="414" t="s">
        <v>533</v>
      </c>
      <c r="D121" s="425">
        <f>(D112*_xlfn.XLOOKUP(Hydrogen!D$110, 'Power Summary'!$C$30:$AV$30, 'Power Summary'!$C$32:$AV$32)+D113*_xlfn.XLOOKUP(Hydrogen!D$110, 'Power Summary'!$C$30:$AV$30, 'Power Summary'!$C$39:$AV$39))/$E$3</f>
        <v>0</v>
      </c>
      <c r="E121" s="425">
        <f>(E112*_xlfn.XLOOKUP(Hydrogen!E$110, 'Power Summary'!$C$30:$AV$30, 'Power Summary'!$C$32:$AV$32)+E113*_xlfn.XLOOKUP(Hydrogen!E$110, 'Power Summary'!$C$30:$AV$30, 'Power Summary'!$C$39:$AV$39))/$E$3</f>
        <v>24.328009461386397</v>
      </c>
      <c r="F121" s="425">
        <f>(F112*_xlfn.XLOOKUP(Hydrogen!F$110, 'Power Summary'!$C$30:$AV$30, 'Power Summary'!$C$32:$AV$32)+F113*_xlfn.XLOOKUP(Hydrogen!F$110, 'Power Summary'!$C$30:$AV$30, 'Power Summary'!$C$39:$AV$39))/$E$3</f>
        <v>36.926502330067549</v>
      </c>
      <c r="G121" s="425">
        <f>(G112*_xlfn.XLOOKUP(Hydrogen!G$110, 'Power Summary'!$C$30:$AV$30, 'Power Summary'!$C$32:$AV$32)+G113*_xlfn.XLOOKUP(Hydrogen!G$110, 'Power Summary'!$C$30:$AV$30, 'Power Summary'!$C$39:$AV$39))/$E$3</f>
        <v>36.4605656561464</v>
      </c>
      <c r="H121" s="425">
        <f>(H112*_xlfn.XLOOKUP(Hydrogen!H$110, 'Power Summary'!$C$30:$AV$30, 'Power Summary'!$C$32:$AV$32)+H113*_xlfn.XLOOKUP(Hydrogen!H$110, 'Power Summary'!$C$30:$AV$30, 'Power Summary'!$C$39:$AV$39))/$E$3</f>
        <v>34.926139026291445</v>
      </c>
      <c r="I121" s="425">
        <f>(I112*_xlfn.XLOOKUP(Hydrogen!I$110, 'Power Summary'!$C$30:$AV$30, 'Power Summary'!$C$32:$AV$32)+I113*_xlfn.XLOOKUP(Hydrogen!I$110, 'Power Summary'!$C$30:$AV$30, 'Power Summary'!$C$39:$AV$39))/$E$3</f>
        <v>35.303524761372927</v>
      </c>
      <c r="J121" s="425">
        <f>(J112*_xlfn.XLOOKUP(Hydrogen!J$110, 'Power Summary'!$C$30:$AV$30, 'Power Summary'!$C$32:$AV$32)+J113*_xlfn.XLOOKUP(Hydrogen!J$110, 'Power Summary'!$C$30:$AV$30, 'Power Summary'!$C$39:$AV$39))/$E$3</f>
        <v>36.023918632206659</v>
      </c>
      <c r="K121" s="425">
        <f>(K112*_xlfn.XLOOKUP(Hydrogen!K$110, 'Power Summary'!$C$30:$AV$30, 'Power Summary'!$C$32:$AV$32)+K113*_xlfn.XLOOKUP(Hydrogen!K$110, 'Power Summary'!$C$30:$AV$30, 'Power Summary'!$C$39:$AV$39))/$E$3</f>
        <v>36.758947860243687</v>
      </c>
      <c r="L121" s="425">
        <f>(L112*_xlfn.XLOOKUP(Hydrogen!L$110, 'Power Summary'!$C$30:$AV$30, 'Power Summary'!$C$32:$AV$32)+L113*_xlfn.XLOOKUP(Hydrogen!L$110, 'Power Summary'!$C$30:$AV$30, 'Power Summary'!$C$39:$AV$39))/$E$3</f>
        <v>37.508908816198755</v>
      </c>
      <c r="M121" s="425">
        <f>(M112*_xlfn.XLOOKUP(Hydrogen!M$110, 'Power Summary'!$C$30:$AV$30, 'Power Summary'!$C$32:$AV$32)+M113*_xlfn.XLOOKUP(Hydrogen!M$110, 'Power Summary'!$C$30:$AV$30, 'Power Summary'!$C$39:$AV$39))/$E$3</f>
        <v>38.274103857999833</v>
      </c>
      <c r="N121" s="425">
        <f>(N112*_xlfn.XLOOKUP(Hydrogen!N$110, 'Power Summary'!$C$30:$AV$30, 'Power Summary'!$C$32:$AV$32)+N113*_xlfn.XLOOKUP(Hydrogen!N$110, 'Power Summary'!$C$30:$AV$30, 'Power Summary'!$C$39:$AV$39))/$E$3</f>
        <v>39.054841451520815</v>
      </c>
      <c r="O121" s="425">
        <f>(O112*_xlfn.XLOOKUP(Hydrogen!O$110, 'Power Summary'!$C$30:$AV$30, 'Power Summary'!$C$32:$AV$32)+O113*_xlfn.XLOOKUP(Hydrogen!O$110, 'Power Summary'!$C$30:$AV$30, 'Power Summary'!$C$39:$AV$39))/$E$3</f>
        <v>39.851436293745195</v>
      </c>
      <c r="P121" s="425">
        <f>(P112*_xlfn.XLOOKUP(Hydrogen!P$110, 'Power Summary'!$C$30:$AV$30, 'Power Summary'!$C$32:$AV$32)+P113*_xlfn.XLOOKUP(Hydrogen!P$110, 'Power Summary'!$C$30:$AV$30, 'Power Summary'!$C$39:$AV$39))/$E$3</f>
        <v>40.664209438410026</v>
      </c>
      <c r="Q121" s="425">
        <f>(Q112*_xlfn.XLOOKUP(Hydrogen!Q$110, 'Power Summary'!$C$30:$AV$30, 'Power Summary'!$C$32:$AV$32)+Q113*_xlfn.XLOOKUP(Hydrogen!Q$110, 'Power Summary'!$C$30:$AV$30, 'Power Summary'!$C$39:$AV$39))/$E$3</f>
        <v>41.493488424179596</v>
      </c>
      <c r="R121" s="425">
        <f>(R112*_xlfn.XLOOKUP(Hydrogen!R$110, 'Power Summary'!$C$30:$AV$30, 'Power Summary'!$C$32:$AV$32)+R113*_xlfn.XLOOKUP(Hydrogen!R$110, 'Power Summary'!$C$30:$AV$30, 'Power Summary'!$C$39:$AV$39))/$E$3</f>
        <v>42.339607405400173</v>
      </c>
      <c r="S121" s="425">
        <f>(S112*_xlfn.XLOOKUP(Hydrogen!S$110, 'Power Summary'!$C$30:$AV$30, 'Power Summary'!$C$32:$AV$32)+S113*_xlfn.XLOOKUP(Hydrogen!S$110, 'Power Summary'!$C$30:$AV$30, 'Power Summary'!$C$39:$AV$39))/$E$3</f>
        <v>43.202907285487342</v>
      </c>
      <c r="T121" s="425">
        <f>(T112*_xlfn.XLOOKUP(Hydrogen!T$110, 'Power Summary'!$C$30:$AV$30, 'Power Summary'!$C$32:$AV$32)+T113*_xlfn.XLOOKUP(Hydrogen!T$110, 'Power Summary'!$C$30:$AV$30, 'Power Summary'!$C$39:$AV$39))/$E$3</f>
        <v>44.083735852999233</v>
      </c>
      <c r="U121" s="425">
        <f>(U112*_xlfn.XLOOKUP(Hydrogen!U$110, 'Power Summary'!$C$30:$AV$30, 'Power Summary'!$C$32:$AV$32)+U113*_xlfn.XLOOKUP(Hydrogen!U$110, 'Power Summary'!$C$30:$AV$30, 'Power Summary'!$C$39:$AV$39))/$E$3</f>
        <v>44.982447920449211</v>
      </c>
      <c r="V121" s="425">
        <f>(V112*_xlfn.XLOOKUP(Hydrogen!V$110, 'Power Summary'!$C$30:$AV$30, 'Power Summary'!$C$32:$AV$32)+V113*_xlfn.XLOOKUP(Hydrogen!V$110, 'Power Summary'!$C$30:$AV$30, 'Power Summary'!$C$39:$AV$39))/$E$3</f>
        <v>45.899405465913652</v>
      </c>
      <c r="W121" s="425">
        <f>(W112*_xlfn.XLOOKUP(Hydrogen!W$110, 'Power Summary'!$C$30:$AV$30, 'Power Summary'!$C$32:$AV$32)+W113*_xlfn.XLOOKUP(Hydrogen!W$110, 'Power Summary'!$C$30:$AV$30, 'Power Summary'!$C$39:$AV$39))/$E$3</f>
        <v>46.834977777490678</v>
      </c>
      <c r="X121" s="425">
        <f>(X112*_xlfn.XLOOKUP(Hydrogen!X$110, 'Power Summary'!$C$30:$AV$30, 'Power Summary'!$C$32:$AV$32)+X113*_xlfn.XLOOKUP(Hydrogen!X$110, 'Power Summary'!$C$30:$AV$30, 'Power Summary'!$C$39:$AV$39))/$E$3</f>
        <v>47.789541600667192</v>
      </c>
      <c r="Y121" s="425">
        <f>(Y112*_xlfn.XLOOKUP(Hydrogen!Y$110, 'Power Summary'!$C$30:$AV$30, 'Power Summary'!$C$32:$AV$32)+Y113*_xlfn.XLOOKUP(Hydrogen!Y$110, 'Power Summary'!$C$30:$AV$30, 'Power Summary'!$C$39:$AV$39))/$E$3</f>
        <v>48.763481288652855</v>
      </c>
      <c r="Z121" s="425">
        <f>(Z112*_xlfn.XLOOKUP(Hydrogen!Z$110, 'Power Summary'!$C$30:$AV$30, 'Power Summary'!$C$32:$AV$32)+Z113*_xlfn.XLOOKUP(Hydrogen!Z$110, 'Power Summary'!$C$30:$AV$30, 'Power Summary'!$C$39:$AV$39))/$E$3</f>
        <v>49.757188955740645</v>
      </c>
      <c r="AA121" s="425">
        <f>(AA112*_xlfn.XLOOKUP(Hydrogen!AA$110, 'Power Summary'!$C$30:$AV$30, 'Power Summary'!$C$32:$AV$32)+AA113*_xlfn.XLOOKUP(Hydrogen!AA$110, 'Power Summary'!$C$30:$AV$30, 'Power Summary'!$C$39:$AV$39))/$E$3</f>
        <v>50.771064633754762</v>
      </c>
      <c r="AB121" s="425">
        <f>(AB112*_xlfn.XLOOKUP(Hydrogen!AB$110, 'Power Summary'!$C$30:$AV$30, 'Power Summary'!$C$32:$AV$32)+AB113*_xlfn.XLOOKUP(Hydrogen!AB$110, 'Power Summary'!$C$30:$AV$30, 'Power Summary'!$C$39:$AV$39))/$E$3</f>
        <v>51.805516431648059</v>
      </c>
      <c r="AC121" s="425">
        <f>(AC112*_xlfn.XLOOKUP(Hydrogen!AC$110, 'Power Summary'!$C$30:$AV$30, 'Power Summary'!$C$32:$AV$32)+AC113*_xlfn.XLOOKUP(Hydrogen!AC$110, 'Power Summary'!$C$30:$AV$30, 'Power Summary'!$C$39:$AV$39))/$E$3</f>
        <v>52.860960698312255</v>
      </c>
      <c r="AD121" s="425">
        <f>(AD112*_xlfn.XLOOKUP(Hydrogen!AD$110, 'Power Summary'!$C$30:$AV$30, 'Power Summary'!$C$32:$AV$32)+AD113*_xlfn.XLOOKUP(Hydrogen!AD$110, 'Power Summary'!$C$30:$AV$30, 'Power Summary'!$C$39:$AV$39))/$E$3</f>
        <v>53.937822188665649</v>
      </c>
      <c r="AE121" s="425">
        <f>(AE112*_xlfn.XLOOKUP(Hydrogen!AE$110, 'Power Summary'!$C$30:$AV$30, 'Power Summary'!$C$32:$AV$32)+AE113*_xlfn.XLOOKUP(Hydrogen!AE$110, 'Power Summary'!$C$30:$AV$30, 'Power Summary'!$C$39:$AV$39))/$E$3</f>
        <v>0</v>
      </c>
      <c r="AF121" s="425">
        <f>(AF112*_xlfn.XLOOKUP(Hydrogen!AF$110, 'Power Summary'!$C$30:$AV$30, 'Power Summary'!$C$32:$AV$32)+AF113*_xlfn.XLOOKUP(Hydrogen!AF$110, 'Power Summary'!$C$30:$AV$30, 'Power Summary'!$C$39:$AV$39))/$E$3</f>
        <v>0</v>
      </c>
      <c r="AG121" s="425">
        <f>(AG112*_xlfn.XLOOKUP(Hydrogen!AG$110, 'Power Summary'!$C$30:$AV$30, 'Power Summary'!$C$32:$AV$32)+AG113*_xlfn.XLOOKUP(Hydrogen!AG$110, 'Power Summary'!$C$30:$AV$30, 'Power Summary'!$C$39:$AV$39))/$E$3</f>
        <v>0</v>
      </c>
      <c r="AH121" s="425">
        <f>(AH112*_xlfn.XLOOKUP(Hydrogen!AH$110, 'Power Summary'!$C$30:$AV$30, 'Power Summary'!$C$32:$AV$32)+AH113*_xlfn.XLOOKUP(Hydrogen!AH$110, 'Power Summary'!$C$30:$AV$30, 'Power Summary'!$C$39:$AV$39))/$E$3</f>
        <v>0</v>
      </c>
      <c r="AI121" s="425">
        <f>(AI112*_xlfn.XLOOKUP(Hydrogen!AI$110, 'Power Summary'!$C$30:$AV$30, 'Power Summary'!$C$32:$AV$32)+AI113*_xlfn.XLOOKUP(Hydrogen!AI$110, 'Power Summary'!$C$30:$AV$30, 'Power Summary'!$C$39:$AV$39))/$E$3</f>
        <v>0</v>
      </c>
      <c r="AJ121" s="425">
        <f>(AJ112*_xlfn.XLOOKUP(Hydrogen!AJ$110, 'Power Summary'!$C$30:$AV$30, 'Power Summary'!$C$32:$AV$32)+AJ113*_xlfn.XLOOKUP(Hydrogen!AJ$110, 'Power Summary'!$C$30:$AV$30, 'Power Summary'!$C$39:$AV$39))/$E$3</f>
        <v>0</v>
      </c>
      <c r="AK121" s="425">
        <f>(AK112*_xlfn.XLOOKUP(Hydrogen!AK$110, 'Power Summary'!$C$30:$AV$30, 'Power Summary'!$C$32:$AV$32)+AK113*_xlfn.XLOOKUP(Hydrogen!AK$110, 'Power Summary'!$C$30:$AV$30, 'Power Summary'!$C$39:$AV$39))/$E$3</f>
        <v>0</v>
      </c>
      <c r="AL121" s="425">
        <f>(AL112*_xlfn.XLOOKUP(Hydrogen!AL$110, 'Power Summary'!$C$30:$AV$30, 'Power Summary'!$C$32:$AV$32)+AL113*_xlfn.XLOOKUP(Hydrogen!AL$110, 'Power Summary'!$C$30:$AV$30, 'Power Summary'!$C$39:$AV$39))/$E$3</f>
        <v>0</v>
      </c>
      <c r="AM121" s="425">
        <f>(AM112*_xlfn.XLOOKUP(Hydrogen!AM$110, 'Power Summary'!$C$30:$AV$30, 'Power Summary'!$C$32:$AV$32)+AM113*_xlfn.XLOOKUP(Hydrogen!AM$110, 'Power Summary'!$C$30:$AV$30, 'Power Summary'!$C$39:$AV$39))/$E$3</f>
        <v>0</v>
      </c>
      <c r="AN121" s="425">
        <f>(AN112*_xlfn.XLOOKUP(Hydrogen!AN$110, 'Power Summary'!$C$30:$AV$30, 'Power Summary'!$C$32:$AV$32)+AN113*_xlfn.XLOOKUP(Hydrogen!AN$110, 'Power Summary'!$C$30:$AV$30, 'Power Summary'!$C$39:$AV$39))/$E$3</f>
        <v>0</v>
      </c>
      <c r="AO121" s="425">
        <f>(AO112*_xlfn.XLOOKUP(Hydrogen!AO$110, 'Power Summary'!$C$30:$AV$30, 'Power Summary'!$C$32:$AV$32)+AO113*_xlfn.XLOOKUP(Hydrogen!AO$110, 'Power Summary'!$C$30:$AV$30, 'Power Summary'!$C$39:$AV$39))/$E$3</f>
        <v>0</v>
      </c>
      <c r="AP121" s="425">
        <f>(AP112*_xlfn.XLOOKUP(Hydrogen!AP$110, 'Power Summary'!$C$30:$AV$30, 'Power Summary'!$C$32:$AV$32)+AP113*_xlfn.XLOOKUP(Hydrogen!AP$110, 'Power Summary'!$C$30:$AV$30, 'Power Summary'!$C$39:$AV$39))/$E$3</f>
        <v>0</v>
      </c>
      <c r="AQ121" s="425">
        <f>(AQ112*_xlfn.XLOOKUP(Hydrogen!AQ$110, 'Power Summary'!$C$30:$AV$30, 'Power Summary'!$C$32:$AV$32)+AQ113*_xlfn.XLOOKUP(Hydrogen!AQ$110, 'Power Summary'!$C$30:$AV$30, 'Power Summary'!$C$39:$AV$39))/$E$3</f>
        <v>0</v>
      </c>
      <c r="AR121" s="425">
        <f>(AR112*_xlfn.XLOOKUP(Hydrogen!AR$110, 'Power Summary'!$C$30:$AV$30, 'Power Summary'!$C$32:$AV$32)+AR113*_xlfn.XLOOKUP(Hydrogen!AR$110, 'Power Summary'!$C$30:$AV$30, 'Power Summary'!$C$39:$AV$39))/$E$3</f>
        <v>0</v>
      </c>
      <c r="AS121" s="425">
        <f>(AS112*_xlfn.XLOOKUP(Hydrogen!AS$110, 'Power Summary'!$C$30:$AV$30, 'Power Summary'!$C$32:$AV$32)+AS113*_xlfn.XLOOKUP(Hydrogen!AS$110, 'Power Summary'!$C$30:$AV$30, 'Power Summary'!$C$39:$AV$39))/$E$3</f>
        <v>0</v>
      </c>
      <c r="AT121" s="425">
        <f>(AT112*_xlfn.XLOOKUP(Hydrogen!AT$110, 'Power Summary'!$C$30:$AV$30, 'Power Summary'!$C$32:$AV$32)+AT113*_xlfn.XLOOKUP(Hydrogen!AT$110, 'Power Summary'!$C$30:$AV$30, 'Power Summary'!$C$39:$AV$39))/$E$3</f>
        <v>0</v>
      </c>
      <c r="AU121" s="425">
        <f>(AU112*_xlfn.XLOOKUP(Hydrogen!AU$110, 'Power Summary'!$C$30:$AV$30, 'Power Summary'!$C$32:$AV$32)+AU113*_xlfn.XLOOKUP(Hydrogen!AU$110, 'Power Summary'!$C$30:$AV$30, 'Power Summary'!$C$39:$AV$39))/$E$3</f>
        <v>0</v>
      </c>
      <c r="AV121" s="425">
        <f>(AV112*_xlfn.XLOOKUP(Hydrogen!AV$110, 'Power Summary'!$C$30:$AV$30, 'Power Summary'!$C$32:$AV$32)+AV113*_xlfn.XLOOKUP(Hydrogen!AV$110, 'Power Summary'!$C$30:$AV$30, 'Power Summary'!$C$39:$AV$39))/$E$3</f>
        <v>0</v>
      </c>
      <c r="AW121" s="425">
        <f>(AW112*_xlfn.XLOOKUP(Hydrogen!AW$110, 'Power Summary'!$C$30:$AV$30, 'Power Summary'!$C$32:$AV$32)+AW113*_xlfn.XLOOKUP(Hydrogen!AW$110, 'Power Summary'!$C$30:$AV$30, 'Power Summary'!$C$39:$AV$39))/$E$3</f>
        <v>0</v>
      </c>
    </row>
    <row r="122" spans="3:49" ht="14.25" customHeight="1">
      <c r="C122" s="414" t="s">
        <v>534</v>
      </c>
      <c r="D122" s="425">
        <f>D118*'Assumptions &amp; Inputs'!$J$67</f>
        <v>0</v>
      </c>
      <c r="E122" s="425">
        <f>E118*'Assumptions &amp; Inputs'!$J$67</f>
        <v>2.8881309686221013E-5</v>
      </c>
      <c r="F122" s="425">
        <f>F118*'Assumptions &amp; Inputs'!$J$67</f>
        <v>4.332196452933152E-5</v>
      </c>
      <c r="G122" s="425">
        <f>G118*'Assumptions &amp; Inputs'!$J$67</f>
        <v>4.332196452933152E-5</v>
      </c>
      <c r="H122" s="425">
        <f>H118*'Assumptions &amp; Inputs'!$J$67</f>
        <v>4.332196452933152E-5</v>
      </c>
      <c r="I122" s="425">
        <f>I118*'Assumptions &amp; Inputs'!$J$67</f>
        <v>4.332196452933152E-5</v>
      </c>
      <c r="J122" s="425">
        <f>J118*'Assumptions &amp; Inputs'!$J$67</f>
        <v>4.332196452933152E-5</v>
      </c>
      <c r="K122" s="425">
        <f>K118*'Assumptions &amp; Inputs'!$J$67</f>
        <v>4.332196452933152E-5</v>
      </c>
      <c r="L122" s="425">
        <f>L118*'Assumptions &amp; Inputs'!$J$67</f>
        <v>4.332196452933152E-5</v>
      </c>
      <c r="M122" s="425">
        <f>M118*'Assumptions &amp; Inputs'!$J$67</f>
        <v>4.332196452933152E-5</v>
      </c>
      <c r="N122" s="425">
        <f>N118*'Assumptions &amp; Inputs'!$J$67</f>
        <v>4.332196452933152E-5</v>
      </c>
      <c r="O122" s="425">
        <f>O118*'Assumptions &amp; Inputs'!$J$67</f>
        <v>4.332196452933152E-5</v>
      </c>
      <c r="P122" s="425">
        <f>P118*'Assumptions &amp; Inputs'!$J$67</f>
        <v>4.332196452933152E-5</v>
      </c>
      <c r="Q122" s="425">
        <f>Q118*'Assumptions &amp; Inputs'!$J$67</f>
        <v>4.332196452933152E-5</v>
      </c>
      <c r="R122" s="425">
        <f>R118*'Assumptions &amp; Inputs'!$J$67</f>
        <v>4.332196452933152E-5</v>
      </c>
      <c r="S122" s="425">
        <f>S118*'Assumptions &amp; Inputs'!$J$67</f>
        <v>4.332196452933152E-5</v>
      </c>
      <c r="T122" s="425">
        <f>T118*'Assumptions &amp; Inputs'!$J$67</f>
        <v>4.332196452933152E-5</v>
      </c>
      <c r="U122" s="425">
        <f>U118*'Assumptions &amp; Inputs'!$J$67</f>
        <v>4.332196452933152E-5</v>
      </c>
      <c r="V122" s="425">
        <f>V118*'Assumptions &amp; Inputs'!$J$67</f>
        <v>4.332196452933152E-5</v>
      </c>
      <c r="W122" s="425">
        <f>W118*'Assumptions &amp; Inputs'!$J$67</f>
        <v>4.332196452933152E-5</v>
      </c>
      <c r="X122" s="425">
        <f>X118*'Assumptions &amp; Inputs'!$J$67</f>
        <v>4.332196452933152E-5</v>
      </c>
      <c r="Y122" s="425">
        <f>Y118*'Assumptions &amp; Inputs'!$J$67</f>
        <v>4.332196452933152E-5</v>
      </c>
      <c r="Z122" s="425">
        <f>Z118*'Assumptions &amp; Inputs'!$J$67</f>
        <v>4.332196452933152E-5</v>
      </c>
      <c r="AA122" s="425">
        <f>AA118*'Assumptions &amp; Inputs'!$J$67</f>
        <v>4.332196452933152E-5</v>
      </c>
      <c r="AB122" s="425">
        <f>AB118*'Assumptions &amp; Inputs'!$J$67</f>
        <v>4.332196452933152E-5</v>
      </c>
      <c r="AC122" s="425">
        <f>AC118*'Assumptions &amp; Inputs'!$J$67</f>
        <v>4.332196452933152E-5</v>
      </c>
      <c r="AD122" s="425">
        <f>AD118*'Assumptions &amp; Inputs'!$J$67</f>
        <v>4.332196452933152E-5</v>
      </c>
      <c r="AE122" s="425">
        <f>AE118*'Assumptions &amp; Inputs'!$J$67</f>
        <v>0</v>
      </c>
      <c r="AF122" s="425">
        <f>AF118*'Assumptions &amp; Inputs'!$J$67</f>
        <v>0</v>
      </c>
      <c r="AG122" s="425">
        <f>AG118*'Assumptions &amp; Inputs'!$J$67</f>
        <v>0</v>
      </c>
      <c r="AH122" s="425">
        <f>AH118*'Assumptions &amp; Inputs'!$J$67</f>
        <v>0</v>
      </c>
      <c r="AI122" s="425">
        <f>AI118*'Assumptions &amp; Inputs'!$J$67</f>
        <v>0</v>
      </c>
      <c r="AJ122" s="425">
        <f>AJ118*'Assumptions &amp; Inputs'!$J$67</f>
        <v>0</v>
      </c>
      <c r="AK122" s="425">
        <f>AK118*'Assumptions &amp; Inputs'!$J$67</f>
        <v>0</v>
      </c>
      <c r="AL122" s="425">
        <f>AL118*'Assumptions &amp; Inputs'!$J$67</f>
        <v>0</v>
      </c>
      <c r="AM122" s="425">
        <f>AM118*'Assumptions &amp; Inputs'!$J$67</f>
        <v>0</v>
      </c>
      <c r="AN122" s="425">
        <f>AN118*'Assumptions &amp; Inputs'!$J$67</f>
        <v>0</v>
      </c>
      <c r="AO122" s="425">
        <f>AO118*'Assumptions &amp; Inputs'!$J$67</f>
        <v>0</v>
      </c>
      <c r="AP122" s="425">
        <f>AP118*'Assumptions &amp; Inputs'!$J$67</f>
        <v>0</v>
      </c>
      <c r="AQ122" s="425">
        <f>AQ118*'Assumptions &amp; Inputs'!$J$67</f>
        <v>0</v>
      </c>
      <c r="AR122" s="425">
        <f>AR118*'Assumptions &amp; Inputs'!$J$67</f>
        <v>0</v>
      </c>
      <c r="AS122" s="425">
        <f>AS118*'Assumptions &amp; Inputs'!$J$67</f>
        <v>0</v>
      </c>
      <c r="AT122" s="425">
        <f>AT118*'Assumptions &amp; Inputs'!$J$67</f>
        <v>0</v>
      </c>
      <c r="AU122" s="425">
        <f>AU118*'Assumptions &amp; Inputs'!$J$67</f>
        <v>0</v>
      </c>
      <c r="AV122" s="425">
        <f>AV118*'Assumptions &amp; Inputs'!$J$67</f>
        <v>0</v>
      </c>
      <c r="AW122" s="425">
        <f>AW118*'Assumptions &amp; Inputs'!$J$67</f>
        <v>0</v>
      </c>
    </row>
    <row r="123" spans="3:49" ht="14.25" customHeight="1">
      <c r="C123" s="423" t="s">
        <v>514</v>
      </c>
      <c r="D123" s="426">
        <f>D119-D121-D122</f>
        <v>0</v>
      </c>
      <c r="E123" s="426">
        <f t="shared" ref="E123:AW123" si="308">E119-E121-E122</f>
        <v>20.293585122515381</v>
      </c>
      <c r="F123" s="426">
        <f t="shared" si="308"/>
        <v>32.013862601719637</v>
      </c>
      <c r="G123" s="426">
        <f t="shared" si="308"/>
        <v>34.548011523253336</v>
      </c>
      <c r="H123" s="426">
        <f t="shared" si="308"/>
        <v>38.212696768149208</v>
      </c>
      <c r="I123" s="426">
        <f t="shared" si="308"/>
        <v>40.029477406559877</v>
      </c>
      <c r="J123" s="426">
        <f t="shared" si="308"/>
        <v>41.569074900423061</v>
      </c>
      <c r="K123" s="426">
        <f t="shared" si="308"/>
        <v>43.161836778023861</v>
      </c>
      <c r="L123" s="426">
        <f t="shared" si="308"/>
        <v>44.80950066087577</v>
      </c>
      <c r="M123" s="426">
        <f t="shared" si="308"/>
        <v>46.513859203045854</v>
      </c>
      <c r="N123" s="426">
        <f t="shared" si="308"/>
        <v>48.276761801015184</v>
      </c>
      <c r="O123" s="426">
        <f t="shared" si="308"/>
        <v>50.100116356025836</v>
      </c>
      <c r="P123" s="426">
        <f t="shared" si="308"/>
        <v>51.98589109051305</v>
      </c>
      <c r="Q123" s="426">
        <f t="shared" si="308"/>
        <v>53.936116420270089</v>
      </c>
      <c r="R123" s="426">
        <f t="shared" si="308"/>
        <v>55.952886884041959</v>
      </c>
      <c r="S123" s="426">
        <f t="shared" si="308"/>
        <v>58.038363132296993</v>
      </c>
      <c r="T123" s="426">
        <f t="shared" si="308"/>
        <v>60.194773976977537</v>
      </c>
      <c r="U123" s="426">
        <f t="shared" si="308"/>
        <v>62.4244185040858</v>
      </c>
      <c r="V123" s="426">
        <f t="shared" si="308"/>
        <v>64.729668251016349</v>
      </c>
      <c r="W123" s="426">
        <f t="shared" si="308"/>
        <v>67.112969450606172</v>
      </c>
      <c r="X123" s="426">
        <f t="shared" si="308"/>
        <v>69.576845343931495</v>
      </c>
      <c r="Y123" s="426">
        <f t="shared" si="308"/>
        <v>72.123898563942703</v>
      </c>
      <c r="Z123" s="426">
        <f t="shared" si="308"/>
        <v>74.756813592091731</v>
      </c>
      <c r="AA123" s="426">
        <f t="shared" si="308"/>
        <v>77.478359290171511</v>
      </c>
      <c r="AB123" s="426">
        <f t="shared" si="308"/>
        <v>80.291391509654943</v>
      </c>
      <c r="AC123" s="426">
        <f t="shared" si="308"/>
        <v>83.198855780888763</v>
      </c>
      <c r="AD123" s="426">
        <f t="shared" si="308"/>
        <v>86.203790084570372</v>
      </c>
      <c r="AE123" s="426">
        <f t="shared" si="308"/>
        <v>0</v>
      </c>
      <c r="AF123" s="426">
        <f t="shared" si="308"/>
        <v>0</v>
      </c>
      <c r="AG123" s="426">
        <f t="shared" si="308"/>
        <v>0</v>
      </c>
      <c r="AH123" s="426">
        <f t="shared" si="308"/>
        <v>0</v>
      </c>
      <c r="AI123" s="426">
        <f t="shared" si="308"/>
        <v>0</v>
      </c>
      <c r="AJ123" s="426">
        <f t="shared" si="308"/>
        <v>0</v>
      </c>
      <c r="AK123" s="426">
        <f t="shared" si="308"/>
        <v>0</v>
      </c>
      <c r="AL123" s="426">
        <f t="shared" si="308"/>
        <v>0</v>
      </c>
      <c r="AM123" s="426">
        <f t="shared" si="308"/>
        <v>0</v>
      </c>
      <c r="AN123" s="426">
        <f t="shared" si="308"/>
        <v>0</v>
      </c>
      <c r="AO123" s="426">
        <f t="shared" si="308"/>
        <v>0</v>
      </c>
      <c r="AP123" s="426">
        <f t="shared" si="308"/>
        <v>0</v>
      </c>
      <c r="AQ123" s="426">
        <f t="shared" si="308"/>
        <v>0</v>
      </c>
      <c r="AR123" s="426">
        <f t="shared" si="308"/>
        <v>0</v>
      </c>
      <c r="AS123" s="426">
        <f t="shared" si="308"/>
        <v>0</v>
      </c>
      <c r="AT123" s="426">
        <f t="shared" si="308"/>
        <v>0</v>
      </c>
      <c r="AU123" s="426">
        <f t="shared" si="308"/>
        <v>0</v>
      </c>
      <c r="AV123" s="426">
        <f t="shared" si="308"/>
        <v>0</v>
      </c>
      <c r="AW123" s="426">
        <f t="shared" si="308"/>
        <v>0</v>
      </c>
    </row>
    <row r="124" spans="3:49" ht="14.25" customHeight="1">
      <c r="C124" s="427"/>
      <c r="D124" s="414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14"/>
      <c r="S124" s="414"/>
      <c r="T124" s="414"/>
      <c r="U124" s="414"/>
      <c r="V124" s="414"/>
      <c r="W124" s="414"/>
      <c r="X124" s="414"/>
      <c r="Y124" s="414"/>
      <c r="Z124" s="414"/>
      <c r="AA124" s="414"/>
      <c r="AB124" s="414"/>
      <c r="AC124" s="414"/>
      <c r="AD124" s="414"/>
      <c r="AE124" s="414"/>
      <c r="AF124" s="414"/>
      <c r="AG124" s="414"/>
      <c r="AH124" s="414"/>
      <c r="AI124" s="414"/>
      <c r="AJ124" s="414"/>
      <c r="AK124" s="414"/>
      <c r="AL124" s="414"/>
      <c r="AM124" s="414"/>
      <c r="AN124" s="414"/>
      <c r="AO124" s="414"/>
      <c r="AP124" s="414"/>
      <c r="AQ124" s="414"/>
      <c r="AR124" s="414"/>
      <c r="AS124" s="414"/>
      <c r="AT124" s="414"/>
      <c r="AU124" s="414"/>
      <c r="AV124" s="414"/>
      <c r="AW124" s="414"/>
    </row>
    <row r="125" spans="3:49" ht="14.25" customHeight="1">
      <c r="C125" s="414" t="s">
        <v>535</v>
      </c>
      <c r="D125" s="425">
        <f>D119*'Assumptions &amp; Inputs'!$J$23</f>
        <v>0</v>
      </c>
      <c r="E125" s="425">
        <f>E119*'Assumptions &amp; Inputs'!$J$23</f>
        <v>0.44621623465211463</v>
      </c>
      <c r="F125" s="425">
        <f>F119*'Assumptions &amp; Inputs'!$J$23</f>
        <v>0.68940408253751717</v>
      </c>
      <c r="G125" s="425">
        <f>G119*'Assumptions &amp; Inputs'!$J$23</f>
        <v>0.71008620501364261</v>
      </c>
      <c r="H125" s="425">
        <f>H119*'Assumptions &amp; Inputs'!$J$23</f>
        <v>0.73138879116405175</v>
      </c>
      <c r="I125" s="425">
        <f>I119*'Assumptions &amp; Inputs'!$J$23</f>
        <v>0.75333045489897332</v>
      </c>
      <c r="J125" s="425">
        <f>J119*'Assumptions &amp; Inputs'!$J$23</f>
        <v>0.77593036854594244</v>
      </c>
      <c r="K125" s="425">
        <f>K119*'Assumptions &amp; Inputs'!$J$23</f>
        <v>0.79920827960232077</v>
      </c>
      <c r="L125" s="425">
        <f>L119*'Assumptions &amp; Inputs'!$J$23</f>
        <v>0.82318452799039055</v>
      </c>
      <c r="M125" s="425">
        <f>M119*'Assumptions &amp; Inputs'!$J$23</f>
        <v>0.84788006383010217</v>
      </c>
      <c r="N125" s="425">
        <f>N119*'Assumptions &amp; Inputs'!$J$23</f>
        <v>0.87331646574500521</v>
      </c>
      <c r="O125" s="425">
        <f>O119*'Assumptions &amp; Inputs'!$J$23</f>
        <v>0.89951595971735554</v>
      </c>
      <c r="P125" s="425">
        <f>P119*'Assumptions &amp; Inputs'!$J$23</f>
        <v>0.92650143850887601</v>
      </c>
      <c r="Q125" s="425">
        <f>Q119*'Assumptions &amp; Inputs'!$J$23</f>
        <v>0.95429648166414216</v>
      </c>
      <c r="R125" s="425">
        <f>R119*'Assumptions &amp; Inputs'!$J$23</f>
        <v>0.98292537611406661</v>
      </c>
      <c r="S125" s="425">
        <f>S119*'Assumptions &amp; Inputs'!$J$23</f>
        <v>1.0124131373974887</v>
      </c>
      <c r="T125" s="425">
        <f>T119*'Assumptions &amp; Inputs'!$J$23</f>
        <v>1.042785531519413</v>
      </c>
      <c r="U125" s="425">
        <f>U119*'Assumptions &amp; Inputs'!$J$23</f>
        <v>1.0740690974649953</v>
      </c>
      <c r="V125" s="425">
        <f>V119*'Assumptions &amp; Inputs'!$J$23</f>
        <v>1.1062911703889453</v>
      </c>
      <c r="W125" s="425">
        <f>W119*'Assumptions &amp; Inputs'!$J$23</f>
        <v>1.1394799055006137</v>
      </c>
      <c r="X125" s="425">
        <f>X119*'Assumptions &amp; Inputs'!$J$23</f>
        <v>1.1736643026656322</v>
      </c>
      <c r="Y125" s="425">
        <f>Y119*'Assumptions &amp; Inputs'!$J$23</f>
        <v>1.2088742317456009</v>
      </c>
      <c r="Z125" s="425">
        <f>Z119*'Assumptions &amp; Inputs'!$J$23</f>
        <v>1.2451404586979691</v>
      </c>
      <c r="AA125" s="425">
        <f>AA119*'Assumptions &amp; Inputs'!$J$23</f>
        <v>1.2824946724589079</v>
      </c>
      <c r="AB125" s="425">
        <f>AB119*'Assumptions &amp; Inputs'!$J$23</f>
        <v>1.3209695126326753</v>
      </c>
      <c r="AC125" s="425">
        <f>AC119*'Assumptions &amp; Inputs'!$J$23</f>
        <v>1.3605985980116555</v>
      </c>
      <c r="AD125" s="425">
        <f>AD119*'Assumptions &amp; Inputs'!$J$23</f>
        <v>1.4014165559520055</v>
      </c>
      <c r="AE125" s="425">
        <f>AE119*'Assumptions &amp; Inputs'!$J$23</f>
        <v>0</v>
      </c>
      <c r="AF125" s="425">
        <f>AF119*'Assumptions &amp; Inputs'!$J$23</f>
        <v>0</v>
      </c>
      <c r="AG125" s="425">
        <f>AG119*'Assumptions &amp; Inputs'!$J$23</f>
        <v>0</v>
      </c>
      <c r="AH125" s="425">
        <f>AH119*'Assumptions &amp; Inputs'!$J$23</f>
        <v>0</v>
      </c>
      <c r="AI125" s="425">
        <f>AI119*'Assumptions &amp; Inputs'!$J$23</f>
        <v>0</v>
      </c>
      <c r="AJ125" s="425">
        <f>AJ119*'Assumptions &amp; Inputs'!$J$23</f>
        <v>0</v>
      </c>
      <c r="AK125" s="425">
        <f>AK119*'Assumptions &amp; Inputs'!$J$23</f>
        <v>0</v>
      </c>
      <c r="AL125" s="425">
        <f>AL119*'Assumptions &amp; Inputs'!$J$23</f>
        <v>0</v>
      </c>
      <c r="AM125" s="425">
        <f>AM119*'Assumptions &amp; Inputs'!$J$23</f>
        <v>0</v>
      </c>
      <c r="AN125" s="425">
        <f>AN119*'Assumptions &amp; Inputs'!$J$23</f>
        <v>0</v>
      </c>
      <c r="AO125" s="425">
        <f>AO119*'Assumptions &amp; Inputs'!$J$23</f>
        <v>0</v>
      </c>
      <c r="AP125" s="425">
        <f>AP119*'Assumptions &amp; Inputs'!$J$23</f>
        <v>0</v>
      </c>
      <c r="AQ125" s="425">
        <f>AQ119*'Assumptions &amp; Inputs'!$J$23</f>
        <v>0</v>
      </c>
      <c r="AR125" s="425">
        <f>AR119*'Assumptions &amp; Inputs'!$J$23</f>
        <v>0</v>
      </c>
      <c r="AS125" s="425">
        <f>AS119*'Assumptions &amp; Inputs'!$J$23</f>
        <v>0</v>
      </c>
      <c r="AT125" s="425">
        <f>AT119*'Assumptions &amp; Inputs'!$J$23</f>
        <v>0</v>
      </c>
      <c r="AU125" s="425">
        <f>AU119*'Assumptions &amp; Inputs'!$J$23</f>
        <v>0</v>
      </c>
      <c r="AV125" s="425">
        <f>AV119*'Assumptions &amp; Inputs'!$J$23</f>
        <v>0</v>
      </c>
      <c r="AW125" s="425">
        <f>AW119*'Assumptions &amp; Inputs'!$J$23</f>
        <v>0</v>
      </c>
    </row>
    <row r="126" spans="3:49" ht="14.25" customHeight="1">
      <c r="C126" s="414" t="s">
        <v>527</v>
      </c>
      <c r="D126" s="425">
        <f>IF(YEAR('Assumptions &amp; Inputs'!$J$31)&gt;D110, 0, IF(D110=YEAR('Assumptions &amp; Inputs'!$J$31),'Assumptions &amp; Inputs'!$J$64*'Assumptions &amp; Inputs'!$J$63*'Assumptions &amp; Inputs'!$J$23*YEARFRAC('Assumptions &amp; Inputs'!$J$31,'Assumptions &amp; Inputs'!$J$32), IF(YEAR('Assumptions &amp; Inputs'!$J$36)&gt;=D110, 'Assumptions &amp; Inputs'!$J$64*'Assumptions &amp; Inputs'!$J$63*'Assumptions &amp; Inputs'!$J$23*(1+'Assumptions &amp; Inputs'!$J$22)^(Hydrogen!D110-YEAR('Assumptions &amp; Inputs'!$J$31)), 0)))</f>
        <v>0</v>
      </c>
      <c r="E126" s="425">
        <f>IF(YEAR('Assumptions &amp; Inputs'!$J$31)&gt;E110, 0, IF(E110=YEAR('Assumptions &amp; Inputs'!$J$31),'Assumptions &amp; Inputs'!$J$64*'Assumptions &amp; Inputs'!$J$63*'Assumptions &amp; Inputs'!$J$23*YEARFRAC('Assumptions &amp; Inputs'!$J$31,'Assumptions &amp; Inputs'!$J$32), IF(YEAR('Assumptions &amp; Inputs'!$J$36)&gt;=E110, 'Assumptions &amp; Inputs'!$J$64*'Assumptions &amp; Inputs'!$J$63*'Assumptions &amp; Inputs'!$J$23*(1+'Assumptions &amp; Inputs'!$J$22)^(Hydrogen!E110-YEAR('Assumptions &amp; Inputs'!$J$31)), 0)))</f>
        <v>1.51</v>
      </c>
      <c r="F126" s="425">
        <f>IF(YEAR('Assumptions &amp; Inputs'!$J$31)&gt;F110, 0, IF(F110=YEAR('Assumptions &amp; Inputs'!$J$31),'Assumptions &amp; Inputs'!$J$64*'Assumptions &amp; Inputs'!$J$63*'Assumptions &amp; Inputs'!$J$23*YEARFRAC('Assumptions &amp; Inputs'!$J$31,'Assumptions &amp; Inputs'!$J$32), IF(YEAR('Assumptions &amp; Inputs'!$J$36)&gt;=F110, 'Assumptions &amp; Inputs'!$J$64*'Assumptions &amp; Inputs'!$J$63*'Assumptions &amp; Inputs'!$J$23*(1+'Assumptions &amp; Inputs'!$J$22)^(Hydrogen!F110-YEAR('Assumptions &amp; Inputs'!$J$31)), 0)))</f>
        <v>2.3103000000000002</v>
      </c>
      <c r="G126" s="425">
        <f>IF(YEAR('Assumptions &amp; Inputs'!$J$31)&gt;G110, 0, IF(G110=YEAR('Assumptions &amp; Inputs'!$J$31),'Assumptions &amp; Inputs'!$J$64*'Assumptions &amp; Inputs'!$J$63*'Assumptions &amp; Inputs'!$J$23*YEARFRAC('Assumptions &amp; Inputs'!$J$31,'Assumptions &amp; Inputs'!$J$32), IF(YEAR('Assumptions &amp; Inputs'!$J$36)&gt;=G110, 'Assumptions &amp; Inputs'!$J$64*'Assumptions &amp; Inputs'!$J$63*'Assumptions &amp; Inputs'!$J$23*(1+'Assumptions &amp; Inputs'!$J$22)^(Hydrogen!G110-YEAR('Assumptions &amp; Inputs'!$J$31)), 0)))</f>
        <v>2.356506</v>
      </c>
      <c r="H126" s="425">
        <f>IF(YEAR('Assumptions &amp; Inputs'!$J$31)&gt;H110, 0, IF(H110=YEAR('Assumptions &amp; Inputs'!$J$31),'Assumptions &amp; Inputs'!$J$64*'Assumptions &amp; Inputs'!$J$63*'Assumptions &amp; Inputs'!$J$23*YEARFRAC('Assumptions &amp; Inputs'!$J$31,'Assumptions &amp; Inputs'!$J$32), IF(YEAR('Assumptions &amp; Inputs'!$J$36)&gt;=H110, 'Assumptions &amp; Inputs'!$J$64*'Assumptions &amp; Inputs'!$J$63*'Assumptions &amp; Inputs'!$J$23*(1+'Assumptions &amp; Inputs'!$J$22)^(Hydrogen!H110-YEAR('Assumptions &amp; Inputs'!$J$31)), 0)))</f>
        <v>2.4036361199999998</v>
      </c>
      <c r="I126" s="425">
        <f>IF(YEAR('Assumptions &amp; Inputs'!$J$31)&gt;I110, 0, IF(I110=YEAR('Assumptions &amp; Inputs'!$J$31),'Assumptions &amp; Inputs'!$J$64*'Assumptions &amp; Inputs'!$J$63*'Assumptions &amp; Inputs'!$J$23*YEARFRAC('Assumptions &amp; Inputs'!$J$31,'Assumptions &amp; Inputs'!$J$32), IF(YEAR('Assumptions &amp; Inputs'!$J$36)&gt;=I110, 'Assumptions &amp; Inputs'!$J$64*'Assumptions &amp; Inputs'!$J$63*'Assumptions &amp; Inputs'!$J$23*(1+'Assumptions &amp; Inputs'!$J$22)^(Hydrogen!I110-YEAR('Assumptions &amp; Inputs'!$J$31)), 0)))</f>
        <v>2.4517088424</v>
      </c>
      <c r="J126" s="425">
        <f>IF(YEAR('Assumptions &amp; Inputs'!$J$31)&gt;J110, 0, IF(J110=YEAR('Assumptions &amp; Inputs'!$J$31),'Assumptions &amp; Inputs'!$J$64*'Assumptions &amp; Inputs'!$J$63*'Assumptions &amp; Inputs'!$J$23*YEARFRAC('Assumptions &amp; Inputs'!$J$31,'Assumptions &amp; Inputs'!$J$32), IF(YEAR('Assumptions &amp; Inputs'!$J$36)&gt;=J110, 'Assumptions &amp; Inputs'!$J$64*'Assumptions &amp; Inputs'!$J$63*'Assumptions &amp; Inputs'!$J$23*(1+'Assumptions &amp; Inputs'!$J$22)^(Hydrogen!J110-YEAR('Assumptions &amp; Inputs'!$J$31)), 0)))</f>
        <v>2.500743019248</v>
      </c>
      <c r="K126" s="425">
        <f>IF(YEAR('Assumptions &amp; Inputs'!$J$31)&gt;K110, 0, IF(K110=YEAR('Assumptions &amp; Inputs'!$J$31),'Assumptions &amp; Inputs'!$J$64*'Assumptions &amp; Inputs'!$J$63*'Assumptions &amp; Inputs'!$J$23*YEARFRAC('Assumptions &amp; Inputs'!$J$31,'Assumptions &amp; Inputs'!$J$32), IF(YEAR('Assumptions &amp; Inputs'!$J$36)&gt;=K110, 'Assumptions &amp; Inputs'!$J$64*'Assumptions &amp; Inputs'!$J$63*'Assumptions &amp; Inputs'!$J$23*(1+'Assumptions &amp; Inputs'!$J$22)^(Hydrogen!K110-YEAR('Assumptions &amp; Inputs'!$J$31)), 0)))</f>
        <v>2.5507578796329602</v>
      </c>
      <c r="L126" s="425">
        <f>IF(YEAR('Assumptions &amp; Inputs'!$J$31)&gt;L110, 0, IF(L110=YEAR('Assumptions &amp; Inputs'!$J$31),'Assumptions &amp; Inputs'!$J$64*'Assumptions &amp; Inputs'!$J$63*'Assumptions &amp; Inputs'!$J$23*YEARFRAC('Assumptions &amp; Inputs'!$J$31,'Assumptions &amp; Inputs'!$J$32), IF(YEAR('Assumptions &amp; Inputs'!$J$36)&gt;=L110, 'Assumptions &amp; Inputs'!$J$64*'Assumptions &amp; Inputs'!$J$63*'Assumptions &amp; Inputs'!$J$23*(1+'Assumptions &amp; Inputs'!$J$22)^(Hydrogen!L110-YEAR('Assumptions &amp; Inputs'!$J$31)), 0)))</f>
        <v>2.6017730372256191</v>
      </c>
      <c r="M126" s="425">
        <f>IF(YEAR('Assumptions &amp; Inputs'!$J$31)&gt;M110, 0, IF(M110=YEAR('Assumptions &amp; Inputs'!$J$31),'Assumptions &amp; Inputs'!$J$64*'Assumptions &amp; Inputs'!$J$63*'Assumptions &amp; Inputs'!$J$23*YEARFRAC('Assumptions &amp; Inputs'!$J$31,'Assumptions &amp; Inputs'!$J$32), IF(YEAR('Assumptions &amp; Inputs'!$J$36)&gt;=M110, 'Assumptions &amp; Inputs'!$J$64*'Assumptions &amp; Inputs'!$J$63*'Assumptions &amp; Inputs'!$J$23*(1+'Assumptions &amp; Inputs'!$J$22)^(Hydrogen!M110-YEAR('Assumptions &amp; Inputs'!$J$31)), 0)))</f>
        <v>2.6538084979701315</v>
      </c>
      <c r="N126" s="425">
        <f>IF(YEAR('Assumptions &amp; Inputs'!$J$31)&gt;N110, 0, IF(N110=YEAR('Assumptions &amp; Inputs'!$J$31),'Assumptions &amp; Inputs'!$J$64*'Assumptions &amp; Inputs'!$J$63*'Assumptions &amp; Inputs'!$J$23*YEARFRAC('Assumptions &amp; Inputs'!$J$31,'Assumptions &amp; Inputs'!$J$32), IF(YEAR('Assumptions &amp; Inputs'!$J$36)&gt;=N110, 'Assumptions &amp; Inputs'!$J$64*'Assumptions &amp; Inputs'!$J$63*'Assumptions &amp; Inputs'!$J$23*(1+'Assumptions &amp; Inputs'!$J$22)^(Hydrogen!N110-YEAR('Assumptions &amp; Inputs'!$J$31)), 0)))</f>
        <v>2.706884667929534</v>
      </c>
      <c r="O126" s="425">
        <f>IF(YEAR('Assumptions &amp; Inputs'!$J$31)&gt;O110, 0, IF(O110=YEAR('Assumptions &amp; Inputs'!$J$31),'Assumptions &amp; Inputs'!$J$64*'Assumptions &amp; Inputs'!$J$63*'Assumptions &amp; Inputs'!$J$23*YEARFRAC('Assumptions &amp; Inputs'!$J$31,'Assumptions &amp; Inputs'!$J$32), IF(YEAR('Assumptions &amp; Inputs'!$J$36)&gt;=O110, 'Assumptions &amp; Inputs'!$J$64*'Assumptions &amp; Inputs'!$J$63*'Assumptions &amp; Inputs'!$J$23*(1+'Assumptions &amp; Inputs'!$J$22)^(Hydrogen!O110-YEAR('Assumptions &amp; Inputs'!$J$31)), 0)))</f>
        <v>2.7610223612881248</v>
      </c>
      <c r="P126" s="425">
        <f>IF(YEAR('Assumptions &amp; Inputs'!$J$31)&gt;P110, 0, IF(P110=YEAR('Assumptions &amp; Inputs'!$J$31),'Assumptions &amp; Inputs'!$J$64*'Assumptions &amp; Inputs'!$J$63*'Assumptions &amp; Inputs'!$J$23*YEARFRAC('Assumptions &amp; Inputs'!$J$31,'Assumptions &amp; Inputs'!$J$32), IF(YEAR('Assumptions &amp; Inputs'!$J$36)&gt;=P110, 'Assumptions &amp; Inputs'!$J$64*'Assumptions &amp; Inputs'!$J$63*'Assumptions &amp; Inputs'!$J$23*(1+'Assumptions &amp; Inputs'!$J$22)^(Hydrogen!P110-YEAR('Assumptions &amp; Inputs'!$J$31)), 0)))</f>
        <v>2.8162428085138869</v>
      </c>
      <c r="Q126" s="425">
        <f>IF(YEAR('Assumptions &amp; Inputs'!$J$31)&gt;Q110, 0, IF(Q110=YEAR('Assumptions &amp; Inputs'!$J$31),'Assumptions &amp; Inputs'!$J$64*'Assumptions &amp; Inputs'!$J$63*'Assumptions &amp; Inputs'!$J$23*YEARFRAC('Assumptions &amp; Inputs'!$J$31,'Assumptions &amp; Inputs'!$J$32), IF(YEAR('Assumptions &amp; Inputs'!$J$36)&gt;=Q110, 'Assumptions &amp; Inputs'!$J$64*'Assumptions &amp; Inputs'!$J$63*'Assumptions &amp; Inputs'!$J$23*(1+'Assumptions &amp; Inputs'!$J$22)^(Hydrogen!Q110-YEAR('Assumptions &amp; Inputs'!$J$31)), 0)))</f>
        <v>2.8725676646841651</v>
      </c>
      <c r="R126" s="425">
        <f>IF(YEAR('Assumptions &amp; Inputs'!$J$31)&gt;R110, 0, IF(R110=YEAR('Assumptions &amp; Inputs'!$J$31),'Assumptions &amp; Inputs'!$J$64*'Assumptions &amp; Inputs'!$J$63*'Assumptions &amp; Inputs'!$J$23*YEARFRAC('Assumptions &amp; Inputs'!$J$31,'Assumptions &amp; Inputs'!$J$32), IF(YEAR('Assumptions &amp; Inputs'!$J$36)&gt;=R110, 'Assumptions &amp; Inputs'!$J$64*'Assumptions &amp; Inputs'!$J$63*'Assumptions &amp; Inputs'!$J$23*(1+'Assumptions &amp; Inputs'!$J$22)^(Hydrogen!R110-YEAR('Assumptions &amp; Inputs'!$J$31)), 0)))</f>
        <v>2.9300190179778483</v>
      </c>
      <c r="S126" s="425">
        <f>IF(YEAR('Assumptions &amp; Inputs'!$J$31)&gt;S110, 0, IF(S110=YEAR('Assumptions &amp; Inputs'!$J$31),'Assumptions &amp; Inputs'!$J$64*'Assumptions &amp; Inputs'!$J$63*'Assumptions &amp; Inputs'!$J$23*YEARFRAC('Assumptions &amp; Inputs'!$J$31,'Assumptions &amp; Inputs'!$J$32), IF(YEAR('Assumptions &amp; Inputs'!$J$36)&gt;=S110, 'Assumptions &amp; Inputs'!$J$64*'Assumptions &amp; Inputs'!$J$63*'Assumptions &amp; Inputs'!$J$23*(1+'Assumptions &amp; Inputs'!$J$22)^(Hydrogen!S110-YEAR('Assumptions &amp; Inputs'!$J$31)), 0)))</f>
        <v>2.9886193983374056</v>
      </c>
      <c r="T126" s="425">
        <f>IF(YEAR('Assumptions &amp; Inputs'!$J$31)&gt;T110, 0, IF(T110=YEAR('Assumptions &amp; Inputs'!$J$31),'Assumptions &amp; Inputs'!$J$64*'Assumptions &amp; Inputs'!$J$63*'Assumptions &amp; Inputs'!$J$23*YEARFRAC('Assumptions &amp; Inputs'!$J$31,'Assumptions &amp; Inputs'!$J$32), IF(YEAR('Assumptions &amp; Inputs'!$J$36)&gt;=T110, 'Assumptions &amp; Inputs'!$J$64*'Assumptions &amp; Inputs'!$J$63*'Assumptions &amp; Inputs'!$J$23*(1+'Assumptions &amp; Inputs'!$J$22)^(Hydrogen!T110-YEAR('Assumptions &amp; Inputs'!$J$31)), 0)))</f>
        <v>3.048391786304153</v>
      </c>
      <c r="U126" s="425">
        <f>IF(YEAR('Assumptions &amp; Inputs'!$J$31)&gt;U110, 0, IF(U110=YEAR('Assumptions &amp; Inputs'!$J$31),'Assumptions &amp; Inputs'!$J$64*'Assumptions &amp; Inputs'!$J$63*'Assumptions &amp; Inputs'!$J$23*YEARFRAC('Assumptions &amp; Inputs'!$J$31,'Assumptions &amp; Inputs'!$J$32), IF(YEAR('Assumptions &amp; Inputs'!$J$36)&gt;=U110, 'Assumptions &amp; Inputs'!$J$64*'Assumptions &amp; Inputs'!$J$63*'Assumptions &amp; Inputs'!$J$23*(1+'Assumptions &amp; Inputs'!$J$22)^(Hydrogen!U110-YEAR('Assumptions &amp; Inputs'!$J$31)), 0)))</f>
        <v>3.1093596220302366</v>
      </c>
      <c r="V126" s="425">
        <f>IF(YEAR('Assumptions &amp; Inputs'!$J$31)&gt;V110, 0, IF(V110=YEAR('Assumptions &amp; Inputs'!$J$31),'Assumptions &amp; Inputs'!$J$64*'Assumptions &amp; Inputs'!$J$63*'Assumptions &amp; Inputs'!$J$23*YEARFRAC('Assumptions &amp; Inputs'!$J$31,'Assumptions &amp; Inputs'!$J$32), IF(YEAR('Assumptions &amp; Inputs'!$J$36)&gt;=V110, 'Assumptions &amp; Inputs'!$J$64*'Assumptions &amp; Inputs'!$J$63*'Assumptions &amp; Inputs'!$J$23*(1+'Assumptions &amp; Inputs'!$J$22)^(Hydrogen!V110-YEAR('Assumptions &amp; Inputs'!$J$31)), 0)))</f>
        <v>3.1715468144708416</v>
      </c>
      <c r="W126" s="425">
        <f>IF(YEAR('Assumptions &amp; Inputs'!$J$31)&gt;W110, 0, IF(W110=YEAR('Assumptions &amp; Inputs'!$J$31),'Assumptions &amp; Inputs'!$J$64*'Assumptions &amp; Inputs'!$J$63*'Assumptions &amp; Inputs'!$J$23*YEARFRAC('Assumptions &amp; Inputs'!$J$31,'Assumptions &amp; Inputs'!$J$32), IF(YEAR('Assumptions &amp; Inputs'!$J$36)&gt;=W110, 'Assumptions &amp; Inputs'!$J$64*'Assumptions &amp; Inputs'!$J$63*'Assumptions &amp; Inputs'!$J$23*(1+'Assumptions &amp; Inputs'!$J$22)^(Hydrogen!W110-YEAR('Assumptions &amp; Inputs'!$J$31)), 0)))</f>
        <v>3.2349777507602577</v>
      </c>
      <c r="X126" s="425">
        <f>IF(YEAR('Assumptions &amp; Inputs'!$J$31)&gt;X110, 0, IF(X110=YEAR('Assumptions &amp; Inputs'!$J$31),'Assumptions &amp; Inputs'!$J$64*'Assumptions &amp; Inputs'!$J$63*'Assumptions &amp; Inputs'!$J$23*YEARFRAC('Assumptions &amp; Inputs'!$J$31,'Assumptions &amp; Inputs'!$J$32), IF(YEAR('Assumptions &amp; Inputs'!$J$36)&gt;=X110, 'Assumptions &amp; Inputs'!$J$64*'Assumptions &amp; Inputs'!$J$63*'Assumptions &amp; Inputs'!$J$23*(1+'Assumptions &amp; Inputs'!$J$22)^(Hydrogen!X110-YEAR('Assumptions &amp; Inputs'!$J$31)), 0)))</f>
        <v>3.2996773057754631</v>
      </c>
      <c r="Y126" s="425">
        <f>IF(YEAR('Assumptions &amp; Inputs'!$J$31)&gt;Y110, 0, IF(Y110=YEAR('Assumptions &amp; Inputs'!$J$31),'Assumptions &amp; Inputs'!$J$64*'Assumptions &amp; Inputs'!$J$63*'Assumptions &amp; Inputs'!$J$23*YEARFRAC('Assumptions &amp; Inputs'!$J$31,'Assumptions &amp; Inputs'!$J$32), IF(YEAR('Assumptions &amp; Inputs'!$J$36)&gt;=Y110, 'Assumptions &amp; Inputs'!$J$64*'Assumptions &amp; Inputs'!$J$63*'Assumptions &amp; Inputs'!$J$23*(1+'Assumptions &amp; Inputs'!$J$22)^(Hydrogen!Y110-YEAR('Assumptions &amp; Inputs'!$J$31)), 0)))</f>
        <v>3.3656708518909726</v>
      </c>
      <c r="Z126" s="425">
        <f>IF(YEAR('Assumptions &amp; Inputs'!$J$31)&gt;Z110, 0, IF(Z110=YEAR('Assumptions &amp; Inputs'!$J$31),'Assumptions &amp; Inputs'!$J$64*'Assumptions &amp; Inputs'!$J$63*'Assumptions &amp; Inputs'!$J$23*YEARFRAC('Assumptions &amp; Inputs'!$J$31,'Assumptions &amp; Inputs'!$J$32), IF(YEAR('Assumptions &amp; Inputs'!$J$36)&gt;=Z110, 'Assumptions &amp; Inputs'!$J$64*'Assumptions &amp; Inputs'!$J$63*'Assumptions &amp; Inputs'!$J$23*(1+'Assumptions &amp; Inputs'!$J$22)^(Hydrogen!Z110-YEAR('Assumptions &amp; Inputs'!$J$31)), 0)))</f>
        <v>3.4329842689287919</v>
      </c>
      <c r="AA126" s="425">
        <f>IF(YEAR('Assumptions &amp; Inputs'!$J$31)&gt;AA110, 0, IF(AA110=YEAR('Assumptions &amp; Inputs'!$J$31),'Assumptions &amp; Inputs'!$J$64*'Assumptions &amp; Inputs'!$J$63*'Assumptions &amp; Inputs'!$J$23*YEARFRAC('Assumptions &amp; Inputs'!$J$31,'Assumptions &amp; Inputs'!$J$32), IF(YEAR('Assumptions &amp; Inputs'!$J$36)&gt;=AA110, 'Assumptions &amp; Inputs'!$J$64*'Assumptions &amp; Inputs'!$J$63*'Assumptions &amp; Inputs'!$J$23*(1+'Assumptions &amp; Inputs'!$J$22)^(Hydrogen!AA110-YEAR('Assumptions &amp; Inputs'!$J$31)), 0)))</f>
        <v>3.5016439543073679</v>
      </c>
      <c r="AB126" s="425">
        <f>IF(YEAR('Assumptions &amp; Inputs'!$J$31)&gt;AB110, 0, IF(AB110=YEAR('Assumptions &amp; Inputs'!$J$31),'Assumptions &amp; Inputs'!$J$64*'Assumptions &amp; Inputs'!$J$63*'Assumptions &amp; Inputs'!$J$23*YEARFRAC('Assumptions &amp; Inputs'!$J$31,'Assumptions &amp; Inputs'!$J$32), IF(YEAR('Assumptions &amp; Inputs'!$J$36)&gt;=AB110, 'Assumptions &amp; Inputs'!$J$64*'Assumptions &amp; Inputs'!$J$63*'Assumptions &amp; Inputs'!$J$23*(1+'Assumptions &amp; Inputs'!$J$22)^(Hydrogen!AB110-YEAR('Assumptions &amp; Inputs'!$J$31)), 0)))</f>
        <v>3.5716768333935143</v>
      </c>
      <c r="AC126" s="425">
        <f>IF(YEAR('Assumptions &amp; Inputs'!$J$31)&gt;AC110, 0, IF(AC110=YEAR('Assumptions &amp; Inputs'!$J$31),'Assumptions &amp; Inputs'!$J$64*'Assumptions &amp; Inputs'!$J$63*'Assumptions &amp; Inputs'!$J$23*YEARFRAC('Assumptions &amp; Inputs'!$J$31,'Assumptions &amp; Inputs'!$J$32), IF(YEAR('Assumptions &amp; Inputs'!$J$36)&gt;=AC110, 'Assumptions &amp; Inputs'!$J$64*'Assumptions &amp; Inputs'!$J$63*'Assumptions &amp; Inputs'!$J$23*(1+'Assumptions &amp; Inputs'!$J$22)^(Hydrogen!AC110-YEAR('Assumptions &amp; Inputs'!$J$31)), 0)))</f>
        <v>3.6431103700613847</v>
      </c>
      <c r="AD126" s="425">
        <f>IF(YEAR('Assumptions &amp; Inputs'!$J$31)&gt;AD110, 0, IF(AD110=YEAR('Assumptions &amp; Inputs'!$J$31),'Assumptions &amp; Inputs'!$J$64*'Assumptions &amp; Inputs'!$J$63*'Assumptions &amp; Inputs'!$J$23*YEARFRAC('Assumptions &amp; Inputs'!$J$31,'Assumptions &amp; Inputs'!$J$32), IF(YEAR('Assumptions &amp; Inputs'!$J$36)&gt;=AD110, 'Assumptions &amp; Inputs'!$J$64*'Assumptions &amp; Inputs'!$J$63*'Assumptions &amp; Inputs'!$J$23*(1+'Assumptions &amp; Inputs'!$J$22)^(Hydrogen!AD110-YEAR('Assumptions &amp; Inputs'!$J$31)), 0)))</f>
        <v>3.7159725774626127</v>
      </c>
      <c r="AE126" s="425">
        <f>IF(YEAR('Assumptions &amp; Inputs'!$J$31)&gt;AE110, 0, IF(AE110=YEAR('Assumptions &amp; Inputs'!$J$31),'Assumptions &amp; Inputs'!$J$64*'Assumptions &amp; Inputs'!$J$63*'Assumptions &amp; Inputs'!$J$23*YEARFRAC('Assumptions &amp; Inputs'!$J$31,'Assumptions &amp; Inputs'!$J$32), IF(YEAR('Assumptions &amp; Inputs'!$J$36)&gt;=AE110, 'Assumptions &amp; Inputs'!$J$64*'Assumptions &amp; Inputs'!$J$63*'Assumptions &amp; Inputs'!$J$23*(1+'Assumptions &amp; Inputs'!$J$22)^(Hydrogen!AE110-YEAR('Assumptions &amp; Inputs'!$J$31)), 0)))</f>
        <v>0</v>
      </c>
      <c r="AF126" s="425">
        <f>IF(YEAR('Assumptions &amp; Inputs'!$J$31)&gt;AF110, 0, IF(AF110=YEAR('Assumptions &amp; Inputs'!$J$31),'Assumptions &amp; Inputs'!$J$64*'Assumptions &amp; Inputs'!$J$63*'Assumptions &amp; Inputs'!$J$23*YEARFRAC('Assumptions &amp; Inputs'!$J$31,'Assumptions &amp; Inputs'!$J$32), IF(YEAR('Assumptions &amp; Inputs'!$J$36)&gt;=AF110, 'Assumptions &amp; Inputs'!$J$64*'Assumptions &amp; Inputs'!$J$63*'Assumptions &amp; Inputs'!$J$23*(1+'Assumptions &amp; Inputs'!$J$22)^(Hydrogen!AF110-YEAR('Assumptions &amp; Inputs'!$J$31)), 0)))</f>
        <v>0</v>
      </c>
      <c r="AG126" s="425">
        <f>IF(YEAR('Assumptions &amp; Inputs'!$J$31)&gt;AG110, 0, IF(AG110=YEAR('Assumptions &amp; Inputs'!$J$31),'Assumptions &amp; Inputs'!$J$64*'Assumptions &amp; Inputs'!$J$63*'Assumptions &amp; Inputs'!$J$23*YEARFRAC('Assumptions &amp; Inputs'!$J$31,'Assumptions &amp; Inputs'!$J$32), IF(YEAR('Assumptions &amp; Inputs'!$J$36)&gt;=AG110, 'Assumptions &amp; Inputs'!$J$64*'Assumptions &amp; Inputs'!$J$63*'Assumptions &amp; Inputs'!$J$23*(1+'Assumptions &amp; Inputs'!$J$22)^(Hydrogen!AG110-YEAR('Assumptions &amp; Inputs'!$J$31)), 0)))</f>
        <v>0</v>
      </c>
      <c r="AH126" s="425">
        <f>IF(YEAR('Assumptions &amp; Inputs'!$J$31)&gt;AH110, 0, IF(AH110=YEAR('Assumptions &amp; Inputs'!$J$31),'Assumptions &amp; Inputs'!$J$64*'Assumptions &amp; Inputs'!$J$63*'Assumptions &amp; Inputs'!$J$23*YEARFRAC('Assumptions &amp; Inputs'!$J$31,'Assumptions &amp; Inputs'!$J$32), IF(YEAR('Assumptions &amp; Inputs'!$J$36)&gt;=AH110, 'Assumptions &amp; Inputs'!$J$64*'Assumptions &amp; Inputs'!$J$63*'Assumptions &amp; Inputs'!$J$23*(1+'Assumptions &amp; Inputs'!$J$22)^(Hydrogen!AH110-YEAR('Assumptions &amp; Inputs'!$J$31)), 0)))</f>
        <v>0</v>
      </c>
      <c r="AI126" s="425">
        <f>IF(YEAR('Assumptions &amp; Inputs'!$J$31)&gt;AI110, 0, IF(AI110=YEAR('Assumptions &amp; Inputs'!$J$31),'Assumptions &amp; Inputs'!$J$64*'Assumptions &amp; Inputs'!$J$63*'Assumptions &amp; Inputs'!$J$23*YEARFRAC('Assumptions &amp; Inputs'!$J$31,'Assumptions &amp; Inputs'!$J$32), IF(YEAR('Assumptions &amp; Inputs'!$J$36)&gt;=AI110, 'Assumptions &amp; Inputs'!$J$64*'Assumptions &amp; Inputs'!$J$63*'Assumptions &amp; Inputs'!$J$23*(1+'Assumptions &amp; Inputs'!$J$22)^(Hydrogen!AI110-YEAR('Assumptions &amp; Inputs'!$J$31)), 0)))</f>
        <v>0</v>
      </c>
      <c r="AJ126" s="425">
        <f>IF(YEAR('Assumptions &amp; Inputs'!$J$31)&gt;AJ110, 0, IF(AJ110=YEAR('Assumptions &amp; Inputs'!$J$31),'Assumptions &amp; Inputs'!$J$64*'Assumptions &amp; Inputs'!$J$63*'Assumptions &amp; Inputs'!$J$23*YEARFRAC('Assumptions &amp; Inputs'!$J$31,'Assumptions &amp; Inputs'!$J$32), IF(YEAR('Assumptions &amp; Inputs'!$J$36)&gt;=AJ110, 'Assumptions &amp; Inputs'!$J$64*'Assumptions &amp; Inputs'!$J$63*'Assumptions &amp; Inputs'!$J$23*(1+'Assumptions &amp; Inputs'!$J$22)^(Hydrogen!AJ110-YEAR('Assumptions &amp; Inputs'!$J$31)), 0)))</f>
        <v>0</v>
      </c>
      <c r="AK126" s="425">
        <f>IF(YEAR('Assumptions &amp; Inputs'!$J$31)&gt;AK110, 0, IF(AK110=YEAR('Assumptions &amp; Inputs'!$J$31),'Assumptions &amp; Inputs'!$J$64*'Assumptions &amp; Inputs'!$J$63*'Assumptions &amp; Inputs'!$J$23*YEARFRAC('Assumptions &amp; Inputs'!$J$31,'Assumptions &amp; Inputs'!$J$32), IF(YEAR('Assumptions &amp; Inputs'!$J$36)&gt;=AK110, 'Assumptions &amp; Inputs'!$J$64*'Assumptions &amp; Inputs'!$J$63*'Assumptions &amp; Inputs'!$J$23*(1+'Assumptions &amp; Inputs'!$J$22)^(Hydrogen!AK110-YEAR('Assumptions &amp; Inputs'!$J$31)), 0)))</f>
        <v>0</v>
      </c>
      <c r="AL126" s="425">
        <f>IF(YEAR('Assumptions &amp; Inputs'!$J$31)&gt;AL110, 0, IF(AL110=YEAR('Assumptions &amp; Inputs'!$J$31),'Assumptions &amp; Inputs'!$J$64*'Assumptions &amp; Inputs'!$J$63*'Assumptions &amp; Inputs'!$J$23*YEARFRAC('Assumptions &amp; Inputs'!$J$31,'Assumptions &amp; Inputs'!$J$32), IF(YEAR('Assumptions &amp; Inputs'!$J$36)&gt;=AL110, 'Assumptions &amp; Inputs'!$J$64*'Assumptions &amp; Inputs'!$J$63*'Assumptions &amp; Inputs'!$J$23*(1+'Assumptions &amp; Inputs'!$J$22)^(Hydrogen!AL110-YEAR('Assumptions &amp; Inputs'!$J$31)), 0)))</f>
        <v>0</v>
      </c>
      <c r="AM126" s="425">
        <f>IF(YEAR('Assumptions &amp; Inputs'!$J$31)&gt;AM110, 0, IF(AM110=YEAR('Assumptions &amp; Inputs'!$J$31),'Assumptions &amp; Inputs'!$J$64*'Assumptions &amp; Inputs'!$J$63*'Assumptions &amp; Inputs'!$J$23*YEARFRAC('Assumptions &amp; Inputs'!$J$31,'Assumptions &amp; Inputs'!$J$32), IF(YEAR('Assumptions &amp; Inputs'!$J$36)&gt;=AM110, 'Assumptions &amp; Inputs'!$J$64*'Assumptions &amp; Inputs'!$J$63*'Assumptions &amp; Inputs'!$J$23*(1+'Assumptions &amp; Inputs'!$J$22)^(Hydrogen!AM110-YEAR('Assumptions &amp; Inputs'!$J$31)), 0)))</f>
        <v>0</v>
      </c>
      <c r="AN126" s="425">
        <f>IF(YEAR('Assumptions &amp; Inputs'!$J$31)&gt;AN110, 0, IF(AN110=YEAR('Assumptions &amp; Inputs'!$J$31),'Assumptions &amp; Inputs'!$J$64*'Assumptions &amp; Inputs'!$J$63*'Assumptions &amp; Inputs'!$J$23*YEARFRAC('Assumptions &amp; Inputs'!$J$31,'Assumptions &amp; Inputs'!$J$32), IF(YEAR('Assumptions &amp; Inputs'!$J$36)&gt;=AN110, 'Assumptions &amp; Inputs'!$J$64*'Assumptions &amp; Inputs'!$J$63*'Assumptions &amp; Inputs'!$J$23*(1+'Assumptions &amp; Inputs'!$J$22)^(Hydrogen!AN110-YEAR('Assumptions &amp; Inputs'!$J$31)), 0)))</f>
        <v>0</v>
      </c>
      <c r="AO126" s="425">
        <f>IF(YEAR('Assumptions &amp; Inputs'!$J$31)&gt;AO110, 0, IF(AO110=YEAR('Assumptions &amp; Inputs'!$J$31),'Assumptions &amp; Inputs'!$J$64*'Assumptions &amp; Inputs'!$J$63*'Assumptions &amp; Inputs'!$J$23*YEARFRAC('Assumptions &amp; Inputs'!$J$31,'Assumptions &amp; Inputs'!$J$32), IF(YEAR('Assumptions &amp; Inputs'!$J$36)&gt;=AO110, 'Assumptions &amp; Inputs'!$J$64*'Assumptions &amp; Inputs'!$J$63*'Assumptions &amp; Inputs'!$J$23*(1+'Assumptions &amp; Inputs'!$J$22)^(Hydrogen!AO110-YEAR('Assumptions &amp; Inputs'!$J$31)), 0)))</f>
        <v>0</v>
      </c>
      <c r="AP126" s="425">
        <f>IF(YEAR('Assumptions &amp; Inputs'!$J$31)&gt;AP110, 0, IF(AP110=YEAR('Assumptions &amp; Inputs'!$J$31),'Assumptions &amp; Inputs'!$J$64*'Assumptions &amp; Inputs'!$J$63*'Assumptions &amp; Inputs'!$J$23*YEARFRAC('Assumptions &amp; Inputs'!$J$31,'Assumptions &amp; Inputs'!$J$32), IF(YEAR('Assumptions &amp; Inputs'!$J$36)&gt;=AP110, 'Assumptions &amp; Inputs'!$J$64*'Assumptions &amp; Inputs'!$J$63*'Assumptions &amp; Inputs'!$J$23*(1+'Assumptions &amp; Inputs'!$J$22)^(Hydrogen!AP110-YEAR('Assumptions &amp; Inputs'!$J$31)), 0)))</f>
        <v>0</v>
      </c>
      <c r="AQ126" s="425">
        <f>IF(YEAR('Assumptions &amp; Inputs'!$J$31)&gt;AQ110, 0, IF(AQ110=YEAR('Assumptions &amp; Inputs'!$J$31),'Assumptions &amp; Inputs'!$J$64*'Assumptions &amp; Inputs'!$J$63*'Assumptions &amp; Inputs'!$J$23*YEARFRAC('Assumptions &amp; Inputs'!$J$31,'Assumptions &amp; Inputs'!$J$32), IF(YEAR('Assumptions &amp; Inputs'!$J$36)&gt;=AQ110, 'Assumptions &amp; Inputs'!$J$64*'Assumptions &amp; Inputs'!$J$63*'Assumptions &amp; Inputs'!$J$23*(1+'Assumptions &amp; Inputs'!$J$22)^(Hydrogen!AQ110-YEAR('Assumptions &amp; Inputs'!$J$31)), 0)))</f>
        <v>0</v>
      </c>
      <c r="AR126" s="425">
        <f>IF(YEAR('Assumptions &amp; Inputs'!$J$31)&gt;AR110, 0, IF(AR110=YEAR('Assumptions &amp; Inputs'!$J$31),'Assumptions &amp; Inputs'!$J$64*'Assumptions &amp; Inputs'!$J$63*'Assumptions &amp; Inputs'!$J$23*YEARFRAC('Assumptions &amp; Inputs'!$J$31,'Assumptions &amp; Inputs'!$J$32), IF(YEAR('Assumptions &amp; Inputs'!$J$36)&gt;=AR110, 'Assumptions &amp; Inputs'!$J$64*'Assumptions &amp; Inputs'!$J$63*'Assumptions &amp; Inputs'!$J$23*(1+'Assumptions &amp; Inputs'!$J$22)^(Hydrogen!AR110-YEAR('Assumptions &amp; Inputs'!$J$31)), 0)))</f>
        <v>0</v>
      </c>
      <c r="AS126" s="425">
        <f>IF(YEAR('Assumptions &amp; Inputs'!$J$31)&gt;AS110, 0, IF(AS110=YEAR('Assumptions &amp; Inputs'!$J$31),'Assumptions &amp; Inputs'!$J$64*'Assumptions &amp; Inputs'!$J$63*'Assumptions &amp; Inputs'!$J$23*YEARFRAC('Assumptions &amp; Inputs'!$J$31,'Assumptions &amp; Inputs'!$J$32), IF(YEAR('Assumptions &amp; Inputs'!$J$36)&gt;=AS110, 'Assumptions &amp; Inputs'!$J$64*'Assumptions &amp; Inputs'!$J$63*'Assumptions &amp; Inputs'!$J$23*(1+'Assumptions &amp; Inputs'!$J$22)^(Hydrogen!AS110-YEAR('Assumptions &amp; Inputs'!$J$31)), 0)))</f>
        <v>0</v>
      </c>
      <c r="AT126" s="425">
        <f>IF(YEAR('Assumptions &amp; Inputs'!$J$31)&gt;AT110, 0, IF(AT110=YEAR('Assumptions &amp; Inputs'!$J$31),'Assumptions &amp; Inputs'!$J$64*'Assumptions &amp; Inputs'!$J$63*'Assumptions &amp; Inputs'!$J$23*YEARFRAC('Assumptions &amp; Inputs'!$J$31,'Assumptions &amp; Inputs'!$J$32), IF(YEAR('Assumptions &amp; Inputs'!$J$36)&gt;=AT110, 'Assumptions &amp; Inputs'!$J$64*'Assumptions &amp; Inputs'!$J$63*'Assumptions &amp; Inputs'!$J$23*(1+'Assumptions &amp; Inputs'!$J$22)^(Hydrogen!AT110-YEAR('Assumptions &amp; Inputs'!$J$31)), 0)))</f>
        <v>0</v>
      </c>
      <c r="AU126" s="425">
        <f>IF(YEAR('Assumptions &amp; Inputs'!$J$31)&gt;AU110, 0, IF(AU110=YEAR('Assumptions &amp; Inputs'!$J$31),'Assumptions &amp; Inputs'!$J$64*'Assumptions &amp; Inputs'!$J$63*'Assumptions &amp; Inputs'!$J$23*YEARFRAC('Assumptions &amp; Inputs'!$J$31,'Assumptions &amp; Inputs'!$J$32), IF(YEAR('Assumptions &amp; Inputs'!$J$36)&gt;=AU110, 'Assumptions &amp; Inputs'!$J$64*'Assumptions &amp; Inputs'!$J$63*'Assumptions &amp; Inputs'!$J$23*(1+'Assumptions &amp; Inputs'!$J$22)^(Hydrogen!AU110-YEAR('Assumptions &amp; Inputs'!$J$31)), 0)))</f>
        <v>0</v>
      </c>
      <c r="AV126" s="425">
        <f>IF(YEAR('Assumptions &amp; Inputs'!$J$31)&gt;AV110, 0, IF(AV110=YEAR('Assumptions &amp; Inputs'!$J$31),'Assumptions &amp; Inputs'!$J$64*'Assumptions &amp; Inputs'!$J$63*'Assumptions &amp; Inputs'!$J$23*YEARFRAC('Assumptions &amp; Inputs'!$J$31,'Assumptions &amp; Inputs'!$J$32), IF(YEAR('Assumptions &amp; Inputs'!$J$36)&gt;=AV110, 'Assumptions &amp; Inputs'!$J$64*'Assumptions &amp; Inputs'!$J$63*'Assumptions &amp; Inputs'!$J$23*(1+'Assumptions &amp; Inputs'!$J$22)^(Hydrogen!AV110-YEAR('Assumptions &amp; Inputs'!$J$31)), 0)))</f>
        <v>0</v>
      </c>
      <c r="AW126" s="425">
        <f>IF(YEAR('Assumptions &amp; Inputs'!$J$31)&gt;AW110, 0, IF(AW110=YEAR('Assumptions &amp; Inputs'!$J$31),'Assumptions &amp; Inputs'!$J$64*'Assumptions &amp; Inputs'!$J$63*'Assumptions &amp; Inputs'!$J$23*YEARFRAC('Assumptions &amp; Inputs'!$J$31,'Assumptions &amp; Inputs'!$J$32), IF(YEAR('Assumptions &amp; Inputs'!$J$36)&gt;=AW110, 'Assumptions &amp; Inputs'!$J$64*'Assumptions &amp; Inputs'!$J$63*'Assumptions &amp; Inputs'!$J$23*(1+'Assumptions &amp; Inputs'!$J$22)^(Hydrogen!AW110-YEAR('Assumptions &amp; Inputs'!$J$31)), 0)))</f>
        <v>0</v>
      </c>
    </row>
    <row r="127" spans="3:49" ht="14.25" customHeight="1">
      <c r="C127" s="414" t="s">
        <v>239</v>
      </c>
      <c r="D127" s="429">
        <f>_xlfn.XLOOKUP(D110, 'Real Estate'!$D$103:$BA$103, 'Real Estate'!$D$111:$BA$111)</f>
        <v>0</v>
      </c>
      <c r="E127" s="429">
        <f>_xlfn.XLOOKUP(E110, 'Real Estate'!$D$103:$BA$103, 'Real Estate'!$D$111:$BA$111)</f>
        <v>0</v>
      </c>
      <c r="F127" s="429">
        <f>_xlfn.XLOOKUP(F110, 'Real Estate'!$D$103:$BA$103, 'Real Estate'!$D$111:$BA$111)</f>
        <v>0</v>
      </c>
      <c r="G127" s="429">
        <f>_xlfn.XLOOKUP(G110, 'Real Estate'!$D$103:$BA$103, 'Real Estate'!$D$111:$BA$111)</f>
        <v>0</v>
      </c>
      <c r="H127" s="429">
        <f>_xlfn.XLOOKUP(H110, 'Real Estate'!$D$103:$BA$103, 'Real Estate'!$D$111:$BA$111)</f>
        <v>0</v>
      </c>
      <c r="I127" s="429">
        <f>_xlfn.XLOOKUP(I110, 'Real Estate'!$D$103:$BA$103, 'Real Estate'!$D$111:$BA$111)</f>
        <v>0</v>
      </c>
      <c r="J127" s="429">
        <f>_xlfn.XLOOKUP(J110, 'Real Estate'!$D$103:$BA$103, 'Real Estate'!$D$111:$BA$111)</f>
        <v>0</v>
      </c>
      <c r="K127" s="429">
        <f>_xlfn.XLOOKUP(K110, 'Real Estate'!$D$103:$BA$103, 'Real Estate'!$D$111:$BA$111)</f>
        <v>0</v>
      </c>
      <c r="L127" s="429">
        <f>_xlfn.XLOOKUP(L110, 'Real Estate'!$D$103:$BA$103, 'Real Estate'!$D$111:$BA$111)</f>
        <v>0</v>
      </c>
      <c r="M127" s="429">
        <f>_xlfn.XLOOKUP(M110, 'Real Estate'!$D$103:$BA$103, 'Real Estate'!$D$111:$BA$111)</f>
        <v>0</v>
      </c>
      <c r="N127" s="429">
        <f>_xlfn.XLOOKUP(N110, 'Real Estate'!$D$103:$BA$103, 'Real Estate'!$D$111:$BA$111)</f>
        <v>0</v>
      </c>
      <c r="O127" s="429">
        <f>_xlfn.XLOOKUP(O110, 'Real Estate'!$D$103:$BA$103, 'Real Estate'!$D$111:$BA$111)</f>
        <v>0</v>
      </c>
      <c r="P127" s="429">
        <f>_xlfn.XLOOKUP(P110, 'Real Estate'!$D$103:$BA$103, 'Real Estate'!$D$111:$BA$111)</f>
        <v>0</v>
      </c>
      <c r="Q127" s="429">
        <f>_xlfn.XLOOKUP(Q110, 'Real Estate'!$D$103:$BA$103, 'Real Estate'!$D$111:$BA$111)</f>
        <v>0</v>
      </c>
      <c r="R127" s="429">
        <f>_xlfn.XLOOKUP(R110, 'Real Estate'!$D$103:$BA$103, 'Real Estate'!$D$111:$BA$111)</f>
        <v>0</v>
      </c>
      <c r="S127" s="429">
        <f>_xlfn.XLOOKUP(S110, 'Real Estate'!$D$103:$BA$103, 'Real Estate'!$D$111:$BA$111)</f>
        <v>0</v>
      </c>
      <c r="T127" s="429">
        <f>_xlfn.XLOOKUP(T110, 'Real Estate'!$D$103:$BA$103, 'Real Estate'!$D$111:$BA$111)</f>
        <v>0</v>
      </c>
      <c r="U127" s="429">
        <f>_xlfn.XLOOKUP(U110, 'Real Estate'!$D$103:$BA$103, 'Real Estate'!$D$111:$BA$111)</f>
        <v>0</v>
      </c>
      <c r="V127" s="429">
        <f>_xlfn.XLOOKUP(V110, 'Real Estate'!$D$103:$BA$103, 'Real Estate'!$D$111:$BA$111)</f>
        <v>0</v>
      </c>
      <c r="W127" s="429">
        <f>_xlfn.XLOOKUP(W110, 'Real Estate'!$D$103:$BA$103, 'Real Estate'!$D$111:$BA$111)</f>
        <v>0</v>
      </c>
      <c r="X127" s="429">
        <f>_xlfn.XLOOKUP(X110, 'Real Estate'!$D$103:$BA$103, 'Real Estate'!$D$111:$BA$111)</f>
        <v>0</v>
      </c>
      <c r="Y127" s="429">
        <f>_xlfn.XLOOKUP(Y110, 'Real Estate'!$D$103:$BA$103, 'Real Estate'!$D$111:$BA$111)</f>
        <v>0</v>
      </c>
      <c r="Z127" s="429">
        <f>_xlfn.XLOOKUP(Z110, 'Real Estate'!$D$103:$BA$103, 'Real Estate'!$D$111:$BA$111)</f>
        <v>0</v>
      </c>
      <c r="AA127" s="429">
        <f>_xlfn.XLOOKUP(AA110, 'Real Estate'!$D$103:$BA$103, 'Real Estate'!$D$111:$BA$111)</f>
        <v>0</v>
      </c>
      <c r="AB127" s="429">
        <f>_xlfn.XLOOKUP(AB110, 'Real Estate'!$D$103:$BA$103, 'Real Estate'!$D$111:$BA$111)</f>
        <v>0</v>
      </c>
      <c r="AC127" s="429">
        <f>_xlfn.XLOOKUP(AC110, 'Real Estate'!$D$103:$BA$103, 'Real Estate'!$D$111:$BA$111)</f>
        <v>0</v>
      </c>
      <c r="AD127" s="429">
        <f>_xlfn.XLOOKUP(AD110, 'Real Estate'!$D$103:$BA$103, 'Real Estate'!$D$111:$BA$111)</f>
        <v>0</v>
      </c>
      <c r="AE127" s="429">
        <f>_xlfn.XLOOKUP(AE110, 'Real Estate'!$D$103:$BA$103, 'Real Estate'!$D$111:$BA$111)</f>
        <v>0</v>
      </c>
      <c r="AF127" s="429">
        <f>_xlfn.XLOOKUP(AF110, 'Real Estate'!$D$103:$BA$103, 'Real Estate'!$D$111:$BA$111)</f>
        <v>0</v>
      </c>
      <c r="AG127" s="429">
        <f>_xlfn.XLOOKUP(AG110, 'Real Estate'!$D$103:$BA$103, 'Real Estate'!$D$111:$BA$111)</f>
        <v>0</v>
      </c>
      <c r="AH127" s="429">
        <f>_xlfn.XLOOKUP(AH110, 'Real Estate'!$D$103:$BA$103, 'Real Estate'!$D$111:$BA$111)</f>
        <v>0</v>
      </c>
      <c r="AI127" s="429">
        <f>_xlfn.XLOOKUP(AI110, 'Real Estate'!$D$103:$BA$103, 'Real Estate'!$D$111:$BA$111)</f>
        <v>0</v>
      </c>
      <c r="AJ127" s="429">
        <f>_xlfn.XLOOKUP(AJ110, 'Real Estate'!$D$103:$BA$103, 'Real Estate'!$D$111:$BA$111)</f>
        <v>0</v>
      </c>
      <c r="AK127" s="429">
        <f>_xlfn.XLOOKUP(AK110, 'Real Estate'!$D$103:$BA$103, 'Real Estate'!$D$111:$BA$111)</f>
        <v>0</v>
      </c>
      <c r="AL127" s="429">
        <f>_xlfn.XLOOKUP(AL110, 'Real Estate'!$D$103:$BA$103, 'Real Estate'!$D$111:$BA$111)</f>
        <v>0</v>
      </c>
      <c r="AM127" s="429">
        <f>_xlfn.XLOOKUP(AM110, 'Real Estate'!$D$103:$BA$103, 'Real Estate'!$D$111:$BA$111)</f>
        <v>0</v>
      </c>
      <c r="AN127" s="429">
        <f>_xlfn.XLOOKUP(AN110, 'Real Estate'!$D$103:$BA$103, 'Real Estate'!$D$111:$BA$111)</f>
        <v>0</v>
      </c>
      <c r="AO127" s="429">
        <f>_xlfn.XLOOKUP(AO110, 'Real Estate'!$D$103:$BA$103, 'Real Estate'!$D$111:$BA$111)</f>
        <v>0</v>
      </c>
      <c r="AP127" s="429">
        <f>_xlfn.XLOOKUP(AP110, 'Real Estate'!$D$103:$BA$103, 'Real Estate'!$D$111:$BA$111)</f>
        <v>0</v>
      </c>
      <c r="AQ127" s="429">
        <f>_xlfn.XLOOKUP(AQ110, 'Real Estate'!$D$103:$BA$103, 'Real Estate'!$D$111:$BA$111)</f>
        <v>0</v>
      </c>
      <c r="AR127" s="429">
        <f>_xlfn.XLOOKUP(AR110, 'Real Estate'!$D$103:$BA$103, 'Real Estate'!$D$111:$BA$111)</f>
        <v>0</v>
      </c>
      <c r="AS127" s="429">
        <f>_xlfn.XLOOKUP(AS110, 'Real Estate'!$D$103:$BA$103, 'Real Estate'!$D$111:$BA$111)</f>
        <v>0</v>
      </c>
      <c r="AT127" s="429">
        <f>_xlfn.XLOOKUP(AT110, 'Real Estate'!$D$103:$BA$103, 'Real Estate'!$D$111:$BA$111)</f>
        <v>0</v>
      </c>
      <c r="AU127" s="429">
        <f>_xlfn.XLOOKUP(AU110, 'Real Estate'!$D$103:$BA$103, 'Real Estate'!$D$111:$BA$111)</f>
        <v>0</v>
      </c>
      <c r="AV127" s="429">
        <f>_xlfn.XLOOKUP(AV110, 'Real Estate'!$D$103:$BA$103, 'Real Estate'!$D$111:$BA$111)</f>
        <v>0</v>
      </c>
      <c r="AW127" s="429">
        <f>_xlfn.XLOOKUP(AW110, 'Real Estate'!$D$103:$BA$103, 'Real Estate'!$D$111:$BA$111)</f>
        <v>0</v>
      </c>
    </row>
    <row r="128" spans="3:49" ht="14.25" customHeight="1">
      <c r="C128" s="430" t="s">
        <v>516</v>
      </c>
      <c r="D128" s="431">
        <f t="shared" ref="D128:AW128" si="309">SUM(D125:D127)</f>
        <v>0</v>
      </c>
      <c r="E128" s="431">
        <f t="shared" si="309"/>
        <v>1.9562162346521146</v>
      </c>
      <c r="F128" s="431">
        <f t="shared" si="309"/>
        <v>2.9997040825375176</v>
      </c>
      <c r="G128" s="431">
        <f t="shared" si="309"/>
        <v>3.0665922050136425</v>
      </c>
      <c r="H128" s="431">
        <f t="shared" si="309"/>
        <v>3.1350249111640514</v>
      </c>
      <c r="I128" s="431">
        <f t="shared" si="309"/>
        <v>3.2050392972989732</v>
      </c>
      <c r="J128" s="431">
        <f t="shared" si="309"/>
        <v>3.2766733877939425</v>
      </c>
      <c r="K128" s="431">
        <f t="shared" si="309"/>
        <v>3.3499661592352812</v>
      </c>
      <c r="L128" s="431">
        <f t="shared" si="309"/>
        <v>3.4249575652160096</v>
      </c>
      <c r="M128" s="431">
        <f t="shared" si="309"/>
        <v>3.5016885618002336</v>
      </c>
      <c r="N128" s="431">
        <f t="shared" si="309"/>
        <v>3.5802011336745392</v>
      </c>
      <c r="O128" s="431">
        <f t="shared" si="309"/>
        <v>3.6605383210054803</v>
      </c>
      <c r="P128" s="431">
        <f t="shared" si="309"/>
        <v>3.7427442470227628</v>
      </c>
      <c r="Q128" s="431">
        <f t="shared" si="309"/>
        <v>3.8268641463483073</v>
      </c>
      <c r="R128" s="431">
        <f t="shared" si="309"/>
        <v>3.9129443940919151</v>
      </c>
      <c r="S128" s="431">
        <f t="shared" si="309"/>
        <v>4.0010325357348941</v>
      </c>
      <c r="T128" s="431">
        <f t="shared" si="309"/>
        <v>4.0911773178235658</v>
      </c>
      <c r="U128" s="431">
        <f t="shared" si="309"/>
        <v>4.1834287194952324</v>
      </c>
      <c r="V128" s="431">
        <f t="shared" si="309"/>
        <v>4.2778379848597865</v>
      </c>
      <c r="W128" s="431">
        <f t="shared" si="309"/>
        <v>4.374457656260871</v>
      </c>
      <c r="X128" s="431">
        <f t="shared" si="309"/>
        <v>4.4733416084410953</v>
      </c>
      <c r="Y128" s="431">
        <f t="shared" si="309"/>
        <v>4.5745450836365738</v>
      </c>
      <c r="Z128" s="431">
        <f t="shared" si="309"/>
        <v>4.678124727626761</v>
      </c>
      <c r="AA128" s="431">
        <f t="shared" si="309"/>
        <v>4.7841386267662758</v>
      </c>
      <c r="AB128" s="431">
        <f t="shared" si="309"/>
        <v>4.89264634602619</v>
      </c>
      <c r="AC128" s="431">
        <f t="shared" si="309"/>
        <v>5.00370896807304</v>
      </c>
      <c r="AD128" s="431">
        <f t="shared" si="309"/>
        <v>5.1173891334146182</v>
      </c>
      <c r="AE128" s="431">
        <f t="shared" si="309"/>
        <v>0</v>
      </c>
      <c r="AF128" s="431">
        <f t="shared" si="309"/>
        <v>0</v>
      </c>
      <c r="AG128" s="431">
        <f t="shared" si="309"/>
        <v>0</v>
      </c>
      <c r="AH128" s="431">
        <f t="shared" si="309"/>
        <v>0</v>
      </c>
      <c r="AI128" s="431">
        <f t="shared" si="309"/>
        <v>0</v>
      </c>
      <c r="AJ128" s="431">
        <f t="shared" si="309"/>
        <v>0</v>
      </c>
      <c r="AK128" s="431">
        <f t="shared" si="309"/>
        <v>0</v>
      </c>
      <c r="AL128" s="431">
        <f t="shared" si="309"/>
        <v>0</v>
      </c>
      <c r="AM128" s="431">
        <f t="shared" si="309"/>
        <v>0</v>
      </c>
      <c r="AN128" s="431">
        <f t="shared" si="309"/>
        <v>0</v>
      </c>
      <c r="AO128" s="431">
        <f t="shared" si="309"/>
        <v>0</v>
      </c>
      <c r="AP128" s="431">
        <f t="shared" si="309"/>
        <v>0</v>
      </c>
      <c r="AQ128" s="431">
        <f t="shared" si="309"/>
        <v>0</v>
      </c>
      <c r="AR128" s="431">
        <f t="shared" si="309"/>
        <v>0</v>
      </c>
      <c r="AS128" s="431">
        <f t="shared" si="309"/>
        <v>0</v>
      </c>
      <c r="AT128" s="431">
        <f t="shared" si="309"/>
        <v>0</v>
      </c>
      <c r="AU128" s="431">
        <f t="shared" si="309"/>
        <v>0</v>
      </c>
      <c r="AV128" s="431">
        <f t="shared" si="309"/>
        <v>0</v>
      </c>
      <c r="AW128" s="431">
        <f t="shared" si="309"/>
        <v>0</v>
      </c>
    </row>
    <row r="131" spans="3:49" ht="14.25" customHeight="1">
      <c r="C131" s="433" t="s">
        <v>481</v>
      </c>
      <c r="D131" s="434">
        <f>SUM(D123,-D128)</f>
        <v>0</v>
      </c>
      <c r="E131" s="434">
        <f t="shared" ref="E131:AW131" si="310">SUM(E123,-E128)</f>
        <v>18.337368887863267</v>
      </c>
      <c r="F131" s="434">
        <f t="shared" si="310"/>
        <v>29.014158519182118</v>
      </c>
      <c r="G131" s="434">
        <f t="shared" si="310"/>
        <v>31.481419318239695</v>
      </c>
      <c r="H131" s="434">
        <f t="shared" si="310"/>
        <v>35.077671856985155</v>
      </c>
      <c r="I131" s="434">
        <f t="shared" si="310"/>
        <v>36.824438109260903</v>
      </c>
      <c r="J131" s="434">
        <f t="shared" si="310"/>
        <v>38.29240151262912</v>
      </c>
      <c r="K131" s="434">
        <f t="shared" si="310"/>
        <v>39.811870618788582</v>
      </c>
      <c r="L131" s="434">
        <f t="shared" si="310"/>
        <v>41.384543095659758</v>
      </c>
      <c r="M131" s="434">
        <f t="shared" si="310"/>
        <v>43.012170641245618</v>
      </c>
      <c r="N131" s="434">
        <f t="shared" si="310"/>
        <v>44.696560667340641</v>
      </c>
      <c r="O131" s="434">
        <f t="shared" si="310"/>
        <v>46.439578035020354</v>
      </c>
      <c r="P131" s="434">
        <f t="shared" si="310"/>
        <v>48.243146843490287</v>
      </c>
      <c r="Q131" s="434">
        <f t="shared" si="310"/>
        <v>50.109252273921783</v>
      </c>
      <c r="R131" s="434">
        <f t="shared" si="310"/>
        <v>52.039942489950043</v>
      </c>
      <c r="S131" s="434">
        <f t="shared" si="310"/>
        <v>54.0373305965621</v>
      </c>
      <c r="T131" s="434">
        <f t="shared" si="310"/>
        <v>56.103596659153972</v>
      </c>
      <c r="U131" s="434">
        <f t="shared" si="310"/>
        <v>58.240989784590568</v>
      </c>
      <c r="V131" s="434">
        <f t="shared" si="310"/>
        <v>60.451830266156563</v>
      </c>
      <c r="W131" s="434">
        <f t="shared" si="310"/>
        <v>62.7385117943453</v>
      </c>
      <c r="X131" s="434">
        <f t="shared" si="310"/>
        <v>65.103503735490406</v>
      </c>
      <c r="Y131" s="434">
        <f t="shared" si="310"/>
        <v>67.549353480306124</v>
      </c>
      <c r="Z131" s="434">
        <f t="shared" si="310"/>
        <v>70.078688864464965</v>
      </c>
      <c r="AA131" s="434">
        <f t="shared" si="310"/>
        <v>72.694220663405233</v>
      </c>
      <c r="AB131" s="434">
        <f t="shared" si="310"/>
        <v>75.398745163628746</v>
      </c>
      <c r="AC131" s="434">
        <f t="shared" si="310"/>
        <v>78.195146812815722</v>
      </c>
      <c r="AD131" s="434">
        <f t="shared" si="310"/>
        <v>81.086400951155753</v>
      </c>
      <c r="AE131" s="434">
        <f t="shared" si="310"/>
        <v>0</v>
      </c>
      <c r="AF131" s="434">
        <f t="shared" si="310"/>
        <v>0</v>
      </c>
      <c r="AG131" s="434">
        <f t="shared" si="310"/>
        <v>0</v>
      </c>
      <c r="AH131" s="434">
        <f t="shared" si="310"/>
        <v>0</v>
      </c>
      <c r="AI131" s="434">
        <f t="shared" si="310"/>
        <v>0</v>
      </c>
      <c r="AJ131" s="434">
        <f t="shared" si="310"/>
        <v>0</v>
      </c>
      <c r="AK131" s="434">
        <f t="shared" si="310"/>
        <v>0</v>
      </c>
      <c r="AL131" s="434">
        <f t="shared" si="310"/>
        <v>0</v>
      </c>
      <c r="AM131" s="434">
        <f t="shared" si="310"/>
        <v>0</v>
      </c>
      <c r="AN131" s="434">
        <f t="shared" si="310"/>
        <v>0</v>
      </c>
      <c r="AO131" s="434">
        <f t="shared" si="310"/>
        <v>0</v>
      </c>
      <c r="AP131" s="434">
        <f t="shared" si="310"/>
        <v>0</v>
      </c>
      <c r="AQ131" s="434">
        <f t="shared" si="310"/>
        <v>0</v>
      </c>
      <c r="AR131" s="434">
        <f t="shared" si="310"/>
        <v>0</v>
      </c>
      <c r="AS131" s="434">
        <f t="shared" si="310"/>
        <v>0</v>
      </c>
      <c r="AT131" s="434">
        <f t="shared" si="310"/>
        <v>0</v>
      </c>
      <c r="AU131" s="434">
        <f t="shared" si="310"/>
        <v>0</v>
      </c>
      <c r="AV131" s="434">
        <f t="shared" si="310"/>
        <v>0</v>
      </c>
      <c r="AW131" s="434">
        <f t="shared" si="310"/>
        <v>0</v>
      </c>
    </row>
    <row r="132" spans="3:49" ht="14.25" customHeight="1">
      <c r="C132" s="414"/>
      <c r="D132" s="432"/>
      <c r="E132" s="432"/>
      <c r="F132" s="432"/>
      <c r="G132" s="432"/>
      <c r="H132" s="432"/>
      <c r="I132" s="432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  <c r="V132" s="432"/>
      <c r="W132" s="432"/>
      <c r="X132" s="432"/>
      <c r="Y132" s="432"/>
      <c r="Z132" s="432"/>
      <c r="AA132" s="432"/>
      <c r="AB132" s="432"/>
      <c r="AC132" s="432"/>
      <c r="AD132" s="432"/>
      <c r="AE132" s="432"/>
      <c r="AF132" s="432"/>
      <c r="AG132" s="432"/>
      <c r="AH132" s="432"/>
      <c r="AI132" s="432"/>
      <c r="AJ132" s="432"/>
      <c r="AK132" s="432"/>
      <c r="AL132" s="432"/>
      <c r="AM132" s="432"/>
      <c r="AN132" s="432"/>
      <c r="AO132" s="432"/>
      <c r="AP132" s="432"/>
      <c r="AQ132" s="432"/>
      <c r="AR132" s="432"/>
      <c r="AS132" s="432"/>
      <c r="AT132" s="432"/>
      <c r="AU132" s="432"/>
      <c r="AV132" s="432"/>
      <c r="AW132" s="432"/>
    </row>
    <row r="133" spans="3:49" ht="14.25" customHeight="1">
      <c r="C133" s="419" t="s">
        <v>482</v>
      </c>
      <c r="D133" s="432"/>
      <c r="E133" s="432"/>
      <c r="F133" s="432"/>
      <c r="G133" s="432"/>
      <c r="H133" s="432"/>
      <c r="I133" s="432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432"/>
      <c r="X133" s="432"/>
      <c r="Y133" s="432"/>
      <c r="Z133" s="432"/>
      <c r="AA133" s="432"/>
      <c r="AB133" s="432"/>
      <c r="AC133" s="432"/>
      <c r="AD133" s="432"/>
      <c r="AE133" s="432"/>
      <c r="AF133" s="432"/>
      <c r="AG133" s="432"/>
      <c r="AH133" s="432"/>
      <c r="AI133" s="432"/>
      <c r="AJ133" s="432"/>
      <c r="AK133" s="432"/>
      <c r="AL133" s="432"/>
      <c r="AM133" s="432"/>
      <c r="AN133" s="432"/>
      <c r="AO133" s="432"/>
      <c r="AP133" s="432"/>
      <c r="AQ133" s="432"/>
      <c r="AR133" s="432"/>
      <c r="AS133" s="432"/>
      <c r="AT133" s="432"/>
      <c r="AU133" s="432"/>
      <c r="AV133" s="432"/>
      <c r="AW133" s="432"/>
    </row>
    <row r="134" spans="3:49" ht="14.25" customHeight="1">
      <c r="C134" s="435" t="s">
        <v>517</v>
      </c>
      <c r="D134" s="432"/>
      <c r="E134" s="436">
        <f t="shared" ref="E134:AW134" si="311">-E101</f>
        <v>0</v>
      </c>
      <c r="F134" s="436">
        <f t="shared" si="311"/>
        <v>0</v>
      </c>
      <c r="G134" s="436">
        <f t="shared" si="311"/>
        <v>0</v>
      </c>
      <c r="H134" s="436">
        <f t="shared" si="311"/>
        <v>0</v>
      </c>
      <c r="I134" s="436">
        <f t="shared" si="311"/>
        <v>0</v>
      </c>
      <c r="J134" s="436">
        <f t="shared" si="311"/>
        <v>0</v>
      </c>
      <c r="K134" s="436">
        <f t="shared" si="311"/>
        <v>0</v>
      </c>
      <c r="L134" s="436">
        <f t="shared" si="311"/>
        <v>0</v>
      </c>
      <c r="M134" s="436">
        <f t="shared" si="311"/>
        <v>0</v>
      </c>
      <c r="N134" s="436">
        <f t="shared" si="311"/>
        <v>0</v>
      </c>
      <c r="O134" s="436">
        <f t="shared" si="311"/>
        <v>0</v>
      </c>
      <c r="P134" s="436">
        <f t="shared" si="311"/>
        <v>0</v>
      </c>
      <c r="Q134" s="436">
        <f t="shared" si="311"/>
        <v>0</v>
      </c>
      <c r="R134" s="436">
        <f t="shared" si="311"/>
        <v>0</v>
      </c>
      <c r="S134" s="436">
        <f t="shared" si="311"/>
        <v>0</v>
      </c>
      <c r="T134" s="436">
        <f t="shared" si="311"/>
        <v>0</v>
      </c>
      <c r="U134" s="436">
        <f t="shared" si="311"/>
        <v>0</v>
      </c>
      <c r="V134" s="436">
        <f t="shared" si="311"/>
        <v>0</v>
      </c>
      <c r="W134" s="436">
        <f t="shared" si="311"/>
        <v>0</v>
      </c>
      <c r="X134" s="436">
        <f t="shared" si="311"/>
        <v>0</v>
      </c>
      <c r="Y134" s="436">
        <f t="shared" si="311"/>
        <v>0</v>
      </c>
      <c r="Z134" s="436">
        <f t="shared" si="311"/>
        <v>0</v>
      </c>
      <c r="AA134" s="436">
        <f t="shared" si="311"/>
        <v>0</v>
      </c>
      <c r="AB134" s="436">
        <f t="shared" si="311"/>
        <v>0</v>
      </c>
      <c r="AC134" s="436">
        <f t="shared" si="311"/>
        <v>0</v>
      </c>
      <c r="AD134" s="436">
        <f t="shared" si="311"/>
        <v>0</v>
      </c>
      <c r="AE134" s="436">
        <f t="shared" si="311"/>
        <v>0</v>
      </c>
      <c r="AF134" s="436">
        <f t="shared" si="311"/>
        <v>0</v>
      </c>
      <c r="AG134" s="436">
        <f t="shared" si="311"/>
        <v>0</v>
      </c>
      <c r="AH134" s="436">
        <f t="shared" si="311"/>
        <v>0</v>
      </c>
      <c r="AI134" s="436">
        <f t="shared" si="311"/>
        <v>0</v>
      </c>
      <c r="AJ134" s="436">
        <f t="shared" si="311"/>
        <v>0</v>
      </c>
      <c r="AK134" s="436">
        <f t="shared" si="311"/>
        <v>0</v>
      </c>
      <c r="AL134" s="436">
        <f t="shared" si="311"/>
        <v>0</v>
      </c>
      <c r="AM134" s="436">
        <f t="shared" si="311"/>
        <v>0</v>
      </c>
      <c r="AN134" s="436">
        <f t="shared" si="311"/>
        <v>0</v>
      </c>
      <c r="AO134" s="436">
        <f t="shared" si="311"/>
        <v>0</v>
      </c>
      <c r="AP134" s="436">
        <f t="shared" si="311"/>
        <v>0</v>
      </c>
      <c r="AQ134" s="436">
        <f t="shared" si="311"/>
        <v>0</v>
      </c>
      <c r="AR134" s="436">
        <f t="shared" si="311"/>
        <v>0</v>
      </c>
      <c r="AS134" s="436">
        <f t="shared" si="311"/>
        <v>0</v>
      </c>
      <c r="AT134" s="436">
        <f t="shared" si="311"/>
        <v>0</v>
      </c>
      <c r="AU134" s="436">
        <f t="shared" si="311"/>
        <v>0</v>
      </c>
      <c r="AV134" s="436">
        <f t="shared" si="311"/>
        <v>0</v>
      </c>
      <c r="AW134" s="436">
        <f t="shared" si="311"/>
        <v>0</v>
      </c>
    </row>
    <row r="135" spans="3:49" ht="14.25" customHeight="1">
      <c r="C135" s="435" t="s">
        <v>485</v>
      </c>
      <c r="D135" s="432"/>
      <c r="E135" s="436"/>
      <c r="F135" s="436"/>
      <c r="G135" s="436"/>
      <c r="H135" s="436"/>
      <c r="I135" s="436"/>
      <c r="J135" s="436"/>
      <c r="K135" s="436"/>
      <c r="L135" s="436"/>
      <c r="M135" s="436"/>
      <c r="N135" s="436"/>
      <c r="O135" s="436"/>
      <c r="P135" s="436"/>
      <c r="Q135" s="436"/>
      <c r="R135" s="432"/>
      <c r="S135" s="432"/>
      <c r="T135" s="432"/>
      <c r="U135" s="432"/>
      <c r="V135" s="432"/>
      <c r="W135" s="432"/>
      <c r="X135" s="432"/>
      <c r="Y135" s="432"/>
      <c r="Z135" s="432"/>
      <c r="AA135" s="432"/>
      <c r="AB135" s="432"/>
      <c r="AC135" s="432"/>
      <c r="AD135" s="432"/>
      <c r="AE135" s="432"/>
      <c r="AF135" s="432"/>
      <c r="AG135" s="432"/>
      <c r="AH135" s="432"/>
      <c r="AI135" s="432"/>
      <c r="AJ135" s="432"/>
      <c r="AK135" s="432"/>
      <c r="AL135" s="432"/>
      <c r="AM135" s="432"/>
      <c r="AN135" s="432"/>
      <c r="AO135" s="432"/>
      <c r="AP135" s="432"/>
      <c r="AQ135" s="432"/>
      <c r="AR135" s="432"/>
      <c r="AS135" s="432"/>
      <c r="AT135" s="432"/>
      <c r="AU135" s="432"/>
      <c r="AV135" s="432"/>
      <c r="AW135" s="432"/>
    </row>
    <row r="136" spans="3:49" ht="14.25" customHeight="1">
      <c r="C136" s="437" t="s">
        <v>518</v>
      </c>
      <c r="D136" s="432"/>
      <c r="E136" s="436"/>
      <c r="F136" s="436"/>
      <c r="G136" s="436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  <c r="AA136" s="432"/>
      <c r="AB136" s="432"/>
      <c r="AC136" s="432"/>
      <c r="AD136" s="432"/>
      <c r="AE136" s="432"/>
      <c r="AF136" s="432"/>
      <c r="AG136" s="432"/>
      <c r="AH136" s="432"/>
      <c r="AI136" s="432"/>
      <c r="AJ136" s="432"/>
      <c r="AK136" s="432"/>
      <c r="AL136" s="432"/>
      <c r="AM136" s="432"/>
      <c r="AN136" s="432"/>
      <c r="AO136" s="432"/>
      <c r="AP136" s="432"/>
      <c r="AQ136" s="432"/>
      <c r="AR136" s="432"/>
      <c r="AS136" s="432"/>
      <c r="AT136" s="432"/>
      <c r="AU136" s="432"/>
      <c r="AV136" s="432"/>
      <c r="AW136" s="432"/>
    </row>
    <row r="137" spans="3:49" ht="14.25" customHeight="1">
      <c r="C137" s="438" t="s">
        <v>486</v>
      </c>
      <c r="D137" s="439">
        <f t="shared" ref="D137:X137" si="312">SUM(D134:D136)</f>
        <v>0</v>
      </c>
      <c r="E137" s="439">
        <f t="shared" si="312"/>
        <v>0</v>
      </c>
      <c r="F137" s="439">
        <f t="shared" si="312"/>
        <v>0</v>
      </c>
      <c r="G137" s="439">
        <f t="shared" si="312"/>
        <v>0</v>
      </c>
      <c r="H137" s="439">
        <f t="shared" si="312"/>
        <v>0</v>
      </c>
      <c r="I137" s="439">
        <f t="shared" si="312"/>
        <v>0</v>
      </c>
      <c r="J137" s="439">
        <f t="shared" si="312"/>
        <v>0</v>
      </c>
      <c r="K137" s="439">
        <f t="shared" si="312"/>
        <v>0</v>
      </c>
      <c r="L137" s="439">
        <f t="shared" si="312"/>
        <v>0</v>
      </c>
      <c r="M137" s="439">
        <f t="shared" si="312"/>
        <v>0</v>
      </c>
      <c r="N137" s="439">
        <f t="shared" si="312"/>
        <v>0</v>
      </c>
      <c r="O137" s="439">
        <f t="shared" si="312"/>
        <v>0</v>
      </c>
      <c r="P137" s="439">
        <f t="shared" si="312"/>
        <v>0</v>
      </c>
      <c r="Q137" s="439">
        <f t="shared" si="312"/>
        <v>0</v>
      </c>
      <c r="R137" s="439">
        <f t="shared" si="312"/>
        <v>0</v>
      </c>
      <c r="S137" s="439">
        <f t="shared" si="312"/>
        <v>0</v>
      </c>
      <c r="T137" s="439">
        <f t="shared" si="312"/>
        <v>0</v>
      </c>
      <c r="U137" s="439">
        <f t="shared" si="312"/>
        <v>0</v>
      </c>
      <c r="V137" s="439">
        <f t="shared" si="312"/>
        <v>0</v>
      </c>
      <c r="W137" s="439">
        <f t="shared" si="312"/>
        <v>0</v>
      </c>
      <c r="X137" s="439">
        <f t="shared" si="312"/>
        <v>0</v>
      </c>
      <c r="Y137" s="439">
        <f t="shared" ref="Y137:AW137" si="313">SUM(Y134:Y136)</f>
        <v>0</v>
      </c>
      <c r="Z137" s="439">
        <f t="shared" si="313"/>
        <v>0</v>
      </c>
      <c r="AA137" s="439">
        <f t="shared" si="313"/>
        <v>0</v>
      </c>
      <c r="AB137" s="439">
        <f t="shared" si="313"/>
        <v>0</v>
      </c>
      <c r="AC137" s="439">
        <f t="shared" si="313"/>
        <v>0</v>
      </c>
      <c r="AD137" s="439">
        <f t="shared" si="313"/>
        <v>0</v>
      </c>
      <c r="AE137" s="439">
        <f t="shared" si="313"/>
        <v>0</v>
      </c>
      <c r="AF137" s="439">
        <f t="shared" si="313"/>
        <v>0</v>
      </c>
      <c r="AG137" s="439">
        <f t="shared" si="313"/>
        <v>0</v>
      </c>
      <c r="AH137" s="439">
        <f t="shared" si="313"/>
        <v>0</v>
      </c>
      <c r="AI137" s="439">
        <f t="shared" si="313"/>
        <v>0</v>
      </c>
      <c r="AJ137" s="439">
        <f t="shared" si="313"/>
        <v>0</v>
      </c>
      <c r="AK137" s="439">
        <f t="shared" si="313"/>
        <v>0</v>
      </c>
      <c r="AL137" s="439">
        <f t="shared" si="313"/>
        <v>0</v>
      </c>
      <c r="AM137" s="439">
        <f t="shared" si="313"/>
        <v>0</v>
      </c>
      <c r="AN137" s="439">
        <f t="shared" si="313"/>
        <v>0</v>
      </c>
      <c r="AO137" s="439">
        <f t="shared" si="313"/>
        <v>0</v>
      </c>
      <c r="AP137" s="439">
        <f t="shared" si="313"/>
        <v>0</v>
      </c>
      <c r="AQ137" s="439">
        <f t="shared" si="313"/>
        <v>0</v>
      </c>
      <c r="AR137" s="439">
        <f t="shared" si="313"/>
        <v>0</v>
      </c>
      <c r="AS137" s="439">
        <f t="shared" si="313"/>
        <v>0</v>
      </c>
      <c r="AT137" s="439">
        <f t="shared" si="313"/>
        <v>0</v>
      </c>
      <c r="AU137" s="439">
        <f t="shared" si="313"/>
        <v>0</v>
      </c>
      <c r="AV137" s="439">
        <f t="shared" si="313"/>
        <v>0</v>
      </c>
      <c r="AW137" s="439">
        <f t="shared" si="313"/>
        <v>0</v>
      </c>
    </row>
    <row r="138" spans="3:49" ht="14.25" customHeight="1">
      <c r="C138" s="414"/>
      <c r="D138" s="432"/>
      <c r="E138" s="432"/>
      <c r="F138" s="432"/>
      <c r="G138" s="432"/>
      <c r="H138" s="432"/>
      <c r="I138" s="432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  <c r="V138" s="432"/>
      <c r="W138" s="432"/>
      <c r="X138" s="432"/>
      <c r="Y138" s="432"/>
      <c r="Z138" s="432"/>
      <c r="AA138" s="432"/>
      <c r="AB138" s="432"/>
      <c r="AC138" s="432"/>
      <c r="AD138" s="432"/>
      <c r="AE138" s="432"/>
      <c r="AF138" s="432"/>
      <c r="AG138" s="432"/>
      <c r="AH138" s="432"/>
      <c r="AI138" s="432"/>
      <c r="AJ138" s="432"/>
      <c r="AK138" s="432"/>
      <c r="AL138" s="432"/>
      <c r="AM138" s="432"/>
      <c r="AN138" s="432"/>
      <c r="AO138" s="432"/>
      <c r="AP138" s="432"/>
      <c r="AQ138" s="432"/>
      <c r="AR138" s="432"/>
      <c r="AS138" s="432"/>
      <c r="AT138" s="432"/>
      <c r="AU138" s="432"/>
      <c r="AV138" s="432"/>
      <c r="AW138" s="432"/>
    </row>
    <row r="139" spans="3:49" ht="14.25" customHeight="1">
      <c r="C139" s="414"/>
      <c r="D139" s="432"/>
      <c r="E139" s="432"/>
      <c r="F139" s="432"/>
      <c r="G139" s="432"/>
      <c r="H139" s="432"/>
      <c r="I139" s="432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432"/>
      <c r="AA139" s="432"/>
      <c r="AB139" s="432"/>
      <c r="AC139" s="432"/>
      <c r="AD139" s="432"/>
      <c r="AE139" s="432"/>
      <c r="AF139" s="432"/>
      <c r="AG139" s="432"/>
      <c r="AH139" s="432"/>
      <c r="AI139" s="432"/>
      <c r="AJ139" s="432"/>
      <c r="AK139" s="432"/>
      <c r="AL139" s="432"/>
      <c r="AM139" s="432"/>
      <c r="AN139" s="432"/>
      <c r="AO139" s="432"/>
      <c r="AP139" s="432"/>
      <c r="AQ139" s="432"/>
      <c r="AR139" s="432"/>
      <c r="AS139" s="432"/>
      <c r="AT139" s="432"/>
      <c r="AU139" s="432"/>
      <c r="AV139" s="432"/>
      <c r="AW139" s="432"/>
    </row>
    <row r="140" spans="3:49" ht="14.25" customHeight="1">
      <c r="C140" s="433" t="s">
        <v>487</v>
      </c>
      <c r="D140" s="434">
        <f>+SUM(D131,D137)</f>
        <v>0</v>
      </c>
      <c r="E140" s="434">
        <f t="shared" ref="E140:X140" si="314">+SUM(E131,E137)</f>
        <v>18.337368887863267</v>
      </c>
      <c r="F140" s="434">
        <f t="shared" si="314"/>
        <v>29.014158519182118</v>
      </c>
      <c r="G140" s="434">
        <f t="shared" si="314"/>
        <v>31.481419318239695</v>
      </c>
      <c r="H140" s="434">
        <f t="shared" si="314"/>
        <v>35.077671856985155</v>
      </c>
      <c r="I140" s="434">
        <f t="shared" si="314"/>
        <v>36.824438109260903</v>
      </c>
      <c r="J140" s="434">
        <f t="shared" si="314"/>
        <v>38.29240151262912</v>
      </c>
      <c r="K140" s="434">
        <f t="shared" si="314"/>
        <v>39.811870618788582</v>
      </c>
      <c r="L140" s="434">
        <f t="shared" si="314"/>
        <v>41.384543095659758</v>
      </c>
      <c r="M140" s="434">
        <f t="shared" si="314"/>
        <v>43.012170641245618</v>
      </c>
      <c r="N140" s="434">
        <f t="shared" si="314"/>
        <v>44.696560667340641</v>
      </c>
      <c r="O140" s="434">
        <f t="shared" si="314"/>
        <v>46.439578035020354</v>
      </c>
      <c r="P140" s="434">
        <f t="shared" si="314"/>
        <v>48.243146843490287</v>
      </c>
      <c r="Q140" s="434">
        <f t="shared" si="314"/>
        <v>50.109252273921783</v>
      </c>
      <c r="R140" s="434">
        <f t="shared" si="314"/>
        <v>52.039942489950043</v>
      </c>
      <c r="S140" s="434">
        <f t="shared" si="314"/>
        <v>54.0373305965621</v>
      </c>
      <c r="T140" s="434">
        <f t="shared" si="314"/>
        <v>56.103596659153972</v>
      </c>
      <c r="U140" s="434">
        <f t="shared" si="314"/>
        <v>58.240989784590568</v>
      </c>
      <c r="V140" s="434">
        <f t="shared" si="314"/>
        <v>60.451830266156563</v>
      </c>
      <c r="W140" s="434">
        <f t="shared" si="314"/>
        <v>62.7385117943453</v>
      </c>
      <c r="X140" s="434">
        <f t="shared" si="314"/>
        <v>65.103503735490406</v>
      </c>
      <c r="Y140" s="434">
        <f t="shared" ref="Y140:AW140" si="315">+SUM(Y131,Y137)</f>
        <v>67.549353480306124</v>
      </c>
      <c r="Z140" s="434">
        <f t="shared" si="315"/>
        <v>70.078688864464965</v>
      </c>
      <c r="AA140" s="434">
        <f t="shared" si="315"/>
        <v>72.694220663405233</v>
      </c>
      <c r="AB140" s="434">
        <f t="shared" si="315"/>
        <v>75.398745163628746</v>
      </c>
      <c r="AC140" s="434">
        <f t="shared" si="315"/>
        <v>78.195146812815722</v>
      </c>
      <c r="AD140" s="434">
        <f t="shared" si="315"/>
        <v>81.086400951155753</v>
      </c>
      <c r="AE140" s="434">
        <f t="shared" si="315"/>
        <v>0</v>
      </c>
      <c r="AF140" s="434">
        <f t="shared" si="315"/>
        <v>0</v>
      </c>
      <c r="AG140" s="434">
        <f t="shared" si="315"/>
        <v>0</v>
      </c>
      <c r="AH140" s="434">
        <f t="shared" si="315"/>
        <v>0</v>
      </c>
      <c r="AI140" s="434">
        <f t="shared" si="315"/>
        <v>0</v>
      </c>
      <c r="AJ140" s="434">
        <f t="shared" si="315"/>
        <v>0</v>
      </c>
      <c r="AK140" s="434">
        <f t="shared" si="315"/>
        <v>0</v>
      </c>
      <c r="AL140" s="434">
        <f t="shared" si="315"/>
        <v>0</v>
      </c>
      <c r="AM140" s="434">
        <f t="shared" si="315"/>
        <v>0</v>
      </c>
      <c r="AN140" s="434">
        <f t="shared" si="315"/>
        <v>0</v>
      </c>
      <c r="AO140" s="434">
        <f t="shared" si="315"/>
        <v>0</v>
      </c>
      <c r="AP140" s="434">
        <f t="shared" si="315"/>
        <v>0</v>
      </c>
      <c r="AQ140" s="434">
        <f t="shared" si="315"/>
        <v>0</v>
      </c>
      <c r="AR140" s="434">
        <f t="shared" si="315"/>
        <v>0</v>
      </c>
      <c r="AS140" s="434">
        <f t="shared" si="315"/>
        <v>0</v>
      </c>
      <c r="AT140" s="434">
        <f t="shared" si="315"/>
        <v>0</v>
      </c>
      <c r="AU140" s="434">
        <f t="shared" si="315"/>
        <v>0</v>
      </c>
      <c r="AV140" s="434">
        <f t="shared" si="315"/>
        <v>0</v>
      </c>
      <c r="AW140" s="434">
        <f t="shared" si="315"/>
        <v>0</v>
      </c>
    </row>
    <row r="141" spans="3:49" ht="14.25" customHeight="1">
      <c r="C141" s="440" t="s">
        <v>488</v>
      </c>
      <c r="D141" s="441">
        <f>IF(D140&gt;0,-D140*'Assumptions &amp; Inputs'!$J$12,0)</f>
        <v>0</v>
      </c>
      <c r="E141" s="441">
        <f>IF(E140&gt;0,-E140*'Assumptions &amp; Inputs'!$J$12,0)</f>
        <v>-4.7677159108444496</v>
      </c>
      <c r="F141" s="441">
        <f>IF(F140&gt;0,-F140*'Assumptions &amp; Inputs'!$J$12,0)</f>
        <v>-7.5436812149873509</v>
      </c>
      <c r="G141" s="441">
        <f>IF(G140&gt;0,-G140*'Assumptions &amp; Inputs'!$J$12,0)</f>
        <v>-8.1851690227423202</v>
      </c>
      <c r="H141" s="441">
        <f>IF(H140&gt;0,-H140*'Assumptions &amp; Inputs'!$J$12,0)</f>
        <v>-9.1201946828161411</v>
      </c>
      <c r="I141" s="441">
        <f>IF(I140&gt;0,-I140*'Assumptions &amp; Inputs'!$J$12,0)</f>
        <v>-9.5743539084078346</v>
      </c>
      <c r="J141" s="441">
        <f>IF(J140&gt;0,-J140*'Assumptions &amp; Inputs'!$J$12,0)</f>
        <v>-9.9560243932835721</v>
      </c>
      <c r="K141" s="441">
        <f>IF(K140&gt;0,-K140*'Assumptions &amp; Inputs'!$J$12,0)</f>
        <v>-10.351086360885033</v>
      </c>
      <c r="L141" s="441">
        <f>IF(L140&gt;0,-L140*'Assumptions &amp; Inputs'!$J$12,0)</f>
        <v>-10.759981204871538</v>
      </c>
      <c r="M141" s="441">
        <f>IF(M140&gt;0,-M140*'Assumptions &amp; Inputs'!$J$12,0)</f>
        <v>-11.183164366723862</v>
      </c>
      <c r="N141" s="441">
        <f>IF(N140&gt;0,-N140*'Assumptions &amp; Inputs'!$J$12,0)</f>
        <v>-11.621105773508567</v>
      </c>
      <c r="O141" s="441">
        <f>IF(O140&gt;0,-O140*'Assumptions &amp; Inputs'!$J$12,0)</f>
        <v>-12.074290289105292</v>
      </c>
      <c r="P141" s="441">
        <f>IF(P140&gt;0,-P140*'Assumptions &amp; Inputs'!$J$12,0)</f>
        <v>-12.543218179307475</v>
      </c>
      <c r="Q141" s="441">
        <f>IF(Q140&gt;0,-Q140*'Assumptions &amp; Inputs'!$J$12,0)</f>
        <v>-13.028405591219665</v>
      </c>
      <c r="R141" s="441">
        <f>IF(R140&gt;0,-R140*'Assumptions &amp; Inputs'!$J$12,0)</f>
        <v>-13.530385047387012</v>
      </c>
      <c r="S141" s="441">
        <f>IF(S140&gt;0,-S140*'Assumptions &amp; Inputs'!$J$12,0)</f>
        <v>-14.049705955106147</v>
      </c>
      <c r="T141" s="441">
        <f>IF(T140&gt;0,-T140*'Assumptions &amp; Inputs'!$J$12,0)</f>
        <v>-14.586935131380033</v>
      </c>
      <c r="U141" s="441">
        <f>IF(U140&gt;0,-U140*'Assumptions &amp; Inputs'!$J$12,0)</f>
        <v>-15.142657343993548</v>
      </c>
      <c r="V141" s="441">
        <f>IF(V140&gt;0,-V140*'Assumptions &amp; Inputs'!$J$12,0)</f>
        <v>-15.717475869200706</v>
      </c>
      <c r="W141" s="441">
        <f>IF(W140&gt;0,-W140*'Assumptions &amp; Inputs'!$J$12,0)</f>
        <v>-16.312013066529779</v>
      </c>
      <c r="X141" s="441">
        <f>IF(X140&gt;0,-X140*'Assumptions &amp; Inputs'!$J$12,0)</f>
        <v>-16.926910971227507</v>
      </c>
      <c r="Y141" s="441">
        <f>IF(Y140&gt;0,-Y140*'Assumptions &amp; Inputs'!$J$12,0)</f>
        <v>-17.562831904879594</v>
      </c>
      <c r="Z141" s="441">
        <f>IF(Z140&gt;0,-Z140*'Assumptions &amp; Inputs'!$J$12,0)</f>
        <v>-18.220459104760891</v>
      </c>
      <c r="AA141" s="441">
        <f>IF(AA140&gt;0,-AA140*'Assumptions &amp; Inputs'!$J$12,0)</f>
        <v>-18.900497372485361</v>
      </c>
      <c r="AB141" s="441">
        <f>IF(AB140&gt;0,-AB140*'Assumptions &amp; Inputs'!$J$12,0)</f>
        <v>-19.603673742543474</v>
      </c>
      <c r="AC141" s="441">
        <f>IF(AC140&gt;0,-AC140*'Assumptions &amp; Inputs'!$J$12,0)</f>
        <v>-20.33073817133209</v>
      </c>
      <c r="AD141" s="441">
        <f>IF(AD140&gt;0,-AD140*'Assumptions &amp; Inputs'!$J$12,0)</f>
        <v>-21.082464247300496</v>
      </c>
      <c r="AE141" s="441">
        <f>IF(AE140&gt;0,-AE140*'Assumptions &amp; Inputs'!$J$12,0)</f>
        <v>0</v>
      </c>
      <c r="AF141" s="441">
        <f>IF(AF140&gt;0,-AF140*'Assumptions &amp; Inputs'!$J$12,0)</f>
        <v>0</v>
      </c>
      <c r="AG141" s="441">
        <f>IF(AG140&gt;0,-AG140*'Assumptions &amp; Inputs'!$J$12,0)</f>
        <v>0</v>
      </c>
      <c r="AH141" s="441">
        <f>IF(AH140&gt;0,-AH140*'Assumptions &amp; Inputs'!$J$12,0)</f>
        <v>0</v>
      </c>
      <c r="AI141" s="441">
        <f>IF(AI140&gt;0,-AI140*'Assumptions &amp; Inputs'!$J$12,0)</f>
        <v>0</v>
      </c>
      <c r="AJ141" s="441">
        <f>IF(AJ140&gt;0,-AJ140*'Assumptions &amp; Inputs'!$J$12,0)</f>
        <v>0</v>
      </c>
      <c r="AK141" s="441">
        <f>IF(AK140&gt;0,-AK140*'Assumptions &amp; Inputs'!$J$12,0)</f>
        <v>0</v>
      </c>
      <c r="AL141" s="441">
        <f>IF(AL140&gt;0,-AL140*'Assumptions &amp; Inputs'!$J$12,0)</f>
        <v>0</v>
      </c>
      <c r="AM141" s="441">
        <f>IF(AM140&gt;0,-AM140*'Assumptions &amp; Inputs'!$J$12,0)</f>
        <v>0</v>
      </c>
      <c r="AN141" s="441">
        <f>IF(AN140&gt;0,-AN140*'Assumptions &amp; Inputs'!$J$12,0)</f>
        <v>0</v>
      </c>
      <c r="AO141" s="441">
        <f>IF(AO140&gt;0,-AO140*'Assumptions &amp; Inputs'!$J$12,0)</f>
        <v>0</v>
      </c>
      <c r="AP141" s="441">
        <f>IF(AP140&gt;0,-AP140*'Assumptions &amp; Inputs'!$J$12,0)</f>
        <v>0</v>
      </c>
      <c r="AQ141" s="441">
        <f>IF(AQ140&gt;0,-AQ140*'Assumptions &amp; Inputs'!$J$12,0)</f>
        <v>0</v>
      </c>
      <c r="AR141" s="441">
        <f>IF(AR140&gt;0,-AR140*'Assumptions &amp; Inputs'!$J$12,0)</f>
        <v>0</v>
      </c>
      <c r="AS141" s="441">
        <f>IF(AS140&gt;0,-AS140*'Assumptions &amp; Inputs'!$J$12,0)</f>
        <v>0</v>
      </c>
      <c r="AT141" s="441">
        <f>IF(AT140&gt;0,-AT140*'Assumptions &amp; Inputs'!$J$12,0)</f>
        <v>0</v>
      </c>
      <c r="AU141" s="441">
        <f>IF(AU140&gt;0,-AU140*'Assumptions &amp; Inputs'!$J$12,0)</f>
        <v>0</v>
      </c>
      <c r="AV141" s="441">
        <f>IF(AV140&gt;0,-AV140*'Assumptions &amp; Inputs'!$J$12,0)</f>
        <v>0</v>
      </c>
      <c r="AW141" s="441">
        <f>IF(AW140&gt;0,-AW140*'Assumptions &amp; Inputs'!$J$12,0)</f>
        <v>0</v>
      </c>
    </row>
    <row r="142" spans="3:49" ht="14.25" customHeight="1">
      <c r="C142" s="442" t="s">
        <v>519</v>
      </c>
      <c r="D142" s="443">
        <f>IF(AND(D24=0,D141&lt;0,C143&lt;$D$25*'Assumptions &amp; Inputs'!$W$5),MIN(-D141,$D$25*'Assumptions &amp; Inputs'!$W$5,$D$25*'Assumptions &amp; Inputs'!$W$5-C143),0)*'Assumptions &amp; Inputs'!$W$4</f>
        <v>0</v>
      </c>
      <c r="E142" s="443">
        <f>IF(AND(E24=0,E141&lt;0,D143&lt;$D$25*'Assumptions &amp; Inputs'!$W$5),MIN(-E141,$D$25*'Assumptions &amp; Inputs'!$W$5,$D$25*'Assumptions &amp; Inputs'!$W$5-D143),0)*'Assumptions &amp; Inputs'!$W$4</f>
        <v>0</v>
      </c>
      <c r="F142" s="443">
        <f>IF(AND(F24=0,F141&lt;0,E143&lt;$D$25*'Assumptions &amp; Inputs'!$W$5),MIN(-F141,$D$25*'Assumptions &amp; Inputs'!$W$5,$D$25*'Assumptions &amp; Inputs'!$W$5-E143),0)*'Assumptions &amp; Inputs'!$W$4</f>
        <v>0</v>
      </c>
      <c r="G142" s="443">
        <f>IF(AND(G24=0,G141&lt;0,F143&lt;$D$25*'Assumptions &amp; Inputs'!$W$5),MIN(-G141,$D$25*'Assumptions &amp; Inputs'!$W$5,$D$25*'Assumptions &amp; Inputs'!$W$5-F143),0)*'Assumptions &amp; Inputs'!$W$4</f>
        <v>0</v>
      </c>
      <c r="H142" s="443">
        <f>IF(AND(H24=0,H141&lt;0,G143&lt;$D$25*'Assumptions &amp; Inputs'!$W$5),MIN(-H141,$D$25*'Assumptions &amp; Inputs'!$W$5,$D$25*'Assumptions &amp; Inputs'!$W$5-G143),0)*'Assumptions &amp; Inputs'!$W$4</f>
        <v>0</v>
      </c>
      <c r="I142" s="443">
        <f>IF(AND(I24=0,I141&lt;0,H143&lt;$D$25*'Assumptions &amp; Inputs'!$W$5),MIN(-I141,$D$25*'Assumptions &amp; Inputs'!$W$5,$D$25*'Assumptions &amp; Inputs'!$W$5-H143),0)*'Assumptions &amp; Inputs'!$W$4</f>
        <v>0</v>
      </c>
      <c r="J142" s="443">
        <f>IF(AND(J24=0,J141&lt;0,I143&lt;$D$25*'Assumptions &amp; Inputs'!$W$5),MIN(-J141,$D$25*'Assumptions &amp; Inputs'!$W$5,$D$25*'Assumptions &amp; Inputs'!$W$5-I143),0)*'Assumptions &amp; Inputs'!$W$4</f>
        <v>0</v>
      </c>
      <c r="K142" s="443">
        <f>IF(AND(K24=0,K141&lt;0,J143&lt;$D$25*'Assumptions &amp; Inputs'!$W$5),MIN(-K141,$D$25*'Assumptions &amp; Inputs'!$W$5,$D$25*'Assumptions &amp; Inputs'!$W$5-J143),0)*'Assumptions &amp; Inputs'!$W$4</f>
        <v>0</v>
      </c>
      <c r="L142" s="443">
        <f>IF(AND(L24=0,L141&lt;0,K143&lt;$D$25*'Assumptions &amp; Inputs'!$W$5),MIN(-L141,$D$25*'Assumptions &amp; Inputs'!$W$5,$D$25*'Assumptions &amp; Inputs'!$W$5-K143),0)*'Assumptions &amp; Inputs'!$W$4</f>
        <v>0</v>
      </c>
      <c r="M142" s="443">
        <f>IF(AND(M24=0,M141&lt;0,L143&lt;$D$25*'Assumptions &amp; Inputs'!$W$5),MIN(-M141,$D$25*'Assumptions &amp; Inputs'!$W$5,$D$25*'Assumptions &amp; Inputs'!$W$5-L143),0)*'Assumptions &amp; Inputs'!$W$4</f>
        <v>0</v>
      </c>
      <c r="N142" s="443">
        <f>IF(AND(N24=0,N141&lt;0,M143&lt;$D$25*'Assumptions &amp; Inputs'!$W$5),MIN(-N141,$D$25*'Assumptions &amp; Inputs'!$W$5,$D$25*'Assumptions &amp; Inputs'!$W$5-M143),0)*'Assumptions &amp; Inputs'!$W$4</f>
        <v>0</v>
      </c>
      <c r="O142" s="443">
        <f>IF(AND(O24=0,O141&lt;0,N143&lt;$D$25*'Assumptions &amp; Inputs'!$W$5),MIN(-O141,$D$25*'Assumptions &amp; Inputs'!$W$5,$D$25*'Assumptions &amp; Inputs'!$W$5-N143),0)*'Assumptions &amp; Inputs'!$W$4</f>
        <v>0</v>
      </c>
      <c r="P142" s="443">
        <f>IF(AND(P24=0,P141&lt;0,O143&lt;$D$25*'Assumptions &amp; Inputs'!$W$5),MIN(-P141,$D$25*'Assumptions &amp; Inputs'!$W$5,$D$25*'Assumptions &amp; Inputs'!$W$5-O143),0)*'Assumptions &amp; Inputs'!$W$4</f>
        <v>0</v>
      </c>
      <c r="Q142" s="443">
        <f>IF(AND(Q24=0,Q141&lt;0,P143&lt;$D$25*'Assumptions &amp; Inputs'!$W$5),MIN(-Q141,$D$25*'Assumptions &amp; Inputs'!$W$5,$D$25*'Assumptions &amp; Inputs'!$W$5-P143),0)*'Assumptions &amp; Inputs'!$W$4</f>
        <v>0</v>
      </c>
      <c r="R142" s="443">
        <f>IF(AND(R24=0,R141&lt;0,Q143&lt;$D$25*'Assumptions &amp; Inputs'!$W$5),MIN(-R141,$D$25*'Assumptions &amp; Inputs'!$W$5,$D$25*'Assumptions &amp; Inputs'!$W$5-Q143),0)*'Assumptions &amp; Inputs'!$W$4</f>
        <v>0</v>
      </c>
      <c r="S142" s="443">
        <f>IF(AND(S24=0,S141&lt;0,R143&lt;$D$25*'Assumptions &amp; Inputs'!$W$5),MIN(-S141,$D$25*'Assumptions &amp; Inputs'!$W$5,$D$25*'Assumptions &amp; Inputs'!$W$5-R143),0)*'Assumptions &amp; Inputs'!$W$4</f>
        <v>0</v>
      </c>
      <c r="T142" s="443">
        <f>IF(AND(T24=0,T141&lt;0,S143&lt;$D$25*'Assumptions &amp; Inputs'!$W$5),MIN(-T141,$D$25*'Assumptions &amp; Inputs'!$W$5,$D$25*'Assumptions &amp; Inputs'!$W$5-S143),0)*'Assumptions &amp; Inputs'!$W$4</f>
        <v>0</v>
      </c>
      <c r="U142" s="443">
        <f>IF(AND(U24=0,U141&lt;0,T143&lt;$D$25*'Assumptions &amp; Inputs'!$W$5),MIN(-U141,$D$25*'Assumptions &amp; Inputs'!$W$5,$D$25*'Assumptions &amp; Inputs'!$W$5-T143),0)*'Assumptions &amp; Inputs'!$W$4</f>
        <v>0</v>
      </c>
      <c r="V142" s="443">
        <f>IF(AND(V24=0,V141&lt;0,U143&lt;$D$25*'Assumptions &amp; Inputs'!$W$5),MIN(-V141,$D$25*'Assumptions &amp; Inputs'!$W$5,$D$25*'Assumptions &amp; Inputs'!$W$5-U143),0)*'Assumptions &amp; Inputs'!$W$4</f>
        <v>0</v>
      </c>
      <c r="W142" s="443">
        <f>IF(AND(W24=0,W141&lt;0,V143&lt;$D$25*'Assumptions &amp; Inputs'!$W$5),MIN(-W141,$D$25*'Assumptions &amp; Inputs'!$W$5,$D$25*'Assumptions &amp; Inputs'!$W$5-V143),0)*'Assumptions &amp; Inputs'!$W$4</f>
        <v>0</v>
      </c>
      <c r="X142" s="443">
        <f>IF(AND(X24=0,X141&lt;0,W143&lt;$D$25*'Assumptions &amp; Inputs'!$W$5),MIN(-X141,$D$25*'Assumptions &amp; Inputs'!$W$5,$D$25*'Assumptions &amp; Inputs'!$W$5-W143),0)*'Assumptions &amp; Inputs'!$W$4</f>
        <v>0</v>
      </c>
      <c r="Y142" s="443">
        <f>IF(AND(Y24=0,Y141&lt;0,X143&lt;$D$25*'Assumptions &amp; Inputs'!$W$5),MIN(-Y141,$D$25*'Assumptions &amp; Inputs'!$W$5,$D$25*'Assumptions &amp; Inputs'!$W$5-X143),0)*'Assumptions &amp; Inputs'!$W$4</f>
        <v>0</v>
      </c>
      <c r="Z142" s="443">
        <f>IF(AND(Z24=0,Z141&lt;0,Y143&lt;$D$25*'Assumptions &amp; Inputs'!$W$5),MIN(-Z141,$D$25*'Assumptions &amp; Inputs'!$W$5,$D$25*'Assumptions &amp; Inputs'!$W$5-Y143),0)*'Assumptions &amp; Inputs'!$W$4</f>
        <v>0</v>
      </c>
      <c r="AA142" s="443">
        <f>IF(AND(AA24=0,AA141&lt;0,Z143&lt;$D$25*'Assumptions &amp; Inputs'!$W$5),MIN(-AA141,$D$25*'Assumptions &amp; Inputs'!$W$5,$D$25*'Assumptions &amp; Inputs'!$W$5-Z143),0)*'Assumptions &amp; Inputs'!$W$4</f>
        <v>0</v>
      </c>
      <c r="AB142" s="443">
        <f>IF(AND(AB24=0,AB141&lt;0,AA143&lt;$D$25*'Assumptions &amp; Inputs'!$W$5),MIN(-AB141,$D$25*'Assumptions &amp; Inputs'!$W$5,$D$25*'Assumptions &amp; Inputs'!$W$5-AA143),0)*'Assumptions &amp; Inputs'!$W$4</f>
        <v>0</v>
      </c>
      <c r="AC142" s="443">
        <f>IF(AND(AC24=0,AC141&lt;0,AB143&lt;$D$25*'Assumptions &amp; Inputs'!$W$5),MIN(-AC141,$D$25*'Assumptions &amp; Inputs'!$W$5,$D$25*'Assumptions &amp; Inputs'!$W$5-AB143),0)*'Assumptions &amp; Inputs'!$W$4</f>
        <v>0</v>
      </c>
      <c r="AD142" s="443">
        <f>IF(AND(AD24=0,AD141&lt;0,AC143&lt;$D$25*'Assumptions &amp; Inputs'!$W$5),MIN(-AD141,$D$25*'Assumptions &amp; Inputs'!$W$5,$D$25*'Assumptions &amp; Inputs'!$W$5-AC143),0)*'Assumptions &amp; Inputs'!$W$4</f>
        <v>0</v>
      </c>
      <c r="AE142" s="443">
        <f>IF(AND(AE24=0,AE141&lt;0,AD143&lt;$D$25*'Assumptions &amp; Inputs'!$W$5),MIN(-AE141,$D$25*'Assumptions &amp; Inputs'!$W$5,$D$25*'Assumptions &amp; Inputs'!$W$5-AD143),0)*'Assumptions &amp; Inputs'!$W$4</f>
        <v>0</v>
      </c>
      <c r="AF142" s="443">
        <f>IF(AND(AF24=0,AF141&lt;0,AE143&lt;$D$25*'Assumptions &amp; Inputs'!$W$5),MIN(-AF141,$D$25*'Assumptions &amp; Inputs'!$W$5,$D$25*'Assumptions &amp; Inputs'!$W$5-AE143),0)*'Assumptions &amp; Inputs'!$W$4</f>
        <v>0</v>
      </c>
      <c r="AG142" s="443">
        <f>IF(AND(AG24=0,AG141&lt;0,AF143&lt;$D$25*'Assumptions &amp; Inputs'!$W$5),MIN(-AG141,$D$25*'Assumptions &amp; Inputs'!$W$5,$D$25*'Assumptions &amp; Inputs'!$W$5-AF143),0)*'Assumptions &amp; Inputs'!$W$4</f>
        <v>0</v>
      </c>
      <c r="AH142" s="443">
        <f>IF(AND(AH24=0,AH141&lt;0,AG143&lt;$D$25*'Assumptions &amp; Inputs'!$W$5),MIN(-AH141,$D$25*'Assumptions &amp; Inputs'!$W$5,$D$25*'Assumptions &amp; Inputs'!$W$5-AG143),0)*'Assumptions &amp; Inputs'!$W$4</f>
        <v>0</v>
      </c>
      <c r="AI142" s="443">
        <f>IF(AND(AI24=0,AI141&lt;0,AH143&lt;$D$25*'Assumptions &amp; Inputs'!$W$5),MIN(-AI141,$D$25*'Assumptions &amp; Inputs'!$W$5,$D$25*'Assumptions &amp; Inputs'!$W$5-AH143),0)*'Assumptions &amp; Inputs'!$W$4</f>
        <v>0</v>
      </c>
      <c r="AJ142" s="443">
        <f>IF(AND(AJ24=0,AJ141&lt;0,AI143&lt;$D$25*'Assumptions &amp; Inputs'!$W$5),MIN(-AJ141,$D$25*'Assumptions &amp; Inputs'!$W$5,$D$25*'Assumptions &amp; Inputs'!$W$5-AI143),0)*'Assumptions &amp; Inputs'!$W$4</f>
        <v>0</v>
      </c>
      <c r="AK142" s="443">
        <f>IF(AND(AK24=0,AK141&lt;0,AJ143&lt;$D$25*'Assumptions &amp; Inputs'!$W$5),MIN(-AK141,$D$25*'Assumptions &amp; Inputs'!$W$5,$D$25*'Assumptions &amp; Inputs'!$W$5-AJ143),0)*'Assumptions &amp; Inputs'!$W$4</f>
        <v>0</v>
      </c>
      <c r="AL142" s="443">
        <f>IF(AND(AL24=0,AL141&lt;0,AK143&lt;$D$25*'Assumptions &amp; Inputs'!$W$5),MIN(-AL141,$D$25*'Assumptions &amp; Inputs'!$W$5,$D$25*'Assumptions &amp; Inputs'!$W$5-AK143),0)*'Assumptions &amp; Inputs'!$W$4</f>
        <v>0</v>
      </c>
      <c r="AM142" s="443">
        <f>IF(AND(AM24=0,AM141&lt;0,AL143&lt;$D$25*'Assumptions &amp; Inputs'!$W$5),MIN(-AM141,$D$25*'Assumptions &amp; Inputs'!$W$5,$D$25*'Assumptions &amp; Inputs'!$W$5-AL143),0)*'Assumptions &amp; Inputs'!$W$4</f>
        <v>0</v>
      </c>
      <c r="AN142" s="443">
        <f>IF(AND(AN24=0,AN141&lt;0,AM143&lt;$D$25*'Assumptions &amp; Inputs'!$W$5),MIN(-AN141,$D$25*'Assumptions &amp; Inputs'!$W$5,$D$25*'Assumptions &amp; Inputs'!$W$5-AM143),0)*'Assumptions &amp; Inputs'!$W$4</f>
        <v>0</v>
      </c>
      <c r="AO142" s="443">
        <f>IF(AND(AO24=0,AO141&lt;0,AN143&lt;$D$25*'Assumptions &amp; Inputs'!$W$5),MIN(-AO141,$D$25*'Assumptions &amp; Inputs'!$W$5,$D$25*'Assumptions &amp; Inputs'!$W$5-AN143),0)*'Assumptions &amp; Inputs'!$W$4</f>
        <v>0</v>
      </c>
      <c r="AP142" s="443">
        <f>IF(AND(AP24=0,AP141&lt;0,AO143&lt;$D$25*'Assumptions &amp; Inputs'!$W$5),MIN(-AP141,$D$25*'Assumptions &amp; Inputs'!$W$5,$D$25*'Assumptions &amp; Inputs'!$W$5-AO143),0)*'Assumptions &amp; Inputs'!$W$4</f>
        <v>0</v>
      </c>
      <c r="AQ142" s="443">
        <f>IF(AND(AQ24=0,AQ141&lt;0,AP143&lt;$D$25*'Assumptions &amp; Inputs'!$W$5),MIN(-AQ141,$D$25*'Assumptions &amp; Inputs'!$W$5,$D$25*'Assumptions &amp; Inputs'!$W$5-AP143),0)*'Assumptions &amp; Inputs'!$W$4</f>
        <v>0</v>
      </c>
      <c r="AR142" s="443">
        <f>IF(AND(AR24=0,AR141&lt;0,AQ143&lt;$D$25*'Assumptions &amp; Inputs'!$W$5),MIN(-AR141,$D$25*'Assumptions &amp; Inputs'!$W$5,$D$25*'Assumptions &amp; Inputs'!$W$5-AQ143),0)*'Assumptions &amp; Inputs'!$W$4</f>
        <v>0</v>
      </c>
      <c r="AS142" s="443">
        <f>IF(AND(AS24=0,AS141&lt;0,AR143&lt;$D$25*'Assumptions &amp; Inputs'!$W$5),MIN(-AS141,$D$25*'Assumptions &amp; Inputs'!$W$5,$D$25*'Assumptions &amp; Inputs'!$W$5-AR143),0)*'Assumptions &amp; Inputs'!$W$4</f>
        <v>0</v>
      </c>
      <c r="AT142" s="443">
        <f>IF(AND(AT24=0,AT141&lt;0,AS143&lt;$D$25*'Assumptions &amp; Inputs'!$W$5),MIN(-AT141,$D$25*'Assumptions &amp; Inputs'!$W$5,$D$25*'Assumptions &amp; Inputs'!$W$5-AS143),0)*'Assumptions &amp; Inputs'!$W$4</f>
        <v>0</v>
      </c>
      <c r="AU142" s="443">
        <f>IF(AND(AU24=0,AU141&lt;0,AT143&lt;$D$25*'Assumptions &amp; Inputs'!$W$5),MIN(-AU141,$D$25*'Assumptions &amp; Inputs'!$W$5,$D$25*'Assumptions &amp; Inputs'!$W$5-AT143),0)*'Assumptions &amp; Inputs'!$W$4</f>
        <v>0</v>
      </c>
      <c r="AV142" s="443">
        <f>IF(AND(AV24=0,AV141&lt;0,AU143&lt;$D$25*'Assumptions &amp; Inputs'!$W$5),MIN(-AV141,$D$25*'Assumptions &amp; Inputs'!$W$5,$D$25*'Assumptions &amp; Inputs'!$W$5-AU143),0)*'Assumptions &amp; Inputs'!$W$4</f>
        <v>0</v>
      </c>
      <c r="AW142" s="443">
        <f>IF(AND(AW24=0,AW141&lt;0,AV143&lt;$D$25*'Assumptions &amp; Inputs'!$W$5),MIN(-AW141,$D$25*'Assumptions &amp; Inputs'!$W$5,$D$25*'Assumptions &amp; Inputs'!$W$5-AV143),0)*'Assumptions &amp; Inputs'!$W$4</f>
        <v>0</v>
      </c>
    </row>
    <row r="143" spans="3:49" ht="14.25" customHeight="1">
      <c r="C143" s="442" t="s">
        <v>520</v>
      </c>
      <c r="D143" s="443">
        <f>SUM($D$142)</f>
        <v>0</v>
      </c>
      <c r="E143" s="443">
        <f>SUM($D$142:E$142)</f>
        <v>0</v>
      </c>
      <c r="F143" s="443">
        <f>SUM($D$142:F$142)</f>
        <v>0</v>
      </c>
      <c r="G143" s="443">
        <f>SUM($D$142:G$142)</f>
        <v>0</v>
      </c>
      <c r="H143" s="443">
        <f>SUM($D$142:H$142)</f>
        <v>0</v>
      </c>
      <c r="I143" s="443">
        <f>SUM($D$142:I$142)</f>
        <v>0</v>
      </c>
      <c r="J143" s="443">
        <f>SUM($D$142:J$142)</f>
        <v>0</v>
      </c>
      <c r="K143" s="443">
        <f>SUM($D$142:K$142)</f>
        <v>0</v>
      </c>
      <c r="L143" s="443">
        <f>SUM($D$142:L$142)</f>
        <v>0</v>
      </c>
      <c r="M143" s="443">
        <f>SUM($D$142:M$142)</f>
        <v>0</v>
      </c>
      <c r="N143" s="443">
        <f>SUM($D$142:N$142)</f>
        <v>0</v>
      </c>
      <c r="O143" s="443">
        <f>SUM($D$142:O$142)</f>
        <v>0</v>
      </c>
      <c r="P143" s="443">
        <f>SUM($D$142:P$142)</f>
        <v>0</v>
      </c>
      <c r="Q143" s="443">
        <f>SUM($D$142:Q$142)</f>
        <v>0</v>
      </c>
      <c r="R143" s="443">
        <f>SUM($D$142:R$142)</f>
        <v>0</v>
      </c>
      <c r="S143" s="443">
        <f>SUM($D$142:S$142)</f>
        <v>0</v>
      </c>
      <c r="T143" s="443">
        <f>SUM($D$142:T$142)</f>
        <v>0</v>
      </c>
      <c r="U143" s="443">
        <f>SUM($D$142:U$142)</f>
        <v>0</v>
      </c>
      <c r="V143" s="443">
        <f>SUM($D$142:V$142)</f>
        <v>0</v>
      </c>
      <c r="W143" s="443">
        <f>SUM($D$142:W$142)</f>
        <v>0</v>
      </c>
      <c r="X143" s="443">
        <f>SUM($D$142:X$142)</f>
        <v>0</v>
      </c>
      <c r="Y143" s="443">
        <f>SUM($D$142:Y$142)</f>
        <v>0</v>
      </c>
      <c r="Z143" s="443">
        <f>SUM($D$142:Z$142)</f>
        <v>0</v>
      </c>
      <c r="AA143" s="443">
        <f>SUM($D$142:AA$142)</f>
        <v>0</v>
      </c>
      <c r="AB143" s="443">
        <f>SUM($D$142:AB$142)</f>
        <v>0</v>
      </c>
      <c r="AC143" s="443">
        <f>SUM($D$142:AC$142)</f>
        <v>0</v>
      </c>
      <c r="AD143" s="443">
        <f>SUM($D$142:AD$142)</f>
        <v>0</v>
      </c>
      <c r="AE143" s="443">
        <f>SUM($D$142:AE$142)</f>
        <v>0</v>
      </c>
      <c r="AF143" s="443">
        <f>SUM($D$142:AF$142)</f>
        <v>0</v>
      </c>
      <c r="AG143" s="443">
        <f>SUM($D$142:AG$142)</f>
        <v>0</v>
      </c>
      <c r="AH143" s="443">
        <f>SUM($D$142:AH$142)</f>
        <v>0</v>
      </c>
      <c r="AI143" s="443">
        <f>SUM($D$142:AI$142)</f>
        <v>0</v>
      </c>
      <c r="AJ143" s="443">
        <f>SUM($D$142:AJ$142)</f>
        <v>0</v>
      </c>
      <c r="AK143" s="443">
        <f>SUM($D$142:AK$142)</f>
        <v>0</v>
      </c>
      <c r="AL143" s="443">
        <f>SUM($D$142:AL$142)</f>
        <v>0</v>
      </c>
      <c r="AM143" s="443">
        <f>SUM($D$142:AM$142)</f>
        <v>0</v>
      </c>
      <c r="AN143" s="443">
        <f>SUM($D$142:AN$142)</f>
        <v>0</v>
      </c>
      <c r="AO143" s="443">
        <f>SUM($D$142:AO$142)</f>
        <v>0</v>
      </c>
      <c r="AP143" s="443">
        <f>SUM($D$142:AP$142)</f>
        <v>0</v>
      </c>
      <c r="AQ143" s="443">
        <f>SUM($D$142:AQ$142)</f>
        <v>0</v>
      </c>
      <c r="AR143" s="443">
        <f>SUM($D$142:AR$142)</f>
        <v>0</v>
      </c>
      <c r="AS143" s="443">
        <f>SUM($D$142:AS$142)</f>
        <v>0</v>
      </c>
      <c r="AT143" s="443">
        <f>SUM($D$142:AT$142)</f>
        <v>0</v>
      </c>
      <c r="AU143" s="443">
        <f>SUM($D$142:AU$142)</f>
        <v>0</v>
      </c>
      <c r="AV143" s="443">
        <f>SUM($D$142:AV$142)</f>
        <v>0</v>
      </c>
      <c r="AW143" s="443">
        <f>SUM($D$142:AW$142)</f>
        <v>0</v>
      </c>
    </row>
    <row r="145" spans="3:49" ht="14.25" customHeight="1">
      <c r="C145" s="444" t="s">
        <v>489</v>
      </c>
      <c r="D145" s="445">
        <f>SUM(D140,D141,D142)</f>
        <v>0</v>
      </c>
      <c r="E145" s="445">
        <f t="shared" ref="E145:X145" si="316">SUM(E140,E141,E142)</f>
        <v>13.569652977018817</v>
      </c>
      <c r="F145" s="445">
        <f t="shared" si="316"/>
        <v>21.470477304194766</v>
      </c>
      <c r="G145" s="445">
        <f t="shared" si="316"/>
        <v>23.296250295497373</v>
      </c>
      <c r="H145" s="445">
        <f t="shared" si="316"/>
        <v>25.957477174169014</v>
      </c>
      <c r="I145" s="445">
        <f t="shared" si="316"/>
        <v>27.250084200853067</v>
      </c>
      <c r="J145" s="445">
        <f t="shared" si="316"/>
        <v>28.336377119345549</v>
      </c>
      <c r="K145" s="445">
        <f t="shared" si="316"/>
        <v>29.460784257903548</v>
      </c>
      <c r="L145" s="445">
        <f t="shared" si="316"/>
        <v>30.624561890788222</v>
      </c>
      <c r="M145" s="445">
        <f t="shared" si="316"/>
        <v>31.829006274521756</v>
      </c>
      <c r="N145" s="445">
        <f t="shared" si="316"/>
        <v>33.075454893832074</v>
      </c>
      <c r="O145" s="445">
        <f t="shared" si="316"/>
        <v>34.365287745915062</v>
      </c>
      <c r="P145" s="445">
        <f t="shared" si="316"/>
        <v>35.699928664182814</v>
      </c>
      <c r="Q145" s="445">
        <f t="shared" si="316"/>
        <v>37.080846682702116</v>
      </c>
      <c r="R145" s="445">
        <f t="shared" si="316"/>
        <v>38.509557442563029</v>
      </c>
      <c r="S145" s="445">
        <f t="shared" si="316"/>
        <v>39.987624641455952</v>
      </c>
      <c r="T145" s="445">
        <f t="shared" si="316"/>
        <v>41.516661527773941</v>
      </c>
      <c r="U145" s="445">
        <f t="shared" si="316"/>
        <v>43.098332440597019</v>
      </c>
      <c r="V145" s="445">
        <f t="shared" si="316"/>
        <v>44.734354396955858</v>
      </c>
      <c r="W145" s="445">
        <f t="shared" si="316"/>
        <v>46.42649872781552</v>
      </c>
      <c r="X145" s="445">
        <f t="shared" si="316"/>
        <v>48.176592764262899</v>
      </c>
      <c r="Y145" s="445">
        <f t="shared" ref="Y145:AW145" si="317">SUM(Y140,Y141,Y142)</f>
        <v>49.986521575426529</v>
      </c>
      <c r="Z145" s="445">
        <f t="shared" si="317"/>
        <v>51.858229759704074</v>
      </c>
      <c r="AA145" s="445">
        <f t="shared" si="317"/>
        <v>53.793723290919871</v>
      </c>
      <c r="AB145" s="445">
        <f t="shared" si="317"/>
        <v>55.795071421085268</v>
      </c>
      <c r="AC145" s="445">
        <f t="shared" si="317"/>
        <v>57.864408641483635</v>
      </c>
      <c r="AD145" s="445">
        <f t="shared" si="317"/>
        <v>60.00393670385526</v>
      </c>
      <c r="AE145" s="445">
        <f t="shared" si="317"/>
        <v>0</v>
      </c>
      <c r="AF145" s="445">
        <f t="shared" si="317"/>
        <v>0</v>
      </c>
      <c r="AG145" s="445">
        <f t="shared" si="317"/>
        <v>0</v>
      </c>
      <c r="AH145" s="445">
        <f t="shared" si="317"/>
        <v>0</v>
      </c>
      <c r="AI145" s="445">
        <f t="shared" si="317"/>
        <v>0</v>
      </c>
      <c r="AJ145" s="445">
        <f t="shared" si="317"/>
        <v>0</v>
      </c>
      <c r="AK145" s="445">
        <f t="shared" si="317"/>
        <v>0</v>
      </c>
      <c r="AL145" s="445">
        <f t="shared" si="317"/>
        <v>0</v>
      </c>
      <c r="AM145" s="445">
        <f t="shared" si="317"/>
        <v>0</v>
      </c>
      <c r="AN145" s="445">
        <f t="shared" si="317"/>
        <v>0</v>
      </c>
      <c r="AO145" s="445">
        <f t="shared" si="317"/>
        <v>0</v>
      </c>
      <c r="AP145" s="445">
        <f t="shared" si="317"/>
        <v>0</v>
      </c>
      <c r="AQ145" s="445">
        <f t="shared" si="317"/>
        <v>0</v>
      </c>
      <c r="AR145" s="445">
        <f t="shared" si="317"/>
        <v>0</v>
      </c>
      <c r="AS145" s="445">
        <f t="shared" si="317"/>
        <v>0</v>
      </c>
      <c r="AT145" s="445">
        <f t="shared" si="317"/>
        <v>0</v>
      </c>
      <c r="AU145" s="445">
        <f t="shared" si="317"/>
        <v>0</v>
      </c>
      <c r="AV145" s="445">
        <f t="shared" si="317"/>
        <v>0</v>
      </c>
      <c r="AW145" s="445">
        <f t="shared" si="317"/>
        <v>0</v>
      </c>
    </row>
    <row r="146" spans="3:49" ht="14.25" customHeight="1"/>
    <row r="147" spans="3:49" ht="14.25" customHeight="1">
      <c r="C147" s="357" t="s">
        <v>490</v>
      </c>
      <c r="D147" s="446">
        <f>D$24</f>
        <v>-22</v>
      </c>
      <c r="E147" s="446">
        <f t="shared" ref="E147:AW147" si="318">E$24</f>
        <v>-8</v>
      </c>
      <c r="F147" s="446">
        <f t="shared" si="318"/>
        <v>0</v>
      </c>
      <c r="G147" s="446">
        <f t="shared" si="318"/>
        <v>0</v>
      </c>
      <c r="H147" s="446">
        <f t="shared" si="318"/>
        <v>0</v>
      </c>
      <c r="I147" s="446">
        <f t="shared" si="318"/>
        <v>0</v>
      </c>
      <c r="J147" s="446">
        <f t="shared" si="318"/>
        <v>0</v>
      </c>
      <c r="K147" s="446">
        <f t="shared" si="318"/>
        <v>0</v>
      </c>
      <c r="L147" s="446">
        <f t="shared" si="318"/>
        <v>0</v>
      </c>
      <c r="M147" s="446">
        <f t="shared" si="318"/>
        <v>0</v>
      </c>
      <c r="N147" s="446">
        <f t="shared" si="318"/>
        <v>0</v>
      </c>
      <c r="O147" s="446">
        <f t="shared" si="318"/>
        <v>0</v>
      </c>
      <c r="P147" s="446">
        <f t="shared" si="318"/>
        <v>0</v>
      </c>
      <c r="Q147" s="446">
        <f t="shared" si="318"/>
        <v>0</v>
      </c>
      <c r="R147" s="446">
        <f t="shared" si="318"/>
        <v>0</v>
      </c>
      <c r="S147" s="446">
        <f t="shared" si="318"/>
        <v>0</v>
      </c>
      <c r="T147" s="446">
        <f t="shared" si="318"/>
        <v>0</v>
      </c>
      <c r="U147" s="446">
        <f t="shared" si="318"/>
        <v>0</v>
      </c>
      <c r="V147" s="446">
        <f t="shared" si="318"/>
        <v>0</v>
      </c>
      <c r="W147" s="446">
        <f t="shared" si="318"/>
        <v>0</v>
      </c>
      <c r="X147" s="446">
        <f t="shared" si="318"/>
        <v>0</v>
      </c>
      <c r="Y147" s="446">
        <f t="shared" si="318"/>
        <v>0</v>
      </c>
      <c r="Z147" s="446">
        <f t="shared" si="318"/>
        <v>0</v>
      </c>
      <c r="AA147" s="446">
        <f t="shared" si="318"/>
        <v>0</v>
      </c>
      <c r="AB147" s="446">
        <f t="shared" si="318"/>
        <v>0</v>
      </c>
      <c r="AC147" s="446">
        <f t="shared" si="318"/>
        <v>0</v>
      </c>
      <c r="AD147" s="446">
        <f t="shared" si="318"/>
        <v>0</v>
      </c>
      <c r="AE147" s="446">
        <f t="shared" si="318"/>
        <v>0</v>
      </c>
      <c r="AF147" s="446">
        <f t="shared" si="318"/>
        <v>0</v>
      </c>
      <c r="AG147" s="446">
        <f t="shared" si="318"/>
        <v>0</v>
      </c>
      <c r="AH147" s="446">
        <f t="shared" si="318"/>
        <v>0</v>
      </c>
      <c r="AI147" s="446">
        <f t="shared" si="318"/>
        <v>0</v>
      </c>
      <c r="AJ147" s="446">
        <f t="shared" si="318"/>
        <v>0</v>
      </c>
      <c r="AK147" s="446">
        <f t="shared" si="318"/>
        <v>0</v>
      </c>
      <c r="AL147" s="446">
        <f t="shared" si="318"/>
        <v>0</v>
      </c>
      <c r="AM147" s="446">
        <f t="shared" si="318"/>
        <v>0</v>
      </c>
      <c r="AN147" s="446">
        <f t="shared" si="318"/>
        <v>0</v>
      </c>
      <c r="AO147" s="446">
        <f t="shared" si="318"/>
        <v>0</v>
      </c>
      <c r="AP147" s="446">
        <f t="shared" si="318"/>
        <v>0</v>
      </c>
      <c r="AQ147" s="446">
        <f t="shared" si="318"/>
        <v>0</v>
      </c>
      <c r="AR147" s="446">
        <f t="shared" si="318"/>
        <v>0</v>
      </c>
      <c r="AS147" s="446">
        <f t="shared" si="318"/>
        <v>0</v>
      </c>
      <c r="AT147" s="446">
        <f t="shared" si="318"/>
        <v>0</v>
      </c>
      <c r="AU147" s="446">
        <f t="shared" si="318"/>
        <v>0</v>
      </c>
      <c r="AV147" s="446">
        <f t="shared" si="318"/>
        <v>0</v>
      </c>
      <c r="AW147" s="446">
        <f t="shared" si="318"/>
        <v>0</v>
      </c>
    </row>
    <row r="148" spans="3:49" ht="14.25" customHeight="1">
      <c r="C148" s="4" t="s">
        <v>506</v>
      </c>
      <c r="D148" s="503">
        <f>0</f>
        <v>0</v>
      </c>
      <c r="E148" s="503">
        <f>D147+D148-D149</f>
        <v>-22</v>
      </c>
      <c r="F148" s="503">
        <f t="shared" ref="F148:AW148" si="319">E147+E148-E149</f>
        <v>-30</v>
      </c>
      <c r="G148" s="503">
        <f t="shared" si="319"/>
        <v>-30</v>
      </c>
      <c r="H148" s="503">
        <f t="shared" si="319"/>
        <v>-30</v>
      </c>
      <c r="I148" s="503">
        <f t="shared" si="319"/>
        <v>-30</v>
      </c>
      <c r="J148" s="503">
        <f t="shared" si="319"/>
        <v>-30</v>
      </c>
      <c r="K148" s="503">
        <f t="shared" si="319"/>
        <v>-30</v>
      </c>
      <c r="L148" s="503">
        <f t="shared" si="319"/>
        <v>-30</v>
      </c>
      <c r="M148" s="503">
        <f t="shared" si="319"/>
        <v>-30</v>
      </c>
      <c r="N148" s="503">
        <f t="shared" si="319"/>
        <v>-30</v>
      </c>
      <c r="O148" s="503">
        <f t="shared" si="319"/>
        <v>-30</v>
      </c>
      <c r="P148" s="503">
        <f t="shared" si="319"/>
        <v>-30</v>
      </c>
      <c r="Q148" s="503">
        <f t="shared" si="319"/>
        <v>-30</v>
      </c>
      <c r="R148" s="503">
        <f t="shared" si="319"/>
        <v>-30</v>
      </c>
      <c r="S148" s="503">
        <f t="shared" si="319"/>
        <v>-30</v>
      </c>
      <c r="T148" s="503">
        <f t="shared" si="319"/>
        <v>-30</v>
      </c>
      <c r="U148" s="503">
        <f t="shared" si="319"/>
        <v>-30</v>
      </c>
      <c r="V148" s="503">
        <f t="shared" si="319"/>
        <v>-30</v>
      </c>
      <c r="W148" s="503">
        <f t="shared" si="319"/>
        <v>-30</v>
      </c>
      <c r="X148" s="503">
        <f t="shared" si="319"/>
        <v>-30</v>
      </c>
      <c r="Y148" s="503">
        <f t="shared" si="319"/>
        <v>-30</v>
      </c>
      <c r="Z148" s="503">
        <f t="shared" si="319"/>
        <v>-30</v>
      </c>
      <c r="AA148" s="503">
        <f t="shared" si="319"/>
        <v>-30</v>
      </c>
      <c r="AB148" s="503">
        <f t="shared" si="319"/>
        <v>-30</v>
      </c>
      <c r="AC148" s="503">
        <f t="shared" si="319"/>
        <v>-30</v>
      </c>
      <c r="AD148" s="503">
        <f t="shared" si="319"/>
        <v>-30</v>
      </c>
      <c r="AE148" s="503">
        <f t="shared" si="319"/>
        <v>0</v>
      </c>
      <c r="AF148" s="503">
        <f t="shared" si="319"/>
        <v>0</v>
      </c>
      <c r="AG148" s="503">
        <f t="shared" si="319"/>
        <v>0</v>
      </c>
      <c r="AH148" s="503">
        <f t="shared" si="319"/>
        <v>0</v>
      </c>
      <c r="AI148" s="503">
        <f t="shared" si="319"/>
        <v>0</v>
      </c>
      <c r="AJ148" s="503">
        <f t="shared" si="319"/>
        <v>0</v>
      </c>
      <c r="AK148" s="503">
        <f t="shared" si="319"/>
        <v>0</v>
      </c>
      <c r="AL148" s="503">
        <f t="shared" si="319"/>
        <v>0</v>
      </c>
      <c r="AM148" s="503">
        <f t="shared" si="319"/>
        <v>0</v>
      </c>
      <c r="AN148" s="503">
        <f t="shared" si="319"/>
        <v>0</v>
      </c>
      <c r="AO148" s="503">
        <f t="shared" si="319"/>
        <v>0</v>
      </c>
      <c r="AP148" s="503">
        <f t="shared" si="319"/>
        <v>0</v>
      </c>
      <c r="AQ148" s="503">
        <f t="shared" si="319"/>
        <v>0</v>
      </c>
      <c r="AR148" s="503">
        <f t="shared" si="319"/>
        <v>0</v>
      </c>
      <c r="AS148" s="503">
        <f t="shared" si="319"/>
        <v>0</v>
      </c>
      <c r="AT148" s="503">
        <f t="shared" si="319"/>
        <v>0</v>
      </c>
      <c r="AU148" s="503">
        <f t="shared" si="319"/>
        <v>0</v>
      </c>
      <c r="AV148" s="503">
        <f t="shared" si="319"/>
        <v>0</v>
      </c>
      <c r="AW148" s="503">
        <f t="shared" si="319"/>
        <v>0</v>
      </c>
    </row>
    <row r="149" spans="3:49" ht="14.25" customHeight="1">
      <c r="C149" s="4" t="s">
        <v>507</v>
      </c>
      <c r="D149" s="503">
        <f t="shared" ref="D149" si="320">IF(D49=0, 0, D148)</f>
        <v>0</v>
      </c>
      <c r="E149" s="503">
        <f>IF(E$42=0, 0, E148)</f>
        <v>0</v>
      </c>
      <c r="F149" s="503">
        <f t="shared" ref="F149:AW149" si="321">IF(F$42=0, 0, F148)</f>
        <v>0</v>
      </c>
      <c r="G149" s="503">
        <f t="shared" si="321"/>
        <v>0</v>
      </c>
      <c r="H149" s="503">
        <f t="shared" si="321"/>
        <v>0</v>
      </c>
      <c r="I149" s="503">
        <f t="shared" si="321"/>
        <v>0</v>
      </c>
      <c r="J149" s="503">
        <f t="shared" si="321"/>
        <v>0</v>
      </c>
      <c r="K149" s="503">
        <f t="shared" si="321"/>
        <v>0</v>
      </c>
      <c r="L149" s="503">
        <f t="shared" si="321"/>
        <v>0</v>
      </c>
      <c r="M149" s="503">
        <f t="shared" si="321"/>
        <v>0</v>
      </c>
      <c r="N149" s="503">
        <f t="shared" si="321"/>
        <v>0</v>
      </c>
      <c r="O149" s="503">
        <f t="shared" si="321"/>
        <v>0</v>
      </c>
      <c r="P149" s="503">
        <f t="shared" si="321"/>
        <v>0</v>
      </c>
      <c r="Q149" s="503">
        <f t="shared" si="321"/>
        <v>0</v>
      </c>
      <c r="R149" s="503">
        <f t="shared" si="321"/>
        <v>0</v>
      </c>
      <c r="S149" s="503">
        <f t="shared" si="321"/>
        <v>0</v>
      </c>
      <c r="T149" s="503">
        <f t="shared" si="321"/>
        <v>0</v>
      </c>
      <c r="U149" s="503">
        <f t="shared" si="321"/>
        <v>0</v>
      </c>
      <c r="V149" s="503">
        <f t="shared" si="321"/>
        <v>0</v>
      </c>
      <c r="W149" s="503">
        <f t="shared" si="321"/>
        <v>0</v>
      </c>
      <c r="X149" s="503">
        <f t="shared" si="321"/>
        <v>0</v>
      </c>
      <c r="Y149" s="503">
        <f t="shared" si="321"/>
        <v>0</v>
      </c>
      <c r="Z149" s="503">
        <f t="shared" si="321"/>
        <v>0</v>
      </c>
      <c r="AA149" s="503">
        <f t="shared" si="321"/>
        <v>0</v>
      </c>
      <c r="AB149" s="503">
        <f t="shared" si="321"/>
        <v>0</v>
      </c>
      <c r="AC149" s="503">
        <f t="shared" si="321"/>
        <v>0</v>
      </c>
      <c r="AD149" s="503">
        <f t="shared" si="321"/>
        <v>-30</v>
      </c>
      <c r="AE149" s="503">
        <f t="shared" si="321"/>
        <v>0</v>
      </c>
      <c r="AF149" s="503">
        <f t="shared" si="321"/>
        <v>0</v>
      </c>
      <c r="AG149" s="503">
        <f t="shared" si="321"/>
        <v>0</v>
      </c>
      <c r="AH149" s="503">
        <f t="shared" si="321"/>
        <v>0</v>
      </c>
      <c r="AI149" s="503">
        <f t="shared" si="321"/>
        <v>0</v>
      </c>
      <c r="AJ149" s="503">
        <f t="shared" si="321"/>
        <v>0</v>
      </c>
      <c r="AK149" s="503">
        <f t="shared" si="321"/>
        <v>0</v>
      </c>
      <c r="AL149" s="503">
        <f t="shared" si="321"/>
        <v>0</v>
      </c>
      <c r="AM149" s="503">
        <f t="shared" si="321"/>
        <v>0</v>
      </c>
      <c r="AN149" s="503">
        <f t="shared" si="321"/>
        <v>0</v>
      </c>
      <c r="AO149" s="503">
        <f t="shared" si="321"/>
        <v>0</v>
      </c>
      <c r="AP149" s="503">
        <f t="shared" si="321"/>
        <v>0</v>
      </c>
      <c r="AQ149" s="503">
        <f t="shared" si="321"/>
        <v>0</v>
      </c>
      <c r="AR149" s="503">
        <f t="shared" si="321"/>
        <v>0</v>
      </c>
      <c r="AS149" s="503">
        <f t="shared" si="321"/>
        <v>0</v>
      </c>
      <c r="AT149" s="503">
        <f t="shared" si="321"/>
        <v>0</v>
      </c>
      <c r="AU149" s="503">
        <f t="shared" si="321"/>
        <v>0</v>
      </c>
      <c r="AV149" s="503">
        <f t="shared" si="321"/>
        <v>0</v>
      </c>
      <c r="AW149" s="503">
        <f t="shared" si="321"/>
        <v>0</v>
      </c>
    </row>
    <row r="150" spans="3:49" ht="14.25" customHeight="1">
      <c r="C150" s="1" t="s">
        <v>491</v>
      </c>
      <c r="D150" s="8">
        <f>IF(AND(D147=0, C152&lt;$D$25*'Assumptions &amp; Inputs'!$J$37),MIN($D$25*(1-'Assumptions &amp; Inputs'!$J$37)/'Assumptions &amp; Inputs'!$J$35,-C152),0)</f>
        <v>0</v>
      </c>
      <c r="E150" s="8">
        <f>IF(AND(E$110&gt;YEAR('Assumptions &amp; Inputs'!$J$31), ROUND(D152, 7)&lt;SUMIF($D$110:$AW$110, "="&amp;E$110-'Assumptions &amp; Inputs'!$J$34-1, $D147:$AW147)*'Assumptions &amp; Inputs'!$J$37),MIN(E148*(1-'Assumptions &amp; Inputs'!$J$37)/'Assumptions &amp; Inputs'!$J$34,-D152),0)</f>
        <v>0</v>
      </c>
      <c r="F150" s="8">
        <f>IF(AND(F$110&gt;YEAR('Assumptions &amp; Inputs'!$J$31), ROUND(E152, 7)&lt;SUMIF($D$110:$AW$110, "="&amp;F$110-'Assumptions &amp; Inputs'!$J$34-1, $D147:$AW147)*'Assumptions &amp; Inputs'!$J$37),MIN(F148*(1-'Assumptions &amp; Inputs'!$J$37)/'Assumptions &amp; Inputs'!$J$34,-E152),0)</f>
        <v>-1.1399999999999999</v>
      </c>
      <c r="G150" s="8">
        <f>IF(AND(G$110&gt;YEAR('Assumptions &amp; Inputs'!$J$31), ROUND(F152, 7)&lt;SUMIF($D$110:$AW$110, "="&amp;G$110-'Assumptions &amp; Inputs'!$J$34-1, $D147:$AW147)*'Assumptions &amp; Inputs'!$J$37),MIN(G148*(1-'Assumptions &amp; Inputs'!$J$37)/'Assumptions &amp; Inputs'!$J$34,-F152),0)</f>
        <v>-1.1399999999999999</v>
      </c>
      <c r="H150" s="8">
        <f>IF(AND(H$110&gt;YEAR('Assumptions &amp; Inputs'!$J$31), ROUND(G152, 7)&lt;SUMIF($D$110:$AW$110, "="&amp;H$110-'Assumptions &amp; Inputs'!$J$34-1, $D147:$AW147)*'Assumptions &amp; Inputs'!$J$37),MIN(H148*(1-'Assumptions &amp; Inputs'!$J$37)/'Assumptions &amp; Inputs'!$J$34,-G152),0)</f>
        <v>-1.1399999999999999</v>
      </c>
      <c r="I150" s="8">
        <f>IF(AND(I$110&gt;YEAR('Assumptions &amp; Inputs'!$J$31), ROUND(H152, 7)&lt;SUMIF($D$110:$AW$110, "="&amp;I$110-'Assumptions &amp; Inputs'!$J$34-1, $D147:$AW147)*'Assumptions &amp; Inputs'!$J$37),MIN(I148*(1-'Assumptions &amp; Inputs'!$J$37)/'Assumptions &amp; Inputs'!$J$34,-H152),0)</f>
        <v>-1.1399999999999999</v>
      </c>
      <c r="J150" s="8">
        <f>IF(AND(J$110&gt;YEAR('Assumptions &amp; Inputs'!$J$31), ROUND(I152, 7)&lt;SUMIF($D$110:$AW$110, "="&amp;J$110-'Assumptions &amp; Inputs'!$J$34-1, $D147:$AW147)*'Assumptions &amp; Inputs'!$J$37),MIN(J148*(1-'Assumptions &amp; Inputs'!$J$37)/'Assumptions &amp; Inputs'!$J$34,-I152),0)</f>
        <v>-1.1399999999999999</v>
      </c>
      <c r="K150" s="8">
        <f>IF(AND(K$110&gt;YEAR('Assumptions &amp; Inputs'!$J$31), ROUND(J152, 7)&lt;SUMIF($D$110:$AW$110, "="&amp;K$110-'Assumptions &amp; Inputs'!$J$34-1, $D147:$AW147)*'Assumptions &amp; Inputs'!$J$37),MIN(K148*(1-'Assumptions &amp; Inputs'!$J$37)/'Assumptions &amp; Inputs'!$J$34,-J152),0)</f>
        <v>-1.1399999999999999</v>
      </c>
      <c r="L150" s="8">
        <f>IF(AND(L$110&gt;YEAR('Assumptions &amp; Inputs'!$J$31), ROUND(K152, 7)&lt;SUMIF($D$110:$AW$110, "="&amp;L$110-'Assumptions &amp; Inputs'!$J$34-1, $D147:$AW147)*'Assumptions &amp; Inputs'!$J$37),MIN(L148*(1-'Assumptions &amp; Inputs'!$J$37)/'Assumptions &amp; Inputs'!$J$34,-K152),0)</f>
        <v>-1.1399999999999999</v>
      </c>
      <c r="M150" s="8">
        <f>IF(AND(M$110&gt;YEAR('Assumptions &amp; Inputs'!$J$31), ROUND(L152, 7)&lt;SUMIF($D$110:$AW$110, "="&amp;M$110-'Assumptions &amp; Inputs'!$J$34-1, $D147:$AW147)*'Assumptions &amp; Inputs'!$J$37),MIN(M148*(1-'Assumptions &amp; Inputs'!$J$37)/'Assumptions &amp; Inputs'!$J$34,-L152),0)</f>
        <v>-1.1399999999999999</v>
      </c>
      <c r="N150" s="8">
        <f>IF(AND(N$110&gt;YEAR('Assumptions &amp; Inputs'!$J$31), ROUND(M152, 7)&lt;SUMIF($D$110:$AW$110, "="&amp;N$110-'Assumptions &amp; Inputs'!$J$34-1, $D147:$AW147)*'Assumptions &amp; Inputs'!$J$37),MIN(N148*(1-'Assumptions &amp; Inputs'!$J$37)/'Assumptions &amp; Inputs'!$J$34,-M152),0)</f>
        <v>-1.1399999999999999</v>
      </c>
      <c r="O150" s="8">
        <f>IF(AND(O$110&gt;YEAR('Assumptions &amp; Inputs'!$J$31), ROUND(N152, 7)&lt;SUMIF($D$110:$AW$110, "="&amp;O$110-'Assumptions &amp; Inputs'!$J$34-1, $D147:$AW147)*'Assumptions &amp; Inputs'!$J$37),MIN(O148*(1-'Assumptions &amp; Inputs'!$J$37)/'Assumptions &amp; Inputs'!$J$34,-N152),0)</f>
        <v>-1.1399999999999999</v>
      </c>
      <c r="P150" s="8">
        <f>IF(AND(P$110&gt;YEAR('Assumptions &amp; Inputs'!$J$31), ROUND(O152, 7)&lt;SUMIF($D$110:$AW$110, "="&amp;P$110-'Assumptions &amp; Inputs'!$J$34-1, $D147:$AW147)*'Assumptions &amp; Inputs'!$J$37),MIN(P148*(1-'Assumptions &amp; Inputs'!$J$37)/'Assumptions &amp; Inputs'!$J$34,-O152),0)</f>
        <v>-1.1399999999999999</v>
      </c>
      <c r="Q150" s="8">
        <f>IF(AND(Q$110&gt;YEAR('Assumptions &amp; Inputs'!$J$31), ROUND(P152, 7)&lt;SUMIF($D$110:$AW$110, "="&amp;Q$110-'Assumptions &amp; Inputs'!$J$34-1, $D147:$AW147)*'Assumptions &amp; Inputs'!$J$37),MIN(Q148*(1-'Assumptions &amp; Inputs'!$J$37)/'Assumptions &amp; Inputs'!$J$34,-P152),0)</f>
        <v>-1.1399999999999999</v>
      </c>
      <c r="R150" s="8">
        <f>IF(AND(R$110&gt;YEAR('Assumptions &amp; Inputs'!$J$31), ROUND(Q152, 7)&lt;SUMIF($D$110:$AW$110, "="&amp;R$110-'Assumptions &amp; Inputs'!$J$34-1, $D147:$AW147)*'Assumptions &amp; Inputs'!$J$37),MIN(R148*(1-'Assumptions &amp; Inputs'!$J$37)/'Assumptions &amp; Inputs'!$J$34,-Q152),0)</f>
        <v>-1.1399999999999999</v>
      </c>
      <c r="S150" s="8">
        <f>IF(AND(S$110&gt;YEAR('Assumptions &amp; Inputs'!$J$31), ROUND(R152, 7)&lt;SUMIF($D$110:$AW$110, "="&amp;S$110-'Assumptions &amp; Inputs'!$J$34-1, $D147:$AW147)*'Assumptions &amp; Inputs'!$J$37),MIN(S148*(1-'Assumptions &amp; Inputs'!$J$37)/'Assumptions &amp; Inputs'!$J$34,-R152),0)</f>
        <v>-1.1399999999999999</v>
      </c>
      <c r="T150" s="8">
        <f>IF(AND(T$110&gt;YEAR('Assumptions &amp; Inputs'!$J$31), ROUND(S152, 7)&lt;SUMIF($D$110:$AW$110, "="&amp;T$110-'Assumptions &amp; Inputs'!$J$34-1, $D147:$AW147)*'Assumptions &amp; Inputs'!$J$37),MIN(T148*(1-'Assumptions &amp; Inputs'!$J$37)/'Assumptions &amp; Inputs'!$J$34,-S152),0)</f>
        <v>-1.1399999999999999</v>
      </c>
      <c r="U150" s="8">
        <f>IF(AND(U$110&gt;YEAR('Assumptions &amp; Inputs'!$J$31), ROUND(T152, 7)&lt;SUMIF($D$110:$AW$110, "="&amp;U$110-'Assumptions &amp; Inputs'!$J$34-1, $D147:$AW147)*'Assumptions &amp; Inputs'!$J$37),MIN(U148*(1-'Assumptions &amp; Inputs'!$J$37)/'Assumptions &amp; Inputs'!$J$34,-T152),0)</f>
        <v>-1.1399999999999999</v>
      </c>
      <c r="V150" s="8">
        <f>IF(AND(V$110&gt;YEAR('Assumptions &amp; Inputs'!$J$31), ROUND(U152, 7)&lt;SUMIF($D$110:$AW$110, "="&amp;V$110-'Assumptions &amp; Inputs'!$J$34-1, $D147:$AW147)*'Assumptions &amp; Inputs'!$J$37),MIN(V148*(1-'Assumptions &amp; Inputs'!$J$37)/'Assumptions &amp; Inputs'!$J$34,-U152),0)</f>
        <v>-1.1399999999999999</v>
      </c>
      <c r="W150" s="8">
        <f>IF(AND(W$110&gt;YEAR('Assumptions &amp; Inputs'!$J$31), ROUND(V152, 7)&lt;SUMIF($D$110:$AW$110, "="&amp;W$110-'Assumptions &amp; Inputs'!$J$34-1, $D147:$AW147)*'Assumptions &amp; Inputs'!$J$37),MIN(W148*(1-'Assumptions &amp; Inputs'!$J$37)/'Assumptions &amp; Inputs'!$J$34,-V152),0)</f>
        <v>-1.1399999999999999</v>
      </c>
      <c r="X150" s="8">
        <f>IF(AND(X$110&gt;YEAR('Assumptions &amp; Inputs'!$J$31), ROUND(W152, 7)&lt;SUMIF($D$110:$AW$110, "="&amp;X$110-'Assumptions &amp; Inputs'!$J$34-1, $D147:$AW147)*'Assumptions &amp; Inputs'!$J$37),MIN(X148*(1-'Assumptions &amp; Inputs'!$J$37)/'Assumptions &amp; Inputs'!$J$34,-W152),0)</f>
        <v>-1.1399999999999999</v>
      </c>
      <c r="Y150" s="8">
        <f>IF(AND(Y$110&gt;YEAR('Assumptions &amp; Inputs'!$J$31), ROUND(X152, 7)&lt;SUMIF($D$110:$AW$110, "="&amp;Y$110-'Assumptions &amp; Inputs'!$J$34-1, $D147:$AW147)*'Assumptions &amp; Inputs'!$J$37),MIN(Y148*(1-'Assumptions &amp; Inputs'!$J$37)/'Assumptions &amp; Inputs'!$J$34,-X152),0)</f>
        <v>-1.1399999999999999</v>
      </c>
      <c r="Z150" s="8">
        <f>IF(AND(Z$110&gt;YEAR('Assumptions &amp; Inputs'!$J$31), ROUND(Y152, 7)&lt;SUMIF($D$110:$AW$110, "="&amp;Z$110-'Assumptions &amp; Inputs'!$J$34-1, $D147:$AW147)*'Assumptions &amp; Inputs'!$J$37),MIN(Z148*(1-'Assumptions &amp; Inputs'!$J$37)/'Assumptions &amp; Inputs'!$J$34,-Y152),0)</f>
        <v>-1.1399999999999999</v>
      </c>
      <c r="AA150" s="8">
        <f>IF(AND(AA$110&gt;YEAR('Assumptions &amp; Inputs'!$J$31), ROUND(Z152, 7)&lt;SUMIF($D$110:$AW$110, "="&amp;AA$110-'Assumptions &amp; Inputs'!$J$34-1, $D147:$AW147)*'Assumptions &amp; Inputs'!$J$37),MIN(AA148*(1-'Assumptions &amp; Inputs'!$J$37)/'Assumptions &amp; Inputs'!$J$34,-Z152),0)</f>
        <v>-1.1399999999999999</v>
      </c>
      <c r="AB150" s="8">
        <f>IF(AND(AB$110&gt;YEAR('Assumptions &amp; Inputs'!$J$31), ROUND(AA152, 7)&lt;SUMIF($D$110:$AW$110, "="&amp;AB$110-'Assumptions &amp; Inputs'!$J$34-1, $D147:$AW147)*'Assumptions &amp; Inputs'!$J$37),MIN(AB148*(1-'Assumptions &amp; Inputs'!$J$37)/'Assumptions &amp; Inputs'!$J$34,-AA152),0)</f>
        <v>-1.1399999999999999</v>
      </c>
      <c r="AC150" s="8">
        <f>IF(AND(AC$110&gt;YEAR('Assumptions &amp; Inputs'!$J$31), ROUND(AB152, 7)&lt;SUMIF($D$110:$AW$110, "="&amp;AC$110-'Assumptions &amp; Inputs'!$J$34-1, $D147:$AW147)*'Assumptions &amp; Inputs'!$J$37),MIN(AC148*(1-'Assumptions &amp; Inputs'!$J$37)/'Assumptions &amp; Inputs'!$J$34,-AB152),0)</f>
        <v>-1.1399999999999999</v>
      </c>
      <c r="AD150" s="8">
        <f>IF(AND(AD$110&gt;YEAR('Assumptions &amp; Inputs'!$J$31), ROUND(AC152, 7)&lt;SUMIF($D$110:$AW$110, "="&amp;AD$110-'Assumptions &amp; Inputs'!$J$34-1, $D147:$AW147)*'Assumptions &amp; Inputs'!$J$37),MIN(AD148*(1-'Assumptions &amp; Inputs'!$J$37)/'Assumptions &amp; Inputs'!$J$34,-AC152),0)</f>
        <v>-1.1399999999999999</v>
      </c>
      <c r="AE150" s="8">
        <f>IF(AND(AE$110&gt;YEAR('Assumptions &amp; Inputs'!$J$31), ROUND(AD152, 7)&lt;SUMIF($D$110:$AW$110, "="&amp;AE$110-'Assumptions &amp; Inputs'!$J$34-1, $D147:$AW147)*'Assumptions &amp; Inputs'!$J$37),MIN(AE148*(1-'Assumptions &amp; Inputs'!$J$37)/'Assumptions &amp; Inputs'!$J$34,-AD152),0)</f>
        <v>0</v>
      </c>
      <c r="AF150" s="8">
        <f>IF(AND(AF$110&gt;YEAR('Assumptions &amp; Inputs'!$J$31), ROUND(AE152, 7)&lt;SUMIF($D$110:$AW$110, "="&amp;AF$110-'Assumptions &amp; Inputs'!$J$34-1, $D147:$AW147)*'Assumptions &amp; Inputs'!$J$37),MIN(AF148*(1-'Assumptions &amp; Inputs'!$J$37)/'Assumptions &amp; Inputs'!$J$34,-AE152),0)</f>
        <v>0</v>
      </c>
      <c r="AG150" s="8">
        <f>IF(AND(AG$110&gt;YEAR('Assumptions &amp; Inputs'!$J$31), ROUND(AF152, 7)&lt;SUMIF($D$110:$AW$110, "="&amp;AG$110-'Assumptions &amp; Inputs'!$J$34-1, $D147:$AW147)*'Assumptions &amp; Inputs'!$J$37),MIN(AG148*(1-'Assumptions &amp; Inputs'!$J$37)/'Assumptions &amp; Inputs'!$J$34,-AF152),0)</f>
        <v>0</v>
      </c>
      <c r="AH150" s="8">
        <f>IF(AND(AH$110&gt;YEAR('Assumptions &amp; Inputs'!$J$31), ROUND(AG152, 7)&lt;SUMIF($D$110:$AW$110, "="&amp;AH$110-'Assumptions &amp; Inputs'!$J$34-1, $D147:$AW147)*'Assumptions &amp; Inputs'!$J$37),MIN(AH148*(1-'Assumptions &amp; Inputs'!$J$37)/'Assumptions &amp; Inputs'!$J$34,-AG152),0)</f>
        <v>0</v>
      </c>
      <c r="AI150" s="8">
        <f>IF(AND(AI$110&gt;YEAR('Assumptions &amp; Inputs'!$J$31), ROUND(AH152, 7)&lt;SUMIF($D$110:$AW$110, "="&amp;AI$110-'Assumptions &amp; Inputs'!$J$34-1, $D147:$AW147)*'Assumptions &amp; Inputs'!$J$37),MIN(AI148*(1-'Assumptions &amp; Inputs'!$J$37)/'Assumptions &amp; Inputs'!$J$34,-AH152),0)</f>
        <v>0</v>
      </c>
      <c r="AJ150" s="8">
        <f>IF(AND(AJ$110&gt;YEAR('Assumptions &amp; Inputs'!$J$31), ROUND(AI152, 7)&lt;SUMIF($D$110:$AW$110, "="&amp;AJ$110-'Assumptions &amp; Inputs'!$J$34-1, $D147:$AW147)*'Assumptions &amp; Inputs'!$J$37),MIN(AJ148*(1-'Assumptions &amp; Inputs'!$J$37)/'Assumptions &amp; Inputs'!$J$34,-AI152),0)</f>
        <v>0</v>
      </c>
      <c r="AK150" s="8">
        <f>IF(AND(AK$110&gt;YEAR('Assumptions &amp; Inputs'!$J$31), ROUND(AJ152, 7)&lt;SUMIF($D$110:$AW$110, "="&amp;AK$110-'Assumptions &amp; Inputs'!$J$34-1, $D147:$AW147)*'Assumptions &amp; Inputs'!$J$37),MIN(AK148*(1-'Assumptions &amp; Inputs'!$J$37)/'Assumptions &amp; Inputs'!$J$34,-AJ152),0)</f>
        <v>0</v>
      </c>
      <c r="AL150" s="8">
        <f>IF(AND(AL$110&gt;YEAR('Assumptions &amp; Inputs'!$J$31), ROUND(AK152, 7)&lt;SUMIF($D$110:$AW$110, "="&amp;AL$110-'Assumptions &amp; Inputs'!$J$34-1, $D147:$AW147)*'Assumptions &amp; Inputs'!$J$37),MIN(AL148*(1-'Assumptions &amp; Inputs'!$J$37)/'Assumptions &amp; Inputs'!$J$34,-AK152),0)</f>
        <v>0</v>
      </c>
      <c r="AM150" s="8">
        <f>IF(AND(AM$110&gt;YEAR('Assumptions &amp; Inputs'!$J$31), ROUND(AL152, 7)&lt;SUMIF($D$110:$AW$110, "="&amp;AM$110-'Assumptions &amp; Inputs'!$J$34-1, $D147:$AW147)*'Assumptions &amp; Inputs'!$J$37),MIN(AM148*(1-'Assumptions &amp; Inputs'!$J$37)/'Assumptions &amp; Inputs'!$J$34,-AL152),0)</f>
        <v>0</v>
      </c>
      <c r="AN150" s="8">
        <f>IF(AND(AN$110&gt;YEAR('Assumptions &amp; Inputs'!$J$31), ROUND(AM152, 7)&lt;SUMIF($D$110:$AW$110, "="&amp;AN$110-'Assumptions &amp; Inputs'!$J$34-1, $D147:$AW147)*'Assumptions &amp; Inputs'!$J$37),MIN(AN148*(1-'Assumptions &amp; Inputs'!$J$37)/'Assumptions &amp; Inputs'!$J$34,-AM152),0)</f>
        <v>0</v>
      </c>
      <c r="AO150" s="8">
        <f>IF(AND(AO$110&gt;YEAR('Assumptions &amp; Inputs'!$J$31), ROUND(AN152, 7)&lt;SUMIF($D$110:$AW$110, "="&amp;AO$110-'Assumptions &amp; Inputs'!$J$34-1, $D147:$AW147)*'Assumptions &amp; Inputs'!$J$37),MIN(AO148*(1-'Assumptions &amp; Inputs'!$J$37)/'Assumptions &amp; Inputs'!$J$34,-AN152),0)</f>
        <v>0</v>
      </c>
      <c r="AP150" s="8">
        <f>IF(AND(AP$110&gt;YEAR('Assumptions &amp; Inputs'!$J$31), ROUND(AO152, 7)&lt;SUMIF($D$110:$AW$110, "="&amp;AP$110-'Assumptions &amp; Inputs'!$J$34-1, $D147:$AW147)*'Assumptions &amp; Inputs'!$J$37),MIN(AP148*(1-'Assumptions &amp; Inputs'!$J$37)/'Assumptions &amp; Inputs'!$J$34,-AO152),0)</f>
        <v>0</v>
      </c>
      <c r="AQ150" s="8">
        <f>IF(AND(AQ$110&gt;YEAR('Assumptions &amp; Inputs'!$J$31), ROUND(AP152, 7)&lt;SUMIF($D$110:$AW$110, "="&amp;AQ$110-'Assumptions &amp; Inputs'!$J$34-1, $D147:$AW147)*'Assumptions &amp; Inputs'!$J$37),MIN(AQ148*(1-'Assumptions &amp; Inputs'!$J$37)/'Assumptions &amp; Inputs'!$J$34,-AP152),0)</f>
        <v>0</v>
      </c>
      <c r="AR150" s="8">
        <f>IF(AND(AR$110&gt;YEAR('Assumptions &amp; Inputs'!$J$31), ROUND(AQ152, 7)&lt;SUMIF($D$110:$AW$110, "="&amp;AR$110-'Assumptions &amp; Inputs'!$J$34-1, $D147:$AW147)*'Assumptions &amp; Inputs'!$J$37),MIN(AR148*(1-'Assumptions &amp; Inputs'!$J$37)/'Assumptions &amp; Inputs'!$J$34,-AQ152),0)</f>
        <v>0</v>
      </c>
      <c r="AS150" s="8">
        <f>IF(AND(AS$110&gt;YEAR('Assumptions &amp; Inputs'!$J$31), ROUND(AR152, 7)&lt;SUMIF($D$110:$AW$110, "="&amp;AS$110-'Assumptions &amp; Inputs'!$J$34-1, $D147:$AW147)*'Assumptions &amp; Inputs'!$J$37),MIN(AS148*(1-'Assumptions &amp; Inputs'!$J$37)/'Assumptions &amp; Inputs'!$J$34,-AR152),0)</f>
        <v>0</v>
      </c>
      <c r="AT150" s="8">
        <f>IF(AND(AT$110&gt;YEAR('Assumptions &amp; Inputs'!$J$31), ROUND(AS152, 7)&lt;SUMIF($D$110:$AW$110, "="&amp;AT$110-'Assumptions &amp; Inputs'!$J$34-1, $D147:$AW147)*'Assumptions &amp; Inputs'!$J$37),MIN(AT148*(1-'Assumptions &amp; Inputs'!$J$37)/'Assumptions &amp; Inputs'!$J$34,-AS152),0)</f>
        <v>0</v>
      </c>
      <c r="AU150" s="8">
        <f>IF(AND(AU$110&gt;YEAR('Assumptions &amp; Inputs'!$J$31), ROUND(AT152, 7)&lt;SUMIF($D$110:$AW$110, "="&amp;AU$110-'Assumptions &amp; Inputs'!$J$34-1, $D147:$AW147)*'Assumptions &amp; Inputs'!$J$37),MIN(AU148*(1-'Assumptions &amp; Inputs'!$J$37)/'Assumptions &amp; Inputs'!$J$34,-AT152),0)</f>
        <v>0</v>
      </c>
      <c r="AV150" s="8">
        <f>IF(AND(AV$110&gt;YEAR('Assumptions &amp; Inputs'!$J$31), ROUND(AU152, 7)&lt;SUMIF($D$110:$AW$110, "="&amp;AV$110-'Assumptions &amp; Inputs'!$J$34-1, $D147:$AW147)*'Assumptions &amp; Inputs'!$J$37),MIN(AV148*(1-'Assumptions &amp; Inputs'!$J$37)/'Assumptions &amp; Inputs'!$J$34,-AU152),0)</f>
        <v>0</v>
      </c>
      <c r="AW150" s="8">
        <f>IF(AND(AW$110&gt;YEAR('Assumptions &amp; Inputs'!$J$31), ROUND(AV152, 7)&lt;SUMIF($D$110:$AW$110, "="&amp;AW$110-'Assumptions &amp; Inputs'!$J$34-1, $D147:$AW147)*'Assumptions &amp; Inputs'!$J$37),MIN(AW148*(1-'Assumptions &amp; Inputs'!$J$37)/'Assumptions &amp; Inputs'!$J$34,-AV152),0)</f>
        <v>0</v>
      </c>
    </row>
    <row r="151" spans="3:49" ht="14.25" customHeight="1">
      <c r="C151" s="4" t="s">
        <v>508</v>
      </c>
      <c r="D151" s="23">
        <f>D150</f>
        <v>0</v>
      </c>
      <c r="E151" s="23">
        <f>MAX(E150+D151, $D$25)</f>
        <v>0</v>
      </c>
      <c r="F151" s="23">
        <f t="shared" ref="F151:AW151" si="322">MAX(F150+E151, $D$25)</f>
        <v>-1.1399999999999999</v>
      </c>
      <c r="G151" s="23">
        <f t="shared" si="322"/>
        <v>-2.2799999999999998</v>
      </c>
      <c r="H151" s="23">
        <f t="shared" si="322"/>
        <v>-3.42</v>
      </c>
      <c r="I151" s="23">
        <f t="shared" si="322"/>
        <v>-4.5599999999999996</v>
      </c>
      <c r="J151" s="23">
        <f t="shared" si="322"/>
        <v>-5.6999999999999993</v>
      </c>
      <c r="K151" s="23">
        <f t="shared" si="322"/>
        <v>-6.839999999999999</v>
      </c>
      <c r="L151" s="23">
        <f t="shared" si="322"/>
        <v>-7.9799999999999986</v>
      </c>
      <c r="M151" s="23">
        <f t="shared" si="322"/>
        <v>-9.1199999999999992</v>
      </c>
      <c r="N151" s="23">
        <f t="shared" si="322"/>
        <v>-10.26</v>
      </c>
      <c r="O151" s="23">
        <f t="shared" si="322"/>
        <v>-11.4</v>
      </c>
      <c r="P151" s="23">
        <f t="shared" si="322"/>
        <v>-12.540000000000001</v>
      </c>
      <c r="Q151" s="23">
        <f t="shared" si="322"/>
        <v>-13.680000000000001</v>
      </c>
      <c r="R151" s="23">
        <f t="shared" si="322"/>
        <v>-14.820000000000002</v>
      </c>
      <c r="S151" s="23">
        <f t="shared" si="322"/>
        <v>-15.960000000000003</v>
      </c>
      <c r="T151" s="23">
        <f t="shared" si="322"/>
        <v>-17.100000000000001</v>
      </c>
      <c r="U151" s="23">
        <f t="shared" si="322"/>
        <v>-18.240000000000002</v>
      </c>
      <c r="V151" s="23">
        <f t="shared" si="322"/>
        <v>-19.380000000000003</v>
      </c>
      <c r="W151" s="23">
        <f t="shared" si="322"/>
        <v>-20.520000000000003</v>
      </c>
      <c r="X151" s="23">
        <f t="shared" si="322"/>
        <v>-21.660000000000004</v>
      </c>
      <c r="Y151" s="23">
        <f t="shared" si="322"/>
        <v>-22.800000000000004</v>
      </c>
      <c r="Z151" s="23">
        <f t="shared" si="322"/>
        <v>-23.940000000000005</v>
      </c>
      <c r="AA151" s="23">
        <f t="shared" si="322"/>
        <v>-25.080000000000005</v>
      </c>
      <c r="AB151" s="23">
        <f t="shared" si="322"/>
        <v>-26.220000000000006</v>
      </c>
      <c r="AC151" s="23">
        <f t="shared" si="322"/>
        <v>-27.360000000000007</v>
      </c>
      <c r="AD151" s="23">
        <f t="shared" si="322"/>
        <v>-28.500000000000007</v>
      </c>
      <c r="AE151" s="23">
        <f t="shared" si="322"/>
        <v>-28.500000000000007</v>
      </c>
      <c r="AF151" s="23">
        <f t="shared" si="322"/>
        <v>-28.500000000000007</v>
      </c>
      <c r="AG151" s="23">
        <f t="shared" si="322"/>
        <v>-28.500000000000007</v>
      </c>
      <c r="AH151" s="23">
        <f t="shared" si="322"/>
        <v>-28.500000000000007</v>
      </c>
      <c r="AI151" s="23">
        <f t="shared" si="322"/>
        <v>-28.500000000000007</v>
      </c>
      <c r="AJ151" s="23">
        <f t="shared" si="322"/>
        <v>-28.500000000000007</v>
      </c>
      <c r="AK151" s="23">
        <f t="shared" si="322"/>
        <v>-28.500000000000007</v>
      </c>
      <c r="AL151" s="23">
        <f t="shared" si="322"/>
        <v>-28.500000000000007</v>
      </c>
      <c r="AM151" s="23">
        <f t="shared" si="322"/>
        <v>-28.500000000000007</v>
      </c>
      <c r="AN151" s="23">
        <f t="shared" si="322"/>
        <v>-28.500000000000007</v>
      </c>
      <c r="AO151" s="23">
        <f t="shared" si="322"/>
        <v>-28.500000000000007</v>
      </c>
      <c r="AP151" s="23">
        <f t="shared" si="322"/>
        <v>-28.500000000000007</v>
      </c>
      <c r="AQ151" s="23">
        <f t="shared" si="322"/>
        <v>-28.500000000000007</v>
      </c>
      <c r="AR151" s="23">
        <f t="shared" si="322"/>
        <v>-28.500000000000007</v>
      </c>
      <c r="AS151" s="23">
        <f t="shared" si="322"/>
        <v>-28.500000000000007</v>
      </c>
      <c r="AT151" s="23">
        <f t="shared" si="322"/>
        <v>-28.500000000000007</v>
      </c>
      <c r="AU151" s="23">
        <f t="shared" si="322"/>
        <v>-28.500000000000007</v>
      </c>
      <c r="AV151" s="23">
        <f t="shared" si="322"/>
        <v>-28.500000000000007</v>
      </c>
      <c r="AW151" s="23">
        <f t="shared" si="322"/>
        <v>-28.500000000000007</v>
      </c>
    </row>
    <row r="152" spans="3:49" ht="14.25" customHeight="1">
      <c r="C152" s="4" t="s">
        <v>509</v>
      </c>
      <c r="D152" s="23">
        <f>SUM(-D151, D147)</f>
        <v>-22</v>
      </c>
      <c r="E152" s="23">
        <f>SUM(D152,-E150, E$42, E147)</f>
        <v>-30</v>
      </c>
      <c r="F152" s="23">
        <f t="shared" ref="F152:AW152" si="323">SUM(E152,-F150, F$42, F147)</f>
        <v>-28.86</v>
      </c>
      <c r="G152" s="23">
        <f t="shared" si="323"/>
        <v>-27.72</v>
      </c>
      <c r="H152" s="23">
        <f t="shared" si="323"/>
        <v>-26.58</v>
      </c>
      <c r="I152" s="23">
        <f t="shared" si="323"/>
        <v>-25.439999999999998</v>
      </c>
      <c r="J152" s="23">
        <f t="shared" si="323"/>
        <v>-24.299999999999997</v>
      </c>
      <c r="K152" s="23">
        <f t="shared" si="323"/>
        <v>-23.159999999999997</v>
      </c>
      <c r="L152" s="23">
        <f t="shared" si="323"/>
        <v>-22.019999999999996</v>
      </c>
      <c r="M152" s="23">
        <f t="shared" si="323"/>
        <v>-20.879999999999995</v>
      </c>
      <c r="N152" s="23">
        <f t="shared" si="323"/>
        <v>-19.739999999999995</v>
      </c>
      <c r="O152" s="23">
        <f t="shared" si="323"/>
        <v>-18.599999999999994</v>
      </c>
      <c r="P152" s="23">
        <f t="shared" si="323"/>
        <v>-17.459999999999994</v>
      </c>
      <c r="Q152" s="23">
        <f t="shared" si="323"/>
        <v>-16.319999999999993</v>
      </c>
      <c r="R152" s="23">
        <f t="shared" si="323"/>
        <v>-15.179999999999993</v>
      </c>
      <c r="S152" s="23">
        <f t="shared" si="323"/>
        <v>-14.039999999999992</v>
      </c>
      <c r="T152" s="23">
        <f t="shared" si="323"/>
        <v>-12.899999999999991</v>
      </c>
      <c r="U152" s="23">
        <f t="shared" si="323"/>
        <v>-11.759999999999991</v>
      </c>
      <c r="V152" s="23">
        <f t="shared" si="323"/>
        <v>-10.61999999999999</v>
      </c>
      <c r="W152" s="23">
        <f t="shared" si="323"/>
        <v>-9.4799999999999898</v>
      </c>
      <c r="X152" s="23">
        <f t="shared" si="323"/>
        <v>-8.3399999999999892</v>
      </c>
      <c r="Y152" s="23">
        <f t="shared" si="323"/>
        <v>-7.1999999999999895</v>
      </c>
      <c r="Z152" s="23">
        <f t="shared" si="323"/>
        <v>-6.0599999999999898</v>
      </c>
      <c r="AA152" s="23">
        <f t="shared" si="323"/>
        <v>-4.9199999999999902</v>
      </c>
      <c r="AB152" s="23">
        <f t="shared" si="323"/>
        <v>-3.7799999999999905</v>
      </c>
      <c r="AC152" s="23">
        <f t="shared" si="323"/>
        <v>-2.6399999999999908</v>
      </c>
      <c r="AD152" s="23">
        <f t="shared" si="323"/>
        <v>9.1038288019262836E-15</v>
      </c>
      <c r="AE152" s="23">
        <f t="shared" si="323"/>
        <v>9.1038288019262836E-15</v>
      </c>
      <c r="AF152" s="23">
        <f t="shared" si="323"/>
        <v>9.1038288019262836E-15</v>
      </c>
      <c r="AG152" s="23">
        <f t="shared" si="323"/>
        <v>9.1038288019262836E-15</v>
      </c>
      <c r="AH152" s="23">
        <f t="shared" si="323"/>
        <v>9.1038288019262836E-15</v>
      </c>
      <c r="AI152" s="23">
        <f t="shared" si="323"/>
        <v>9.1038288019262836E-15</v>
      </c>
      <c r="AJ152" s="23">
        <f t="shared" si="323"/>
        <v>9.1038288019262836E-15</v>
      </c>
      <c r="AK152" s="23">
        <f t="shared" si="323"/>
        <v>9.1038288019262836E-15</v>
      </c>
      <c r="AL152" s="23">
        <f t="shared" si="323"/>
        <v>9.1038288019262836E-15</v>
      </c>
      <c r="AM152" s="23">
        <f t="shared" si="323"/>
        <v>9.1038288019262836E-15</v>
      </c>
      <c r="AN152" s="23">
        <f t="shared" si="323"/>
        <v>9.1038288019262836E-15</v>
      </c>
      <c r="AO152" s="23">
        <f t="shared" si="323"/>
        <v>9.1038288019262836E-15</v>
      </c>
      <c r="AP152" s="23">
        <f t="shared" si="323"/>
        <v>9.1038288019262836E-15</v>
      </c>
      <c r="AQ152" s="23">
        <f t="shared" si="323"/>
        <v>9.1038288019262836E-15</v>
      </c>
      <c r="AR152" s="23">
        <f t="shared" si="323"/>
        <v>9.1038288019262836E-15</v>
      </c>
      <c r="AS152" s="23">
        <f t="shared" si="323"/>
        <v>9.1038288019262836E-15</v>
      </c>
      <c r="AT152" s="23">
        <f t="shared" si="323"/>
        <v>9.1038288019262836E-15</v>
      </c>
      <c r="AU152" s="23">
        <f t="shared" si="323"/>
        <v>9.1038288019262836E-15</v>
      </c>
      <c r="AV152" s="23">
        <f t="shared" si="323"/>
        <v>9.1038288019262836E-15</v>
      </c>
      <c r="AW152" s="23">
        <f t="shared" si="323"/>
        <v>9.1038288019262836E-15</v>
      </c>
    </row>
    <row r="153" spans="3:49" ht="14.25" customHeight="1">
      <c r="C153" s="447" t="s">
        <v>459</v>
      </c>
      <c r="D153" s="448">
        <f>IF(-SUM(D150:AW150)=ROUND($D$25*(1-'Assumptions &amp; Inputs'!$H$37),0),"yes",ROUND(SUM(D150:AW150)-$D$25*(1-'Assumptions &amp; Inputs'!$H$37),0))</f>
        <v>0</v>
      </c>
    </row>
    <row r="154" spans="3:49" ht="14.25" customHeight="1">
      <c r="C154" s="447"/>
      <c r="D154" s="448"/>
    </row>
    <row r="155" spans="3:49" ht="14.25" customHeight="1">
      <c r="C155" s="357" t="s">
        <v>492</v>
      </c>
      <c r="D155" s="417">
        <f t="shared" ref="D155:X155" si="324">SUM(D131,-D150)</f>
        <v>0</v>
      </c>
      <c r="E155" s="417">
        <f t="shared" si="324"/>
        <v>18.337368887863267</v>
      </c>
      <c r="F155" s="417">
        <f t="shared" si="324"/>
        <v>30.154158519182118</v>
      </c>
      <c r="G155" s="417">
        <f t="shared" si="324"/>
        <v>32.621419318239695</v>
      </c>
      <c r="H155" s="417">
        <f t="shared" si="324"/>
        <v>36.217671856985156</v>
      </c>
      <c r="I155" s="417">
        <f t="shared" si="324"/>
        <v>37.964438109260904</v>
      </c>
      <c r="J155" s="417">
        <f t="shared" si="324"/>
        <v>39.43240151262912</v>
      </c>
      <c r="K155" s="417">
        <f t="shared" si="324"/>
        <v>40.951870618788583</v>
      </c>
      <c r="L155" s="417">
        <f t="shared" si="324"/>
        <v>42.524543095659759</v>
      </c>
      <c r="M155" s="417">
        <f t="shared" si="324"/>
        <v>44.152170641245618</v>
      </c>
      <c r="N155" s="417">
        <f t="shared" si="324"/>
        <v>45.836560667340642</v>
      </c>
      <c r="O155" s="417">
        <f t="shared" si="324"/>
        <v>47.579578035020354</v>
      </c>
      <c r="P155" s="417">
        <f t="shared" si="324"/>
        <v>49.383146843490287</v>
      </c>
      <c r="Q155" s="417">
        <f t="shared" si="324"/>
        <v>51.249252273921783</v>
      </c>
      <c r="R155" s="417">
        <f t="shared" si="324"/>
        <v>53.179942489950044</v>
      </c>
      <c r="S155" s="417">
        <f t="shared" si="324"/>
        <v>55.177330596562101</v>
      </c>
      <c r="T155" s="417">
        <f t="shared" si="324"/>
        <v>57.243596659153972</v>
      </c>
      <c r="U155" s="417">
        <f t="shared" si="324"/>
        <v>59.380989784590568</v>
      </c>
      <c r="V155" s="417">
        <f t="shared" si="324"/>
        <v>61.591830266156563</v>
      </c>
      <c r="W155" s="417">
        <f t="shared" si="324"/>
        <v>63.8785117943453</v>
      </c>
      <c r="X155" s="417">
        <f t="shared" si="324"/>
        <v>66.243503735490407</v>
      </c>
      <c r="Y155" s="417">
        <f t="shared" ref="Y155:AW155" si="325">SUM(Y131,-Y150)</f>
        <v>68.689353480306124</v>
      </c>
      <c r="Z155" s="417">
        <f t="shared" si="325"/>
        <v>71.218688864464966</v>
      </c>
      <c r="AA155" s="417">
        <f t="shared" si="325"/>
        <v>73.834220663405233</v>
      </c>
      <c r="AB155" s="417">
        <f t="shared" si="325"/>
        <v>76.538745163628747</v>
      </c>
      <c r="AC155" s="417">
        <f t="shared" si="325"/>
        <v>79.335146812815722</v>
      </c>
      <c r="AD155" s="417">
        <f t="shared" si="325"/>
        <v>82.226400951155753</v>
      </c>
      <c r="AE155" s="417">
        <f t="shared" si="325"/>
        <v>0</v>
      </c>
      <c r="AF155" s="417">
        <f t="shared" si="325"/>
        <v>0</v>
      </c>
      <c r="AG155" s="417">
        <f t="shared" si="325"/>
        <v>0</v>
      </c>
      <c r="AH155" s="417">
        <f t="shared" si="325"/>
        <v>0</v>
      </c>
      <c r="AI155" s="417">
        <f t="shared" si="325"/>
        <v>0</v>
      </c>
      <c r="AJ155" s="417">
        <f t="shared" si="325"/>
        <v>0</v>
      </c>
      <c r="AK155" s="417">
        <f t="shared" si="325"/>
        <v>0</v>
      </c>
      <c r="AL155" s="417">
        <f t="shared" si="325"/>
        <v>0</v>
      </c>
      <c r="AM155" s="417">
        <f t="shared" si="325"/>
        <v>0</v>
      </c>
      <c r="AN155" s="417">
        <f t="shared" si="325"/>
        <v>0</v>
      </c>
      <c r="AO155" s="417">
        <f t="shared" si="325"/>
        <v>0</v>
      </c>
      <c r="AP155" s="417">
        <f t="shared" si="325"/>
        <v>0</v>
      </c>
      <c r="AQ155" s="417">
        <f t="shared" si="325"/>
        <v>0</v>
      </c>
      <c r="AR155" s="417">
        <f t="shared" si="325"/>
        <v>0</v>
      </c>
      <c r="AS155" s="417">
        <f t="shared" si="325"/>
        <v>0</v>
      </c>
      <c r="AT155" s="417">
        <f t="shared" si="325"/>
        <v>0</v>
      </c>
      <c r="AU155" s="417">
        <f t="shared" si="325"/>
        <v>0</v>
      </c>
      <c r="AV155" s="417">
        <f t="shared" si="325"/>
        <v>0</v>
      </c>
      <c r="AW155" s="417">
        <f t="shared" si="325"/>
        <v>0</v>
      </c>
    </row>
  </sheetData>
  <mergeCells count="6">
    <mergeCell ref="E109:P109"/>
    <mergeCell ref="E8:P8"/>
    <mergeCell ref="E31:P31"/>
    <mergeCell ref="C64:E64"/>
    <mergeCell ref="C78:E78"/>
    <mergeCell ref="E88:P88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87C5-606E-4A52-96BD-9DD7E8D60D7E}">
  <sheetPr codeName="Sheet14">
    <tabColor rgb="FF92D050"/>
  </sheetPr>
  <dimension ref="A2:AW164"/>
  <sheetViews>
    <sheetView workbookViewId="0">
      <selection activeCell="F120" sqref="F120"/>
    </sheetView>
  </sheetViews>
  <sheetFormatPr baseColWidth="10" defaultColWidth="14.33203125" defaultRowHeight="15" customHeight="1"/>
  <cols>
    <col min="1" max="1" width="3.6640625" customWidth="1"/>
    <col min="2" max="2" width="4.33203125" customWidth="1"/>
    <col min="3" max="3" width="42.83203125" customWidth="1"/>
    <col min="4" max="24" width="13.1640625" customWidth="1"/>
  </cols>
  <sheetData>
    <row r="2" spans="1:49" ht="14.25" customHeight="1">
      <c r="A2" s="1"/>
      <c r="B2" s="1"/>
      <c r="C2" s="114" t="s">
        <v>469</v>
      </c>
      <c r="D2" s="116"/>
      <c r="E2" s="117">
        <v>1000</v>
      </c>
      <c r="F2" s="114"/>
      <c r="G2" s="1"/>
      <c r="H2" s="1"/>
      <c r="I2" s="1"/>
      <c r="Z2" s="1"/>
    </row>
    <row r="3" spans="1:49" ht="14.25" customHeight="1">
      <c r="A3" s="1"/>
      <c r="B3" s="1"/>
      <c r="C3" s="114" t="s">
        <v>470</v>
      </c>
      <c r="D3" s="115"/>
      <c r="E3" s="118">
        <v>1000000</v>
      </c>
      <c r="F3" s="114"/>
      <c r="G3" s="1"/>
      <c r="H3" s="14"/>
      <c r="I3" s="14"/>
      <c r="Z3" s="1"/>
    </row>
    <row r="4" spans="1:49" ht="14.25" customHeight="1">
      <c r="A4" s="1"/>
      <c r="B4" s="1"/>
      <c r="C4" s="1"/>
      <c r="D4" s="1"/>
      <c r="E4" s="1"/>
      <c r="F4" s="1"/>
      <c r="G4" s="1"/>
      <c r="H4" s="14"/>
      <c r="I4" s="14"/>
      <c r="Z4" s="1"/>
    </row>
    <row r="5" spans="1:49" ht="14.25" customHeight="1" thickBot="1">
      <c r="A5" s="1" t="s">
        <v>351</v>
      </c>
      <c r="B5" s="1"/>
      <c r="C5" s="9" t="s">
        <v>352</v>
      </c>
      <c r="D5" s="9"/>
      <c r="E5" s="10"/>
      <c r="F5" s="10"/>
      <c r="G5" s="10"/>
      <c r="H5" s="10"/>
      <c r="I5" s="10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"/>
      <c r="Z5" s="1"/>
    </row>
    <row r="6" spans="1:49" ht="14.25" customHeight="1">
      <c r="B6" s="1"/>
      <c r="C6" s="12" t="s">
        <v>353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14.25" customHeight="1">
      <c r="A7" s="1"/>
      <c r="B7" s="1"/>
      <c r="C7" s="1"/>
      <c r="D7" s="43">
        <v>0</v>
      </c>
      <c r="E7" s="119">
        <f t="shared" ref="E7:X7" si="0">D7+1</f>
        <v>1</v>
      </c>
      <c r="F7" s="119">
        <f t="shared" si="0"/>
        <v>2</v>
      </c>
      <c r="G7" s="119">
        <f t="shared" si="0"/>
        <v>3</v>
      </c>
      <c r="H7" s="119">
        <f t="shared" si="0"/>
        <v>4</v>
      </c>
      <c r="I7" s="119">
        <f t="shared" si="0"/>
        <v>5</v>
      </c>
      <c r="J7" s="119">
        <f t="shared" si="0"/>
        <v>6</v>
      </c>
      <c r="K7" s="119">
        <f t="shared" si="0"/>
        <v>7</v>
      </c>
      <c r="L7" s="119">
        <f t="shared" si="0"/>
        <v>8</v>
      </c>
      <c r="M7" s="119">
        <f t="shared" si="0"/>
        <v>9</v>
      </c>
      <c r="N7" s="119">
        <f t="shared" si="0"/>
        <v>10</v>
      </c>
      <c r="O7" s="119">
        <f t="shared" si="0"/>
        <v>11</v>
      </c>
      <c r="P7" s="119">
        <f t="shared" si="0"/>
        <v>12</v>
      </c>
      <c r="Q7" s="119">
        <f t="shared" si="0"/>
        <v>13</v>
      </c>
      <c r="R7" s="119">
        <f t="shared" si="0"/>
        <v>14</v>
      </c>
      <c r="S7" s="119">
        <f t="shared" si="0"/>
        <v>15</v>
      </c>
      <c r="T7" s="119">
        <f t="shared" si="0"/>
        <v>16</v>
      </c>
      <c r="U7" s="119">
        <f t="shared" si="0"/>
        <v>17</v>
      </c>
      <c r="V7" s="119">
        <f t="shared" si="0"/>
        <v>18</v>
      </c>
      <c r="W7" s="119">
        <f t="shared" si="0"/>
        <v>19</v>
      </c>
      <c r="X7" s="119">
        <f t="shared" si="0"/>
        <v>20</v>
      </c>
      <c r="Y7" s="119">
        <f t="shared" ref="Y7:AW7" si="1">X7+1</f>
        <v>21</v>
      </c>
      <c r="Z7" s="119">
        <f t="shared" si="1"/>
        <v>22</v>
      </c>
      <c r="AA7" s="119">
        <f t="shared" si="1"/>
        <v>23</v>
      </c>
      <c r="AB7" s="119">
        <f t="shared" si="1"/>
        <v>24</v>
      </c>
      <c r="AC7" s="119">
        <f t="shared" si="1"/>
        <v>25</v>
      </c>
      <c r="AD7" s="119">
        <f t="shared" si="1"/>
        <v>26</v>
      </c>
      <c r="AE7" s="119">
        <f t="shared" si="1"/>
        <v>27</v>
      </c>
      <c r="AF7" s="119">
        <f t="shared" si="1"/>
        <v>28</v>
      </c>
      <c r="AG7" s="119">
        <f t="shared" si="1"/>
        <v>29</v>
      </c>
      <c r="AH7" s="119">
        <f t="shared" si="1"/>
        <v>30</v>
      </c>
      <c r="AI7" s="119">
        <f t="shared" si="1"/>
        <v>31</v>
      </c>
      <c r="AJ7" s="119">
        <f t="shared" si="1"/>
        <v>32</v>
      </c>
      <c r="AK7" s="119">
        <f t="shared" si="1"/>
        <v>33</v>
      </c>
      <c r="AL7" s="119">
        <f t="shared" si="1"/>
        <v>34</v>
      </c>
      <c r="AM7" s="119">
        <f t="shared" si="1"/>
        <v>35</v>
      </c>
      <c r="AN7" s="119">
        <f t="shared" si="1"/>
        <v>36</v>
      </c>
      <c r="AO7" s="119">
        <f t="shared" si="1"/>
        <v>37</v>
      </c>
      <c r="AP7" s="119">
        <f t="shared" si="1"/>
        <v>38</v>
      </c>
      <c r="AQ7" s="119">
        <f t="shared" si="1"/>
        <v>39</v>
      </c>
      <c r="AR7" s="119">
        <f t="shared" si="1"/>
        <v>40</v>
      </c>
      <c r="AS7" s="119">
        <f t="shared" si="1"/>
        <v>41</v>
      </c>
      <c r="AT7" s="119">
        <f t="shared" si="1"/>
        <v>42</v>
      </c>
      <c r="AU7" s="119">
        <f t="shared" si="1"/>
        <v>43</v>
      </c>
      <c r="AV7" s="119">
        <f t="shared" si="1"/>
        <v>44</v>
      </c>
      <c r="AW7" s="119">
        <f t="shared" si="1"/>
        <v>45</v>
      </c>
    </row>
    <row r="8" spans="1:49" ht="14.25" customHeight="1" thickBot="1">
      <c r="A8" s="1"/>
      <c r="B8" s="1"/>
      <c r="C8" s="200"/>
      <c r="D8" s="83"/>
      <c r="E8" s="806" t="s">
        <v>354</v>
      </c>
      <c r="F8" s="806"/>
      <c r="G8" s="806"/>
      <c r="H8" s="806"/>
      <c r="I8" s="806"/>
      <c r="J8" s="806"/>
      <c r="K8" s="806"/>
      <c r="L8" s="806"/>
      <c r="M8" s="806"/>
      <c r="N8" s="806"/>
      <c r="O8" s="806"/>
      <c r="P8" s="806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</row>
    <row r="9" spans="1:49" ht="14.25" customHeight="1">
      <c r="A9" s="2"/>
      <c r="B9" s="83"/>
      <c r="C9" s="202"/>
      <c r="D9" s="40">
        <f>YEAR(D10)</f>
        <v>2026</v>
      </c>
      <c r="E9" s="40">
        <f t="shared" ref="E9:W9" si="2">D9+1</f>
        <v>2027</v>
      </c>
      <c r="F9" s="40">
        <f t="shared" si="2"/>
        <v>2028</v>
      </c>
      <c r="G9" s="40">
        <f t="shared" si="2"/>
        <v>2029</v>
      </c>
      <c r="H9" s="40">
        <f t="shared" si="2"/>
        <v>2030</v>
      </c>
      <c r="I9" s="40">
        <f t="shared" si="2"/>
        <v>2031</v>
      </c>
      <c r="J9" s="40">
        <f t="shared" si="2"/>
        <v>2032</v>
      </c>
      <c r="K9" s="40">
        <f t="shared" si="2"/>
        <v>2033</v>
      </c>
      <c r="L9" s="40">
        <f t="shared" si="2"/>
        <v>2034</v>
      </c>
      <c r="M9" s="40">
        <f t="shared" si="2"/>
        <v>2035</v>
      </c>
      <c r="N9" s="40">
        <f t="shared" si="2"/>
        <v>2036</v>
      </c>
      <c r="O9" s="40">
        <f t="shared" si="2"/>
        <v>2037</v>
      </c>
      <c r="P9" s="40">
        <f t="shared" si="2"/>
        <v>2038</v>
      </c>
      <c r="Q9" s="40">
        <f t="shared" si="2"/>
        <v>2039</v>
      </c>
      <c r="R9" s="40">
        <f t="shared" si="2"/>
        <v>2040</v>
      </c>
      <c r="S9" s="40">
        <f t="shared" si="2"/>
        <v>2041</v>
      </c>
      <c r="T9" s="40">
        <f t="shared" si="2"/>
        <v>2042</v>
      </c>
      <c r="U9" s="40">
        <f t="shared" si="2"/>
        <v>2043</v>
      </c>
      <c r="V9" s="40">
        <f t="shared" si="2"/>
        <v>2044</v>
      </c>
      <c r="W9" s="40">
        <f t="shared" si="2"/>
        <v>2045</v>
      </c>
      <c r="X9" s="40">
        <f>W9+1</f>
        <v>2046</v>
      </c>
      <c r="Y9" s="40">
        <f t="shared" ref="Y9:AW9" si="3">X9+1</f>
        <v>2047</v>
      </c>
      <c r="Z9" s="40">
        <f t="shared" si="3"/>
        <v>2048</v>
      </c>
      <c r="AA9" s="40">
        <f t="shared" si="3"/>
        <v>2049</v>
      </c>
      <c r="AB9" s="40">
        <f t="shared" si="3"/>
        <v>2050</v>
      </c>
      <c r="AC9" s="40">
        <f t="shared" si="3"/>
        <v>2051</v>
      </c>
      <c r="AD9" s="40">
        <f t="shared" si="3"/>
        <v>2052</v>
      </c>
      <c r="AE9" s="40">
        <f t="shared" si="3"/>
        <v>2053</v>
      </c>
      <c r="AF9" s="40">
        <f t="shared" si="3"/>
        <v>2054</v>
      </c>
      <c r="AG9" s="40">
        <f t="shared" si="3"/>
        <v>2055</v>
      </c>
      <c r="AH9" s="40">
        <f t="shared" si="3"/>
        <v>2056</v>
      </c>
      <c r="AI9" s="40">
        <f t="shared" si="3"/>
        <v>2057</v>
      </c>
      <c r="AJ9" s="40">
        <f t="shared" si="3"/>
        <v>2058</v>
      </c>
      <c r="AK9" s="40">
        <f t="shared" si="3"/>
        <v>2059</v>
      </c>
      <c r="AL9" s="40">
        <f t="shared" si="3"/>
        <v>2060</v>
      </c>
      <c r="AM9" s="40">
        <f t="shared" si="3"/>
        <v>2061</v>
      </c>
      <c r="AN9" s="40">
        <f t="shared" si="3"/>
        <v>2062</v>
      </c>
      <c r="AO9" s="40">
        <f t="shared" si="3"/>
        <v>2063</v>
      </c>
      <c r="AP9" s="40">
        <f t="shared" si="3"/>
        <v>2064</v>
      </c>
      <c r="AQ9" s="40">
        <f t="shared" si="3"/>
        <v>2065</v>
      </c>
      <c r="AR9" s="40">
        <f t="shared" si="3"/>
        <v>2066</v>
      </c>
      <c r="AS9" s="40">
        <f t="shared" si="3"/>
        <v>2067</v>
      </c>
      <c r="AT9" s="40">
        <f t="shared" si="3"/>
        <v>2068</v>
      </c>
      <c r="AU9" s="40">
        <f t="shared" si="3"/>
        <v>2069</v>
      </c>
      <c r="AV9" s="40">
        <f t="shared" si="3"/>
        <v>2070</v>
      </c>
      <c r="AW9" s="41">
        <f t="shared" si="3"/>
        <v>2071</v>
      </c>
    </row>
    <row r="10" spans="1:49" ht="14.25" customHeight="1">
      <c r="A10" s="2"/>
      <c r="B10" s="83"/>
      <c r="C10" s="94"/>
      <c r="D10" s="142">
        <f>'Assumptions &amp; Inputs'!$J$27</f>
        <v>46023</v>
      </c>
      <c r="E10" s="142">
        <f t="shared" ref="E10:X10" si="4">DATE(E9, 12, 31)</f>
        <v>46752</v>
      </c>
      <c r="F10" s="142">
        <f t="shared" si="4"/>
        <v>47118</v>
      </c>
      <c r="G10" s="142">
        <f t="shared" si="4"/>
        <v>47483</v>
      </c>
      <c r="H10" s="142">
        <f t="shared" si="4"/>
        <v>47848</v>
      </c>
      <c r="I10" s="142">
        <f t="shared" si="4"/>
        <v>48213</v>
      </c>
      <c r="J10" s="142">
        <f t="shared" si="4"/>
        <v>48579</v>
      </c>
      <c r="K10" s="142">
        <f t="shared" si="4"/>
        <v>48944</v>
      </c>
      <c r="L10" s="142">
        <f t="shared" si="4"/>
        <v>49309</v>
      </c>
      <c r="M10" s="142">
        <f t="shared" si="4"/>
        <v>49674</v>
      </c>
      <c r="N10" s="142">
        <f t="shared" si="4"/>
        <v>50040</v>
      </c>
      <c r="O10" s="142">
        <f t="shared" si="4"/>
        <v>50405</v>
      </c>
      <c r="P10" s="142">
        <f t="shared" si="4"/>
        <v>50770</v>
      </c>
      <c r="Q10" s="142">
        <f t="shared" si="4"/>
        <v>51135</v>
      </c>
      <c r="R10" s="142">
        <f t="shared" si="4"/>
        <v>51501</v>
      </c>
      <c r="S10" s="142">
        <f t="shared" si="4"/>
        <v>51866</v>
      </c>
      <c r="T10" s="142">
        <f t="shared" si="4"/>
        <v>52231</v>
      </c>
      <c r="U10" s="142">
        <f t="shared" si="4"/>
        <v>52596</v>
      </c>
      <c r="V10" s="142">
        <f t="shared" si="4"/>
        <v>52962</v>
      </c>
      <c r="W10" s="142">
        <f t="shared" si="4"/>
        <v>53327</v>
      </c>
      <c r="X10" s="142">
        <f t="shared" si="4"/>
        <v>53692</v>
      </c>
      <c r="Y10" s="142">
        <f t="shared" ref="Y10" si="5">DATE(Y9, 12, 31)</f>
        <v>54057</v>
      </c>
      <c r="Z10" s="142">
        <f t="shared" ref="Z10" si="6">DATE(Z9, 12, 31)</f>
        <v>54423</v>
      </c>
      <c r="AA10" s="142">
        <f t="shared" ref="AA10" si="7">DATE(AA9, 12, 31)</f>
        <v>54788</v>
      </c>
      <c r="AB10" s="142">
        <f t="shared" ref="AB10" si="8">DATE(AB9, 12, 31)</f>
        <v>55153</v>
      </c>
      <c r="AC10" s="142">
        <f t="shared" ref="AC10" si="9">DATE(AC9, 12, 31)</f>
        <v>55518</v>
      </c>
      <c r="AD10" s="142">
        <f t="shared" ref="AD10" si="10">DATE(AD9, 12, 31)</f>
        <v>55884</v>
      </c>
      <c r="AE10" s="142">
        <f t="shared" ref="AE10" si="11">DATE(AE9, 12, 31)</f>
        <v>56249</v>
      </c>
      <c r="AF10" s="142">
        <f t="shared" ref="AF10" si="12">DATE(AF9, 12, 31)</f>
        <v>56614</v>
      </c>
      <c r="AG10" s="142">
        <f t="shared" ref="AG10" si="13">DATE(AG9, 12, 31)</f>
        <v>56979</v>
      </c>
      <c r="AH10" s="142">
        <f t="shared" ref="AH10" si="14">DATE(AH9, 12, 31)</f>
        <v>57345</v>
      </c>
      <c r="AI10" s="142">
        <f t="shared" ref="AI10" si="15">DATE(AI9, 12, 31)</f>
        <v>57710</v>
      </c>
      <c r="AJ10" s="142">
        <f t="shared" ref="AJ10" si="16">DATE(AJ9, 12, 31)</f>
        <v>58075</v>
      </c>
      <c r="AK10" s="142">
        <f t="shared" ref="AK10" si="17">DATE(AK9, 12, 31)</f>
        <v>58440</v>
      </c>
      <c r="AL10" s="142">
        <f t="shared" ref="AL10" si="18">DATE(AL9, 12, 31)</f>
        <v>58806</v>
      </c>
      <c r="AM10" s="142">
        <f t="shared" ref="AM10" si="19">DATE(AM9, 12, 31)</f>
        <v>59171</v>
      </c>
      <c r="AN10" s="142">
        <f t="shared" ref="AN10" si="20">DATE(AN9, 12, 31)</f>
        <v>59536</v>
      </c>
      <c r="AO10" s="142">
        <f t="shared" ref="AO10" si="21">DATE(AO9, 12, 31)</f>
        <v>59901</v>
      </c>
      <c r="AP10" s="142">
        <f t="shared" ref="AP10" si="22">DATE(AP9, 12, 31)</f>
        <v>60267</v>
      </c>
      <c r="AQ10" s="142">
        <f t="shared" ref="AQ10" si="23">DATE(AQ9, 12, 31)</f>
        <v>60632</v>
      </c>
      <c r="AR10" s="142">
        <f t="shared" ref="AR10" si="24">DATE(AR9, 12, 31)</f>
        <v>60997</v>
      </c>
      <c r="AS10" s="142">
        <f t="shared" ref="AS10" si="25">DATE(AS9, 12, 31)</f>
        <v>61362</v>
      </c>
      <c r="AT10" s="142">
        <f t="shared" ref="AT10" si="26">DATE(AT9, 12, 31)</f>
        <v>61728</v>
      </c>
      <c r="AU10" s="142">
        <f t="shared" ref="AU10" si="27">DATE(AU9, 12, 31)</f>
        <v>62093</v>
      </c>
      <c r="AV10" s="142">
        <f t="shared" ref="AV10" si="28">DATE(AV9, 12, 31)</f>
        <v>62458</v>
      </c>
      <c r="AW10" s="107">
        <f t="shared" ref="AW10" si="29">DATE(AW9, 12, 31)</f>
        <v>62823</v>
      </c>
    </row>
    <row r="11" spans="1:49" ht="14.25" customHeight="1">
      <c r="A11" s="1"/>
      <c r="B11" s="84"/>
      <c r="C11" s="252" t="s">
        <v>471</v>
      </c>
      <c r="D11" s="186">
        <f>IF(DATEDIF('Assumptions &amp; Inputs'!$K$27,DATE(YEAR('Assumptions &amp; Inputs'!$K$27),12,31),"m")&gt;'Assumptions &amp; Inputs'!$K$28, 'Assumptions &amp; Inputs'!$K$28, DATEDIF('Assumptions &amp; Inputs'!$K$27,DATE(YEAR('Assumptions &amp; Inputs'!$K$27),12,31),"m"))</f>
        <v>11</v>
      </c>
      <c r="E11" s="186">
        <f>IF('Assumptions &amp; Inputs'!$K$28-D12&lt;=12,MIN('Assumptions &amp; Inputs'!$K$28-D12,12), 12)</f>
        <v>1</v>
      </c>
      <c r="F11" s="186">
        <f>IF('Assumptions &amp; Inputs'!$K$28-E12&lt;=12,MIN('Assumptions &amp; Inputs'!$K$28-E12,12), 12)</f>
        <v>0</v>
      </c>
      <c r="G11" s="186">
        <f>IF('Assumptions &amp; Inputs'!$K$28-F12&lt;=12,MIN('Assumptions &amp; Inputs'!$K$28-F12,12), 12)</f>
        <v>0</v>
      </c>
      <c r="H11" s="186">
        <f>IF('Assumptions &amp; Inputs'!$K$28-G12&lt;=12,MIN('Assumptions &amp; Inputs'!$K$28-G12,12), 12)</f>
        <v>0</v>
      </c>
      <c r="I11" s="186">
        <f>IF('Assumptions &amp; Inputs'!$K$28-H12&lt;=12,MIN('Assumptions &amp; Inputs'!$K$28-H12,12), 12)</f>
        <v>0</v>
      </c>
      <c r="J11" s="186">
        <f>IF('Assumptions &amp; Inputs'!$K$28-I12&lt;=12,MIN('Assumptions &amp; Inputs'!$K$28-I12,12), 12)</f>
        <v>0</v>
      </c>
      <c r="K11" s="186">
        <f>IF('Assumptions &amp; Inputs'!$K$28-J12&lt;=12,MIN('Assumptions &amp; Inputs'!$K$28-J12,12), 12)</f>
        <v>0</v>
      </c>
      <c r="L11" s="186">
        <f>IF('Assumptions &amp; Inputs'!$K$28-K12&lt;=12,MIN('Assumptions &amp; Inputs'!$K$28-K12,12), 12)</f>
        <v>0</v>
      </c>
      <c r="M11" s="186">
        <f>IF('Assumptions &amp; Inputs'!$K$28-L12&lt;=12,MIN('Assumptions &amp; Inputs'!$K$28-L12,12), 12)</f>
        <v>0</v>
      </c>
      <c r="N11" s="186">
        <f>IF('Assumptions &amp; Inputs'!$K$28-M12&lt;=12,MIN('Assumptions &amp; Inputs'!$K$28-M12,12), 12)</f>
        <v>0</v>
      </c>
      <c r="O11" s="186">
        <f>IF('Assumptions &amp; Inputs'!$K$28-N12&lt;=12,MIN('Assumptions &amp; Inputs'!$K$28-N12,12), 12)</f>
        <v>0</v>
      </c>
      <c r="P11" s="186">
        <f>IF('Assumptions &amp; Inputs'!$K$28-O12&lt;=12,MIN('Assumptions &amp; Inputs'!$K$28-O12,12), 12)</f>
        <v>0</v>
      </c>
      <c r="Q11" s="186">
        <f>IF('Assumptions &amp; Inputs'!$K$28-P12&lt;=12,MIN('Assumptions &amp; Inputs'!$K$28-P12,12), 12)</f>
        <v>0</v>
      </c>
      <c r="R11" s="186">
        <f>IF('Assumptions &amp; Inputs'!$K$28-Q12&lt;=12,MIN('Assumptions &amp; Inputs'!$K$28-Q12,12), 12)</f>
        <v>0</v>
      </c>
      <c r="S11" s="186">
        <f>IF('Assumptions &amp; Inputs'!$K$28-R12&lt;=12,MIN('Assumptions &amp; Inputs'!$K$28-R12,12), 12)</f>
        <v>0</v>
      </c>
      <c r="T11" s="186">
        <f>IF('Assumptions &amp; Inputs'!$K$28-S12&lt;=12,MIN('Assumptions &amp; Inputs'!$K$28-S12,12), 12)</f>
        <v>0</v>
      </c>
      <c r="U11" s="186">
        <f>IF('Assumptions &amp; Inputs'!$K$28-T12&lt;=12,MIN('Assumptions &amp; Inputs'!$K$28-T12,12), 12)</f>
        <v>0</v>
      </c>
      <c r="V11" s="186">
        <f>IF('Assumptions &amp; Inputs'!$K$28-U12&lt;=12,MIN('Assumptions &amp; Inputs'!$K$28-U12,12), 12)</f>
        <v>0</v>
      </c>
      <c r="W11" s="186">
        <f>IF('Assumptions &amp; Inputs'!$K$28-V12&lt;=12,MIN('Assumptions &amp; Inputs'!$K$28-V12,12), 12)</f>
        <v>0</v>
      </c>
      <c r="X11" s="186">
        <f>IF('Assumptions &amp; Inputs'!$K$28-W12&lt;=12,MIN('Assumptions &amp; Inputs'!$K$28-W12,12), 12)</f>
        <v>0</v>
      </c>
      <c r="Y11" s="186">
        <f>IF('Assumptions &amp; Inputs'!$K$28-X12&lt;=12,MIN('Assumptions &amp; Inputs'!$K$28-X12,12), 12)</f>
        <v>0</v>
      </c>
      <c r="Z11" s="186">
        <f>IF('Assumptions &amp; Inputs'!$K$28-Y12&lt;=12,MIN('Assumptions &amp; Inputs'!$K$28-Y12,12), 12)</f>
        <v>0</v>
      </c>
      <c r="AA11" s="186">
        <f>IF('Assumptions &amp; Inputs'!$K$28-Z12&lt;=12,MIN('Assumptions &amp; Inputs'!$K$28-Z12,12), 12)</f>
        <v>0</v>
      </c>
      <c r="AB11" s="186">
        <f>IF('Assumptions &amp; Inputs'!$K$28-AA12&lt;=12,MIN('Assumptions &amp; Inputs'!$K$28-AA12,12), 12)</f>
        <v>0</v>
      </c>
      <c r="AC11" s="186">
        <f>IF('Assumptions &amp; Inputs'!$K$28-AB12&lt;=12,MIN('Assumptions &amp; Inputs'!$K$28-AB12,12), 12)</f>
        <v>0</v>
      </c>
      <c r="AD11" s="186">
        <f>IF('Assumptions &amp; Inputs'!$K$28-AC12&lt;=12,MIN('Assumptions &amp; Inputs'!$K$28-AC12,12), 12)</f>
        <v>0</v>
      </c>
      <c r="AE11" s="186">
        <f>IF('Assumptions &amp; Inputs'!$K$28-AD12&lt;=12,MIN('Assumptions &amp; Inputs'!$K$28-AD12,12), 12)</f>
        <v>0</v>
      </c>
      <c r="AF11" s="186">
        <f>IF('Assumptions &amp; Inputs'!$K$28-AE12&lt;=12,MIN('Assumptions &amp; Inputs'!$K$28-AE12,12), 12)</f>
        <v>0</v>
      </c>
      <c r="AG11" s="186">
        <f>IF('Assumptions &amp; Inputs'!$K$28-AF12&lt;=12,MIN('Assumptions &amp; Inputs'!$K$28-AF12,12), 12)</f>
        <v>0</v>
      </c>
      <c r="AH11" s="186">
        <f>IF('Assumptions &amp; Inputs'!$K$28-AG12&lt;=12,MIN('Assumptions &amp; Inputs'!$K$28-AG12,12), 12)</f>
        <v>0</v>
      </c>
      <c r="AI11" s="186">
        <f>IF('Assumptions &amp; Inputs'!$K$28-AH12&lt;=12,MIN('Assumptions &amp; Inputs'!$K$28-AH12,12), 12)</f>
        <v>0</v>
      </c>
      <c r="AJ11" s="186">
        <f>IF('Assumptions &amp; Inputs'!$K$28-AI12&lt;=12,MIN('Assumptions &amp; Inputs'!$K$28-AI12,12), 12)</f>
        <v>0</v>
      </c>
      <c r="AK11" s="186">
        <f>IF('Assumptions &amp; Inputs'!$K$28-AJ12&lt;=12,MIN('Assumptions &amp; Inputs'!$K$28-AJ12,12), 12)</f>
        <v>0</v>
      </c>
      <c r="AL11" s="186">
        <f>IF('Assumptions &amp; Inputs'!$K$28-AK12&lt;=12,MIN('Assumptions &amp; Inputs'!$K$28-AK12,12), 12)</f>
        <v>0</v>
      </c>
      <c r="AM11" s="186">
        <f>IF('Assumptions &amp; Inputs'!$K$28-AL12&lt;=12,MIN('Assumptions &amp; Inputs'!$K$28-AL12,12), 12)</f>
        <v>0</v>
      </c>
      <c r="AN11" s="186">
        <f>IF('Assumptions &amp; Inputs'!$K$28-AM12&lt;=12,MIN('Assumptions &amp; Inputs'!$K$28-AM12,12), 12)</f>
        <v>0</v>
      </c>
      <c r="AO11" s="186">
        <f>IF('Assumptions &amp; Inputs'!$K$28-AN12&lt;=12,MIN('Assumptions &amp; Inputs'!$K$28-AN12,12), 12)</f>
        <v>0</v>
      </c>
      <c r="AP11" s="186">
        <f>IF('Assumptions &amp; Inputs'!$K$28-AO12&lt;=12,MIN('Assumptions &amp; Inputs'!$K$28-AO12,12), 12)</f>
        <v>0</v>
      </c>
      <c r="AQ11" s="186">
        <f>IF('Assumptions &amp; Inputs'!$K$28-AP12&lt;=12,MIN('Assumptions &amp; Inputs'!$K$28-AP12,12), 12)</f>
        <v>0</v>
      </c>
      <c r="AR11" s="186">
        <f>IF('Assumptions &amp; Inputs'!$K$28-AQ12&lt;=12,MIN('Assumptions &amp; Inputs'!$K$28-AQ12,12), 12)</f>
        <v>0</v>
      </c>
      <c r="AS11" s="186">
        <f>IF('Assumptions &amp; Inputs'!$K$28-AR12&lt;=12,MIN('Assumptions &amp; Inputs'!$K$28-AR12,12), 12)</f>
        <v>0</v>
      </c>
      <c r="AT11" s="186">
        <f>IF('Assumptions &amp; Inputs'!$K$28-AS12&lt;=12,MIN('Assumptions &amp; Inputs'!$K$28-AS12,12), 12)</f>
        <v>0</v>
      </c>
      <c r="AU11" s="186">
        <f>IF('Assumptions &amp; Inputs'!$K$28-AT12&lt;=12,MIN('Assumptions &amp; Inputs'!$K$28-AT12,12), 12)</f>
        <v>0</v>
      </c>
      <c r="AV11" s="186">
        <f>IF('Assumptions &amp; Inputs'!$K$28-AU12&lt;=12,MIN('Assumptions &amp; Inputs'!$K$28-AU12,12), 12)</f>
        <v>0</v>
      </c>
      <c r="AW11" s="197">
        <f>IF('Assumptions &amp; Inputs'!$K$28-AV12&lt;=12,MIN('Assumptions &amp; Inputs'!$K$28-AV12,12), 12)</f>
        <v>0</v>
      </c>
    </row>
    <row r="12" spans="1:49" ht="14.25" customHeight="1">
      <c r="A12" s="1"/>
      <c r="B12" s="84"/>
      <c r="C12" s="252" t="s">
        <v>472</v>
      </c>
      <c r="D12" s="186">
        <f>D11</f>
        <v>11</v>
      </c>
      <c r="E12" s="186">
        <f>E11+D12</f>
        <v>12</v>
      </c>
      <c r="F12" s="186">
        <f t="shared" ref="F12:X12" si="30">F11+E12</f>
        <v>12</v>
      </c>
      <c r="G12" s="186">
        <f t="shared" si="30"/>
        <v>12</v>
      </c>
      <c r="H12" s="186">
        <f t="shared" si="30"/>
        <v>12</v>
      </c>
      <c r="I12" s="186">
        <f t="shared" si="30"/>
        <v>12</v>
      </c>
      <c r="J12" s="186">
        <f t="shared" si="30"/>
        <v>12</v>
      </c>
      <c r="K12" s="186">
        <f t="shared" si="30"/>
        <v>12</v>
      </c>
      <c r="L12" s="186">
        <f t="shared" si="30"/>
        <v>12</v>
      </c>
      <c r="M12" s="186">
        <f t="shared" si="30"/>
        <v>12</v>
      </c>
      <c r="N12" s="186">
        <f t="shared" si="30"/>
        <v>12</v>
      </c>
      <c r="O12" s="186">
        <f t="shared" si="30"/>
        <v>12</v>
      </c>
      <c r="P12" s="186">
        <f t="shared" si="30"/>
        <v>12</v>
      </c>
      <c r="Q12" s="186">
        <f t="shared" si="30"/>
        <v>12</v>
      </c>
      <c r="R12" s="186">
        <f t="shared" si="30"/>
        <v>12</v>
      </c>
      <c r="S12" s="186">
        <f t="shared" si="30"/>
        <v>12</v>
      </c>
      <c r="T12" s="186">
        <f t="shared" si="30"/>
        <v>12</v>
      </c>
      <c r="U12" s="186">
        <f t="shared" si="30"/>
        <v>12</v>
      </c>
      <c r="V12" s="186">
        <f t="shared" si="30"/>
        <v>12</v>
      </c>
      <c r="W12" s="186">
        <f t="shared" si="30"/>
        <v>12</v>
      </c>
      <c r="X12" s="186">
        <f t="shared" si="30"/>
        <v>12</v>
      </c>
      <c r="Y12" s="186">
        <f t="shared" ref="Y12" si="31">Y11+X12</f>
        <v>12</v>
      </c>
      <c r="Z12" s="186">
        <f t="shared" ref="Z12" si="32">Z11+Y12</f>
        <v>12</v>
      </c>
      <c r="AA12" s="186">
        <f t="shared" ref="AA12" si="33">AA11+Z12</f>
        <v>12</v>
      </c>
      <c r="AB12" s="186">
        <f t="shared" ref="AB12" si="34">AB11+AA12</f>
        <v>12</v>
      </c>
      <c r="AC12" s="186">
        <f t="shared" ref="AC12" si="35">AC11+AB12</f>
        <v>12</v>
      </c>
      <c r="AD12" s="186">
        <f t="shared" ref="AD12" si="36">AD11+AC12</f>
        <v>12</v>
      </c>
      <c r="AE12" s="186">
        <f t="shared" ref="AE12" si="37">AE11+AD12</f>
        <v>12</v>
      </c>
      <c r="AF12" s="186">
        <f t="shared" ref="AF12" si="38">AF11+AE12</f>
        <v>12</v>
      </c>
      <c r="AG12" s="186">
        <f t="shared" ref="AG12" si="39">AG11+AF12</f>
        <v>12</v>
      </c>
      <c r="AH12" s="186">
        <f t="shared" ref="AH12" si="40">AH11+AG12</f>
        <v>12</v>
      </c>
      <c r="AI12" s="186">
        <f t="shared" ref="AI12" si="41">AI11+AH12</f>
        <v>12</v>
      </c>
      <c r="AJ12" s="186">
        <f t="shared" ref="AJ12" si="42">AJ11+AI12</f>
        <v>12</v>
      </c>
      <c r="AK12" s="186">
        <f t="shared" ref="AK12" si="43">AK11+AJ12</f>
        <v>12</v>
      </c>
      <c r="AL12" s="186">
        <f t="shared" ref="AL12" si="44">AL11+AK12</f>
        <v>12</v>
      </c>
      <c r="AM12" s="186">
        <f t="shared" ref="AM12" si="45">AM11+AL12</f>
        <v>12</v>
      </c>
      <c r="AN12" s="186">
        <f t="shared" ref="AN12" si="46">AN11+AM12</f>
        <v>12</v>
      </c>
      <c r="AO12" s="186">
        <f t="shared" ref="AO12" si="47">AO11+AN12</f>
        <v>12</v>
      </c>
      <c r="AP12" s="186">
        <f t="shared" ref="AP12" si="48">AP11+AO12</f>
        <v>12</v>
      </c>
      <c r="AQ12" s="186">
        <f t="shared" ref="AQ12" si="49">AQ11+AP12</f>
        <v>12</v>
      </c>
      <c r="AR12" s="186">
        <f t="shared" ref="AR12" si="50">AR11+AQ12</f>
        <v>12</v>
      </c>
      <c r="AS12" s="186">
        <f t="shared" ref="AS12" si="51">AS11+AR12</f>
        <v>12</v>
      </c>
      <c r="AT12" s="186">
        <f t="shared" ref="AT12" si="52">AT11+AS12</f>
        <v>12</v>
      </c>
      <c r="AU12" s="186">
        <f t="shared" ref="AU12" si="53">AU11+AT12</f>
        <v>12</v>
      </c>
      <c r="AV12" s="186">
        <f t="shared" ref="AV12" si="54">AV11+AU12</f>
        <v>12</v>
      </c>
      <c r="AW12" s="197">
        <f t="shared" ref="AW12" si="55">AW11+AV12</f>
        <v>12</v>
      </c>
    </row>
    <row r="13" spans="1:49" ht="14.25" customHeight="1">
      <c r="A13" s="1"/>
      <c r="B13" s="84"/>
      <c r="C13" s="96" t="s">
        <v>493</v>
      </c>
      <c r="D13" s="187">
        <f>IF(AND(MOD(D9-YEAR('Assumptions &amp; Inputs'!$K$31),'Assumptions &amp; Inputs'!$K$34)=0, D9&lt;YEAR('Assumptions &amp; Inputs'!$K$36), D9&gt;YEAR('Assumptions &amp; Inputs'!$K$31)), (-'Assumptions &amp; Inputs'!$K$38)*'Assumptions &amp; Inputs'!$K$33, -D11/'Assumptions &amp; Inputs'!$K$28*'Assumptions &amp; Inputs'!$K$38)</f>
        <v>-103.125</v>
      </c>
      <c r="E13" s="187">
        <f>IF(AND(MOD(E9-YEAR('Assumptions &amp; Inputs'!$K$31),'Assumptions &amp; Inputs'!$K$34)=0, E9&lt;YEAR('Assumptions &amp; Inputs'!$K$36), E9&gt;YEAR('Assumptions &amp; Inputs'!$K$31)), (-'Assumptions &amp; Inputs'!$K$38)*'Assumptions &amp; Inputs'!$K$33, -E11/'Assumptions &amp; Inputs'!$K$28*'Assumptions &amp; Inputs'!$K$38)</f>
        <v>-9.375</v>
      </c>
      <c r="F13" s="187">
        <f>IF(AND(MOD(F9-YEAR('Assumptions &amp; Inputs'!$K$31),'Assumptions &amp; Inputs'!$K$34)=0, F9&lt;YEAR('Assumptions &amp; Inputs'!$K$36), F9&gt;YEAR('Assumptions &amp; Inputs'!$K$31)), (-'Assumptions &amp; Inputs'!$K$38)*'Assumptions &amp; Inputs'!$K$33, -F11/'Assumptions &amp; Inputs'!$K$28*'Assumptions &amp; Inputs'!$K$38)</f>
        <v>0</v>
      </c>
      <c r="G13" s="187">
        <f>IF(AND(MOD(G9-YEAR('Assumptions &amp; Inputs'!$K$31),'Assumptions &amp; Inputs'!$K$34)=0, G9&lt;YEAR('Assumptions &amp; Inputs'!$K$36), G9&gt;YEAR('Assumptions &amp; Inputs'!$K$31)), (-'Assumptions &amp; Inputs'!$K$38)*'Assumptions &amp; Inputs'!$K$33, -G11/'Assumptions &amp; Inputs'!$K$28*'Assumptions &amp; Inputs'!$K$38)</f>
        <v>0</v>
      </c>
      <c r="H13" s="187">
        <f>IF(AND(MOD(H9-YEAR('Assumptions &amp; Inputs'!$K$31),'Assumptions &amp; Inputs'!$K$34)=0, H9&lt;YEAR('Assumptions &amp; Inputs'!$K$36), H9&gt;YEAR('Assumptions &amp; Inputs'!$K$31)), (-'Assumptions &amp; Inputs'!$K$38)*'Assumptions &amp; Inputs'!$K$33, -H11/'Assumptions &amp; Inputs'!$K$28*'Assumptions &amp; Inputs'!$K$38)</f>
        <v>0</v>
      </c>
      <c r="I13" s="187">
        <f>IF(AND(MOD(I9-YEAR('Assumptions &amp; Inputs'!$K$31),'Assumptions &amp; Inputs'!$K$34)=0, I9&lt;YEAR('Assumptions &amp; Inputs'!$K$36), I9&gt;YEAR('Assumptions &amp; Inputs'!$K$31)), (-'Assumptions &amp; Inputs'!$K$38)*'Assumptions &amp; Inputs'!$K$33, -I11/'Assumptions &amp; Inputs'!$K$28*'Assumptions &amp; Inputs'!$K$38)</f>
        <v>0</v>
      </c>
      <c r="J13" s="187">
        <f>IF(AND(MOD(J9-YEAR('Assumptions &amp; Inputs'!$K$31),'Assumptions &amp; Inputs'!$K$34)=0, J9&lt;YEAR('Assumptions &amp; Inputs'!$K$36), J9&gt;YEAR('Assumptions &amp; Inputs'!$K$31)), (-'Assumptions &amp; Inputs'!$K$38)*'Assumptions &amp; Inputs'!$K$33, -J11/'Assumptions &amp; Inputs'!$K$28*'Assumptions &amp; Inputs'!$K$38)</f>
        <v>0</v>
      </c>
      <c r="K13" s="187">
        <f>IF(AND(MOD(K9-YEAR('Assumptions &amp; Inputs'!$K$31),'Assumptions &amp; Inputs'!$K$34)=0, K9&lt;YEAR('Assumptions &amp; Inputs'!$K$36), K9&gt;YEAR('Assumptions &amp; Inputs'!$K$31)), (-'Assumptions &amp; Inputs'!$K$38)*'Assumptions &amp; Inputs'!$K$33, -K11/'Assumptions &amp; Inputs'!$K$28*'Assumptions &amp; Inputs'!$K$38)</f>
        <v>0</v>
      </c>
      <c r="L13" s="187">
        <f>IF(AND(MOD(L9-YEAR('Assumptions &amp; Inputs'!$K$31),'Assumptions &amp; Inputs'!$K$34)=0, L9&lt;YEAR('Assumptions &amp; Inputs'!$K$36), L9&gt;YEAR('Assumptions &amp; Inputs'!$K$31)), (-'Assumptions &amp; Inputs'!$K$38)*'Assumptions &amp; Inputs'!$K$33, -L11/'Assumptions &amp; Inputs'!$K$28*'Assumptions &amp; Inputs'!$K$38)</f>
        <v>0</v>
      </c>
      <c r="M13" s="187">
        <f>IF(AND(MOD(M9-YEAR('Assumptions &amp; Inputs'!$K$31),'Assumptions &amp; Inputs'!$K$34)=0, M9&lt;YEAR('Assumptions &amp; Inputs'!$K$36), M9&gt;YEAR('Assumptions &amp; Inputs'!$K$31)), (-'Assumptions &amp; Inputs'!$K$38)*'Assumptions &amp; Inputs'!$K$33, -M11/'Assumptions &amp; Inputs'!$K$28*'Assumptions &amp; Inputs'!$K$38)</f>
        <v>0</v>
      </c>
      <c r="N13" s="187">
        <f>IF(AND(MOD(N9-YEAR('Assumptions &amp; Inputs'!$K$31),'Assumptions &amp; Inputs'!$K$34)=0, N9&lt;YEAR('Assumptions &amp; Inputs'!$K$36), N9&gt;YEAR('Assumptions &amp; Inputs'!$K$31)), (-'Assumptions &amp; Inputs'!$K$38)*'Assumptions &amp; Inputs'!$K$33, -N11/'Assumptions &amp; Inputs'!$K$28*'Assumptions &amp; Inputs'!$K$38)</f>
        <v>0</v>
      </c>
      <c r="O13" s="187">
        <f>IF(AND(MOD(O9-YEAR('Assumptions &amp; Inputs'!$K$31),'Assumptions &amp; Inputs'!$K$34)=0, O9&lt;YEAR('Assumptions &amp; Inputs'!$K$36), O9&gt;YEAR('Assumptions &amp; Inputs'!$K$31)), (-'Assumptions &amp; Inputs'!$K$38)*'Assumptions &amp; Inputs'!$K$33, -O11/'Assumptions &amp; Inputs'!$K$28*'Assumptions &amp; Inputs'!$K$38)</f>
        <v>0</v>
      </c>
      <c r="P13" s="187">
        <f>IF(AND(MOD(P9-YEAR('Assumptions &amp; Inputs'!$K$31),'Assumptions &amp; Inputs'!$K$34)=0, P9&lt;YEAR('Assumptions &amp; Inputs'!$K$36), P9&gt;YEAR('Assumptions &amp; Inputs'!$K$31)), (-'Assumptions &amp; Inputs'!$K$38)*'Assumptions &amp; Inputs'!$K$33, -P11/'Assumptions &amp; Inputs'!$K$28*'Assumptions &amp; Inputs'!$K$38)</f>
        <v>0</v>
      </c>
      <c r="Q13" s="187">
        <f>IF(AND(MOD(Q9-YEAR('Assumptions &amp; Inputs'!$K$31),'Assumptions &amp; Inputs'!$K$34)=0, Q9&lt;YEAR('Assumptions &amp; Inputs'!$K$36), Q9&gt;YEAR('Assumptions &amp; Inputs'!$K$31)), (-'Assumptions &amp; Inputs'!$K$38)*'Assumptions &amp; Inputs'!$K$33, -Q11/'Assumptions &amp; Inputs'!$K$28*'Assumptions &amp; Inputs'!$K$38)</f>
        <v>0</v>
      </c>
      <c r="R13" s="187">
        <f>IF(AND(MOD(R9-YEAR('Assumptions &amp; Inputs'!$K$31),'Assumptions &amp; Inputs'!$K$34)=0, R9&lt;YEAR('Assumptions &amp; Inputs'!$K$36), R9&gt;YEAR('Assumptions &amp; Inputs'!$K$31)), (-'Assumptions &amp; Inputs'!$K$38)*'Assumptions &amp; Inputs'!$K$33, -R11/'Assumptions &amp; Inputs'!$K$28*'Assumptions &amp; Inputs'!$K$38)</f>
        <v>0</v>
      </c>
      <c r="S13" s="187">
        <f>IF(AND(MOD(S9-YEAR('Assumptions &amp; Inputs'!$K$31),'Assumptions &amp; Inputs'!$K$34)=0, S9&lt;YEAR('Assumptions &amp; Inputs'!$K$36), S9&gt;YEAR('Assumptions &amp; Inputs'!$K$31)), (-'Assumptions &amp; Inputs'!$K$38)*'Assumptions &amp; Inputs'!$K$33, -S11/'Assumptions &amp; Inputs'!$K$28*'Assumptions &amp; Inputs'!$K$38)</f>
        <v>0</v>
      </c>
      <c r="T13" s="187">
        <f>IF(AND(MOD(T9-YEAR('Assumptions &amp; Inputs'!$K$31),'Assumptions &amp; Inputs'!$K$34)=0, T9&lt;YEAR('Assumptions &amp; Inputs'!$K$36), T9&gt;YEAR('Assumptions &amp; Inputs'!$K$31)), (-'Assumptions &amp; Inputs'!$K$38)*'Assumptions &amp; Inputs'!$K$33, -T11/'Assumptions &amp; Inputs'!$K$28*'Assumptions &amp; Inputs'!$K$38)</f>
        <v>0</v>
      </c>
      <c r="U13" s="187">
        <f>IF(AND(MOD(U9-YEAR('Assumptions &amp; Inputs'!$K$31),'Assumptions &amp; Inputs'!$K$34)=0, U9&lt;YEAR('Assumptions &amp; Inputs'!$K$36), U9&gt;YEAR('Assumptions &amp; Inputs'!$K$31)), (-'Assumptions &amp; Inputs'!$K$38)*'Assumptions &amp; Inputs'!$K$33, -U11/'Assumptions &amp; Inputs'!$K$28*'Assumptions &amp; Inputs'!$K$38)</f>
        <v>0</v>
      </c>
      <c r="V13" s="187">
        <f>IF(AND(MOD(V9-YEAR('Assumptions &amp; Inputs'!$K$31),'Assumptions &amp; Inputs'!$K$34)=0, V9&lt;YEAR('Assumptions &amp; Inputs'!$K$36), V9&gt;YEAR('Assumptions &amp; Inputs'!$K$31)), (-'Assumptions &amp; Inputs'!$K$38)*'Assumptions &amp; Inputs'!$K$33, -V11/'Assumptions &amp; Inputs'!$K$28*'Assumptions &amp; Inputs'!$K$38)</f>
        <v>0</v>
      </c>
      <c r="W13" s="187">
        <f>IF(AND(MOD(W9-YEAR('Assumptions &amp; Inputs'!$K$31),'Assumptions &amp; Inputs'!$K$34)=0, W9&lt;YEAR('Assumptions &amp; Inputs'!$K$36), W9&gt;YEAR('Assumptions &amp; Inputs'!$K$31)), (-'Assumptions &amp; Inputs'!$K$38)*'Assumptions &amp; Inputs'!$K$33, -W11/'Assumptions &amp; Inputs'!$K$28*'Assumptions &amp; Inputs'!$K$38)</f>
        <v>0</v>
      </c>
      <c r="X13" s="187">
        <f>IF(AND(MOD(X9-YEAR('Assumptions &amp; Inputs'!$K$31),'Assumptions &amp; Inputs'!$K$34)=0, X9&lt;YEAR('Assumptions &amp; Inputs'!$K$36), X9&gt;YEAR('Assumptions &amp; Inputs'!$K$31)), (-'Assumptions &amp; Inputs'!$K$38)*'Assumptions &amp; Inputs'!$K$33, -X11/'Assumptions &amp; Inputs'!$K$28*'Assumptions &amp; Inputs'!$K$38)</f>
        <v>0</v>
      </c>
      <c r="Y13" s="187">
        <f>IF(AND(MOD(Y9-YEAR('Assumptions &amp; Inputs'!$K$31),'Assumptions &amp; Inputs'!$K$34)=0, Y9&lt;YEAR('Assumptions &amp; Inputs'!$K$36), Y9&gt;YEAR('Assumptions &amp; Inputs'!$K$31)), (-'Assumptions &amp; Inputs'!$K$38)*'Assumptions &amp; Inputs'!$K$33, -Y11/'Assumptions &amp; Inputs'!$K$28*'Assumptions &amp; Inputs'!$K$38)</f>
        <v>0</v>
      </c>
      <c r="Z13" s="187">
        <f>IF(AND(MOD(Z9-YEAR('Assumptions &amp; Inputs'!$K$31),'Assumptions &amp; Inputs'!$K$34)=0, Z9&lt;YEAR('Assumptions &amp; Inputs'!$K$36), Z9&gt;YEAR('Assumptions &amp; Inputs'!$K$31)), (-'Assumptions &amp; Inputs'!$K$38)*'Assumptions &amp; Inputs'!$K$33, -Z11/'Assumptions &amp; Inputs'!$K$28*'Assumptions &amp; Inputs'!$K$38)</f>
        <v>0</v>
      </c>
      <c r="AA13" s="187">
        <f>IF(AND(MOD(AA9-YEAR('Assumptions &amp; Inputs'!$K$31),'Assumptions &amp; Inputs'!$K$34)=0, AA9&lt;YEAR('Assumptions &amp; Inputs'!$K$36), AA9&gt;YEAR('Assumptions &amp; Inputs'!$K$31)), (-'Assumptions &amp; Inputs'!$K$38)*'Assumptions &amp; Inputs'!$K$33, -AA11/'Assumptions &amp; Inputs'!$K$28*'Assumptions &amp; Inputs'!$K$38)</f>
        <v>0</v>
      </c>
      <c r="AB13" s="187">
        <f>IF(AND(MOD(AB9-YEAR('Assumptions &amp; Inputs'!$K$31),'Assumptions &amp; Inputs'!$K$34)=0, AB9&lt;YEAR('Assumptions &amp; Inputs'!$K$36), AB9&gt;YEAR('Assumptions &amp; Inputs'!$K$31)), (-'Assumptions &amp; Inputs'!$K$38)*'Assumptions &amp; Inputs'!$K$33, -AB11/'Assumptions &amp; Inputs'!$K$28*'Assumptions &amp; Inputs'!$K$38)</f>
        <v>0</v>
      </c>
      <c r="AC13" s="187">
        <f>IF(AND(MOD(AC9-YEAR('Assumptions &amp; Inputs'!$K$31),'Assumptions &amp; Inputs'!$K$34)=0, AC9&lt;YEAR('Assumptions &amp; Inputs'!$K$36), AC9&gt;YEAR('Assumptions &amp; Inputs'!$K$31)), (-'Assumptions &amp; Inputs'!$K$38)*'Assumptions &amp; Inputs'!$K$33, -AC11/'Assumptions &amp; Inputs'!$K$28*'Assumptions &amp; Inputs'!$K$38)</f>
        <v>0</v>
      </c>
      <c r="AD13" s="187">
        <f>IF(AND(MOD(AD9-YEAR('Assumptions &amp; Inputs'!$K$31),'Assumptions &amp; Inputs'!$K$34)=0, AD9&lt;YEAR('Assumptions &amp; Inputs'!$K$36), AD9&gt;YEAR('Assumptions &amp; Inputs'!$K$31)), (-'Assumptions &amp; Inputs'!$K$38)*'Assumptions &amp; Inputs'!$K$33, -AD11/'Assumptions &amp; Inputs'!$K$28*'Assumptions &amp; Inputs'!$K$38)</f>
        <v>0</v>
      </c>
      <c r="AE13" s="187">
        <f>IF(AND(MOD(AE9-YEAR('Assumptions &amp; Inputs'!$K$31),'Assumptions &amp; Inputs'!$K$34)=0, AE9&lt;YEAR('Assumptions &amp; Inputs'!$K$36), AE9&gt;YEAR('Assumptions &amp; Inputs'!$K$31)), (-'Assumptions &amp; Inputs'!$K$38)*'Assumptions &amp; Inputs'!$K$33, -AE11/'Assumptions &amp; Inputs'!$K$28*'Assumptions &amp; Inputs'!$K$38)</f>
        <v>0</v>
      </c>
      <c r="AF13" s="187">
        <f>IF(AND(MOD(AF9-YEAR('Assumptions &amp; Inputs'!$K$31),'Assumptions &amp; Inputs'!$K$34)=0, AF9&lt;YEAR('Assumptions &amp; Inputs'!$K$36), AF9&gt;YEAR('Assumptions &amp; Inputs'!$K$31)), (-'Assumptions &amp; Inputs'!$K$38)*'Assumptions &amp; Inputs'!$K$33, -AF11/'Assumptions &amp; Inputs'!$K$28*'Assumptions &amp; Inputs'!$K$38)</f>
        <v>0</v>
      </c>
      <c r="AG13" s="187">
        <f>IF(AND(MOD(AG9-YEAR('Assumptions &amp; Inputs'!$K$31),'Assumptions &amp; Inputs'!$K$34)=0, AG9&lt;YEAR('Assumptions &amp; Inputs'!$K$36), AG9&gt;YEAR('Assumptions &amp; Inputs'!$K$31)), (-'Assumptions &amp; Inputs'!$K$38)*'Assumptions &amp; Inputs'!$K$33, -AG11/'Assumptions &amp; Inputs'!$K$28*'Assumptions &amp; Inputs'!$K$38)</f>
        <v>0</v>
      </c>
      <c r="AH13" s="187">
        <f>IF(AND(MOD(AH9-YEAR('Assumptions &amp; Inputs'!$K$31),'Assumptions &amp; Inputs'!$K$34)=0, AH9&lt;YEAR('Assumptions &amp; Inputs'!$K$36), AH9&gt;YEAR('Assumptions &amp; Inputs'!$K$31)), (-'Assumptions &amp; Inputs'!$K$38)*'Assumptions &amp; Inputs'!$K$33, -AH11/'Assumptions &amp; Inputs'!$K$28*'Assumptions &amp; Inputs'!$K$38)</f>
        <v>0</v>
      </c>
      <c r="AI13" s="187">
        <f>IF(AND(MOD(AI9-YEAR('Assumptions &amp; Inputs'!$K$31),'Assumptions &amp; Inputs'!$K$34)=0, AI9&lt;YEAR('Assumptions &amp; Inputs'!$K$36), AI9&gt;YEAR('Assumptions &amp; Inputs'!$K$31)), (-'Assumptions &amp; Inputs'!$K$38)*'Assumptions &amp; Inputs'!$K$33, -AI11/'Assumptions &amp; Inputs'!$K$28*'Assumptions &amp; Inputs'!$K$38)</f>
        <v>0</v>
      </c>
      <c r="AJ13" s="187">
        <f>IF(AND(MOD(AJ9-YEAR('Assumptions &amp; Inputs'!$K$31),'Assumptions &amp; Inputs'!$K$34)=0, AJ9&lt;YEAR('Assumptions &amp; Inputs'!$K$36), AJ9&gt;YEAR('Assumptions &amp; Inputs'!$K$31)), (-'Assumptions &amp; Inputs'!$K$38)*'Assumptions &amp; Inputs'!$K$33, -AJ11/'Assumptions &amp; Inputs'!$K$28*'Assumptions &amp; Inputs'!$K$38)</f>
        <v>0</v>
      </c>
      <c r="AK13" s="187">
        <f>IF(AND(MOD(AK9-YEAR('Assumptions &amp; Inputs'!$K$31),'Assumptions &amp; Inputs'!$K$34)=0, AK9&lt;YEAR('Assumptions &amp; Inputs'!$K$36), AK9&gt;YEAR('Assumptions &amp; Inputs'!$K$31)), (-'Assumptions &amp; Inputs'!$K$38)*'Assumptions &amp; Inputs'!$K$33, -AK11/'Assumptions &amp; Inputs'!$K$28*'Assumptions &amp; Inputs'!$K$38)</f>
        <v>0</v>
      </c>
      <c r="AL13" s="187">
        <f>IF(AND(MOD(AL9-YEAR('Assumptions &amp; Inputs'!$K$31),'Assumptions &amp; Inputs'!$K$34)=0, AL9&lt;YEAR('Assumptions &amp; Inputs'!$K$36), AL9&gt;YEAR('Assumptions &amp; Inputs'!$K$31)), (-'Assumptions &amp; Inputs'!$K$38)*'Assumptions &amp; Inputs'!$K$33, -AL11/'Assumptions &amp; Inputs'!$K$28*'Assumptions &amp; Inputs'!$K$38)</f>
        <v>0</v>
      </c>
      <c r="AM13" s="187">
        <f>IF(AND(MOD(AM9-YEAR('Assumptions &amp; Inputs'!$K$31),'Assumptions &amp; Inputs'!$K$34)=0, AM9&lt;YEAR('Assumptions &amp; Inputs'!$K$36), AM9&gt;YEAR('Assumptions &amp; Inputs'!$K$31)), (-'Assumptions &amp; Inputs'!$K$38)*'Assumptions &amp; Inputs'!$K$33, -AM11/'Assumptions &amp; Inputs'!$K$28*'Assumptions &amp; Inputs'!$K$38)</f>
        <v>0</v>
      </c>
      <c r="AN13" s="187">
        <f>IF(AND(MOD(AN9-YEAR('Assumptions &amp; Inputs'!$K$31),'Assumptions &amp; Inputs'!$K$34)=0, AN9&lt;YEAR('Assumptions &amp; Inputs'!$K$36), AN9&gt;YEAR('Assumptions &amp; Inputs'!$K$31)), (-'Assumptions &amp; Inputs'!$K$38)*'Assumptions &amp; Inputs'!$K$33, -AN11/'Assumptions &amp; Inputs'!$K$28*'Assumptions &amp; Inputs'!$K$38)</f>
        <v>0</v>
      </c>
      <c r="AO13" s="187">
        <f>IF(AND(MOD(AO9-YEAR('Assumptions &amp; Inputs'!$K$31),'Assumptions &amp; Inputs'!$K$34)=0, AO9&lt;YEAR('Assumptions &amp; Inputs'!$K$36), AO9&gt;YEAR('Assumptions &amp; Inputs'!$K$31)), (-'Assumptions &amp; Inputs'!$K$38)*'Assumptions &amp; Inputs'!$K$33, -AO11/'Assumptions &amp; Inputs'!$K$28*'Assumptions &amp; Inputs'!$K$38)</f>
        <v>0</v>
      </c>
      <c r="AP13" s="187">
        <f>IF(AND(MOD(AP9-YEAR('Assumptions &amp; Inputs'!$K$31),'Assumptions &amp; Inputs'!$K$34)=0, AP9&lt;YEAR('Assumptions &amp; Inputs'!$K$36), AP9&gt;YEAR('Assumptions &amp; Inputs'!$K$31)), (-'Assumptions &amp; Inputs'!$K$38)*'Assumptions &amp; Inputs'!$K$33, -AP11/'Assumptions &amp; Inputs'!$K$28*'Assumptions &amp; Inputs'!$K$38)</f>
        <v>0</v>
      </c>
      <c r="AQ13" s="187">
        <f>IF(AND(MOD(AQ9-YEAR('Assumptions &amp; Inputs'!$K$31),'Assumptions &amp; Inputs'!$K$34)=0, AQ9&lt;YEAR('Assumptions &amp; Inputs'!$K$36), AQ9&gt;YEAR('Assumptions &amp; Inputs'!$K$31)), (-'Assumptions &amp; Inputs'!$K$38)*'Assumptions &amp; Inputs'!$K$33, -AQ11/'Assumptions &amp; Inputs'!$K$28*'Assumptions &amp; Inputs'!$K$38)</f>
        <v>0</v>
      </c>
      <c r="AR13" s="187">
        <f>IF(AND(MOD(AR9-YEAR('Assumptions &amp; Inputs'!$K$31),'Assumptions &amp; Inputs'!$K$34)=0, AR9&lt;YEAR('Assumptions &amp; Inputs'!$K$36), AR9&gt;YEAR('Assumptions &amp; Inputs'!$K$31)), (-'Assumptions &amp; Inputs'!$K$38)*'Assumptions &amp; Inputs'!$K$33, -AR11/'Assumptions &amp; Inputs'!$K$28*'Assumptions &amp; Inputs'!$K$38)</f>
        <v>0</v>
      </c>
      <c r="AS13" s="187">
        <f>IF(AND(MOD(AS9-YEAR('Assumptions &amp; Inputs'!$K$31),'Assumptions &amp; Inputs'!$K$34)=0, AS9&lt;YEAR('Assumptions &amp; Inputs'!$K$36), AS9&gt;YEAR('Assumptions &amp; Inputs'!$K$31)), (-'Assumptions &amp; Inputs'!$K$38)*'Assumptions &amp; Inputs'!$K$33, -AS11/'Assumptions &amp; Inputs'!$K$28*'Assumptions &amp; Inputs'!$K$38)</f>
        <v>0</v>
      </c>
      <c r="AT13" s="187">
        <f>IF(AND(MOD(AT9-YEAR('Assumptions &amp; Inputs'!$K$31),'Assumptions &amp; Inputs'!$K$34)=0, AT9&lt;YEAR('Assumptions &amp; Inputs'!$K$36), AT9&gt;YEAR('Assumptions &amp; Inputs'!$K$31)), (-'Assumptions &amp; Inputs'!$K$38)*'Assumptions &amp; Inputs'!$K$33, -AT11/'Assumptions &amp; Inputs'!$K$28*'Assumptions &amp; Inputs'!$K$38)</f>
        <v>0</v>
      </c>
      <c r="AU13" s="187">
        <f>IF(AND(MOD(AU9-YEAR('Assumptions &amp; Inputs'!$K$31),'Assumptions &amp; Inputs'!$K$34)=0, AU9&lt;YEAR('Assumptions &amp; Inputs'!$K$36), AU9&gt;YEAR('Assumptions &amp; Inputs'!$K$31)), (-'Assumptions &amp; Inputs'!$K$38)*'Assumptions &amp; Inputs'!$K$33, -AU11/'Assumptions &amp; Inputs'!$K$28*'Assumptions &amp; Inputs'!$K$38)</f>
        <v>0</v>
      </c>
      <c r="AV13" s="187">
        <f>IF(AND(MOD(AV9-YEAR('Assumptions &amp; Inputs'!$K$31),'Assumptions &amp; Inputs'!$K$34)=0, AV9&lt;YEAR('Assumptions &amp; Inputs'!$K$36), AV9&gt;YEAR('Assumptions &amp; Inputs'!$K$31)), (-'Assumptions &amp; Inputs'!$K$38)*'Assumptions &amp; Inputs'!$K$33, -AV11/'Assumptions &amp; Inputs'!$K$28*'Assumptions &amp; Inputs'!$K$38)</f>
        <v>0</v>
      </c>
      <c r="AW13" s="187">
        <f>IF(AND(MOD(AW9-YEAR('Assumptions &amp; Inputs'!$K$31),'Assumptions &amp; Inputs'!$K$34)=0, AW9&lt;YEAR('Assumptions &amp; Inputs'!$K$36), AW9&gt;YEAR('Assumptions &amp; Inputs'!$K$31)), (-'Assumptions &amp; Inputs'!$K$38)*'Assumptions &amp; Inputs'!$K$33, -AW11/'Assumptions &amp; Inputs'!$K$28*'Assumptions &amp; Inputs'!$K$38)</f>
        <v>0</v>
      </c>
    </row>
    <row r="14" spans="1:49" ht="14.25" customHeight="1">
      <c r="A14" s="1"/>
      <c r="B14" s="84"/>
      <c r="C14" s="94" t="s">
        <v>219</v>
      </c>
      <c r="D14" s="519">
        <f>D$13*'Assumptions &amp; Inputs'!$J39</f>
        <v>-5.15625</v>
      </c>
      <c r="E14" s="519">
        <f>E$13*'Assumptions &amp; Inputs'!$J39</f>
        <v>-0.46875</v>
      </c>
      <c r="F14" s="519">
        <f>F$13*'Assumptions &amp; Inputs'!$J39</f>
        <v>0</v>
      </c>
      <c r="G14" s="519">
        <f>G$13*'Assumptions &amp; Inputs'!$J39</f>
        <v>0</v>
      </c>
      <c r="H14" s="519">
        <f>H$13*'Assumptions &amp; Inputs'!$J39</f>
        <v>0</v>
      </c>
      <c r="I14" s="519">
        <f>I$13*'Assumptions &amp; Inputs'!$J39</f>
        <v>0</v>
      </c>
      <c r="J14" s="519">
        <f>J$13*'Assumptions &amp; Inputs'!$J39</f>
        <v>0</v>
      </c>
      <c r="K14" s="519">
        <f>K$13*'Assumptions &amp; Inputs'!$J39</f>
        <v>0</v>
      </c>
      <c r="L14" s="519">
        <f>L$13*'Assumptions &amp; Inputs'!$J39</f>
        <v>0</v>
      </c>
      <c r="M14" s="519">
        <f>M$13*'Assumptions &amp; Inputs'!$J39</f>
        <v>0</v>
      </c>
      <c r="N14" s="519">
        <f>N$13*'Assumptions &amp; Inputs'!$J39</f>
        <v>0</v>
      </c>
      <c r="O14" s="519">
        <f>O$13*'Assumptions &amp; Inputs'!$J39</f>
        <v>0</v>
      </c>
      <c r="P14" s="519">
        <f>P$13*'Assumptions &amp; Inputs'!$J39</f>
        <v>0</v>
      </c>
      <c r="Q14" s="519">
        <f>Q$13*'Assumptions &amp; Inputs'!$J39</f>
        <v>0</v>
      </c>
      <c r="R14" s="519">
        <f>R$13*'Assumptions &amp; Inputs'!$J39</f>
        <v>0</v>
      </c>
      <c r="S14" s="519">
        <f>S$13*'Assumptions &amp; Inputs'!$J39</f>
        <v>0</v>
      </c>
      <c r="T14" s="519">
        <f>T$13*'Assumptions &amp; Inputs'!$J39</f>
        <v>0</v>
      </c>
      <c r="U14" s="519">
        <f>U$13*'Assumptions &amp; Inputs'!$J39</f>
        <v>0</v>
      </c>
      <c r="V14" s="519">
        <f>V$13*'Assumptions &amp; Inputs'!$J39</f>
        <v>0</v>
      </c>
      <c r="W14" s="519">
        <f>W$13*'Assumptions &amp; Inputs'!$J39</f>
        <v>0</v>
      </c>
      <c r="X14" s="519">
        <f>X$13*'Assumptions &amp; Inputs'!$J39</f>
        <v>0</v>
      </c>
      <c r="Y14" s="519">
        <f>Y$13*'Assumptions &amp; Inputs'!$J39</f>
        <v>0</v>
      </c>
      <c r="Z14" s="519">
        <f>Z$13*'Assumptions &amp; Inputs'!$J39</f>
        <v>0</v>
      </c>
      <c r="AA14" s="519">
        <f>AA$13*'Assumptions &amp; Inputs'!$J39</f>
        <v>0</v>
      </c>
      <c r="AB14" s="519">
        <f>AB$13*'Assumptions &amp; Inputs'!$J39</f>
        <v>0</v>
      </c>
      <c r="AC14" s="519">
        <f>AC$13*'Assumptions &amp; Inputs'!$J39</f>
        <v>0</v>
      </c>
      <c r="AD14" s="519">
        <f>AD$13*'Assumptions &amp; Inputs'!$J39</f>
        <v>0</v>
      </c>
      <c r="AE14" s="519">
        <f>AE$13*'Assumptions &amp; Inputs'!$J39</f>
        <v>0</v>
      </c>
      <c r="AF14" s="519">
        <f>AF$13*'Assumptions &amp; Inputs'!$J39</f>
        <v>0</v>
      </c>
      <c r="AG14" s="519">
        <f>AG$13*'Assumptions &amp; Inputs'!$J39</f>
        <v>0</v>
      </c>
      <c r="AH14" s="519">
        <f>AH$13*'Assumptions &amp; Inputs'!$J39</f>
        <v>0</v>
      </c>
      <c r="AI14" s="519">
        <f>AI$13*'Assumptions &amp; Inputs'!$J39</f>
        <v>0</v>
      </c>
      <c r="AJ14" s="519">
        <f>AJ$13*'Assumptions &amp; Inputs'!$J39</f>
        <v>0</v>
      </c>
      <c r="AK14" s="519">
        <f>AK$13*'Assumptions &amp; Inputs'!$J39</f>
        <v>0</v>
      </c>
      <c r="AL14" s="519">
        <f>AL$13*'Assumptions &amp; Inputs'!$J39</f>
        <v>0</v>
      </c>
      <c r="AM14" s="519">
        <f>AM$13*'Assumptions &amp; Inputs'!$J39</f>
        <v>0</v>
      </c>
      <c r="AN14" s="519">
        <f>AN$13*'Assumptions &amp; Inputs'!$J39</f>
        <v>0</v>
      </c>
      <c r="AO14" s="519">
        <f>AO$13*'Assumptions &amp; Inputs'!$J39</f>
        <v>0</v>
      </c>
      <c r="AP14" s="519">
        <f>AP$13*'Assumptions &amp; Inputs'!$J39</f>
        <v>0</v>
      </c>
      <c r="AQ14" s="519">
        <f>AQ$13*'Assumptions &amp; Inputs'!$J39</f>
        <v>0</v>
      </c>
      <c r="AR14" s="519">
        <f>AR$13*'Assumptions &amp; Inputs'!$J39</f>
        <v>0</v>
      </c>
      <c r="AS14" s="519">
        <f>AS$13*'Assumptions &amp; Inputs'!$J39</f>
        <v>0</v>
      </c>
      <c r="AT14" s="519">
        <f>AT$13*'Assumptions &amp; Inputs'!$J39</f>
        <v>0</v>
      </c>
      <c r="AU14" s="519">
        <f>AU$13*'Assumptions &amp; Inputs'!$J39</f>
        <v>0</v>
      </c>
      <c r="AV14" s="519">
        <f>AV$13*'Assumptions &amp; Inputs'!$J39</f>
        <v>0</v>
      </c>
      <c r="AW14" s="520">
        <f>AW$13*'Assumptions &amp; Inputs'!$J39</f>
        <v>0</v>
      </c>
    </row>
    <row r="15" spans="1:49" ht="14.25" customHeight="1">
      <c r="A15" s="1"/>
      <c r="B15" s="84"/>
      <c r="C15" s="94" t="s">
        <v>220</v>
      </c>
      <c r="D15" s="519">
        <f>D$13*'Assumptions &amp; Inputs'!$J40</f>
        <v>-15.46875</v>
      </c>
      <c r="E15" s="519">
        <f>E$13*'Assumptions &amp; Inputs'!$J40</f>
        <v>-1.40625</v>
      </c>
      <c r="F15" s="519">
        <f>F$13*'Assumptions &amp; Inputs'!$J40</f>
        <v>0</v>
      </c>
      <c r="G15" s="519">
        <f>G$13*'Assumptions &amp; Inputs'!$J40</f>
        <v>0</v>
      </c>
      <c r="H15" s="519">
        <f>H$13*'Assumptions &amp; Inputs'!$J40</f>
        <v>0</v>
      </c>
      <c r="I15" s="519">
        <f>I$13*'Assumptions &amp; Inputs'!$J40</f>
        <v>0</v>
      </c>
      <c r="J15" s="519">
        <f>J$13*'Assumptions &amp; Inputs'!$J40</f>
        <v>0</v>
      </c>
      <c r="K15" s="519">
        <f>K$13*'Assumptions &amp; Inputs'!$J40</f>
        <v>0</v>
      </c>
      <c r="L15" s="519">
        <f>L$13*'Assumptions &amp; Inputs'!$J40</f>
        <v>0</v>
      </c>
      <c r="M15" s="519">
        <f>M$13*'Assumptions &amp; Inputs'!$J40</f>
        <v>0</v>
      </c>
      <c r="N15" s="519">
        <f>N$13*'Assumptions &amp; Inputs'!$J40</f>
        <v>0</v>
      </c>
      <c r="O15" s="519">
        <f>O$13*'Assumptions &amp; Inputs'!$J40</f>
        <v>0</v>
      </c>
      <c r="P15" s="519">
        <f>P$13*'Assumptions &amp; Inputs'!$J40</f>
        <v>0</v>
      </c>
      <c r="Q15" s="519">
        <f>Q$13*'Assumptions &amp; Inputs'!$J40</f>
        <v>0</v>
      </c>
      <c r="R15" s="519">
        <f>R$13*'Assumptions &amp; Inputs'!$J40</f>
        <v>0</v>
      </c>
      <c r="S15" s="519">
        <f>S$13*'Assumptions &amp; Inputs'!$J40</f>
        <v>0</v>
      </c>
      <c r="T15" s="519">
        <f>T$13*'Assumptions &amp; Inputs'!$J40</f>
        <v>0</v>
      </c>
      <c r="U15" s="519">
        <f>U$13*'Assumptions &amp; Inputs'!$J40</f>
        <v>0</v>
      </c>
      <c r="V15" s="519">
        <f>V$13*'Assumptions &amp; Inputs'!$J40</f>
        <v>0</v>
      </c>
      <c r="W15" s="519">
        <f>W$13*'Assumptions &amp; Inputs'!$J40</f>
        <v>0</v>
      </c>
      <c r="X15" s="519">
        <f>X$13*'Assumptions &amp; Inputs'!$J40</f>
        <v>0</v>
      </c>
      <c r="Y15" s="519">
        <f>Y$13*'Assumptions &amp; Inputs'!$J40</f>
        <v>0</v>
      </c>
      <c r="Z15" s="519">
        <f>Z$13*'Assumptions &amp; Inputs'!$J40</f>
        <v>0</v>
      </c>
      <c r="AA15" s="519">
        <f>AA$13*'Assumptions &amp; Inputs'!$J40</f>
        <v>0</v>
      </c>
      <c r="AB15" s="519">
        <f>AB$13*'Assumptions &amp; Inputs'!$J40</f>
        <v>0</v>
      </c>
      <c r="AC15" s="519">
        <f>AC$13*'Assumptions &amp; Inputs'!$J40</f>
        <v>0</v>
      </c>
      <c r="AD15" s="519">
        <f>AD$13*'Assumptions &amp; Inputs'!$J40</f>
        <v>0</v>
      </c>
      <c r="AE15" s="519">
        <f>AE$13*'Assumptions &amp; Inputs'!$J40</f>
        <v>0</v>
      </c>
      <c r="AF15" s="519">
        <f>AF$13*'Assumptions &amp; Inputs'!$J40</f>
        <v>0</v>
      </c>
      <c r="AG15" s="519">
        <f>AG$13*'Assumptions &amp; Inputs'!$J40</f>
        <v>0</v>
      </c>
      <c r="AH15" s="519">
        <f>AH$13*'Assumptions &amp; Inputs'!$J40</f>
        <v>0</v>
      </c>
      <c r="AI15" s="519">
        <f>AI$13*'Assumptions &amp; Inputs'!$J40</f>
        <v>0</v>
      </c>
      <c r="AJ15" s="519">
        <f>AJ$13*'Assumptions &amp; Inputs'!$J40</f>
        <v>0</v>
      </c>
      <c r="AK15" s="519">
        <f>AK$13*'Assumptions &amp; Inputs'!$J40</f>
        <v>0</v>
      </c>
      <c r="AL15" s="519">
        <f>AL$13*'Assumptions &amp; Inputs'!$J40</f>
        <v>0</v>
      </c>
      <c r="AM15" s="519">
        <f>AM$13*'Assumptions &amp; Inputs'!$J40</f>
        <v>0</v>
      </c>
      <c r="AN15" s="519">
        <f>AN$13*'Assumptions &amp; Inputs'!$J40</f>
        <v>0</v>
      </c>
      <c r="AO15" s="519">
        <f>AO$13*'Assumptions &amp; Inputs'!$J40</f>
        <v>0</v>
      </c>
      <c r="AP15" s="519">
        <f>AP$13*'Assumptions &amp; Inputs'!$J40</f>
        <v>0</v>
      </c>
      <c r="AQ15" s="519">
        <f>AQ$13*'Assumptions &amp; Inputs'!$J40</f>
        <v>0</v>
      </c>
      <c r="AR15" s="519">
        <f>AR$13*'Assumptions &amp; Inputs'!$J40</f>
        <v>0</v>
      </c>
      <c r="AS15" s="519">
        <f>AS$13*'Assumptions &amp; Inputs'!$J40</f>
        <v>0</v>
      </c>
      <c r="AT15" s="519">
        <f>AT$13*'Assumptions &amp; Inputs'!$J40</f>
        <v>0</v>
      </c>
      <c r="AU15" s="519">
        <f>AU$13*'Assumptions &amp; Inputs'!$J40</f>
        <v>0</v>
      </c>
      <c r="AV15" s="519">
        <f>AV$13*'Assumptions &amp; Inputs'!$J40</f>
        <v>0</v>
      </c>
      <c r="AW15" s="520">
        <f>AW$13*'Assumptions &amp; Inputs'!$J40</f>
        <v>0</v>
      </c>
    </row>
    <row r="16" spans="1:49" ht="14.25" customHeight="1">
      <c r="A16" s="1"/>
      <c r="B16" s="84"/>
      <c r="C16" s="94" t="s">
        <v>221</v>
      </c>
      <c r="D16" s="519">
        <f>D$13*'Assumptions &amp; Inputs'!$J41</f>
        <v>-1.03125</v>
      </c>
      <c r="E16" s="519">
        <f>E$13*'Assumptions &amp; Inputs'!$J41</f>
        <v>-9.375E-2</v>
      </c>
      <c r="F16" s="519">
        <f>F$13*'Assumptions &amp; Inputs'!$J41</f>
        <v>0</v>
      </c>
      <c r="G16" s="519">
        <f>G$13*'Assumptions &amp; Inputs'!$J41</f>
        <v>0</v>
      </c>
      <c r="H16" s="519">
        <f>H$13*'Assumptions &amp; Inputs'!$J41</f>
        <v>0</v>
      </c>
      <c r="I16" s="519">
        <f>I$13*'Assumptions &amp; Inputs'!$J41</f>
        <v>0</v>
      </c>
      <c r="J16" s="519">
        <f>J$13*'Assumptions &amp; Inputs'!$J41</f>
        <v>0</v>
      </c>
      <c r="K16" s="519">
        <f>K$13*'Assumptions &amp; Inputs'!$J41</f>
        <v>0</v>
      </c>
      <c r="L16" s="519">
        <f>L$13*'Assumptions &amp; Inputs'!$J41</f>
        <v>0</v>
      </c>
      <c r="M16" s="519">
        <f>M$13*'Assumptions &amp; Inputs'!$J41</f>
        <v>0</v>
      </c>
      <c r="N16" s="519">
        <f>N$13*'Assumptions &amp; Inputs'!$J41</f>
        <v>0</v>
      </c>
      <c r="O16" s="519">
        <f>O$13*'Assumptions &amp; Inputs'!$J41</f>
        <v>0</v>
      </c>
      <c r="P16" s="519">
        <f>P$13*'Assumptions &amp; Inputs'!$J41</f>
        <v>0</v>
      </c>
      <c r="Q16" s="519">
        <f>Q$13*'Assumptions &amp; Inputs'!$J41</f>
        <v>0</v>
      </c>
      <c r="R16" s="519">
        <f>R$13*'Assumptions &amp; Inputs'!$J41</f>
        <v>0</v>
      </c>
      <c r="S16" s="519">
        <f>S$13*'Assumptions &amp; Inputs'!$J41</f>
        <v>0</v>
      </c>
      <c r="T16" s="519">
        <f>T$13*'Assumptions &amp; Inputs'!$J41</f>
        <v>0</v>
      </c>
      <c r="U16" s="519">
        <f>U$13*'Assumptions &amp; Inputs'!$J41</f>
        <v>0</v>
      </c>
      <c r="V16" s="519">
        <f>V$13*'Assumptions &amp; Inputs'!$J41</f>
        <v>0</v>
      </c>
      <c r="W16" s="519">
        <f>W$13*'Assumptions &amp; Inputs'!$J41</f>
        <v>0</v>
      </c>
      <c r="X16" s="519">
        <f>X$13*'Assumptions &amp; Inputs'!$J41</f>
        <v>0</v>
      </c>
      <c r="Y16" s="519">
        <f>Y$13*'Assumptions &amp; Inputs'!$J41</f>
        <v>0</v>
      </c>
      <c r="Z16" s="519">
        <f>Z$13*'Assumptions &amp; Inputs'!$J41</f>
        <v>0</v>
      </c>
      <c r="AA16" s="519">
        <f>AA$13*'Assumptions &amp; Inputs'!$J41</f>
        <v>0</v>
      </c>
      <c r="AB16" s="519">
        <f>AB$13*'Assumptions &amp; Inputs'!$J41</f>
        <v>0</v>
      </c>
      <c r="AC16" s="519">
        <f>AC$13*'Assumptions &amp; Inputs'!$J41</f>
        <v>0</v>
      </c>
      <c r="AD16" s="519">
        <f>AD$13*'Assumptions &amp; Inputs'!$J41</f>
        <v>0</v>
      </c>
      <c r="AE16" s="519">
        <f>AE$13*'Assumptions &amp; Inputs'!$J41</f>
        <v>0</v>
      </c>
      <c r="AF16" s="519">
        <f>AF$13*'Assumptions &amp; Inputs'!$J41</f>
        <v>0</v>
      </c>
      <c r="AG16" s="519">
        <f>AG$13*'Assumptions &amp; Inputs'!$J41</f>
        <v>0</v>
      </c>
      <c r="AH16" s="519">
        <f>AH$13*'Assumptions &amp; Inputs'!$J41</f>
        <v>0</v>
      </c>
      <c r="AI16" s="519">
        <f>AI$13*'Assumptions &amp; Inputs'!$J41</f>
        <v>0</v>
      </c>
      <c r="AJ16" s="519">
        <f>AJ$13*'Assumptions &amp; Inputs'!$J41</f>
        <v>0</v>
      </c>
      <c r="AK16" s="519">
        <f>AK$13*'Assumptions &amp; Inputs'!$J41</f>
        <v>0</v>
      </c>
      <c r="AL16" s="519">
        <f>AL$13*'Assumptions &amp; Inputs'!$J41</f>
        <v>0</v>
      </c>
      <c r="AM16" s="519">
        <f>AM$13*'Assumptions &amp; Inputs'!$J41</f>
        <v>0</v>
      </c>
      <c r="AN16" s="519">
        <f>AN$13*'Assumptions &amp; Inputs'!$J41</f>
        <v>0</v>
      </c>
      <c r="AO16" s="519">
        <f>AO$13*'Assumptions &amp; Inputs'!$J41</f>
        <v>0</v>
      </c>
      <c r="AP16" s="519">
        <f>AP$13*'Assumptions &amp; Inputs'!$J41</f>
        <v>0</v>
      </c>
      <c r="AQ16" s="519">
        <f>AQ$13*'Assumptions &amp; Inputs'!$J41</f>
        <v>0</v>
      </c>
      <c r="AR16" s="519">
        <f>AR$13*'Assumptions &amp; Inputs'!$J41</f>
        <v>0</v>
      </c>
      <c r="AS16" s="519">
        <f>AS$13*'Assumptions &amp; Inputs'!$J41</f>
        <v>0</v>
      </c>
      <c r="AT16" s="519">
        <f>AT$13*'Assumptions &amp; Inputs'!$J41</f>
        <v>0</v>
      </c>
      <c r="AU16" s="519">
        <f>AU$13*'Assumptions &amp; Inputs'!$J41</f>
        <v>0</v>
      </c>
      <c r="AV16" s="519">
        <f>AV$13*'Assumptions &amp; Inputs'!$J41</f>
        <v>0</v>
      </c>
      <c r="AW16" s="520">
        <f>AW$13*'Assumptions &amp; Inputs'!$J41</f>
        <v>0</v>
      </c>
    </row>
    <row r="17" spans="1:49" ht="14.25" customHeight="1">
      <c r="A17" s="1"/>
      <c r="B17" s="84"/>
      <c r="C17" s="94" t="s">
        <v>222</v>
      </c>
      <c r="D17" s="519">
        <f>D$13*'Assumptions &amp; Inputs'!$J42</f>
        <v>-8.25</v>
      </c>
      <c r="E17" s="519">
        <f>E$13*'Assumptions &amp; Inputs'!$J42</f>
        <v>-0.75</v>
      </c>
      <c r="F17" s="519">
        <f>F$13*'Assumptions &amp; Inputs'!$J42</f>
        <v>0</v>
      </c>
      <c r="G17" s="519">
        <f>G$13*'Assumptions &amp; Inputs'!$J42</f>
        <v>0</v>
      </c>
      <c r="H17" s="519">
        <f>H$13*'Assumptions &amp; Inputs'!$J42</f>
        <v>0</v>
      </c>
      <c r="I17" s="519">
        <f>I$13*'Assumptions &amp; Inputs'!$J42</f>
        <v>0</v>
      </c>
      <c r="J17" s="519">
        <f>J$13*'Assumptions &amp; Inputs'!$J42</f>
        <v>0</v>
      </c>
      <c r="K17" s="519">
        <f>K$13*'Assumptions &amp; Inputs'!$J42</f>
        <v>0</v>
      </c>
      <c r="L17" s="519">
        <f>L$13*'Assumptions &amp; Inputs'!$J42</f>
        <v>0</v>
      </c>
      <c r="M17" s="519">
        <f>M$13*'Assumptions &amp; Inputs'!$J42</f>
        <v>0</v>
      </c>
      <c r="N17" s="519">
        <f>N$13*'Assumptions &amp; Inputs'!$J42</f>
        <v>0</v>
      </c>
      <c r="O17" s="519">
        <f>O$13*'Assumptions &amp; Inputs'!$J42</f>
        <v>0</v>
      </c>
      <c r="P17" s="519">
        <f>P$13*'Assumptions &amp; Inputs'!$J42</f>
        <v>0</v>
      </c>
      <c r="Q17" s="519">
        <f>Q$13*'Assumptions &amp; Inputs'!$J42</f>
        <v>0</v>
      </c>
      <c r="R17" s="519">
        <f>R$13*'Assumptions &amp; Inputs'!$J42</f>
        <v>0</v>
      </c>
      <c r="S17" s="519">
        <f>S$13*'Assumptions &amp; Inputs'!$J42</f>
        <v>0</v>
      </c>
      <c r="T17" s="519">
        <f>T$13*'Assumptions &amp; Inputs'!$J42</f>
        <v>0</v>
      </c>
      <c r="U17" s="519">
        <f>U$13*'Assumptions &amp; Inputs'!$J42</f>
        <v>0</v>
      </c>
      <c r="V17" s="519">
        <f>V$13*'Assumptions &amp; Inputs'!$J42</f>
        <v>0</v>
      </c>
      <c r="W17" s="519">
        <f>W$13*'Assumptions &amp; Inputs'!$J42</f>
        <v>0</v>
      </c>
      <c r="X17" s="519">
        <f>X$13*'Assumptions &amp; Inputs'!$J42</f>
        <v>0</v>
      </c>
      <c r="Y17" s="519">
        <f>Y$13*'Assumptions &amp; Inputs'!$J42</f>
        <v>0</v>
      </c>
      <c r="Z17" s="519">
        <f>Z$13*'Assumptions &amp; Inputs'!$J42</f>
        <v>0</v>
      </c>
      <c r="AA17" s="519">
        <f>AA$13*'Assumptions &amp; Inputs'!$J42</f>
        <v>0</v>
      </c>
      <c r="AB17" s="519">
        <f>AB$13*'Assumptions &amp; Inputs'!$J42</f>
        <v>0</v>
      </c>
      <c r="AC17" s="519">
        <f>AC$13*'Assumptions &amp; Inputs'!$J42</f>
        <v>0</v>
      </c>
      <c r="AD17" s="519">
        <f>AD$13*'Assumptions &amp; Inputs'!$J42</f>
        <v>0</v>
      </c>
      <c r="AE17" s="519">
        <f>AE$13*'Assumptions &amp; Inputs'!$J42</f>
        <v>0</v>
      </c>
      <c r="AF17" s="519">
        <f>AF$13*'Assumptions &amp; Inputs'!$J42</f>
        <v>0</v>
      </c>
      <c r="AG17" s="519">
        <f>AG$13*'Assumptions &amp; Inputs'!$J42</f>
        <v>0</v>
      </c>
      <c r="AH17" s="519">
        <f>AH$13*'Assumptions &amp; Inputs'!$J42</f>
        <v>0</v>
      </c>
      <c r="AI17" s="519">
        <f>AI$13*'Assumptions &amp; Inputs'!$J42</f>
        <v>0</v>
      </c>
      <c r="AJ17" s="519">
        <f>AJ$13*'Assumptions &amp; Inputs'!$J42</f>
        <v>0</v>
      </c>
      <c r="AK17" s="519">
        <f>AK$13*'Assumptions &amp; Inputs'!$J42</f>
        <v>0</v>
      </c>
      <c r="AL17" s="519">
        <f>AL$13*'Assumptions &amp; Inputs'!$J42</f>
        <v>0</v>
      </c>
      <c r="AM17" s="519">
        <f>AM$13*'Assumptions &amp; Inputs'!$J42</f>
        <v>0</v>
      </c>
      <c r="AN17" s="519">
        <f>AN$13*'Assumptions &amp; Inputs'!$J42</f>
        <v>0</v>
      </c>
      <c r="AO17" s="519">
        <f>AO$13*'Assumptions &amp; Inputs'!$J42</f>
        <v>0</v>
      </c>
      <c r="AP17" s="519">
        <f>AP$13*'Assumptions &amp; Inputs'!$J42</f>
        <v>0</v>
      </c>
      <c r="AQ17" s="519">
        <f>AQ$13*'Assumptions &amp; Inputs'!$J42</f>
        <v>0</v>
      </c>
      <c r="AR17" s="519">
        <f>AR$13*'Assumptions &amp; Inputs'!$J42</f>
        <v>0</v>
      </c>
      <c r="AS17" s="519">
        <f>AS$13*'Assumptions &amp; Inputs'!$J42</f>
        <v>0</v>
      </c>
      <c r="AT17" s="519">
        <f>AT$13*'Assumptions &amp; Inputs'!$J42</f>
        <v>0</v>
      </c>
      <c r="AU17" s="519">
        <f>AU$13*'Assumptions &amp; Inputs'!$J42</f>
        <v>0</v>
      </c>
      <c r="AV17" s="519">
        <f>AV$13*'Assumptions &amp; Inputs'!$J42</f>
        <v>0</v>
      </c>
      <c r="AW17" s="520">
        <f>AW$13*'Assumptions &amp; Inputs'!$J42</f>
        <v>0</v>
      </c>
    </row>
    <row r="18" spans="1:49" ht="14.25" customHeight="1">
      <c r="A18" s="1"/>
      <c r="B18" s="84"/>
      <c r="C18" s="94" t="s">
        <v>223</v>
      </c>
      <c r="D18" s="519">
        <f>D$13*'Assumptions &amp; Inputs'!$J43</f>
        <v>-10.3125</v>
      </c>
      <c r="E18" s="519">
        <f>E$13*'Assumptions &amp; Inputs'!$J43</f>
        <v>-0.9375</v>
      </c>
      <c r="F18" s="519">
        <f>F$13*'Assumptions &amp; Inputs'!$J43</f>
        <v>0</v>
      </c>
      <c r="G18" s="519">
        <f>G$13*'Assumptions &amp; Inputs'!$J43</f>
        <v>0</v>
      </c>
      <c r="H18" s="519">
        <f>H$13*'Assumptions &amp; Inputs'!$J43</f>
        <v>0</v>
      </c>
      <c r="I18" s="519">
        <f>I$13*'Assumptions &amp; Inputs'!$J43</f>
        <v>0</v>
      </c>
      <c r="J18" s="519">
        <f>J$13*'Assumptions &amp; Inputs'!$J43</f>
        <v>0</v>
      </c>
      <c r="K18" s="519">
        <f>K$13*'Assumptions &amp; Inputs'!$J43</f>
        <v>0</v>
      </c>
      <c r="L18" s="519">
        <f>L$13*'Assumptions &amp; Inputs'!$J43</f>
        <v>0</v>
      </c>
      <c r="M18" s="519">
        <f>M$13*'Assumptions &amp; Inputs'!$J43</f>
        <v>0</v>
      </c>
      <c r="N18" s="519">
        <f>N$13*'Assumptions &amp; Inputs'!$J43</f>
        <v>0</v>
      </c>
      <c r="O18" s="519">
        <f>O$13*'Assumptions &amp; Inputs'!$J43</f>
        <v>0</v>
      </c>
      <c r="P18" s="519">
        <f>P$13*'Assumptions &amp; Inputs'!$J43</f>
        <v>0</v>
      </c>
      <c r="Q18" s="519">
        <f>Q$13*'Assumptions &amp; Inputs'!$J43</f>
        <v>0</v>
      </c>
      <c r="R18" s="519">
        <f>R$13*'Assumptions &amp; Inputs'!$J43</f>
        <v>0</v>
      </c>
      <c r="S18" s="519">
        <f>S$13*'Assumptions &amp; Inputs'!$J43</f>
        <v>0</v>
      </c>
      <c r="T18" s="519">
        <f>T$13*'Assumptions &amp; Inputs'!$J43</f>
        <v>0</v>
      </c>
      <c r="U18" s="519">
        <f>U$13*'Assumptions &amp; Inputs'!$J43</f>
        <v>0</v>
      </c>
      <c r="V18" s="519">
        <f>V$13*'Assumptions &amp; Inputs'!$J43</f>
        <v>0</v>
      </c>
      <c r="W18" s="519">
        <f>W$13*'Assumptions &amp; Inputs'!$J43</f>
        <v>0</v>
      </c>
      <c r="X18" s="519">
        <f>X$13*'Assumptions &amp; Inputs'!$J43</f>
        <v>0</v>
      </c>
      <c r="Y18" s="519">
        <f>Y$13*'Assumptions &amp; Inputs'!$J43</f>
        <v>0</v>
      </c>
      <c r="Z18" s="519">
        <f>Z$13*'Assumptions &amp; Inputs'!$J43</f>
        <v>0</v>
      </c>
      <c r="AA18" s="519">
        <f>AA$13*'Assumptions &amp; Inputs'!$J43</f>
        <v>0</v>
      </c>
      <c r="AB18" s="519">
        <f>AB$13*'Assumptions &amp; Inputs'!$J43</f>
        <v>0</v>
      </c>
      <c r="AC18" s="519">
        <f>AC$13*'Assumptions &amp; Inputs'!$J43</f>
        <v>0</v>
      </c>
      <c r="AD18" s="519">
        <f>AD$13*'Assumptions &amp; Inputs'!$J43</f>
        <v>0</v>
      </c>
      <c r="AE18" s="519">
        <f>AE$13*'Assumptions &amp; Inputs'!$J43</f>
        <v>0</v>
      </c>
      <c r="AF18" s="519">
        <f>AF$13*'Assumptions &amp; Inputs'!$J43</f>
        <v>0</v>
      </c>
      <c r="AG18" s="519">
        <f>AG$13*'Assumptions &amp; Inputs'!$J43</f>
        <v>0</v>
      </c>
      <c r="AH18" s="519">
        <f>AH$13*'Assumptions &amp; Inputs'!$J43</f>
        <v>0</v>
      </c>
      <c r="AI18" s="519">
        <f>AI$13*'Assumptions &amp; Inputs'!$J43</f>
        <v>0</v>
      </c>
      <c r="AJ18" s="519">
        <f>AJ$13*'Assumptions &amp; Inputs'!$J43</f>
        <v>0</v>
      </c>
      <c r="AK18" s="519">
        <f>AK$13*'Assumptions &amp; Inputs'!$J43</f>
        <v>0</v>
      </c>
      <c r="AL18" s="519">
        <f>AL$13*'Assumptions &amp; Inputs'!$J43</f>
        <v>0</v>
      </c>
      <c r="AM18" s="519">
        <f>AM$13*'Assumptions &amp; Inputs'!$J43</f>
        <v>0</v>
      </c>
      <c r="AN18" s="519">
        <f>AN$13*'Assumptions &amp; Inputs'!$J43</f>
        <v>0</v>
      </c>
      <c r="AO18" s="519">
        <f>AO$13*'Assumptions &amp; Inputs'!$J43</f>
        <v>0</v>
      </c>
      <c r="AP18" s="519">
        <f>AP$13*'Assumptions &amp; Inputs'!$J43</f>
        <v>0</v>
      </c>
      <c r="AQ18" s="519">
        <f>AQ$13*'Assumptions &amp; Inputs'!$J43</f>
        <v>0</v>
      </c>
      <c r="AR18" s="519">
        <f>AR$13*'Assumptions &amp; Inputs'!$J43</f>
        <v>0</v>
      </c>
      <c r="AS18" s="519">
        <f>AS$13*'Assumptions &amp; Inputs'!$J43</f>
        <v>0</v>
      </c>
      <c r="AT18" s="519">
        <f>AT$13*'Assumptions &amp; Inputs'!$J43</f>
        <v>0</v>
      </c>
      <c r="AU18" s="519">
        <f>AU$13*'Assumptions &amp; Inputs'!$J43</f>
        <v>0</v>
      </c>
      <c r="AV18" s="519">
        <f>AV$13*'Assumptions &amp; Inputs'!$J43</f>
        <v>0</v>
      </c>
      <c r="AW18" s="520">
        <f>AW$13*'Assumptions &amp; Inputs'!$J43</f>
        <v>0</v>
      </c>
    </row>
    <row r="19" spans="1:49" ht="14.25" customHeight="1">
      <c r="A19" s="1"/>
      <c r="B19" s="84"/>
      <c r="C19" s="94" t="s">
        <v>224</v>
      </c>
      <c r="D19" s="519">
        <f>D$13*'Assumptions &amp; Inputs'!$J44</f>
        <v>-15.46875</v>
      </c>
      <c r="E19" s="519">
        <f>E$13*'Assumptions &amp; Inputs'!$J44</f>
        <v>-1.40625</v>
      </c>
      <c r="F19" s="519">
        <f>F$13*'Assumptions &amp; Inputs'!$J44</f>
        <v>0</v>
      </c>
      <c r="G19" s="519">
        <f>G$13*'Assumptions &amp; Inputs'!$J44</f>
        <v>0</v>
      </c>
      <c r="H19" s="519">
        <f>H$13*'Assumptions &amp; Inputs'!$J44</f>
        <v>0</v>
      </c>
      <c r="I19" s="519">
        <f>I$13*'Assumptions &amp; Inputs'!$J44</f>
        <v>0</v>
      </c>
      <c r="J19" s="519">
        <f>J$13*'Assumptions &amp; Inputs'!$J44</f>
        <v>0</v>
      </c>
      <c r="K19" s="519">
        <f>K$13*'Assumptions &amp; Inputs'!$J44</f>
        <v>0</v>
      </c>
      <c r="L19" s="519">
        <f>L$13*'Assumptions &amp; Inputs'!$J44</f>
        <v>0</v>
      </c>
      <c r="M19" s="519">
        <f>M$13*'Assumptions &amp; Inputs'!$J44</f>
        <v>0</v>
      </c>
      <c r="N19" s="519">
        <f>N$13*'Assumptions &amp; Inputs'!$J44</f>
        <v>0</v>
      </c>
      <c r="O19" s="519">
        <f>O$13*'Assumptions &amp; Inputs'!$J44</f>
        <v>0</v>
      </c>
      <c r="P19" s="519">
        <f>P$13*'Assumptions &amp; Inputs'!$J44</f>
        <v>0</v>
      </c>
      <c r="Q19" s="519">
        <f>Q$13*'Assumptions &amp; Inputs'!$J44</f>
        <v>0</v>
      </c>
      <c r="R19" s="519">
        <f>R$13*'Assumptions &amp; Inputs'!$J44</f>
        <v>0</v>
      </c>
      <c r="S19" s="519">
        <f>S$13*'Assumptions &amp; Inputs'!$J44</f>
        <v>0</v>
      </c>
      <c r="T19" s="519">
        <f>T$13*'Assumptions &amp; Inputs'!$J44</f>
        <v>0</v>
      </c>
      <c r="U19" s="519">
        <f>U$13*'Assumptions &amp; Inputs'!$J44</f>
        <v>0</v>
      </c>
      <c r="V19" s="519">
        <f>V$13*'Assumptions &amp; Inputs'!$J44</f>
        <v>0</v>
      </c>
      <c r="W19" s="519">
        <f>W$13*'Assumptions &amp; Inputs'!$J44</f>
        <v>0</v>
      </c>
      <c r="X19" s="519">
        <f>X$13*'Assumptions &amp; Inputs'!$J44</f>
        <v>0</v>
      </c>
      <c r="Y19" s="519">
        <f>Y$13*'Assumptions &amp; Inputs'!$J44</f>
        <v>0</v>
      </c>
      <c r="Z19" s="519">
        <f>Z$13*'Assumptions &amp; Inputs'!$J44</f>
        <v>0</v>
      </c>
      <c r="AA19" s="519">
        <f>AA$13*'Assumptions &amp; Inputs'!$J44</f>
        <v>0</v>
      </c>
      <c r="AB19" s="519">
        <f>AB$13*'Assumptions &amp; Inputs'!$J44</f>
        <v>0</v>
      </c>
      <c r="AC19" s="519">
        <f>AC$13*'Assumptions &amp; Inputs'!$J44</f>
        <v>0</v>
      </c>
      <c r="AD19" s="519">
        <f>AD$13*'Assumptions &amp; Inputs'!$J44</f>
        <v>0</v>
      </c>
      <c r="AE19" s="519">
        <f>AE$13*'Assumptions &amp; Inputs'!$J44</f>
        <v>0</v>
      </c>
      <c r="AF19" s="519">
        <f>AF$13*'Assumptions &amp; Inputs'!$J44</f>
        <v>0</v>
      </c>
      <c r="AG19" s="519">
        <f>AG$13*'Assumptions &amp; Inputs'!$J44</f>
        <v>0</v>
      </c>
      <c r="AH19" s="519">
        <f>AH$13*'Assumptions &amp; Inputs'!$J44</f>
        <v>0</v>
      </c>
      <c r="AI19" s="519">
        <f>AI$13*'Assumptions &amp; Inputs'!$J44</f>
        <v>0</v>
      </c>
      <c r="AJ19" s="519">
        <f>AJ$13*'Assumptions &amp; Inputs'!$J44</f>
        <v>0</v>
      </c>
      <c r="AK19" s="519">
        <f>AK$13*'Assumptions &amp; Inputs'!$J44</f>
        <v>0</v>
      </c>
      <c r="AL19" s="519">
        <f>AL$13*'Assumptions &amp; Inputs'!$J44</f>
        <v>0</v>
      </c>
      <c r="AM19" s="519">
        <f>AM$13*'Assumptions &amp; Inputs'!$J44</f>
        <v>0</v>
      </c>
      <c r="AN19" s="519">
        <f>AN$13*'Assumptions &amp; Inputs'!$J44</f>
        <v>0</v>
      </c>
      <c r="AO19" s="519">
        <f>AO$13*'Assumptions &amp; Inputs'!$J44</f>
        <v>0</v>
      </c>
      <c r="AP19" s="519">
        <f>AP$13*'Assumptions &amp; Inputs'!$J44</f>
        <v>0</v>
      </c>
      <c r="AQ19" s="519">
        <f>AQ$13*'Assumptions &amp; Inputs'!$J44</f>
        <v>0</v>
      </c>
      <c r="AR19" s="519">
        <f>AR$13*'Assumptions &amp; Inputs'!$J44</f>
        <v>0</v>
      </c>
      <c r="AS19" s="519">
        <f>AS$13*'Assumptions &amp; Inputs'!$J44</f>
        <v>0</v>
      </c>
      <c r="AT19" s="519">
        <f>AT$13*'Assumptions &amp; Inputs'!$J44</f>
        <v>0</v>
      </c>
      <c r="AU19" s="519">
        <f>AU$13*'Assumptions &amp; Inputs'!$J44</f>
        <v>0</v>
      </c>
      <c r="AV19" s="519">
        <f>AV$13*'Assumptions &amp; Inputs'!$J44</f>
        <v>0</v>
      </c>
      <c r="AW19" s="520">
        <f>AW$13*'Assumptions &amp; Inputs'!$J44</f>
        <v>0</v>
      </c>
    </row>
    <row r="20" spans="1:49" ht="14.25" customHeight="1">
      <c r="A20" s="1"/>
      <c r="B20" s="84"/>
      <c r="C20" s="94" t="s">
        <v>225</v>
      </c>
      <c r="D20" s="519">
        <f>D$13*'Assumptions &amp; Inputs'!$J45</f>
        <v>-20.625</v>
      </c>
      <c r="E20" s="519">
        <f>E$13*'Assumptions &amp; Inputs'!$J45</f>
        <v>-1.875</v>
      </c>
      <c r="F20" s="519">
        <f>F$13*'Assumptions &amp; Inputs'!$J45</f>
        <v>0</v>
      </c>
      <c r="G20" s="519">
        <f>G$13*'Assumptions &amp; Inputs'!$J45</f>
        <v>0</v>
      </c>
      <c r="H20" s="519">
        <f>H$13*'Assumptions &amp; Inputs'!$J45</f>
        <v>0</v>
      </c>
      <c r="I20" s="519">
        <f>I$13*'Assumptions &amp; Inputs'!$J45</f>
        <v>0</v>
      </c>
      <c r="J20" s="519">
        <f>J$13*'Assumptions &amp; Inputs'!$J45</f>
        <v>0</v>
      </c>
      <c r="K20" s="519">
        <f>K$13*'Assumptions &amp; Inputs'!$J45</f>
        <v>0</v>
      </c>
      <c r="L20" s="519">
        <f>L$13*'Assumptions &amp; Inputs'!$J45</f>
        <v>0</v>
      </c>
      <c r="M20" s="519">
        <f>M$13*'Assumptions &amp; Inputs'!$J45</f>
        <v>0</v>
      </c>
      <c r="N20" s="519">
        <f>N$13*'Assumptions &amp; Inputs'!$J45</f>
        <v>0</v>
      </c>
      <c r="O20" s="519">
        <f>O$13*'Assumptions &amp; Inputs'!$J45</f>
        <v>0</v>
      </c>
      <c r="P20" s="519">
        <f>P$13*'Assumptions &amp; Inputs'!$J45</f>
        <v>0</v>
      </c>
      <c r="Q20" s="519">
        <f>Q$13*'Assumptions &amp; Inputs'!$J45</f>
        <v>0</v>
      </c>
      <c r="R20" s="519">
        <f>R$13*'Assumptions &amp; Inputs'!$J45</f>
        <v>0</v>
      </c>
      <c r="S20" s="519">
        <f>S$13*'Assumptions &amp; Inputs'!$J45</f>
        <v>0</v>
      </c>
      <c r="T20" s="519">
        <f>T$13*'Assumptions &amp; Inputs'!$J45</f>
        <v>0</v>
      </c>
      <c r="U20" s="519">
        <f>U$13*'Assumptions &amp; Inputs'!$J45</f>
        <v>0</v>
      </c>
      <c r="V20" s="519">
        <f>V$13*'Assumptions &amp; Inputs'!$J45</f>
        <v>0</v>
      </c>
      <c r="W20" s="519">
        <f>W$13*'Assumptions &amp; Inputs'!$J45</f>
        <v>0</v>
      </c>
      <c r="X20" s="519">
        <f>X$13*'Assumptions &amp; Inputs'!$J45</f>
        <v>0</v>
      </c>
      <c r="Y20" s="519">
        <f>Y$13*'Assumptions &amp; Inputs'!$J45</f>
        <v>0</v>
      </c>
      <c r="Z20" s="519">
        <f>Z$13*'Assumptions &amp; Inputs'!$J45</f>
        <v>0</v>
      </c>
      <c r="AA20" s="519">
        <f>AA$13*'Assumptions &amp; Inputs'!$J45</f>
        <v>0</v>
      </c>
      <c r="AB20" s="519">
        <f>AB$13*'Assumptions &amp; Inputs'!$J45</f>
        <v>0</v>
      </c>
      <c r="AC20" s="519">
        <f>AC$13*'Assumptions &amp; Inputs'!$J45</f>
        <v>0</v>
      </c>
      <c r="AD20" s="519">
        <f>AD$13*'Assumptions &amp; Inputs'!$J45</f>
        <v>0</v>
      </c>
      <c r="AE20" s="519">
        <f>AE$13*'Assumptions &amp; Inputs'!$J45</f>
        <v>0</v>
      </c>
      <c r="AF20" s="519">
        <f>AF$13*'Assumptions &amp; Inputs'!$J45</f>
        <v>0</v>
      </c>
      <c r="AG20" s="519">
        <f>AG$13*'Assumptions &amp; Inputs'!$J45</f>
        <v>0</v>
      </c>
      <c r="AH20" s="519">
        <f>AH$13*'Assumptions &amp; Inputs'!$J45</f>
        <v>0</v>
      </c>
      <c r="AI20" s="519">
        <f>AI$13*'Assumptions &amp; Inputs'!$J45</f>
        <v>0</v>
      </c>
      <c r="AJ20" s="519">
        <f>AJ$13*'Assumptions &amp; Inputs'!$J45</f>
        <v>0</v>
      </c>
      <c r="AK20" s="519">
        <f>AK$13*'Assumptions &amp; Inputs'!$J45</f>
        <v>0</v>
      </c>
      <c r="AL20" s="519">
        <f>AL$13*'Assumptions &amp; Inputs'!$J45</f>
        <v>0</v>
      </c>
      <c r="AM20" s="519">
        <f>AM$13*'Assumptions &amp; Inputs'!$J45</f>
        <v>0</v>
      </c>
      <c r="AN20" s="519">
        <f>AN$13*'Assumptions &amp; Inputs'!$J45</f>
        <v>0</v>
      </c>
      <c r="AO20" s="519">
        <f>AO$13*'Assumptions &amp; Inputs'!$J45</f>
        <v>0</v>
      </c>
      <c r="AP20" s="519">
        <f>AP$13*'Assumptions &amp; Inputs'!$J45</f>
        <v>0</v>
      </c>
      <c r="AQ20" s="519">
        <f>AQ$13*'Assumptions &amp; Inputs'!$J45</f>
        <v>0</v>
      </c>
      <c r="AR20" s="519">
        <f>AR$13*'Assumptions &amp; Inputs'!$J45</f>
        <v>0</v>
      </c>
      <c r="AS20" s="519">
        <f>AS$13*'Assumptions &amp; Inputs'!$J45</f>
        <v>0</v>
      </c>
      <c r="AT20" s="519">
        <f>AT$13*'Assumptions &amp; Inputs'!$J45</f>
        <v>0</v>
      </c>
      <c r="AU20" s="519">
        <f>AU$13*'Assumptions &amp; Inputs'!$J45</f>
        <v>0</v>
      </c>
      <c r="AV20" s="519">
        <f>AV$13*'Assumptions &amp; Inputs'!$J45</f>
        <v>0</v>
      </c>
      <c r="AW20" s="520">
        <f>AW$13*'Assumptions &amp; Inputs'!$J45</f>
        <v>0</v>
      </c>
    </row>
    <row r="21" spans="1:49" ht="14.25" customHeight="1">
      <c r="A21" s="4"/>
      <c r="B21" s="221"/>
      <c r="C21" s="94" t="s">
        <v>226</v>
      </c>
      <c r="D21" s="519">
        <f>D$13*'Assumptions &amp; Inputs'!$J46</f>
        <v>-20.625</v>
      </c>
      <c r="E21" s="519">
        <f>E$13*'Assumptions &amp; Inputs'!$J46</f>
        <v>-1.875</v>
      </c>
      <c r="F21" s="519">
        <f>F$13*'Assumptions &amp; Inputs'!$J46</f>
        <v>0</v>
      </c>
      <c r="G21" s="519">
        <f>G$13*'Assumptions &amp; Inputs'!$J46</f>
        <v>0</v>
      </c>
      <c r="H21" s="519">
        <f>H$13*'Assumptions &amp; Inputs'!$J46</f>
        <v>0</v>
      </c>
      <c r="I21" s="519">
        <f>I$13*'Assumptions &amp; Inputs'!$J46</f>
        <v>0</v>
      </c>
      <c r="J21" s="519">
        <f>J$13*'Assumptions &amp; Inputs'!$J46</f>
        <v>0</v>
      </c>
      <c r="K21" s="519">
        <f>K$13*'Assumptions &amp; Inputs'!$J46</f>
        <v>0</v>
      </c>
      <c r="L21" s="519">
        <f>L$13*'Assumptions &amp; Inputs'!$J46</f>
        <v>0</v>
      </c>
      <c r="M21" s="519">
        <f>M$13*'Assumptions &amp; Inputs'!$J46</f>
        <v>0</v>
      </c>
      <c r="N21" s="519">
        <f>N$13*'Assumptions &amp; Inputs'!$J46</f>
        <v>0</v>
      </c>
      <c r="O21" s="519">
        <f>O$13*'Assumptions &amp; Inputs'!$J46</f>
        <v>0</v>
      </c>
      <c r="P21" s="519">
        <f>P$13*'Assumptions &amp; Inputs'!$J46</f>
        <v>0</v>
      </c>
      <c r="Q21" s="519">
        <f>Q$13*'Assumptions &amp; Inputs'!$J46</f>
        <v>0</v>
      </c>
      <c r="R21" s="519">
        <f>R$13*'Assumptions &amp; Inputs'!$J46</f>
        <v>0</v>
      </c>
      <c r="S21" s="519">
        <f>S$13*'Assumptions &amp; Inputs'!$J46</f>
        <v>0</v>
      </c>
      <c r="T21" s="519">
        <f>T$13*'Assumptions &amp; Inputs'!$J46</f>
        <v>0</v>
      </c>
      <c r="U21" s="519">
        <f>U$13*'Assumptions &amp; Inputs'!$J46</f>
        <v>0</v>
      </c>
      <c r="V21" s="519">
        <f>V$13*'Assumptions &amp; Inputs'!$J46</f>
        <v>0</v>
      </c>
      <c r="W21" s="519">
        <f>W$13*'Assumptions &amp; Inputs'!$J46</f>
        <v>0</v>
      </c>
      <c r="X21" s="519">
        <f>X$13*'Assumptions &amp; Inputs'!$J46</f>
        <v>0</v>
      </c>
      <c r="Y21" s="519">
        <f>Y$13*'Assumptions &amp; Inputs'!$J46</f>
        <v>0</v>
      </c>
      <c r="Z21" s="519">
        <f>Z$13*'Assumptions &amp; Inputs'!$J46</f>
        <v>0</v>
      </c>
      <c r="AA21" s="519">
        <f>AA$13*'Assumptions &amp; Inputs'!$J46</f>
        <v>0</v>
      </c>
      <c r="AB21" s="519">
        <f>AB$13*'Assumptions &amp; Inputs'!$J46</f>
        <v>0</v>
      </c>
      <c r="AC21" s="519">
        <f>AC$13*'Assumptions &amp; Inputs'!$J46</f>
        <v>0</v>
      </c>
      <c r="AD21" s="519">
        <f>AD$13*'Assumptions &amp; Inputs'!$J46</f>
        <v>0</v>
      </c>
      <c r="AE21" s="519">
        <f>AE$13*'Assumptions &amp; Inputs'!$J46</f>
        <v>0</v>
      </c>
      <c r="AF21" s="519">
        <f>AF$13*'Assumptions &amp; Inputs'!$J46</f>
        <v>0</v>
      </c>
      <c r="AG21" s="519">
        <f>AG$13*'Assumptions &amp; Inputs'!$J46</f>
        <v>0</v>
      </c>
      <c r="AH21" s="519">
        <f>AH$13*'Assumptions &amp; Inputs'!$J46</f>
        <v>0</v>
      </c>
      <c r="AI21" s="519">
        <f>AI$13*'Assumptions &amp; Inputs'!$J46</f>
        <v>0</v>
      </c>
      <c r="AJ21" s="519">
        <f>AJ$13*'Assumptions &amp; Inputs'!$J46</f>
        <v>0</v>
      </c>
      <c r="AK21" s="519">
        <f>AK$13*'Assumptions &amp; Inputs'!$J46</f>
        <v>0</v>
      </c>
      <c r="AL21" s="519">
        <f>AL$13*'Assumptions &amp; Inputs'!$J46</f>
        <v>0</v>
      </c>
      <c r="AM21" s="519">
        <f>AM$13*'Assumptions &amp; Inputs'!$J46</f>
        <v>0</v>
      </c>
      <c r="AN21" s="519">
        <f>AN$13*'Assumptions &amp; Inputs'!$J46</f>
        <v>0</v>
      </c>
      <c r="AO21" s="519">
        <f>AO$13*'Assumptions &amp; Inputs'!$J46</f>
        <v>0</v>
      </c>
      <c r="AP21" s="519">
        <f>AP$13*'Assumptions &amp; Inputs'!$J46</f>
        <v>0</v>
      </c>
      <c r="AQ21" s="519">
        <f>AQ$13*'Assumptions &amp; Inputs'!$J46</f>
        <v>0</v>
      </c>
      <c r="AR21" s="519">
        <f>AR$13*'Assumptions &amp; Inputs'!$J46</f>
        <v>0</v>
      </c>
      <c r="AS21" s="519">
        <f>AS$13*'Assumptions &amp; Inputs'!$J46</f>
        <v>0</v>
      </c>
      <c r="AT21" s="519">
        <f>AT$13*'Assumptions &amp; Inputs'!$J46</f>
        <v>0</v>
      </c>
      <c r="AU21" s="519">
        <f>AU$13*'Assumptions &amp; Inputs'!$J46</f>
        <v>0</v>
      </c>
      <c r="AV21" s="519">
        <f>AV$13*'Assumptions &amp; Inputs'!$J46</f>
        <v>0</v>
      </c>
      <c r="AW21" s="520">
        <f>AW$13*'Assumptions &amp; Inputs'!$J46</f>
        <v>0</v>
      </c>
    </row>
    <row r="22" spans="1:49" ht="14.25" customHeight="1">
      <c r="A22" s="1"/>
      <c r="B22" s="84"/>
      <c r="C22" s="94" t="s">
        <v>227</v>
      </c>
      <c r="D22" s="519">
        <f>D$13*'Assumptions &amp; Inputs'!$J47</f>
        <v>-6.1875</v>
      </c>
      <c r="E22" s="519">
        <f>E$13*'Assumptions &amp; Inputs'!$J47</f>
        <v>-0.5625</v>
      </c>
      <c r="F22" s="519">
        <f>F$13*'Assumptions &amp; Inputs'!$J47</f>
        <v>0</v>
      </c>
      <c r="G22" s="519">
        <f>G$13*'Assumptions &amp; Inputs'!$J47</f>
        <v>0</v>
      </c>
      <c r="H22" s="519">
        <f>H$13*'Assumptions &amp; Inputs'!$J47</f>
        <v>0</v>
      </c>
      <c r="I22" s="519">
        <f>I$13*'Assumptions &amp; Inputs'!$J47</f>
        <v>0</v>
      </c>
      <c r="J22" s="519">
        <f>J$13*'Assumptions &amp; Inputs'!$J47</f>
        <v>0</v>
      </c>
      <c r="K22" s="519">
        <f>K$13*'Assumptions &amp; Inputs'!$J47</f>
        <v>0</v>
      </c>
      <c r="L22" s="519">
        <f>L$13*'Assumptions &amp; Inputs'!$J47</f>
        <v>0</v>
      </c>
      <c r="M22" s="519">
        <f>M$13*'Assumptions &amp; Inputs'!$J47</f>
        <v>0</v>
      </c>
      <c r="N22" s="519">
        <f>N$13*'Assumptions &amp; Inputs'!$J47</f>
        <v>0</v>
      </c>
      <c r="O22" s="519">
        <f>O$13*'Assumptions &amp; Inputs'!$J47</f>
        <v>0</v>
      </c>
      <c r="P22" s="519">
        <f>P$13*'Assumptions &amp; Inputs'!$J47</f>
        <v>0</v>
      </c>
      <c r="Q22" s="519">
        <f>Q$13*'Assumptions &amp; Inputs'!$J47</f>
        <v>0</v>
      </c>
      <c r="R22" s="519">
        <f>R$13*'Assumptions &amp; Inputs'!$J47</f>
        <v>0</v>
      </c>
      <c r="S22" s="519">
        <f>S$13*'Assumptions &amp; Inputs'!$J47</f>
        <v>0</v>
      </c>
      <c r="T22" s="519">
        <f>T$13*'Assumptions &amp; Inputs'!$J47</f>
        <v>0</v>
      </c>
      <c r="U22" s="519">
        <f>U$13*'Assumptions &amp; Inputs'!$J47</f>
        <v>0</v>
      </c>
      <c r="V22" s="519">
        <f>V$13*'Assumptions &amp; Inputs'!$J47</f>
        <v>0</v>
      </c>
      <c r="W22" s="519">
        <f>W$13*'Assumptions &amp; Inputs'!$J47</f>
        <v>0</v>
      </c>
      <c r="X22" s="519">
        <f>X$13*'Assumptions &amp; Inputs'!$J47</f>
        <v>0</v>
      </c>
      <c r="Y22" s="519">
        <f>Y$13*'Assumptions &amp; Inputs'!$J47</f>
        <v>0</v>
      </c>
      <c r="Z22" s="519">
        <f>Z$13*'Assumptions &amp; Inputs'!$J47</f>
        <v>0</v>
      </c>
      <c r="AA22" s="519">
        <f>AA$13*'Assumptions &amp; Inputs'!$J47</f>
        <v>0</v>
      </c>
      <c r="AB22" s="519">
        <f>AB$13*'Assumptions &amp; Inputs'!$J47</f>
        <v>0</v>
      </c>
      <c r="AC22" s="519">
        <f>AC$13*'Assumptions &amp; Inputs'!$J47</f>
        <v>0</v>
      </c>
      <c r="AD22" s="519">
        <f>AD$13*'Assumptions &amp; Inputs'!$J47</f>
        <v>0</v>
      </c>
      <c r="AE22" s="519">
        <f>AE$13*'Assumptions &amp; Inputs'!$J47</f>
        <v>0</v>
      </c>
      <c r="AF22" s="519">
        <f>AF$13*'Assumptions &amp; Inputs'!$J47</f>
        <v>0</v>
      </c>
      <c r="AG22" s="519">
        <f>AG$13*'Assumptions &amp; Inputs'!$J47</f>
        <v>0</v>
      </c>
      <c r="AH22" s="519">
        <f>AH$13*'Assumptions &amp; Inputs'!$J47</f>
        <v>0</v>
      </c>
      <c r="AI22" s="519">
        <f>AI$13*'Assumptions &amp; Inputs'!$J47</f>
        <v>0</v>
      </c>
      <c r="AJ22" s="519">
        <f>AJ$13*'Assumptions &amp; Inputs'!$J47</f>
        <v>0</v>
      </c>
      <c r="AK22" s="519">
        <f>AK$13*'Assumptions &amp; Inputs'!$J47</f>
        <v>0</v>
      </c>
      <c r="AL22" s="519">
        <f>AL$13*'Assumptions &amp; Inputs'!$J47</f>
        <v>0</v>
      </c>
      <c r="AM22" s="519">
        <f>AM$13*'Assumptions &amp; Inputs'!$J47</f>
        <v>0</v>
      </c>
      <c r="AN22" s="519">
        <f>AN$13*'Assumptions &amp; Inputs'!$J47</f>
        <v>0</v>
      </c>
      <c r="AO22" s="519">
        <f>AO$13*'Assumptions &amp; Inputs'!$J47</f>
        <v>0</v>
      </c>
      <c r="AP22" s="519">
        <f>AP$13*'Assumptions &amp; Inputs'!$J47</f>
        <v>0</v>
      </c>
      <c r="AQ22" s="519">
        <f>AQ$13*'Assumptions &amp; Inputs'!$J47</f>
        <v>0</v>
      </c>
      <c r="AR22" s="519">
        <f>AR$13*'Assumptions &amp; Inputs'!$J47</f>
        <v>0</v>
      </c>
      <c r="AS22" s="519">
        <f>AS$13*'Assumptions &amp; Inputs'!$J47</f>
        <v>0</v>
      </c>
      <c r="AT22" s="519">
        <f>AT$13*'Assumptions &amp; Inputs'!$J47</f>
        <v>0</v>
      </c>
      <c r="AU22" s="519">
        <f>AU$13*'Assumptions &amp; Inputs'!$J47</f>
        <v>0</v>
      </c>
      <c r="AV22" s="519">
        <f>AV$13*'Assumptions &amp; Inputs'!$J47</f>
        <v>0</v>
      </c>
      <c r="AW22" s="520">
        <f>AW$13*'Assumptions &amp; Inputs'!$J47</f>
        <v>0</v>
      </c>
    </row>
    <row r="23" spans="1:49" ht="14.25" customHeight="1">
      <c r="A23" s="1"/>
      <c r="B23" s="84"/>
      <c r="C23" s="96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98"/>
    </row>
    <row r="24" spans="1:49" ht="14.25" customHeight="1">
      <c r="A24" s="1"/>
      <c r="B24" s="84"/>
      <c r="C24" s="150" t="s">
        <v>359</v>
      </c>
      <c r="D24" s="517">
        <f>SUM(D14:D22)</f>
        <v>-103.125</v>
      </c>
      <c r="E24" s="517">
        <f t="shared" ref="E24:X24" si="56">SUM(E14:E22)</f>
        <v>-9.375</v>
      </c>
      <c r="F24" s="517">
        <f t="shared" si="56"/>
        <v>0</v>
      </c>
      <c r="G24" s="517">
        <f t="shared" si="56"/>
        <v>0</v>
      </c>
      <c r="H24" s="517">
        <f t="shared" si="56"/>
        <v>0</v>
      </c>
      <c r="I24" s="517">
        <f t="shared" si="56"/>
        <v>0</v>
      </c>
      <c r="J24" s="517">
        <f t="shared" si="56"/>
        <v>0</v>
      </c>
      <c r="K24" s="517">
        <f t="shared" si="56"/>
        <v>0</v>
      </c>
      <c r="L24" s="517">
        <f t="shared" si="56"/>
        <v>0</v>
      </c>
      <c r="M24" s="517">
        <f t="shared" si="56"/>
        <v>0</v>
      </c>
      <c r="N24" s="517">
        <f t="shared" si="56"/>
        <v>0</v>
      </c>
      <c r="O24" s="517">
        <f t="shared" si="56"/>
        <v>0</v>
      </c>
      <c r="P24" s="517">
        <f t="shared" si="56"/>
        <v>0</v>
      </c>
      <c r="Q24" s="517">
        <f t="shared" si="56"/>
        <v>0</v>
      </c>
      <c r="R24" s="517">
        <f t="shared" si="56"/>
        <v>0</v>
      </c>
      <c r="S24" s="517">
        <f t="shared" si="56"/>
        <v>0</v>
      </c>
      <c r="T24" s="517">
        <f t="shared" si="56"/>
        <v>0</v>
      </c>
      <c r="U24" s="517">
        <f t="shared" si="56"/>
        <v>0</v>
      </c>
      <c r="V24" s="517">
        <f t="shared" si="56"/>
        <v>0</v>
      </c>
      <c r="W24" s="517">
        <f t="shared" si="56"/>
        <v>0</v>
      </c>
      <c r="X24" s="517">
        <f t="shared" si="56"/>
        <v>0</v>
      </c>
      <c r="Y24" s="517">
        <f t="shared" ref="Y24:AW24" si="57">SUM(Y14:Y22)</f>
        <v>0</v>
      </c>
      <c r="Z24" s="517">
        <f t="shared" si="57"/>
        <v>0</v>
      </c>
      <c r="AA24" s="517">
        <f t="shared" si="57"/>
        <v>0</v>
      </c>
      <c r="AB24" s="517">
        <f t="shared" si="57"/>
        <v>0</v>
      </c>
      <c r="AC24" s="517">
        <f t="shared" si="57"/>
        <v>0</v>
      </c>
      <c r="AD24" s="517">
        <f t="shared" si="57"/>
        <v>0</v>
      </c>
      <c r="AE24" s="517">
        <f t="shared" si="57"/>
        <v>0</v>
      </c>
      <c r="AF24" s="517">
        <f t="shared" si="57"/>
        <v>0</v>
      </c>
      <c r="AG24" s="517">
        <f t="shared" si="57"/>
        <v>0</v>
      </c>
      <c r="AH24" s="517">
        <f t="shared" si="57"/>
        <v>0</v>
      </c>
      <c r="AI24" s="517">
        <f t="shared" si="57"/>
        <v>0</v>
      </c>
      <c r="AJ24" s="517">
        <f t="shared" si="57"/>
        <v>0</v>
      </c>
      <c r="AK24" s="517">
        <f t="shared" si="57"/>
        <v>0</v>
      </c>
      <c r="AL24" s="517">
        <f t="shared" si="57"/>
        <v>0</v>
      </c>
      <c r="AM24" s="517">
        <f t="shared" si="57"/>
        <v>0</v>
      </c>
      <c r="AN24" s="517">
        <f t="shared" si="57"/>
        <v>0</v>
      </c>
      <c r="AO24" s="517">
        <f t="shared" si="57"/>
        <v>0</v>
      </c>
      <c r="AP24" s="517">
        <f t="shared" si="57"/>
        <v>0</v>
      </c>
      <c r="AQ24" s="517">
        <f t="shared" si="57"/>
        <v>0</v>
      </c>
      <c r="AR24" s="517">
        <f t="shared" si="57"/>
        <v>0</v>
      </c>
      <c r="AS24" s="517">
        <f t="shared" si="57"/>
        <v>0</v>
      </c>
      <c r="AT24" s="517">
        <f t="shared" si="57"/>
        <v>0</v>
      </c>
      <c r="AU24" s="517">
        <f t="shared" si="57"/>
        <v>0</v>
      </c>
      <c r="AV24" s="517">
        <f t="shared" si="57"/>
        <v>0</v>
      </c>
      <c r="AW24" s="521">
        <f t="shared" si="57"/>
        <v>0</v>
      </c>
    </row>
    <row r="25" spans="1:49" ht="14.25" customHeight="1" thickBot="1">
      <c r="A25" s="1"/>
      <c r="B25" s="84"/>
      <c r="C25" s="151" t="s">
        <v>360</v>
      </c>
      <c r="D25" s="176">
        <f>SUM(D24:BA24)</f>
        <v>-112.5</v>
      </c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9"/>
    </row>
    <row r="26" spans="1:49" ht="14.25" customHeight="1">
      <c r="A26" s="1"/>
      <c r="B26" s="1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</row>
    <row r="27" spans="1:49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14.25" customHeight="1" thickBot="1">
      <c r="A28" s="1" t="s">
        <v>351</v>
      </c>
      <c r="B28" s="1"/>
      <c r="C28" s="9" t="s">
        <v>402</v>
      </c>
      <c r="D28" s="162"/>
      <c r="E28" s="161"/>
      <c r="F28" s="161"/>
      <c r="G28" s="161"/>
      <c r="H28" s="10"/>
      <c r="I28" s="10"/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ht="14.25" customHeight="1">
      <c r="A29" s="1"/>
      <c r="B29" s="1"/>
      <c r="C29" s="12" t="s">
        <v>353</v>
      </c>
      <c r="D29" s="1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4.25" customHeight="1">
      <c r="A30" s="1"/>
      <c r="B30" s="1"/>
      <c r="C30" s="1"/>
      <c r="D30" s="119">
        <v>0</v>
      </c>
      <c r="E30" s="119">
        <f t="shared" ref="E30:X30" si="58">D30+1</f>
        <v>1</v>
      </c>
      <c r="F30" s="119">
        <f t="shared" si="58"/>
        <v>2</v>
      </c>
      <c r="G30" s="119">
        <f t="shared" si="58"/>
        <v>3</v>
      </c>
      <c r="H30" s="119">
        <f t="shared" si="58"/>
        <v>4</v>
      </c>
      <c r="I30" s="119">
        <f t="shared" si="58"/>
        <v>5</v>
      </c>
      <c r="J30" s="119">
        <f t="shared" si="58"/>
        <v>6</v>
      </c>
      <c r="K30" s="119">
        <f t="shared" si="58"/>
        <v>7</v>
      </c>
      <c r="L30" s="119">
        <f t="shared" si="58"/>
        <v>8</v>
      </c>
      <c r="M30" s="119">
        <f t="shared" si="58"/>
        <v>9</v>
      </c>
      <c r="N30" s="119">
        <f t="shared" si="58"/>
        <v>10</v>
      </c>
      <c r="O30" s="119">
        <f t="shared" si="58"/>
        <v>11</v>
      </c>
      <c r="P30" s="119">
        <f t="shared" si="58"/>
        <v>12</v>
      </c>
      <c r="Q30" s="119">
        <f t="shared" si="58"/>
        <v>13</v>
      </c>
      <c r="R30" s="119">
        <f t="shared" si="58"/>
        <v>14</v>
      </c>
      <c r="S30" s="119">
        <f t="shared" si="58"/>
        <v>15</v>
      </c>
      <c r="T30" s="119">
        <f t="shared" si="58"/>
        <v>16</v>
      </c>
      <c r="U30" s="119">
        <f t="shared" si="58"/>
        <v>17</v>
      </c>
      <c r="V30" s="119">
        <f t="shared" si="58"/>
        <v>18</v>
      </c>
      <c r="W30" s="119">
        <f t="shared" si="58"/>
        <v>19</v>
      </c>
      <c r="X30" s="119">
        <f t="shared" si="58"/>
        <v>20</v>
      </c>
      <c r="Y30" s="119">
        <f t="shared" ref="Y30:AW30" si="59">X30+1</f>
        <v>21</v>
      </c>
      <c r="Z30" s="119">
        <f t="shared" si="59"/>
        <v>22</v>
      </c>
      <c r="AA30" s="119">
        <f t="shared" si="59"/>
        <v>23</v>
      </c>
      <c r="AB30" s="119">
        <f t="shared" si="59"/>
        <v>24</v>
      </c>
      <c r="AC30" s="119">
        <f t="shared" si="59"/>
        <v>25</v>
      </c>
      <c r="AD30" s="119">
        <f t="shared" si="59"/>
        <v>26</v>
      </c>
      <c r="AE30" s="119">
        <f t="shared" si="59"/>
        <v>27</v>
      </c>
      <c r="AF30" s="119">
        <f t="shared" si="59"/>
        <v>28</v>
      </c>
      <c r="AG30" s="119">
        <f t="shared" si="59"/>
        <v>29</v>
      </c>
      <c r="AH30" s="119">
        <f t="shared" si="59"/>
        <v>30</v>
      </c>
      <c r="AI30" s="119">
        <f t="shared" si="59"/>
        <v>31</v>
      </c>
      <c r="AJ30" s="119">
        <f t="shared" si="59"/>
        <v>32</v>
      </c>
      <c r="AK30" s="119">
        <f t="shared" si="59"/>
        <v>33</v>
      </c>
      <c r="AL30" s="119">
        <f t="shared" si="59"/>
        <v>34</v>
      </c>
      <c r="AM30" s="119">
        <f t="shared" si="59"/>
        <v>35</v>
      </c>
      <c r="AN30" s="119">
        <f t="shared" si="59"/>
        <v>36</v>
      </c>
      <c r="AO30" s="119">
        <f t="shared" si="59"/>
        <v>37</v>
      </c>
      <c r="AP30" s="119">
        <f t="shared" si="59"/>
        <v>38</v>
      </c>
      <c r="AQ30" s="119">
        <f t="shared" si="59"/>
        <v>39</v>
      </c>
      <c r="AR30" s="119">
        <f t="shared" si="59"/>
        <v>40</v>
      </c>
      <c r="AS30" s="119">
        <f t="shared" si="59"/>
        <v>41</v>
      </c>
      <c r="AT30" s="119">
        <f t="shared" si="59"/>
        <v>42</v>
      </c>
      <c r="AU30" s="119">
        <f t="shared" si="59"/>
        <v>43</v>
      </c>
      <c r="AV30" s="119">
        <f t="shared" si="59"/>
        <v>44</v>
      </c>
      <c r="AW30" s="119">
        <f t="shared" si="59"/>
        <v>45</v>
      </c>
    </row>
    <row r="31" spans="1:49" ht="14.25" customHeight="1">
      <c r="A31" s="1"/>
      <c r="B31" s="1"/>
      <c r="C31" s="2"/>
      <c r="D31" s="2"/>
      <c r="E31" s="807" t="s">
        <v>354</v>
      </c>
      <c r="F31" s="820"/>
      <c r="G31" s="820"/>
      <c r="H31" s="820"/>
      <c r="I31" s="820"/>
      <c r="J31" s="820"/>
      <c r="K31" s="820"/>
      <c r="L31" s="820"/>
      <c r="M31" s="820"/>
      <c r="N31" s="820"/>
      <c r="O31" s="820"/>
      <c r="P31" s="8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</row>
    <row r="32" spans="1:49" ht="14.25" customHeight="1">
      <c r="A32" s="1"/>
      <c r="B32" s="1"/>
      <c r="C32" s="2"/>
      <c r="D32" s="3">
        <f>D9</f>
        <v>2026</v>
      </c>
      <c r="E32" s="120">
        <f t="shared" ref="E32:X32" si="60">D32+1</f>
        <v>2027</v>
      </c>
      <c r="F32" s="120">
        <f t="shared" si="60"/>
        <v>2028</v>
      </c>
      <c r="G32" s="120">
        <f t="shared" si="60"/>
        <v>2029</v>
      </c>
      <c r="H32" s="120">
        <f t="shared" si="60"/>
        <v>2030</v>
      </c>
      <c r="I32" s="120">
        <f t="shared" si="60"/>
        <v>2031</v>
      </c>
      <c r="J32" s="120">
        <f t="shared" si="60"/>
        <v>2032</v>
      </c>
      <c r="K32" s="120">
        <f t="shared" si="60"/>
        <v>2033</v>
      </c>
      <c r="L32" s="120">
        <f t="shared" si="60"/>
        <v>2034</v>
      </c>
      <c r="M32" s="120">
        <f t="shared" si="60"/>
        <v>2035</v>
      </c>
      <c r="N32" s="120">
        <f t="shared" si="60"/>
        <v>2036</v>
      </c>
      <c r="O32" s="120">
        <f t="shared" si="60"/>
        <v>2037</v>
      </c>
      <c r="P32" s="120">
        <f t="shared" si="60"/>
        <v>2038</v>
      </c>
      <c r="Q32" s="120">
        <f t="shared" si="60"/>
        <v>2039</v>
      </c>
      <c r="R32" s="120">
        <f t="shared" si="60"/>
        <v>2040</v>
      </c>
      <c r="S32" s="120">
        <f t="shared" si="60"/>
        <v>2041</v>
      </c>
      <c r="T32" s="120">
        <f t="shared" si="60"/>
        <v>2042</v>
      </c>
      <c r="U32" s="120">
        <f t="shared" si="60"/>
        <v>2043</v>
      </c>
      <c r="V32" s="120">
        <f t="shared" si="60"/>
        <v>2044</v>
      </c>
      <c r="W32" s="120">
        <f t="shared" si="60"/>
        <v>2045</v>
      </c>
      <c r="X32" s="120">
        <f t="shared" si="60"/>
        <v>2046</v>
      </c>
      <c r="Y32" s="120">
        <f t="shared" ref="Y32:AW32" si="61">X32+1</f>
        <v>2047</v>
      </c>
      <c r="Z32" s="120">
        <f t="shared" si="61"/>
        <v>2048</v>
      </c>
      <c r="AA32" s="120">
        <f t="shared" si="61"/>
        <v>2049</v>
      </c>
      <c r="AB32" s="120">
        <f t="shared" si="61"/>
        <v>2050</v>
      </c>
      <c r="AC32" s="120">
        <f t="shared" si="61"/>
        <v>2051</v>
      </c>
      <c r="AD32" s="120">
        <f t="shared" si="61"/>
        <v>2052</v>
      </c>
      <c r="AE32" s="120">
        <f t="shared" si="61"/>
        <v>2053</v>
      </c>
      <c r="AF32" s="120">
        <f t="shared" si="61"/>
        <v>2054</v>
      </c>
      <c r="AG32" s="120">
        <f t="shared" si="61"/>
        <v>2055</v>
      </c>
      <c r="AH32" s="120">
        <f t="shared" si="61"/>
        <v>2056</v>
      </c>
      <c r="AI32" s="120">
        <f t="shared" si="61"/>
        <v>2057</v>
      </c>
      <c r="AJ32" s="120">
        <f t="shared" si="61"/>
        <v>2058</v>
      </c>
      <c r="AK32" s="120">
        <f t="shared" si="61"/>
        <v>2059</v>
      </c>
      <c r="AL32" s="120">
        <f t="shared" si="61"/>
        <v>2060</v>
      </c>
      <c r="AM32" s="120">
        <f t="shared" si="61"/>
        <v>2061</v>
      </c>
      <c r="AN32" s="120">
        <f t="shared" si="61"/>
        <v>2062</v>
      </c>
      <c r="AO32" s="120">
        <f t="shared" si="61"/>
        <v>2063</v>
      </c>
      <c r="AP32" s="120">
        <f t="shared" si="61"/>
        <v>2064</v>
      </c>
      <c r="AQ32" s="120">
        <f t="shared" si="61"/>
        <v>2065</v>
      </c>
      <c r="AR32" s="120">
        <f t="shared" si="61"/>
        <v>2066</v>
      </c>
      <c r="AS32" s="120">
        <f t="shared" si="61"/>
        <v>2067</v>
      </c>
      <c r="AT32" s="120">
        <f t="shared" si="61"/>
        <v>2068</v>
      </c>
      <c r="AU32" s="120">
        <f t="shared" si="61"/>
        <v>2069</v>
      </c>
      <c r="AV32" s="120">
        <f t="shared" si="61"/>
        <v>2070</v>
      </c>
      <c r="AW32" s="120">
        <f t="shared" si="61"/>
        <v>2071</v>
      </c>
    </row>
    <row r="33" spans="2:49" ht="14.25" customHeight="1">
      <c r="B33" s="1"/>
      <c r="C33" s="121"/>
      <c r="D33" s="122">
        <f>D10</f>
        <v>46023</v>
      </c>
      <c r="E33" s="122">
        <v>46387</v>
      </c>
      <c r="F33" s="122">
        <f t="shared" ref="F33:X33" si="62">EDATE(E33,12)</f>
        <v>46752</v>
      </c>
      <c r="G33" s="122">
        <f t="shared" si="62"/>
        <v>47118</v>
      </c>
      <c r="H33" s="122">
        <f t="shared" si="62"/>
        <v>47483</v>
      </c>
      <c r="I33" s="122">
        <f t="shared" si="62"/>
        <v>47848</v>
      </c>
      <c r="J33" s="122">
        <f t="shared" si="62"/>
        <v>48213</v>
      </c>
      <c r="K33" s="122">
        <f t="shared" si="62"/>
        <v>48579</v>
      </c>
      <c r="L33" s="122">
        <f t="shared" si="62"/>
        <v>48944</v>
      </c>
      <c r="M33" s="122">
        <f t="shared" si="62"/>
        <v>49309</v>
      </c>
      <c r="N33" s="122">
        <f t="shared" si="62"/>
        <v>49674</v>
      </c>
      <c r="O33" s="122">
        <f t="shared" si="62"/>
        <v>50040</v>
      </c>
      <c r="P33" s="122">
        <f t="shared" si="62"/>
        <v>50405</v>
      </c>
      <c r="Q33" s="122">
        <f t="shared" si="62"/>
        <v>50770</v>
      </c>
      <c r="R33" s="122">
        <f t="shared" si="62"/>
        <v>51135</v>
      </c>
      <c r="S33" s="122">
        <f t="shared" si="62"/>
        <v>51501</v>
      </c>
      <c r="T33" s="122">
        <f t="shared" si="62"/>
        <v>51866</v>
      </c>
      <c r="U33" s="122">
        <f t="shared" si="62"/>
        <v>52231</v>
      </c>
      <c r="V33" s="122">
        <f t="shared" si="62"/>
        <v>52596</v>
      </c>
      <c r="W33" s="122">
        <f t="shared" si="62"/>
        <v>52962</v>
      </c>
      <c r="X33" s="122">
        <f t="shared" si="62"/>
        <v>53327</v>
      </c>
      <c r="Y33" s="122">
        <f t="shared" ref="Y33:AW33" si="63">EDATE(X33,12)</f>
        <v>53692</v>
      </c>
      <c r="Z33" s="122">
        <f t="shared" si="63"/>
        <v>54057</v>
      </c>
      <c r="AA33" s="122">
        <f t="shared" si="63"/>
        <v>54423</v>
      </c>
      <c r="AB33" s="122">
        <f t="shared" si="63"/>
        <v>54788</v>
      </c>
      <c r="AC33" s="122">
        <f t="shared" si="63"/>
        <v>55153</v>
      </c>
      <c r="AD33" s="122">
        <f t="shared" si="63"/>
        <v>55518</v>
      </c>
      <c r="AE33" s="122">
        <f t="shared" si="63"/>
        <v>55884</v>
      </c>
      <c r="AF33" s="122">
        <f t="shared" si="63"/>
        <v>56249</v>
      </c>
      <c r="AG33" s="122">
        <f t="shared" si="63"/>
        <v>56614</v>
      </c>
      <c r="AH33" s="122">
        <f t="shared" si="63"/>
        <v>56979</v>
      </c>
      <c r="AI33" s="122">
        <f t="shared" si="63"/>
        <v>57345</v>
      </c>
      <c r="AJ33" s="122">
        <f t="shared" si="63"/>
        <v>57710</v>
      </c>
      <c r="AK33" s="122">
        <f t="shared" si="63"/>
        <v>58075</v>
      </c>
      <c r="AL33" s="122">
        <f t="shared" si="63"/>
        <v>58440</v>
      </c>
      <c r="AM33" s="122">
        <f t="shared" si="63"/>
        <v>58806</v>
      </c>
      <c r="AN33" s="122">
        <f t="shared" si="63"/>
        <v>59171</v>
      </c>
      <c r="AO33" s="122">
        <f t="shared" si="63"/>
        <v>59536</v>
      </c>
      <c r="AP33" s="122">
        <f t="shared" si="63"/>
        <v>59901</v>
      </c>
      <c r="AQ33" s="122">
        <f t="shared" si="63"/>
        <v>60267</v>
      </c>
      <c r="AR33" s="122">
        <f t="shared" si="63"/>
        <v>60632</v>
      </c>
      <c r="AS33" s="122">
        <f t="shared" si="63"/>
        <v>60997</v>
      </c>
      <c r="AT33" s="122">
        <f t="shared" si="63"/>
        <v>61362</v>
      </c>
      <c r="AU33" s="122">
        <f t="shared" si="63"/>
        <v>61728</v>
      </c>
      <c r="AV33" s="122">
        <f t="shared" si="63"/>
        <v>62093</v>
      </c>
      <c r="AW33" s="122">
        <f t="shared" si="63"/>
        <v>62458</v>
      </c>
    </row>
    <row r="34" spans="2:49" ht="14.25" customHeight="1">
      <c r="B34" s="1"/>
      <c r="C34" s="1" t="s">
        <v>403</v>
      </c>
      <c r="D34" s="15">
        <f t="shared" ref="D34:X34" si="64">D142</f>
        <v>0</v>
      </c>
      <c r="E34" s="15">
        <f t="shared" si="64"/>
        <v>93.198656643058285</v>
      </c>
      <c r="F34" s="15">
        <f t="shared" si="64"/>
        <v>126.28437015433791</v>
      </c>
      <c r="G34" s="15">
        <f t="shared" si="64"/>
        <v>128.36587507472456</v>
      </c>
      <c r="H34" s="15">
        <f t="shared" si="64"/>
        <v>130.51419911095479</v>
      </c>
      <c r="I34" s="15">
        <f t="shared" si="64"/>
        <v>132.65929342474641</v>
      </c>
      <c r="J34" s="15">
        <f t="shared" si="64"/>
        <v>134.83931176607331</v>
      </c>
      <c r="K34" s="15">
        <f t="shared" si="64"/>
        <v>137.06292506434374</v>
      </c>
      <c r="L34" s="15">
        <f t="shared" si="64"/>
        <v>139.33100513157035</v>
      </c>
      <c r="M34" s="15">
        <f t="shared" si="64"/>
        <v>141.64444121458368</v>
      </c>
      <c r="N34" s="15">
        <f t="shared" si="64"/>
        <v>144.00414034370536</v>
      </c>
      <c r="O34" s="15">
        <f t="shared" si="64"/>
        <v>146.41102768839383</v>
      </c>
      <c r="P34" s="15">
        <f t="shared" si="64"/>
        <v>148.86604692000304</v>
      </c>
      <c r="Q34" s="15">
        <f t="shared" si="64"/>
        <v>151.37016058179532</v>
      </c>
      <c r="R34" s="15">
        <f t="shared" si="64"/>
        <v>153.9243504663547</v>
      </c>
      <c r="S34" s="15">
        <f t="shared" si="64"/>
        <v>156.52961800054757</v>
      </c>
      <c r="T34" s="15">
        <f t="shared" si="64"/>
        <v>159.18698463818279</v>
      </c>
      <c r="U34" s="15">
        <f t="shared" si="64"/>
        <v>161.89749226052353</v>
      </c>
      <c r="V34" s="15">
        <f t="shared" si="64"/>
        <v>164.66220358481002</v>
      </c>
      <c r="W34" s="15">
        <f t="shared" si="64"/>
        <v>167.48220258095159</v>
      </c>
      <c r="X34" s="15">
        <f t="shared" si="64"/>
        <v>170.35859489655232</v>
      </c>
      <c r="Y34" s="15">
        <f t="shared" ref="Y34:AW34" si="65">Y142</f>
        <v>173.29250829043679</v>
      </c>
      <c r="Z34" s="15">
        <f t="shared" si="65"/>
        <v>176.28509307484569</v>
      </c>
      <c r="AA34" s="15">
        <f t="shared" si="65"/>
        <v>179.33752256647512</v>
      </c>
      <c r="AB34" s="15">
        <f t="shared" si="65"/>
        <v>182.45099354653601</v>
      </c>
      <c r="AC34" s="15">
        <f t="shared" si="65"/>
        <v>185.62672673001407</v>
      </c>
      <c r="AD34" s="15">
        <f t="shared" si="65"/>
        <v>188.86596724431502</v>
      </c>
      <c r="AE34" s="15">
        <f t="shared" si="65"/>
        <v>0</v>
      </c>
      <c r="AF34" s="15">
        <f t="shared" si="65"/>
        <v>0</v>
      </c>
      <c r="AG34" s="15">
        <f t="shared" si="65"/>
        <v>0</v>
      </c>
      <c r="AH34" s="15">
        <f t="shared" si="65"/>
        <v>0</v>
      </c>
      <c r="AI34" s="15">
        <f t="shared" si="65"/>
        <v>0</v>
      </c>
      <c r="AJ34" s="15">
        <f t="shared" si="65"/>
        <v>0</v>
      </c>
      <c r="AK34" s="15">
        <f t="shared" si="65"/>
        <v>0</v>
      </c>
      <c r="AL34" s="15">
        <f t="shared" si="65"/>
        <v>0</v>
      </c>
      <c r="AM34" s="15">
        <f t="shared" si="65"/>
        <v>0</v>
      </c>
      <c r="AN34" s="15">
        <f t="shared" si="65"/>
        <v>0</v>
      </c>
      <c r="AO34" s="15">
        <f t="shared" si="65"/>
        <v>0</v>
      </c>
      <c r="AP34" s="15">
        <f t="shared" si="65"/>
        <v>0</v>
      </c>
      <c r="AQ34" s="15">
        <f t="shared" si="65"/>
        <v>0</v>
      </c>
      <c r="AR34" s="15">
        <f t="shared" si="65"/>
        <v>0</v>
      </c>
      <c r="AS34" s="15">
        <f t="shared" si="65"/>
        <v>0</v>
      </c>
      <c r="AT34" s="15">
        <f t="shared" si="65"/>
        <v>0</v>
      </c>
      <c r="AU34" s="15">
        <f t="shared" si="65"/>
        <v>0</v>
      </c>
      <c r="AV34" s="15">
        <f t="shared" si="65"/>
        <v>0</v>
      </c>
      <c r="AW34" s="15">
        <f t="shared" si="65"/>
        <v>0</v>
      </c>
    </row>
    <row r="35" spans="2:49" ht="14.25" customHeight="1">
      <c r="B35" s="1"/>
      <c r="C35" s="4" t="str">
        <f>"   Less: Taxes @ "&amp;TEXT(SUM('Assumptions &amp; Inputs'!$E$13,'Assumptions &amp; Inputs'!$E$14),"0.0%")</f>
        <v xml:space="preserve">   Less: Taxes @ 25.0%</v>
      </c>
      <c r="D35" s="67">
        <f t="shared" ref="D35:X35" si="66">D152</f>
        <v>0</v>
      </c>
      <c r="E35" s="67">
        <f t="shared" si="66"/>
        <v>-23.299664160764571</v>
      </c>
      <c r="F35" s="67">
        <f t="shared" si="66"/>
        <v>-31.571092538584477</v>
      </c>
      <c r="G35" s="67">
        <f t="shared" si="66"/>
        <v>-32.091468768681139</v>
      </c>
      <c r="H35" s="67">
        <f t="shared" si="66"/>
        <v>-32.628549777738698</v>
      </c>
      <c r="I35" s="67">
        <f t="shared" si="66"/>
        <v>-33.164823356186602</v>
      </c>
      <c r="J35" s="67">
        <f t="shared" si="66"/>
        <v>-33.709827941518327</v>
      </c>
      <c r="K35" s="67">
        <f t="shared" si="66"/>
        <v>-34.265731266085936</v>
      </c>
      <c r="L35" s="67">
        <f t="shared" si="66"/>
        <v>-34.832751282892588</v>
      </c>
      <c r="M35" s="67">
        <f t="shared" si="66"/>
        <v>-35.41111030364592</v>
      </c>
      <c r="N35" s="67">
        <f t="shared" si="66"/>
        <v>-36.00103508592634</v>
      </c>
      <c r="O35" s="67">
        <f t="shared" si="66"/>
        <v>-36.602756922098457</v>
      </c>
      <c r="P35" s="67">
        <f t="shared" si="66"/>
        <v>-37.216511730000761</v>
      </c>
      <c r="Q35" s="67">
        <f t="shared" si="66"/>
        <v>-37.842540145448829</v>
      </c>
      <c r="R35" s="67">
        <f t="shared" si="66"/>
        <v>-38.481087616588674</v>
      </c>
      <c r="S35" s="67">
        <f t="shared" si="66"/>
        <v>-39.132404500136893</v>
      </c>
      <c r="T35" s="67">
        <f t="shared" si="66"/>
        <v>-39.796746159545698</v>
      </c>
      <c r="U35" s="67">
        <f t="shared" si="66"/>
        <v>-40.474373065130884</v>
      </c>
      <c r="V35" s="67">
        <f t="shared" si="66"/>
        <v>-41.165550896202504</v>
      </c>
      <c r="W35" s="67">
        <f t="shared" si="66"/>
        <v>-41.870550645237898</v>
      </c>
      <c r="X35" s="67">
        <f t="shared" si="66"/>
        <v>-42.58964872413808</v>
      </c>
      <c r="Y35" s="67">
        <f t="shared" ref="Y35:AW35" si="67">Y152</f>
        <v>-43.323127072609196</v>
      </c>
      <c r="Z35" s="67">
        <f t="shared" si="67"/>
        <v>-44.071273268711423</v>
      </c>
      <c r="AA35" s="67">
        <f t="shared" si="67"/>
        <v>-44.834380641618779</v>
      </c>
      <c r="AB35" s="67">
        <f t="shared" si="67"/>
        <v>-45.612748386634003</v>
      </c>
      <c r="AC35" s="67">
        <f t="shared" si="67"/>
        <v>-46.406681682503518</v>
      </c>
      <c r="AD35" s="67">
        <f t="shared" si="67"/>
        <v>-47.216491811078754</v>
      </c>
      <c r="AE35" s="67">
        <f t="shared" si="67"/>
        <v>0</v>
      </c>
      <c r="AF35" s="67">
        <f t="shared" si="67"/>
        <v>0</v>
      </c>
      <c r="AG35" s="67">
        <f t="shared" si="67"/>
        <v>0</v>
      </c>
      <c r="AH35" s="67">
        <f t="shared" si="67"/>
        <v>0</v>
      </c>
      <c r="AI35" s="67">
        <f t="shared" si="67"/>
        <v>0</v>
      </c>
      <c r="AJ35" s="67">
        <f t="shared" si="67"/>
        <v>0</v>
      </c>
      <c r="AK35" s="67">
        <f t="shared" si="67"/>
        <v>0</v>
      </c>
      <c r="AL35" s="67">
        <f t="shared" si="67"/>
        <v>0</v>
      </c>
      <c r="AM35" s="67">
        <f t="shared" si="67"/>
        <v>0</v>
      </c>
      <c r="AN35" s="67">
        <f t="shared" si="67"/>
        <v>0</v>
      </c>
      <c r="AO35" s="67">
        <f t="shared" si="67"/>
        <v>0</v>
      </c>
      <c r="AP35" s="67">
        <f t="shared" si="67"/>
        <v>0</v>
      </c>
      <c r="AQ35" s="67">
        <f t="shared" si="67"/>
        <v>0</v>
      </c>
      <c r="AR35" s="67">
        <f t="shared" si="67"/>
        <v>0</v>
      </c>
      <c r="AS35" s="67">
        <f t="shared" si="67"/>
        <v>0</v>
      </c>
      <c r="AT35" s="67">
        <f t="shared" si="67"/>
        <v>0</v>
      </c>
      <c r="AU35" s="67">
        <f t="shared" si="67"/>
        <v>0</v>
      </c>
      <c r="AV35" s="67">
        <f t="shared" si="67"/>
        <v>0</v>
      </c>
      <c r="AW35" s="67">
        <f t="shared" si="67"/>
        <v>0</v>
      </c>
    </row>
    <row r="36" spans="2:49" ht="14.25" customHeight="1">
      <c r="B36" s="1"/>
      <c r="C36" s="1" t="s">
        <v>404</v>
      </c>
      <c r="D36" s="8">
        <f t="shared" ref="D36:X36" si="68">SUM(D34:D35)</f>
        <v>0</v>
      </c>
      <c r="E36" s="8">
        <f t="shared" si="68"/>
        <v>69.898992482293721</v>
      </c>
      <c r="F36" s="8">
        <f t="shared" si="68"/>
        <v>94.713277615753427</v>
      </c>
      <c r="G36" s="8">
        <f t="shared" si="68"/>
        <v>96.274406306043417</v>
      </c>
      <c r="H36" s="8">
        <f t="shared" si="68"/>
        <v>97.885649333216094</v>
      </c>
      <c r="I36" s="8">
        <f t="shared" si="68"/>
        <v>99.494470068559806</v>
      </c>
      <c r="J36" s="8">
        <f t="shared" si="68"/>
        <v>101.12948382455498</v>
      </c>
      <c r="K36" s="8">
        <f t="shared" si="68"/>
        <v>102.79719379825781</v>
      </c>
      <c r="L36" s="8">
        <f t="shared" si="68"/>
        <v>104.49825384867776</v>
      </c>
      <c r="M36" s="8">
        <f t="shared" si="68"/>
        <v>106.23333091093775</v>
      </c>
      <c r="N36" s="8">
        <f t="shared" si="68"/>
        <v>108.00310525777903</v>
      </c>
      <c r="O36" s="8">
        <f t="shared" si="68"/>
        <v>109.80827076629538</v>
      </c>
      <c r="P36" s="8">
        <f t="shared" si="68"/>
        <v>111.64953519000228</v>
      </c>
      <c r="Q36" s="8">
        <f t="shared" si="68"/>
        <v>113.5276204363465</v>
      </c>
      <c r="R36" s="8">
        <f t="shared" si="68"/>
        <v>115.44326284976603</v>
      </c>
      <c r="S36" s="8">
        <f t="shared" si="68"/>
        <v>117.39721350041069</v>
      </c>
      <c r="T36" s="8">
        <f t="shared" si="68"/>
        <v>119.39023847863709</v>
      </c>
      <c r="U36" s="8">
        <f t="shared" si="68"/>
        <v>121.42311919539264</v>
      </c>
      <c r="V36" s="8">
        <f t="shared" si="68"/>
        <v>123.49665268860751</v>
      </c>
      <c r="W36" s="8">
        <f t="shared" si="68"/>
        <v>125.6116519357137</v>
      </c>
      <c r="X36" s="8">
        <f t="shared" si="68"/>
        <v>127.76894617241425</v>
      </c>
      <c r="Y36" s="8">
        <f t="shared" ref="Y36" si="69">SUM(Y34:Y35)</f>
        <v>129.96938121782759</v>
      </c>
      <c r="Z36" s="8">
        <f t="shared" ref="Z36" si="70">SUM(Z34:Z35)</f>
        <v>132.21381980613427</v>
      </c>
      <c r="AA36" s="8">
        <f t="shared" ref="AA36" si="71">SUM(AA34:AA35)</f>
        <v>134.50314192485632</v>
      </c>
      <c r="AB36" s="8">
        <f t="shared" ref="AB36" si="72">SUM(AB34:AB35)</f>
        <v>136.83824515990202</v>
      </c>
      <c r="AC36" s="8">
        <f t="shared" ref="AC36" si="73">SUM(AC34:AC35)</f>
        <v>139.22004504751055</v>
      </c>
      <c r="AD36" s="8">
        <f t="shared" ref="AD36" si="74">SUM(AD34:AD35)</f>
        <v>141.64947543323626</v>
      </c>
      <c r="AE36" s="8">
        <f t="shared" ref="AE36" si="75">SUM(AE34:AE35)</f>
        <v>0</v>
      </c>
      <c r="AF36" s="8">
        <f t="shared" ref="AF36" si="76">SUM(AF34:AF35)</f>
        <v>0</v>
      </c>
      <c r="AG36" s="8">
        <f t="shared" ref="AG36" si="77">SUM(AG34:AG35)</f>
        <v>0</v>
      </c>
      <c r="AH36" s="8">
        <f t="shared" ref="AH36" si="78">SUM(AH34:AH35)</f>
        <v>0</v>
      </c>
      <c r="AI36" s="8">
        <f t="shared" ref="AI36" si="79">SUM(AI34:AI35)</f>
        <v>0</v>
      </c>
      <c r="AJ36" s="8">
        <f t="shared" ref="AJ36" si="80">SUM(AJ34:AJ35)</f>
        <v>0</v>
      </c>
      <c r="AK36" s="8">
        <f t="shared" ref="AK36" si="81">SUM(AK34:AK35)</f>
        <v>0</v>
      </c>
      <c r="AL36" s="8">
        <f t="shared" ref="AL36" si="82">SUM(AL34:AL35)</f>
        <v>0</v>
      </c>
      <c r="AM36" s="8">
        <f t="shared" ref="AM36" si="83">SUM(AM34:AM35)</f>
        <v>0</v>
      </c>
      <c r="AN36" s="8">
        <f t="shared" ref="AN36" si="84">SUM(AN34:AN35)</f>
        <v>0</v>
      </c>
      <c r="AO36" s="8">
        <f t="shared" ref="AO36" si="85">SUM(AO34:AO35)</f>
        <v>0</v>
      </c>
      <c r="AP36" s="8">
        <f t="shared" ref="AP36" si="86">SUM(AP34:AP35)</f>
        <v>0</v>
      </c>
      <c r="AQ36" s="8">
        <f t="shared" ref="AQ36" si="87">SUM(AQ34:AQ35)</f>
        <v>0</v>
      </c>
      <c r="AR36" s="8">
        <f t="shared" ref="AR36" si="88">SUM(AR34:AR35)</f>
        <v>0</v>
      </c>
      <c r="AS36" s="8">
        <f t="shared" ref="AS36" si="89">SUM(AS34:AS35)</f>
        <v>0</v>
      </c>
      <c r="AT36" s="8">
        <f t="shared" ref="AT36" si="90">SUM(AT34:AT35)</f>
        <v>0</v>
      </c>
      <c r="AU36" s="8">
        <f t="shared" ref="AU36" si="91">SUM(AU34:AU35)</f>
        <v>0</v>
      </c>
      <c r="AV36" s="8">
        <f t="shared" ref="AV36" si="92">SUM(AV34:AV35)</f>
        <v>0</v>
      </c>
      <c r="AW36" s="8">
        <f t="shared" ref="AW36" si="93">SUM(AW34:AW35)</f>
        <v>0</v>
      </c>
    </row>
    <row r="37" spans="2:49" ht="14.25" customHeight="1">
      <c r="B37" s="1"/>
      <c r="C37" s="17" t="s">
        <v>405</v>
      </c>
      <c r="D37" s="15">
        <f>-D159</f>
        <v>0</v>
      </c>
      <c r="E37" s="15">
        <f t="shared" ref="E37:X37" si="94">-E159</f>
        <v>0</v>
      </c>
      <c r="F37" s="15">
        <f t="shared" si="94"/>
        <v>4.2750000000000004</v>
      </c>
      <c r="G37" s="15">
        <f t="shared" si="94"/>
        <v>4.2750000000000004</v>
      </c>
      <c r="H37" s="15">
        <f t="shared" si="94"/>
        <v>4.2750000000000004</v>
      </c>
      <c r="I37" s="15">
        <f t="shared" si="94"/>
        <v>4.2750000000000004</v>
      </c>
      <c r="J37" s="15">
        <f t="shared" si="94"/>
        <v>4.2750000000000004</v>
      </c>
      <c r="K37" s="15">
        <f t="shared" si="94"/>
        <v>4.2750000000000004</v>
      </c>
      <c r="L37" s="15">
        <f t="shared" si="94"/>
        <v>4.2750000000000004</v>
      </c>
      <c r="M37" s="15">
        <f t="shared" si="94"/>
        <v>4.2750000000000004</v>
      </c>
      <c r="N37" s="15">
        <f t="shared" si="94"/>
        <v>4.2750000000000004</v>
      </c>
      <c r="O37" s="15">
        <f t="shared" si="94"/>
        <v>4.2750000000000004</v>
      </c>
      <c r="P37" s="15">
        <f t="shared" si="94"/>
        <v>4.2750000000000004</v>
      </c>
      <c r="Q37" s="15">
        <f t="shared" si="94"/>
        <v>4.2750000000000004</v>
      </c>
      <c r="R37" s="15">
        <f t="shared" si="94"/>
        <v>4.2750000000000004</v>
      </c>
      <c r="S37" s="15">
        <f t="shared" si="94"/>
        <v>4.2750000000000004</v>
      </c>
      <c r="T37" s="15">
        <f t="shared" si="94"/>
        <v>4.2750000000000004</v>
      </c>
      <c r="U37" s="15">
        <f t="shared" si="94"/>
        <v>4.2750000000000004</v>
      </c>
      <c r="V37" s="15">
        <f t="shared" si="94"/>
        <v>4.2750000000000004</v>
      </c>
      <c r="W37" s="15">
        <f t="shared" si="94"/>
        <v>4.2750000000000004</v>
      </c>
      <c r="X37" s="15">
        <f t="shared" si="94"/>
        <v>4.2750000000000004</v>
      </c>
      <c r="Y37" s="15">
        <f t="shared" ref="Y37:AW37" si="95">-Y159</f>
        <v>4.2750000000000004</v>
      </c>
      <c r="Z37" s="15">
        <f t="shared" si="95"/>
        <v>4.2750000000000004</v>
      </c>
      <c r="AA37" s="15">
        <f t="shared" si="95"/>
        <v>4.2750000000000004</v>
      </c>
      <c r="AB37" s="15">
        <f t="shared" si="95"/>
        <v>4.2750000000000004</v>
      </c>
      <c r="AC37" s="15">
        <f t="shared" si="95"/>
        <v>4.2750000000000004</v>
      </c>
      <c r="AD37" s="15">
        <f t="shared" si="95"/>
        <v>4.2750000000000004</v>
      </c>
      <c r="AE37" s="15">
        <f t="shared" si="95"/>
        <v>0</v>
      </c>
      <c r="AF37" s="15">
        <f t="shared" si="95"/>
        <v>0</v>
      </c>
      <c r="AG37" s="15">
        <f t="shared" si="95"/>
        <v>0</v>
      </c>
      <c r="AH37" s="15">
        <f t="shared" si="95"/>
        <v>0</v>
      </c>
      <c r="AI37" s="15">
        <f t="shared" si="95"/>
        <v>0</v>
      </c>
      <c r="AJ37" s="15">
        <f t="shared" si="95"/>
        <v>0</v>
      </c>
      <c r="AK37" s="15">
        <f t="shared" si="95"/>
        <v>0</v>
      </c>
      <c r="AL37" s="15">
        <f t="shared" si="95"/>
        <v>0</v>
      </c>
      <c r="AM37" s="15">
        <f t="shared" si="95"/>
        <v>0</v>
      </c>
      <c r="AN37" s="15">
        <f t="shared" si="95"/>
        <v>0</v>
      </c>
      <c r="AO37" s="15">
        <f t="shared" si="95"/>
        <v>0</v>
      </c>
      <c r="AP37" s="15">
        <f t="shared" si="95"/>
        <v>0</v>
      </c>
      <c r="AQ37" s="15">
        <f t="shared" si="95"/>
        <v>0</v>
      </c>
      <c r="AR37" s="15">
        <f t="shared" si="95"/>
        <v>0</v>
      </c>
      <c r="AS37" s="15">
        <f t="shared" si="95"/>
        <v>0</v>
      </c>
      <c r="AT37" s="15">
        <f t="shared" si="95"/>
        <v>0</v>
      </c>
      <c r="AU37" s="15">
        <f t="shared" si="95"/>
        <v>0</v>
      </c>
      <c r="AV37" s="15">
        <f t="shared" si="95"/>
        <v>0</v>
      </c>
      <c r="AW37" s="15">
        <f t="shared" si="95"/>
        <v>0</v>
      </c>
    </row>
    <row r="38" spans="2:49" ht="14.25" customHeight="1">
      <c r="B38" s="1"/>
      <c r="C38" s="17" t="s">
        <v>406</v>
      </c>
      <c r="D38" s="18">
        <f>D24</f>
        <v>-103.125</v>
      </c>
      <c r="E38" s="18">
        <f t="shared" ref="E38:X38" si="96">E24</f>
        <v>-9.375</v>
      </c>
      <c r="F38" s="18">
        <f t="shared" si="96"/>
        <v>0</v>
      </c>
      <c r="G38" s="18">
        <f t="shared" si="96"/>
        <v>0</v>
      </c>
      <c r="H38" s="18">
        <f t="shared" si="96"/>
        <v>0</v>
      </c>
      <c r="I38" s="18">
        <f t="shared" si="96"/>
        <v>0</v>
      </c>
      <c r="J38" s="18">
        <f t="shared" si="96"/>
        <v>0</v>
      </c>
      <c r="K38" s="18">
        <f t="shared" si="96"/>
        <v>0</v>
      </c>
      <c r="L38" s="18">
        <f t="shared" si="96"/>
        <v>0</v>
      </c>
      <c r="M38" s="18">
        <f t="shared" si="96"/>
        <v>0</v>
      </c>
      <c r="N38" s="18">
        <f t="shared" si="96"/>
        <v>0</v>
      </c>
      <c r="O38" s="18">
        <f t="shared" si="96"/>
        <v>0</v>
      </c>
      <c r="P38" s="18">
        <f t="shared" si="96"/>
        <v>0</v>
      </c>
      <c r="Q38" s="18">
        <f t="shared" si="96"/>
        <v>0</v>
      </c>
      <c r="R38" s="18">
        <f t="shared" si="96"/>
        <v>0</v>
      </c>
      <c r="S38" s="18">
        <f t="shared" si="96"/>
        <v>0</v>
      </c>
      <c r="T38" s="18">
        <f t="shared" si="96"/>
        <v>0</v>
      </c>
      <c r="U38" s="18">
        <f t="shared" si="96"/>
        <v>0</v>
      </c>
      <c r="V38" s="18">
        <f t="shared" si="96"/>
        <v>0</v>
      </c>
      <c r="W38" s="18">
        <f t="shared" si="96"/>
        <v>0</v>
      </c>
      <c r="X38" s="18">
        <f t="shared" si="96"/>
        <v>0</v>
      </c>
      <c r="Y38" s="18">
        <f t="shared" ref="Y38:AW38" si="97">Y24</f>
        <v>0</v>
      </c>
      <c r="Z38" s="18">
        <f t="shared" si="97"/>
        <v>0</v>
      </c>
      <c r="AA38" s="18">
        <f t="shared" si="97"/>
        <v>0</v>
      </c>
      <c r="AB38" s="18">
        <f t="shared" si="97"/>
        <v>0</v>
      </c>
      <c r="AC38" s="18">
        <f t="shared" si="97"/>
        <v>0</v>
      </c>
      <c r="AD38" s="18">
        <f t="shared" si="97"/>
        <v>0</v>
      </c>
      <c r="AE38" s="18">
        <f t="shared" si="97"/>
        <v>0</v>
      </c>
      <c r="AF38" s="18">
        <f t="shared" si="97"/>
        <v>0</v>
      </c>
      <c r="AG38" s="18">
        <f t="shared" si="97"/>
        <v>0</v>
      </c>
      <c r="AH38" s="18">
        <f t="shared" si="97"/>
        <v>0</v>
      </c>
      <c r="AI38" s="18">
        <f t="shared" si="97"/>
        <v>0</v>
      </c>
      <c r="AJ38" s="18">
        <f t="shared" si="97"/>
        <v>0</v>
      </c>
      <c r="AK38" s="18">
        <f t="shared" si="97"/>
        <v>0</v>
      </c>
      <c r="AL38" s="18">
        <f t="shared" si="97"/>
        <v>0</v>
      </c>
      <c r="AM38" s="18">
        <f t="shared" si="97"/>
        <v>0</v>
      </c>
      <c r="AN38" s="18">
        <f t="shared" si="97"/>
        <v>0</v>
      </c>
      <c r="AO38" s="18">
        <f t="shared" si="97"/>
        <v>0</v>
      </c>
      <c r="AP38" s="18">
        <f t="shared" si="97"/>
        <v>0</v>
      </c>
      <c r="AQ38" s="18">
        <f t="shared" si="97"/>
        <v>0</v>
      </c>
      <c r="AR38" s="18">
        <f t="shared" si="97"/>
        <v>0</v>
      </c>
      <c r="AS38" s="18">
        <f t="shared" si="97"/>
        <v>0</v>
      </c>
      <c r="AT38" s="18">
        <f t="shared" si="97"/>
        <v>0</v>
      </c>
      <c r="AU38" s="18">
        <f t="shared" si="97"/>
        <v>0</v>
      </c>
      <c r="AV38" s="18">
        <f t="shared" si="97"/>
        <v>0</v>
      </c>
      <c r="AW38" s="18">
        <f t="shared" si="97"/>
        <v>0</v>
      </c>
    </row>
    <row r="39" spans="2:49" ht="14.25" customHeight="1">
      <c r="B39" s="1"/>
      <c r="C39" s="17" t="s">
        <v>407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</row>
    <row r="40" spans="2:49" ht="14.25" customHeight="1">
      <c r="B40" s="1"/>
      <c r="C40" s="20" t="s">
        <v>408</v>
      </c>
      <c r="D40" s="21">
        <f t="shared" ref="D40:X40" si="98">SUM(D36:D39)</f>
        <v>-103.125</v>
      </c>
      <c r="E40" s="21">
        <f t="shared" si="98"/>
        <v>60.523992482293721</v>
      </c>
      <c r="F40" s="21">
        <f t="shared" si="98"/>
        <v>98.988277615753432</v>
      </c>
      <c r="G40" s="21">
        <f t="shared" si="98"/>
        <v>100.54940630604342</v>
      </c>
      <c r="H40" s="21">
        <f t="shared" si="98"/>
        <v>102.1606493332161</v>
      </c>
      <c r="I40" s="21">
        <f t="shared" si="98"/>
        <v>103.76947006855981</v>
      </c>
      <c r="J40" s="21">
        <f t="shared" si="98"/>
        <v>105.40448382455499</v>
      </c>
      <c r="K40" s="21">
        <f t="shared" si="98"/>
        <v>107.07219379825781</v>
      </c>
      <c r="L40" s="21">
        <f t="shared" si="98"/>
        <v>108.77325384867777</v>
      </c>
      <c r="M40" s="21">
        <f t="shared" si="98"/>
        <v>110.50833091093776</v>
      </c>
      <c r="N40" s="21">
        <f t="shared" si="98"/>
        <v>112.27810525777903</v>
      </c>
      <c r="O40" s="21">
        <f t="shared" si="98"/>
        <v>114.08327076629539</v>
      </c>
      <c r="P40" s="21">
        <f t="shared" si="98"/>
        <v>115.92453519000229</v>
      </c>
      <c r="Q40" s="21">
        <f t="shared" si="98"/>
        <v>117.8026204363465</v>
      </c>
      <c r="R40" s="21">
        <f t="shared" si="98"/>
        <v>119.71826284976603</v>
      </c>
      <c r="S40" s="21">
        <f t="shared" si="98"/>
        <v>121.67221350041069</v>
      </c>
      <c r="T40" s="21">
        <f t="shared" si="98"/>
        <v>123.66523847863709</v>
      </c>
      <c r="U40" s="21">
        <f t="shared" si="98"/>
        <v>125.69811919539265</v>
      </c>
      <c r="V40" s="21">
        <f t="shared" si="98"/>
        <v>127.77165268860752</v>
      </c>
      <c r="W40" s="21">
        <f t="shared" si="98"/>
        <v>129.8866519357137</v>
      </c>
      <c r="X40" s="21">
        <f t="shared" si="98"/>
        <v>132.04394617241425</v>
      </c>
      <c r="Y40" s="21">
        <f t="shared" ref="Y40" si="99">SUM(Y36:Y39)</f>
        <v>134.24438121782759</v>
      </c>
      <c r="Z40" s="21">
        <f t="shared" ref="Z40" si="100">SUM(Z36:Z39)</f>
        <v>136.48881980613427</v>
      </c>
      <c r="AA40" s="21">
        <f t="shared" ref="AA40" si="101">SUM(AA36:AA39)</f>
        <v>138.77814192485633</v>
      </c>
      <c r="AB40" s="21">
        <f t="shared" ref="AB40" si="102">SUM(AB36:AB39)</f>
        <v>141.11324515990202</v>
      </c>
      <c r="AC40" s="21">
        <f t="shared" ref="AC40" si="103">SUM(AC36:AC39)</f>
        <v>143.49504504751056</v>
      </c>
      <c r="AD40" s="21">
        <f t="shared" ref="AD40" si="104">SUM(AD36:AD39)</f>
        <v>145.92447543323627</v>
      </c>
      <c r="AE40" s="21">
        <f t="shared" ref="AE40" si="105">SUM(AE36:AE39)</f>
        <v>0</v>
      </c>
      <c r="AF40" s="21">
        <f t="shared" ref="AF40" si="106">SUM(AF36:AF39)</f>
        <v>0</v>
      </c>
      <c r="AG40" s="21">
        <f t="shared" ref="AG40" si="107">SUM(AG36:AG39)</f>
        <v>0</v>
      </c>
      <c r="AH40" s="21">
        <f t="shared" ref="AH40" si="108">SUM(AH36:AH39)</f>
        <v>0</v>
      </c>
      <c r="AI40" s="21">
        <f t="shared" ref="AI40" si="109">SUM(AI36:AI39)</f>
        <v>0</v>
      </c>
      <c r="AJ40" s="21">
        <f t="shared" ref="AJ40" si="110">SUM(AJ36:AJ39)</f>
        <v>0</v>
      </c>
      <c r="AK40" s="21">
        <f t="shared" ref="AK40" si="111">SUM(AK36:AK39)</f>
        <v>0</v>
      </c>
      <c r="AL40" s="21">
        <f t="shared" ref="AL40" si="112">SUM(AL36:AL39)</f>
        <v>0</v>
      </c>
      <c r="AM40" s="21">
        <f t="shared" ref="AM40" si="113">SUM(AM36:AM39)</f>
        <v>0</v>
      </c>
      <c r="AN40" s="21">
        <f t="shared" ref="AN40" si="114">SUM(AN36:AN39)</f>
        <v>0</v>
      </c>
      <c r="AO40" s="21">
        <f t="shared" ref="AO40" si="115">SUM(AO36:AO39)</f>
        <v>0</v>
      </c>
      <c r="AP40" s="21">
        <f t="shared" ref="AP40" si="116">SUM(AP36:AP39)</f>
        <v>0</v>
      </c>
      <c r="AQ40" s="21">
        <f t="shared" ref="AQ40" si="117">SUM(AQ36:AQ39)</f>
        <v>0</v>
      </c>
      <c r="AR40" s="21">
        <f t="shared" ref="AR40" si="118">SUM(AR36:AR39)</f>
        <v>0</v>
      </c>
      <c r="AS40" s="21">
        <f t="shared" ref="AS40" si="119">SUM(AS36:AS39)</f>
        <v>0</v>
      </c>
      <c r="AT40" s="21">
        <f t="shared" ref="AT40" si="120">SUM(AT36:AT39)</f>
        <v>0</v>
      </c>
      <c r="AU40" s="21">
        <f t="shared" ref="AU40" si="121">SUM(AU36:AU39)</f>
        <v>0</v>
      </c>
      <c r="AV40" s="21">
        <f t="shared" ref="AV40" si="122">SUM(AV36:AV39)</f>
        <v>0</v>
      </c>
      <c r="AW40" s="21">
        <f t="shared" ref="AW40" si="123">SUM(AW36:AW39)</f>
        <v>0</v>
      </c>
    </row>
    <row r="41" spans="2:49" ht="14.25" customHeight="1">
      <c r="B41" s="1"/>
      <c r="C41" s="1" t="s">
        <v>409</v>
      </c>
      <c r="D41" s="15">
        <f>-E65</f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2:49" ht="14.25" customHeight="1">
      <c r="B42" s="1"/>
      <c r="C42" s="1" t="s">
        <v>410</v>
      </c>
      <c r="D42" s="1">
        <f>IF(AND(MOD(D32-YEAR('Assumptions &amp; Inputs'!$K$31),'Assumptions &amp; Inputs'!$K$34)=0, D32&lt;=YEAR('Assumptions &amp; Inputs'!$K$36), D9&gt;YEAR('Assumptions &amp; Inputs'!$K$31)),'Assumptions &amp; Inputs'!$K$37*'Assumptions &amp; Inputs'!$K$38*IF(D32-'Assumptions &amp; Inputs'!$K$34&gt;YEAR('Assumptions &amp; Inputs'!$K$31), 'Assumptions &amp; Inputs'!$K$33, 1), 0)</f>
        <v>0</v>
      </c>
      <c r="E42" s="1">
        <f>IF(AND(MOD(E32-YEAR('Assumptions &amp; Inputs'!$K$31),'Assumptions &amp; Inputs'!$K$34)=0, E32&lt;=YEAR('Assumptions &amp; Inputs'!$K$36), E9&gt;YEAR('Assumptions &amp; Inputs'!$K$31)),'Assumptions &amp; Inputs'!$K$37*'Assumptions &amp; Inputs'!$K$38*IF(E32-'Assumptions &amp; Inputs'!$K$34&gt;YEAR('Assumptions &amp; Inputs'!$K$31), 'Assumptions &amp; Inputs'!$K$33, 1), 0)</f>
        <v>0</v>
      </c>
      <c r="F42" s="1">
        <f>IF(AND(MOD(F32-YEAR('Assumptions &amp; Inputs'!$K$31),'Assumptions &amp; Inputs'!$K$34)=0, F32&lt;=YEAR('Assumptions &amp; Inputs'!$K$36), F9&gt;YEAR('Assumptions &amp; Inputs'!$K$31)),'Assumptions &amp; Inputs'!$K$37*'Assumptions &amp; Inputs'!$K$38*IF(F32-'Assumptions &amp; Inputs'!$K$34&gt;YEAR('Assumptions &amp; Inputs'!$K$31), 'Assumptions &amp; Inputs'!$K$33, 1), 0)</f>
        <v>0</v>
      </c>
      <c r="G42" s="1">
        <f>IF(AND(MOD(G32-YEAR('Assumptions &amp; Inputs'!$K$31),'Assumptions &amp; Inputs'!$K$34)=0, G32&lt;=YEAR('Assumptions &amp; Inputs'!$K$36), G9&gt;YEAR('Assumptions &amp; Inputs'!$K$31)),'Assumptions &amp; Inputs'!$K$37*'Assumptions &amp; Inputs'!$K$38*IF(G32-'Assumptions &amp; Inputs'!$K$34&gt;YEAR('Assumptions &amp; Inputs'!$K$31), 'Assumptions &amp; Inputs'!$K$33, 1), 0)</f>
        <v>0</v>
      </c>
      <c r="H42" s="1">
        <f>IF(AND(MOD(H32-YEAR('Assumptions &amp; Inputs'!$K$31),'Assumptions &amp; Inputs'!$K$34)=0, H32&lt;=YEAR('Assumptions &amp; Inputs'!$K$36), H9&gt;YEAR('Assumptions &amp; Inputs'!$K$31)),'Assumptions &amp; Inputs'!$K$37*'Assumptions &amp; Inputs'!$K$38*IF(H32-'Assumptions &amp; Inputs'!$K$34&gt;YEAR('Assumptions &amp; Inputs'!$K$31), 'Assumptions &amp; Inputs'!$K$33, 1), 0)</f>
        <v>0</v>
      </c>
      <c r="I42" s="1">
        <f>IF(AND(MOD(I32-YEAR('Assumptions &amp; Inputs'!$K$31),'Assumptions &amp; Inputs'!$K$34)=0, I32&lt;=YEAR('Assumptions &amp; Inputs'!$K$36), I9&gt;YEAR('Assumptions &amp; Inputs'!$K$31)),'Assumptions &amp; Inputs'!$K$37*'Assumptions &amp; Inputs'!$K$38*IF(I32-'Assumptions &amp; Inputs'!$K$34&gt;YEAR('Assumptions &amp; Inputs'!$K$31), 'Assumptions &amp; Inputs'!$K$33, 1), 0)</f>
        <v>0</v>
      </c>
      <c r="J42" s="1">
        <f>IF(AND(MOD(J32-YEAR('Assumptions &amp; Inputs'!$K$31),'Assumptions &amp; Inputs'!$K$34)=0, J32&lt;=YEAR('Assumptions &amp; Inputs'!$K$36), J9&gt;YEAR('Assumptions &amp; Inputs'!$K$31)),'Assumptions &amp; Inputs'!$K$37*'Assumptions &amp; Inputs'!$K$38*IF(J32-'Assumptions &amp; Inputs'!$K$34&gt;YEAR('Assumptions &amp; Inputs'!$K$31), 'Assumptions &amp; Inputs'!$K$33, 1), 0)</f>
        <v>0</v>
      </c>
      <c r="K42" s="1">
        <f>IF(AND(MOD(K32-YEAR('Assumptions &amp; Inputs'!$K$31),'Assumptions &amp; Inputs'!$K$34)=0, K32&lt;=YEAR('Assumptions &amp; Inputs'!$K$36), K9&gt;YEAR('Assumptions &amp; Inputs'!$K$31)),'Assumptions &amp; Inputs'!$K$37*'Assumptions &amp; Inputs'!$K$38*IF(K32-'Assumptions &amp; Inputs'!$K$34&gt;YEAR('Assumptions &amp; Inputs'!$K$31), 'Assumptions &amp; Inputs'!$K$33, 1), 0)</f>
        <v>0</v>
      </c>
      <c r="L42" s="1">
        <f>IF(AND(MOD(L32-YEAR('Assumptions &amp; Inputs'!$K$31),'Assumptions &amp; Inputs'!$K$34)=0, L32&lt;=YEAR('Assumptions &amp; Inputs'!$K$36), L9&gt;YEAR('Assumptions &amp; Inputs'!$K$31)),'Assumptions &amp; Inputs'!$K$37*'Assumptions &amp; Inputs'!$K$38*IF(L32-'Assumptions &amp; Inputs'!$K$34&gt;YEAR('Assumptions &amp; Inputs'!$K$31), 'Assumptions &amp; Inputs'!$K$33, 1), 0)</f>
        <v>0</v>
      </c>
      <c r="M42" s="1">
        <f>IF(AND(MOD(M32-YEAR('Assumptions &amp; Inputs'!$K$31),'Assumptions &amp; Inputs'!$K$34)=0, M32&lt;=YEAR('Assumptions &amp; Inputs'!$K$36), M9&gt;YEAR('Assumptions &amp; Inputs'!$K$31)),'Assumptions &amp; Inputs'!$K$37*'Assumptions &amp; Inputs'!$K$38*IF(M32-'Assumptions &amp; Inputs'!$K$34&gt;YEAR('Assumptions &amp; Inputs'!$K$31), 'Assumptions &amp; Inputs'!$K$33, 1), 0)</f>
        <v>0</v>
      </c>
      <c r="N42" s="1">
        <f>IF(AND(MOD(N32-YEAR('Assumptions &amp; Inputs'!$K$31),'Assumptions &amp; Inputs'!$K$34)=0, N32&lt;=YEAR('Assumptions &amp; Inputs'!$K$36), N9&gt;YEAR('Assumptions &amp; Inputs'!$K$31)),'Assumptions &amp; Inputs'!$K$37*'Assumptions &amp; Inputs'!$K$38*IF(N32-'Assumptions &amp; Inputs'!$K$34&gt;YEAR('Assumptions &amp; Inputs'!$K$31), 'Assumptions &amp; Inputs'!$K$33, 1), 0)</f>
        <v>0</v>
      </c>
      <c r="O42" s="1">
        <f>IF(AND(MOD(O32-YEAR('Assumptions &amp; Inputs'!$K$31),'Assumptions &amp; Inputs'!$K$34)=0, O32&lt;=YEAR('Assumptions &amp; Inputs'!$K$36), O9&gt;YEAR('Assumptions &amp; Inputs'!$K$31)),'Assumptions &amp; Inputs'!$K$37*'Assumptions &amp; Inputs'!$K$38*IF(O32-'Assumptions &amp; Inputs'!$K$34&gt;YEAR('Assumptions &amp; Inputs'!$K$31), 'Assumptions &amp; Inputs'!$K$33, 1), 0)</f>
        <v>0</v>
      </c>
      <c r="P42" s="1">
        <f>IF(AND(MOD(P32-YEAR('Assumptions &amp; Inputs'!$K$31),'Assumptions &amp; Inputs'!$K$34)=0, P32&lt;=YEAR('Assumptions &amp; Inputs'!$K$36), P9&gt;YEAR('Assumptions &amp; Inputs'!$K$31)),'Assumptions &amp; Inputs'!$K$37*'Assumptions &amp; Inputs'!$K$38*IF(P32-'Assumptions &amp; Inputs'!$K$34&gt;YEAR('Assumptions &amp; Inputs'!$K$31), 'Assumptions &amp; Inputs'!$K$33, 1), 0)</f>
        <v>0</v>
      </c>
      <c r="Q42" s="1">
        <f>IF(AND(MOD(Q32-YEAR('Assumptions &amp; Inputs'!$K$31),'Assumptions &amp; Inputs'!$K$34)=0, Q32&lt;=YEAR('Assumptions &amp; Inputs'!$K$36), Q9&gt;YEAR('Assumptions &amp; Inputs'!$K$31)),'Assumptions &amp; Inputs'!$K$37*'Assumptions &amp; Inputs'!$K$38*IF(Q32-'Assumptions &amp; Inputs'!$K$34&gt;YEAR('Assumptions &amp; Inputs'!$K$31), 'Assumptions &amp; Inputs'!$K$33, 1), 0)</f>
        <v>0</v>
      </c>
      <c r="R42" s="1">
        <f>IF(AND(MOD(R32-YEAR('Assumptions &amp; Inputs'!$K$31),'Assumptions &amp; Inputs'!$K$34)=0, R32&lt;=YEAR('Assumptions &amp; Inputs'!$K$36), R9&gt;YEAR('Assumptions &amp; Inputs'!$K$31)),'Assumptions &amp; Inputs'!$K$37*'Assumptions &amp; Inputs'!$K$38*IF(R32-'Assumptions &amp; Inputs'!$K$34&gt;YEAR('Assumptions &amp; Inputs'!$K$31), 'Assumptions &amp; Inputs'!$K$33, 1), 0)</f>
        <v>0</v>
      </c>
      <c r="S42" s="1">
        <f>IF(AND(MOD(S32-YEAR('Assumptions &amp; Inputs'!$K$31),'Assumptions &amp; Inputs'!$K$34)=0, S32&lt;=YEAR('Assumptions &amp; Inputs'!$K$36), S9&gt;YEAR('Assumptions &amp; Inputs'!$K$31)),'Assumptions &amp; Inputs'!$K$37*'Assumptions &amp; Inputs'!$K$38*IF(S32-'Assumptions &amp; Inputs'!$K$34&gt;YEAR('Assumptions &amp; Inputs'!$K$31), 'Assumptions &amp; Inputs'!$K$33, 1), 0)</f>
        <v>0</v>
      </c>
      <c r="T42" s="1">
        <f>IF(AND(MOD(T32-YEAR('Assumptions &amp; Inputs'!$K$31),'Assumptions &amp; Inputs'!$K$34)=0, T32&lt;=YEAR('Assumptions &amp; Inputs'!$K$36), T9&gt;YEAR('Assumptions &amp; Inputs'!$K$31)),'Assumptions &amp; Inputs'!$K$37*'Assumptions &amp; Inputs'!$K$38*IF(T32-'Assumptions &amp; Inputs'!$K$34&gt;YEAR('Assumptions &amp; Inputs'!$K$31), 'Assumptions &amp; Inputs'!$K$33, 1), 0)</f>
        <v>0</v>
      </c>
      <c r="U42" s="1">
        <f>IF(AND(MOD(U32-YEAR('Assumptions &amp; Inputs'!$K$31),'Assumptions &amp; Inputs'!$K$34)=0, U32&lt;=YEAR('Assumptions &amp; Inputs'!$K$36), U9&gt;YEAR('Assumptions &amp; Inputs'!$K$31)),'Assumptions &amp; Inputs'!$K$37*'Assumptions &amp; Inputs'!$K$38*IF(U32-'Assumptions &amp; Inputs'!$K$34&gt;YEAR('Assumptions &amp; Inputs'!$K$31), 'Assumptions &amp; Inputs'!$K$33, 1), 0)</f>
        <v>0</v>
      </c>
      <c r="V42" s="1">
        <f>IF(AND(MOD(V32-YEAR('Assumptions &amp; Inputs'!$K$31),'Assumptions &amp; Inputs'!$K$34)=0, V32&lt;=YEAR('Assumptions &amp; Inputs'!$K$36), V9&gt;YEAR('Assumptions &amp; Inputs'!$K$31)),'Assumptions &amp; Inputs'!$K$37*'Assumptions &amp; Inputs'!$K$38*IF(V32-'Assumptions &amp; Inputs'!$K$34&gt;YEAR('Assumptions &amp; Inputs'!$K$31), 'Assumptions &amp; Inputs'!$K$33, 1), 0)</f>
        <v>0</v>
      </c>
      <c r="W42" s="1">
        <f>IF(AND(MOD(W32-YEAR('Assumptions &amp; Inputs'!$K$31),'Assumptions &amp; Inputs'!$K$34)=0, W32&lt;=YEAR('Assumptions &amp; Inputs'!$K$36), W9&gt;YEAR('Assumptions &amp; Inputs'!$K$31)),'Assumptions &amp; Inputs'!$K$37*'Assumptions &amp; Inputs'!$K$38*IF(W32-'Assumptions &amp; Inputs'!$K$34&gt;YEAR('Assumptions &amp; Inputs'!$K$31), 'Assumptions &amp; Inputs'!$K$33, 1), 0)</f>
        <v>0</v>
      </c>
      <c r="X42" s="1">
        <f>IF(AND(MOD(X32-YEAR('Assumptions &amp; Inputs'!$K$31),'Assumptions &amp; Inputs'!$K$34)=0, X32&lt;=YEAR('Assumptions &amp; Inputs'!$K$36), X9&gt;YEAR('Assumptions &amp; Inputs'!$K$31)),'Assumptions &amp; Inputs'!$K$37*'Assumptions &amp; Inputs'!$K$38*IF(X32-'Assumptions &amp; Inputs'!$K$34&gt;YEAR('Assumptions &amp; Inputs'!$K$31), 'Assumptions &amp; Inputs'!$K$33, 1), 0)</f>
        <v>0</v>
      </c>
      <c r="Y42" s="1">
        <f>IF(AND(MOD(Y32-YEAR('Assumptions &amp; Inputs'!$K$31),'Assumptions &amp; Inputs'!$K$34)=0, Y32&lt;=YEAR('Assumptions &amp; Inputs'!$K$36), Y9&gt;YEAR('Assumptions &amp; Inputs'!$K$31)),'Assumptions &amp; Inputs'!$K$37*'Assumptions &amp; Inputs'!$K$38*IF(Y32-'Assumptions &amp; Inputs'!$K$34&gt;YEAR('Assumptions &amp; Inputs'!$K$31), 'Assumptions &amp; Inputs'!$K$33, 1), 0)</f>
        <v>0</v>
      </c>
      <c r="Z42" s="1">
        <f>IF(AND(MOD(Z32-YEAR('Assumptions &amp; Inputs'!$K$31),'Assumptions &amp; Inputs'!$K$34)=0, Z32&lt;=YEAR('Assumptions &amp; Inputs'!$K$36), Z9&gt;YEAR('Assumptions &amp; Inputs'!$K$31)),'Assumptions &amp; Inputs'!$K$37*'Assumptions &amp; Inputs'!$K$38*IF(Z32-'Assumptions &amp; Inputs'!$K$34&gt;YEAR('Assumptions &amp; Inputs'!$K$31), 'Assumptions &amp; Inputs'!$K$33, 1), 0)</f>
        <v>0</v>
      </c>
      <c r="AA42" s="1">
        <f>IF(AND(MOD(AA32-YEAR('Assumptions &amp; Inputs'!$K$31),'Assumptions &amp; Inputs'!$K$34)=0, AA32&lt;=YEAR('Assumptions &amp; Inputs'!$K$36), AA9&gt;YEAR('Assumptions &amp; Inputs'!$K$31)),'Assumptions &amp; Inputs'!$K$37*'Assumptions &amp; Inputs'!$K$38*IF(AA32-'Assumptions &amp; Inputs'!$K$34&gt;YEAR('Assumptions &amp; Inputs'!$K$31), 'Assumptions &amp; Inputs'!$K$33, 1), 0)</f>
        <v>0</v>
      </c>
      <c r="AB42" s="1">
        <f>IF(AND(MOD(AB32-YEAR('Assumptions &amp; Inputs'!$K$31),'Assumptions &amp; Inputs'!$K$34)=0, AB32&lt;=YEAR('Assumptions &amp; Inputs'!$K$36), AB9&gt;YEAR('Assumptions &amp; Inputs'!$K$31)),'Assumptions &amp; Inputs'!$K$37*'Assumptions &amp; Inputs'!$K$38*IF(AB32-'Assumptions &amp; Inputs'!$K$34&gt;YEAR('Assumptions &amp; Inputs'!$K$31), 'Assumptions &amp; Inputs'!$K$33, 1), 0)</f>
        <v>0</v>
      </c>
      <c r="AC42" s="1">
        <f>IF(AND(MOD(AC32-YEAR('Assumptions &amp; Inputs'!$K$31),'Assumptions &amp; Inputs'!$K$34)=0, AC32&lt;=YEAR('Assumptions &amp; Inputs'!$K$36), AC9&gt;YEAR('Assumptions &amp; Inputs'!$K$31)),'Assumptions &amp; Inputs'!$K$37*'Assumptions &amp; Inputs'!$K$38*IF(AC32-'Assumptions &amp; Inputs'!$K$34&gt;YEAR('Assumptions &amp; Inputs'!$K$31), 'Assumptions &amp; Inputs'!$K$33, 1), 0)</f>
        <v>0</v>
      </c>
      <c r="AD42" s="1">
        <f>IF(AND(MOD(AD32-YEAR('Assumptions &amp; Inputs'!$K$31),'Assumptions &amp; Inputs'!$K$34)=0, AD32&lt;=YEAR('Assumptions &amp; Inputs'!$K$36), AD9&gt;YEAR('Assumptions &amp; Inputs'!$K$31)),'Assumptions &amp; Inputs'!$K$37*'Assumptions &amp; Inputs'!$K$38*IF(AD32-'Assumptions &amp; Inputs'!$K$34&gt;YEAR('Assumptions &amp; Inputs'!$K$31), 'Assumptions &amp; Inputs'!$K$33, 1), 0)</f>
        <v>5.625</v>
      </c>
      <c r="AE42" s="1">
        <f>IF(AND(MOD(AE32-YEAR('Assumptions &amp; Inputs'!$K$31),'Assumptions &amp; Inputs'!$K$34)=0, AE32&lt;=YEAR('Assumptions &amp; Inputs'!$K$36), AE9&gt;YEAR('Assumptions &amp; Inputs'!$K$31)),'Assumptions &amp; Inputs'!$K$37*'Assumptions &amp; Inputs'!$K$38*IF(AE32-'Assumptions &amp; Inputs'!$K$34&gt;YEAR('Assumptions &amp; Inputs'!$K$31), 'Assumptions &amp; Inputs'!$K$33, 1), 0)</f>
        <v>0</v>
      </c>
      <c r="AF42" s="1">
        <f>IF(AND(MOD(AF32-YEAR('Assumptions &amp; Inputs'!$K$31),'Assumptions &amp; Inputs'!$K$34)=0, AF32&lt;=YEAR('Assumptions &amp; Inputs'!$K$36), AF9&gt;YEAR('Assumptions &amp; Inputs'!$K$31)),'Assumptions &amp; Inputs'!$K$37*'Assumptions &amp; Inputs'!$K$38*IF(AF32-'Assumptions &amp; Inputs'!$K$34&gt;YEAR('Assumptions &amp; Inputs'!$K$31), 'Assumptions &amp; Inputs'!$K$33, 1), 0)</f>
        <v>0</v>
      </c>
      <c r="AG42" s="1">
        <f>IF(AND(MOD(AG32-YEAR('Assumptions &amp; Inputs'!$K$31),'Assumptions &amp; Inputs'!$K$34)=0, AG32&lt;=YEAR('Assumptions &amp; Inputs'!$K$36), AG9&gt;YEAR('Assumptions &amp; Inputs'!$K$31)),'Assumptions &amp; Inputs'!$K$37*'Assumptions &amp; Inputs'!$K$38*IF(AG32-'Assumptions &amp; Inputs'!$K$34&gt;YEAR('Assumptions &amp; Inputs'!$K$31), 'Assumptions &amp; Inputs'!$K$33, 1), 0)</f>
        <v>0</v>
      </c>
      <c r="AH42" s="1">
        <f>IF(AND(MOD(AH32-YEAR('Assumptions &amp; Inputs'!$K$31),'Assumptions &amp; Inputs'!$K$34)=0, AH32&lt;=YEAR('Assumptions &amp; Inputs'!$K$36), AH9&gt;YEAR('Assumptions &amp; Inputs'!$K$31)),'Assumptions &amp; Inputs'!$K$37*'Assumptions &amp; Inputs'!$K$38*IF(AH32-'Assumptions &amp; Inputs'!$K$34&gt;YEAR('Assumptions &amp; Inputs'!$K$31), 'Assumptions &amp; Inputs'!$K$33, 1), 0)</f>
        <v>0</v>
      </c>
      <c r="AI42" s="1">
        <f>IF(AND(MOD(AI32-YEAR('Assumptions &amp; Inputs'!$K$31),'Assumptions &amp; Inputs'!$K$34)=0, AI32&lt;=YEAR('Assumptions &amp; Inputs'!$K$36), AI9&gt;YEAR('Assumptions &amp; Inputs'!$K$31)),'Assumptions &amp; Inputs'!$K$37*'Assumptions &amp; Inputs'!$K$38*IF(AI32-'Assumptions &amp; Inputs'!$K$34&gt;YEAR('Assumptions &amp; Inputs'!$K$31), 'Assumptions &amp; Inputs'!$K$33, 1), 0)</f>
        <v>0</v>
      </c>
      <c r="AJ42" s="1">
        <f>IF(AND(MOD(AJ32-YEAR('Assumptions &amp; Inputs'!$K$31),'Assumptions &amp; Inputs'!$K$34)=0, AJ32&lt;=YEAR('Assumptions &amp; Inputs'!$K$36), AJ9&gt;YEAR('Assumptions &amp; Inputs'!$K$31)),'Assumptions &amp; Inputs'!$K$37*'Assumptions &amp; Inputs'!$K$38*IF(AJ32-'Assumptions &amp; Inputs'!$K$34&gt;YEAR('Assumptions &amp; Inputs'!$K$31), 'Assumptions &amp; Inputs'!$K$33, 1), 0)</f>
        <v>0</v>
      </c>
      <c r="AK42" s="1">
        <f>IF(AND(MOD(AK32-YEAR('Assumptions &amp; Inputs'!$K$31),'Assumptions &amp; Inputs'!$K$34)=0, AK32&lt;=YEAR('Assumptions &amp; Inputs'!$K$36), AK9&gt;YEAR('Assumptions &amp; Inputs'!$K$31)),'Assumptions &amp; Inputs'!$K$37*'Assumptions &amp; Inputs'!$K$38*IF(AK32-'Assumptions &amp; Inputs'!$K$34&gt;YEAR('Assumptions &amp; Inputs'!$K$31), 'Assumptions &amp; Inputs'!$K$33, 1), 0)</f>
        <v>0</v>
      </c>
      <c r="AL42" s="1">
        <f>IF(AND(MOD(AL32-YEAR('Assumptions &amp; Inputs'!$K$31),'Assumptions &amp; Inputs'!$K$34)=0, AL32&lt;=YEAR('Assumptions &amp; Inputs'!$K$36), AL9&gt;YEAR('Assumptions &amp; Inputs'!$K$31)),'Assumptions &amp; Inputs'!$K$37*'Assumptions &amp; Inputs'!$K$38*IF(AL32-'Assumptions &amp; Inputs'!$K$34&gt;YEAR('Assumptions &amp; Inputs'!$K$31), 'Assumptions &amp; Inputs'!$K$33, 1), 0)</f>
        <v>0</v>
      </c>
      <c r="AM42" s="1">
        <f>IF(AND(MOD(AM32-YEAR('Assumptions &amp; Inputs'!$K$31),'Assumptions &amp; Inputs'!$K$34)=0, AM32&lt;=YEAR('Assumptions &amp; Inputs'!$K$36), AM9&gt;YEAR('Assumptions &amp; Inputs'!$K$31)),'Assumptions &amp; Inputs'!$K$37*'Assumptions &amp; Inputs'!$K$38*IF(AM32-'Assumptions &amp; Inputs'!$K$34&gt;YEAR('Assumptions &amp; Inputs'!$K$31), 'Assumptions &amp; Inputs'!$K$33, 1), 0)</f>
        <v>0</v>
      </c>
      <c r="AN42" s="1">
        <f>IF(AND(MOD(AN32-YEAR('Assumptions &amp; Inputs'!$K$31),'Assumptions &amp; Inputs'!$K$34)=0, AN32&lt;=YEAR('Assumptions &amp; Inputs'!$K$36), AN9&gt;YEAR('Assumptions &amp; Inputs'!$K$31)),'Assumptions &amp; Inputs'!$K$37*'Assumptions &amp; Inputs'!$K$38*IF(AN32-'Assumptions &amp; Inputs'!$K$34&gt;YEAR('Assumptions &amp; Inputs'!$K$31), 'Assumptions &amp; Inputs'!$K$33, 1), 0)</f>
        <v>0</v>
      </c>
      <c r="AO42" s="1">
        <f>IF(AND(MOD(AO32-YEAR('Assumptions &amp; Inputs'!$K$31),'Assumptions &amp; Inputs'!$K$34)=0, AO32&lt;=YEAR('Assumptions &amp; Inputs'!$K$36), AO9&gt;YEAR('Assumptions &amp; Inputs'!$K$31)),'Assumptions &amp; Inputs'!$K$37*'Assumptions &amp; Inputs'!$K$38*IF(AO32-'Assumptions &amp; Inputs'!$K$34&gt;YEAR('Assumptions &amp; Inputs'!$K$31), 'Assumptions &amp; Inputs'!$K$33, 1), 0)</f>
        <v>0</v>
      </c>
      <c r="AP42" s="1">
        <f>IF(AND(MOD(AP32-YEAR('Assumptions &amp; Inputs'!$K$31),'Assumptions &amp; Inputs'!$K$34)=0, AP32&lt;=YEAR('Assumptions &amp; Inputs'!$K$36), AP9&gt;YEAR('Assumptions &amp; Inputs'!$K$31)),'Assumptions &amp; Inputs'!$K$37*'Assumptions &amp; Inputs'!$K$38*IF(AP32-'Assumptions &amp; Inputs'!$K$34&gt;YEAR('Assumptions &amp; Inputs'!$K$31), 'Assumptions &amp; Inputs'!$K$33, 1), 0)</f>
        <v>0</v>
      </c>
      <c r="AQ42" s="1">
        <f>IF(AND(MOD(AQ32-YEAR('Assumptions &amp; Inputs'!$K$31),'Assumptions &amp; Inputs'!$K$34)=0, AQ32&lt;=YEAR('Assumptions &amp; Inputs'!$K$36), AQ9&gt;YEAR('Assumptions &amp; Inputs'!$K$31)),'Assumptions &amp; Inputs'!$K$37*'Assumptions &amp; Inputs'!$K$38*IF(AQ32-'Assumptions &amp; Inputs'!$K$34&gt;YEAR('Assumptions &amp; Inputs'!$K$31), 'Assumptions &amp; Inputs'!$K$33, 1), 0)</f>
        <v>0</v>
      </c>
      <c r="AR42" s="1">
        <f>IF(AND(MOD(AR32-YEAR('Assumptions &amp; Inputs'!$K$31),'Assumptions &amp; Inputs'!$K$34)=0, AR32&lt;=YEAR('Assumptions &amp; Inputs'!$K$36), AR9&gt;YEAR('Assumptions &amp; Inputs'!$K$31)),'Assumptions &amp; Inputs'!$K$37*'Assumptions &amp; Inputs'!$K$38*IF(AR32-'Assumptions &amp; Inputs'!$K$34&gt;YEAR('Assumptions &amp; Inputs'!$K$31), 'Assumptions &amp; Inputs'!$K$33, 1), 0)</f>
        <v>0</v>
      </c>
      <c r="AS42" s="1">
        <f>IF(AND(MOD(AS32-YEAR('Assumptions &amp; Inputs'!$K$31),'Assumptions &amp; Inputs'!$K$34)=0, AS32&lt;=YEAR('Assumptions &amp; Inputs'!$K$36), AS9&gt;YEAR('Assumptions &amp; Inputs'!$K$31)),'Assumptions &amp; Inputs'!$K$37*'Assumptions &amp; Inputs'!$K$38*IF(AS32-'Assumptions &amp; Inputs'!$K$34&gt;YEAR('Assumptions &amp; Inputs'!$K$31), 'Assumptions &amp; Inputs'!$K$33, 1), 0)</f>
        <v>0</v>
      </c>
      <c r="AT42" s="1">
        <f>IF(AND(MOD(AT32-YEAR('Assumptions &amp; Inputs'!$K$31),'Assumptions &amp; Inputs'!$K$34)=0, AT32&lt;=YEAR('Assumptions &amp; Inputs'!$K$36), AT9&gt;YEAR('Assumptions &amp; Inputs'!$K$31)),'Assumptions &amp; Inputs'!$K$37*'Assumptions &amp; Inputs'!$K$38*IF(AT32-'Assumptions &amp; Inputs'!$K$34&gt;YEAR('Assumptions &amp; Inputs'!$K$31), 'Assumptions &amp; Inputs'!$K$33, 1), 0)</f>
        <v>0</v>
      </c>
      <c r="AU42" s="1">
        <f>IF(AND(MOD(AU32-YEAR('Assumptions &amp; Inputs'!$K$31),'Assumptions &amp; Inputs'!$K$34)=0, AU32&lt;=YEAR('Assumptions &amp; Inputs'!$K$36), AU9&gt;YEAR('Assumptions &amp; Inputs'!$K$31)),'Assumptions &amp; Inputs'!$K$37*'Assumptions &amp; Inputs'!$K$38*IF(AU32-'Assumptions &amp; Inputs'!$K$34&gt;YEAR('Assumptions &amp; Inputs'!$K$31), 'Assumptions &amp; Inputs'!$K$33, 1), 0)</f>
        <v>0</v>
      </c>
      <c r="AV42" s="1">
        <f>IF(AND(MOD(AV32-YEAR('Assumptions &amp; Inputs'!$K$31),'Assumptions &amp; Inputs'!$K$34)=0, AV32&lt;=YEAR('Assumptions &amp; Inputs'!$K$36), AV9&gt;YEAR('Assumptions &amp; Inputs'!$K$31)),'Assumptions &amp; Inputs'!$K$37*'Assumptions &amp; Inputs'!$K$38*IF(AV32-'Assumptions &amp; Inputs'!$K$34&gt;YEAR('Assumptions &amp; Inputs'!$K$31), 'Assumptions &amp; Inputs'!$K$33, 1), 0)</f>
        <v>0</v>
      </c>
      <c r="AW42" s="1">
        <f>IF(AND(MOD(AW32-YEAR('Assumptions &amp; Inputs'!$K$31),'Assumptions &amp; Inputs'!$K$34)=0, AW32&lt;=YEAR('Assumptions &amp; Inputs'!$K$36), AW9&gt;YEAR('Assumptions &amp; Inputs'!$K$31)),'Assumptions &amp; Inputs'!$K$37*'Assumptions &amp; Inputs'!$K$38*IF(AW32-'Assumptions &amp; Inputs'!$K$34&gt;YEAR('Assumptions &amp; Inputs'!$K$31), 'Assumptions &amp; Inputs'!$K$33, 1), 0)</f>
        <v>0</v>
      </c>
    </row>
    <row r="43" spans="2:49" ht="14.25" customHeight="1">
      <c r="B43" s="1"/>
      <c r="C43" s="22" t="s">
        <v>411</v>
      </c>
      <c r="D43" s="21">
        <f t="shared" ref="D43:X43" si="124">SUM(D40:D42)</f>
        <v>-103.125</v>
      </c>
      <c r="E43" s="21">
        <f t="shared" si="124"/>
        <v>60.523992482293721</v>
      </c>
      <c r="F43" s="21">
        <f t="shared" si="124"/>
        <v>98.988277615753432</v>
      </c>
      <c r="G43" s="21">
        <f t="shared" si="124"/>
        <v>100.54940630604342</v>
      </c>
      <c r="H43" s="21">
        <f t="shared" si="124"/>
        <v>102.1606493332161</v>
      </c>
      <c r="I43" s="21">
        <f t="shared" si="124"/>
        <v>103.76947006855981</v>
      </c>
      <c r="J43" s="21">
        <f t="shared" si="124"/>
        <v>105.40448382455499</v>
      </c>
      <c r="K43" s="21">
        <f t="shared" si="124"/>
        <v>107.07219379825781</v>
      </c>
      <c r="L43" s="21">
        <f t="shared" si="124"/>
        <v>108.77325384867777</v>
      </c>
      <c r="M43" s="21">
        <f t="shared" si="124"/>
        <v>110.50833091093776</v>
      </c>
      <c r="N43" s="21">
        <f t="shared" si="124"/>
        <v>112.27810525777903</v>
      </c>
      <c r="O43" s="21">
        <f t="shared" si="124"/>
        <v>114.08327076629539</v>
      </c>
      <c r="P43" s="21">
        <f t="shared" si="124"/>
        <v>115.92453519000229</v>
      </c>
      <c r="Q43" s="21">
        <f t="shared" si="124"/>
        <v>117.8026204363465</v>
      </c>
      <c r="R43" s="21">
        <f t="shared" si="124"/>
        <v>119.71826284976603</v>
      </c>
      <c r="S43" s="21">
        <f t="shared" si="124"/>
        <v>121.67221350041069</v>
      </c>
      <c r="T43" s="21">
        <f t="shared" si="124"/>
        <v>123.66523847863709</v>
      </c>
      <c r="U43" s="21">
        <f t="shared" si="124"/>
        <v>125.69811919539265</v>
      </c>
      <c r="V43" s="21">
        <f t="shared" si="124"/>
        <v>127.77165268860752</v>
      </c>
      <c r="W43" s="21">
        <f t="shared" si="124"/>
        <v>129.8866519357137</v>
      </c>
      <c r="X43" s="21">
        <f t="shared" si="124"/>
        <v>132.04394617241425</v>
      </c>
      <c r="Y43" s="21">
        <f t="shared" ref="Y43" si="125">SUM(Y40:Y42)</f>
        <v>134.24438121782759</v>
      </c>
      <c r="Z43" s="21">
        <f t="shared" ref="Z43" si="126">SUM(Z40:Z42)</f>
        <v>136.48881980613427</v>
      </c>
      <c r="AA43" s="21">
        <f t="shared" ref="AA43" si="127">SUM(AA40:AA42)</f>
        <v>138.77814192485633</v>
      </c>
      <c r="AB43" s="21">
        <f t="shared" ref="AB43" si="128">SUM(AB40:AB42)</f>
        <v>141.11324515990202</v>
      </c>
      <c r="AC43" s="21">
        <f t="shared" ref="AC43" si="129">SUM(AC40:AC42)</f>
        <v>143.49504504751056</v>
      </c>
      <c r="AD43" s="21">
        <f t="shared" ref="AD43" si="130">SUM(AD40:AD42)</f>
        <v>151.54947543323627</v>
      </c>
      <c r="AE43" s="21">
        <f t="shared" ref="AE43" si="131">SUM(AE40:AE42)</f>
        <v>0</v>
      </c>
      <c r="AF43" s="21">
        <f t="shared" ref="AF43" si="132">SUM(AF40:AF42)</f>
        <v>0</v>
      </c>
      <c r="AG43" s="21">
        <f t="shared" ref="AG43" si="133">SUM(AG40:AG42)</f>
        <v>0</v>
      </c>
      <c r="AH43" s="21">
        <f t="shared" ref="AH43" si="134">SUM(AH40:AH42)</f>
        <v>0</v>
      </c>
      <c r="AI43" s="21">
        <f t="shared" ref="AI43" si="135">SUM(AI40:AI42)</f>
        <v>0</v>
      </c>
      <c r="AJ43" s="21">
        <f t="shared" ref="AJ43" si="136">SUM(AJ40:AJ42)</f>
        <v>0</v>
      </c>
      <c r="AK43" s="21">
        <f t="shared" ref="AK43" si="137">SUM(AK40:AK42)</f>
        <v>0</v>
      </c>
      <c r="AL43" s="21">
        <f t="shared" ref="AL43" si="138">SUM(AL40:AL42)</f>
        <v>0</v>
      </c>
      <c r="AM43" s="21">
        <f t="shared" ref="AM43" si="139">SUM(AM40:AM42)</f>
        <v>0</v>
      </c>
      <c r="AN43" s="21">
        <f t="shared" ref="AN43" si="140">SUM(AN40:AN42)</f>
        <v>0</v>
      </c>
      <c r="AO43" s="21">
        <f t="shared" ref="AO43" si="141">SUM(AO40:AO42)</f>
        <v>0</v>
      </c>
      <c r="AP43" s="21">
        <f t="shared" ref="AP43" si="142">SUM(AP40:AP42)</f>
        <v>0</v>
      </c>
      <c r="AQ43" s="21">
        <f t="shared" ref="AQ43" si="143">SUM(AQ40:AQ42)</f>
        <v>0</v>
      </c>
      <c r="AR43" s="21">
        <f t="shared" ref="AR43" si="144">SUM(AR40:AR42)</f>
        <v>0</v>
      </c>
      <c r="AS43" s="21">
        <f t="shared" ref="AS43" si="145">SUM(AS40:AS42)</f>
        <v>0</v>
      </c>
      <c r="AT43" s="21">
        <f t="shared" ref="AT43" si="146">SUM(AT40:AT42)</f>
        <v>0</v>
      </c>
      <c r="AU43" s="21">
        <f t="shared" ref="AU43" si="147">SUM(AU40:AU42)</f>
        <v>0</v>
      </c>
      <c r="AV43" s="21">
        <f t="shared" ref="AV43" si="148">SUM(AV40:AV42)</f>
        <v>0</v>
      </c>
      <c r="AW43" s="21">
        <f t="shared" ref="AW43" si="149">SUM(AW40:AW42)</f>
        <v>0</v>
      </c>
    </row>
    <row r="44" spans="2:49" ht="14.25" customHeight="1">
      <c r="B44" s="1"/>
      <c r="C44" s="4" t="s">
        <v>412</v>
      </c>
      <c r="D44" s="4"/>
      <c r="E44" s="23">
        <f>SUM($D$43:E43)</f>
        <v>-42.601007517706279</v>
      </c>
      <c r="F44" s="23">
        <f>SUM($D$43:F43)</f>
        <v>56.387270098047154</v>
      </c>
      <c r="G44" s="23">
        <f>SUM($D$43:G43)</f>
        <v>156.93667640409058</v>
      </c>
      <c r="H44" s="23">
        <f>SUM($D$43:H43)</f>
        <v>259.09732573730668</v>
      </c>
      <c r="I44" s="23">
        <f>SUM($D$43:I43)</f>
        <v>362.8667958058665</v>
      </c>
      <c r="J44" s="23">
        <f>SUM($D$43:J43)</f>
        <v>468.27127963042147</v>
      </c>
      <c r="K44" s="23">
        <f>SUM($D$43:K43)</f>
        <v>575.34347342867932</v>
      </c>
      <c r="L44" s="23">
        <f>SUM($D$43:L43)</f>
        <v>684.11672727735709</v>
      </c>
      <c r="M44" s="23">
        <f>SUM($D$43:M43)</f>
        <v>794.62505818829482</v>
      </c>
      <c r="N44" s="23">
        <f>SUM($D$43:N43)</f>
        <v>906.9031634460739</v>
      </c>
      <c r="O44" s="23">
        <f>SUM($D$43:O43)</f>
        <v>1020.9864342123693</v>
      </c>
      <c r="P44" s="23">
        <f>SUM($D$43:P43)</f>
        <v>1136.9109694023716</v>
      </c>
      <c r="Q44" s="23">
        <f>SUM($D$43:Q43)</f>
        <v>1254.7135898387182</v>
      </c>
      <c r="R44" s="23">
        <f>SUM($D$43:R43)</f>
        <v>1374.4318526884842</v>
      </c>
      <c r="S44" s="23">
        <f>SUM($D$43:S43)</f>
        <v>1496.1040661888949</v>
      </c>
      <c r="T44" s="23">
        <f>SUM($D$43:T43)</f>
        <v>1619.769304667532</v>
      </c>
      <c r="U44" s="23">
        <f>SUM($D$43:U43)</f>
        <v>1745.4674238629245</v>
      </c>
      <c r="V44" s="23">
        <f>SUM($D$43:V43)</f>
        <v>1873.239076551532</v>
      </c>
      <c r="W44" s="23">
        <f>SUM($D$43:W43)</f>
        <v>2003.1257284872456</v>
      </c>
      <c r="X44" s="23">
        <f>SUM($D$43:X43)</f>
        <v>2135.1696746596599</v>
      </c>
      <c r="Y44" s="23">
        <f>SUM($D$43:Y43)</f>
        <v>2269.4140558774875</v>
      </c>
      <c r="Z44" s="23">
        <f>SUM($D$43:Z43)</f>
        <v>2405.9028756836219</v>
      </c>
      <c r="AA44" s="23">
        <f>SUM($D$43:AA43)</f>
        <v>2544.6810176084782</v>
      </c>
      <c r="AB44" s="23">
        <f>SUM($D$43:AB43)</f>
        <v>2685.7942627683801</v>
      </c>
      <c r="AC44" s="23">
        <f>SUM($D$43:AC43)</f>
        <v>2829.2893078158909</v>
      </c>
      <c r="AD44" s="23">
        <f>SUM($D$43:AD43)</f>
        <v>2980.8387832491271</v>
      </c>
      <c r="AE44" s="23">
        <f>SUM($D$43:AE43)</f>
        <v>2980.8387832491271</v>
      </c>
      <c r="AF44" s="23">
        <f>SUM($D$43:AF43)</f>
        <v>2980.8387832491271</v>
      </c>
      <c r="AG44" s="23">
        <f>SUM($D$43:AG43)</f>
        <v>2980.8387832491271</v>
      </c>
      <c r="AH44" s="23">
        <f>SUM($D$43:AH43)</f>
        <v>2980.8387832491271</v>
      </c>
      <c r="AI44" s="23">
        <f>SUM($D$43:AI43)</f>
        <v>2980.8387832491271</v>
      </c>
      <c r="AJ44" s="23">
        <f>SUM($D$43:AJ43)</f>
        <v>2980.8387832491271</v>
      </c>
      <c r="AK44" s="23">
        <f>SUM($D$43:AK43)</f>
        <v>2980.8387832491271</v>
      </c>
      <c r="AL44" s="23">
        <f>SUM($D$43:AL43)</f>
        <v>2980.8387832491271</v>
      </c>
      <c r="AM44" s="23">
        <f>SUM($D$43:AM43)</f>
        <v>2980.8387832491271</v>
      </c>
      <c r="AN44" s="23">
        <f>SUM($D$43:AN43)</f>
        <v>2980.8387832491271</v>
      </c>
      <c r="AO44" s="23">
        <f>SUM($D$43:AO43)</f>
        <v>2980.8387832491271</v>
      </c>
      <c r="AP44" s="23">
        <f>SUM($D$43:AP43)</f>
        <v>2980.8387832491271</v>
      </c>
      <c r="AQ44" s="23">
        <f>SUM($D$43:AQ43)</f>
        <v>2980.8387832491271</v>
      </c>
      <c r="AR44" s="23">
        <f>SUM($D$43:AR43)</f>
        <v>2980.8387832491271</v>
      </c>
      <c r="AS44" s="23">
        <f>SUM($D$43:AS43)</f>
        <v>2980.8387832491271</v>
      </c>
      <c r="AT44" s="23">
        <f>SUM($D$43:AT43)</f>
        <v>2980.8387832491271</v>
      </c>
      <c r="AU44" s="23">
        <f>SUM($D$43:AU43)</f>
        <v>2980.8387832491271</v>
      </c>
      <c r="AV44" s="23">
        <f>SUM($D$43:AV43)</f>
        <v>2980.8387832491271</v>
      </c>
      <c r="AW44" s="23">
        <f>SUM($D$43:AW43)</f>
        <v>2980.8387832491271</v>
      </c>
    </row>
    <row r="45" spans="2:49" s="342" customFormat="1" ht="14.25" customHeight="1">
      <c r="B45" s="375"/>
      <c r="C45" s="375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7"/>
      <c r="S45" s="397"/>
      <c r="T45" s="397"/>
      <c r="U45" s="397"/>
      <c r="V45" s="397"/>
      <c r="W45" s="397"/>
      <c r="X45" s="397"/>
      <c r="Y45" s="397"/>
      <c r="Z45" s="397"/>
      <c r="AA45" s="397"/>
      <c r="AB45" s="397"/>
      <c r="AC45" s="397"/>
      <c r="AD45" s="397"/>
      <c r="AE45" s="397"/>
      <c r="AF45" s="397"/>
      <c r="AG45" s="397"/>
      <c r="AH45" s="397"/>
      <c r="AI45" s="397"/>
      <c r="AJ45" s="397"/>
      <c r="AK45" s="397"/>
      <c r="AL45" s="397"/>
      <c r="AM45" s="397"/>
      <c r="AN45" s="397"/>
      <c r="AO45" s="397"/>
      <c r="AP45" s="397"/>
      <c r="AQ45" s="397"/>
      <c r="AR45" s="397"/>
      <c r="AS45" s="397"/>
      <c r="AT45" s="397"/>
      <c r="AU45" s="397"/>
      <c r="AV45" s="397"/>
      <c r="AW45" s="397"/>
    </row>
    <row r="46" spans="2:49" s="342" customFormat="1" ht="14.25" customHeight="1">
      <c r="B46" s="375"/>
      <c r="C46" s="357" t="s">
        <v>413</v>
      </c>
      <c r="D46" s="397"/>
      <c r="E46" s="397"/>
      <c r="F46" s="397"/>
      <c r="G46" s="397"/>
      <c r="H46" s="397"/>
      <c r="I46" s="397"/>
      <c r="J46" s="397"/>
      <c r="K46" s="397"/>
      <c r="L46" s="397"/>
      <c r="M46" s="397"/>
      <c r="N46" s="397"/>
      <c r="O46" s="397"/>
      <c r="P46" s="397"/>
      <c r="Q46" s="397"/>
      <c r="R46" s="397"/>
      <c r="S46" s="397"/>
      <c r="T46" s="397"/>
      <c r="U46" s="397"/>
      <c r="V46" s="397"/>
      <c r="W46" s="397"/>
      <c r="X46" s="397"/>
      <c r="Y46" s="397"/>
      <c r="Z46" s="397"/>
      <c r="AA46" s="397"/>
      <c r="AB46" s="397"/>
      <c r="AC46" s="397"/>
      <c r="AD46" s="397"/>
      <c r="AE46" s="397"/>
      <c r="AF46" s="397"/>
      <c r="AG46" s="397"/>
      <c r="AH46" s="397"/>
      <c r="AI46" s="397"/>
      <c r="AJ46" s="397"/>
      <c r="AK46" s="397"/>
      <c r="AL46" s="397"/>
      <c r="AM46" s="397"/>
      <c r="AN46" s="397"/>
      <c r="AO46" s="397"/>
      <c r="AP46" s="397"/>
      <c r="AQ46" s="397"/>
      <c r="AR46" s="397"/>
      <c r="AS46" s="397"/>
      <c r="AT46" s="397"/>
      <c r="AU46" s="397"/>
      <c r="AV46" s="397"/>
      <c r="AW46" s="397"/>
    </row>
    <row r="47" spans="2:49" s="342" customFormat="1" ht="14.25" customHeight="1">
      <c r="B47" s="375"/>
      <c r="C47" s="342" t="s">
        <v>414</v>
      </c>
      <c r="D47" s="388">
        <f>D36</f>
        <v>0</v>
      </c>
      <c r="E47" s="388">
        <f>E36</f>
        <v>69.898992482293721</v>
      </c>
      <c r="F47" s="388">
        <f>F36</f>
        <v>94.713277615753427</v>
      </c>
      <c r="G47" s="388">
        <f>G36</f>
        <v>96.274406306043417</v>
      </c>
      <c r="H47" s="388">
        <f>H36</f>
        <v>97.885649333216094</v>
      </c>
      <c r="I47" s="388">
        <f t="shared" ref="I47:AW47" si="150">I36</f>
        <v>99.494470068559806</v>
      </c>
      <c r="J47" s="388">
        <f t="shared" si="150"/>
        <v>101.12948382455498</v>
      </c>
      <c r="K47" s="388">
        <f t="shared" si="150"/>
        <v>102.79719379825781</v>
      </c>
      <c r="L47" s="388">
        <f t="shared" si="150"/>
        <v>104.49825384867776</v>
      </c>
      <c r="M47" s="388">
        <f t="shared" si="150"/>
        <v>106.23333091093775</v>
      </c>
      <c r="N47" s="388">
        <f t="shared" si="150"/>
        <v>108.00310525777903</v>
      </c>
      <c r="O47" s="388">
        <f t="shared" si="150"/>
        <v>109.80827076629538</v>
      </c>
      <c r="P47" s="388">
        <f t="shared" si="150"/>
        <v>111.64953519000228</v>
      </c>
      <c r="Q47" s="388">
        <f t="shared" si="150"/>
        <v>113.5276204363465</v>
      </c>
      <c r="R47" s="388">
        <f t="shared" si="150"/>
        <v>115.44326284976603</v>
      </c>
      <c r="S47" s="388">
        <f t="shared" si="150"/>
        <v>117.39721350041069</v>
      </c>
      <c r="T47" s="388">
        <f t="shared" si="150"/>
        <v>119.39023847863709</v>
      </c>
      <c r="U47" s="388">
        <f t="shared" si="150"/>
        <v>121.42311919539264</v>
      </c>
      <c r="V47" s="388">
        <f t="shared" si="150"/>
        <v>123.49665268860751</v>
      </c>
      <c r="W47" s="388">
        <f t="shared" si="150"/>
        <v>125.6116519357137</v>
      </c>
      <c r="X47" s="388">
        <f t="shared" si="150"/>
        <v>127.76894617241425</v>
      </c>
      <c r="Y47" s="388">
        <f t="shared" si="150"/>
        <v>129.96938121782759</v>
      </c>
      <c r="Z47" s="388">
        <f t="shared" si="150"/>
        <v>132.21381980613427</v>
      </c>
      <c r="AA47" s="388">
        <f t="shared" si="150"/>
        <v>134.50314192485632</v>
      </c>
      <c r="AB47" s="388">
        <f t="shared" si="150"/>
        <v>136.83824515990202</v>
      </c>
      <c r="AC47" s="388">
        <f t="shared" si="150"/>
        <v>139.22004504751055</v>
      </c>
      <c r="AD47" s="388">
        <f t="shared" si="150"/>
        <v>141.64947543323626</v>
      </c>
      <c r="AE47" s="388">
        <f t="shared" si="150"/>
        <v>0</v>
      </c>
      <c r="AF47" s="388">
        <f t="shared" si="150"/>
        <v>0</v>
      </c>
      <c r="AG47" s="388">
        <f t="shared" si="150"/>
        <v>0</v>
      </c>
      <c r="AH47" s="388">
        <f t="shared" si="150"/>
        <v>0</v>
      </c>
      <c r="AI47" s="388">
        <f t="shared" si="150"/>
        <v>0</v>
      </c>
      <c r="AJ47" s="388">
        <f t="shared" si="150"/>
        <v>0</v>
      </c>
      <c r="AK47" s="388">
        <f t="shared" si="150"/>
        <v>0</v>
      </c>
      <c r="AL47" s="388">
        <f t="shared" si="150"/>
        <v>0</v>
      </c>
      <c r="AM47" s="388">
        <f t="shared" si="150"/>
        <v>0</v>
      </c>
      <c r="AN47" s="388">
        <f t="shared" si="150"/>
        <v>0</v>
      </c>
      <c r="AO47" s="388">
        <f t="shared" si="150"/>
        <v>0</v>
      </c>
      <c r="AP47" s="388">
        <f t="shared" si="150"/>
        <v>0</v>
      </c>
      <c r="AQ47" s="388">
        <f t="shared" si="150"/>
        <v>0</v>
      </c>
      <c r="AR47" s="388">
        <f t="shared" si="150"/>
        <v>0</v>
      </c>
      <c r="AS47" s="388">
        <f t="shared" si="150"/>
        <v>0</v>
      </c>
      <c r="AT47" s="388">
        <f t="shared" si="150"/>
        <v>0</v>
      </c>
      <c r="AU47" s="388">
        <f t="shared" si="150"/>
        <v>0</v>
      </c>
      <c r="AV47" s="388">
        <f t="shared" si="150"/>
        <v>0</v>
      </c>
      <c r="AW47" s="388">
        <f t="shared" si="150"/>
        <v>0</v>
      </c>
    </row>
    <row r="48" spans="2:49" s="342" customFormat="1" ht="14.25" customHeight="1">
      <c r="B48" s="375"/>
      <c r="C48" s="342" t="s">
        <v>415</v>
      </c>
      <c r="D48" s="397"/>
      <c r="E48" s="397"/>
      <c r="F48" s="397"/>
      <c r="G48" s="397"/>
      <c r="H48" s="397"/>
      <c r="I48" s="397"/>
      <c r="J48" s="397"/>
      <c r="K48" s="397"/>
      <c r="L48" s="397"/>
      <c r="M48" s="397"/>
      <c r="N48" s="397"/>
      <c r="O48" s="397"/>
      <c r="P48" s="397"/>
      <c r="Q48" s="397"/>
      <c r="R48" s="397"/>
      <c r="S48" s="397"/>
      <c r="T48" s="397"/>
      <c r="U48" s="397"/>
      <c r="V48" s="397"/>
      <c r="W48" s="397"/>
      <c r="X48" s="397"/>
      <c r="Y48" s="397"/>
      <c r="Z48" s="397"/>
      <c r="AA48" s="397"/>
      <c r="AB48" s="397"/>
      <c r="AC48" s="397"/>
      <c r="AD48" s="397"/>
      <c r="AE48" s="397"/>
      <c r="AF48" s="397"/>
      <c r="AG48" s="397"/>
      <c r="AH48" s="397"/>
      <c r="AI48" s="397"/>
      <c r="AJ48" s="397"/>
      <c r="AK48" s="397"/>
      <c r="AL48" s="397"/>
      <c r="AM48" s="397"/>
      <c r="AN48" s="397"/>
      <c r="AO48" s="397"/>
      <c r="AP48" s="397"/>
      <c r="AQ48" s="397"/>
      <c r="AR48" s="397"/>
      <c r="AS48" s="397"/>
      <c r="AT48" s="397"/>
      <c r="AU48" s="397"/>
      <c r="AV48" s="397"/>
      <c r="AW48" s="397"/>
    </row>
    <row r="49" spans="2:49" s="342" customFormat="1" ht="14.25" customHeight="1">
      <c r="B49" s="375"/>
      <c r="C49" s="342" t="s">
        <v>416</v>
      </c>
      <c r="D49" s="388">
        <f>-D24</f>
        <v>103.125</v>
      </c>
      <c r="E49" s="388">
        <f t="shared" ref="E49:AW49" si="151">-E24</f>
        <v>9.375</v>
      </c>
      <c r="F49" s="388">
        <f t="shared" si="151"/>
        <v>0</v>
      </c>
      <c r="G49" s="388">
        <f t="shared" si="151"/>
        <v>0</v>
      </c>
      <c r="H49" s="388">
        <f t="shared" si="151"/>
        <v>0</v>
      </c>
      <c r="I49" s="388">
        <f t="shared" si="151"/>
        <v>0</v>
      </c>
      <c r="J49" s="388">
        <f t="shared" si="151"/>
        <v>0</v>
      </c>
      <c r="K49" s="388">
        <f t="shared" si="151"/>
        <v>0</v>
      </c>
      <c r="L49" s="388">
        <f t="shared" si="151"/>
        <v>0</v>
      </c>
      <c r="M49" s="388">
        <f t="shared" si="151"/>
        <v>0</v>
      </c>
      <c r="N49" s="388">
        <f t="shared" si="151"/>
        <v>0</v>
      </c>
      <c r="O49" s="388">
        <f t="shared" si="151"/>
        <v>0</v>
      </c>
      <c r="P49" s="388">
        <f t="shared" si="151"/>
        <v>0</v>
      </c>
      <c r="Q49" s="388">
        <f t="shared" si="151"/>
        <v>0</v>
      </c>
      <c r="R49" s="388">
        <f t="shared" si="151"/>
        <v>0</v>
      </c>
      <c r="S49" s="388">
        <f t="shared" si="151"/>
        <v>0</v>
      </c>
      <c r="T49" s="388">
        <f t="shared" si="151"/>
        <v>0</v>
      </c>
      <c r="U49" s="388">
        <f t="shared" si="151"/>
        <v>0</v>
      </c>
      <c r="V49" s="388">
        <f t="shared" si="151"/>
        <v>0</v>
      </c>
      <c r="W49" s="388">
        <f t="shared" si="151"/>
        <v>0</v>
      </c>
      <c r="X49" s="388">
        <f t="shared" si="151"/>
        <v>0</v>
      </c>
      <c r="Y49" s="388">
        <f t="shared" si="151"/>
        <v>0</v>
      </c>
      <c r="Z49" s="388">
        <f t="shared" si="151"/>
        <v>0</v>
      </c>
      <c r="AA49" s="388">
        <f t="shared" si="151"/>
        <v>0</v>
      </c>
      <c r="AB49" s="388">
        <f t="shared" si="151"/>
        <v>0</v>
      </c>
      <c r="AC49" s="388">
        <f t="shared" si="151"/>
        <v>0</v>
      </c>
      <c r="AD49" s="388">
        <f t="shared" si="151"/>
        <v>0</v>
      </c>
      <c r="AE49" s="388">
        <f t="shared" si="151"/>
        <v>0</v>
      </c>
      <c r="AF49" s="388">
        <f t="shared" si="151"/>
        <v>0</v>
      </c>
      <c r="AG49" s="388">
        <f t="shared" si="151"/>
        <v>0</v>
      </c>
      <c r="AH49" s="388">
        <f t="shared" si="151"/>
        <v>0</v>
      </c>
      <c r="AI49" s="388">
        <f t="shared" si="151"/>
        <v>0</v>
      </c>
      <c r="AJ49" s="388">
        <f t="shared" si="151"/>
        <v>0</v>
      </c>
      <c r="AK49" s="388">
        <f t="shared" si="151"/>
        <v>0</v>
      </c>
      <c r="AL49" s="388">
        <f t="shared" si="151"/>
        <v>0</v>
      </c>
      <c r="AM49" s="388">
        <f t="shared" si="151"/>
        <v>0</v>
      </c>
      <c r="AN49" s="388">
        <f t="shared" si="151"/>
        <v>0</v>
      </c>
      <c r="AO49" s="388">
        <f t="shared" si="151"/>
        <v>0</v>
      </c>
      <c r="AP49" s="388">
        <f t="shared" si="151"/>
        <v>0</v>
      </c>
      <c r="AQ49" s="388">
        <f t="shared" si="151"/>
        <v>0</v>
      </c>
      <c r="AR49" s="388">
        <f t="shared" si="151"/>
        <v>0</v>
      </c>
      <c r="AS49" s="388">
        <f t="shared" si="151"/>
        <v>0</v>
      </c>
      <c r="AT49" s="388">
        <f t="shared" si="151"/>
        <v>0</v>
      </c>
      <c r="AU49" s="388">
        <f t="shared" si="151"/>
        <v>0</v>
      </c>
      <c r="AV49" s="388">
        <f t="shared" si="151"/>
        <v>0</v>
      </c>
      <c r="AW49" s="388">
        <f t="shared" si="151"/>
        <v>0</v>
      </c>
    </row>
    <row r="50" spans="2:49" s="342" customFormat="1" ht="14.25" customHeight="1">
      <c r="B50" s="375"/>
      <c r="C50" s="342" t="s">
        <v>417</v>
      </c>
      <c r="D50" s="398">
        <f>D159</f>
        <v>0</v>
      </c>
      <c r="E50" s="398">
        <f t="shared" ref="E50:AW50" si="152">E159</f>
        <v>0</v>
      </c>
      <c r="F50" s="398">
        <f t="shared" si="152"/>
        <v>-4.2750000000000004</v>
      </c>
      <c r="G50" s="398">
        <f t="shared" si="152"/>
        <v>-4.2750000000000004</v>
      </c>
      <c r="H50" s="398">
        <f t="shared" si="152"/>
        <v>-4.2750000000000004</v>
      </c>
      <c r="I50" s="398">
        <f t="shared" si="152"/>
        <v>-4.2750000000000004</v>
      </c>
      <c r="J50" s="398">
        <f t="shared" si="152"/>
        <v>-4.2750000000000004</v>
      </c>
      <c r="K50" s="398">
        <f t="shared" si="152"/>
        <v>-4.2750000000000004</v>
      </c>
      <c r="L50" s="398">
        <f t="shared" si="152"/>
        <v>-4.2750000000000004</v>
      </c>
      <c r="M50" s="398">
        <f t="shared" si="152"/>
        <v>-4.2750000000000004</v>
      </c>
      <c r="N50" s="398">
        <f t="shared" si="152"/>
        <v>-4.2750000000000004</v>
      </c>
      <c r="O50" s="398">
        <f t="shared" si="152"/>
        <v>-4.2750000000000004</v>
      </c>
      <c r="P50" s="398">
        <f t="shared" si="152"/>
        <v>-4.2750000000000004</v>
      </c>
      <c r="Q50" s="398">
        <f t="shared" si="152"/>
        <v>-4.2750000000000004</v>
      </c>
      <c r="R50" s="398">
        <f t="shared" si="152"/>
        <v>-4.2750000000000004</v>
      </c>
      <c r="S50" s="398">
        <f t="shared" si="152"/>
        <v>-4.2750000000000004</v>
      </c>
      <c r="T50" s="398">
        <f t="shared" si="152"/>
        <v>-4.2750000000000004</v>
      </c>
      <c r="U50" s="398">
        <f t="shared" si="152"/>
        <v>-4.2750000000000004</v>
      </c>
      <c r="V50" s="398">
        <f t="shared" si="152"/>
        <v>-4.2750000000000004</v>
      </c>
      <c r="W50" s="398">
        <f t="shared" si="152"/>
        <v>-4.2750000000000004</v>
      </c>
      <c r="X50" s="398">
        <f t="shared" si="152"/>
        <v>-4.2750000000000004</v>
      </c>
      <c r="Y50" s="398">
        <f t="shared" si="152"/>
        <v>-4.2750000000000004</v>
      </c>
      <c r="Z50" s="398">
        <f t="shared" si="152"/>
        <v>-4.2750000000000004</v>
      </c>
      <c r="AA50" s="398">
        <f t="shared" si="152"/>
        <v>-4.2750000000000004</v>
      </c>
      <c r="AB50" s="398">
        <f t="shared" si="152"/>
        <v>-4.2750000000000004</v>
      </c>
      <c r="AC50" s="398">
        <f t="shared" si="152"/>
        <v>-4.2750000000000004</v>
      </c>
      <c r="AD50" s="398">
        <f t="shared" si="152"/>
        <v>-4.2750000000000004</v>
      </c>
      <c r="AE50" s="398">
        <f t="shared" si="152"/>
        <v>0</v>
      </c>
      <c r="AF50" s="398">
        <f t="shared" si="152"/>
        <v>0</v>
      </c>
      <c r="AG50" s="398">
        <f t="shared" si="152"/>
        <v>0</v>
      </c>
      <c r="AH50" s="398">
        <f t="shared" si="152"/>
        <v>0</v>
      </c>
      <c r="AI50" s="398">
        <f t="shared" si="152"/>
        <v>0</v>
      </c>
      <c r="AJ50" s="398">
        <f t="shared" si="152"/>
        <v>0</v>
      </c>
      <c r="AK50" s="398">
        <f t="shared" si="152"/>
        <v>0</v>
      </c>
      <c r="AL50" s="398">
        <f t="shared" si="152"/>
        <v>0</v>
      </c>
      <c r="AM50" s="398">
        <f t="shared" si="152"/>
        <v>0</v>
      </c>
      <c r="AN50" s="398">
        <f t="shared" si="152"/>
        <v>0</v>
      </c>
      <c r="AO50" s="398">
        <f t="shared" si="152"/>
        <v>0</v>
      </c>
      <c r="AP50" s="398">
        <f t="shared" si="152"/>
        <v>0</v>
      </c>
      <c r="AQ50" s="398">
        <f t="shared" si="152"/>
        <v>0</v>
      </c>
      <c r="AR50" s="398">
        <f t="shared" si="152"/>
        <v>0</v>
      </c>
      <c r="AS50" s="398">
        <f t="shared" si="152"/>
        <v>0</v>
      </c>
      <c r="AT50" s="398">
        <f t="shared" si="152"/>
        <v>0</v>
      </c>
      <c r="AU50" s="398">
        <f t="shared" si="152"/>
        <v>0</v>
      </c>
      <c r="AV50" s="398">
        <f t="shared" si="152"/>
        <v>0</v>
      </c>
      <c r="AW50" s="398">
        <f t="shared" si="152"/>
        <v>0</v>
      </c>
    </row>
    <row r="51" spans="2:49" s="342" customFormat="1" ht="14.25" customHeight="1">
      <c r="B51" s="375"/>
      <c r="C51" s="342" t="s">
        <v>418</v>
      </c>
      <c r="D51" s="390">
        <f>SUM(E64,D49:D50)</f>
        <v>103.125</v>
      </c>
      <c r="E51" s="390">
        <f>SUM(D51,E49:E50)</f>
        <v>112.5</v>
      </c>
      <c r="F51" s="390">
        <f t="shared" ref="F51:AW51" si="153">SUM(E51,F49:F50)</f>
        <v>108.22499999999999</v>
      </c>
      <c r="G51" s="390">
        <f t="shared" si="153"/>
        <v>103.94999999999999</v>
      </c>
      <c r="H51" s="390">
        <f t="shared" si="153"/>
        <v>99.674999999999983</v>
      </c>
      <c r="I51" s="390">
        <f t="shared" si="153"/>
        <v>95.399999999999977</v>
      </c>
      <c r="J51" s="390">
        <f t="shared" si="153"/>
        <v>91.124999999999972</v>
      </c>
      <c r="K51" s="390">
        <f t="shared" si="153"/>
        <v>86.849999999999966</v>
      </c>
      <c r="L51" s="390">
        <f t="shared" si="153"/>
        <v>82.57499999999996</v>
      </c>
      <c r="M51" s="390">
        <f t="shared" si="153"/>
        <v>78.299999999999955</v>
      </c>
      <c r="N51" s="390">
        <f t="shared" si="153"/>
        <v>74.024999999999949</v>
      </c>
      <c r="O51" s="390">
        <f t="shared" si="153"/>
        <v>69.749999999999943</v>
      </c>
      <c r="P51" s="390">
        <f t="shared" si="153"/>
        <v>65.474999999999937</v>
      </c>
      <c r="Q51" s="390">
        <f t="shared" si="153"/>
        <v>61.199999999999939</v>
      </c>
      <c r="R51" s="390">
        <f t="shared" si="153"/>
        <v>56.92499999999994</v>
      </c>
      <c r="S51" s="390">
        <f t="shared" si="153"/>
        <v>52.649999999999942</v>
      </c>
      <c r="T51" s="390">
        <f t="shared" si="153"/>
        <v>48.374999999999943</v>
      </c>
      <c r="U51" s="390">
        <f t="shared" si="153"/>
        <v>44.099999999999945</v>
      </c>
      <c r="V51" s="390">
        <f t="shared" si="153"/>
        <v>39.824999999999946</v>
      </c>
      <c r="W51" s="390">
        <f t="shared" si="153"/>
        <v>35.549999999999947</v>
      </c>
      <c r="X51" s="390">
        <f t="shared" si="153"/>
        <v>31.274999999999949</v>
      </c>
      <c r="Y51" s="390">
        <f t="shared" si="153"/>
        <v>26.99999999999995</v>
      </c>
      <c r="Z51" s="390">
        <f t="shared" si="153"/>
        <v>22.724999999999952</v>
      </c>
      <c r="AA51" s="390">
        <f t="shared" si="153"/>
        <v>18.449999999999953</v>
      </c>
      <c r="AB51" s="390">
        <f t="shared" si="153"/>
        <v>14.174999999999953</v>
      </c>
      <c r="AC51" s="390">
        <f t="shared" si="153"/>
        <v>9.8999999999999524</v>
      </c>
      <c r="AD51" s="390">
        <f t="shared" si="153"/>
        <v>5.624999999999952</v>
      </c>
      <c r="AE51" s="390">
        <f t="shared" si="153"/>
        <v>5.624999999999952</v>
      </c>
      <c r="AF51" s="390">
        <f t="shared" si="153"/>
        <v>5.624999999999952</v>
      </c>
      <c r="AG51" s="390">
        <f t="shared" si="153"/>
        <v>5.624999999999952</v>
      </c>
      <c r="AH51" s="390">
        <f t="shared" si="153"/>
        <v>5.624999999999952</v>
      </c>
      <c r="AI51" s="390">
        <f t="shared" si="153"/>
        <v>5.624999999999952</v>
      </c>
      <c r="AJ51" s="390">
        <f t="shared" si="153"/>
        <v>5.624999999999952</v>
      </c>
      <c r="AK51" s="390">
        <f t="shared" si="153"/>
        <v>5.624999999999952</v>
      </c>
      <c r="AL51" s="390">
        <f t="shared" si="153"/>
        <v>5.624999999999952</v>
      </c>
      <c r="AM51" s="390">
        <f t="shared" si="153"/>
        <v>5.624999999999952</v>
      </c>
      <c r="AN51" s="390">
        <f t="shared" si="153"/>
        <v>5.624999999999952</v>
      </c>
      <c r="AO51" s="390">
        <f t="shared" si="153"/>
        <v>5.624999999999952</v>
      </c>
      <c r="AP51" s="390">
        <f t="shared" si="153"/>
        <v>5.624999999999952</v>
      </c>
      <c r="AQ51" s="390">
        <f t="shared" si="153"/>
        <v>5.624999999999952</v>
      </c>
      <c r="AR51" s="390">
        <f t="shared" si="153"/>
        <v>5.624999999999952</v>
      </c>
      <c r="AS51" s="390">
        <f t="shared" si="153"/>
        <v>5.624999999999952</v>
      </c>
      <c r="AT51" s="390">
        <f t="shared" si="153"/>
        <v>5.624999999999952</v>
      </c>
      <c r="AU51" s="390">
        <f t="shared" si="153"/>
        <v>5.624999999999952</v>
      </c>
      <c r="AV51" s="390">
        <f t="shared" si="153"/>
        <v>5.624999999999952</v>
      </c>
      <c r="AW51" s="390">
        <f t="shared" si="153"/>
        <v>5.624999999999952</v>
      </c>
    </row>
    <row r="52" spans="2:49" s="342" customFormat="1" ht="14.25" customHeight="1">
      <c r="B52" s="375"/>
      <c r="C52" s="399" t="s">
        <v>419</v>
      </c>
      <c r="D52" s="400"/>
      <c r="E52" s="400"/>
      <c r="F52" s="400"/>
      <c r="G52" s="400"/>
      <c r="H52" s="400"/>
      <c r="I52" s="400"/>
      <c r="J52" s="400"/>
      <c r="K52" s="400"/>
      <c r="L52" s="400"/>
      <c r="M52" s="400"/>
      <c r="N52" s="400"/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  <c r="AA52" s="400"/>
      <c r="AB52" s="400"/>
      <c r="AC52" s="400"/>
      <c r="AD52" s="400"/>
      <c r="AE52" s="400"/>
      <c r="AF52" s="400"/>
      <c r="AG52" s="400"/>
      <c r="AH52" s="400"/>
      <c r="AI52" s="400"/>
      <c r="AJ52" s="400"/>
      <c r="AK52" s="400"/>
      <c r="AL52" s="400"/>
      <c r="AM52" s="400"/>
      <c r="AN52" s="400"/>
      <c r="AO52" s="400"/>
      <c r="AP52" s="400"/>
      <c r="AQ52" s="400"/>
      <c r="AR52" s="400"/>
      <c r="AS52" s="400"/>
      <c r="AT52" s="400"/>
      <c r="AU52" s="400"/>
      <c r="AV52" s="400"/>
      <c r="AW52" s="400"/>
    </row>
    <row r="53" spans="2:49" s="342" customFormat="1" ht="14.25" customHeight="1">
      <c r="B53" s="375"/>
      <c r="C53" s="342" t="s">
        <v>420</v>
      </c>
      <c r="D53" s="390">
        <f>SUM(D51:D52)</f>
        <v>103.125</v>
      </c>
      <c r="E53" s="390">
        <f>SUM(E51:E52)</f>
        <v>112.5</v>
      </c>
      <c r="F53" s="390">
        <f>SUM(F51:F52)</f>
        <v>108.22499999999999</v>
      </c>
      <c r="G53" s="390">
        <f>SUM(G51:G52)</f>
        <v>103.94999999999999</v>
      </c>
      <c r="H53" s="390">
        <f t="shared" ref="H53:AW53" si="154">SUM(H51:H52)</f>
        <v>99.674999999999983</v>
      </c>
      <c r="I53" s="390">
        <f>SUM(I51:I52)</f>
        <v>95.399999999999977</v>
      </c>
      <c r="J53" s="390">
        <f>SUM(J51:J52)</f>
        <v>91.124999999999972</v>
      </c>
      <c r="K53" s="390">
        <f>SUM(K51:K52)</f>
        <v>86.849999999999966</v>
      </c>
      <c r="L53" s="390">
        <f t="shared" si="154"/>
        <v>82.57499999999996</v>
      </c>
      <c r="M53" s="390">
        <f t="shared" si="154"/>
        <v>78.299999999999955</v>
      </c>
      <c r="N53" s="390">
        <f t="shared" si="154"/>
        <v>74.024999999999949</v>
      </c>
      <c r="O53" s="390">
        <f t="shared" si="154"/>
        <v>69.749999999999943</v>
      </c>
      <c r="P53" s="390">
        <f t="shared" si="154"/>
        <v>65.474999999999937</v>
      </c>
      <c r="Q53" s="390">
        <f t="shared" si="154"/>
        <v>61.199999999999939</v>
      </c>
      <c r="R53" s="390">
        <f t="shared" si="154"/>
        <v>56.92499999999994</v>
      </c>
      <c r="S53" s="390">
        <f t="shared" si="154"/>
        <v>52.649999999999942</v>
      </c>
      <c r="T53" s="390">
        <f t="shared" si="154"/>
        <v>48.374999999999943</v>
      </c>
      <c r="U53" s="390">
        <f t="shared" si="154"/>
        <v>44.099999999999945</v>
      </c>
      <c r="V53" s="390">
        <f t="shared" si="154"/>
        <v>39.824999999999946</v>
      </c>
      <c r="W53" s="390">
        <f t="shared" si="154"/>
        <v>35.549999999999947</v>
      </c>
      <c r="X53" s="390">
        <f t="shared" si="154"/>
        <v>31.274999999999949</v>
      </c>
      <c r="Y53" s="390">
        <f t="shared" si="154"/>
        <v>26.99999999999995</v>
      </c>
      <c r="Z53" s="390">
        <f t="shared" si="154"/>
        <v>22.724999999999952</v>
      </c>
      <c r="AA53" s="390">
        <f t="shared" si="154"/>
        <v>18.449999999999953</v>
      </c>
      <c r="AB53" s="390">
        <f t="shared" si="154"/>
        <v>14.174999999999953</v>
      </c>
      <c r="AC53" s="390">
        <f t="shared" si="154"/>
        <v>9.8999999999999524</v>
      </c>
      <c r="AD53" s="390">
        <f t="shared" si="154"/>
        <v>5.624999999999952</v>
      </c>
      <c r="AE53" s="390">
        <f t="shared" si="154"/>
        <v>5.624999999999952</v>
      </c>
      <c r="AF53" s="390">
        <f t="shared" si="154"/>
        <v>5.624999999999952</v>
      </c>
      <c r="AG53" s="390">
        <f t="shared" si="154"/>
        <v>5.624999999999952</v>
      </c>
      <c r="AH53" s="390">
        <f t="shared" si="154"/>
        <v>5.624999999999952</v>
      </c>
      <c r="AI53" s="390">
        <f t="shared" si="154"/>
        <v>5.624999999999952</v>
      </c>
      <c r="AJ53" s="390">
        <f t="shared" si="154"/>
        <v>5.624999999999952</v>
      </c>
      <c r="AK53" s="390">
        <f t="shared" si="154"/>
        <v>5.624999999999952</v>
      </c>
      <c r="AL53" s="390">
        <f t="shared" si="154"/>
        <v>5.624999999999952</v>
      </c>
      <c r="AM53" s="390">
        <f t="shared" si="154"/>
        <v>5.624999999999952</v>
      </c>
      <c r="AN53" s="390">
        <f t="shared" si="154"/>
        <v>5.624999999999952</v>
      </c>
      <c r="AO53" s="390">
        <f t="shared" si="154"/>
        <v>5.624999999999952</v>
      </c>
      <c r="AP53" s="390">
        <f t="shared" si="154"/>
        <v>5.624999999999952</v>
      </c>
      <c r="AQ53" s="390">
        <f t="shared" si="154"/>
        <v>5.624999999999952</v>
      </c>
      <c r="AR53" s="390">
        <f t="shared" si="154"/>
        <v>5.624999999999952</v>
      </c>
      <c r="AS53" s="390">
        <f t="shared" si="154"/>
        <v>5.624999999999952</v>
      </c>
      <c r="AT53" s="390">
        <f t="shared" si="154"/>
        <v>5.624999999999952</v>
      </c>
      <c r="AU53" s="390">
        <f t="shared" si="154"/>
        <v>5.624999999999952</v>
      </c>
      <c r="AV53" s="390">
        <f t="shared" si="154"/>
        <v>5.624999999999952</v>
      </c>
      <c r="AW53" s="390">
        <f t="shared" si="154"/>
        <v>5.624999999999952</v>
      </c>
    </row>
    <row r="54" spans="2:49" s="357" customFormat="1" ht="14.25" customHeight="1">
      <c r="B54" s="357" t="s">
        <v>351</v>
      </c>
      <c r="C54" s="357" t="s">
        <v>421</v>
      </c>
      <c r="D54" s="401">
        <f>IFERROR(D47/D53,"n.a.")</f>
        <v>0</v>
      </c>
      <c r="E54" s="401">
        <f t="shared" ref="E54:AW54" si="155">IFERROR(E47/E53,"n.a.")</f>
        <v>0.62132437762038861</v>
      </c>
      <c r="F54" s="401">
        <f t="shared" si="155"/>
        <v>0.87515156032112207</v>
      </c>
      <c r="G54" s="401">
        <f t="shared" si="155"/>
        <v>0.92616071482485263</v>
      </c>
      <c r="H54" s="401">
        <f t="shared" si="155"/>
        <v>0.98204814981907307</v>
      </c>
      <c r="I54" s="401">
        <f t="shared" si="155"/>
        <v>1.0429189734649877</v>
      </c>
      <c r="J54" s="401">
        <f t="shared" si="155"/>
        <v>1.1097885742063651</v>
      </c>
      <c r="K54" s="401">
        <f t="shared" si="155"/>
        <v>1.1836176603138497</v>
      </c>
      <c r="L54" s="401">
        <f t="shared" si="155"/>
        <v>1.265495051149595</v>
      </c>
      <c r="M54" s="401">
        <f t="shared" si="155"/>
        <v>1.356747521212488</v>
      </c>
      <c r="N54" s="401">
        <f t="shared" si="155"/>
        <v>1.4590085141206228</v>
      </c>
      <c r="O54" s="401">
        <f t="shared" si="155"/>
        <v>1.5743121256816555</v>
      </c>
      <c r="P54" s="401">
        <f t="shared" si="155"/>
        <v>1.7052239051546756</v>
      </c>
      <c r="Q54" s="401">
        <f t="shared" si="155"/>
        <v>1.8550264777180818</v>
      </c>
      <c r="R54" s="401">
        <f t="shared" si="155"/>
        <v>2.0279888071983514</v>
      </c>
      <c r="S54" s="401">
        <f t="shared" si="155"/>
        <v>2.229766638184441</v>
      </c>
      <c r="T54" s="401">
        <f t="shared" si="155"/>
        <v>2.4680152657082632</v>
      </c>
      <c r="U54" s="401">
        <f t="shared" si="155"/>
        <v>2.7533587119136689</v>
      </c>
      <c r="V54" s="401">
        <f t="shared" si="155"/>
        <v>3.1009831183580081</v>
      </c>
      <c r="W54" s="401">
        <f t="shared" si="155"/>
        <v>3.5333798012859039</v>
      </c>
      <c r="X54" s="401">
        <f t="shared" si="155"/>
        <v>4.0853380071115737</v>
      </c>
      <c r="Y54" s="401">
        <f t="shared" si="155"/>
        <v>4.8136807858454755</v>
      </c>
      <c r="Z54" s="401">
        <f t="shared" si="155"/>
        <v>5.8179898704569659</v>
      </c>
      <c r="AA54" s="401">
        <f t="shared" si="155"/>
        <v>7.2901431937591692</v>
      </c>
      <c r="AB54" s="401">
        <f t="shared" si="155"/>
        <v>9.6534917220389751</v>
      </c>
      <c r="AC54" s="401">
        <f t="shared" si="155"/>
        <v>14.062630812879922</v>
      </c>
      <c r="AD54" s="401">
        <f t="shared" si="155"/>
        <v>25.182128965908884</v>
      </c>
      <c r="AE54" s="401">
        <f t="shared" si="155"/>
        <v>0</v>
      </c>
      <c r="AF54" s="401">
        <f t="shared" si="155"/>
        <v>0</v>
      </c>
      <c r="AG54" s="401">
        <f t="shared" si="155"/>
        <v>0</v>
      </c>
      <c r="AH54" s="401">
        <f t="shared" si="155"/>
        <v>0</v>
      </c>
      <c r="AI54" s="401">
        <f t="shared" si="155"/>
        <v>0</v>
      </c>
      <c r="AJ54" s="401">
        <f t="shared" si="155"/>
        <v>0</v>
      </c>
      <c r="AK54" s="401">
        <f t="shared" si="155"/>
        <v>0</v>
      </c>
      <c r="AL54" s="401">
        <f t="shared" si="155"/>
        <v>0</v>
      </c>
      <c r="AM54" s="401">
        <f t="shared" si="155"/>
        <v>0</v>
      </c>
      <c r="AN54" s="401">
        <f t="shared" si="155"/>
        <v>0</v>
      </c>
      <c r="AO54" s="401">
        <f t="shared" si="155"/>
        <v>0</v>
      </c>
      <c r="AP54" s="401">
        <f t="shared" si="155"/>
        <v>0</v>
      </c>
      <c r="AQ54" s="401">
        <f t="shared" si="155"/>
        <v>0</v>
      </c>
      <c r="AR54" s="401">
        <f t="shared" si="155"/>
        <v>0</v>
      </c>
      <c r="AS54" s="401">
        <f t="shared" si="155"/>
        <v>0</v>
      </c>
      <c r="AT54" s="401">
        <f t="shared" si="155"/>
        <v>0</v>
      </c>
      <c r="AU54" s="401">
        <f t="shared" si="155"/>
        <v>0</v>
      </c>
      <c r="AV54" s="401">
        <f t="shared" si="155"/>
        <v>0</v>
      </c>
      <c r="AW54" s="401">
        <f t="shared" si="155"/>
        <v>0</v>
      </c>
    </row>
    <row r="55" spans="2:49" s="357" customFormat="1" ht="14.25" customHeight="1">
      <c r="D55" s="401"/>
      <c r="E55" s="401"/>
      <c r="F55" s="401"/>
      <c r="G55" s="401"/>
      <c r="H55" s="401"/>
      <c r="I55" s="401"/>
      <c r="J55" s="401"/>
      <c r="K55" s="401"/>
      <c r="L55" s="401"/>
      <c r="M55" s="401"/>
      <c r="N55" s="401"/>
      <c r="O55" s="401"/>
      <c r="P55" s="401"/>
      <c r="Q55" s="401"/>
      <c r="R55" s="401"/>
      <c r="S55" s="401"/>
      <c r="T55" s="401"/>
      <c r="U55" s="401"/>
      <c r="V55" s="401"/>
      <c r="W55" s="401"/>
      <c r="X55" s="401"/>
      <c r="Y55" s="401"/>
      <c r="Z55" s="401"/>
      <c r="AA55" s="401"/>
      <c r="AB55" s="401"/>
      <c r="AC55" s="401"/>
      <c r="AD55" s="401"/>
      <c r="AE55" s="401"/>
      <c r="AF55" s="401"/>
      <c r="AG55" s="401"/>
      <c r="AH55" s="401"/>
      <c r="AI55" s="401"/>
      <c r="AJ55" s="401"/>
      <c r="AK55" s="401"/>
      <c r="AL55" s="401"/>
      <c r="AM55" s="401"/>
      <c r="AN55" s="401"/>
      <c r="AO55" s="401"/>
      <c r="AP55" s="401"/>
      <c r="AQ55" s="401"/>
      <c r="AR55" s="401"/>
      <c r="AS55" s="401"/>
      <c r="AT55" s="401"/>
      <c r="AU55" s="401"/>
      <c r="AV55" s="401"/>
      <c r="AW55" s="401"/>
    </row>
    <row r="56" spans="2:49" s="357" customFormat="1" ht="14.25" customHeight="1">
      <c r="D56" s="401"/>
      <c r="E56" s="401"/>
      <c r="F56" s="401"/>
      <c r="G56" s="401"/>
      <c r="H56" s="401"/>
      <c r="I56" s="401"/>
      <c r="J56" s="401"/>
      <c r="K56" s="401"/>
      <c r="L56" s="401"/>
      <c r="M56" s="401"/>
      <c r="N56" s="401"/>
      <c r="O56" s="401"/>
      <c r="P56" s="401"/>
      <c r="Q56" s="401"/>
      <c r="R56" s="401"/>
      <c r="S56" s="401"/>
      <c r="T56" s="401"/>
      <c r="U56" s="401"/>
      <c r="V56" s="401"/>
      <c r="W56" s="401"/>
      <c r="X56" s="401"/>
      <c r="Y56" s="401"/>
      <c r="Z56" s="401"/>
      <c r="AA56" s="401"/>
      <c r="AB56" s="401"/>
      <c r="AC56" s="401"/>
      <c r="AD56" s="401"/>
      <c r="AE56" s="401"/>
      <c r="AF56" s="401"/>
      <c r="AG56" s="401"/>
      <c r="AH56" s="401"/>
      <c r="AI56" s="401"/>
      <c r="AJ56" s="401"/>
      <c r="AK56" s="401"/>
      <c r="AL56" s="401"/>
      <c r="AM56" s="401"/>
      <c r="AN56" s="401"/>
      <c r="AO56" s="401"/>
      <c r="AP56" s="401"/>
      <c r="AQ56" s="401"/>
      <c r="AR56" s="401"/>
      <c r="AS56" s="401"/>
      <c r="AT56" s="401"/>
      <c r="AU56" s="401"/>
      <c r="AV56" s="401"/>
      <c r="AW56" s="401"/>
    </row>
    <row r="57" spans="2:49" s="357" customFormat="1" ht="14.25" customHeight="1">
      <c r="C57" s="357" t="s">
        <v>422</v>
      </c>
      <c r="D57" s="329">
        <f>D30</f>
        <v>0</v>
      </c>
      <c r="E57" s="329">
        <f t="shared" ref="E57:AW57" si="156">E30</f>
        <v>1</v>
      </c>
      <c r="F57" s="329">
        <f t="shared" si="156"/>
        <v>2</v>
      </c>
      <c r="G57" s="329">
        <f t="shared" si="156"/>
        <v>3</v>
      </c>
      <c r="H57" s="329">
        <f t="shared" si="156"/>
        <v>4</v>
      </c>
      <c r="I57" s="329">
        <f t="shared" si="156"/>
        <v>5</v>
      </c>
      <c r="J57" s="329">
        <f t="shared" si="156"/>
        <v>6</v>
      </c>
      <c r="K57" s="329">
        <f t="shared" si="156"/>
        <v>7</v>
      </c>
      <c r="L57" s="329">
        <f t="shared" si="156"/>
        <v>8</v>
      </c>
      <c r="M57" s="329">
        <f t="shared" si="156"/>
        <v>9</v>
      </c>
      <c r="N57" s="329">
        <f t="shared" si="156"/>
        <v>10</v>
      </c>
      <c r="O57" s="329">
        <f t="shared" si="156"/>
        <v>11</v>
      </c>
      <c r="P57" s="329">
        <f t="shared" si="156"/>
        <v>12</v>
      </c>
      <c r="Q57" s="329">
        <f t="shared" si="156"/>
        <v>13</v>
      </c>
      <c r="R57" s="329">
        <f t="shared" si="156"/>
        <v>14</v>
      </c>
      <c r="S57" s="329">
        <f t="shared" si="156"/>
        <v>15</v>
      </c>
      <c r="T57" s="329">
        <f t="shared" si="156"/>
        <v>16</v>
      </c>
      <c r="U57" s="329">
        <f t="shared" si="156"/>
        <v>17</v>
      </c>
      <c r="V57" s="329">
        <f t="shared" si="156"/>
        <v>18</v>
      </c>
      <c r="W57" s="329">
        <f t="shared" si="156"/>
        <v>19</v>
      </c>
      <c r="X57" s="329">
        <f t="shared" si="156"/>
        <v>20</v>
      </c>
      <c r="Y57" s="329">
        <f t="shared" si="156"/>
        <v>21</v>
      </c>
      <c r="Z57" s="329">
        <f t="shared" si="156"/>
        <v>22</v>
      </c>
      <c r="AA57" s="329">
        <f t="shared" si="156"/>
        <v>23</v>
      </c>
      <c r="AB57" s="329">
        <f t="shared" si="156"/>
        <v>24</v>
      </c>
      <c r="AC57" s="329">
        <f t="shared" si="156"/>
        <v>25</v>
      </c>
      <c r="AD57" s="329">
        <f t="shared" si="156"/>
        <v>26</v>
      </c>
      <c r="AE57" s="329">
        <f t="shared" si="156"/>
        <v>27</v>
      </c>
      <c r="AF57" s="329">
        <f t="shared" si="156"/>
        <v>28</v>
      </c>
      <c r="AG57" s="329">
        <f t="shared" si="156"/>
        <v>29</v>
      </c>
      <c r="AH57" s="329">
        <f t="shared" si="156"/>
        <v>30</v>
      </c>
      <c r="AI57" s="329">
        <f t="shared" si="156"/>
        <v>31</v>
      </c>
      <c r="AJ57" s="329">
        <f t="shared" si="156"/>
        <v>32</v>
      </c>
      <c r="AK57" s="329">
        <f t="shared" si="156"/>
        <v>33</v>
      </c>
      <c r="AL57" s="329">
        <f t="shared" si="156"/>
        <v>34</v>
      </c>
      <c r="AM57" s="329">
        <f t="shared" si="156"/>
        <v>35</v>
      </c>
      <c r="AN57" s="329">
        <f t="shared" si="156"/>
        <v>36</v>
      </c>
      <c r="AO57" s="329">
        <f t="shared" si="156"/>
        <v>37</v>
      </c>
      <c r="AP57" s="329">
        <f t="shared" si="156"/>
        <v>38</v>
      </c>
      <c r="AQ57" s="329">
        <f t="shared" si="156"/>
        <v>39</v>
      </c>
      <c r="AR57" s="329">
        <f t="shared" si="156"/>
        <v>40</v>
      </c>
      <c r="AS57" s="329">
        <f t="shared" si="156"/>
        <v>41</v>
      </c>
      <c r="AT57" s="329">
        <f t="shared" si="156"/>
        <v>42</v>
      </c>
      <c r="AU57" s="329">
        <f t="shared" si="156"/>
        <v>43</v>
      </c>
      <c r="AV57" s="329">
        <f t="shared" si="156"/>
        <v>44</v>
      </c>
      <c r="AW57" s="329">
        <f t="shared" si="156"/>
        <v>45</v>
      </c>
    </row>
    <row r="58" spans="2:49" s="357" customFormat="1" ht="14.25" customHeight="1">
      <c r="C58" s="342" t="s">
        <v>423</v>
      </c>
      <c r="D58" s="402">
        <f>D44</f>
        <v>0</v>
      </c>
      <c r="E58" s="402">
        <f>E44</f>
        <v>-42.601007517706279</v>
      </c>
      <c r="F58" s="402">
        <f t="shared" ref="F58:AW58" si="157">F44</f>
        <v>56.387270098047154</v>
      </c>
      <c r="G58" s="402">
        <f t="shared" si="157"/>
        <v>156.93667640409058</v>
      </c>
      <c r="H58" s="402">
        <f t="shared" si="157"/>
        <v>259.09732573730668</v>
      </c>
      <c r="I58" s="402">
        <f t="shared" si="157"/>
        <v>362.8667958058665</v>
      </c>
      <c r="J58" s="402">
        <f t="shared" si="157"/>
        <v>468.27127963042147</v>
      </c>
      <c r="K58" s="402">
        <f t="shared" si="157"/>
        <v>575.34347342867932</v>
      </c>
      <c r="L58" s="402">
        <f t="shared" si="157"/>
        <v>684.11672727735709</v>
      </c>
      <c r="M58" s="402">
        <f t="shared" si="157"/>
        <v>794.62505818829482</v>
      </c>
      <c r="N58" s="402">
        <f t="shared" si="157"/>
        <v>906.9031634460739</v>
      </c>
      <c r="O58" s="402">
        <f t="shared" si="157"/>
        <v>1020.9864342123693</v>
      </c>
      <c r="P58" s="402">
        <f t="shared" si="157"/>
        <v>1136.9109694023716</v>
      </c>
      <c r="Q58" s="402">
        <f t="shared" si="157"/>
        <v>1254.7135898387182</v>
      </c>
      <c r="R58" s="402">
        <f t="shared" si="157"/>
        <v>1374.4318526884842</v>
      </c>
      <c r="S58" s="402">
        <f t="shared" si="157"/>
        <v>1496.1040661888949</v>
      </c>
      <c r="T58" s="402">
        <f t="shared" si="157"/>
        <v>1619.769304667532</v>
      </c>
      <c r="U58" s="402">
        <f t="shared" si="157"/>
        <v>1745.4674238629245</v>
      </c>
      <c r="V58" s="402">
        <f t="shared" si="157"/>
        <v>1873.239076551532</v>
      </c>
      <c r="W58" s="402">
        <f t="shared" si="157"/>
        <v>2003.1257284872456</v>
      </c>
      <c r="X58" s="402">
        <f t="shared" si="157"/>
        <v>2135.1696746596599</v>
      </c>
      <c r="Y58" s="402">
        <f t="shared" si="157"/>
        <v>2269.4140558774875</v>
      </c>
      <c r="Z58" s="402">
        <f t="shared" si="157"/>
        <v>2405.9028756836219</v>
      </c>
      <c r="AA58" s="402">
        <f t="shared" si="157"/>
        <v>2544.6810176084782</v>
      </c>
      <c r="AB58" s="402">
        <f t="shared" si="157"/>
        <v>2685.7942627683801</v>
      </c>
      <c r="AC58" s="402">
        <f t="shared" si="157"/>
        <v>2829.2893078158909</v>
      </c>
      <c r="AD58" s="402">
        <f t="shared" si="157"/>
        <v>2980.8387832491271</v>
      </c>
      <c r="AE58" s="402">
        <f t="shared" si="157"/>
        <v>2980.8387832491271</v>
      </c>
      <c r="AF58" s="402">
        <f t="shared" si="157"/>
        <v>2980.8387832491271</v>
      </c>
      <c r="AG58" s="402">
        <f t="shared" si="157"/>
        <v>2980.8387832491271</v>
      </c>
      <c r="AH58" s="402">
        <f t="shared" si="157"/>
        <v>2980.8387832491271</v>
      </c>
      <c r="AI58" s="402">
        <f t="shared" si="157"/>
        <v>2980.8387832491271</v>
      </c>
      <c r="AJ58" s="402">
        <f t="shared" si="157"/>
        <v>2980.8387832491271</v>
      </c>
      <c r="AK58" s="402">
        <f t="shared" si="157"/>
        <v>2980.8387832491271</v>
      </c>
      <c r="AL58" s="402">
        <f t="shared" si="157"/>
        <v>2980.8387832491271</v>
      </c>
      <c r="AM58" s="402">
        <f t="shared" si="157"/>
        <v>2980.8387832491271</v>
      </c>
      <c r="AN58" s="402">
        <f t="shared" si="157"/>
        <v>2980.8387832491271</v>
      </c>
      <c r="AO58" s="402">
        <f t="shared" si="157"/>
        <v>2980.8387832491271</v>
      </c>
      <c r="AP58" s="402">
        <f t="shared" si="157"/>
        <v>2980.8387832491271</v>
      </c>
      <c r="AQ58" s="402">
        <f t="shared" si="157"/>
        <v>2980.8387832491271</v>
      </c>
      <c r="AR58" s="402">
        <f t="shared" si="157"/>
        <v>2980.8387832491271</v>
      </c>
      <c r="AS58" s="402">
        <f t="shared" si="157"/>
        <v>2980.8387832491271</v>
      </c>
      <c r="AT58" s="402">
        <f t="shared" si="157"/>
        <v>2980.8387832491271</v>
      </c>
      <c r="AU58" s="402">
        <f t="shared" si="157"/>
        <v>2980.8387832491271</v>
      </c>
      <c r="AV58" s="402">
        <f t="shared" si="157"/>
        <v>2980.8387832491271</v>
      </c>
      <c r="AW58" s="402">
        <f t="shared" si="157"/>
        <v>2980.8387832491271</v>
      </c>
    </row>
    <row r="59" spans="2:49" s="357" customFormat="1" ht="14.25" customHeight="1">
      <c r="C59" s="342" t="s">
        <v>424</v>
      </c>
      <c r="D59" s="403">
        <f>IF(AND(C58&lt;0,D58&gt;=0),1,0)</f>
        <v>0</v>
      </c>
      <c r="E59" s="403">
        <f>IF(AND(D58&lt;0,E58&gt;=0),1,0)</f>
        <v>0</v>
      </c>
      <c r="F59" s="403">
        <f t="shared" ref="F59:AW59" si="158">IF(AND(E58&lt;0,F58&gt;=0),1,0)</f>
        <v>1</v>
      </c>
      <c r="G59" s="403">
        <f>IF(AND(F58&lt;0,G58&gt;=0),1,0)</f>
        <v>0</v>
      </c>
      <c r="H59" s="403">
        <f t="shared" si="158"/>
        <v>0</v>
      </c>
      <c r="I59" s="403">
        <f t="shared" si="158"/>
        <v>0</v>
      </c>
      <c r="J59" s="403">
        <f t="shared" si="158"/>
        <v>0</v>
      </c>
      <c r="K59" s="403">
        <f t="shared" si="158"/>
        <v>0</v>
      </c>
      <c r="L59" s="403">
        <f t="shared" si="158"/>
        <v>0</v>
      </c>
      <c r="M59" s="403">
        <f t="shared" si="158"/>
        <v>0</v>
      </c>
      <c r="N59" s="403">
        <f t="shared" si="158"/>
        <v>0</v>
      </c>
      <c r="O59" s="403">
        <f t="shared" si="158"/>
        <v>0</v>
      </c>
      <c r="P59" s="403">
        <f t="shared" si="158"/>
        <v>0</v>
      </c>
      <c r="Q59" s="403">
        <f t="shared" si="158"/>
        <v>0</v>
      </c>
      <c r="R59" s="403">
        <f t="shared" si="158"/>
        <v>0</v>
      </c>
      <c r="S59" s="403">
        <f t="shared" si="158"/>
        <v>0</v>
      </c>
      <c r="T59" s="403">
        <f t="shared" si="158"/>
        <v>0</v>
      </c>
      <c r="U59" s="403">
        <f t="shared" si="158"/>
        <v>0</v>
      </c>
      <c r="V59" s="403">
        <f t="shared" si="158"/>
        <v>0</v>
      </c>
      <c r="W59" s="403">
        <f t="shared" si="158"/>
        <v>0</v>
      </c>
      <c r="X59" s="403">
        <f t="shared" si="158"/>
        <v>0</v>
      </c>
      <c r="Y59" s="403">
        <f t="shared" si="158"/>
        <v>0</v>
      </c>
      <c r="Z59" s="403">
        <f t="shared" si="158"/>
        <v>0</v>
      </c>
      <c r="AA59" s="403">
        <f t="shared" si="158"/>
        <v>0</v>
      </c>
      <c r="AB59" s="403">
        <f t="shared" si="158"/>
        <v>0</v>
      </c>
      <c r="AC59" s="403">
        <f t="shared" si="158"/>
        <v>0</v>
      </c>
      <c r="AD59" s="403">
        <f t="shared" si="158"/>
        <v>0</v>
      </c>
      <c r="AE59" s="403">
        <f t="shared" si="158"/>
        <v>0</v>
      </c>
      <c r="AF59" s="403">
        <f t="shared" si="158"/>
        <v>0</v>
      </c>
      <c r="AG59" s="403">
        <f t="shared" si="158"/>
        <v>0</v>
      </c>
      <c r="AH59" s="403">
        <f t="shared" si="158"/>
        <v>0</v>
      </c>
      <c r="AI59" s="403">
        <f t="shared" si="158"/>
        <v>0</v>
      </c>
      <c r="AJ59" s="403">
        <f t="shared" si="158"/>
        <v>0</v>
      </c>
      <c r="AK59" s="403">
        <f t="shared" si="158"/>
        <v>0</v>
      </c>
      <c r="AL59" s="403">
        <f t="shared" si="158"/>
        <v>0</v>
      </c>
      <c r="AM59" s="403">
        <f t="shared" si="158"/>
        <v>0</v>
      </c>
      <c r="AN59" s="403">
        <f t="shared" si="158"/>
        <v>0</v>
      </c>
      <c r="AO59" s="403">
        <f t="shared" si="158"/>
        <v>0</v>
      </c>
      <c r="AP59" s="403">
        <f t="shared" si="158"/>
        <v>0</v>
      </c>
      <c r="AQ59" s="403">
        <f t="shared" si="158"/>
        <v>0</v>
      </c>
      <c r="AR59" s="403">
        <f t="shared" si="158"/>
        <v>0</v>
      </c>
      <c r="AS59" s="403">
        <f t="shared" si="158"/>
        <v>0</v>
      </c>
      <c r="AT59" s="403">
        <f t="shared" si="158"/>
        <v>0</v>
      </c>
      <c r="AU59" s="403">
        <f t="shared" si="158"/>
        <v>0</v>
      </c>
      <c r="AV59" s="403">
        <f t="shared" si="158"/>
        <v>0</v>
      </c>
      <c r="AW59" s="403">
        <f t="shared" si="158"/>
        <v>0</v>
      </c>
    </row>
    <row r="60" spans="2:49" s="357" customFormat="1" ht="14.25" customHeight="1">
      <c r="C60" s="342" t="s">
        <v>425</v>
      </c>
      <c r="D60" s="403">
        <f>IF(D59=1,C58/D43,0)*-1</f>
        <v>0</v>
      </c>
      <c r="E60" s="403">
        <f>IF(E59=1,D58/E43,0)*-1</f>
        <v>0</v>
      </c>
      <c r="F60" s="403">
        <f t="shared" ref="F60:AW60" si="159">IF(F59=1,E58/F43,0)*-1</f>
        <v>0.43036416577599451</v>
      </c>
      <c r="G60" s="403">
        <f>IF(G59=1,F58/G43,0)*-1</f>
        <v>0</v>
      </c>
      <c r="H60" s="403">
        <f t="shared" si="159"/>
        <v>0</v>
      </c>
      <c r="I60" s="403">
        <f t="shared" si="159"/>
        <v>0</v>
      </c>
      <c r="J60" s="403">
        <f t="shared" si="159"/>
        <v>0</v>
      </c>
      <c r="K60" s="403">
        <f t="shared" si="159"/>
        <v>0</v>
      </c>
      <c r="L60" s="403">
        <f t="shared" si="159"/>
        <v>0</v>
      </c>
      <c r="M60" s="403">
        <f t="shared" si="159"/>
        <v>0</v>
      </c>
      <c r="N60" s="403">
        <f t="shared" si="159"/>
        <v>0</v>
      </c>
      <c r="O60" s="403">
        <f t="shared" si="159"/>
        <v>0</v>
      </c>
      <c r="P60" s="403">
        <f t="shared" si="159"/>
        <v>0</v>
      </c>
      <c r="Q60" s="403">
        <f t="shared" si="159"/>
        <v>0</v>
      </c>
      <c r="R60" s="403">
        <f t="shared" si="159"/>
        <v>0</v>
      </c>
      <c r="S60" s="403">
        <f t="shared" si="159"/>
        <v>0</v>
      </c>
      <c r="T60" s="403">
        <f t="shared" si="159"/>
        <v>0</v>
      </c>
      <c r="U60" s="403">
        <f t="shared" si="159"/>
        <v>0</v>
      </c>
      <c r="V60" s="403">
        <f t="shared" si="159"/>
        <v>0</v>
      </c>
      <c r="W60" s="403">
        <f t="shared" si="159"/>
        <v>0</v>
      </c>
      <c r="X60" s="403">
        <f t="shared" si="159"/>
        <v>0</v>
      </c>
      <c r="Y60" s="403">
        <f t="shared" si="159"/>
        <v>0</v>
      </c>
      <c r="Z60" s="403">
        <f t="shared" si="159"/>
        <v>0</v>
      </c>
      <c r="AA60" s="403">
        <f t="shared" si="159"/>
        <v>0</v>
      </c>
      <c r="AB60" s="403">
        <f t="shared" si="159"/>
        <v>0</v>
      </c>
      <c r="AC60" s="403">
        <f t="shared" si="159"/>
        <v>0</v>
      </c>
      <c r="AD60" s="403">
        <f t="shared" si="159"/>
        <v>0</v>
      </c>
      <c r="AE60" s="403">
        <f t="shared" si="159"/>
        <v>0</v>
      </c>
      <c r="AF60" s="403">
        <f t="shared" si="159"/>
        <v>0</v>
      </c>
      <c r="AG60" s="403">
        <f t="shared" si="159"/>
        <v>0</v>
      </c>
      <c r="AH60" s="403">
        <f t="shared" si="159"/>
        <v>0</v>
      </c>
      <c r="AI60" s="403">
        <f t="shared" si="159"/>
        <v>0</v>
      </c>
      <c r="AJ60" s="403">
        <f t="shared" si="159"/>
        <v>0</v>
      </c>
      <c r="AK60" s="403">
        <f t="shared" si="159"/>
        <v>0</v>
      </c>
      <c r="AL60" s="403">
        <f t="shared" si="159"/>
        <v>0</v>
      </c>
      <c r="AM60" s="403">
        <f t="shared" si="159"/>
        <v>0</v>
      </c>
      <c r="AN60" s="403">
        <f t="shared" si="159"/>
        <v>0</v>
      </c>
      <c r="AO60" s="403">
        <f t="shared" si="159"/>
        <v>0</v>
      </c>
      <c r="AP60" s="403">
        <f t="shared" si="159"/>
        <v>0</v>
      </c>
      <c r="AQ60" s="403">
        <f t="shared" si="159"/>
        <v>0</v>
      </c>
      <c r="AR60" s="403">
        <f t="shared" si="159"/>
        <v>0</v>
      </c>
      <c r="AS60" s="403">
        <f t="shared" si="159"/>
        <v>0</v>
      </c>
      <c r="AT60" s="403">
        <f t="shared" si="159"/>
        <v>0</v>
      </c>
      <c r="AU60" s="403">
        <f t="shared" si="159"/>
        <v>0</v>
      </c>
      <c r="AV60" s="403">
        <f t="shared" si="159"/>
        <v>0</v>
      </c>
      <c r="AW60" s="403">
        <f t="shared" si="159"/>
        <v>0</v>
      </c>
    </row>
    <row r="61" spans="2:49" s="357" customFormat="1" ht="14.25" customHeight="1">
      <c r="C61" s="342" t="s">
        <v>426</v>
      </c>
      <c r="D61" s="403">
        <f>IF(D59&lt;&gt;1,0,D57*D59-1+D60)</f>
        <v>0</v>
      </c>
      <c r="E61" s="403">
        <f>IF(E59&lt;&gt;1,0,E57*E59-1+E60)</f>
        <v>0</v>
      </c>
      <c r="F61" s="403">
        <f t="shared" ref="F61:AW61" si="160">IF(F59&lt;&gt;1,0,F57*F59-1+F60)</f>
        <v>1.4303641657759945</v>
      </c>
      <c r="G61" s="403">
        <f>IF(G59&lt;&gt;1,0,G57*G59-1+G60)</f>
        <v>0</v>
      </c>
      <c r="H61" s="403">
        <f t="shared" si="160"/>
        <v>0</v>
      </c>
      <c r="I61" s="403">
        <f t="shared" si="160"/>
        <v>0</v>
      </c>
      <c r="J61" s="403">
        <f t="shared" si="160"/>
        <v>0</v>
      </c>
      <c r="K61" s="403">
        <f t="shared" si="160"/>
        <v>0</v>
      </c>
      <c r="L61" s="403">
        <f t="shared" si="160"/>
        <v>0</v>
      </c>
      <c r="M61" s="403">
        <f t="shared" si="160"/>
        <v>0</v>
      </c>
      <c r="N61" s="403">
        <f t="shared" si="160"/>
        <v>0</v>
      </c>
      <c r="O61" s="403">
        <f t="shared" si="160"/>
        <v>0</v>
      </c>
      <c r="P61" s="403">
        <f t="shared" si="160"/>
        <v>0</v>
      </c>
      <c r="Q61" s="403">
        <f t="shared" si="160"/>
        <v>0</v>
      </c>
      <c r="R61" s="403">
        <f t="shared" si="160"/>
        <v>0</v>
      </c>
      <c r="S61" s="403">
        <f t="shared" si="160"/>
        <v>0</v>
      </c>
      <c r="T61" s="403">
        <f t="shared" si="160"/>
        <v>0</v>
      </c>
      <c r="U61" s="403">
        <f t="shared" si="160"/>
        <v>0</v>
      </c>
      <c r="V61" s="403">
        <f t="shared" si="160"/>
        <v>0</v>
      </c>
      <c r="W61" s="403">
        <f t="shared" si="160"/>
        <v>0</v>
      </c>
      <c r="X61" s="403">
        <f t="shared" si="160"/>
        <v>0</v>
      </c>
      <c r="Y61" s="403">
        <f t="shared" si="160"/>
        <v>0</v>
      </c>
      <c r="Z61" s="403">
        <f t="shared" si="160"/>
        <v>0</v>
      </c>
      <c r="AA61" s="403">
        <f t="shared" si="160"/>
        <v>0</v>
      </c>
      <c r="AB61" s="403">
        <f t="shared" si="160"/>
        <v>0</v>
      </c>
      <c r="AC61" s="403">
        <f t="shared" si="160"/>
        <v>0</v>
      </c>
      <c r="AD61" s="403">
        <f t="shared" si="160"/>
        <v>0</v>
      </c>
      <c r="AE61" s="403">
        <f t="shared" si="160"/>
        <v>0</v>
      </c>
      <c r="AF61" s="403">
        <f t="shared" si="160"/>
        <v>0</v>
      </c>
      <c r="AG61" s="403">
        <f t="shared" si="160"/>
        <v>0</v>
      </c>
      <c r="AH61" s="403">
        <f t="shared" si="160"/>
        <v>0</v>
      </c>
      <c r="AI61" s="403">
        <f t="shared" si="160"/>
        <v>0</v>
      </c>
      <c r="AJ61" s="403">
        <f t="shared" si="160"/>
        <v>0</v>
      </c>
      <c r="AK61" s="403">
        <f t="shared" si="160"/>
        <v>0</v>
      </c>
      <c r="AL61" s="403">
        <f t="shared" si="160"/>
        <v>0</v>
      </c>
      <c r="AM61" s="403">
        <f t="shared" si="160"/>
        <v>0</v>
      </c>
      <c r="AN61" s="403">
        <f t="shared" si="160"/>
        <v>0</v>
      </c>
      <c r="AO61" s="403">
        <f t="shared" si="160"/>
        <v>0</v>
      </c>
      <c r="AP61" s="403">
        <f t="shared" si="160"/>
        <v>0</v>
      </c>
      <c r="AQ61" s="403">
        <f t="shared" si="160"/>
        <v>0</v>
      </c>
      <c r="AR61" s="403">
        <f t="shared" si="160"/>
        <v>0</v>
      </c>
      <c r="AS61" s="403">
        <f t="shared" si="160"/>
        <v>0</v>
      </c>
      <c r="AT61" s="403">
        <f t="shared" si="160"/>
        <v>0</v>
      </c>
      <c r="AU61" s="403">
        <f t="shared" si="160"/>
        <v>0</v>
      </c>
      <c r="AV61" s="403">
        <f t="shared" si="160"/>
        <v>0</v>
      </c>
      <c r="AW61" s="403">
        <f t="shared" si="160"/>
        <v>0</v>
      </c>
    </row>
    <row r="62" spans="2:49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:49" ht="14.25" customHeight="1" thickBo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:49" ht="14.25" customHeight="1" thickBot="1">
      <c r="B64" s="2"/>
      <c r="C64" s="809" t="s">
        <v>427</v>
      </c>
      <c r="D64" s="821"/>
      <c r="E64" s="82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6" ht="14.25" customHeight="1">
      <c r="A65" s="2"/>
      <c r="B65" s="2"/>
      <c r="C65" s="278" t="s">
        <v>428</v>
      </c>
      <c r="D65" s="84"/>
      <c r="E65" s="332">
        <f>'Assumptions &amp; Inputs'!K5</f>
        <v>0</v>
      </c>
      <c r="F65" s="4" t="s">
        <v>429</v>
      </c>
    </row>
    <row r="66" spans="1:6" ht="14.25" customHeight="1">
      <c r="A66" s="45"/>
      <c r="B66" s="45"/>
      <c r="C66" s="278" t="s">
        <v>430</v>
      </c>
      <c r="D66" s="84"/>
      <c r="E66" s="333">
        <f>E65/SUM(E36:E37)</f>
        <v>0</v>
      </c>
      <c r="F66" s="1"/>
    </row>
    <row r="67" spans="1:6" ht="14.25" customHeight="1">
      <c r="A67" s="1"/>
      <c r="B67" s="1"/>
      <c r="C67" s="278" t="s">
        <v>431</v>
      </c>
      <c r="D67" s="84"/>
      <c r="E67" s="334">
        <f>-SUM(D38:G38)</f>
        <v>112.5</v>
      </c>
      <c r="F67" s="1"/>
    </row>
    <row r="68" spans="1:6" ht="14.25" customHeight="1">
      <c r="A68" s="1"/>
      <c r="B68" s="1"/>
      <c r="C68" s="278"/>
      <c r="D68" s="84"/>
      <c r="E68" s="335"/>
      <c r="F68" s="1"/>
    </row>
    <row r="69" spans="1:6" ht="14.25" customHeight="1">
      <c r="A69" s="1"/>
      <c r="B69" s="1"/>
      <c r="C69" s="336" t="s">
        <v>432</v>
      </c>
      <c r="D69" s="83"/>
      <c r="E69" s="337">
        <f>XNPV('Assumptions &amp; Inputs'!$E$16,D43:AW43,D33:AW33)</f>
        <v>726.47730559232514</v>
      </c>
      <c r="F69" s="1"/>
    </row>
    <row r="70" spans="1:6" ht="14.25" customHeight="1">
      <c r="A70" s="2"/>
      <c r="B70" s="2"/>
      <c r="C70" s="336" t="s">
        <v>433</v>
      </c>
      <c r="D70" s="83"/>
      <c r="E70" s="338">
        <f>IFERROR(XIRR(D43:AW43,D33:AW33),"n.a.")</f>
        <v>0.80497227907180768</v>
      </c>
      <c r="F70" s="1"/>
    </row>
    <row r="71" spans="1:6">
      <c r="A71" s="1"/>
      <c r="B71" s="1"/>
      <c r="C71" s="322" t="s">
        <v>434</v>
      </c>
      <c r="D71" s="84"/>
      <c r="E71" s="340">
        <f>I54</f>
        <v>1.0429189734649877</v>
      </c>
      <c r="F71" s="1"/>
    </row>
    <row r="72" spans="1:6" ht="16" thickBot="1">
      <c r="A72" s="1"/>
      <c r="B72" s="1"/>
      <c r="C72" s="339" t="s">
        <v>435</v>
      </c>
      <c r="D72" s="86"/>
      <c r="E72" s="341">
        <f>G61</f>
        <v>0</v>
      </c>
      <c r="F72" s="1"/>
    </row>
    <row r="73" spans="1:6" ht="14.25" customHeight="1">
      <c r="A73" s="1"/>
      <c r="B73" s="1"/>
      <c r="C73" s="1"/>
      <c r="D73" s="1"/>
      <c r="E73" s="1"/>
      <c r="F73" s="1"/>
    </row>
    <row r="74" spans="1:6" ht="14.25" customHeight="1">
      <c r="A74" s="1"/>
      <c r="B74" s="1"/>
      <c r="C74" s="1"/>
      <c r="D74" s="1"/>
      <c r="E74" s="1"/>
      <c r="F74" s="1"/>
    </row>
    <row r="75" spans="1:6" ht="14.25" customHeight="1" thickBot="1">
      <c r="A75" s="1" t="s">
        <v>351</v>
      </c>
      <c r="B75" s="1"/>
      <c r="C75" s="9" t="s">
        <v>436</v>
      </c>
      <c r="D75" s="9"/>
      <c r="E75" s="10"/>
      <c r="F75" s="10"/>
    </row>
    <row r="76" spans="1:6" ht="14.25" customHeight="1">
      <c r="A76" s="1"/>
      <c r="B76" s="1"/>
      <c r="C76" s="12" t="s">
        <v>353</v>
      </c>
      <c r="D76" s="13"/>
      <c r="E76" s="14"/>
      <c r="F76" s="14"/>
    </row>
    <row r="77" spans="1:6" ht="14.25" customHeight="1" thickBot="1">
      <c r="A77" s="1"/>
      <c r="B77" s="1"/>
      <c r="C77" s="12"/>
      <c r="D77" s="13"/>
      <c r="E77" s="14"/>
      <c r="F77" s="14"/>
    </row>
    <row r="78" spans="1:6" ht="14.25" customHeight="1" thickBot="1">
      <c r="A78" s="1"/>
      <c r="B78" s="1"/>
      <c r="C78" s="812" t="s">
        <v>437</v>
      </c>
      <c r="D78" s="823"/>
      <c r="E78" s="824"/>
      <c r="F78" s="14"/>
    </row>
    <row r="79" spans="1:6" ht="14.25" customHeight="1">
      <c r="A79" s="1"/>
      <c r="B79" s="1"/>
      <c r="C79" s="98" t="s">
        <v>438</v>
      </c>
      <c r="D79" s="13"/>
      <c r="E79" s="99">
        <f>E80*SUM(E65,E67)</f>
        <v>0</v>
      </c>
      <c r="F79" s="14"/>
    </row>
    <row r="80" spans="1:6" ht="14.25" customHeight="1">
      <c r="A80" s="1"/>
      <c r="B80" s="1"/>
      <c r="C80" s="98" t="s">
        <v>439</v>
      </c>
      <c r="D80" s="13"/>
      <c r="E80" s="100">
        <f>'Assumptions &amp; Inputs'!L8</f>
        <v>0</v>
      </c>
      <c r="F80" s="14"/>
    </row>
    <row r="81" spans="3:49" ht="14.25" customHeight="1">
      <c r="C81" s="98" t="s">
        <v>440</v>
      </c>
      <c r="D81" s="13"/>
      <c r="E81" s="95">
        <f>IFERROR(SUM(E91:AW91)/SUM(E92:AW92),0)</f>
        <v>0</v>
      </c>
      <c r="F81" s="14"/>
      <c r="G81" s="14"/>
      <c r="H81" s="14"/>
      <c r="I81" s="14"/>
      <c r="J81" s="14"/>
      <c r="K81" s="14"/>
      <c r="L81" s="14"/>
      <c r="M81" s="14"/>
      <c r="N81" s="1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3:49" ht="14.25" customHeight="1">
      <c r="C82" s="98"/>
      <c r="D82" s="13"/>
      <c r="E82" s="95"/>
      <c r="F82" s="14"/>
      <c r="G82" s="14"/>
      <c r="H82" s="14"/>
      <c r="I82" s="14"/>
      <c r="J82" s="14"/>
      <c r="K82" s="14"/>
      <c r="L82" s="14"/>
      <c r="M82" s="14"/>
      <c r="N82" s="1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3:49" ht="14.25" customHeight="1">
      <c r="C83" s="101" t="s">
        <v>441</v>
      </c>
      <c r="D83" s="25"/>
      <c r="E83" s="97">
        <f>XNPV('Assumptions &amp; Inputs'!$E$16,D94:AW94,D90:AW90)</f>
        <v>716.80733432244904</v>
      </c>
      <c r="F83" s="14"/>
      <c r="G83" s="14"/>
      <c r="H83" s="14"/>
      <c r="I83" s="14"/>
      <c r="J83" s="14"/>
      <c r="K83" s="14"/>
      <c r="L83" s="14"/>
      <c r="M83" s="14"/>
      <c r="N83" s="1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3:49" ht="14.25" customHeight="1" thickBot="1">
      <c r="C84" s="26" t="s">
        <v>442</v>
      </c>
      <c r="D84" s="27"/>
      <c r="E84" s="28">
        <f>IFERROR(XIRR(D94:AW94,D90:AW90),"n.a.")</f>
        <v>0.74544252157211321</v>
      </c>
      <c r="F84" s="14"/>
      <c r="G84" s="14"/>
      <c r="H84" s="14"/>
      <c r="I84" s="14"/>
      <c r="J84" s="14"/>
      <c r="K84" s="14"/>
      <c r="L84" s="14"/>
      <c r="M84" s="14"/>
      <c r="N84" s="1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3:49" ht="14.25" customHeight="1">
      <c r="C85" s="12"/>
      <c r="D85" s="13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3:49" ht="14.25" customHeight="1">
      <c r="C86" s="12"/>
      <c r="D86" s="13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3:49" ht="14.25" customHeight="1">
      <c r="C87" s="1"/>
      <c r="D87" s="119">
        <v>0</v>
      </c>
      <c r="E87" s="119">
        <f t="shared" ref="E87:X87" si="161">D87+1</f>
        <v>1</v>
      </c>
      <c r="F87" s="119">
        <f t="shared" si="161"/>
        <v>2</v>
      </c>
      <c r="G87" s="119">
        <f t="shared" si="161"/>
        <v>3</v>
      </c>
      <c r="H87" s="119">
        <f t="shared" si="161"/>
        <v>4</v>
      </c>
      <c r="I87" s="119">
        <f t="shared" si="161"/>
        <v>5</v>
      </c>
      <c r="J87" s="119">
        <f t="shared" si="161"/>
        <v>6</v>
      </c>
      <c r="K87" s="119">
        <f t="shared" si="161"/>
        <v>7</v>
      </c>
      <c r="L87" s="119">
        <f t="shared" si="161"/>
        <v>8</v>
      </c>
      <c r="M87" s="119">
        <f t="shared" si="161"/>
        <v>9</v>
      </c>
      <c r="N87" s="119">
        <f t="shared" si="161"/>
        <v>10</v>
      </c>
      <c r="O87" s="119">
        <f t="shared" si="161"/>
        <v>11</v>
      </c>
      <c r="P87" s="119">
        <f t="shared" si="161"/>
        <v>12</v>
      </c>
      <c r="Q87" s="119">
        <f t="shared" si="161"/>
        <v>13</v>
      </c>
      <c r="R87" s="119">
        <f t="shared" si="161"/>
        <v>14</v>
      </c>
      <c r="S87" s="119">
        <f t="shared" si="161"/>
        <v>15</v>
      </c>
      <c r="T87" s="119">
        <f t="shared" si="161"/>
        <v>16</v>
      </c>
      <c r="U87" s="119">
        <f t="shared" si="161"/>
        <v>17</v>
      </c>
      <c r="V87" s="119">
        <f t="shared" si="161"/>
        <v>18</v>
      </c>
      <c r="W87" s="119">
        <f t="shared" si="161"/>
        <v>19</v>
      </c>
      <c r="X87" s="119">
        <f t="shared" si="161"/>
        <v>20</v>
      </c>
      <c r="Y87" s="119">
        <f t="shared" ref="Y87:AW87" si="162">X87+1</f>
        <v>21</v>
      </c>
      <c r="Z87" s="119">
        <f t="shared" si="162"/>
        <v>22</v>
      </c>
      <c r="AA87" s="119">
        <f t="shared" si="162"/>
        <v>23</v>
      </c>
      <c r="AB87" s="119">
        <f t="shared" si="162"/>
        <v>24</v>
      </c>
      <c r="AC87" s="119">
        <f t="shared" si="162"/>
        <v>25</v>
      </c>
      <c r="AD87" s="119">
        <f t="shared" si="162"/>
        <v>26</v>
      </c>
      <c r="AE87" s="119">
        <f t="shared" si="162"/>
        <v>27</v>
      </c>
      <c r="AF87" s="119">
        <f t="shared" si="162"/>
        <v>28</v>
      </c>
      <c r="AG87" s="119">
        <f t="shared" si="162"/>
        <v>29</v>
      </c>
      <c r="AH87" s="119">
        <f t="shared" si="162"/>
        <v>30</v>
      </c>
      <c r="AI87" s="119">
        <f t="shared" si="162"/>
        <v>31</v>
      </c>
      <c r="AJ87" s="119">
        <f t="shared" si="162"/>
        <v>32</v>
      </c>
      <c r="AK87" s="119">
        <f t="shared" si="162"/>
        <v>33</v>
      </c>
      <c r="AL87" s="119">
        <f t="shared" si="162"/>
        <v>34</v>
      </c>
      <c r="AM87" s="119">
        <f t="shared" si="162"/>
        <v>35</v>
      </c>
      <c r="AN87" s="119">
        <f t="shared" si="162"/>
        <v>36</v>
      </c>
      <c r="AO87" s="119">
        <f t="shared" si="162"/>
        <v>37</v>
      </c>
      <c r="AP87" s="119">
        <f t="shared" si="162"/>
        <v>38</v>
      </c>
      <c r="AQ87" s="119">
        <f t="shared" si="162"/>
        <v>39</v>
      </c>
      <c r="AR87" s="119">
        <f t="shared" si="162"/>
        <v>40</v>
      </c>
      <c r="AS87" s="119">
        <f t="shared" si="162"/>
        <v>41</v>
      </c>
      <c r="AT87" s="119">
        <f t="shared" si="162"/>
        <v>42</v>
      </c>
      <c r="AU87" s="119">
        <f t="shared" si="162"/>
        <v>43</v>
      </c>
      <c r="AV87" s="119">
        <f t="shared" si="162"/>
        <v>44</v>
      </c>
      <c r="AW87" s="119">
        <f t="shared" si="162"/>
        <v>45</v>
      </c>
    </row>
    <row r="88" spans="3:49" ht="14.25" customHeight="1">
      <c r="C88" s="2"/>
      <c r="D88" s="2"/>
      <c r="E88" s="807" t="s">
        <v>354</v>
      </c>
      <c r="F88" s="820"/>
      <c r="G88" s="820"/>
      <c r="H88" s="820"/>
      <c r="I88" s="820"/>
      <c r="J88" s="820"/>
      <c r="K88" s="820"/>
      <c r="L88" s="820"/>
      <c r="M88" s="820"/>
      <c r="N88" s="820"/>
      <c r="O88" s="820"/>
      <c r="P88" s="8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</row>
    <row r="89" spans="3:49" ht="14.25" customHeight="1">
      <c r="C89" s="2"/>
      <c r="D89" s="3">
        <f>D32</f>
        <v>2026</v>
      </c>
      <c r="E89" s="120">
        <f t="shared" ref="E89:X89" si="163">D89+1</f>
        <v>2027</v>
      </c>
      <c r="F89" s="120">
        <f t="shared" si="163"/>
        <v>2028</v>
      </c>
      <c r="G89" s="120">
        <f t="shared" si="163"/>
        <v>2029</v>
      </c>
      <c r="H89" s="120">
        <f t="shared" si="163"/>
        <v>2030</v>
      </c>
      <c r="I89" s="120">
        <f t="shared" si="163"/>
        <v>2031</v>
      </c>
      <c r="J89" s="120">
        <f t="shared" si="163"/>
        <v>2032</v>
      </c>
      <c r="K89" s="120">
        <f t="shared" si="163"/>
        <v>2033</v>
      </c>
      <c r="L89" s="120">
        <f t="shared" si="163"/>
        <v>2034</v>
      </c>
      <c r="M89" s="120">
        <f t="shared" si="163"/>
        <v>2035</v>
      </c>
      <c r="N89" s="120">
        <f t="shared" si="163"/>
        <v>2036</v>
      </c>
      <c r="O89" s="120">
        <f t="shared" si="163"/>
        <v>2037</v>
      </c>
      <c r="P89" s="120">
        <f t="shared" si="163"/>
        <v>2038</v>
      </c>
      <c r="Q89" s="120">
        <f t="shared" si="163"/>
        <v>2039</v>
      </c>
      <c r="R89" s="120">
        <f t="shared" si="163"/>
        <v>2040</v>
      </c>
      <c r="S89" s="120">
        <f t="shared" si="163"/>
        <v>2041</v>
      </c>
      <c r="T89" s="120">
        <f t="shared" si="163"/>
        <v>2042</v>
      </c>
      <c r="U89" s="120">
        <f t="shared" si="163"/>
        <v>2043</v>
      </c>
      <c r="V89" s="120">
        <f t="shared" si="163"/>
        <v>2044</v>
      </c>
      <c r="W89" s="120">
        <f t="shared" si="163"/>
        <v>2045</v>
      </c>
      <c r="X89" s="120">
        <f t="shared" si="163"/>
        <v>2046</v>
      </c>
      <c r="Y89" s="120">
        <f t="shared" ref="Y89:AW89" si="164">X89+1</f>
        <v>2047</v>
      </c>
      <c r="Z89" s="120">
        <f t="shared" si="164"/>
        <v>2048</v>
      </c>
      <c r="AA89" s="120">
        <f t="shared" si="164"/>
        <v>2049</v>
      </c>
      <c r="AB89" s="120">
        <f t="shared" si="164"/>
        <v>2050</v>
      </c>
      <c r="AC89" s="120">
        <f t="shared" si="164"/>
        <v>2051</v>
      </c>
      <c r="AD89" s="120">
        <f t="shared" si="164"/>
        <v>2052</v>
      </c>
      <c r="AE89" s="120">
        <f t="shared" si="164"/>
        <v>2053</v>
      </c>
      <c r="AF89" s="120">
        <f t="shared" si="164"/>
        <v>2054</v>
      </c>
      <c r="AG89" s="120">
        <f t="shared" si="164"/>
        <v>2055</v>
      </c>
      <c r="AH89" s="120">
        <f t="shared" si="164"/>
        <v>2056</v>
      </c>
      <c r="AI89" s="120">
        <f t="shared" si="164"/>
        <v>2057</v>
      </c>
      <c r="AJ89" s="120">
        <f t="shared" si="164"/>
        <v>2058</v>
      </c>
      <c r="AK89" s="120">
        <f t="shared" si="164"/>
        <v>2059</v>
      </c>
      <c r="AL89" s="120">
        <f t="shared" si="164"/>
        <v>2060</v>
      </c>
      <c r="AM89" s="120">
        <f t="shared" si="164"/>
        <v>2061</v>
      </c>
      <c r="AN89" s="120">
        <f t="shared" si="164"/>
        <v>2062</v>
      </c>
      <c r="AO89" s="120">
        <f t="shared" si="164"/>
        <v>2063</v>
      </c>
      <c r="AP89" s="120">
        <f t="shared" si="164"/>
        <v>2064</v>
      </c>
      <c r="AQ89" s="120">
        <f t="shared" si="164"/>
        <v>2065</v>
      </c>
      <c r="AR89" s="120">
        <f t="shared" si="164"/>
        <v>2066</v>
      </c>
      <c r="AS89" s="120">
        <f t="shared" si="164"/>
        <v>2067</v>
      </c>
      <c r="AT89" s="120">
        <f t="shared" si="164"/>
        <v>2068</v>
      </c>
      <c r="AU89" s="120">
        <f t="shared" si="164"/>
        <v>2069</v>
      </c>
      <c r="AV89" s="120">
        <f t="shared" si="164"/>
        <v>2070</v>
      </c>
      <c r="AW89" s="120">
        <f t="shared" si="164"/>
        <v>2071</v>
      </c>
    </row>
    <row r="90" spans="3:49" ht="14.25" customHeight="1">
      <c r="C90" s="121"/>
      <c r="D90" s="122">
        <f>D10</f>
        <v>46023</v>
      </c>
      <c r="E90" s="122">
        <v>46387</v>
      </c>
      <c r="F90" s="122">
        <f t="shared" ref="F90:X90" si="165">EDATE(E90,12)</f>
        <v>46752</v>
      </c>
      <c r="G90" s="122">
        <f t="shared" si="165"/>
        <v>47118</v>
      </c>
      <c r="H90" s="122">
        <f t="shared" si="165"/>
        <v>47483</v>
      </c>
      <c r="I90" s="122">
        <f t="shared" si="165"/>
        <v>47848</v>
      </c>
      <c r="J90" s="122">
        <f t="shared" si="165"/>
        <v>48213</v>
      </c>
      <c r="K90" s="122">
        <f t="shared" si="165"/>
        <v>48579</v>
      </c>
      <c r="L90" s="122">
        <f t="shared" si="165"/>
        <v>48944</v>
      </c>
      <c r="M90" s="122">
        <f t="shared" si="165"/>
        <v>49309</v>
      </c>
      <c r="N90" s="122">
        <f t="shared" si="165"/>
        <v>49674</v>
      </c>
      <c r="O90" s="122">
        <f t="shared" si="165"/>
        <v>50040</v>
      </c>
      <c r="P90" s="122">
        <f t="shared" si="165"/>
        <v>50405</v>
      </c>
      <c r="Q90" s="122">
        <f t="shared" si="165"/>
        <v>50770</v>
      </c>
      <c r="R90" s="122">
        <f t="shared" si="165"/>
        <v>51135</v>
      </c>
      <c r="S90" s="122">
        <f t="shared" si="165"/>
        <v>51501</v>
      </c>
      <c r="T90" s="122">
        <f t="shared" si="165"/>
        <v>51866</v>
      </c>
      <c r="U90" s="122">
        <f t="shared" si="165"/>
        <v>52231</v>
      </c>
      <c r="V90" s="122">
        <f t="shared" si="165"/>
        <v>52596</v>
      </c>
      <c r="W90" s="122">
        <f t="shared" si="165"/>
        <v>52962</v>
      </c>
      <c r="X90" s="122">
        <f t="shared" si="165"/>
        <v>53327</v>
      </c>
      <c r="Y90" s="122">
        <f t="shared" ref="Y90:AW90" si="166">EDATE(X90,12)</f>
        <v>53692</v>
      </c>
      <c r="Z90" s="122">
        <f t="shared" si="166"/>
        <v>54057</v>
      </c>
      <c r="AA90" s="122">
        <f t="shared" si="166"/>
        <v>54423</v>
      </c>
      <c r="AB90" s="122">
        <f t="shared" si="166"/>
        <v>54788</v>
      </c>
      <c r="AC90" s="122">
        <f t="shared" si="166"/>
        <v>55153</v>
      </c>
      <c r="AD90" s="122">
        <f t="shared" si="166"/>
        <v>55518</v>
      </c>
      <c r="AE90" s="122">
        <f t="shared" si="166"/>
        <v>55884</v>
      </c>
      <c r="AF90" s="122">
        <f t="shared" si="166"/>
        <v>56249</v>
      </c>
      <c r="AG90" s="122">
        <f t="shared" si="166"/>
        <v>56614</v>
      </c>
      <c r="AH90" s="122">
        <f t="shared" si="166"/>
        <v>56979</v>
      </c>
      <c r="AI90" s="122">
        <f t="shared" si="166"/>
        <v>57345</v>
      </c>
      <c r="AJ90" s="122">
        <f t="shared" si="166"/>
        <v>57710</v>
      </c>
      <c r="AK90" s="122">
        <f t="shared" si="166"/>
        <v>58075</v>
      </c>
      <c r="AL90" s="122">
        <f t="shared" si="166"/>
        <v>58440</v>
      </c>
      <c r="AM90" s="122">
        <f t="shared" si="166"/>
        <v>58806</v>
      </c>
      <c r="AN90" s="122">
        <f t="shared" si="166"/>
        <v>59171</v>
      </c>
      <c r="AO90" s="122">
        <f t="shared" si="166"/>
        <v>59536</v>
      </c>
      <c r="AP90" s="122">
        <f t="shared" si="166"/>
        <v>59901</v>
      </c>
      <c r="AQ90" s="122">
        <f t="shared" si="166"/>
        <v>60267</v>
      </c>
      <c r="AR90" s="122">
        <f t="shared" si="166"/>
        <v>60632</v>
      </c>
      <c r="AS90" s="122">
        <f t="shared" si="166"/>
        <v>60997</v>
      </c>
      <c r="AT90" s="122">
        <f t="shared" si="166"/>
        <v>61362</v>
      </c>
      <c r="AU90" s="122">
        <f t="shared" si="166"/>
        <v>61728</v>
      </c>
      <c r="AV90" s="122">
        <f t="shared" si="166"/>
        <v>62093</v>
      </c>
      <c r="AW90" s="122">
        <f t="shared" si="166"/>
        <v>62458</v>
      </c>
    </row>
    <row r="91" spans="3:49" ht="14.25" customHeight="1">
      <c r="C91" s="1" t="s">
        <v>443</v>
      </c>
      <c r="D91" s="15">
        <f t="shared" ref="D91:X91" si="167">D40</f>
        <v>-103.125</v>
      </c>
      <c r="E91" s="15">
        <f t="shared" si="167"/>
        <v>60.523992482293721</v>
      </c>
      <c r="F91" s="15">
        <f t="shared" si="167"/>
        <v>98.988277615753432</v>
      </c>
      <c r="G91" s="15">
        <f t="shared" si="167"/>
        <v>100.54940630604342</v>
      </c>
      <c r="H91" s="15">
        <f t="shared" si="167"/>
        <v>102.1606493332161</v>
      </c>
      <c r="I91" s="15">
        <f t="shared" si="167"/>
        <v>103.76947006855981</v>
      </c>
      <c r="J91" s="15">
        <f t="shared" si="167"/>
        <v>105.40448382455499</v>
      </c>
      <c r="K91" s="15">
        <f t="shared" si="167"/>
        <v>107.07219379825781</v>
      </c>
      <c r="L91" s="15">
        <f t="shared" si="167"/>
        <v>108.77325384867777</v>
      </c>
      <c r="M91" s="15">
        <f t="shared" si="167"/>
        <v>110.50833091093776</v>
      </c>
      <c r="N91" s="15">
        <f t="shared" si="167"/>
        <v>112.27810525777903</v>
      </c>
      <c r="O91" s="15">
        <f t="shared" si="167"/>
        <v>114.08327076629539</v>
      </c>
      <c r="P91" s="15">
        <f t="shared" si="167"/>
        <v>115.92453519000229</v>
      </c>
      <c r="Q91" s="15">
        <f t="shared" si="167"/>
        <v>117.8026204363465</v>
      </c>
      <c r="R91" s="15">
        <f t="shared" si="167"/>
        <v>119.71826284976603</v>
      </c>
      <c r="S91" s="15">
        <f t="shared" si="167"/>
        <v>121.67221350041069</v>
      </c>
      <c r="T91" s="15">
        <f t="shared" si="167"/>
        <v>123.66523847863709</v>
      </c>
      <c r="U91" s="15">
        <f t="shared" si="167"/>
        <v>125.69811919539265</v>
      </c>
      <c r="V91" s="15">
        <f t="shared" si="167"/>
        <v>127.77165268860752</v>
      </c>
      <c r="W91" s="15">
        <f t="shared" si="167"/>
        <v>129.8866519357137</v>
      </c>
      <c r="X91" s="15">
        <f t="shared" si="167"/>
        <v>132.04394617241425</v>
      </c>
      <c r="Y91" s="15">
        <f t="shared" ref="Y91:AW91" si="168">Y40</f>
        <v>134.24438121782759</v>
      </c>
      <c r="Z91" s="15">
        <f t="shared" si="168"/>
        <v>136.48881980613427</v>
      </c>
      <c r="AA91" s="15">
        <f t="shared" si="168"/>
        <v>138.77814192485633</v>
      </c>
      <c r="AB91" s="15">
        <f t="shared" si="168"/>
        <v>141.11324515990202</v>
      </c>
      <c r="AC91" s="15">
        <f t="shared" si="168"/>
        <v>143.49504504751056</v>
      </c>
      <c r="AD91" s="15">
        <f t="shared" si="168"/>
        <v>145.92447543323627</v>
      </c>
      <c r="AE91" s="15">
        <f t="shared" si="168"/>
        <v>0</v>
      </c>
      <c r="AF91" s="15">
        <f t="shared" si="168"/>
        <v>0</v>
      </c>
      <c r="AG91" s="15">
        <f t="shared" si="168"/>
        <v>0</v>
      </c>
      <c r="AH91" s="15">
        <f t="shared" si="168"/>
        <v>0</v>
      </c>
      <c r="AI91" s="15">
        <f t="shared" si="168"/>
        <v>0</v>
      </c>
      <c r="AJ91" s="15">
        <f t="shared" si="168"/>
        <v>0</v>
      </c>
      <c r="AK91" s="15">
        <f t="shared" si="168"/>
        <v>0</v>
      </c>
      <c r="AL91" s="15">
        <f t="shared" si="168"/>
        <v>0</v>
      </c>
      <c r="AM91" s="15">
        <f t="shared" si="168"/>
        <v>0</v>
      </c>
      <c r="AN91" s="15">
        <f t="shared" si="168"/>
        <v>0</v>
      </c>
      <c r="AO91" s="15">
        <f t="shared" si="168"/>
        <v>0</v>
      </c>
      <c r="AP91" s="15">
        <f t="shared" si="168"/>
        <v>0</v>
      </c>
      <c r="AQ91" s="15">
        <f t="shared" si="168"/>
        <v>0</v>
      </c>
      <c r="AR91" s="15">
        <f t="shared" si="168"/>
        <v>0</v>
      </c>
      <c r="AS91" s="15">
        <f t="shared" si="168"/>
        <v>0</v>
      </c>
      <c r="AT91" s="15">
        <f t="shared" si="168"/>
        <v>0</v>
      </c>
      <c r="AU91" s="15">
        <f t="shared" si="168"/>
        <v>0</v>
      </c>
      <c r="AV91" s="15">
        <f t="shared" si="168"/>
        <v>0</v>
      </c>
      <c r="AW91" s="15">
        <f t="shared" si="168"/>
        <v>0</v>
      </c>
    </row>
    <row r="92" spans="3:49" ht="14.25" customHeight="1">
      <c r="C92" s="1" t="s">
        <v>444</v>
      </c>
      <c r="D92" s="8"/>
      <c r="E92" s="15">
        <f t="shared" ref="E92:X92" si="169">E103</f>
        <v>0</v>
      </c>
      <c r="F92" s="15">
        <f t="shared" si="169"/>
        <v>0</v>
      </c>
      <c r="G92" s="15">
        <f t="shared" si="169"/>
        <v>0</v>
      </c>
      <c r="H92" s="15">
        <f t="shared" si="169"/>
        <v>0</v>
      </c>
      <c r="I92" s="15">
        <f t="shared" si="169"/>
        <v>0</v>
      </c>
      <c r="J92" s="15">
        <f t="shared" si="169"/>
        <v>0</v>
      </c>
      <c r="K92" s="15">
        <f t="shared" si="169"/>
        <v>0</v>
      </c>
      <c r="L92" s="15">
        <f t="shared" si="169"/>
        <v>0</v>
      </c>
      <c r="M92" s="15">
        <f t="shared" si="169"/>
        <v>0</v>
      </c>
      <c r="N92" s="15">
        <f t="shared" si="169"/>
        <v>0</v>
      </c>
      <c r="O92" s="15">
        <f t="shared" si="169"/>
        <v>0</v>
      </c>
      <c r="P92" s="15">
        <f t="shared" si="169"/>
        <v>0</v>
      </c>
      <c r="Q92" s="15">
        <f t="shared" si="169"/>
        <v>0</v>
      </c>
      <c r="R92" s="15">
        <f t="shared" si="169"/>
        <v>0</v>
      </c>
      <c r="S92" s="15">
        <f t="shared" si="169"/>
        <v>0</v>
      </c>
      <c r="T92" s="15">
        <f t="shared" si="169"/>
        <v>0</v>
      </c>
      <c r="U92" s="15">
        <f t="shared" si="169"/>
        <v>0</v>
      </c>
      <c r="V92" s="15">
        <f t="shared" si="169"/>
        <v>0</v>
      </c>
      <c r="W92" s="15">
        <f t="shared" si="169"/>
        <v>0</v>
      </c>
      <c r="X92" s="15">
        <f t="shared" si="169"/>
        <v>0</v>
      </c>
      <c r="Y92" s="15">
        <f t="shared" ref="Y92:AW92" si="170">Y103</f>
        <v>0</v>
      </c>
      <c r="Z92" s="15">
        <f t="shared" si="170"/>
        <v>0</v>
      </c>
      <c r="AA92" s="15">
        <f t="shared" si="170"/>
        <v>0</v>
      </c>
      <c r="AB92" s="15">
        <f t="shared" si="170"/>
        <v>0</v>
      </c>
      <c r="AC92" s="15">
        <f t="shared" si="170"/>
        <v>0</v>
      </c>
      <c r="AD92" s="15">
        <f t="shared" si="170"/>
        <v>0</v>
      </c>
      <c r="AE92" s="15">
        <f t="shared" si="170"/>
        <v>0</v>
      </c>
      <c r="AF92" s="15">
        <f t="shared" si="170"/>
        <v>0</v>
      </c>
      <c r="AG92" s="15">
        <f t="shared" si="170"/>
        <v>0</v>
      </c>
      <c r="AH92" s="15">
        <f t="shared" si="170"/>
        <v>0</v>
      </c>
      <c r="AI92" s="15">
        <f t="shared" si="170"/>
        <v>0</v>
      </c>
      <c r="AJ92" s="15">
        <f t="shared" si="170"/>
        <v>0</v>
      </c>
      <c r="AK92" s="15">
        <f t="shared" si="170"/>
        <v>0</v>
      </c>
      <c r="AL92" s="15">
        <f t="shared" si="170"/>
        <v>0</v>
      </c>
      <c r="AM92" s="15">
        <f t="shared" si="170"/>
        <v>0</v>
      </c>
      <c r="AN92" s="15">
        <f t="shared" si="170"/>
        <v>0</v>
      </c>
      <c r="AO92" s="15">
        <f t="shared" si="170"/>
        <v>0</v>
      </c>
      <c r="AP92" s="15">
        <f t="shared" si="170"/>
        <v>0</v>
      </c>
      <c r="AQ92" s="15">
        <f t="shared" si="170"/>
        <v>0</v>
      </c>
      <c r="AR92" s="15">
        <f t="shared" si="170"/>
        <v>0</v>
      </c>
      <c r="AS92" s="15">
        <f t="shared" si="170"/>
        <v>0</v>
      </c>
      <c r="AT92" s="15">
        <f t="shared" si="170"/>
        <v>0</v>
      </c>
      <c r="AU92" s="15">
        <f t="shared" si="170"/>
        <v>0</v>
      </c>
      <c r="AV92" s="15">
        <f t="shared" si="170"/>
        <v>0</v>
      </c>
      <c r="AW92" s="15">
        <f t="shared" si="170"/>
        <v>0</v>
      </c>
    </row>
    <row r="93" spans="3:49" ht="14.25" customHeight="1">
      <c r="C93" s="1" t="s">
        <v>445</v>
      </c>
      <c r="D93" s="1"/>
      <c r="E93" s="29">
        <f t="shared" ref="E93:X93" si="171">IFERROR(E91/E92,0)</f>
        <v>0</v>
      </c>
      <c r="F93" s="29">
        <f t="shared" si="171"/>
        <v>0</v>
      </c>
      <c r="G93" s="29">
        <f t="shared" si="171"/>
        <v>0</v>
      </c>
      <c r="H93" s="29">
        <f t="shared" si="171"/>
        <v>0</v>
      </c>
      <c r="I93" s="29">
        <f t="shared" si="171"/>
        <v>0</v>
      </c>
      <c r="J93" s="29">
        <f t="shared" si="171"/>
        <v>0</v>
      </c>
      <c r="K93" s="29">
        <f t="shared" si="171"/>
        <v>0</v>
      </c>
      <c r="L93" s="29">
        <f t="shared" si="171"/>
        <v>0</v>
      </c>
      <c r="M93" s="29">
        <f t="shared" si="171"/>
        <v>0</v>
      </c>
      <c r="N93" s="29">
        <f t="shared" si="171"/>
        <v>0</v>
      </c>
      <c r="O93" s="29">
        <f t="shared" si="171"/>
        <v>0</v>
      </c>
      <c r="P93" s="29">
        <f t="shared" si="171"/>
        <v>0</v>
      </c>
      <c r="Q93" s="29">
        <f t="shared" si="171"/>
        <v>0</v>
      </c>
      <c r="R93" s="29">
        <f t="shared" si="171"/>
        <v>0</v>
      </c>
      <c r="S93" s="29">
        <f t="shared" si="171"/>
        <v>0</v>
      </c>
      <c r="T93" s="29">
        <f t="shared" si="171"/>
        <v>0</v>
      </c>
      <c r="U93" s="29">
        <f t="shared" si="171"/>
        <v>0</v>
      </c>
      <c r="V93" s="29">
        <f t="shared" si="171"/>
        <v>0</v>
      </c>
      <c r="W93" s="29">
        <f t="shared" si="171"/>
        <v>0</v>
      </c>
      <c r="X93" s="29">
        <f t="shared" si="171"/>
        <v>0</v>
      </c>
      <c r="Y93" s="29">
        <f t="shared" ref="Y93" si="172">IFERROR(Y91/Y92,0)</f>
        <v>0</v>
      </c>
      <c r="Z93" s="29">
        <f t="shared" ref="Z93" si="173">IFERROR(Z91/Z92,0)</f>
        <v>0</v>
      </c>
      <c r="AA93" s="29">
        <f t="shared" ref="AA93" si="174">IFERROR(AA91/AA92,0)</f>
        <v>0</v>
      </c>
      <c r="AB93" s="29">
        <f t="shared" ref="AB93" si="175">IFERROR(AB91/AB92,0)</f>
        <v>0</v>
      </c>
      <c r="AC93" s="29">
        <f t="shared" ref="AC93" si="176">IFERROR(AC91/AC92,0)</f>
        <v>0</v>
      </c>
      <c r="AD93" s="29">
        <f t="shared" ref="AD93" si="177">IFERROR(AD91/AD92,0)</f>
        <v>0</v>
      </c>
      <c r="AE93" s="29">
        <f t="shared" ref="AE93" si="178">IFERROR(AE91/AE92,0)</f>
        <v>0</v>
      </c>
      <c r="AF93" s="29">
        <f t="shared" ref="AF93" si="179">IFERROR(AF91/AF92,0)</f>
        <v>0</v>
      </c>
      <c r="AG93" s="29">
        <f t="shared" ref="AG93" si="180">IFERROR(AG91/AG92,0)</f>
        <v>0</v>
      </c>
      <c r="AH93" s="29">
        <f t="shared" ref="AH93" si="181">IFERROR(AH91/AH92,0)</f>
        <v>0</v>
      </c>
      <c r="AI93" s="29">
        <f t="shared" ref="AI93" si="182">IFERROR(AI91/AI92,0)</f>
        <v>0</v>
      </c>
      <c r="AJ93" s="29">
        <f t="shared" ref="AJ93" si="183">IFERROR(AJ91/AJ92,0)</f>
        <v>0</v>
      </c>
      <c r="AK93" s="29">
        <f t="shared" ref="AK93" si="184">IFERROR(AK91/AK92,0)</f>
        <v>0</v>
      </c>
      <c r="AL93" s="29">
        <f t="shared" ref="AL93" si="185">IFERROR(AL91/AL92,0)</f>
        <v>0</v>
      </c>
      <c r="AM93" s="29">
        <f t="shared" ref="AM93" si="186">IFERROR(AM91/AM92,0)</f>
        <v>0</v>
      </c>
      <c r="AN93" s="29">
        <f t="shared" ref="AN93" si="187">IFERROR(AN91/AN92,0)</f>
        <v>0</v>
      </c>
      <c r="AO93" s="29">
        <f t="shared" ref="AO93" si="188">IFERROR(AO91/AO92,0)</f>
        <v>0</v>
      </c>
      <c r="AP93" s="29">
        <f t="shared" ref="AP93" si="189">IFERROR(AP91/AP92,0)</f>
        <v>0</v>
      </c>
      <c r="AQ93" s="29">
        <f t="shared" ref="AQ93" si="190">IFERROR(AQ91/AQ92,0)</f>
        <v>0</v>
      </c>
      <c r="AR93" s="29">
        <f t="shared" ref="AR93" si="191">IFERROR(AR91/AR92,0)</f>
        <v>0</v>
      </c>
      <c r="AS93" s="29">
        <f t="shared" ref="AS93" si="192">IFERROR(AS91/AS92,0)</f>
        <v>0</v>
      </c>
      <c r="AT93" s="29">
        <f t="shared" ref="AT93" si="193">IFERROR(AT91/AT92,0)</f>
        <v>0</v>
      </c>
      <c r="AU93" s="29">
        <f t="shared" ref="AU93" si="194">IFERROR(AU91/AU92,0)</f>
        <v>0</v>
      </c>
      <c r="AV93" s="29">
        <f t="shared" ref="AV93" si="195">IFERROR(AV91/AV92,0)</f>
        <v>0</v>
      </c>
      <c r="AW93" s="29">
        <f t="shared" ref="AW93" si="196">IFERROR(AW91/AW92,0)</f>
        <v>0</v>
      </c>
    </row>
    <row r="94" spans="3:49" ht="14.25" customHeight="1">
      <c r="C94" s="2" t="s">
        <v>446</v>
      </c>
      <c r="D94" s="30">
        <f>-'Assumptions &amp; Inputs'!$L$7*SUM(E65,E67)</f>
        <v>-112.5</v>
      </c>
      <c r="E94" s="31">
        <f t="shared" ref="E94:X94" si="197">SUM(E91,-E92)</f>
        <v>60.523992482293721</v>
      </c>
      <c r="F94" s="31">
        <f t="shared" si="197"/>
        <v>98.988277615753432</v>
      </c>
      <c r="G94" s="31">
        <f t="shared" si="197"/>
        <v>100.54940630604342</v>
      </c>
      <c r="H94" s="31">
        <f t="shared" si="197"/>
        <v>102.1606493332161</v>
      </c>
      <c r="I94" s="31">
        <f t="shared" si="197"/>
        <v>103.76947006855981</v>
      </c>
      <c r="J94" s="31">
        <f t="shared" si="197"/>
        <v>105.40448382455499</v>
      </c>
      <c r="K94" s="31">
        <f t="shared" si="197"/>
        <v>107.07219379825781</v>
      </c>
      <c r="L94" s="31">
        <f t="shared" si="197"/>
        <v>108.77325384867777</v>
      </c>
      <c r="M94" s="31">
        <f t="shared" si="197"/>
        <v>110.50833091093776</v>
      </c>
      <c r="N94" s="31">
        <f t="shared" si="197"/>
        <v>112.27810525777903</v>
      </c>
      <c r="O94" s="31">
        <f t="shared" si="197"/>
        <v>114.08327076629539</v>
      </c>
      <c r="P94" s="31">
        <f t="shared" si="197"/>
        <v>115.92453519000229</v>
      </c>
      <c r="Q94" s="31">
        <f t="shared" si="197"/>
        <v>117.8026204363465</v>
      </c>
      <c r="R94" s="31">
        <f t="shared" si="197"/>
        <v>119.71826284976603</v>
      </c>
      <c r="S94" s="31">
        <f t="shared" si="197"/>
        <v>121.67221350041069</v>
      </c>
      <c r="T94" s="31">
        <f t="shared" si="197"/>
        <v>123.66523847863709</v>
      </c>
      <c r="U94" s="31">
        <f t="shared" si="197"/>
        <v>125.69811919539265</v>
      </c>
      <c r="V94" s="31">
        <f t="shared" si="197"/>
        <v>127.77165268860752</v>
      </c>
      <c r="W94" s="31">
        <f t="shared" si="197"/>
        <v>129.8866519357137</v>
      </c>
      <c r="X94" s="31">
        <f t="shared" si="197"/>
        <v>132.04394617241425</v>
      </c>
      <c r="Y94" s="31">
        <f t="shared" ref="Y94:AW94" si="198">SUM(Y91,-Y92)</f>
        <v>134.24438121782759</v>
      </c>
      <c r="Z94" s="31">
        <f t="shared" si="198"/>
        <v>136.48881980613427</v>
      </c>
      <c r="AA94" s="31">
        <f t="shared" si="198"/>
        <v>138.77814192485633</v>
      </c>
      <c r="AB94" s="31">
        <f t="shared" si="198"/>
        <v>141.11324515990202</v>
      </c>
      <c r="AC94" s="31">
        <f t="shared" si="198"/>
        <v>143.49504504751056</v>
      </c>
      <c r="AD94" s="31">
        <f t="shared" si="198"/>
        <v>145.92447543323627</v>
      </c>
      <c r="AE94" s="31">
        <f t="shared" si="198"/>
        <v>0</v>
      </c>
      <c r="AF94" s="31">
        <f t="shared" si="198"/>
        <v>0</v>
      </c>
      <c r="AG94" s="31">
        <f t="shared" si="198"/>
        <v>0</v>
      </c>
      <c r="AH94" s="31">
        <f t="shared" si="198"/>
        <v>0</v>
      </c>
      <c r="AI94" s="31">
        <f t="shared" si="198"/>
        <v>0</v>
      </c>
      <c r="AJ94" s="31">
        <f t="shared" si="198"/>
        <v>0</v>
      </c>
      <c r="AK94" s="31">
        <f t="shared" si="198"/>
        <v>0</v>
      </c>
      <c r="AL94" s="31">
        <f t="shared" si="198"/>
        <v>0</v>
      </c>
      <c r="AM94" s="31">
        <f t="shared" si="198"/>
        <v>0</v>
      </c>
      <c r="AN94" s="31">
        <f t="shared" si="198"/>
        <v>0</v>
      </c>
      <c r="AO94" s="31">
        <f t="shared" si="198"/>
        <v>0</v>
      </c>
      <c r="AP94" s="31">
        <f t="shared" si="198"/>
        <v>0</v>
      </c>
      <c r="AQ94" s="31">
        <f t="shared" si="198"/>
        <v>0</v>
      </c>
      <c r="AR94" s="31">
        <f t="shared" si="198"/>
        <v>0</v>
      </c>
      <c r="AS94" s="31">
        <f t="shared" si="198"/>
        <v>0</v>
      </c>
      <c r="AT94" s="31">
        <f t="shared" si="198"/>
        <v>0</v>
      </c>
      <c r="AU94" s="31">
        <f t="shared" si="198"/>
        <v>0</v>
      </c>
      <c r="AV94" s="31">
        <f t="shared" si="198"/>
        <v>0</v>
      </c>
      <c r="AW94" s="31">
        <f t="shared" si="198"/>
        <v>0</v>
      </c>
    </row>
    <row r="95" spans="3:49" ht="14.25" customHeight="1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3:49" ht="14.25" customHeight="1">
      <c r="C96" s="1" t="s">
        <v>447</v>
      </c>
      <c r="D96" s="119">
        <v>0</v>
      </c>
      <c r="E96" s="119">
        <f t="shared" ref="E96:X96" si="199">D96+1</f>
        <v>1</v>
      </c>
      <c r="F96" s="119">
        <f t="shared" si="199"/>
        <v>2</v>
      </c>
      <c r="G96" s="119">
        <f t="shared" si="199"/>
        <v>3</v>
      </c>
      <c r="H96" s="119">
        <f t="shared" si="199"/>
        <v>4</v>
      </c>
      <c r="I96" s="119">
        <f t="shared" si="199"/>
        <v>5</v>
      </c>
      <c r="J96" s="119">
        <f t="shared" si="199"/>
        <v>6</v>
      </c>
      <c r="K96" s="119">
        <f t="shared" si="199"/>
        <v>7</v>
      </c>
      <c r="L96" s="119">
        <f t="shared" si="199"/>
        <v>8</v>
      </c>
      <c r="M96" s="119">
        <f t="shared" si="199"/>
        <v>9</v>
      </c>
      <c r="N96" s="119">
        <f t="shared" si="199"/>
        <v>10</v>
      </c>
      <c r="O96" s="119">
        <f t="shared" si="199"/>
        <v>11</v>
      </c>
      <c r="P96" s="119">
        <f t="shared" si="199"/>
        <v>12</v>
      </c>
      <c r="Q96" s="119">
        <f t="shared" si="199"/>
        <v>13</v>
      </c>
      <c r="R96" s="119">
        <f t="shared" si="199"/>
        <v>14</v>
      </c>
      <c r="S96" s="119">
        <f t="shared" si="199"/>
        <v>15</v>
      </c>
      <c r="T96" s="119">
        <f t="shared" si="199"/>
        <v>16</v>
      </c>
      <c r="U96" s="119">
        <f t="shared" si="199"/>
        <v>17</v>
      </c>
      <c r="V96" s="119">
        <f t="shared" si="199"/>
        <v>18</v>
      </c>
      <c r="W96" s="119">
        <f t="shared" si="199"/>
        <v>19</v>
      </c>
      <c r="X96" s="119">
        <f t="shared" si="199"/>
        <v>20</v>
      </c>
      <c r="Y96" s="119">
        <f t="shared" ref="Y96:AW96" si="200">X96+1</f>
        <v>21</v>
      </c>
      <c r="Z96" s="119">
        <f t="shared" si="200"/>
        <v>22</v>
      </c>
      <c r="AA96" s="119">
        <f t="shared" si="200"/>
        <v>23</v>
      </c>
      <c r="AB96" s="119">
        <f t="shared" si="200"/>
        <v>24</v>
      </c>
      <c r="AC96" s="119">
        <f t="shared" si="200"/>
        <v>25</v>
      </c>
      <c r="AD96" s="119">
        <f t="shared" si="200"/>
        <v>26</v>
      </c>
      <c r="AE96" s="119">
        <f t="shared" si="200"/>
        <v>27</v>
      </c>
      <c r="AF96" s="119">
        <f t="shared" si="200"/>
        <v>28</v>
      </c>
      <c r="AG96" s="119">
        <f t="shared" si="200"/>
        <v>29</v>
      </c>
      <c r="AH96" s="119">
        <f t="shared" si="200"/>
        <v>30</v>
      </c>
      <c r="AI96" s="119">
        <f t="shared" si="200"/>
        <v>31</v>
      </c>
      <c r="AJ96" s="119">
        <f t="shared" si="200"/>
        <v>32</v>
      </c>
      <c r="AK96" s="119">
        <f t="shared" si="200"/>
        <v>33</v>
      </c>
      <c r="AL96" s="119">
        <f t="shared" si="200"/>
        <v>34</v>
      </c>
      <c r="AM96" s="119">
        <f t="shared" si="200"/>
        <v>35</v>
      </c>
      <c r="AN96" s="119">
        <f t="shared" si="200"/>
        <v>36</v>
      </c>
      <c r="AO96" s="119">
        <f t="shared" si="200"/>
        <v>37</v>
      </c>
      <c r="AP96" s="119">
        <f t="shared" si="200"/>
        <v>38</v>
      </c>
      <c r="AQ96" s="119">
        <f t="shared" si="200"/>
        <v>39</v>
      </c>
      <c r="AR96" s="119">
        <f t="shared" si="200"/>
        <v>40</v>
      </c>
      <c r="AS96" s="119">
        <f t="shared" si="200"/>
        <v>41</v>
      </c>
      <c r="AT96" s="119">
        <f t="shared" si="200"/>
        <v>42</v>
      </c>
      <c r="AU96" s="119">
        <f t="shared" si="200"/>
        <v>43</v>
      </c>
      <c r="AV96" s="119">
        <f t="shared" si="200"/>
        <v>44</v>
      </c>
      <c r="AW96" s="119">
        <f t="shared" si="200"/>
        <v>45</v>
      </c>
    </row>
    <row r="97" spans="1:49" ht="14.25" customHeight="1">
      <c r="A97" s="44"/>
      <c r="B97" s="44"/>
      <c r="C97" s="1" t="s">
        <v>448</v>
      </c>
      <c r="D97" s="501">
        <f>IF(D89&lt;=YEAR('Assumptions &amp; Inputs'!$K$29), $E$79, IF(ISNUMBER(C99), C99, 0))</f>
        <v>0</v>
      </c>
      <c r="E97" s="501">
        <f>IF(E89&lt;=YEAR('Assumptions &amp; Inputs'!$K$29), $E$79, IF(ISNUMBER(D99), D99, 0))</f>
        <v>0</v>
      </c>
      <c r="F97" s="501">
        <f>IF(F89&lt;=YEAR('Assumptions &amp; Inputs'!$K$29), $E$79, IF(ISNUMBER(E99), E99, 0))</f>
        <v>0</v>
      </c>
      <c r="G97" s="501">
        <f>IF(G89&lt;=YEAR('Assumptions &amp; Inputs'!$K$29), $E$79, IF(ISNUMBER(F99), F99, 0))</f>
        <v>0</v>
      </c>
      <c r="H97" s="501">
        <f>IF(H89&lt;=YEAR('Assumptions &amp; Inputs'!$K$29), $E$79, IF(ISNUMBER(G99), G99, 0))</f>
        <v>0</v>
      </c>
      <c r="I97" s="501">
        <f>IF(I89&lt;=YEAR('Assumptions &amp; Inputs'!$K$29), $E$79, IF(ISNUMBER(H99), H99, 0))</f>
        <v>0</v>
      </c>
      <c r="J97" s="501">
        <f>IF(J89&lt;=YEAR('Assumptions &amp; Inputs'!$K$29), $E$79, IF(ISNUMBER(I99), I99, 0))</f>
        <v>0</v>
      </c>
      <c r="K97" s="501">
        <f>IF(K89&lt;=YEAR('Assumptions &amp; Inputs'!$K$29), $E$79, IF(ISNUMBER(J99), J99, 0))</f>
        <v>0</v>
      </c>
      <c r="L97" s="501">
        <f>IF(L89&lt;=YEAR('Assumptions &amp; Inputs'!$K$29), $E$79, IF(ISNUMBER(K99), K99, 0))</f>
        <v>0</v>
      </c>
      <c r="M97" s="501">
        <f>IF(M89&lt;=YEAR('Assumptions &amp; Inputs'!$K$29), $E$79, IF(ISNUMBER(L99), L99, 0))</f>
        <v>0</v>
      </c>
      <c r="N97" s="501">
        <f>IF(N89&lt;=YEAR('Assumptions &amp; Inputs'!$K$29), $E$79, IF(ISNUMBER(M99), M99, 0))</f>
        <v>0</v>
      </c>
      <c r="O97" s="501">
        <f>IF(O89&lt;=YEAR('Assumptions &amp; Inputs'!$K$29), $E$79, IF(ISNUMBER(N99), N99, 0))</f>
        <v>0</v>
      </c>
      <c r="P97" s="501">
        <f>IF(P89&lt;=YEAR('Assumptions &amp; Inputs'!$K$29), $E$79, IF(ISNUMBER(O99), O99, 0))</f>
        <v>0</v>
      </c>
      <c r="Q97" s="501">
        <f>IF(Q89&lt;=YEAR('Assumptions &amp; Inputs'!$K$29), $E$79, IF(ISNUMBER(P99), P99, 0))</f>
        <v>0</v>
      </c>
      <c r="R97" s="501">
        <f>IF(R89&lt;=YEAR('Assumptions &amp; Inputs'!$K$29), $E$79, IF(ISNUMBER(Q99), Q99, 0))</f>
        <v>0</v>
      </c>
      <c r="S97" s="501">
        <f>IF(S89&lt;=YEAR('Assumptions &amp; Inputs'!$K$29), $E$79, IF(ISNUMBER(R99), R99, 0))</f>
        <v>0</v>
      </c>
      <c r="T97" s="501">
        <f>IF(T89&lt;=YEAR('Assumptions &amp; Inputs'!$K$29), $E$79, IF(ISNUMBER(S99), S99, 0))</f>
        <v>0</v>
      </c>
      <c r="U97" s="501">
        <f>IF(U89&lt;=YEAR('Assumptions &amp; Inputs'!$K$29), $E$79, IF(ISNUMBER(T99), T99, 0))</f>
        <v>0</v>
      </c>
      <c r="V97" s="501">
        <f>IF(V89&lt;=YEAR('Assumptions &amp; Inputs'!$K$29), $E$79, IF(ISNUMBER(U99), U99, 0))</f>
        <v>0</v>
      </c>
      <c r="W97" s="501">
        <f>IF(W89&lt;=YEAR('Assumptions &amp; Inputs'!$K$29), $E$79, IF(ISNUMBER(V99), V99, 0))</f>
        <v>0</v>
      </c>
      <c r="X97" s="501">
        <f>IF(X89&lt;=YEAR('Assumptions &amp; Inputs'!$K$29), $E$79, IF(ISNUMBER(W99), W99, 0))</f>
        <v>0</v>
      </c>
      <c r="Y97" s="501">
        <f>IF(Y89&lt;=YEAR('Assumptions &amp; Inputs'!$K$29), $E$79, IF(ISNUMBER(X99), X99, 0))</f>
        <v>0</v>
      </c>
      <c r="Z97" s="501">
        <f>IF(Z89&lt;=YEAR('Assumptions &amp; Inputs'!$K$29), $E$79, IF(ISNUMBER(Y99), Y99, 0))</f>
        <v>0</v>
      </c>
      <c r="AA97" s="501">
        <f>IF(AA89&lt;=YEAR('Assumptions &amp; Inputs'!$K$29), $E$79, IF(ISNUMBER(Z99), Z99, 0))</f>
        <v>0</v>
      </c>
      <c r="AB97" s="501">
        <f>IF(AB89&lt;=YEAR('Assumptions &amp; Inputs'!$K$29), $E$79, IF(ISNUMBER(AA99), AA99, 0))</f>
        <v>0</v>
      </c>
      <c r="AC97" s="501">
        <f>IF(AC89&lt;=YEAR('Assumptions &amp; Inputs'!$K$29), $E$79, IF(ISNUMBER(AB99), AB99, 0))</f>
        <v>0</v>
      </c>
      <c r="AD97" s="501">
        <f>IF(AD89&lt;=YEAR('Assumptions &amp; Inputs'!$K$29), $E$79, IF(ISNUMBER(AC99), AC99, 0))</f>
        <v>0</v>
      </c>
      <c r="AE97" s="501">
        <f>IF(AE89&lt;=YEAR('Assumptions &amp; Inputs'!$K$29), $E$79, IF(ISNUMBER(AD99), AD99, 0))</f>
        <v>0</v>
      </c>
      <c r="AF97" s="501">
        <f>IF(AF89&lt;=YEAR('Assumptions &amp; Inputs'!$K$29), $E$79, IF(ISNUMBER(AE99), AE99, 0))</f>
        <v>0</v>
      </c>
      <c r="AG97" s="501">
        <f>IF(AG89&lt;=YEAR('Assumptions &amp; Inputs'!$K$29), $E$79, IF(ISNUMBER(AF99), AF99, 0))</f>
        <v>0</v>
      </c>
      <c r="AH97" s="501">
        <f>IF(AH89&lt;=YEAR('Assumptions &amp; Inputs'!$K$29), $E$79, IF(ISNUMBER(AG99), AG99, 0))</f>
        <v>0</v>
      </c>
      <c r="AI97" s="501">
        <f>IF(AI89&lt;=YEAR('Assumptions &amp; Inputs'!$K$29), $E$79, IF(ISNUMBER(AH99), AH99, 0))</f>
        <v>0</v>
      </c>
      <c r="AJ97" s="501">
        <f>IF(AJ89&lt;=YEAR('Assumptions &amp; Inputs'!$K$29), $E$79, IF(ISNUMBER(AI99), AI99, 0))</f>
        <v>0</v>
      </c>
      <c r="AK97" s="501">
        <f>IF(AK89&lt;=YEAR('Assumptions &amp; Inputs'!$K$29), $E$79, IF(ISNUMBER(AJ99), AJ99, 0))</f>
        <v>0</v>
      </c>
      <c r="AL97" s="501">
        <f>IF(AL89&lt;=YEAR('Assumptions &amp; Inputs'!$K$29), $E$79, IF(ISNUMBER(AK99), AK99, 0))</f>
        <v>0</v>
      </c>
      <c r="AM97" s="501">
        <f>IF(AM89&lt;=YEAR('Assumptions &amp; Inputs'!$K$29), $E$79, IF(ISNUMBER(AL99), AL99, 0))</f>
        <v>0</v>
      </c>
      <c r="AN97" s="501">
        <f>IF(AN89&lt;=YEAR('Assumptions &amp; Inputs'!$K$29), $E$79, IF(ISNUMBER(AM99), AM99, 0))</f>
        <v>0</v>
      </c>
      <c r="AO97" s="501">
        <f>IF(AO89&lt;=YEAR('Assumptions &amp; Inputs'!$K$29), $E$79, IF(ISNUMBER(AN99), AN99, 0))</f>
        <v>0</v>
      </c>
      <c r="AP97" s="501">
        <f>IF(AP89&lt;=YEAR('Assumptions &amp; Inputs'!$K$29), $E$79, IF(ISNUMBER(AO99), AO99, 0))</f>
        <v>0</v>
      </c>
      <c r="AQ97" s="501">
        <f>IF(AQ89&lt;=YEAR('Assumptions &amp; Inputs'!$K$29), $E$79, IF(ISNUMBER(AP99), AP99, 0))</f>
        <v>0</v>
      </c>
      <c r="AR97" s="501">
        <f>IF(AR89&lt;=YEAR('Assumptions &amp; Inputs'!$K$29), $E$79, IF(ISNUMBER(AQ99), AQ99, 0))</f>
        <v>0</v>
      </c>
      <c r="AS97" s="501">
        <f>IF(AS89&lt;=YEAR('Assumptions &amp; Inputs'!$K$29), $E$79, IF(ISNUMBER(AR99), AR99, 0))</f>
        <v>0</v>
      </c>
      <c r="AT97" s="501">
        <f>IF(AT89&lt;=YEAR('Assumptions &amp; Inputs'!$K$29), $E$79, IF(ISNUMBER(AS99), AS99, 0))</f>
        <v>0</v>
      </c>
      <c r="AU97" s="501">
        <f>IF(AU89&lt;=YEAR('Assumptions &amp; Inputs'!$K$29), $E$79, IF(ISNUMBER(AT99), AT99, 0))</f>
        <v>0</v>
      </c>
      <c r="AV97" s="501">
        <f>IF(AV89&lt;=YEAR('Assumptions &amp; Inputs'!$K$29), $E$79, IF(ISNUMBER(AU99), AU99, 0))</f>
        <v>0</v>
      </c>
      <c r="AW97" s="501">
        <f>IF(AW89&lt;=YEAR('Assumptions &amp; Inputs'!$K$29), $E$79, IF(ISNUMBER(AV99), AV99, 0))</f>
        <v>0</v>
      </c>
    </row>
    <row r="98" spans="1:49" ht="14.25" customHeight="1">
      <c r="A98" s="44"/>
      <c r="B98" s="44"/>
      <c r="C98" s="1" t="s">
        <v>449</v>
      </c>
      <c r="D98" s="501"/>
      <c r="E98" s="501">
        <f>IFERROR(PPMT('Assumptions &amp; Inputs'!$K$10,E89-YEAR('Assumptions &amp; Inputs'!$K$29),'Assumptions &amp; Inputs'!$K$9,$E$79), 0)</f>
        <v>0</v>
      </c>
      <c r="F98" s="501">
        <f>IFERROR(PPMT('Assumptions &amp; Inputs'!$K$10,F89-YEAR('Assumptions &amp; Inputs'!$K$29),'Assumptions &amp; Inputs'!$K$9,$E$79), 0)</f>
        <v>0</v>
      </c>
      <c r="G98" s="501">
        <f>IFERROR(PPMT('Assumptions &amp; Inputs'!$K$10,G89-YEAR('Assumptions &amp; Inputs'!$K$29),'Assumptions &amp; Inputs'!$K$9,$E$79), 0)</f>
        <v>0</v>
      </c>
      <c r="H98" s="501">
        <f>IFERROR(PPMT('Assumptions &amp; Inputs'!$K$10,H89-YEAR('Assumptions &amp; Inputs'!$K$29),'Assumptions &amp; Inputs'!$K$9,$E$79), 0)</f>
        <v>0</v>
      </c>
      <c r="I98" s="501">
        <f>IFERROR(PPMT('Assumptions &amp; Inputs'!$K$10,I89-YEAR('Assumptions &amp; Inputs'!$K$29),'Assumptions &amp; Inputs'!$K$9,$E$79), 0)</f>
        <v>0</v>
      </c>
      <c r="J98" s="501">
        <f>IFERROR(PPMT('Assumptions &amp; Inputs'!$K$10,J89-YEAR('Assumptions &amp; Inputs'!$K$29),'Assumptions &amp; Inputs'!$K$9,$E$79), 0)</f>
        <v>0</v>
      </c>
      <c r="K98" s="501">
        <f>IFERROR(PPMT('Assumptions &amp; Inputs'!$K$10,K89-YEAR('Assumptions &amp; Inputs'!$K$29),'Assumptions &amp; Inputs'!$K$9,$E$79), 0)</f>
        <v>0</v>
      </c>
      <c r="L98" s="501">
        <f>IFERROR(PPMT('Assumptions &amp; Inputs'!$K$10,L89-YEAR('Assumptions &amp; Inputs'!$K$29),'Assumptions &amp; Inputs'!$K$9,$E$79), 0)</f>
        <v>0</v>
      </c>
      <c r="M98" s="501">
        <f>IFERROR(PPMT('Assumptions &amp; Inputs'!$K$10,M89-YEAR('Assumptions &amp; Inputs'!$K$29),'Assumptions &amp; Inputs'!$K$9,$E$79), 0)</f>
        <v>0</v>
      </c>
      <c r="N98" s="501">
        <f>IFERROR(PPMT('Assumptions &amp; Inputs'!$K$10,N89-YEAR('Assumptions &amp; Inputs'!$K$29),'Assumptions &amp; Inputs'!$K$9,$E$79), 0)</f>
        <v>0</v>
      </c>
      <c r="O98" s="501">
        <f>IFERROR(PPMT('Assumptions &amp; Inputs'!$K$10,O89-YEAR('Assumptions &amp; Inputs'!$K$29),'Assumptions &amp; Inputs'!$K$9,$E$79), 0)</f>
        <v>0</v>
      </c>
      <c r="P98" s="501">
        <f>IFERROR(PPMT('Assumptions &amp; Inputs'!$K$10,P89-YEAR('Assumptions &amp; Inputs'!$K$29),'Assumptions &amp; Inputs'!$K$9,$E$79), 0)</f>
        <v>0</v>
      </c>
      <c r="Q98" s="501">
        <f>IFERROR(PPMT('Assumptions &amp; Inputs'!$K$10,Q89-YEAR('Assumptions &amp; Inputs'!$K$29),'Assumptions &amp; Inputs'!$K$9,$E$79), 0)</f>
        <v>0</v>
      </c>
      <c r="R98" s="501">
        <f>IFERROR(PPMT('Assumptions &amp; Inputs'!$K$10,R89-YEAR('Assumptions &amp; Inputs'!$K$29),'Assumptions &amp; Inputs'!$K$9,$E$79), 0)</f>
        <v>0</v>
      </c>
      <c r="S98" s="501">
        <f>IFERROR(PPMT('Assumptions &amp; Inputs'!$K$10,S89-YEAR('Assumptions &amp; Inputs'!$K$29),'Assumptions &amp; Inputs'!$K$9,$E$79), 0)</f>
        <v>0</v>
      </c>
      <c r="T98" s="501">
        <f>IFERROR(PPMT('Assumptions &amp; Inputs'!$K$10,T89-YEAR('Assumptions &amp; Inputs'!$K$29),'Assumptions &amp; Inputs'!$K$9,$E$79), 0)</f>
        <v>0</v>
      </c>
      <c r="U98" s="501">
        <f>IFERROR(PPMT('Assumptions &amp; Inputs'!$K$10,U89-YEAR('Assumptions &amp; Inputs'!$K$29),'Assumptions &amp; Inputs'!$K$9,$E$79), 0)</f>
        <v>0</v>
      </c>
      <c r="V98" s="501">
        <f>IFERROR(PPMT('Assumptions &amp; Inputs'!$K$10,V89-YEAR('Assumptions &amp; Inputs'!$K$29),'Assumptions &amp; Inputs'!$K$9,$E$79), 0)</f>
        <v>0</v>
      </c>
      <c r="W98" s="501">
        <f>IFERROR(PPMT('Assumptions &amp; Inputs'!$K$10,W89-YEAR('Assumptions &amp; Inputs'!$K$29),'Assumptions &amp; Inputs'!$K$9,$E$79), 0)</f>
        <v>0</v>
      </c>
      <c r="X98" s="501">
        <f>IFERROR(PPMT('Assumptions &amp; Inputs'!$K$10,X89-YEAR('Assumptions &amp; Inputs'!$K$29),'Assumptions &amp; Inputs'!$K$9,$E$79), 0)</f>
        <v>0</v>
      </c>
      <c r="Y98" s="501">
        <f>IFERROR(PPMT('Assumptions &amp; Inputs'!$K$10,Y89-YEAR('Assumptions &amp; Inputs'!$K$29),'Assumptions &amp; Inputs'!$K$9,$E$79), 0)</f>
        <v>0</v>
      </c>
      <c r="Z98" s="501">
        <f>IFERROR(PPMT('Assumptions &amp; Inputs'!$K$10,Z89-YEAR('Assumptions &amp; Inputs'!$K$29),'Assumptions &amp; Inputs'!$K$9,$E$79), 0)</f>
        <v>0</v>
      </c>
      <c r="AA98" s="501">
        <f>IFERROR(PPMT('Assumptions &amp; Inputs'!$K$10,AA89-YEAR('Assumptions &amp; Inputs'!$K$29),'Assumptions &amp; Inputs'!$K$9,$E$79), 0)</f>
        <v>0</v>
      </c>
      <c r="AB98" s="501">
        <f>IFERROR(PPMT('Assumptions &amp; Inputs'!$K$10,AB89-YEAR('Assumptions &amp; Inputs'!$K$29),'Assumptions &amp; Inputs'!$K$9,$E$79), 0)</f>
        <v>0</v>
      </c>
      <c r="AC98" s="501">
        <f>IFERROR(PPMT('Assumptions &amp; Inputs'!$K$10,AC89-YEAR('Assumptions &amp; Inputs'!$K$29),'Assumptions &amp; Inputs'!$K$9,$E$79), 0)</f>
        <v>0</v>
      </c>
      <c r="AD98" s="501">
        <f>IFERROR(PPMT('Assumptions &amp; Inputs'!$K$10,AD89-YEAR('Assumptions &amp; Inputs'!$K$29),'Assumptions &amp; Inputs'!$K$9,$E$79), 0)</f>
        <v>0</v>
      </c>
      <c r="AE98" s="501">
        <f>IFERROR(PPMT('Assumptions &amp; Inputs'!$K$10,AE89-YEAR('Assumptions &amp; Inputs'!$K$29),'Assumptions &amp; Inputs'!$K$9,$E$79), 0)</f>
        <v>0</v>
      </c>
      <c r="AF98" s="501">
        <f>IFERROR(PPMT('Assumptions &amp; Inputs'!$K$10,AF89-YEAR('Assumptions &amp; Inputs'!$K$29),'Assumptions &amp; Inputs'!$K$9,$E$79), 0)</f>
        <v>0</v>
      </c>
      <c r="AG98" s="501">
        <f>IFERROR(PPMT('Assumptions &amp; Inputs'!$K$10,AG89-YEAR('Assumptions &amp; Inputs'!$K$29),'Assumptions &amp; Inputs'!$K$9,$E$79), 0)</f>
        <v>0</v>
      </c>
      <c r="AH98" s="501">
        <f>IFERROR(PPMT('Assumptions &amp; Inputs'!$K$10,AH89-YEAR('Assumptions &amp; Inputs'!$K$29),'Assumptions &amp; Inputs'!$K$9,$E$79), 0)</f>
        <v>0</v>
      </c>
      <c r="AI98" s="501">
        <f>IFERROR(PPMT('Assumptions &amp; Inputs'!$K$10,AI89-YEAR('Assumptions &amp; Inputs'!$K$29),'Assumptions &amp; Inputs'!$K$9,$E$79), 0)</f>
        <v>0</v>
      </c>
      <c r="AJ98" s="501">
        <f>IFERROR(PPMT('Assumptions &amp; Inputs'!$K$10,AJ89-YEAR('Assumptions &amp; Inputs'!$K$29),'Assumptions &amp; Inputs'!$K$9,$E$79), 0)</f>
        <v>0</v>
      </c>
      <c r="AK98" s="501">
        <f>IFERROR(PPMT('Assumptions &amp; Inputs'!$K$10,AK89-YEAR('Assumptions &amp; Inputs'!$K$29),'Assumptions &amp; Inputs'!$K$9,$E$79), 0)</f>
        <v>0</v>
      </c>
      <c r="AL98" s="501">
        <f>IFERROR(PPMT('Assumptions &amp; Inputs'!$K$10,AL89-YEAR('Assumptions &amp; Inputs'!$K$29),'Assumptions &amp; Inputs'!$K$9,$E$79), 0)</f>
        <v>0</v>
      </c>
      <c r="AM98" s="501">
        <f>IFERROR(PPMT('Assumptions &amp; Inputs'!$K$10,AM89-YEAR('Assumptions &amp; Inputs'!$K$29),'Assumptions &amp; Inputs'!$K$9,$E$79), 0)</f>
        <v>0</v>
      </c>
      <c r="AN98" s="501">
        <f>IFERROR(PPMT('Assumptions &amp; Inputs'!$K$10,AN89-YEAR('Assumptions &amp; Inputs'!$K$29),'Assumptions &amp; Inputs'!$K$9,$E$79), 0)</f>
        <v>0</v>
      </c>
      <c r="AO98" s="501">
        <f>IFERROR(PPMT('Assumptions &amp; Inputs'!$K$10,AO89-YEAR('Assumptions &amp; Inputs'!$K$29),'Assumptions &amp; Inputs'!$K$9,$E$79), 0)</f>
        <v>0</v>
      </c>
      <c r="AP98" s="501">
        <f>IFERROR(PPMT('Assumptions &amp; Inputs'!$K$10,AP89-YEAR('Assumptions &amp; Inputs'!$K$29),'Assumptions &amp; Inputs'!$K$9,$E$79), 0)</f>
        <v>0</v>
      </c>
      <c r="AQ98" s="501">
        <f>IFERROR(PPMT('Assumptions &amp; Inputs'!$K$10,AQ89-YEAR('Assumptions &amp; Inputs'!$K$29),'Assumptions &amp; Inputs'!$K$9,$E$79), 0)</f>
        <v>0</v>
      </c>
      <c r="AR98" s="501">
        <f>IFERROR(PPMT('Assumptions &amp; Inputs'!$K$10,AR89-YEAR('Assumptions &amp; Inputs'!$K$29),'Assumptions &amp; Inputs'!$K$9,$E$79), 0)</f>
        <v>0</v>
      </c>
      <c r="AS98" s="501">
        <f>IFERROR(PPMT('Assumptions &amp; Inputs'!$K$10,AS89-YEAR('Assumptions &amp; Inputs'!$K$29),'Assumptions &amp; Inputs'!$K$9,$E$79), 0)</f>
        <v>0</v>
      </c>
      <c r="AT98" s="501">
        <f>IFERROR(PPMT('Assumptions &amp; Inputs'!$K$10,AT89-YEAR('Assumptions &amp; Inputs'!$K$29),'Assumptions &amp; Inputs'!$K$9,$E$79), 0)</f>
        <v>0</v>
      </c>
      <c r="AU98" s="501">
        <f>IFERROR(PPMT('Assumptions &amp; Inputs'!$K$10,AU89-YEAR('Assumptions &amp; Inputs'!$K$29),'Assumptions &amp; Inputs'!$K$9,$E$79), 0)</f>
        <v>0</v>
      </c>
      <c r="AV98" s="501">
        <f>IFERROR(PPMT('Assumptions &amp; Inputs'!$K$10,AV89-YEAR('Assumptions &amp; Inputs'!$K$29),'Assumptions &amp; Inputs'!$K$9,$E$79), 0)</f>
        <v>0</v>
      </c>
      <c r="AW98" s="501">
        <f>IFERROR(PPMT('Assumptions &amp; Inputs'!$K$10,AW89-YEAR('Assumptions &amp; Inputs'!$K$29),'Assumptions &amp; Inputs'!$K$9,$E$79), 0)</f>
        <v>0</v>
      </c>
    </row>
    <row r="99" spans="1:49" ht="14.25" customHeight="1">
      <c r="A99" s="44"/>
      <c r="B99" s="44"/>
      <c r="C99" s="1" t="s">
        <v>450</v>
      </c>
      <c r="D99" s="501">
        <f>D97</f>
        <v>0</v>
      </c>
      <c r="E99" s="501">
        <f>SUM(E97:E98)</f>
        <v>0</v>
      </c>
      <c r="F99" s="501">
        <f t="shared" ref="F99:AW99" si="201">SUM(F97:F98)</f>
        <v>0</v>
      </c>
      <c r="G99" s="501">
        <f t="shared" si="201"/>
        <v>0</v>
      </c>
      <c r="H99" s="501">
        <f t="shared" si="201"/>
        <v>0</v>
      </c>
      <c r="I99" s="501">
        <f t="shared" si="201"/>
        <v>0</v>
      </c>
      <c r="J99" s="501">
        <f t="shared" si="201"/>
        <v>0</v>
      </c>
      <c r="K99" s="501">
        <f t="shared" si="201"/>
        <v>0</v>
      </c>
      <c r="L99" s="501">
        <f t="shared" si="201"/>
        <v>0</v>
      </c>
      <c r="M99" s="501">
        <f t="shared" si="201"/>
        <v>0</v>
      </c>
      <c r="N99" s="501">
        <f t="shared" si="201"/>
        <v>0</v>
      </c>
      <c r="O99" s="501">
        <f t="shared" si="201"/>
        <v>0</v>
      </c>
      <c r="P99" s="501">
        <f t="shared" si="201"/>
        <v>0</v>
      </c>
      <c r="Q99" s="501">
        <f t="shared" si="201"/>
        <v>0</v>
      </c>
      <c r="R99" s="501">
        <f t="shared" si="201"/>
        <v>0</v>
      </c>
      <c r="S99" s="501">
        <f t="shared" si="201"/>
        <v>0</v>
      </c>
      <c r="T99" s="501">
        <f t="shared" si="201"/>
        <v>0</v>
      </c>
      <c r="U99" s="501">
        <f t="shared" si="201"/>
        <v>0</v>
      </c>
      <c r="V99" s="501">
        <f t="shared" si="201"/>
        <v>0</v>
      </c>
      <c r="W99" s="501">
        <f t="shared" si="201"/>
        <v>0</v>
      </c>
      <c r="X99" s="501">
        <f t="shared" si="201"/>
        <v>0</v>
      </c>
      <c r="Y99" s="501">
        <f t="shared" si="201"/>
        <v>0</v>
      </c>
      <c r="Z99" s="501">
        <f t="shared" si="201"/>
        <v>0</v>
      </c>
      <c r="AA99" s="501">
        <f t="shared" si="201"/>
        <v>0</v>
      </c>
      <c r="AB99" s="501">
        <f t="shared" si="201"/>
        <v>0</v>
      </c>
      <c r="AC99" s="501">
        <f t="shared" si="201"/>
        <v>0</v>
      </c>
      <c r="AD99" s="501">
        <f t="shared" si="201"/>
        <v>0</v>
      </c>
      <c r="AE99" s="501">
        <f t="shared" si="201"/>
        <v>0</v>
      </c>
      <c r="AF99" s="501">
        <f t="shared" si="201"/>
        <v>0</v>
      </c>
      <c r="AG99" s="501">
        <f t="shared" si="201"/>
        <v>0</v>
      </c>
      <c r="AH99" s="501">
        <f t="shared" si="201"/>
        <v>0</v>
      </c>
      <c r="AI99" s="501">
        <f t="shared" si="201"/>
        <v>0</v>
      </c>
      <c r="AJ99" s="501">
        <f t="shared" si="201"/>
        <v>0</v>
      </c>
      <c r="AK99" s="501">
        <f t="shared" si="201"/>
        <v>0</v>
      </c>
      <c r="AL99" s="501">
        <f t="shared" si="201"/>
        <v>0</v>
      </c>
      <c r="AM99" s="501">
        <f t="shared" si="201"/>
        <v>0</v>
      </c>
      <c r="AN99" s="501">
        <f t="shared" si="201"/>
        <v>0</v>
      </c>
      <c r="AO99" s="501">
        <f t="shared" si="201"/>
        <v>0</v>
      </c>
      <c r="AP99" s="501">
        <f t="shared" si="201"/>
        <v>0</v>
      </c>
      <c r="AQ99" s="501">
        <f t="shared" si="201"/>
        <v>0</v>
      </c>
      <c r="AR99" s="501">
        <f t="shared" si="201"/>
        <v>0</v>
      </c>
      <c r="AS99" s="501">
        <f t="shared" si="201"/>
        <v>0</v>
      </c>
      <c r="AT99" s="501">
        <f t="shared" si="201"/>
        <v>0</v>
      </c>
      <c r="AU99" s="501">
        <f t="shared" si="201"/>
        <v>0</v>
      </c>
      <c r="AV99" s="501">
        <f t="shared" si="201"/>
        <v>0</v>
      </c>
      <c r="AW99" s="501">
        <f t="shared" si="201"/>
        <v>0</v>
      </c>
    </row>
    <row r="100" spans="1:49" ht="14.25" customHeight="1">
      <c r="A100" s="44"/>
      <c r="B100" s="4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4.25" customHeight="1">
      <c r="A101" s="44"/>
      <c r="B101" s="44"/>
      <c r="C101" s="1" t="s">
        <v>451</v>
      </c>
      <c r="D101" s="1"/>
      <c r="E101" s="8">
        <f>IFERROR(-IPMT('Assumptions &amp; Inputs'!$K$10,E89-YEAR('Assumptions &amp; Inputs'!$K$29),'Assumptions &amp; Inputs'!$K$9,$E$79), 0)</f>
        <v>0</v>
      </c>
      <c r="F101" s="8">
        <f>IFERROR(-IPMT('Assumptions &amp; Inputs'!$K$10,F89-YEAR('Assumptions &amp; Inputs'!$K$29),'Assumptions &amp; Inputs'!$K$9,$E$79), 0)</f>
        <v>0</v>
      </c>
      <c r="G101" s="8">
        <f>IFERROR(-IPMT('Assumptions &amp; Inputs'!$K$10,G89-YEAR('Assumptions &amp; Inputs'!$K$29),'Assumptions &amp; Inputs'!$K$9,$E$79), 0)</f>
        <v>0</v>
      </c>
      <c r="H101" s="8">
        <f>IFERROR(-IPMT('Assumptions &amp; Inputs'!$K$10,H89-YEAR('Assumptions &amp; Inputs'!$K$29),'Assumptions &amp; Inputs'!$K$9,$E$79), 0)</f>
        <v>0</v>
      </c>
      <c r="I101" s="8">
        <f>IFERROR(-IPMT('Assumptions &amp; Inputs'!$K$10,I89-YEAR('Assumptions &amp; Inputs'!$K$29),'Assumptions &amp; Inputs'!$K$9,$E$79), 0)</f>
        <v>0</v>
      </c>
      <c r="J101" s="8">
        <f>IFERROR(-IPMT('Assumptions &amp; Inputs'!$K$10,J89-YEAR('Assumptions &amp; Inputs'!$K$29),'Assumptions &amp; Inputs'!$K$9,$E$79), 0)</f>
        <v>0</v>
      </c>
      <c r="K101" s="8">
        <f>IFERROR(-IPMT('Assumptions &amp; Inputs'!$K$10,K89-YEAR('Assumptions &amp; Inputs'!$K$29),'Assumptions &amp; Inputs'!$K$9,$E$79), 0)</f>
        <v>0</v>
      </c>
      <c r="L101" s="8">
        <f>IFERROR(-IPMT('Assumptions &amp; Inputs'!$K$10,L89-YEAR('Assumptions &amp; Inputs'!$K$29),'Assumptions &amp; Inputs'!$K$9,$E$79), 0)</f>
        <v>0</v>
      </c>
      <c r="M101" s="8">
        <f>IFERROR(-IPMT('Assumptions &amp; Inputs'!$K$10,M89-YEAR('Assumptions &amp; Inputs'!$K$29),'Assumptions &amp; Inputs'!$K$9,$E$79), 0)</f>
        <v>0</v>
      </c>
      <c r="N101" s="8">
        <f>IFERROR(-IPMT('Assumptions &amp; Inputs'!$K$10,N89-YEAR('Assumptions &amp; Inputs'!$K$29),'Assumptions &amp; Inputs'!$K$9,$E$79), 0)</f>
        <v>0</v>
      </c>
      <c r="O101" s="8">
        <f>IFERROR(-IPMT('Assumptions &amp; Inputs'!$K$10,O89-YEAR('Assumptions &amp; Inputs'!$K$29),'Assumptions &amp; Inputs'!$K$9,$E$79), 0)</f>
        <v>0</v>
      </c>
      <c r="P101" s="8">
        <f>IFERROR(-IPMT('Assumptions &amp; Inputs'!$K$10,P89-YEAR('Assumptions &amp; Inputs'!$K$29),'Assumptions &amp; Inputs'!$K$9,$E$79), 0)</f>
        <v>0</v>
      </c>
      <c r="Q101" s="8">
        <f>IFERROR(-IPMT('Assumptions &amp; Inputs'!$K$10,Q89-YEAR('Assumptions &amp; Inputs'!$K$29),'Assumptions &amp; Inputs'!$K$9,$E$79), 0)</f>
        <v>0</v>
      </c>
      <c r="R101" s="8">
        <f>IFERROR(-IPMT('Assumptions &amp; Inputs'!$K$10,R89-YEAR('Assumptions &amp; Inputs'!$K$29),'Assumptions &amp; Inputs'!$K$9,$E$79), 0)</f>
        <v>0</v>
      </c>
      <c r="S101" s="8">
        <f>IFERROR(-IPMT('Assumptions &amp; Inputs'!$K$10,S89-YEAR('Assumptions &amp; Inputs'!$K$29),'Assumptions &amp; Inputs'!$K$9,$E$79), 0)</f>
        <v>0</v>
      </c>
      <c r="T101" s="8">
        <f>IFERROR(-IPMT('Assumptions &amp; Inputs'!$K$10,T89-YEAR('Assumptions &amp; Inputs'!$K$29),'Assumptions &amp; Inputs'!$K$9,$E$79), 0)</f>
        <v>0</v>
      </c>
      <c r="U101" s="8">
        <f>IFERROR(-IPMT('Assumptions &amp; Inputs'!$K$10,U89-YEAR('Assumptions &amp; Inputs'!$K$29),'Assumptions &amp; Inputs'!$K$9,$E$79), 0)</f>
        <v>0</v>
      </c>
      <c r="V101" s="8">
        <f>IFERROR(-IPMT('Assumptions &amp; Inputs'!$K$10,V89-YEAR('Assumptions &amp; Inputs'!$K$29),'Assumptions &amp; Inputs'!$K$9,$E$79), 0)</f>
        <v>0</v>
      </c>
      <c r="W101" s="8">
        <f>IFERROR(-IPMT('Assumptions &amp; Inputs'!$K$10,W89-YEAR('Assumptions &amp; Inputs'!$K$29),'Assumptions &amp; Inputs'!$K$9,$E$79), 0)</f>
        <v>0</v>
      </c>
      <c r="X101" s="8">
        <f>IFERROR(-IPMT('Assumptions &amp; Inputs'!$K$10,X89-YEAR('Assumptions &amp; Inputs'!$K$29),'Assumptions &amp; Inputs'!$K$9,$E$79), 0)</f>
        <v>0</v>
      </c>
      <c r="Y101" s="8">
        <f>IFERROR(-IPMT('Assumptions &amp; Inputs'!$K$10,Y89-YEAR('Assumptions &amp; Inputs'!$K$29),'Assumptions &amp; Inputs'!$K$9,$E$79), 0)</f>
        <v>0</v>
      </c>
      <c r="Z101" s="8">
        <f>IFERROR(-IPMT('Assumptions &amp; Inputs'!$K$10,Z89-YEAR('Assumptions &amp; Inputs'!$K$29),'Assumptions &amp; Inputs'!$K$9,$E$79), 0)</f>
        <v>0</v>
      </c>
      <c r="AA101" s="8">
        <f>IFERROR(-IPMT('Assumptions &amp; Inputs'!$K$10,AA89-YEAR('Assumptions &amp; Inputs'!$K$29),'Assumptions &amp; Inputs'!$K$9,$E$79), 0)</f>
        <v>0</v>
      </c>
      <c r="AB101" s="8">
        <f>IFERROR(-IPMT('Assumptions &amp; Inputs'!$K$10,AB89-YEAR('Assumptions &amp; Inputs'!$K$29),'Assumptions &amp; Inputs'!$K$9,$E$79), 0)</f>
        <v>0</v>
      </c>
      <c r="AC101" s="8">
        <f>IFERROR(-IPMT('Assumptions &amp; Inputs'!$K$10,AC89-YEAR('Assumptions &amp; Inputs'!$K$29),'Assumptions &amp; Inputs'!$K$9,$E$79), 0)</f>
        <v>0</v>
      </c>
      <c r="AD101" s="8">
        <f>IFERROR(-IPMT('Assumptions &amp; Inputs'!$K$10,AD89-YEAR('Assumptions &amp; Inputs'!$K$29),'Assumptions &amp; Inputs'!$K$9,$E$79), 0)</f>
        <v>0</v>
      </c>
      <c r="AE101" s="8">
        <f>IFERROR(-IPMT('Assumptions &amp; Inputs'!$K$10,AE89-YEAR('Assumptions &amp; Inputs'!$K$29),'Assumptions &amp; Inputs'!$K$9,$E$79), 0)</f>
        <v>0</v>
      </c>
      <c r="AF101" s="8">
        <f>IFERROR(-IPMT('Assumptions &amp; Inputs'!$K$10,AF89-YEAR('Assumptions &amp; Inputs'!$K$29),'Assumptions &amp; Inputs'!$K$9,$E$79), 0)</f>
        <v>0</v>
      </c>
      <c r="AG101" s="8">
        <f>IFERROR(-IPMT('Assumptions &amp; Inputs'!$K$10,AG89-YEAR('Assumptions &amp; Inputs'!$K$29),'Assumptions &amp; Inputs'!$K$9,$E$79), 0)</f>
        <v>0</v>
      </c>
      <c r="AH101" s="8">
        <f>IFERROR(-IPMT('Assumptions &amp; Inputs'!$K$10,AH89-YEAR('Assumptions &amp; Inputs'!$K$29),'Assumptions &amp; Inputs'!$K$9,$E$79), 0)</f>
        <v>0</v>
      </c>
      <c r="AI101" s="8">
        <f>IFERROR(-IPMT('Assumptions &amp; Inputs'!$K$10,AI89-YEAR('Assumptions &amp; Inputs'!$K$29),'Assumptions &amp; Inputs'!$K$9,$E$79), 0)</f>
        <v>0</v>
      </c>
      <c r="AJ101" s="8">
        <f>IFERROR(-IPMT('Assumptions &amp; Inputs'!$K$10,AJ89-YEAR('Assumptions &amp; Inputs'!$K$29),'Assumptions &amp; Inputs'!$K$9,$E$79), 0)</f>
        <v>0</v>
      </c>
      <c r="AK101" s="8">
        <f>IFERROR(-IPMT('Assumptions &amp; Inputs'!$K$10,AK89-YEAR('Assumptions &amp; Inputs'!$K$29),'Assumptions &amp; Inputs'!$K$9,$E$79), 0)</f>
        <v>0</v>
      </c>
      <c r="AL101" s="8">
        <f>IFERROR(-IPMT('Assumptions &amp; Inputs'!$K$10,AL89-YEAR('Assumptions &amp; Inputs'!$K$29),'Assumptions &amp; Inputs'!$K$9,$E$79), 0)</f>
        <v>0</v>
      </c>
      <c r="AM101" s="8">
        <f>IFERROR(-IPMT('Assumptions &amp; Inputs'!$K$10,AM89-YEAR('Assumptions &amp; Inputs'!$K$29),'Assumptions &amp; Inputs'!$K$9,$E$79), 0)</f>
        <v>0</v>
      </c>
      <c r="AN101" s="8">
        <f>IFERROR(-IPMT('Assumptions &amp; Inputs'!$K$10,AN89-YEAR('Assumptions &amp; Inputs'!$K$29),'Assumptions &amp; Inputs'!$K$9,$E$79), 0)</f>
        <v>0</v>
      </c>
      <c r="AO101" s="8">
        <f>IFERROR(-IPMT('Assumptions &amp; Inputs'!$K$10,AO89-YEAR('Assumptions &amp; Inputs'!$K$29),'Assumptions &amp; Inputs'!$K$9,$E$79), 0)</f>
        <v>0</v>
      </c>
      <c r="AP101" s="8">
        <f>IFERROR(-IPMT('Assumptions &amp; Inputs'!$K$10,AP89-YEAR('Assumptions &amp; Inputs'!$K$29),'Assumptions &amp; Inputs'!$K$9,$E$79), 0)</f>
        <v>0</v>
      </c>
      <c r="AQ101" s="8">
        <f>IFERROR(-IPMT('Assumptions &amp; Inputs'!$K$10,AQ89-YEAR('Assumptions &amp; Inputs'!$K$29),'Assumptions &amp; Inputs'!$K$9,$E$79), 0)</f>
        <v>0</v>
      </c>
      <c r="AR101" s="8">
        <f>IFERROR(-IPMT('Assumptions &amp; Inputs'!$K$10,AR89-YEAR('Assumptions &amp; Inputs'!$K$29),'Assumptions &amp; Inputs'!$K$9,$E$79), 0)</f>
        <v>0</v>
      </c>
      <c r="AS101" s="8">
        <f>IFERROR(-IPMT('Assumptions &amp; Inputs'!$K$10,AS89-YEAR('Assumptions &amp; Inputs'!$K$29),'Assumptions &amp; Inputs'!$K$9,$E$79), 0)</f>
        <v>0</v>
      </c>
      <c r="AT101" s="8">
        <f>IFERROR(-IPMT('Assumptions &amp; Inputs'!$K$10,AT89-YEAR('Assumptions &amp; Inputs'!$K$29),'Assumptions &amp; Inputs'!$K$9,$E$79), 0)</f>
        <v>0</v>
      </c>
      <c r="AU101" s="8">
        <f>IFERROR(-IPMT('Assumptions &amp; Inputs'!$K$10,AU89-YEAR('Assumptions &amp; Inputs'!$K$29),'Assumptions &amp; Inputs'!$K$9,$E$79), 0)</f>
        <v>0</v>
      </c>
      <c r="AV101" s="8">
        <f>IFERROR(-IPMT('Assumptions &amp; Inputs'!$K$10,AV89-YEAR('Assumptions &amp; Inputs'!$K$29),'Assumptions &amp; Inputs'!$K$9,$E$79), 0)</f>
        <v>0</v>
      </c>
      <c r="AW101" s="8">
        <f>IFERROR(-IPMT('Assumptions &amp; Inputs'!$K$10,AW89-YEAR('Assumptions &amp; Inputs'!$K$29),'Assumptions &amp; Inputs'!$K$9,$E$79), 0)</f>
        <v>0</v>
      </c>
    </row>
    <row r="102" spans="1:49" ht="14.25" customHeight="1">
      <c r="A102" s="44"/>
      <c r="B102" s="44"/>
      <c r="C102" s="1" t="s">
        <v>452</v>
      </c>
      <c r="D102" s="1"/>
      <c r="E102" s="8">
        <f t="shared" ref="E102:AW102" si="202">-E98</f>
        <v>0</v>
      </c>
      <c r="F102" s="8">
        <f t="shared" si="202"/>
        <v>0</v>
      </c>
      <c r="G102" s="8">
        <f t="shared" si="202"/>
        <v>0</v>
      </c>
      <c r="H102" s="8">
        <f t="shared" si="202"/>
        <v>0</v>
      </c>
      <c r="I102" s="8">
        <f t="shared" si="202"/>
        <v>0</v>
      </c>
      <c r="J102" s="8">
        <f t="shared" si="202"/>
        <v>0</v>
      </c>
      <c r="K102" s="8">
        <f t="shared" si="202"/>
        <v>0</v>
      </c>
      <c r="L102" s="8">
        <f t="shared" si="202"/>
        <v>0</v>
      </c>
      <c r="M102" s="8">
        <f t="shared" si="202"/>
        <v>0</v>
      </c>
      <c r="N102" s="8">
        <f t="shared" si="202"/>
        <v>0</v>
      </c>
      <c r="O102" s="8">
        <f t="shared" si="202"/>
        <v>0</v>
      </c>
      <c r="P102" s="8">
        <f t="shared" si="202"/>
        <v>0</v>
      </c>
      <c r="Q102" s="8">
        <f t="shared" si="202"/>
        <v>0</v>
      </c>
      <c r="R102" s="8">
        <f t="shared" si="202"/>
        <v>0</v>
      </c>
      <c r="S102" s="8">
        <f t="shared" si="202"/>
        <v>0</v>
      </c>
      <c r="T102" s="8">
        <f t="shared" si="202"/>
        <v>0</v>
      </c>
      <c r="U102" s="8">
        <f t="shared" si="202"/>
        <v>0</v>
      </c>
      <c r="V102" s="8">
        <f t="shared" si="202"/>
        <v>0</v>
      </c>
      <c r="W102" s="8">
        <f t="shared" si="202"/>
        <v>0</v>
      </c>
      <c r="X102" s="8">
        <f t="shared" si="202"/>
        <v>0</v>
      </c>
      <c r="Y102" s="8">
        <f t="shared" si="202"/>
        <v>0</v>
      </c>
      <c r="Z102" s="8">
        <f t="shared" si="202"/>
        <v>0</v>
      </c>
      <c r="AA102" s="8">
        <f t="shared" si="202"/>
        <v>0</v>
      </c>
      <c r="AB102" s="8">
        <f t="shared" si="202"/>
        <v>0</v>
      </c>
      <c r="AC102" s="8">
        <f t="shared" si="202"/>
        <v>0</v>
      </c>
      <c r="AD102" s="8">
        <f t="shared" si="202"/>
        <v>0</v>
      </c>
      <c r="AE102" s="8">
        <f t="shared" si="202"/>
        <v>0</v>
      </c>
      <c r="AF102" s="8">
        <f t="shared" si="202"/>
        <v>0</v>
      </c>
      <c r="AG102" s="8">
        <f t="shared" si="202"/>
        <v>0</v>
      </c>
      <c r="AH102" s="8">
        <f t="shared" si="202"/>
        <v>0</v>
      </c>
      <c r="AI102" s="8">
        <f t="shared" si="202"/>
        <v>0</v>
      </c>
      <c r="AJ102" s="8">
        <f t="shared" si="202"/>
        <v>0</v>
      </c>
      <c r="AK102" s="8">
        <f t="shared" si="202"/>
        <v>0</v>
      </c>
      <c r="AL102" s="8">
        <f t="shared" si="202"/>
        <v>0</v>
      </c>
      <c r="AM102" s="8">
        <f t="shared" si="202"/>
        <v>0</v>
      </c>
      <c r="AN102" s="8">
        <f t="shared" si="202"/>
        <v>0</v>
      </c>
      <c r="AO102" s="8">
        <f t="shared" si="202"/>
        <v>0</v>
      </c>
      <c r="AP102" s="8">
        <f t="shared" si="202"/>
        <v>0</v>
      </c>
      <c r="AQ102" s="8">
        <f t="shared" si="202"/>
        <v>0</v>
      </c>
      <c r="AR102" s="8">
        <f t="shared" si="202"/>
        <v>0</v>
      </c>
      <c r="AS102" s="8">
        <f t="shared" si="202"/>
        <v>0</v>
      </c>
      <c r="AT102" s="8">
        <f t="shared" si="202"/>
        <v>0</v>
      </c>
      <c r="AU102" s="8">
        <f t="shared" si="202"/>
        <v>0</v>
      </c>
      <c r="AV102" s="8">
        <f t="shared" si="202"/>
        <v>0</v>
      </c>
      <c r="AW102" s="8">
        <f t="shared" si="202"/>
        <v>0</v>
      </c>
    </row>
    <row r="103" spans="1:49" ht="14.25" customHeight="1">
      <c r="A103" s="44"/>
      <c r="B103" s="44"/>
      <c r="C103" s="2" t="s">
        <v>444</v>
      </c>
      <c r="D103" s="2"/>
      <c r="E103" s="31">
        <f t="shared" ref="E103:AW103" si="203">SUM(E101:E102)</f>
        <v>0</v>
      </c>
      <c r="F103" s="31">
        <f t="shared" si="203"/>
        <v>0</v>
      </c>
      <c r="G103" s="31">
        <f t="shared" si="203"/>
        <v>0</v>
      </c>
      <c r="H103" s="31">
        <f t="shared" si="203"/>
        <v>0</v>
      </c>
      <c r="I103" s="31">
        <f t="shared" si="203"/>
        <v>0</v>
      </c>
      <c r="J103" s="31">
        <f t="shared" si="203"/>
        <v>0</v>
      </c>
      <c r="K103" s="31">
        <f t="shared" si="203"/>
        <v>0</v>
      </c>
      <c r="L103" s="31">
        <f t="shared" si="203"/>
        <v>0</v>
      </c>
      <c r="M103" s="31">
        <f t="shared" si="203"/>
        <v>0</v>
      </c>
      <c r="N103" s="31">
        <f t="shared" si="203"/>
        <v>0</v>
      </c>
      <c r="O103" s="31">
        <f t="shared" si="203"/>
        <v>0</v>
      </c>
      <c r="P103" s="31">
        <f t="shared" si="203"/>
        <v>0</v>
      </c>
      <c r="Q103" s="31">
        <f t="shared" si="203"/>
        <v>0</v>
      </c>
      <c r="R103" s="31">
        <f t="shared" si="203"/>
        <v>0</v>
      </c>
      <c r="S103" s="31">
        <f t="shared" si="203"/>
        <v>0</v>
      </c>
      <c r="T103" s="31">
        <f t="shared" si="203"/>
        <v>0</v>
      </c>
      <c r="U103" s="31">
        <f t="shared" si="203"/>
        <v>0</v>
      </c>
      <c r="V103" s="31">
        <f t="shared" si="203"/>
        <v>0</v>
      </c>
      <c r="W103" s="31">
        <f t="shared" si="203"/>
        <v>0</v>
      </c>
      <c r="X103" s="31">
        <f t="shared" si="203"/>
        <v>0</v>
      </c>
      <c r="Y103" s="31">
        <f t="shared" si="203"/>
        <v>0</v>
      </c>
      <c r="Z103" s="31">
        <f t="shared" si="203"/>
        <v>0</v>
      </c>
      <c r="AA103" s="31">
        <f t="shared" si="203"/>
        <v>0</v>
      </c>
      <c r="AB103" s="31">
        <f t="shared" si="203"/>
        <v>0</v>
      </c>
      <c r="AC103" s="31">
        <f t="shared" si="203"/>
        <v>0</v>
      </c>
      <c r="AD103" s="31">
        <f t="shared" si="203"/>
        <v>0</v>
      </c>
      <c r="AE103" s="31">
        <f t="shared" si="203"/>
        <v>0</v>
      </c>
      <c r="AF103" s="31">
        <f t="shared" si="203"/>
        <v>0</v>
      </c>
      <c r="AG103" s="31">
        <f t="shared" si="203"/>
        <v>0</v>
      </c>
      <c r="AH103" s="31">
        <f t="shared" si="203"/>
        <v>0</v>
      </c>
      <c r="AI103" s="31">
        <f t="shared" si="203"/>
        <v>0</v>
      </c>
      <c r="AJ103" s="31">
        <f t="shared" si="203"/>
        <v>0</v>
      </c>
      <c r="AK103" s="31">
        <f t="shared" si="203"/>
        <v>0</v>
      </c>
      <c r="AL103" s="31">
        <f t="shared" si="203"/>
        <v>0</v>
      </c>
      <c r="AM103" s="31">
        <f t="shared" si="203"/>
        <v>0</v>
      </c>
      <c r="AN103" s="31">
        <f t="shared" si="203"/>
        <v>0</v>
      </c>
      <c r="AO103" s="31">
        <f t="shared" si="203"/>
        <v>0</v>
      </c>
      <c r="AP103" s="31">
        <f t="shared" si="203"/>
        <v>0</v>
      </c>
      <c r="AQ103" s="31">
        <f t="shared" si="203"/>
        <v>0</v>
      </c>
      <c r="AR103" s="31">
        <f t="shared" si="203"/>
        <v>0</v>
      </c>
      <c r="AS103" s="31">
        <f t="shared" si="203"/>
        <v>0</v>
      </c>
      <c r="AT103" s="31">
        <f t="shared" si="203"/>
        <v>0</v>
      </c>
      <c r="AU103" s="31">
        <f t="shared" si="203"/>
        <v>0</v>
      </c>
      <c r="AV103" s="31">
        <f t="shared" si="203"/>
        <v>0</v>
      </c>
      <c r="AW103" s="31">
        <f t="shared" si="203"/>
        <v>0</v>
      </c>
    </row>
    <row r="104" spans="1:49" ht="14.25" customHeight="1">
      <c r="A104" s="44"/>
      <c r="B104" s="4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4.25" customHeight="1">
      <c r="A105" s="44"/>
      <c r="B105" s="4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4.25" customHeight="1" thickBot="1">
      <c r="A106" s="44" t="s">
        <v>351</v>
      </c>
      <c r="B106" s="44"/>
      <c r="C106" s="9" t="s">
        <v>475</v>
      </c>
      <c r="D106" s="9"/>
      <c r="E106" s="10"/>
      <c r="F106" s="10"/>
      <c r="G106" s="10"/>
      <c r="H106" s="10"/>
      <c r="I106" s="10"/>
      <c r="J106" s="1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ht="14.25" customHeight="1">
      <c r="A107" s="44"/>
      <c r="B107" s="44"/>
      <c r="C107" s="12" t="s">
        <v>353</v>
      </c>
      <c r="D107" s="13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4.25" customHeight="1">
      <c r="A108" s="44"/>
      <c r="B108" s="44"/>
      <c r="C108" s="1"/>
      <c r="D108" s="43">
        <v>0</v>
      </c>
      <c r="E108" s="119">
        <f t="shared" ref="E108:X108" si="204">D108+1</f>
        <v>1</v>
      </c>
      <c r="F108" s="119">
        <f t="shared" si="204"/>
        <v>2</v>
      </c>
      <c r="G108" s="119">
        <f t="shared" si="204"/>
        <v>3</v>
      </c>
      <c r="H108" s="119">
        <f t="shared" si="204"/>
        <v>4</v>
      </c>
      <c r="I108" s="119">
        <f t="shared" si="204"/>
        <v>5</v>
      </c>
      <c r="J108" s="119">
        <f t="shared" si="204"/>
        <v>6</v>
      </c>
      <c r="K108" s="119">
        <f t="shared" si="204"/>
        <v>7</v>
      </c>
      <c r="L108" s="119">
        <f t="shared" si="204"/>
        <v>8</v>
      </c>
      <c r="M108" s="119">
        <f t="shared" si="204"/>
        <v>9</v>
      </c>
      <c r="N108" s="119">
        <f t="shared" si="204"/>
        <v>10</v>
      </c>
      <c r="O108" s="119">
        <f t="shared" si="204"/>
        <v>11</v>
      </c>
      <c r="P108" s="119">
        <f t="shared" si="204"/>
        <v>12</v>
      </c>
      <c r="Q108" s="119">
        <f t="shared" si="204"/>
        <v>13</v>
      </c>
      <c r="R108" s="119">
        <f t="shared" si="204"/>
        <v>14</v>
      </c>
      <c r="S108" s="119">
        <f t="shared" si="204"/>
        <v>15</v>
      </c>
      <c r="T108" s="119">
        <f t="shared" si="204"/>
        <v>16</v>
      </c>
      <c r="U108" s="119">
        <f t="shared" si="204"/>
        <v>17</v>
      </c>
      <c r="V108" s="119">
        <f t="shared" si="204"/>
        <v>18</v>
      </c>
      <c r="W108" s="119">
        <f t="shared" si="204"/>
        <v>19</v>
      </c>
      <c r="X108" s="119">
        <f t="shared" si="204"/>
        <v>20</v>
      </c>
      <c r="Y108" s="119">
        <f t="shared" ref="Y108:AW108" si="205">X108+1</f>
        <v>21</v>
      </c>
      <c r="Z108" s="119">
        <f t="shared" si="205"/>
        <v>22</v>
      </c>
      <c r="AA108" s="119">
        <f t="shared" si="205"/>
        <v>23</v>
      </c>
      <c r="AB108" s="119">
        <f t="shared" si="205"/>
        <v>24</v>
      </c>
      <c r="AC108" s="119">
        <f t="shared" si="205"/>
        <v>25</v>
      </c>
      <c r="AD108" s="119">
        <f t="shared" si="205"/>
        <v>26</v>
      </c>
      <c r="AE108" s="119">
        <f t="shared" si="205"/>
        <v>27</v>
      </c>
      <c r="AF108" s="119">
        <f t="shared" si="205"/>
        <v>28</v>
      </c>
      <c r="AG108" s="119">
        <f t="shared" si="205"/>
        <v>29</v>
      </c>
      <c r="AH108" s="119">
        <f t="shared" si="205"/>
        <v>30</v>
      </c>
      <c r="AI108" s="119">
        <f t="shared" si="205"/>
        <v>31</v>
      </c>
      <c r="AJ108" s="119">
        <f t="shared" si="205"/>
        <v>32</v>
      </c>
      <c r="AK108" s="119">
        <f t="shared" si="205"/>
        <v>33</v>
      </c>
      <c r="AL108" s="119">
        <f t="shared" si="205"/>
        <v>34</v>
      </c>
      <c r="AM108" s="119">
        <f t="shared" si="205"/>
        <v>35</v>
      </c>
      <c r="AN108" s="119">
        <f t="shared" si="205"/>
        <v>36</v>
      </c>
      <c r="AO108" s="119">
        <f t="shared" si="205"/>
        <v>37</v>
      </c>
      <c r="AP108" s="119">
        <f t="shared" si="205"/>
        <v>38</v>
      </c>
      <c r="AQ108" s="119">
        <f t="shared" si="205"/>
        <v>39</v>
      </c>
      <c r="AR108" s="119">
        <f t="shared" si="205"/>
        <v>40</v>
      </c>
      <c r="AS108" s="119">
        <f t="shared" si="205"/>
        <v>41</v>
      </c>
      <c r="AT108" s="119">
        <f t="shared" si="205"/>
        <v>42</v>
      </c>
      <c r="AU108" s="119">
        <f t="shared" si="205"/>
        <v>43</v>
      </c>
      <c r="AV108" s="119">
        <f t="shared" si="205"/>
        <v>44</v>
      </c>
      <c r="AW108" s="119">
        <f t="shared" si="205"/>
        <v>45</v>
      </c>
    </row>
    <row r="109" spans="1:49" ht="14.25" customHeight="1">
      <c r="A109" s="44"/>
      <c r="B109" s="44"/>
      <c r="C109" s="45"/>
      <c r="D109" s="2"/>
      <c r="E109" s="807" t="s">
        <v>354</v>
      </c>
      <c r="F109" s="820"/>
      <c r="G109" s="820"/>
      <c r="H109" s="820"/>
      <c r="I109" s="820"/>
      <c r="J109" s="820"/>
      <c r="K109" s="820"/>
      <c r="L109" s="820"/>
      <c r="M109" s="820"/>
      <c r="N109" s="820"/>
      <c r="O109" s="820"/>
      <c r="P109" s="8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</row>
    <row r="110" spans="1:49" ht="14.25" customHeight="1">
      <c r="A110" s="1"/>
      <c r="B110" s="1"/>
      <c r="C110" s="46"/>
      <c r="D110" s="3">
        <f>D89</f>
        <v>2026</v>
      </c>
      <c r="E110" s="120">
        <f t="shared" ref="E110:X110" si="206">D110+1</f>
        <v>2027</v>
      </c>
      <c r="F110" s="120">
        <f t="shared" si="206"/>
        <v>2028</v>
      </c>
      <c r="G110" s="120">
        <f t="shared" si="206"/>
        <v>2029</v>
      </c>
      <c r="H110" s="120">
        <f t="shared" si="206"/>
        <v>2030</v>
      </c>
      <c r="I110" s="120">
        <f t="shared" si="206"/>
        <v>2031</v>
      </c>
      <c r="J110" s="120">
        <f t="shared" si="206"/>
        <v>2032</v>
      </c>
      <c r="K110" s="120">
        <f t="shared" si="206"/>
        <v>2033</v>
      </c>
      <c r="L110" s="120">
        <f t="shared" si="206"/>
        <v>2034</v>
      </c>
      <c r="M110" s="120">
        <f t="shared" si="206"/>
        <v>2035</v>
      </c>
      <c r="N110" s="120">
        <f t="shared" si="206"/>
        <v>2036</v>
      </c>
      <c r="O110" s="120">
        <f t="shared" si="206"/>
        <v>2037</v>
      </c>
      <c r="P110" s="120">
        <f t="shared" si="206"/>
        <v>2038</v>
      </c>
      <c r="Q110" s="120">
        <f t="shared" si="206"/>
        <v>2039</v>
      </c>
      <c r="R110" s="120">
        <f t="shared" si="206"/>
        <v>2040</v>
      </c>
      <c r="S110" s="120">
        <f t="shared" si="206"/>
        <v>2041</v>
      </c>
      <c r="T110" s="120">
        <f t="shared" si="206"/>
        <v>2042</v>
      </c>
      <c r="U110" s="120">
        <f t="shared" si="206"/>
        <v>2043</v>
      </c>
      <c r="V110" s="120">
        <f t="shared" si="206"/>
        <v>2044</v>
      </c>
      <c r="W110" s="120">
        <f t="shared" si="206"/>
        <v>2045</v>
      </c>
      <c r="X110" s="120">
        <f t="shared" si="206"/>
        <v>2046</v>
      </c>
      <c r="Y110" s="120">
        <f t="shared" ref="Y110:AW110" si="207">X110+1</f>
        <v>2047</v>
      </c>
      <c r="Z110" s="120">
        <f t="shared" si="207"/>
        <v>2048</v>
      </c>
      <c r="AA110" s="120">
        <f t="shared" si="207"/>
        <v>2049</v>
      </c>
      <c r="AB110" s="120">
        <f t="shared" si="207"/>
        <v>2050</v>
      </c>
      <c r="AC110" s="120">
        <f t="shared" si="207"/>
        <v>2051</v>
      </c>
      <c r="AD110" s="120">
        <f t="shared" si="207"/>
        <v>2052</v>
      </c>
      <c r="AE110" s="120">
        <f t="shared" si="207"/>
        <v>2053</v>
      </c>
      <c r="AF110" s="120">
        <f t="shared" si="207"/>
        <v>2054</v>
      </c>
      <c r="AG110" s="120">
        <f t="shared" si="207"/>
        <v>2055</v>
      </c>
      <c r="AH110" s="120">
        <f t="shared" si="207"/>
        <v>2056</v>
      </c>
      <c r="AI110" s="120">
        <f t="shared" si="207"/>
        <v>2057</v>
      </c>
      <c r="AJ110" s="120">
        <f t="shared" si="207"/>
        <v>2058</v>
      </c>
      <c r="AK110" s="120">
        <f t="shared" si="207"/>
        <v>2059</v>
      </c>
      <c r="AL110" s="120">
        <f t="shared" si="207"/>
        <v>2060</v>
      </c>
      <c r="AM110" s="120">
        <f t="shared" si="207"/>
        <v>2061</v>
      </c>
      <c r="AN110" s="120">
        <f t="shared" si="207"/>
        <v>2062</v>
      </c>
      <c r="AO110" s="120">
        <f t="shared" si="207"/>
        <v>2063</v>
      </c>
      <c r="AP110" s="120">
        <f t="shared" si="207"/>
        <v>2064</v>
      </c>
      <c r="AQ110" s="120">
        <f t="shared" si="207"/>
        <v>2065</v>
      </c>
      <c r="AR110" s="120">
        <f t="shared" si="207"/>
        <v>2066</v>
      </c>
      <c r="AS110" s="120">
        <f t="shared" si="207"/>
        <v>2067</v>
      </c>
      <c r="AT110" s="120">
        <f t="shared" si="207"/>
        <v>2068</v>
      </c>
      <c r="AU110" s="120">
        <f t="shared" si="207"/>
        <v>2069</v>
      </c>
      <c r="AV110" s="120">
        <f t="shared" si="207"/>
        <v>2070</v>
      </c>
      <c r="AW110" s="120">
        <f t="shared" si="207"/>
        <v>2071</v>
      </c>
    </row>
    <row r="111" spans="1:49" ht="14.25" customHeight="1">
      <c r="A111" s="44"/>
      <c r="B111" s="44"/>
      <c r="C111" s="44"/>
      <c r="D111" s="42">
        <f>D10</f>
        <v>46023</v>
      </c>
      <c r="E111" s="122">
        <v>46387</v>
      </c>
      <c r="F111" s="122">
        <f t="shared" ref="F111:X111" si="208">EDATE(E111,12)</f>
        <v>46752</v>
      </c>
      <c r="G111" s="122">
        <f t="shared" si="208"/>
        <v>47118</v>
      </c>
      <c r="H111" s="122">
        <f t="shared" si="208"/>
        <v>47483</v>
      </c>
      <c r="I111" s="122">
        <f t="shared" si="208"/>
        <v>47848</v>
      </c>
      <c r="J111" s="122">
        <f t="shared" si="208"/>
        <v>48213</v>
      </c>
      <c r="K111" s="122">
        <f t="shared" si="208"/>
        <v>48579</v>
      </c>
      <c r="L111" s="122">
        <f t="shared" si="208"/>
        <v>48944</v>
      </c>
      <c r="M111" s="122">
        <f t="shared" si="208"/>
        <v>49309</v>
      </c>
      <c r="N111" s="122">
        <f t="shared" si="208"/>
        <v>49674</v>
      </c>
      <c r="O111" s="122">
        <f t="shared" si="208"/>
        <v>50040</v>
      </c>
      <c r="P111" s="122">
        <f t="shared" si="208"/>
        <v>50405</v>
      </c>
      <c r="Q111" s="122">
        <f t="shared" si="208"/>
        <v>50770</v>
      </c>
      <c r="R111" s="122">
        <f t="shared" si="208"/>
        <v>51135</v>
      </c>
      <c r="S111" s="122">
        <f t="shared" si="208"/>
        <v>51501</v>
      </c>
      <c r="T111" s="122">
        <f t="shared" si="208"/>
        <v>51866</v>
      </c>
      <c r="U111" s="122">
        <f t="shared" si="208"/>
        <v>52231</v>
      </c>
      <c r="V111" s="122">
        <f t="shared" si="208"/>
        <v>52596</v>
      </c>
      <c r="W111" s="122">
        <f t="shared" si="208"/>
        <v>52962</v>
      </c>
      <c r="X111" s="122">
        <f t="shared" si="208"/>
        <v>53327</v>
      </c>
      <c r="Y111" s="122">
        <f t="shared" ref="Y111:AW111" si="209">EDATE(X111,12)</f>
        <v>53692</v>
      </c>
      <c r="Z111" s="122">
        <f t="shared" si="209"/>
        <v>54057</v>
      </c>
      <c r="AA111" s="122">
        <f t="shared" si="209"/>
        <v>54423</v>
      </c>
      <c r="AB111" s="122">
        <f t="shared" si="209"/>
        <v>54788</v>
      </c>
      <c r="AC111" s="122">
        <f t="shared" si="209"/>
        <v>55153</v>
      </c>
      <c r="AD111" s="122">
        <f t="shared" si="209"/>
        <v>55518</v>
      </c>
      <c r="AE111" s="122">
        <f t="shared" si="209"/>
        <v>55884</v>
      </c>
      <c r="AF111" s="122">
        <f t="shared" si="209"/>
        <v>56249</v>
      </c>
      <c r="AG111" s="122">
        <f t="shared" si="209"/>
        <v>56614</v>
      </c>
      <c r="AH111" s="122">
        <f t="shared" si="209"/>
        <v>56979</v>
      </c>
      <c r="AI111" s="122">
        <f t="shared" si="209"/>
        <v>57345</v>
      </c>
      <c r="AJ111" s="122">
        <f t="shared" si="209"/>
        <v>57710</v>
      </c>
      <c r="AK111" s="122">
        <f t="shared" si="209"/>
        <v>58075</v>
      </c>
      <c r="AL111" s="122">
        <f t="shared" si="209"/>
        <v>58440</v>
      </c>
      <c r="AM111" s="122">
        <f t="shared" si="209"/>
        <v>58806</v>
      </c>
      <c r="AN111" s="122">
        <f t="shared" si="209"/>
        <v>59171</v>
      </c>
      <c r="AO111" s="122">
        <f t="shared" si="209"/>
        <v>59536</v>
      </c>
      <c r="AP111" s="122">
        <f t="shared" si="209"/>
        <v>59901</v>
      </c>
      <c r="AQ111" s="122">
        <f t="shared" si="209"/>
        <v>60267</v>
      </c>
      <c r="AR111" s="122">
        <f t="shared" si="209"/>
        <v>60632</v>
      </c>
      <c r="AS111" s="122">
        <f t="shared" si="209"/>
        <v>60997</v>
      </c>
      <c r="AT111" s="122">
        <f t="shared" si="209"/>
        <v>61362</v>
      </c>
      <c r="AU111" s="122">
        <f t="shared" si="209"/>
        <v>61728</v>
      </c>
      <c r="AV111" s="122">
        <f t="shared" si="209"/>
        <v>62093</v>
      </c>
      <c r="AW111" s="122">
        <f t="shared" si="209"/>
        <v>62458</v>
      </c>
    </row>
    <row r="112" spans="1:49" ht="14.25" customHeight="1">
      <c r="A112" s="44"/>
      <c r="B112" s="44"/>
      <c r="C112" s="136" t="s">
        <v>467</v>
      </c>
      <c r="D112" s="47">
        <f>_xlfn.XLOOKUP(D$110, 'Power Summary'!$C$46:$AV$46, 'Power Summary'!$C47:$AV47)</f>
        <v>60</v>
      </c>
      <c r="E112" s="47">
        <f>_xlfn.XLOOKUP(E$110, 'Power Summary'!$C$46:$AV$46, 'Power Summary'!$C47:$AV47)</f>
        <v>61.2</v>
      </c>
      <c r="F112" s="47">
        <f>_xlfn.XLOOKUP(F$110, 'Power Summary'!$C$46:$AV$46, 'Power Summary'!$C47:$AV47)</f>
        <v>62.423999999999999</v>
      </c>
      <c r="G112" s="47">
        <f>_xlfn.XLOOKUP(G$110, 'Power Summary'!$C$46:$AV$46, 'Power Summary'!$C47:$AV47)</f>
        <v>63.672479999999993</v>
      </c>
      <c r="H112" s="47">
        <f>_xlfn.XLOOKUP(H$110, 'Power Summary'!$C$46:$AV$46, 'Power Summary'!$C47:$AV47)</f>
        <v>64.945929599999999</v>
      </c>
      <c r="I112" s="47">
        <f>_xlfn.XLOOKUP(I$110, 'Power Summary'!$C$46:$AV$46, 'Power Summary'!$C47:$AV47)</f>
        <v>66.244848192000006</v>
      </c>
      <c r="J112" s="47">
        <f>_xlfn.XLOOKUP(J$110, 'Power Summary'!$C$46:$AV$46, 'Power Summary'!$C47:$AV47)</f>
        <v>67.56974515584001</v>
      </c>
      <c r="K112" s="47">
        <f>_xlfn.XLOOKUP(K$110, 'Power Summary'!$C$46:$AV$46, 'Power Summary'!$C47:$AV47)</f>
        <v>68.921140058956794</v>
      </c>
      <c r="L112" s="47">
        <f>_xlfn.XLOOKUP(L$110, 'Power Summary'!$C$46:$AV$46, 'Power Summary'!$C47:$AV47)</f>
        <v>70.299562860135936</v>
      </c>
      <c r="M112" s="47">
        <f>_xlfn.XLOOKUP(M$110, 'Power Summary'!$C$46:$AV$46, 'Power Summary'!$C47:$AV47)</f>
        <v>71.70555411733865</v>
      </c>
      <c r="N112" s="47">
        <f>_xlfn.XLOOKUP(N$110, 'Power Summary'!$C$46:$AV$46, 'Power Summary'!$C47:$AV47)</f>
        <v>73.139665199685425</v>
      </c>
      <c r="O112" s="47">
        <f>_xlfn.XLOOKUP(O$110, 'Power Summary'!$C$46:$AV$46, 'Power Summary'!$C47:$AV47)</f>
        <v>74.602458503679117</v>
      </c>
      <c r="P112" s="47">
        <f>_xlfn.XLOOKUP(P$110, 'Power Summary'!$C$46:$AV$46, 'Power Summary'!$C47:$AV47)</f>
        <v>76.094507673752716</v>
      </c>
      <c r="Q112" s="47">
        <f>_xlfn.XLOOKUP(Q$110, 'Power Summary'!$C$46:$AV$46, 'Power Summary'!$C47:$AV47)</f>
        <v>77.616397827227772</v>
      </c>
      <c r="R112" s="47">
        <f>_xlfn.XLOOKUP(R$110, 'Power Summary'!$C$46:$AV$46, 'Power Summary'!$C47:$AV47)</f>
        <v>79.168725783772331</v>
      </c>
      <c r="S112" s="47">
        <f>_xlfn.XLOOKUP(S$110, 'Power Summary'!$C$46:$AV$46, 'Power Summary'!$C47:$AV47)</f>
        <v>80.752100299447747</v>
      </c>
      <c r="T112" s="47">
        <f>_xlfn.XLOOKUP(T$110, 'Power Summary'!$C$46:$AV$46, 'Power Summary'!$C47:$AV47)</f>
        <v>82.367142305436715</v>
      </c>
      <c r="U112" s="47">
        <f>_xlfn.XLOOKUP(U$110, 'Power Summary'!$C$46:$AV$46, 'Power Summary'!$C47:$AV47)</f>
        <v>84.014485151545458</v>
      </c>
      <c r="V112" s="47">
        <f>_xlfn.XLOOKUP(V$110, 'Power Summary'!$C$46:$AV$46, 'Power Summary'!$C47:$AV47)</f>
        <v>85.694774854576366</v>
      </c>
      <c r="W112" s="47">
        <f>_xlfn.XLOOKUP(W$110, 'Power Summary'!$C$46:$AV$46, 'Power Summary'!$C47:$AV47)</f>
        <v>87.408670351667894</v>
      </c>
      <c r="X112" s="47">
        <f>_xlfn.XLOOKUP(X$110, 'Power Summary'!$C$46:$AV$46, 'Power Summary'!$C47:$AV47)</f>
        <v>89.156843758701257</v>
      </c>
      <c r="Y112" s="47">
        <f>_xlfn.XLOOKUP(Y$110, 'Power Summary'!$C$46:$AV$46, 'Power Summary'!$C47:$AV47)</f>
        <v>90.93998063387528</v>
      </c>
      <c r="Z112" s="47">
        <f>_xlfn.XLOOKUP(Z$110, 'Power Summary'!$C$46:$AV$46, 'Power Summary'!$C47:$AV47)</f>
        <v>92.758780246552789</v>
      </c>
      <c r="AA112" s="47">
        <f>_xlfn.XLOOKUP(AA$110, 'Power Summary'!$C$46:$AV$46, 'Power Summary'!$C47:$AV47)</f>
        <v>94.613955851483823</v>
      </c>
      <c r="AB112" s="47">
        <f>_xlfn.XLOOKUP(AB$110, 'Power Summary'!$C$46:$AV$46, 'Power Summary'!$C47:$AV47)</f>
        <v>96.506234968513496</v>
      </c>
      <c r="AC112" s="47">
        <f>_xlfn.XLOOKUP(AC$110, 'Power Summary'!$C$46:$AV$46, 'Power Summary'!$C47:$AV47)</f>
        <v>98.436359667883778</v>
      </c>
      <c r="AD112" s="47">
        <f>_xlfn.XLOOKUP(AD$110, 'Power Summary'!$C$46:$AV$46, 'Power Summary'!$C47:$AV47)</f>
        <v>100.40508686124146</v>
      </c>
      <c r="AE112" s="47">
        <f>_xlfn.XLOOKUP(AE$110, 'Power Summary'!$C$46:$AV$46, 'Power Summary'!$C47:$AV47)</f>
        <v>102.41318859846626</v>
      </c>
      <c r="AF112" s="47">
        <f>_xlfn.XLOOKUP(AF$110, 'Power Summary'!$C$46:$AV$46, 'Power Summary'!$C47:$AV47)</f>
        <v>104.46145237043562</v>
      </c>
      <c r="AG112" s="47">
        <f>_xlfn.XLOOKUP(AG$110, 'Power Summary'!$C$46:$AV$46, 'Power Summary'!$C47:$AV47)</f>
        <v>106.55068141784432</v>
      </c>
      <c r="AH112" s="47">
        <f>_xlfn.XLOOKUP(AH$110, 'Power Summary'!$C$46:$AV$46, 'Power Summary'!$C47:$AV47)</f>
        <v>108.68169504620121</v>
      </c>
      <c r="AI112" s="47">
        <f>_xlfn.XLOOKUP(AI$110, 'Power Summary'!$C$46:$AV$46, 'Power Summary'!$C47:$AV47)</f>
        <v>110.8553289471252</v>
      </c>
      <c r="AJ112" s="47">
        <f>_xlfn.XLOOKUP(AJ$110, 'Power Summary'!$C$46:$AV$46, 'Power Summary'!$C47:$AV47)</f>
        <v>113.07243552606774</v>
      </c>
      <c r="AK112" s="47">
        <f>_xlfn.XLOOKUP(AK$110, 'Power Summary'!$C$46:$AV$46, 'Power Summary'!$C47:$AV47)</f>
        <v>115.3338842365891</v>
      </c>
      <c r="AL112" s="47">
        <f>_xlfn.XLOOKUP(AL$110, 'Power Summary'!$C$46:$AV$46, 'Power Summary'!$C47:$AV47)</f>
        <v>117.64056192132087</v>
      </c>
      <c r="AM112" s="47">
        <f>_xlfn.XLOOKUP(AM$110, 'Power Summary'!$C$46:$AV$46, 'Power Summary'!$C47:$AV47)</f>
        <v>119.99337315974728</v>
      </c>
      <c r="AN112" s="47">
        <f>_xlfn.XLOOKUP(AN$110, 'Power Summary'!$C$46:$AV$46, 'Power Summary'!$C47:$AV47)</f>
        <v>122.39324062294222</v>
      </c>
      <c r="AO112" s="47">
        <f>_xlfn.XLOOKUP(AO$110, 'Power Summary'!$C$46:$AV$46, 'Power Summary'!$C47:$AV47)</f>
        <v>124.84110543540109</v>
      </c>
      <c r="AP112" s="47">
        <f>_xlfn.XLOOKUP(AP$110, 'Power Summary'!$C$46:$AV$46, 'Power Summary'!$C47:$AV47)</f>
        <v>127.33792754410912</v>
      </c>
      <c r="AQ112" s="47">
        <f>_xlfn.XLOOKUP(AQ$110, 'Power Summary'!$C$46:$AV$46, 'Power Summary'!$C47:$AV47)</f>
        <v>129.88468609499125</v>
      </c>
      <c r="AR112" s="47">
        <f>_xlfn.XLOOKUP(AR$110, 'Power Summary'!$C$46:$AV$46, 'Power Summary'!$C47:$AV47)</f>
        <v>132.4823798168911</v>
      </c>
      <c r="AS112" s="47">
        <f>_xlfn.XLOOKUP(AS$110, 'Power Summary'!$C$46:$AV$46, 'Power Summary'!$C47:$AV47)</f>
        <v>135.13202741322891</v>
      </c>
      <c r="AT112" s="47">
        <f>_xlfn.XLOOKUP(AT$110, 'Power Summary'!$C$46:$AV$46, 'Power Summary'!$C47:$AV47)</f>
        <v>137.83466796149349</v>
      </c>
      <c r="AU112" s="47">
        <f>_xlfn.XLOOKUP(AU$110, 'Power Summary'!$C$46:$AV$46, 'Power Summary'!$C47:$AV47)</f>
        <v>140.59136132072337</v>
      </c>
      <c r="AV112" s="47">
        <f>_xlfn.XLOOKUP(AV$110, 'Power Summary'!$C$46:$AV$46, 'Power Summary'!$C47:$AV47)</f>
        <v>143.40318854713786</v>
      </c>
      <c r="AW112" s="47">
        <f>_xlfn.XLOOKUP(AW$110, 'Power Summary'!$C$46:$AV$46, 'Power Summary'!$C47:$AV47)</f>
        <v>146.2712523180806</v>
      </c>
    </row>
    <row r="113" spans="3:49" ht="14.25" customHeight="1">
      <c r="C113" s="136" t="s">
        <v>468</v>
      </c>
      <c r="D113" s="47">
        <f>_xlfn.XLOOKUP(D$110, 'Power Summary'!$C$46:$AV$46, 'Power Summary'!$C48:$AV48)</f>
        <v>75</v>
      </c>
      <c r="E113" s="47">
        <f>_xlfn.XLOOKUP(E$110, 'Power Summary'!$C$46:$AV$46, 'Power Summary'!$C48:$AV48)</f>
        <v>76.5</v>
      </c>
      <c r="F113" s="47">
        <f>_xlfn.XLOOKUP(F$110, 'Power Summary'!$C$46:$AV$46, 'Power Summary'!$C48:$AV48)</f>
        <v>78.03</v>
      </c>
      <c r="G113" s="47">
        <f>_xlfn.XLOOKUP(G$110, 'Power Summary'!$C$46:$AV$46, 'Power Summary'!$C48:$AV48)</f>
        <v>79.590599999999995</v>
      </c>
      <c r="H113" s="47">
        <f>_xlfn.XLOOKUP(H$110, 'Power Summary'!$C$46:$AV$46, 'Power Summary'!$C48:$AV48)</f>
        <v>81.182411999999999</v>
      </c>
      <c r="I113" s="47">
        <f>_xlfn.XLOOKUP(I$110, 'Power Summary'!$C$46:$AV$46, 'Power Summary'!$C48:$AV48)</f>
        <v>82.806060240000008</v>
      </c>
      <c r="J113" s="47">
        <f>_xlfn.XLOOKUP(J$110, 'Power Summary'!$C$46:$AV$46, 'Power Summary'!$C48:$AV48)</f>
        <v>84.462181444800009</v>
      </c>
      <c r="K113" s="47">
        <f>_xlfn.XLOOKUP(K$110, 'Power Summary'!$C$46:$AV$46, 'Power Summary'!$C48:$AV48)</f>
        <v>86.151425073695989</v>
      </c>
      <c r="L113" s="47">
        <f>_xlfn.XLOOKUP(L$110, 'Power Summary'!$C$46:$AV$46, 'Power Summary'!$C48:$AV48)</f>
        <v>87.874453575169909</v>
      </c>
      <c r="M113" s="47">
        <f>_xlfn.XLOOKUP(M$110, 'Power Summary'!$C$46:$AV$46, 'Power Summary'!$C48:$AV48)</f>
        <v>89.631942646673309</v>
      </c>
      <c r="N113" s="47">
        <f>_xlfn.XLOOKUP(N$110, 'Power Summary'!$C$46:$AV$46, 'Power Summary'!$C48:$AV48)</f>
        <v>91.424581499606788</v>
      </c>
      <c r="O113" s="47">
        <f>_xlfn.XLOOKUP(O$110, 'Power Summary'!$C$46:$AV$46, 'Power Summary'!$C48:$AV48)</f>
        <v>93.253073129598903</v>
      </c>
      <c r="P113" s="47">
        <f>_xlfn.XLOOKUP(P$110, 'Power Summary'!$C$46:$AV$46, 'Power Summary'!$C48:$AV48)</f>
        <v>95.118134592190899</v>
      </c>
      <c r="Q113" s="47">
        <f>_xlfn.XLOOKUP(Q$110, 'Power Summary'!$C$46:$AV$46, 'Power Summary'!$C48:$AV48)</f>
        <v>97.020497284034704</v>
      </c>
      <c r="R113" s="47">
        <f>_xlfn.XLOOKUP(R$110, 'Power Summary'!$C$46:$AV$46, 'Power Summary'!$C48:$AV48)</f>
        <v>98.960907229715417</v>
      </c>
      <c r="S113" s="47">
        <f>_xlfn.XLOOKUP(S$110, 'Power Summary'!$C$46:$AV$46, 'Power Summary'!$C48:$AV48)</f>
        <v>100.94012537430969</v>
      </c>
      <c r="T113" s="47">
        <f>_xlfn.XLOOKUP(T$110, 'Power Summary'!$C$46:$AV$46, 'Power Summary'!$C48:$AV48)</f>
        <v>102.9589278817959</v>
      </c>
      <c r="U113" s="47">
        <f>_xlfn.XLOOKUP(U$110, 'Power Summary'!$C$46:$AV$46, 'Power Summary'!$C48:$AV48)</f>
        <v>105.01810643943183</v>
      </c>
      <c r="V113" s="47">
        <f>_xlfn.XLOOKUP(V$110, 'Power Summary'!$C$46:$AV$46, 'Power Summary'!$C48:$AV48)</f>
        <v>107.11846856822045</v>
      </c>
      <c r="W113" s="47">
        <f>_xlfn.XLOOKUP(W$110, 'Power Summary'!$C$46:$AV$46, 'Power Summary'!$C48:$AV48)</f>
        <v>109.26083793958486</v>
      </c>
      <c r="X113" s="47">
        <f>_xlfn.XLOOKUP(X$110, 'Power Summary'!$C$46:$AV$46, 'Power Summary'!$C48:$AV48)</f>
        <v>111.44605469837657</v>
      </c>
      <c r="Y113" s="47">
        <f>_xlfn.XLOOKUP(Y$110, 'Power Summary'!$C$46:$AV$46, 'Power Summary'!$C48:$AV48)</f>
        <v>113.67497579234409</v>
      </c>
      <c r="Z113" s="47">
        <f>_xlfn.XLOOKUP(Z$110, 'Power Summary'!$C$46:$AV$46, 'Power Summary'!$C48:$AV48)</f>
        <v>115.94847530819098</v>
      </c>
      <c r="AA113" s="47">
        <f>_xlfn.XLOOKUP(AA$110, 'Power Summary'!$C$46:$AV$46, 'Power Summary'!$C48:$AV48)</f>
        <v>118.26744481435477</v>
      </c>
      <c r="AB113" s="47">
        <f>_xlfn.XLOOKUP(AB$110, 'Power Summary'!$C$46:$AV$46, 'Power Summary'!$C48:$AV48)</f>
        <v>120.63279371064188</v>
      </c>
      <c r="AC113" s="47">
        <f>_xlfn.XLOOKUP(AC$110, 'Power Summary'!$C$46:$AV$46, 'Power Summary'!$C48:$AV48)</f>
        <v>123.04544958485472</v>
      </c>
      <c r="AD113" s="47">
        <f>_xlfn.XLOOKUP(AD$110, 'Power Summary'!$C$46:$AV$46, 'Power Summary'!$C48:$AV48)</f>
        <v>125.50635857655182</v>
      </c>
      <c r="AE113" s="47">
        <f>_xlfn.XLOOKUP(AE$110, 'Power Summary'!$C$46:$AV$46, 'Power Summary'!$C48:$AV48)</f>
        <v>128.01648574808283</v>
      </c>
      <c r="AF113" s="47">
        <f>_xlfn.XLOOKUP(AF$110, 'Power Summary'!$C$46:$AV$46, 'Power Summary'!$C48:$AV48)</f>
        <v>130.57681546304451</v>
      </c>
      <c r="AG113" s="47">
        <f>_xlfn.XLOOKUP(AG$110, 'Power Summary'!$C$46:$AV$46, 'Power Summary'!$C48:$AV48)</f>
        <v>133.1883517723054</v>
      </c>
      <c r="AH113" s="47">
        <f>_xlfn.XLOOKUP(AH$110, 'Power Summary'!$C$46:$AV$46, 'Power Summary'!$C48:$AV48)</f>
        <v>135.85211880775151</v>
      </c>
      <c r="AI113" s="47">
        <f>_xlfn.XLOOKUP(AI$110, 'Power Summary'!$C$46:$AV$46, 'Power Summary'!$C48:$AV48)</f>
        <v>138.56916118390652</v>
      </c>
      <c r="AJ113" s="47">
        <f>_xlfn.XLOOKUP(AJ$110, 'Power Summary'!$C$46:$AV$46, 'Power Summary'!$C48:$AV48)</f>
        <v>141.34054440758467</v>
      </c>
      <c r="AK113" s="47">
        <f>_xlfn.XLOOKUP(AK$110, 'Power Summary'!$C$46:$AV$46, 'Power Summary'!$C48:$AV48)</f>
        <v>144.16735529573637</v>
      </c>
      <c r="AL113" s="47">
        <f>_xlfn.XLOOKUP(AL$110, 'Power Summary'!$C$46:$AV$46, 'Power Summary'!$C48:$AV48)</f>
        <v>147.05070240165108</v>
      </c>
      <c r="AM113" s="47">
        <f>_xlfn.XLOOKUP(AM$110, 'Power Summary'!$C$46:$AV$46, 'Power Summary'!$C48:$AV48)</f>
        <v>149.99171644968411</v>
      </c>
      <c r="AN113" s="47">
        <f>_xlfn.XLOOKUP(AN$110, 'Power Summary'!$C$46:$AV$46, 'Power Summary'!$C48:$AV48)</f>
        <v>152.99155077867778</v>
      </c>
      <c r="AO113" s="47">
        <f>_xlfn.XLOOKUP(AO$110, 'Power Summary'!$C$46:$AV$46, 'Power Summary'!$C48:$AV48)</f>
        <v>156.05138179425134</v>
      </c>
      <c r="AP113" s="47">
        <f>_xlfn.XLOOKUP(AP$110, 'Power Summary'!$C$46:$AV$46, 'Power Summary'!$C48:$AV48)</f>
        <v>159.17240943013638</v>
      </c>
      <c r="AQ113" s="47">
        <f>_xlfn.XLOOKUP(AQ$110, 'Power Summary'!$C$46:$AV$46, 'Power Summary'!$C48:$AV48)</f>
        <v>162.35585761873907</v>
      </c>
      <c r="AR113" s="47">
        <f>_xlfn.XLOOKUP(AR$110, 'Power Summary'!$C$46:$AV$46, 'Power Summary'!$C48:$AV48)</f>
        <v>165.60297477111388</v>
      </c>
      <c r="AS113" s="47">
        <f>_xlfn.XLOOKUP(AS$110, 'Power Summary'!$C$46:$AV$46, 'Power Summary'!$C48:$AV48)</f>
        <v>168.91503426653617</v>
      </c>
      <c r="AT113" s="47">
        <f>_xlfn.XLOOKUP(AT$110, 'Power Summary'!$C$46:$AV$46, 'Power Summary'!$C48:$AV48)</f>
        <v>172.29333495186688</v>
      </c>
      <c r="AU113" s="47">
        <f>_xlfn.XLOOKUP(AU$110, 'Power Summary'!$C$46:$AV$46, 'Power Summary'!$C48:$AV48)</f>
        <v>175.73920165090419</v>
      </c>
      <c r="AV113" s="47">
        <f>_xlfn.XLOOKUP(AV$110, 'Power Summary'!$C$46:$AV$46, 'Power Summary'!$C48:$AV48)</f>
        <v>179.25398568392231</v>
      </c>
      <c r="AW113" s="47">
        <f>_xlfn.XLOOKUP(AW$110, 'Power Summary'!$C$46:$AV$46, 'Power Summary'!$C48:$AV48)</f>
        <v>182.83906539760073</v>
      </c>
    </row>
    <row r="114" spans="3:49" ht="14.25" customHeight="1">
      <c r="C114" s="44" t="s">
        <v>530</v>
      </c>
      <c r="D114" s="66">
        <f>IF(YEAR('Assumptions &amp; Inputs'!$K$31)&gt;D110, 0, IF(D110=YEAR('Assumptions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Inputs'!$K$36)&gt;=D110, 'Assumptions &amp; Inputs'!$K$63/'Assumptions &amp; Inputs'!$K$108*'Assumptions &amp; Inputs'!$K$72*'Assumptions &amp; Inputs'!$K$73*'Assumptions &amp; Inputs'!$K$71, 0)))</f>
        <v>0</v>
      </c>
      <c r="E114" s="66">
        <f>IF(YEAR('Assumptions &amp; Inputs'!$K$31)&gt;E110, 0, IF(E110=YEAR('Assumptions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Inputs'!$K$36)&gt;=E110, 'Assumptions &amp; Inputs'!$K$63/'Assumptions &amp; Inputs'!$K$108*'Assumptions &amp; Inputs'!$K$72*'Assumptions &amp; Inputs'!$K$73*'Assumptions &amp; Inputs'!$K$71, 0)))</f>
        <v>8593.56</v>
      </c>
      <c r="F114" s="66">
        <f>IF(YEAR('Assumptions &amp; Inputs'!$K$31)&gt;F110, 0, IF(F110=YEAR('Assumptions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Inputs'!$K$36)&gt;=F110, 'Assumptions &amp; Inputs'!$K$63/'Assumptions &amp; Inputs'!$K$108*'Assumptions &amp; Inputs'!$K$72*'Assumptions &amp; Inputs'!$K$73*'Assumptions &amp; Inputs'!$K$71, 0)))</f>
        <v>11458.08</v>
      </c>
      <c r="G114" s="66">
        <f>IF(YEAR('Assumptions &amp; Inputs'!$K$31)&gt;G110, 0, IF(G110=YEAR('Assumptions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Inputs'!$K$36)&gt;=G110, 'Assumptions &amp; Inputs'!$K$63/'Assumptions &amp; Inputs'!$K$108*'Assumptions &amp; Inputs'!$K$72*'Assumptions &amp; Inputs'!$K$73*'Assumptions &amp; Inputs'!$K$71, 0)))</f>
        <v>11458.08</v>
      </c>
      <c r="H114" s="66">
        <f>IF(YEAR('Assumptions &amp; Inputs'!$K$31)&gt;H110, 0, IF(H110=YEAR('Assumptions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Inputs'!$K$36)&gt;=H110, 'Assumptions &amp; Inputs'!$K$63/'Assumptions &amp; Inputs'!$K$108*'Assumptions &amp; Inputs'!$K$72*'Assumptions &amp; Inputs'!$K$73*'Assumptions &amp; Inputs'!$K$71, 0)))</f>
        <v>11458.08</v>
      </c>
      <c r="I114" s="66">
        <f>IF(YEAR('Assumptions &amp; Inputs'!$K$31)&gt;I110, 0, IF(I110=YEAR('Assumptions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Inputs'!$K$36)&gt;=I110, 'Assumptions &amp; Inputs'!$K$63/'Assumptions &amp; Inputs'!$K$108*'Assumptions &amp; Inputs'!$K$72*'Assumptions &amp; Inputs'!$K$73*'Assumptions &amp; Inputs'!$K$71, 0)))</f>
        <v>11458.08</v>
      </c>
      <c r="J114" s="66">
        <f>IF(YEAR('Assumptions &amp; Inputs'!$K$31)&gt;J110, 0, IF(J110=YEAR('Assumptions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Inputs'!$K$36)&gt;=J110, 'Assumptions &amp; Inputs'!$K$63/'Assumptions &amp; Inputs'!$K$108*'Assumptions &amp; Inputs'!$K$72*'Assumptions &amp; Inputs'!$K$73*'Assumptions &amp; Inputs'!$K$71, 0)))</f>
        <v>11458.08</v>
      </c>
      <c r="K114" s="66">
        <f>IF(YEAR('Assumptions &amp; Inputs'!$K$31)&gt;K110, 0, IF(K110=YEAR('Assumptions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Inputs'!$K$36)&gt;=K110, 'Assumptions &amp; Inputs'!$K$63/'Assumptions &amp; Inputs'!$K$108*'Assumptions &amp; Inputs'!$K$72*'Assumptions &amp; Inputs'!$K$73*'Assumptions &amp; Inputs'!$K$71, 0)))</f>
        <v>11458.08</v>
      </c>
      <c r="L114" s="66">
        <f>IF(YEAR('Assumptions &amp; Inputs'!$K$31)&gt;L110, 0, IF(L110=YEAR('Assumptions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Inputs'!$K$36)&gt;=L110, 'Assumptions &amp; Inputs'!$K$63/'Assumptions &amp; Inputs'!$K$108*'Assumptions &amp; Inputs'!$K$72*'Assumptions &amp; Inputs'!$K$73*'Assumptions &amp; Inputs'!$K$71, 0)))</f>
        <v>11458.08</v>
      </c>
      <c r="M114" s="66">
        <f>IF(YEAR('Assumptions &amp; Inputs'!$K$31)&gt;M110, 0, IF(M110=YEAR('Assumptions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Inputs'!$K$36)&gt;=M110, 'Assumptions &amp; Inputs'!$K$63/'Assumptions &amp; Inputs'!$K$108*'Assumptions &amp; Inputs'!$K$72*'Assumptions &amp; Inputs'!$K$73*'Assumptions &amp; Inputs'!$K$71, 0)))</f>
        <v>11458.08</v>
      </c>
      <c r="N114" s="66">
        <f>IF(YEAR('Assumptions &amp; Inputs'!$K$31)&gt;N110, 0, IF(N110=YEAR('Assumptions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Inputs'!$K$36)&gt;=N110, 'Assumptions &amp; Inputs'!$K$63/'Assumptions &amp; Inputs'!$K$108*'Assumptions &amp; Inputs'!$K$72*'Assumptions &amp; Inputs'!$K$73*'Assumptions &amp; Inputs'!$K$71, 0)))</f>
        <v>11458.08</v>
      </c>
      <c r="O114" s="66">
        <f>IF(YEAR('Assumptions &amp; Inputs'!$K$31)&gt;O110, 0, IF(O110=YEAR('Assumptions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Inputs'!$K$36)&gt;=O110, 'Assumptions &amp; Inputs'!$K$63/'Assumptions &amp; Inputs'!$K$108*'Assumptions &amp; Inputs'!$K$72*'Assumptions &amp; Inputs'!$K$73*'Assumptions &amp; Inputs'!$K$71, 0)))</f>
        <v>11458.08</v>
      </c>
      <c r="P114" s="66">
        <f>IF(YEAR('Assumptions &amp; Inputs'!$K$31)&gt;P110, 0, IF(P110=YEAR('Assumptions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Inputs'!$K$36)&gt;=P110, 'Assumptions &amp; Inputs'!$K$63/'Assumptions &amp; Inputs'!$K$108*'Assumptions &amp; Inputs'!$K$72*'Assumptions &amp; Inputs'!$K$73*'Assumptions &amp; Inputs'!$K$71, 0)))</f>
        <v>11458.08</v>
      </c>
      <c r="Q114" s="66">
        <f>IF(YEAR('Assumptions &amp; Inputs'!$K$31)&gt;Q110, 0, IF(Q110=YEAR('Assumptions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Inputs'!$K$36)&gt;=Q110, 'Assumptions &amp; Inputs'!$K$63/'Assumptions &amp; Inputs'!$K$108*'Assumptions &amp; Inputs'!$K$72*'Assumptions &amp; Inputs'!$K$73*'Assumptions &amp; Inputs'!$K$71, 0)))</f>
        <v>11458.08</v>
      </c>
      <c r="R114" s="66">
        <f>IF(YEAR('Assumptions &amp; Inputs'!$K$31)&gt;R110, 0, IF(R110=YEAR('Assumptions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Inputs'!$K$36)&gt;=R110, 'Assumptions &amp; Inputs'!$K$63/'Assumptions &amp; Inputs'!$K$108*'Assumptions &amp; Inputs'!$K$72*'Assumptions &amp; Inputs'!$K$73*'Assumptions &amp; Inputs'!$K$71, 0)))</f>
        <v>11458.08</v>
      </c>
      <c r="S114" s="66">
        <f>IF(YEAR('Assumptions &amp; Inputs'!$K$31)&gt;S110, 0, IF(S110=YEAR('Assumptions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Inputs'!$K$36)&gt;=S110, 'Assumptions &amp; Inputs'!$K$63/'Assumptions &amp; Inputs'!$K$108*'Assumptions &amp; Inputs'!$K$72*'Assumptions &amp; Inputs'!$K$73*'Assumptions &amp; Inputs'!$K$71, 0)))</f>
        <v>11458.08</v>
      </c>
      <c r="T114" s="66">
        <f>IF(YEAR('Assumptions &amp; Inputs'!$K$31)&gt;T110, 0, IF(T110=YEAR('Assumptions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Inputs'!$K$36)&gt;=T110, 'Assumptions &amp; Inputs'!$K$63/'Assumptions &amp; Inputs'!$K$108*'Assumptions &amp; Inputs'!$K$72*'Assumptions &amp; Inputs'!$K$73*'Assumptions &amp; Inputs'!$K$71, 0)))</f>
        <v>11458.08</v>
      </c>
      <c r="U114" s="66">
        <f>IF(YEAR('Assumptions &amp; Inputs'!$K$31)&gt;U110, 0, IF(U110=YEAR('Assumptions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Inputs'!$K$36)&gt;=U110, 'Assumptions &amp; Inputs'!$K$63/'Assumptions &amp; Inputs'!$K$108*'Assumptions &amp; Inputs'!$K$72*'Assumptions &amp; Inputs'!$K$73*'Assumptions &amp; Inputs'!$K$71, 0)))</f>
        <v>11458.08</v>
      </c>
      <c r="V114" s="66">
        <f>IF(YEAR('Assumptions &amp; Inputs'!$K$31)&gt;V110, 0, IF(V110=YEAR('Assumptions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Inputs'!$K$36)&gt;=V110, 'Assumptions &amp; Inputs'!$K$63/'Assumptions &amp; Inputs'!$K$108*'Assumptions &amp; Inputs'!$K$72*'Assumptions &amp; Inputs'!$K$73*'Assumptions &amp; Inputs'!$K$71, 0)))</f>
        <v>11458.08</v>
      </c>
      <c r="W114" s="66">
        <f>IF(YEAR('Assumptions &amp; Inputs'!$K$31)&gt;W110, 0, IF(W110=YEAR('Assumptions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Inputs'!$K$36)&gt;=W110, 'Assumptions &amp; Inputs'!$K$63/'Assumptions &amp; Inputs'!$K$108*'Assumptions &amp; Inputs'!$K$72*'Assumptions &amp; Inputs'!$K$73*'Assumptions &amp; Inputs'!$K$71, 0)))</f>
        <v>11458.08</v>
      </c>
      <c r="X114" s="66">
        <f>IF(YEAR('Assumptions &amp; Inputs'!$K$31)&gt;X110, 0, IF(X110=YEAR('Assumptions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Inputs'!$K$36)&gt;=X110, 'Assumptions &amp; Inputs'!$K$63/'Assumptions &amp; Inputs'!$K$108*'Assumptions &amp; Inputs'!$K$72*'Assumptions &amp; Inputs'!$K$73*'Assumptions &amp; Inputs'!$K$71, 0)))</f>
        <v>11458.08</v>
      </c>
      <c r="Y114" s="66">
        <f>IF(YEAR('Assumptions &amp; Inputs'!$K$31)&gt;Y110, 0, IF(Y110=YEAR('Assumptions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Inputs'!$K$36)&gt;=Y110, 'Assumptions &amp; Inputs'!$K$63/'Assumptions &amp; Inputs'!$K$108*'Assumptions &amp; Inputs'!$K$72*'Assumptions &amp; Inputs'!$K$73*'Assumptions &amp; Inputs'!$K$71, 0)))</f>
        <v>11458.08</v>
      </c>
      <c r="Z114" s="66">
        <f>IF(YEAR('Assumptions &amp; Inputs'!$K$31)&gt;Z110, 0, IF(Z110=YEAR('Assumptions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Inputs'!$K$36)&gt;=Z110, 'Assumptions &amp; Inputs'!$K$63/'Assumptions &amp; Inputs'!$K$108*'Assumptions &amp; Inputs'!$K$72*'Assumptions &amp; Inputs'!$K$73*'Assumptions &amp; Inputs'!$K$71, 0)))</f>
        <v>11458.08</v>
      </c>
      <c r="AA114" s="66">
        <f>IF(YEAR('Assumptions &amp; Inputs'!$K$31)&gt;AA110, 0, IF(AA110=YEAR('Assumptions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Inputs'!$K$36)&gt;=AA110, 'Assumptions &amp; Inputs'!$K$63/'Assumptions &amp; Inputs'!$K$108*'Assumptions &amp; Inputs'!$K$72*'Assumptions &amp; Inputs'!$K$73*'Assumptions &amp; Inputs'!$K$71, 0)))</f>
        <v>11458.08</v>
      </c>
      <c r="AB114" s="66">
        <f>IF(YEAR('Assumptions &amp; Inputs'!$K$31)&gt;AB110, 0, IF(AB110=YEAR('Assumptions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Inputs'!$K$36)&gt;=AB110, 'Assumptions &amp; Inputs'!$K$63/'Assumptions &amp; Inputs'!$K$108*'Assumptions &amp; Inputs'!$K$72*'Assumptions &amp; Inputs'!$K$73*'Assumptions &amp; Inputs'!$K$71, 0)))</f>
        <v>11458.08</v>
      </c>
      <c r="AC114" s="66">
        <f>IF(YEAR('Assumptions &amp; Inputs'!$K$31)&gt;AC110, 0, IF(AC110=YEAR('Assumptions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Inputs'!$K$36)&gt;=AC110, 'Assumptions &amp; Inputs'!$K$63/'Assumptions &amp; Inputs'!$K$108*'Assumptions &amp; Inputs'!$K$72*'Assumptions &amp; Inputs'!$K$73*'Assumptions &amp; Inputs'!$K$71, 0)))</f>
        <v>11458.08</v>
      </c>
      <c r="AD114" s="66">
        <f>IF(YEAR('Assumptions &amp; Inputs'!$K$31)&gt;AD110, 0, IF(AD110=YEAR('Assumptions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Inputs'!$K$36)&gt;=AD110, 'Assumptions &amp; Inputs'!$K$63/'Assumptions &amp; Inputs'!$K$108*'Assumptions &amp; Inputs'!$K$72*'Assumptions &amp; Inputs'!$K$73*'Assumptions &amp; Inputs'!$K$71, 0)))</f>
        <v>11458.08</v>
      </c>
      <c r="AE114" s="66">
        <f>IF(YEAR('Assumptions &amp; Inputs'!$K$31)&gt;AE110, 0, IF(AE110=YEAR('Assumptions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Inputs'!$K$36)&gt;=AE110, 'Assumptions &amp; Inputs'!$K$63/'Assumptions &amp; Inputs'!$K$108*'Assumptions &amp; Inputs'!$K$72*'Assumptions &amp; Inputs'!$K$73*'Assumptions &amp; Inputs'!$K$71, 0)))</f>
        <v>0</v>
      </c>
      <c r="AF114" s="66">
        <f>IF(YEAR('Assumptions &amp; Inputs'!$K$31)&gt;AF110, 0, IF(AF110=YEAR('Assumptions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Inputs'!$K$36)&gt;=AF110, 'Assumptions &amp; Inputs'!$K$63/'Assumptions &amp; Inputs'!$K$108*'Assumptions &amp; Inputs'!$K$72*'Assumptions &amp; Inputs'!$K$73*'Assumptions &amp; Inputs'!$K$71, 0)))</f>
        <v>0</v>
      </c>
      <c r="AG114" s="66">
        <f>IF(YEAR('Assumptions &amp; Inputs'!$K$31)&gt;AG110, 0, IF(AG110=YEAR('Assumptions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Inputs'!$K$36)&gt;=AG110, 'Assumptions &amp; Inputs'!$K$63/'Assumptions &amp; Inputs'!$K$108*'Assumptions &amp; Inputs'!$K$72*'Assumptions &amp; Inputs'!$K$73*'Assumptions &amp; Inputs'!$K$71, 0)))</f>
        <v>0</v>
      </c>
      <c r="AH114" s="66">
        <f>IF(YEAR('Assumptions &amp; Inputs'!$K$31)&gt;AH110, 0, IF(AH110=YEAR('Assumptions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Inputs'!$K$36)&gt;=AH110, 'Assumptions &amp; Inputs'!$K$63/'Assumptions &amp; Inputs'!$K$108*'Assumptions &amp; Inputs'!$K$72*'Assumptions &amp; Inputs'!$K$73*'Assumptions &amp; Inputs'!$K$71, 0)))</f>
        <v>0</v>
      </c>
      <c r="AI114" s="66">
        <f>IF(YEAR('Assumptions &amp; Inputs'!$K$31)&gt;AI110, 0, IF(AI110=YEAR('Assumptions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Inputs'!$K$36)&gt;=AI110, 'Assumptions &amp; Inputs'!$K$63/'Assumptions &amp; Inputs'!$K$108*'Assumptions &amp; Inputs'!$K$72*'Assumptions &amp; Inputs'!$K$73*'Assumptions &amp; Inputs'!$K$71, 0)))</f>
        <v>0</v>
      </c>
      <c r="AJ114" s="66">
        <f>IF(YEAR('Assumptions &amp; Inputs'!$K$31)&gt;AJ110, 0, IF(AJ110=YEAR('Assumptions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Inputs'!$K$36)&gt;=AJ110, 'Assumptions &amp; Inputs'!$K$63/'Assumptions &amp; Inputs'!$K$108*'Assumptions &amp; Inputs'!$K$72*'Assumptions &amp; Inputs'!$K$73*'Assumptions &amp; Inputs'!$K$71, 0)))</f>
        <v>0</v>
      </c>
      <c r="AK114" s="66">
        <f>IF(YEAR('Assumptions &amp; Inputs'!$K$31)&gt;AK110, 0, IF(AK110=YEAR('Assumptions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Inputs'!$K$36)&gt;=AK110, 'Assumptions &amp; Inputs'!$K$63/'Assumptions &amp; Inputs'!$K$108*'Assumptions &amp; Inputs'!$K$72*'Assumptions &amp; Inputs'!$K$73*'Assumptions &amp; Inputs'!$K$71, 0)))</f>
        <v>0</v>
      </c>
      <c r="AL114" s="66">
        <f>IF(YEAR('Assumptions &amp; Inputs'!$K$31)&gt;AL110, 0, IF(AL110=YEAR('Assumptions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Inputs'!$K$36)&gt;=AL110, 'Assumptions &amp; Inputs'!$K$63/'Assumptions &amp; Inputs'!$K$108*'Assumptions &amp; Inputs'!$K$72*'Assumptions &amp; Inputs'!$K$73*'Assumptions &amp; Inputs'!$K$71, 0)))</f>
        <v>0</v>
      </c>
      <c r="AM114" s="66">
        <f>IF(YEAR('Assumptions &amp; Inputs'!$K$31)&gt;AM110, 0, IF(AM110=YEAR('Assumptions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Inputs'!$K$36)&gt;=AM110, 'Assumptions &amp; Inputs'!$K$63/'Assumptions &amp; Inputs'!$K$108*'Assumptions &amp; Inputs'!$K$72*'Assumptions &amp; Inputs'!$K$73*'Assumptions &amp; Inputs'!$K$71, 0)))</f>
        <v>0</v>
      </c>
      <c r="AN114" s="66">
        <f>IF(YEAR('Assumptions &amp; Inputs'!$K$31)&gt;AN110, 0, IF(AN110=YEAR('Assumptions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Inputs'!$K$36)&gt;=AN110, 'Assumptions &amp; Inputs'!$K$63/'Assumptions &amp; Inputs'!$K$108*'Assumptions &amp; Inputs'!$K$72*'Assumptions &amp; Inputs'!$K$73*'Assumptions &amp; Inputs'!$K$71, 0)))</f>
        <v>0</v>
      </c>
      <c r="AO114" s="66">
        <f>IF(YEAR('Assumptions &amp; Inputs'!$K$31)&gt;AO110, 0, IF(AO110=YEAR('Assumptions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Inputs'!$K$36)&gt;=AO110, 'Assumptions &amp; Inputs'!$K$63/'Assumptions &amp; Inputs'!$K$108*'Assumptions &amp; Inputs'!$K$72*'Assumptions &amp; Inputs'!$K$73*'Assumptions &amp; Inputs'!$K$71, 0)))</f>
        <v>0</v>
      </c>
      <c r="AP114" s="66">
        <f>IF(YEAR('Assumptions &amp; Inputs'!$K$31)&gt;AP110, 0, IF(AP110=YEAR('Assumptions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Inputs'!$K$36)&gt;=AP110, 'Assumptions &amp; Inputs'!$K$63/'Assumptions &amp; Inputs'!$K$108*'Assumptions &amp; Inputs'!$K$72*'Assumptions &amp; Inputs'!$K$73*'Assumptions &amp; Inputs'!$K$71, 0)))</f>
        <v>0</v>
      </c>
      <c r="AQ114" s="66">
        <f>IF(YEAR('Assumptions &amp; Inputs'!$K$31)&gt;AQ110, 0, IF(AQ110=YEAR('Assumptions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Inputs'!$K$36)&gt;=AQ110, 'Assumptions &amp; Inputs'!$K$63/'Assumptions &amp; Inputs'!$K$108*'Assumptions &amp; Inputs'!$K$72*'Assumptions &amp; Inputs'!$K$73*'Assumptions &amp; Inputs'!$K$71, 0)))</f>
        <v>0</v>
      </c>
      <c r="AR114" s="66">
        <f>IF(YEAR('Assumptions &amp; Inputs'!$K$31)&gt;AR110, 0, IF(AR110=YEAR('Assumptions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Inputs'!$K$36)&gt;=AR110, 'Assumptions &amp; Inputs'!$K$63/'Assumptions &amp; Inputs'!$K$108*'Assumptions &amp; Inputs'!$K$72*'Assumptions &amp; Inputs'!$K$73*'Assumptions &amp; Inputs'!$K$71, 0)))</f>
        <v>0</v>
      </c>
      <c r="AS114" s="66">
        <f>IF(YEAR('Assumptions &amp; Inputs'!$K$31)&gt;AS110, 0, IF(AS110=YEAR('Assumptions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Inputs'!$K$36)&gt;=AS110, 'Assumptions &amp; Inputs'!$K$63/'Assumptions &amp; Inputs'!$K$108*'Assumptions &amp; Inputs'!$K$72*'Assumptions &amp; Inputs'!$K$73*'Assumptions &amp; Inputs'!$K$71, 0)))</f>
        <v>0</v>
      </c>
      <c r="AT114" s="66">
        <f>IF(YEAR('Assumptions &amp; Inputs'!$K$31)&gt;AT110, 0, IF(AT110=YEAR('Assumptions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Inputs'!$K$36)&gt;=AT110, 'Assumptions &amp; Inputs'!$K$63/'Assumptions &amp; Inputs'!$K$108*'Assumptions &amp; Inputs'!$K$72*'Assumptions &amp; Inputs'!$K$73*'Assumptions &amp; Inputs'!$K$71, 0)))</f>
        <v>0</v>
      </c>
      <c r="AU114" s="66">
        <f>IF(YEAR('Assumptions &amp; Inputs'!$K$31)&gt;AU110, 0, IF(AU110=YEAR('Assumptions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Inputs'!$K$36)&gt;=AU110, 'Assumptions &amp; Inputs'!$K$63/'Assumptions &amp; Inputs'!$K$108*'Assumptions &amp; Inputs'!$K$72*'Assumptions &amp; Inputs'!$K$73*'Assumptions &amp; Inputs'!$K$71, 0)))</f>
        <v>0</v>
      </c>
      <c r="AV114" s="66">
        <f>IF(YEAR('Assumptions &amp; Inputs'!$K$31)&gt;AV110, 0, IF(AV110=YEAR('Assumptions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Inputs'!$K$36)&gt;=AV110, 'Assumptions &amp; Inputs'!$K$63/'Assumptions &amp; Inputs'!$K$108*'Assumptions &amp; Inputs'!$K$72*'Assumptions &amp; Inputs'!$K$73*'Assumptions &amp; Inputs'!$K$71, 0)))</f>
        <v>0</v>
      </c>
      <c r="AW114" s="66">
        <f>IF(YEAR('Assumptions &amp; Inputs'!$K$31)&gt;AW110, 0, IF(AW110=YEAR('Assumptions &amp; Inputs'!$K$31),'Assumptions &amp; Inputs'!$K$63/'Assumptions &amp; Inputs'!$K$108*'Assumptions &amp; Inputs'!$K$72*'Assumptions &amp; Inputs'!$K$73*'Assumptions &amp; Inputs'!$K$71*YEARFRAC('Assumptions &amp; Inputs'!$K$31,'Assumptions &amp; Inputs'!$K$32), IF(YEAR('Assumptions &amp; Inputs'!$K$36)&gt;=AW110, 'Assumptions &amp; Inputs'!$K$63/'Assumptions &amp; Inputs'!$K$108*'Assumptions &amp; Inputs'!$K$72*'Assumptions &amp; Inputs'!$K$73*'Assumptions &amp; Inputs'!$K$71, 0)))</f>
        <v>0</v>
      </c>
    </row>
    <row r="115" spans="3:49" ht="14.25" customHeight="1">
      <c r="C115" s="44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</row>
    <row r="116" spans="3:49" ht="14.25" customHeight="1">
      <c r="C116" s="48" t="s">
        <v>536</v>
      </c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</row>
    <row r="117" spans="3:49" ht="14.25" customHeight="1">
      <c r="C117" s="44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</row>
    <row r="118" spans="3:49" ht="14.25" customHeight="1">
      <c r="C118" s="44" t="s">
        <v>537</v>
      </c>
      <c r="D118" s="75">
        <f>IF(YEAR('Assumptions &amp; Inputs'!$K$31)&gt;D110, 0, IF(D110=YEAR('Assumptions &amp; Inputs'!$K$31),('Assumptions &amp; Inputs'!$K$60*'Assumptions &amp; Inputs'!$K$109/1000000)*YEARFRAC('Assumptions &amp; Inputs'!$K$31,'Assumptions &amp; Inputs'!$K$32), IF(YEAR('Assumptions &amp; Inputs'!$K$36)&gt;=D110, 'Assumptions &amp; Inputs'!$K$60*'Assumptions &amp; Inputs'!$K$109/1000000, 0)))</f>
        <v>0</v>
      </c>
      <c r="E118" s="75">
        <f>IF(YEAR('Assumptions &amp; Inputs'!$K$31)&gt;E110, 0, IF(E110=YEAR('Assumptions &amp; Inputs'!$K$31),('Assumptions &amp; Inputs'!$K$60*'Assumptions &amp; Inputs'!$K$109/1000000)*YEARFRAC('Assumptions &amp; Inputs'!$K$31,'Assumptions &amp; Inputs'!$K$32), IF(YEAR('Assumptions &amp; Inputs'!$K$36)&gt;=E110, 'Assumptions &amp; Inputs'!$K$60*'Assumptions &amp; Inputs'!$K$109/1000000, 0)))</f>
        <v>6.6225599999999996E-2</v>
      </c>
      <c r="F118" s="75">
        <f>IF(YEAR('Assumptions &amp; Inputs'!$K$31)&gt;F110, 0, IF(F110=YEAR('Assumptions &amp; Inputs'!$K$31),('Assumptions &amp; Inputs'!$K$60*'Assumptions &amp; Inputs'!$K$109/1000000)*YEARFRAC('Assumptions &amp; Inputs'!$K$31,'Assumptions &amp; Inputs'!$K$32), IF(YEAR('Assumptions &amp; Inputs'!$K$36)&gt;=F110, 'Assumptions &amp; Inputs'!$K$60*'Assumptions &amp; Inputs'!$K$109/1000000, 0)))</f>
        <v>8.8300799999999985E-2</v>
      </c>
      <c r="G118" s="75">
        <f>IF(YEAR('Assumptions &amp; Inputs'!$K$31)&gt;G110, 0, IF(G110=YEAR('Assumptions &amp; Inputs'!$K$31),('Assumptions &amp; Inputs'!$K$60*'Assumptions &amp; Inputs'!$K$109/1000000)*YEARFRAC('Assumptions &amp; Inputs'!$K$31,'Assumptions &amp; Inputs'!$K$32), IF(YEAR('Assumptions &amp; Inputs'!$K$36)&gt;=G110, 'Assumptions &amp; Inputs'!$K$60*'Assumptions &amp; Inputs'!$K$109/1000000, 0)))</f>
        <v>8.8300799999999985E-2</v>
      </c>
      <c r="H118" s="75">
        <f>IF(YEAR('Assumptions &amp; Inputs'!$K$31)&gt;H110, 0, IF(H110=YEAR('Assumptions &amp; Inputs'!$K$31),('Assumptions &amp; Inputs'!$K$60*'Assumptions &amp; Inputs'!$K$109/1000000)*YEARFRAC('Assumptions &amp; Inputs'!$K$31,'Assumptions &amp; Inputs'!$K$32), IF(YEAR('Assumptions &amp; Inputs'!$K$36)&gt;=H110, 'Assumptions &amp; Inputs'!$K$60*'Assumptions &amp; Inputs'!$K$109/1000000, 0)))</f>
        <v>8.8300799999999985E-2</v>
      </c>
      <c r="I118" s="75">
        <f>IF(YEAR('Assumptions &amp; Inputs'!$K$31)&gt;I110, 0, IF(I110=YEAR('Assumptions &amp; Inputs'!$K$31),('Assumptions &amp; Inputs'!$K$60*'Assumptions &amp; Inputs'!$K$109/1000000)*YEARFRAC('Assumptions &amp; Inputs'!$K$31,'Assumptions &amp; Inputs'!$K$32), IF(YEAR('Assumptions &amp; Inputs'!$K$36)&gt;=I110, 'Assumptions &amp; Inputs'!$K$60*'Assumptions &amp; Inputs'!$K$109/1000000, 0)))</f>
        <v>8.8300799999999985E-2</v>
      </c>
      <c r="J118" s="75">
        <f>IF(YEAR('Assumptions &amp; Inputs'!$K$31)&gt;J110, 0, IF(J110=YEAR('Assumptions &amp; Inputs'!$K$31),('Assumptions &amp; Inputs'!$K$60*'Assumptions &amp; Inputs'!$K$109/1000000)*YEARFRAC('Assumptions &amp; Inputs'!$K$31,'Assumptions &amp; Inputs'!$K$32), IF(YEAR('Assumptions &amp; Inputs'!$K$36)&gt;=J110, 'Assumptions &amp; Inputs'!$K$60*'Assumptions &amp; Inputs'!$K$109/1000000, 0)))</f>
        <v>8.8300799999999985E-2</v>
      </c>
      <c r="K118" s="75">
        <f>IF(YEAR('Assumptions &amp; Inputs'!$K$31)&gt;K110, 0, IF(K110=YEAR('Assumptions &amp; Inputs'!$K$31),('Assumptions &amp; Inputs'!$K$60*'Assumptions &amp; Inputs'!$K$109/1000000)*YEARFRAC('Assumptions &amp; Inputs'!$K$31,'Assumptions &amp; Inputs'!$K$32), IF(YEAR('Assumptions &amp; Inputs'!$K$36)&gt;=K110, 'Assumptions &amp; Inputs'!$K$60*'Assumptions &amp; Inputs'!$K$109/1000000, 0)))</f>
        <v>8.8300799999999985E-2</v>
      </c>
      <c r="L118" s="75">
        <f>IF(YEAR('Assumptions &amp; Inputs'!$K$31)&gt;L110, 0, IF(L110=YEAR('Assumptions &amp; Inputs'!$K$31),('Assumptions &amp; Inputs'!$K$60*'Assumptions &amp; Inputs'!$K$109/1000000)*YEARFRAC('Assumptions &amp; Inputs'!$K$31,'Assumptions &amp; Inputs'!$K$32), IF(YEAR('Assumptions &amp; Inputs'!$K$36)&gt;=L110, 'Assumptions &amp; Inputs'!$K$60*'Assumptions &amp; Inputs'!$K$109/1000000, 0)))</f>
        <v>8.8300799999999985E-2</v>
      </c>
      <c r="M118" s="75">
        <f>IF(YEAR('Assumptions &amp; Inputs'!$K$31)&gt;M110, 0, IF(M110=YEAR('Assumptions &amp; Inputs'!$K$31),('Assumptions &amp; Inputs'!$K$60*'Assumptions &amp; Inputs'!$K$109/1000000)*YEARFRAC('Assumptions &amp; Inputs'!$K$31,'Assumptions &amp; Inputs'!$K$32), IF(YEAR('Assumptions &amp; Inputs'!$K$36)&gt;=M110, 'Assumptions &amp; Inputs'!$K$60*'Assumptions &amp; Inputs'!$K$109/1000000, 0)))</f>
        <v>8.8300799999999985E-2</v>
      </c>
      <c r="N118" s="75">
        <f>IF(YEAR('Assumptions &amp; Inputs'!$K$31)&gt;N110, 0, IF(N110=YEAR('Assumptions &amp; Inputs'!$K$31),('Assumptions &amp; Inputs'!$K$60*'Assumptions &amp; Inputs'!$K$109/1000000)*YEARFRAC('Assumptions &amp; Inputs'!$K$31,'Assumptions &amp; Inputs'!$K$32), IF(YEAR('Assumptions &amp; Inputs'!$K$36)&gt;=N110, 'Assumptions &amp; Inputs'!$K$60*'Assumptions &amp; Inputs'!$K$109/1000000, 0)))</f>
        <v>8.8300799999999985E-2</v>
      </c>
      <c r="O118" s="75">
        <f>IF(YEAR('Assumptions &amp; Inputs'!$K$31)&gt;O110, 0, IF(O110=YEAR('Assumptions &amp; Inputs'!$K$31),('Assumptions &amp; Inputs'!$K$60*'Assumptions &amp; Inputs'!$K$109/1000000)*YEARFRAC('Assumptions &amp; Inputs'!$K$31,'Assumptions &amp; Inputs'!$K$32), IF(YEAR('Assumptions &amp; Inputs'!$K$36)&gt;=O110, 'Assumptions &amp; Inputs'!$K$60*'Assumptions &amp; Inputs'!$K$109/1000000, 0)))</f>
        <v>8.8300799999999985E-2</v>
      </c>
      <c r="P118" s="75">
        <f>IF(YEAR('Assumptions &amp; Inputs'!$K$31)&gt;P110, 0, IF(P110=YEAR('Assumptions &amp; Inputs'!$K$31),('Assumptions &amp; Inputs'!$K$60*'Assumptions &amp; Inputs'!$K$109/1000000)*YEARFRAC('Assumptions &amp; Inputs'!$K$31,'Assumptions &amp; Inputs'!$K$32), IF(YEAR('Assumptions &amp; Inputs'!$K$36)&gt;=P110, 'Assumptions &amp; Inputs'!$K$60*'Assumptions &amp; Inputs'!$K$109/1000000, 0)))</f>
        <v>8.8300799999999985E-2</v>
      </c>
      <c r="Q118" s="75">
        <f>IF(YEAR('Assumptions &amp; Inputs'!$K$31)&gt;Q110, 0, IF(Q110=YEAR('Assumptions &amp; Inputs'!$K$31),('Assumptions &amp; Inputs'!$K$60*'Assumptions &amp; Inputs'!$K$109/1000000)*YEARFRAC('Assumptions &amp; Inputs'!$K$31,'Assumptions &amp; Inputs'!$K$32), IF(YEAR('Assumptions &amp; Inputs'!$K$36)&gt;=Q110, 'Assumptions &amp; Inputs'!$K$60*'Assumptions &amp; Inputs'!$K$109/1000000, 0)))</f>
        <v>8.8300799999999985E-2</v>
      </c>
      <c r="R118" s="75">
        <f>IF(YEAR('Assumptions &amp; Inputs'!$K$31)&gt;R110, 0, IF(R110=YEAR('Assumptions &amp; Inputs'!$K$31),('Assumptions &amp; Inputs'!$K$60*'Assumptions &amp; Inputs'!$K$109/1000000)*YEARFRAC('Assumptions &amp; Inputs'!$K$31,'Assumptions &amp; Inputs'!$K$32), IF(YEAR('Assumptions &amp; Inputs'!$K$36)&gt;=R110, 'Assumptions &amp; Inputs'!$K$60*'Assumptions &amp; Inputs'!$K$109/1000000, 0)))</f>
        <v>8.8300799999999985E-2</v>
      </c>
      <c r="S118" s="75">
        <f>IF(YEAR('Assumptions &amp; Inputs'!$K$31)&gt;S110, 0, IF(S110=YEAR('Assumptions &amp; Inputs'!$K$31),('Assumptions &amp; Inputs'!$K$60*'Assumptions &amp; Inputs'!$K$109/1000000)*YEARFRAC('Assumptions &amp; Inputs'!$K$31,'Assumptions &amp; Inputs'!$K$32), IF(YEAR('Assumptions &amp; Inputs'!$K$36)&gt;=S110, 'Assumptions &amp; Inputs'!$K$60*'Assumptions &amp; Inputs'!$K$109/1000000, 0)))</f>
        <v>8.8300799999999985E-2</v>
      </c>
      <c r="T118" s="75">
        <f>IF(YEAR('Assumptions &amp; Inputs'!$K$31)&gt;T110, 0, IF(T110=YEAR('Assumptions &amp; Inputs'!$K$31),('Assumptions &amp; Inputs'!$K$60*'Assumptions &amp; Inputs'!$K$109/1000000)*YEARFRAC('Assumptions &amp; Inputs'!$K$31,'Assumptions &amp; Inputs'!$K$32), IF(YEAR('Assumptions &amp; Inputs'!$K$36)&gt;=T110, 'Assumptions &amp; Inputs'!$K$60*'Assumptions &amp; Inputs'!$K$109/1000000, 0)))</f>
        <v>8.8300799999999985E-2</v>
      </c>
      <c r="U118" s="75">
        <f>IF(YEAR('Assumptions &amp; Inputs'!$K$31)&gt;U110, 0, IF(U110=YEAR('Assumptions &amp; Inputs'!$K$31),('Assumptions &amp; Inputs'!$K$60*'Assumptions &amp; Inputs'!$K$109/1000000)*YEARFRAC('Assumptions &amp; Inputs'!$K$31,'Assumptions &amp; Inputs'!$K$32), IF(YEAR('Assumptions &amp; Inputs'!$K$36)&gt;=U110, 'Assumptions &amp; Inputs'!$K$60*'Assumptions &amp; Inputs'!$K$109/1000000, 0)))</f>
        <v>8.8300799999999985E-2</v>
      </c>
      <c r="V118" s="75">
        <f>IF(YEAR('Assumptions &amp; Inputs'!$K$31)&gt;V110, 0, IF(V110=YEAR('Assumptions &amp; Inputs'!$K$31),('Assumptions &amp; Inputs'!$K$60*'Assumptions &amp; Inputs'!$K$109/1000000)*YEARFRAC('Assumptions &amp; Inputs'!$K$31,'Assumptions &amp; Inputs'!$K$32), IF(YEAR('Assumptions &amp; Inputs'!$K$36)&gt;=V110, 'Assumptions &amp; Inputs'!$K$60*'Assumptions &amp; Inputs'!$K$109/1000000, 0)))</f>
        <v>8.8300799999999985E-2</v>
      </c>
      <c r="W118" s="75">
        <f>IF(YEAR('Assumptions &amp; Inputs'!$K$31)&gt;W110, 0, IF(W110=YEAR('Assumptions &amp; Inputs'!$K$31),('Assumptions &amp; Inputs'!$K$60*'Assumptions &amp; Inputs'!$K$109/1000000)*YEARFRAC('Assumptions &amp; Inputs'!$K$31,'Assumptions &amp; Inputs'!$K$32), IF(YEAR('Assumptions &amp; Inputs'!$K$36)&gt;=W110, 'Assumptions &amp; Inputs'!$K$60*'Assumptions &amp; Inputs'!$K$109/1000000, 0)))</f>
        <v>8.8300799999999985E-2</v>
      </c>
      <c r="X118" s="75">
        <f>IF(YEAR('Assumptions &amp; Inputs'!$K$31)&gt;X110, 0, IF(X110=YEAR('Assumptions &amp; Inputs'!$K$31),('Assumptions &amp; Inputs'!$K$60*'Assumptions &amp; Inputs'!$K$109/1000000)*YEARFRAC('Assumptions &amp; Inputs'!$K$31,'Assumptions &amp; Inputs'!$K$32), IF(YEAR('Assumptions &amp; Inputs'!$K$36)&gt;=X110, 'Assumptions &amp; Inputs'!$K$60*'Assumptions &amp; Inputs'!$K$109/1000000, 0)))</f>
        <v>8.8300799999999985E-2</v>
      </c>
      <c r="Y118" s="75">
        <f>IF(YEAR('Assumptions &amp; Inputs'!$K$31)&gt;Y110, 0, IF(Y110=YEAR('Assumptions &amp; Inputs'!$K$31),('Assumptions &amp; Inputs'!$K$60*'Assumptions &amp; Inputs'!$K$109/1000000)*YEARFRAC('Assumptions &amp; Inputs'!$K$31,'Assumptions &amp; Inputs'!$K$32), IF(YEAR('Assumptions &amp; Inputs'!$K$36)&gt;=Y110, 'Assumptions &amp; Inputs'!$K$60*'Assumptions &amp; Inputs'!$K$109/1000000, 0)))</f>
        <v>8.8300799999999985E-2</v>
      </c>
      <c r="Z118" s="75">
        <f>IF(YEAR('Assumptions &amp; Inputs'!$K$31)&gt;Z110, 0, IF(Z110=YEAR('Assumptions &amp; Inputs'!$K$31),('Assumptions &amp; Inputs'!$K$60*'Assumptions &amp; Inputs'!$K$109/1000000)*YEARFRAC('Assumptions &amp; Inputs'!$K$31,'Assumptions &amp; Inputs'!$K$32), IF(YEAR('Assumptions &amp; Inputs'!$K$36)&gt;=Z110, 'Assumptions &amp; Inputs'!$K$60*'Assumptions &amp; Inputs'!$K$109/1000000, 0)))</f>
        <v>8.8300799999999985E-2</v>
      </c>
      <c r="AA118" s="75">
        <f>IF(YEAR('Assumptions &amp; Inputs'!$K$31)&gt;AA110, 0, IF(AA110=YEAR('Assumptions &amp; Inputs'!$K$31),('Assumptions &amp; Inputs'!$K$60*'Assumptions &amp; Inputs'!$K$109/1000000)*YEARFRAC('Assumptions &amp; Inputs'!$K$31,'Assumptions &amp; Inputs'!$K$32), IF(YEAR('Assumptions &amp; Inputs'!$K$36)&gt;=AA110, 'Assumptions &amp; Inputs'!$K$60*'Assumptions &amp; Inputs'!$K$109/1000000, 0)))</f>
        <v>8.8300799999999985E-2</v>
      </c>
      <c r="AB118" s="75">
        <f>IF(YEAR('Assumptions &amp; Inputs'!$K$31)&gt;AB110, 0, IF(AB110=YEAR('Assumptions &amp; Inputs'!$K$31),('Assumptions &amp; Inputs'!$K$60*'Assumptions &amp; Inputs'!$K$109/1000000)*YEARFRAC('Assumptions &amp; Inputs'!$K$31,'Assumptions &amp; Inputs'!$K$32), IF(YEAR('Assumptions &amp; Inputs'!$K$36)&gt;=AB110, 'Assumptions &amp; Inputs'!$K$60*'Assumptions &amp; Inputs'!$K$109/1000000, 0)))</f>
        <v>8.8300799999999985E-2</v>
      </c>
      <c r="AC118" s="75">
        <f>IF(YEAR('Assumptions &amp; Inputs'!$K$31)&gt;AC110, 0, IF(AC110=YEAR('Assumptions &amp; Inputs'!$K$31),('Assumptions &amp; Inputs'!$K$60*'Assumptions &amp; Inputs'!$K$109/1000000)*YEARFRAC('Assumptions &amp; Inputs'!$K$31,'Assumptions &amp; Inputs'!$K$32), IF(YEAR('Assumptions &amp; Inputs'!$K$36)&gt;=AC110, 'Assumptions &amp; Inputs'!$K$60*'Assumptions &amp; Inputs'!$K$109/1000000, 0)))</f>
        <v>8.8300799999999985E-2</v>
      </c>
      <c r="AD118" s="75">
        <f>IF(YEAR('Assumptions &amp; Inputs'!$K$31)&gt;AD110, 0, IF(AD110=YEAR('Assumptions &amp; Inputs'!$K$31),('Assumptions &amp; Inputs'!$K$60*'Assumptions &amp; Inputs'!$K$109/1000000)*YEARFRAC('Assumptions &amp; Inputs'!$K$31,'Assumptions &amp; Inputs'!$K$32), IF(YEAR('Assumptions &amp; Inputs'!$K$36)&gt;=AD110, 'Assumptions &amp; Inputs'!$K$60*'Assumptions &amp; Inputs'!$K$109/1000000, 0)))</f>
        <v>8.8300799999999985E-2</v>
      </c>
      <c r="AE118" s="75">
        <f>IF(YEAR('Assumptions &amp; Inputs'!$K$31)&gt;AE110, 0, IF(AE110=YEAR('Assumptions &amp; Inputs'!$K$31),('Assumptions &amp; Inputs'!$K$60*'Assumptions &amp; Inputs'!$K$109/1000000)*YEARFRAC('Assumptions &amp; Inputs'!$K$31,'Assumptions &amp; Inputs'!$K$32), IF(YEAR('Assumptions &amp; Inputs'!$K$36)&gt;=AE110, 'Assumptions &amp; Inputs'!$K$60*'Assumptions &amp; Inputs'!$K$109/1000000, 0)))</f>
        <v>0</v>
      </c>
      <c r="AF118" s="75">
        <f>IF(YEAR('Assumptions &amp; Inputs'!$K$31)&gt;AF110, 0, IF(AF110=YEAR('Assumptions &amp; Inputs'!$K$31),('Assumptions &amp; Inputs'!$K$60*'Assumptions &amp; Inputs'!$K$109/1000000)*YEARFRAC('Assumptions &amp; Inputs'!$K$31,'Assumptions &amp; Inputs'!$K$32), IF(YEAR('Assumptions &amp; Inputs'!$K$36)&gt;=AF110, 'Assumptions &amp; Inputs'!$K$60*'Assumptions &amp; Inputs'!$K$109/1000000, 0)))</f>
        <v>0</v>
      </c>
      <c r="AG118" s="75">
        <f>IF(YEAR('Assumptions &amp; Inputs'!$K$31)&gt;AG110, 0, IF(AG110=YEAR('Assumptions &amp; Inputs'!$K$31),('Assumptions &amp; Inputs'!$K$60*'Assumptions &amp; Inputs'!$K$109/1000000)*YEARFRAC('Assumptions &amp; Inputs'!$K$31,'Assumptions &amp; Inputs'!$K$32), IF(YEAR('Assumptions &amp; Inputs'!$K$36)&gt;=AG110, 'Assumptions &amp; Inputs'!$K$60*'Assumptions &amp; Inputs'!$K$109/1000000, 0)))</f>
        <v>0</v>
      </c>
      <c r="AH118" s="75">
        <f>IF(YEAR('Assumptions &amp; Inputs'!$K$31)&gt;AH110, 0, IF(AH110=YEAR('Assumptions &amp; Inputs'!$K$31),('Assumptions &amp; Inputs'!$K$60*'Assumptions &amp; Inputs'!$K$109/1000000)*YEARFRAC('Assumptions &amp; Inputs'!$K$31,'Assumptions &amp; Inputs'!$K$32), IF(YEAR('Assumptions &amp; Inputs'!$K$36)&gt;=AH110, 'Assumptions &amp; Inputs'!$K$60*'Assumptions &amp; Inputs'!$K$109/1000000, 0)))</f>
        <v>0</v>
      </c>
      <c r="AI118" s="75">
        <f>IF(YEAR('Assumptions &amp; Inputs'!$K$31)&gt;AI110, 0, IF(AI110=YEAR('Assumptions &amp; Inputs'!$K$31),('Assumptions &amp; Inputs'!$K$60*'Assumptions &amp; Inputs'!$K$109/1000000)*YEARFRAC('Assumptions &amp; Inputs'!$K$31,'Assumptions &amp; Inputs'!$K$32), IF(YEAR('Assumptions &amp; Inputs'!$K$36)&gt;=AI110, 'Assumptions &amp; Inputs'!$K$60*'Assumptions &amp; Inputs'!$K$109/1000000, 0)))</f>
        <v>0</v>
      </c>
      <c r="AJ118" s="75">
        <f>IF(YEAR('Assumptions &amp; Inputs'!$K$31)&gt;AJ110, 0, IF(AJ110=YEAR('Assumptions &amp; Inputs'!$K$31),('Assumptions &amp; Inputs'!$K$60*'Assumptions &amp; Inputs'!$K$109/1000000)*YEARFRAC('Assumptions &amp; Inputs'!$K$31,'Assumptions &amp; Inputs'!$K$32), IF(YEAR('Assumptions &amp; Inputs'!$K$36)&gt;=AJ110, 'Assumptions &amp; Inputs'!$K$60*'Assumptions &amp; Inputs'!$K$109/1000000, 0)))</f>
        <v>0</v>
      </c>
      <c r="AK118" s="75">
        <f>IF(YEAR('Assumptions &amp; Inputs'!$K$31)&gt;AK110, 0, IF(AK110=YEAR('Assumptions &amp; Inputs'!$K$31),('Assumptions &amp; Inputs'!$K$60*'Assumptions &amp; Inputs'!$K$109/1000000)*YEARFRAC('Assumptions &amp; Inputs'!$K$31,'Assumptions &amp; Inputs'!$K$32), IF(YEAR('Assumptions &amp; Inputs'!$K$36)&gt;=AK110, 'Assumptions &amp; Inputs'!$K$60*'Assumptions &amp; Inputs'!$K$109/1000000, 0)))</f>
        <v>0</v>
      </c>
      <c r="AL118" s="75">
        <f>IF(YEAR('Assumptions &amp; Inputs'!$K$31)&gt;AL110, 0, IF(AL110=YEAR('Assumptions &amp; Inputs'!$K$31),('Assumptions &amp; Inputs'!$K$60*'Assumptions &amp; Inputs'!$K$109/1000000)*YEARFRAC('Assumptions &amp; Inputs'!$K$31,'Assumptions &amp; Inputs'!$K$32), IF(YEAR('Assumptions &amp; Inputs'!$K$36)&gt;=AL110, 'Assumptions &amp; Inputs'!$K$60*'Assumptions &amp; Inputs'!$K$109/1000000, 0)))</f>
        <v>0</v>
      </c>
      <c r="AM118" s="75">
        <f>IF(YEAR('Assumptions &amp; Inputs'!$K$31)&gt;AM110, 0, IF(AM110=YEAR('Assumptions &amp; Inputs'!$K$31),('Assumptions &amp; Inputs'!$K$60*'Assumptions &amp; Inputs'!$K$109/1000000)*YEARFRAC('Assumptions &amp; Inputs'!$K$31,'Assumptions &amp; Inputs'!$K$32), IF(YEAR('Assumptions &amp; Inputs'!$K$36)&gt;=AM110, 'Assumptions &amp; Inputs'!$K$60*'Assumptions &amp; Inputs'!$K$109/1000000, 0)))</f>
        <v>0</v>
      </c>
      <c r="AN118" s="75">
        <f>IF(YEAR('Assumptions &amp; Inputs'!$K$31)&gt;AN110, 0, IF(AN110=YEAR('Assumptions &amp; Inputs'!$K$31),('Assumptions &amp; Inputs'!$K$60*'Assumptions &amp; Inputs'!$K$109/1000000)*YEARFRAC('Assumptions &amp; Inputs'!$K$31,'Assumptions &amp; Inputs'!$K$32), IF(YEAR('Assumptions &amp; Inputs'!$K$36)&gt;=AN110, 'Assumptions &amp; Inputs'!$K$60*'Assumptions &amp; Inputs'!$K$109/1000000, 0)))</f>
        <v>0</v>
      </c>
      <c r="AO118" s="75">
        <f>IF(YEAR('Assumptions &amp; Inputs'!$K$31)&gt;AO110, 0, IF(AO110=YEAR('Assumptions &amp; Inputs'!$K$31),('Assumptions &amp; Inputs'!$K$60*'Assumptions &amp; Inputs'!$K$109/1000000)*YEARFRAC('Assumptions &amp; Inputs'!$K$31,'Assumptions &amp; Inputs'!$K$32), IF(YEAR('Assumptions &amp; Inputs'!$K$36)&gt;=AO110, 'Assumptions &amp; Inputs'!$K$60*'Assumptions &amp; Inputs'!$K$109/1000000, 0)))</f>
        <v>0</v>
      </c>
      <c r="AP118" s="75">
        <f>IF(YEAR('Assumptions &amp; Inputs'!$K$31)&gt;AP110, 0, IF(AP110=YEAR('Assumptions &amp; Inputs'!$K$31),('Assumptions &amp; Inputs'!$K$60*'Assumptions &amp; Inputs'!$K$109/1000000)*YEARFRAC('Assumptions &amp; Inputs'!$K$31,'Assumptions &amp; Inputs'!$K$32), IF(YEAR('Assumptions &amp; Inputs'!$K$36)&gt;=AP110, 'Assumptions &amp; Inputs'!$K$60*'Assumptions &amp; Inputs'!$K$109/1000000, 0)))</f>
        <v>0</v>
      </c>
      <c r="AQ118" s="75">
        <f>IF(YEAR('Assumptions &amp; Inputs'!$K$31)&gt;AQ110, 0, IF(AQ110=YEAR('Assumptions &amp; Inputs'!$K$31),('Assumptions &amp; Inputs'!$K$60*'Assumptions &amp; Inputs'!$K$109/1000000)*YEARFRAC('Assumptions &amp; Inputs'!$K$31,'Assumptions &amp; Inputs'!$K$32), IF(YEAR('Assumptions &amp; Inputs'!$K$36)&gt;=AQ110, 'Assumptions &amp; Inputs'!$K$60*'Assumptions &amp; Inputs'!$K$109/1000000, 0)))</f>
        <v>0</v>
      </c>
      <c r="AR118" s="75">
        <f>IF(YEAR('Assumptions &amp; Inputs'!$K$31)&gt;AR110, 0, IF(AR110=YEAR('Assumptions &amp; Inputs'!$K$31),('Assumptions &amp; Inputs'!$K$60*'Assumptions &amp; Inputs'!$K$109/1000000)*YEARFRAC('Assumptions &amp; Inputs'!$K$31,'Assumptions &amp; Inputs'!$K$32), IF(YEAR('Assumptions &amp; Inputs'!$K$36)&gt;=AR110, 'Assumptions &amp; Inputs'!$K$60*'Assumptions &amp; Inputs'!$K$109/1000000, 0)))</f>
        <v>0</v>
      </c>
      <c r="AS118" s="75">
        <f>IF(YEAR('Assumptions &amp; Inputs'!$K$31)&gt;AS110, 0, IF(AS110=YEAR('Assumptions &amp; Inputs'!$K$31),('Assumptions &amp; Inputs'!$K$60*'Assumptions &amp; Inputs'!$K$109/1000000)*YEARFRAC('Assumptions &amp; Inputs'!$K$31,'Assumptions &amp; Inputs'!$K$32), IF(YEAR('Assumptions &amp; Inputs'!$K$36)&gt;=AS110, 'Assumptions &amp; Inputs'!$K$60*'Assumptions &amp; Inputs'!$K$109/1000000, 0)))</f>
        <v>0</v>
      </c>
      <c r="AT118" s="75">
        <f>IF(YEAR('Assumptions &amp; Inputs'!$K$31)&gt;AT110, 0, IF(AT110=YEAR('Assumptions &amp; Inputs'!$K$31),('Assumptions &amp; Inputs'!$K$60*'Assumptions &amp; Inputs'!$K$109/1000000)*YEARFRAC('Assumptions &amp; Inputs'!$K$31,'Assumptions &amp; Inputs'!$K$32), IF(YEAR('Assumptions &amp; Inputs'!$K$36)&gt;=AT110, 'Assumptions &amp; Inputs'!$K$60*'Assumptions &amp; Inputs'!$K$109/1000000, 0)))</f>
        <v>0</v>
      </c>
      <c r="AU118" s="75">
        <f>IF(YEAR('Assumptions &amp; Inputs'!$K$31)&gt;AU110, 0, IF(AU110=YEAR('Assumptions &amp; Inputs'!$K$31),('Assumptions &amp; Inputs'!$K$60*'Assumptions &amp; Inputs'!$K$109/1000000)*YEARFRAC('Assumptions &amp; Inputs'!$K$31,'Assumptions &amp; Inputs'!$K$32), IF(YEAR('Assumptions &amp; Inputs'!$K$36)&gt;=AU110, 'Assumptions &amp; Inputs'!$K$60*'Assumptions &amp; Inputs'!$K$109/1000000, 0)))</f>
        <v>0</v>
      </c>
      <c r="AV118" s="75">
        <f>IF(YEAR('Assumptions &amp; Inputs'!$K$31)&gt;AV110, 0, IF(AV110=YEAR('Assumptions &amp; Inputs'!$K$31),('Assumptions &amp; Inputs'!$K$60*'Assumptions &amp; Inputs'!$K$109/1000000)*YEARFRAC('Assumptions &amp; Inputs'!$K$31,'Assumptions &amp; Inputs'!$K$32), IF(YEAR('Assumptions &amp; Inputs'!$K$36)&gt;=AV110, 'Assumptions &amp; Inputs'!$K$60*'Assumptions &amp; Inputs'!$K$109/1000000, 0)))</f>
        <v>0</v>
      </c>
      <c r="AW118" s="75">
        <f>IF(YEAR('Assumptions &amp; Inputs'!$K$31)&gt;AW110, 0, IF(AW110=YEAR('Assumptions &amp; Inputs'!$K$31),('Assumptions &amp; Inputs'!$K$60*'Assumptions &amp; Inputs'!$K$109/1000000)*YEARFRAC('Assumptions &amp; Inputs'!$K$31,'Assumptions &amp; Inputs'!$K$32), IF(YEAR('Assumptions &amp; Inputs'!$K$36)&gt;=AW110, 'Assumptions &amp; Inputs'!$K$60*'Assumptions &amp; Inputs'!$K$109/1000000, 0)))</f>
        <v>0</v>
      </c>
    </row>
    <row r="119" spans="3:49" ht="14.25" customHeight="1">
      <c r="C119" s="44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</row>
    <row r="120" spans="3:49" ht="14.25" customHeight="1">
      <c r="C120" s="44" t="s">
        <v>349</v>
      </c>
      <c r="D120" s="65">
        <f>D$118*'Assumptions &amp; Inputs'!$K156</f>
        <v>0</v>
      </c>
      <c r="E120" s="65">
        <f>E$118*'Assumptions &amp; Inputs'!$K156</f>
        <v>2.9801519999999998E-2</v>
      </c>
      <c r="F120" s="65">
        <f>F$118*'Assumptions &amp; Inputs'!$K156</f>
        <v>3.9735359999999997E-2</v>
      </c>
      <c r="G120" s="65">
        <f>G$118*'Assumptions &amp; Inputs'!$K156</f>
        <v>3.9735359999999997E-2</v>
      </c>
      <c r="H120" s="65">
        <f>H$118*'Assumptions &amp; Inputs'!$K156</f>
        <v>3.9735359999999997E-2</v>
      </c>
      <c r="I120" s="65">
        <f>I$118*'Assumptions &amp; Inputs'!$K156</f>
        <v>3.9735359999999997E-2</v>
      </c>
      <c r="J120" s="65">
        <f>J$118*'Assumptions &amp; Inputs'!$K156</f>
        <v>3.9735359999999997E-2</v>
      </c>
      <c r="K120" s="65">
        <f>K$118*'Assumptions &amp; Inputs'!$K156</f>
        <v>3.9735359999999997E-2</v>
      </c>
      <c r="L120" s="65">
        <f>L$118*'Assumptions &amp; Inputs'!$K156</f>
        <v>3.9735359999999997E-2</v>
      </c>
      <c r="M120" s="65">
        <f>M$118*'Assumptions &amp; Inputs'!$K156</f>
        <v>3.9735359999999997E-2</v>
      </c>
      <c r="N120" s="65">
        <f>N$118*'Assumptions &amp; Inputs'!$K156</f>
        <v>3.9735359999999997E-2</v>
      </c>
      <c r="O120" s="65">
        <f>O$118*'Assumptions &amp; Inputs'!$K156</f>
        <v>3.9735359999999997E-2</v>
      </c>
      <c r="P120" s="65">
        <f>P$118*'Assumptions &amp; Inputs'!$K156</f>
        <v>3.9735359999999997E-2</v>
      </c>
      <c r="Q120" s="65">
        <f>Q$118*'Assumptions &amp; Inputs'!$K156</f>
        <v>3.9735359999999997E-2</v>
      </c>
      <c r="R120" s="65">
        <f>R$118*'Assumptions &amp; Inputs'!$K156</f>
        <v>3.9735359999999997E-2</v>
      </c>
      <c r="S120" s="65">
        <f>S$118*'Assumptions &amp; Inputs'!$K156</f>
        <v>3.9735359999999997E-2</v>
      </c>
      <c r="T120" s="65">
        <f>T$118*'Assumptions &amp; Inputs'!$K156</f>
        <v>3.9735359999999997E-2</v>
      </c>
      <c r="U120" s="65">
        <f>U$118*'Assumptions &amp; Inputs'!$K156</f>
        <v>3.9735359999999997E-2</v>
      </c>
      <c r="V120" s="65">
        <f>V$118*'Assumptions &amp; Inputs'!$K156</f>
        <v>3.9735359999999997E-2</v>
      </c>
      <c r="W120" s="65">
        <f>W$118*'Assumptions &amp; Inputs'!$K156</f>
        <v>3.9735359999999997E-2</v>
      </c>
      <c r="X120" s="65">
        <f>X$118*'Assumptions &amp; Inputs'!$K156</f>
        <v>3.9735359999999997E-2</v>
      </c>
      <c r="Y120" s="65">
        <f>Y$118*'Assumptions &amp; Inputs'!$K156</f>
        <v>3.9735359999999997E-2</v>
      </c>
      <c r="Z120" s="65">
        <f>Z$118*'Assumptions &amp; Inputs'!$K156</f>
        <v>3.9735359999999997E-2</v>
      </c>
      <c r="AA120" s="65">
        <f>AA$118*'Assumptions &amp; Inputs'!$K156</f>
        <v>3.9735359999999997E-2</v>
      </c>
      <c r="AB120" s="65">
        <f>AB$118*'Assumptions &amp; Inputs'!$K156</f>
        <v>3.9735359999999997E-2</v>
      </c>
      <c r="AC120" s="65">
        <f>AC$118*'Assumptions &amp; Inputs'!$K156</f>
        <v>3.9735359999999997E-2</v>
      </c>
      <c r="AD120" s="65">
        <f>AD$118*'Assumptions &amp; Inputs'!$K156</f>
        <v>3.9735359999999997E-2</v>
      </c>
      <c r="AE120" s="65">
        <f>AE$118*'Assumptions &amp; Inputs'!$K156</f>
        <v>0</v>
      </c>
      <c r="AF120" s="65">
        <f>AF$118*'Assumptions &amp; Inputs'!$K156</f>
        <v>0</v>
      </c>
      <c r="AG120" s="65">
        <f>AG$118*'Assumptions &amp; Inputs'!$K156</f>
        <v>0</v>
      </c>
      <c r="AH120" s="65">
        <f>AH$118*'Assumptions &amp; Inputs'!$K156</f>
        <v>0</v>
      </c>
      <c r="AI120" s="65">
        <f>AI$118*'Assumptions &amp; Inputs'!$K156</f>
        <v>0</v>
      </c>
      <c r="AJ120" s="65">
        <f>AJ$118*'Assumptions &amp; Inputs'!$K156</f>
        <v>0</v>
      </c>
      <c r="AK120" s="65">
        <f>AK$118*'Assumptions &amp; Inputs'!$K156</f>
        <v>0</v>
      </c>
      <c r="AL120" s="65">
        <f>AL$118*'Assumptions &amp; Inputs'!$K156</f>
        <v>0</v>
      </c>
      <c r="AM120" s="65">
        <f>AM$118*'Assumptions &amp; Inputs'!$K156</f>
        <v>0</v>
      </c>
      <c r="AN120" s="65">
        <f>AN$118*'Assumptions &amp; Inputs'!$K156</f>
        <v>0</v>
      </c>
      <c r="AO120" s="65">
        <f>AO$118*'Assumptions &amp; Inputs'!$K156</f>
        <v>0</v>
      </c>
      <c r="AP120" s="65">
        <f>AP$118*'Assumptions &amp; Inputs'!$K156</f>
        <v>0</v>
      </c>
      <c r="AQ120" s="65">
        <f>AQ$118*'Assumptions &amp; Inputs'!$K156</f>
        <v>0</v>
      </c>
      <c r="AR120" s="65">
        <f>AR$118*'Assumptions &amp; Inputs'!$K156</f>
        <v>0</v>
      </c>
      <c r="AS120" s="65">
        <f>AS$118*'Assumptions &amp; Inputs'!$K156</f>
        <v>0</v>
      </c>
      <c r="AT120" s="65">
        <f>AT$118*'Assumptions &amp; Inputs'!$K156</f>
        <v>0</v>
      </c>
      <c r="AU120" s="65">
        <f>AU$118*'Assumptions &amp; Inputs'!$K156</f>
        <v>0</v>
      </c>
      <c r="AV120" s="65">
        <f>AV$118*'Assumptions &amp; Inputs'!$K156</f>
        <v>0</v>
      </c>
      <c r="AW120" s="65">
        <f>AW$118*'Assumptions &amp; Inputs'!$K156</f>
        <v>0</v>
      </c>
    </row>
    <row r="121" spans="3:49" ht="14.25" customHeight="1">
      <c r="C121" s="44" t="s">
        <v>350</v>
      </c>
      <c r="D121" s="65">
        <f>D$118*'Assumptions &amp; Inputs'!$K158</f>
        <v>0</v>
      </c>
      <c r="E121" s="65">
        <f>E$118*'Assumptions &amp; Inputs'!$K158</f>
        <v>2.9801519999999998E-2</v>
      </c>
      <c r="F121" s="65">
        <f>F$118*'Assumptions &amp; Inputs'!$K158</f>
        <v>3.9735359999999997E-2</v>
      </c>
      <c r="G121" s="65">
        <f>G$118*'Assumptions &amp; Inputs'!$K158</f>
        <v>3.9735359999999997E-2</v>
      </c>
      <c r="H121" s="65">
        <f>H$118*'Assumptions &amp; Inputs'!$K158</f>
        <v>3.9735359999999997E-2</v>
      </c>
      <c r="I121" s="65">
        <f>I$118*'Assumptions &amp; Inputs'!$K158</f>
        <v>3.9735359999999997E-2</v>
      </c>
      <c r="J121" s="65">
        <f>J$118*'Assumptions &amp; Inputs'!$K158</f>
        <v>3.9735359999999997E-2</v>
      </c>
      <c r="K121" s="65">
        <f>K$118*'Assumptions &amp; Inputs'!$K158</f>
        <v>3.9735359999999997E-2</v>
      </c>
      <c r="L121" s="65">
        <f>L$118*'Assumptions &amp; Inputs'!$K158</f>
        <v>3.9735359999999997E-2</v>
      </c>
      <c r="M121" s="65">
        <f>M$118*'Assumptions &amp; Inputs'!$K158</f>
        <v>3.9735359999999997E-2</v>
      </c>
      <c r="N121" s="65">
        <f>N$118*'Assumptions &amp; Inputs'!$K158</f>
        <v>3.9735359999999997E-2</v>
      </c>
      <c r="O121" s="65">
        <f>O$118*'Assumptions &amp; Inputs'!$K158</f>
        <v>3.9735359999999997E-2</v>
      </c>
      <c r="P121" s="65">
        <f>P$118*'Assumptions &amp; Inputs'!$K158</f>
        <v>3.9735359999999997E-2</v>
      </c>
      <c r="Q121" s="65">
        <f>Q$118*'Assumptions &amp; Inputs'!$K158</f>
        <v>3.9735359999999997E-2</v>
      </c>
      <c r="R121" s="65">
        <f>R$118*'Assumptions &amp; Inputs'!$K158</f>
        <v>3.9735359999999997E-2</v>
      </c>
      <c r="S121" s="65">
        <f>S$118*'Assumptions &amp; Inputs'!$K158</f>
        <v>3.9735359999999997E-2</v>
      </c>
      <c r="T121" s="65">
        <f>T$118*'Assumptions &amp; Inputs'!$K158</f>
        <v>3.9735359999999997E-2</v>
      </c>
      <c r="U121" s="65">
        <f>U$118*'Assumptions &amp; Inputs'!$K158</f>
        <v>3.9735359999999997E-2</v>
      </c>
      <c r="V121" s="65">
        <f>V$118*'Assumptions &amp; Inputs'!$K158</f>
        <v>3.9735359999999997E-2</v>
      </c>
      <c r="W121" s="65">
        <f>W$118*'Assumptions &amp; Inputs'!$K158</f>
        <v>3.9735359999999997E-2</v>
      </c>
      <c r="X121" s="65">
        <f>X$118*'Assumptions &amp; Inputs'!$K158</f>
        <v>3.9735359999999997E-2</v>
      </c>
      <c r="Y121" s="65">
        <f>Y$118*'Assumptions &amp; Inputs'!$K158</f>
        <v>3.9735359999999997E-2</v>
      </c>
      <c r="Z121" s="65">
        <f>Z$118*'Assumptions &amp; Inputs'!$K158</f>
        <v>3.9735359999999997E-2</v>
      </c>
      <c r="AA121" s="65">
        <f>AA$118*'Assumptions &amp; Inputs'!$K158</f>
        <v>3.9735359999999997E-2</v>
      </c>
      <c r="AB121" s="65">
        <f>AB$118*'Assumptions &amp; Inputs'!$K158</f>
        <v>3.9735359999999997E-2</v>
      </c>
      <c r="AC121" s="65">
        <f>AC$118*'Assumptions &amp; Inputs'!$K158</f>
        <v>3.9735359999999997E-2</v>
      </c>
      <c r="AD121" s="65">
        <f>AD$118*'Assumptions &amp; Inputs'!$K158</f>
        <v>3.9735359999999997E-2</v>
      </c>
      <c r="AE121" s="65">
        <f>AE$118*'Assumptions &amp; Inputs'!$K158</f>
        <v>0</v>
      </c>
      <c r="AF121" s="65">
        <f>AF$118*'Assumptions &amp; Inputs'!$K158</f>
        <v>0</v>
      </c>
      <c r="AG121" s="65">
        <f>AG$118*'Assumptions &amp; Inputs'!$K158</f>
        <v>0</v>
      </c>
      <c r="AH121" s="65">
        <f>AH$118*'Assumptions &amp; Inputs'!$K158</f>
        <v>0</v>
      </c>
      <c r="AI121" s="65">
        <f>AI$118*'Assumptions &amp; Inputs'!$K158</f>
        <v>0</v>
      </c>
      <c r="AJ121" s="65">
        <f>AJ$118*'Assumptions &amp; Inputs'!$K158</f>
        <v>0</v>
      </c>
      <c r="AK121" s="65">
        <f>AK$118*'Assumptions &amp; Inputs'!$K158</f>
        <v>0</v>
      </c>
      <c r="AL121" s="65">
        <f>AL$118*'Assumptions &amp; Inputs'!$K158</f>
        <v>0</v>
      </c>
      <c r="AM121" s="65">
        <f>AM$118*'Assumptions &amp; Inputs'!$K158</f>
        <v>0</v>
      </c>
      <c r="AN121" s="65">
        <f>AN$118*'Assumptions &amp; Inputs'!$K158</f>
        <v>0</v>
      </c>
      <c r="AO121" s="65">
        <f>AO$118*'Assumptions &amp; Inputs'!$K158</f>
        <v>0</v>
      </c>
      <c r="AP121" s="65">
        <f>AP$118*'Assumptions &amp; Inputs'!$K158</f>
        <v>0</v>
      </c>
      <c r="AQ121" s="65">
        <f>AQ$118*'Assumptions &amp; Inputs'!$K158</f>
        <v>0</v>
      </c>
      <c r="AR121" s="65">
        <f>AR$118*'Assumptions &amp; Inputs'!$K158</f>
        <v>0</v>
      </c>
      <c r="AS121" s="65">
        <f>AS$118*'Assumptions &amp; Inputs'!$K158</f>
        <v>0</v>
      </c>
      <c r="AT121" s="65">
        <f>AT$118*'Assumptions &amp; Inputs'!$K158</f>
        <v>0</v>
      </c>
      <c r="AU121" s="65">
        <f>AU$118*'Assumptions &amp; Inputs'!$K158</f>
        <v>0</v>
      </c>
      <c r="AV121" s="65">
        <f>AV$118*'Assumptions &amp; Inputs'!$K158</f>
        <v>0</v>
      </c>
      <c r="AW121" s="65">
        <f>AW$118*'Assumptions &amp; Inputs'!$K158</f>
        <v>0</v>
      </c>
    </row>
    <row r="122" spans="3:49" ht="14.25" customHeight="1">
      <c r="C122" s="44" t="s">
        <v>538</v>
      </c>
      <c r="D122" s="65">
        <f>D$118*'Assumptions &amp; Inputs'!$K160</f>
        <v>0</v>
      </c>
      <c r="E122" s="65">
        <f>E$118*'Assumptions &amp; Inputs'!$K160</f>
        <v>6.6225599999999996E-3</v>
      </c>
      <c r="F122" s="65">
        <f>F$118*'Assumptions &amp; Inputs'!$K160</f>
        <v>8.8300799999999988E-3</v>
      </c>
      <c r="G122" s="65">
        <f>G$118*'Assumptions &amp; Inputs'!$K160</f>
        <v>8.8300799999999988E-3</v>
      </c>
      <c r="H122" s="65">
        <f>H$118*'Assumptions &amp; Inputs'!$K160</f>
        <v>8.8300799999999988E-3</v>
      </c>
      <c r="I122" s="65">
        <f>I$118*'Assumptions &amp; Inputs'!$K160</f>
        <v>8.8300799999999988E-3</v>
      </c>
      <c r="J122" s="65">
        <f>J$118*'Assumptions &amp; Inputs'!$K160</f>
        <v>8.8300799999999988E-3</v>
      </c>
      <c r="K122" s="65">
        <f>K$118*'Assumptions &amp; Inputs'!$K160</f>
        <v>8.8300799999999988E-3</v>
      </c>
      <c r="L122" s="65">
        <f>L$118*'Assumptions &amp; Inputs'!$K160</f>
        <v>8.8300799999999988E-3</v>
      </c>
      <c r="M122" s="65">
        <f>M$118*'Assumptions &amp; Inputs'!$K160</f>
        <v>8.8300799999999988E-3</v>
      </c>
      <c r="N122" s="65">
        <f>N$118*'Assumptions &amp; Inputs'!$K160</f>
        <v>8.8300799999999988E-3</v>
      </c>
      <c r="O122" s="65">
        <f>O$118*'Assumptions &amp; Inputs'!$K160</f>
        <v>8.8300799999999988E-3</v>
      </c>
      <c r="P122" s="65">
        <f>P$118*'Assumptions &amp; Inputs'!$K160</f>
        <v>8.8300799999999988E-3</v>
      </c>
      <c r="Q122" s="65">
        <f>Q$118*'Assumptions &amp; Inputs'!$K160</f>
        <v>8.8300799999999988E-3</v>
      </c>
      <c r="R122" s="65">
        <f>R$118*'Assumptions &amp; Inputs'!$K160</f>
        <v>8.8300799999999988E-3</v>
      </c>
      <c r="S122" s="65">
        <f>S$118*'Assumptions &amp; Inputs'!$K160</f>
        <v>8.8300799999999988E-3</v>
      </c>
      <c r="T122" s="65">
        <f>T$118*'Assumptions &amp; Inputs'!$K160</f>
        <v>8.8300799999999988E-3</v>
      </c>
      <c r="U122" s="65">
        <f>U$118*'Assumptions &amp; Inputs'!$K160</f>
        <v>8.8300799999999988E-3</v>
      </c>
      <c r="V122" s="65">
        <f>V$118*'Assumptions &amp; Inputs'!$K160</f>
        <v>8.8300799999999988E-3</v>
      </c>
      <c r="W122" s="65">
        <f>W$118*'Assumptions &amp; Inputs'!$K160</f>
        <v>8.8300799999999988E-3</v>
      </c>
      <c r="X122" s="65">
        <f>X$118*'Assumptions &amp; Inputs'!$K160</f>
        <v>8.8300799999999988E-3</v>
      </c>
      <c r="Y122" s="65">
        <f>Y$118*'Assumptions &amp; Inputs'!$K160</f>
        <v>8.8300799999999988E-3</v>
      </c>
      <c r="Z122" s="65">
        <f>Z$118*'Assumptions &amp; Inputs'!$K160</f>
        <v>8.8300799999999988E-3</v>
      </c>
      <c r="AA122" s="65">
        <f>AA$118*'Assumptions &amp; Inputs'!$K160</f>
        <v>8.8300799999999988E-3</v>
      </c>
      <c r="AB122" s="65">
        <f>AB$118*'Assumptions &amp; Inputs'!$K160</f>
        <v>8.8300799999999988E-3</v>
      </c>
      <c r="AC122" s="65">
        <f>AC$118*'Assumptions &amp; Inputs'!$K160</f>
        <v>8.8300799999999988E-3</v>
      </c>
      <c r="AD122" s="65">
        <f>AD$118*'Assumptions &amp; Inputs'!$K160</f>
        <v>8.8300799999999988E-3</v>
      </c>
      <c r="AE122" s="65">
        <f>AE$118*'Assumptions &amp; Inputs'!$K160</f>
        <v>0</v>
      </c>
      <c r="AF122" s="65">
        <f>AF$118*'Assumptions &amp; Inputs'!$K160</f>
        <v>0</v>
      </c>
      <c r="AG122" s="65">
        <f>AG$118*'Assumptions &amp; Inputs'!$K160</f>
        <v>0</v>
      </c>
      <c r="AH122" s="65">
        <f>AH$118*'Assumptions &amp; Inputs'!$K160</f>
        <v>0</v>
      </c>
      <c r="AI122" s="65">
        <f>AI$118*'Assumptions &amp; Inputs'!$K160</f>
        <v>0</v>
      </c>
      <c r="AJ122" s="65">
        <f>AJ$118*'Assumptions &amp; Inputs'!$K160</f>
        <v>0</v>
      </c>
      <c r="AK122" s="65">
        <f>AK$118*'Assumptions &amp; Inputs'!$K160</f>
        <v>0</v>
      </c>
      <c r="AL122" s="65">
        <f>AL$118*'Assumptions &amp; Inputs'!$K160</f>
        <v>0</v>
      </c>
      <c r="AM122" s="65">
        <f>AM$118*'Assumptions &amp; Inputs'!$K160</f>
        <v>0</v>
      </c>
      <c r="AN122" s="65">
        <f>AN$118*'Assumptions &amp; Inputs'!$K160</f>
        <v>0</v>
      </c>
      <c r="AO122" s="65">
        <f>AO$118*'Assumptions &amp; Inputs'!$K160</f>
        <v>0</v>
      </c>
      <c r="AP122" s="65">
        <f>AP$118*'Assumptions &amp; Inputs'!$K160</f>
        <v>0</v>
      </c>
      <c r="AQ122" s="65">
        <f>AQ$118*'Assumptions &amp; Inputs'!$K160</f>
        <v>0</v>
      </c>
      <c r="AR122" s="65">
        <f>AR$118*'Assumptions &amp; Inputs'!$K160</f>
        <v>0</v>
      </c>
      <c r="AS122" s="65">
        <f>AS$118*'Assumptions &amp; Inputs'!$K160</f>
        <v>0</v>
      </c>
      <c r="AT122" s="65">
        <f>AT$118*'Assumptions &amp; Inputs'!$K160</f>
        <v>0</v>
      </c>
      <c r="AU122" s="65">
        <f>AU$118*'Assumptions &amp; Inputs'!$K160</f>
        <v>0</v>
      </c>
      <c r="AV122" s="65">
        <f>AV$118*'Assumptions &amp; Inputs'!$K160</f>
        <v>0</v>
      </c>
      <c r="AW122" s="65">
        <f>AW$118*'Assumptions &amp; Inputs'!$K160</f>
        <v>0</v>
      </c>
    </row>
    <row r="123" spans="3:49" ht="14.25" customHeight="1">
      <c r="C123" s="44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</row>
    <row r="124" spans="3:49" ht="14.25" customHeight="1">
      <c r="C124" s="48" t="s">
        <v>539</v>
      </c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</row>
    <row r="125" spans="3:49" ht="14.25" customHeight="1">
      <c r="C125" s="44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</row>
    <row r="126" spans="3:49" ht="14.25" customHeight="1">
      <c r="C126" s="44" t="s">
        <v>349</v>
      </c>
      <c r="D126" s="65">
        <f>IF(D120=0,0,D120*'Assumptions &amp; Inputs'!$K170)</f>
        <v>0</v>
      </c>
      <c r="E126" s="65">
        <f>IF(E118=0,0,E118*'Assumptions &amp; Inputs'!$K170*(1+'Assumptions &amp; Inputs'!$K$21)^E108)</f>
        <v>81.060134399999995</v>
      </c>
      <c r="F126" s="65">
        <f>IF(F118=0,0,F118*'Assumptions &amp; Inputs'!$K170*(1+'Assumptions &amp; Inputs'!$K$21)^F108)</f>
        <v>110.24178278399998</v>
      </c>
      <c r="G126" s="65">
        <f>IF(G118=0,0,G118*'Assumptions &amp; Inputs'!$K170*(1+'Assumptions &amp; Inputs'!$K$21)^G108)</f>
        <v>112.44661843967998</v>
      </c>
      <c r="H126" s="65">
        <f>IF(H118=0,0,H118*'Assumptions &amp; Inputs'!$K170*(1+'Assumptions &amp; Inputs'!$K$21)^H108)</f>
        <v>114.69555080847358</v>
      </c>
      <c r="I126" s="65">
        <f>IF(I118=0,0,I118*'Assumptions &amp; Inputs'!$K170*(1+'Assumptions &amp; Inputs'!$K$21)^I108)</f>
        <v>116.98946182464306</v>
      </c>
      <c r="J126" s="65">
        <f>IF(J118=0,0,J118*'Assumptions &amp; Inputs'!$K170*(1+'Assumptions &amp; Inputs'!$K$21)^J108)</f>
        <v>119.32925106113592</v>
      </c>
      <c r="K126" s="65">
        <f>IF(K118=0,0,K118*'Assumptions &amp; Inputs'!$K170*(1+'Assumptions &amp; Inputs'!$K$21)^K108)</f>
        <v>121.71583608235862</v>
      </c>
      <c r="L126" s="65">
        <f>IF(L118=0,0,L118*'Assumptions &amp; Inputs'!$K170*(1+'Assumptions &amp; Inputs'!$K$21)^L108)</f>
        <v>124.1501528040058</v>
      </c>
      <c r="M126" s="65">
        <f>IF(M118=0,0,M118*'Assumptions &amp; Inputs'!$K170*(1+'Assumptions &amp; Inputs'!$K$21)^M108)</f>
        <v>126.63315586008592</v>
      </c>
      <c r="N126" s="65">
        <f>IF(N118=0,0,N118*'Assumptions &amp; Inputs'!$K170*(1+'Assumptions &amp; Inputs'!$K$21)^N108)</f>
        <v>129.16581897728764</v>
      </c>
      <c r="O126" s="65">
        <f>IF(O118=0,0,O118*'Assumptions &amp; Inputs'!$K170*(1+'Assumptions &amp; Inputs'!$K$21)^O108)</f>
        <v>131.74913535683336</v>
      </c>
      <c r="P126" s="65">
        <f>IF(P118=0,0,P118*'Assumptions &amp; Inputs'!$K170*(1+'Assumptions &amp; Inputs'!$K$21)^P108)</f>
        <v>134.38411806397005</v>
      </c>
      <c r="Q126" s="65">
        <f>IF(Q118=0,0,Q118*'Assumptions &amp; Inputs'!$K170*(1+'Assumptions &amp; Inputs'!$K$21)^Q108)</f>
        <v>137.07180042524945</v>
      </c>
      <c r="R126" s="65">
        <f>IF(R118=0,0,R118*'Assumptions &amp; Inputs'!$K170*(1+'Assumptions &amp; Inputs'!$K$21)^R108)</f>
        <v>139.81323643375447</v>
      </c>
      <c r="S126" s="65">
        <f>IF(S118=0,0,S118*'Assumptions &amp; Inputs'!$K170*(1+'Assumptions &amp; Inputs'!$K$21)^S108)</f>
        <v>142.6095011624295</v>
      </c>
      <c r="T126" s="65">
        <f>IF(T118=0,0,T118*'Assumptions &amp; Inputs'!$K170*(1+'Assumptions &amp; Inputs'!$K$21)^T108)</f>
        <v>145.46169118567812</v>
      </c>
      <c r="U126" s="65">
        <f>IF(U118=0,0,U118*'Assumptions &amp; Inputs'!$K170*(1+'Assumptions &amp; Inputs'!$K$21)^U108)</f>
        <v>148.3709250093917</v>
      </c>
      <c r="V126" s="65">
        <f>IF(V118=0,0,V118*'Assumptions &amp; Inputs'!$K170*(1+'Assumptions &amp; Inputs'!$K$21)^V108)</f>
        <v>151.33834350957952</v>
      </c>
      <c r="W126" s="65">
        <f>IF(W118=0,0,W118*'Assumptions &amp; Inputs'!$K170*(1+'Assumptions &amp; Inputs'!$K$21)^W108)</f>
        <v>154.3651103797711</v>
      </c>
      <c r="X126" s="65">
        <f>IF(X118=0,0,X118*'Assumptions &amp; Inputs'!$K170*(1+'Assumptions &amp; Inputs'!$K$21)^X108)</f>
        <v>157.45241258736652</v>
      </c>
      <c r="Y126" s="65">
        <f>IF(Y118=0,0,Y118*'Assumptions &amp; Inputs'!$K170*(1+'Assumptions &amp; Inputs'!$K$21)^Y108)</f>
        <v>160.60146083911386</v>
      </c>
      <c r="Z126" s="65">
        <f>IF(Z118=0,0,Z118*'Assumptions &amp; Inputs'!$K170*(1+'Assumptions &amp; Inputs'!$K$21)^Z108)</f>
        <v>163.81349005589612</v>
      </c>
      <c r="AA126" s="65">
        <f>IF(AA118=0,0,AA118*'Assumptions &amp; Inputs'!$K170*(1+'Assumptions &amp; Inputs'!$K$21)^AA108)</f>
        <v>167.08975985701403</v>
      </c>
      <c r="AB126" s="65">
        <f>IF(AB118=0,0,AB118*'Assumptions &amp; Inputs'!$K170*(1+'Assumptions &amp; Inputs'!$K$21)^AB108)</f>
        <v>170.43155505415433</v>
      </c>
      <c r="AC126" s="65">
        <f>IF(AC118=0,0,AC118*'Assumptions &amp; Inputs'!$K170*(1+'Assumptions &amp; Inputs'!$K$21)^AC108)</f>
        <v>173.8401861552374</v>
      </c>
      <c r="AD126" s="65">
        <f>IF(AD118=0,0,AD118*'Assumptions &amp; Inputs'!$K170*(1+'Assumptions &amp; Inputs'!$K$21)^AD108)</f>
        <v>177.31698987834218</v>
      </c>
      <c r="AE126" s="65">
        <f>IF(AE118=0,0,AE118*'Assumptions &amp; Inputs'!$K170*(1+'Assumptions &amp; Inputs'!$K$21)^AE108)</f>
        <v>0</v>
      </c>
      <c r="AF126" s="65">
        <f>IF(AF118=0,0,AF118*'Assumptions &amp; Inputs'!$K170*(1+'Assumptions &amp; Inputs'!$K$21)^AF108)</f>
        <v>0</v>
      </c>
      <c r="AG126" s="65">
        <f>IF(AG118=0,0,AG118*'Assumptions &amp; Inputs'!$K170*(1+'Assumptions &amp; Inputs'!$K$21)^AG108)</f>
        <v>0</v>
      </c>
      <c r="AH126" s="65">
        <f>IF(AH118=0,0,AH118*'Assumptions &amp; Inputs'!$K170*(1+'Assumptions &amp; Inputs'!$K$21)^AH108)</f>
        <v>0</v>
      </c>
      <c r="AI126" s="65">
        <f>IF(AI118=0,0,AI118*'Assumptions &amp; Inputs'!$K170*(1+'Assumptions &amp; Inputs'!$K$21)^AI108)</f>
        <v>0</v>
      </c>
      <c r="AJ126" s="65">
        <f>IF(AJ118=0,0,AJ118*'Assumptions &amp; Inputs'!$K170*(1+'Assumptions &amp; Inputs'!$K$21)^AJ108)</f>
        <v>0</v>
      </c>
      <c r="AK126" s="65">
        <f>IF(AK118=0,0,AK118*'Assumptions &amp; Inputs'!$K170*(1+'Assumptions &amp; Inputs'!$K$21)^AK108)</f>
        <v>0</v>
      </c>
      <c r="AL126" s="65">
        <f>IF(AL118=0,0,AL118*'Assumptions &amp; Inputs'!$K170*(1+'Assumptions &amp; Inputs'!$K$21)^AL108)</f>
        <v>0</v>
      </c>
      <c r="AM126" s="65">
        <f>IF(AM118=0,0,AM118*'Assumptions &amp; Inputs'!$K170*(1+'Assumptions &amp; Inputs'!$K$21)^AM108)</f>
        <v>0</v>
      </c>
      <c r="AN126" s="65">
        <f>IF(AN118=0,0,AN118*'Assumptions &amp; Inputs'!$K170*(1+'Assumptions &amp; Inputs'!$K$21)^AN108)</f>
        <v>0</v>
      </c>
      <c r="AO126" s="65">
        <f>IF(AO118=0,0,AO118*'Assumptions &amp; Inputs'!$K170*(1+'Assumptions &amp; Inputs'!$K$21)^AO108)</f>
        <v>0</v>
      </c>
      <c r="AP126" s="65">
        <f>IF(AP118=0,0,AP118*'Assumptions &amp; Inputs'!$K170*(1+'Assumptions &amp; Inputs'!$K$21)^AP108)</f>
        <v>0</v>
      </c>
      <c r="AQ126" s="65">
        <f>IF(AQ118=0,0,AQ118*'Assumptions &amp; Inputs'!$K170*(1+'Assumptions &amp; Inputs'!$K$21)^AQ108)</f>
        <v>0</v>
      </c>
      <c r="AR126" s="65">
        <f>IF(AR118=0,0,AR118*'Assumptions &amp; Inputs'!$K170*(1+'Assumptions &amp; Inputs'!$K$21)^AR108)</f>
        <v>0</v>
      </c>
      <c r="AS126" s="65">
        <f>IF(AS118=0,0,AS118*'Assumptions &amp; Inputs'!$K170*(1+'Assumptions &amp; Inputs'!$K$21)^AS108)</f>
        <v>0</v>
      </c>
      <c r="AT126" s="65">
        <f>IF(AT118=0,0,AT118*'Assumptions &amp; Inputs'!$K170*(1+'Assumptions &amp; Inputs'!$K$21)^AT108)</f>
        <v>0</v>
      </c>
      <c r="AU126" s="65">
        <f>IF(AU118=0,0,AU118*'Assumptions &amp; Inputs'!$K170*(1+'Assumptions &amp; Inputs'!$K$21)^AU108)</f>
        <v>0</v>
      </c>
      <c r="AV126" s="65">
        <f>IF(AV118=0,0,AV118*'Assumptions &amp; Inputs'!$K170*(1+'Assumptions &amp; Inputs'!$K$21)^AV108)</f>
        <v>0</v>
      </c>
      <c r="AW126" s="65">
        <f>IF(AW118=0,0,AW118*'Assumptions &amp; Inputs'!$K170*(1+'Assumptions &amp; Inputs'!$K$21)^AW108)</f>
        <v>0</v>
      </c>
    </row>
    <row r="127" spans="3:49" ht="14.25" customHeight="1">
      <c r="C127" s="44" t="s">
        <v>350</v>
      </c>
      <c r="D127" s="65">
        <f>IF(D121=0,0,D121*'Assumptions &amp; Inputs'!$K171)</f>
        <v>0</v>
      </c>
      <c r="E127" s="65">
        <f>IF(E118=0,0,E118*'Assumptions &amp; Inputs'!$K171*(1+'Assumptions &amp; Inputs'!$K$21))</f>
        <v>30.397550399999997</v>
      </c>
      <c r="F127" s="65">
        <f>IF(F118=0,0,F118*'Assumptions &amp; Inputs'!$K171*(1+'Assumptions &amp; Inputs'!$K$21))</f>
        <v>40.530067199999991</v>
      </c>
      <c r="G127" s="65">
        <f>IF(G118=0,0,G118*'Assumptions &amp; Inputs'!$K171*(1+'Assumptions &amp; Inputs'!$K$21))</f>
        <v>40.530067199999991</v>
      </c>
      <c r="H127" s="65">
        <f>IF(H118=0,0,H118*'Assumptions &amp; Inputs'!$K171*(1+'Assumptions &amp; Inputs'!$K$21))</f>
        <v>40.530067199999991</v>
      </c>
      <c r="I127" s="65">
        <f>IF(I118=0,0,I118*'Assumptions &amp; Inputs'!$K171*(1+'Assumptions &amp; Inputs'!$K$21))</f>
        <v>40.530067199999991</v>
      </c>
      <c r="J127" s="65">
        <f>IF(J118=0,0,J118*'Assumptions &amp; Inputs'!$K171*(1+'Assumptions &amp; Inputs'!$K$21))</f>
        <v>40.530067199999991</v>
      </c>
      <c r="K127" s="65">
        <f>IF(K118=0,0,K118*'Assumptions &amp; Inputs'!$K171*(1+'Assumptions &amp; Inputs'!$K$21))</f>
        <v>40.530067199999991</v>
      </c>
      <c r="L127" s="65">
        <f>IF(L118=0,0,L118*'Assumptions &amp; Inputs'!$K171*(1+'Assumptions &amp; Inputs'!$K$21))</f>
        <v>40.530067199999991</v>
      </c>
      <c r="M127" s="65">
        <f>IF(M118=0,0,M118*'Assumptions &amp; Inputs'!$K171*(1+'Assumptions &amp; Inputs'!$K$21))</f>
        <v>40.530067199999991</v>
      </c>
      <c r="N127" s="65">
        <f>IF(N118=0,0,N118*'Assumptions &amp; Inputs'!$K171*(1+'Assumptions &amp; Inputs'!$K$21))</f>
        <v>40.530067199999991</v>
      </c>
      <c r="O127" s="65">
        <f>IF(O118=0,0,O118*'Assumptions &amp; Inputs'!$K171*(1+'Assumptions &amp; Inputs'!$K$21))</f>
        <v>40.530067199999991</v>
      </c>
      <c r="P127" s="65">
        <f>IF(P118=0,0,P118*'Assumptions &amp; Inputs'!$K171*(1+'Assumptions &amp; Inputs'!$K$21))</f>
        <v>40.530067199999991</v>
      </c>
      <c r="Q127" s="65">
        <f>IF(Q118=0,0,Q118*'Assumptions &amp; Inputs'!$K171*(1+'Assumptions &amp; Inputs'!$K$21))</f>
        <v>40.530067199999991</v>
      </c>
      <c r="R127" s="65">
        <f>IF(R118=0,0,R118*'Assumptions &amp; Inputs'!$K171*(1+'Assumptions &amp; Inputs'!$K$21))</f>
        <v>40.530067199999991</v>
      </c>
      <c r="S127" s="65">
        <f>IF(S118=0,0,S118*'Assumptions &amp; Inputs'!$K171*(1+'Assumptions &amp; Inputs'!$K$21))</f>
        <v>40.530067199999991</v>
      </c>
      <c r="T127" s="65">
        <f>IF(T118=0,0,T118*'Assumptions &amp; Inputs'!$K171*(1+'Assumptions &amp; Inputs'!$K$21))</f>
        <v>40.530067199999991</v>
      </c>
      <c r="U127" s="65">
        <f>IF(U118=0,0,U118*'Assumptions &amp; Inputs'!$K171*(1+'Assumptions &amp; Inputs'!$K$21))</f>
        <v>40.530067199999991</v>
      </c>
      <c r="V127" s="65">
        <f>IF(V118=0,0,V118*'Assumptions &amp; Inputs'!$K171*(1+'Assumptions &amp; Inputs'!$K$21))</f>
        <v>40.530067199999991</v>
      </c>
      <c r="W127" s="65">
        <f>IF(W118=0,0,W118*'Assumptions &amp; Inputs'!$K171*(1+'Assumptions &amp; Inputs'!$K$21))</f>
        <v>40.530067199999991</v>
      </c>
      <c r="X127" s="65">
        <f>IF(X118=0,0,X118*'Assumptions &amp; Inputs'!$K171*(1+'Assumptions &amp; Inputs'!$K$21))</f>
        <v>40.530067199999991</v>
      </c>
      <c r="Y127" s="65">
        <f>IF(Y118=0,0,Y118*'Assumptions &amp; Inputs'!$K171*(1+'Assumptions &amp; Inputs'!$K$21))</f>
        <v>40.530067199999991</v>
      </c>
      <c r="Z127" s="65">
        <f>IF(Z118=0,0,Z118*'Assumptions &amp; Inputs'!$K171*(1+'Assumptions &amp; Inputs'!$K$21))</f>
        <v>40.530067199999991</v>
      </c>
      <c r="AA127" s="65">
        <f>IF(AA118=0,0,AA118*'Assumptions &amp; Inputs'!$K171*(1+'Assumptions &amp; Inputs'!$K$21))</f>
        <v>40.530067199999991</v>
      </c>
      <c r="AB127" s="65">
        <f>IF(AB118=0,0,AB118*'Assumptions &amp; Inputs'!$K171*(1+'Assumptions &amp; Inputs'!$K$21))</f>
        <v>40.530067199999991</v>
      </c>
      <c r="AC127" s="65">
        <f>IF(AC118=0,0,AC118*'Assumptions &amp; Inputs'!$K171*(1+'Assumptions &amp; Inputs'!$K$21))</f>
        <v>40.530067199999991</v>
      </c>
      <c r="AD127" s="65">
        <f>IF(AD118=0,0,AD118*'Assumptions &amp; Inputs'!$K171*(1+'Assumptions &amp; Inputs'!$K$21))</f>
        <v>40.530067199999991</v>
      </c>
      <c r="AE127" s="65">
        <f>IF(AE118=0,0,AE118*'Assumptions &amp; Inputs'!$K171*(1+'Assumptions &amp; Inputs'!$K$21))</f>
        <v>0</v>
      </c>
      <c r="AF127" s="65">
        <f>IF(AF118=0,0,AF118*'Assumptions &amp; Inputs'!$K171*(1+'Assumptions &amp; Inputs'!$K$21))</f>
        <v>0</v>
      </c>
      <c r="AG127" s="65">
        <f>IF(AG118=0,0,AG118*'Assumptions &amp; Inputs'!$K171*(1+'Assumptions &amp; Inputs'!$K$21))</f>
        <v>0</v>
      </c>
      <c r="AH127" s="65">
        <f>IF(AH118=0,0,AH118*'Assumptions &amp; Inputs'!$K171*(1+'Assumptions &amp; Inputs'!$K$21))</f>
        <v>0</v>
      </c>
      <c r="AI127" s="65">
        <f>IF(AI118=0,0,AI118*'Assumptions &amp; Inputs'!$K171*(1+'Assumptions &amp; Inputs'!$K$21))</f>
        <v>0</v>
      </c>
      <c r="AJ127" s="65">
        <f>IF(AJ118=0,0,AJ118*'Assumptions &amp; Inputs'!$K171*(1+'Assumptions &amp; Inputs'!$K$21))</f>
        <v>0</v>
      </c>
      <c r="AK127" s="65">
        <f>IF(AK118=0,0,AK118*'Assumptions &amp; Inputs'!$K171*(1+'Assumptions &amp; Inputs'!$K$21))</f>
        <v>0</v>
      </c>
      <c r="AL127" s="65">
        <f>IF(AL118=0,0,AL118*'Assumptions &amp; Inputs'!$K171*(1+'Assumptions &amp; Inputs'!$K$21))</f>
        <v>0</v>
      </c>
      <c r="AM127" s="65">
        <f>IF(AM118=0,0,AM118*'Assumptions &amp; Inputs'!$K171*(1+'Assumptions &amp; Inputs'!$K$21))</f>
        <v>0</v>
      </c>
      <c r="AN127" s="65">
        <f>IF(AN118=0,0,AN118*'Assumptions &amp; Inputs'!$K171*(1+'Assumptions &amp; Inputs'!$K$21))</f>
        <v>0</v>
      </c>
      <c r="AO127" s="65">
        <f>IF(AO118=0,0,AO118*'Assumptions &amp; Inputs'!$K171*(1+'Assumptions &amp; Inputs'!$K$21))</f>
        <v>0</v>
      </c>
      <c r="AP127" s="65">
        <f>IF(AP118=0,0,AP118*'Assumptions &amp; Inputs'!$K171*(1+'Assumptions &amp; Inputs'!$K$21))</f>
        <v>0</v>
      </c>
      <c r="AQ127" s="65">
        <f>IF(AQ118=0,0,AQ118*'Assumptions &amp; Inputs'!$K171*(1+'Assumptions &amp; Inputs'!$K$21))</f>
        <v>0</v>
      </c>
      <c r="AR127" s="65">
        <f>IF(AR118=0,0,AR118*'Assumptions &amp; Inputs'!$K171*(1+'Assumptions &amp; Inputs'!$K$21))</f>
        <v>0</v>
      </c>
      <c r="AS127" s="65">
        <f>IF(AS118=0,0,AS118*'Assumptions &amp; Inputs'!$K171*(1+'Assumptions &amp; Inputs'!$K$21))</f>
        <v>0</v>
      </c>
      <c r="AT127" s="65">
        <f>IF(AT118=0,0,AT118*'Assumptions &amp; Inputs'!$K171*(1+'Assumptions &amp; Inputs'!$K$21))</f>
        <v>0</v>
      </c>
      <c r="AU127" s="65">
        <f>IF(AU118=0,0,AU118*'Assumptions &amp; Inputs'!$K171*(1+'Assumptions &amp; Inputs'!$K$21))</f>
        <v>0</v>
      </c>
      <c r="AV127" s="65">
        <f>IF(AV118=0,0,AV118*'Assumptions &amp; Inputs'!$K171*(1+'Assumptions &amp; Inputs'!$K$21))</f>
        <v>0</v>
      </c>
      <c r="AW127" s="65">
        <f>IF(AW118=0,0,AW118*'Assumptions &amp; Inputs'!$K171*(1+'Assumptions &amp; Inputs'!$K$21))</f>
        <v>0</v>
      </c>
    </row>
    <row r="128" spans="3:49" ht="14.25" customHeight="1">
      <c r="C128" s="44" t="s">
        <v>538</v>
      </c>
      <c r="D128" s="65">
        <f>IF(D122=0,0,D122*'Assumptions &amp; Inputs'!$K172)</f>
        <v>0</v>
      </c>
      <c r="E128" s="65">
        <f>IF(E118=0,0,E118*'Assumptions &amp; Inputs'!$K172*(1+'Assumptions &amp; Inputs'!$K$21))</f>
        <v>0.89146820809248561</v>
      </c>
      <c r="F128" s="65">
        <f>IF(F118=0,0,F118*'Assumptions &amp; Inputs'!$K172*(1+'Assumptions &amp; Inputs'!$K$21))</f>
        <v>1.1886242774566473</v>
      </c>
      <c r="G128" s="65">
        <f>IF(G118=0,0,G118*'Assumptions &amp; Inputs'!$K172*(1+'Assumptions &amp; Inputs'!$K$21))</f>
        <v>1.1886242774566473</v>
      </c>
      <c r="H128" s="65">
        <f>IF(H118=0,0,H118*'Assumptions &amp; Inputs'!$K172*(1+'Assumptions &amp; Inputs'!$K$21))</f>
        <v>1.1886242774566473</v>
      </c>
      <c r="I128" s="65">
        <f>IF(I118=0,0,I118*'Assumptions &amp; Inputs'!$K172*(1+'Assumptions &amp; Inputs'!$K$21))</f>
        <v>1.1886242774566473</v>
      </c>
      <c r="J128" s="65">
        <f>IF(J118=0,0,J118*'Assumptions &amp; Inputs'!$K172*(1+'Assumptions &amp; Inputs'!$K$21))</f>
        <v>1.1886242774566473</v>
      </c>
      <c r="K128" s="65">
        <f>IF(K118=0,0,K118*'Assumptions &amp; Inputs'!$K172*(1+'Assumptions &amp; Inputs'!$K$21))</f>
        <v>1.1886242774566473</v>
      </c>
      <c r="L128" s="65">
        <f>IF(L118=0,0,L118*'Assumptions &amp; Inputs'!$K172*(1+'Assumptions &amp; Inputs'!$K$21))</f>
        <v>1.1886242774566473</v>
      </c>
      <c r="M128" s="65">
        <f>IF(M118=0,0,M118*'Assumptions &amp; Inputs'!$K172*(1+'Assumptions &amp; Inputs'!$K$21))</f>
        <v>1.1886242774566473</v>
      </c>
      <c r="N128" s="65">
        <f>IF(N118=0,0,N118*'Assumptions &amp; Inputs'!$K172*(1+'Assumptions &amp; Inputs'!$K$21))</f>
        <v>1.1886242774566473</v>
      </c>
      <c r="O128" s="65">
        <f>IF(O118=0,0,O118*'Assumptions &amp; Inputs'!$K172*(1+'Assumptions &amp; Inputs'!$K$21))</f>
        <v>1.1886242774566473</v>
      </c>
      <c r="P128" s="65">
        <f>IF(P118=0,0,P118*'Assumptions &amp; Inputs'!$K172*(1+'Assumptions &amp; Inputs'!$K$21))</f>
        <v>1.1886242774566473</v>
      </c>
      <c r="Q128" s="65">
        <f>IF(Q118=0,0,Q118*'Assumptions &amp; Inputs'!$K172*(1+'Assumptions &amp; Inputs'!$K$21))</f>
        <v>1.1886242774566473</v>
      </c>
      <c r="R128" s="65">
        <f>IF(R118=0,0,R118*'Assumptions &amp; Inputs'!$K172*(1+'Assumptions &amp; Inputs'!$K$21))</f>
        <v>1.1886242774566473</v>
      </c>
      <c r="S128" s="65">
        <f>IF(S118=0,0,S118*'Assumptions &amp; Inputs'!$K172*(1+'Assumptions &amp; Inputs'!$K$21))</f>
        <v>1.1886242774566473</v>
      </c>
      <c r="T128" s="65">
        <f>IF(T118=0,0,T118*'Assumptions &amp; Inputs'!$K172*(1+'Assumptions &amp; Inputs'!$K$21))</f>
        <v>1.1886242774566473</v>
      </c>
      <c r="U128" s="65">
        <f>IF(U118=0,0,U118*'Assumptions &amp; Inputs'!$K172*(1+'Assumptions &amp; Inputs'!$K$21))</f>
        <v>1.1886242774566473</v>
      </c>
      <c r="V128" s="65">
        <f>IF(V118=0,0,V118*'Assumptions &amp; Inputs'!$K172*(1+'Assumptions &amp; Inputs'!$K$21))</f>
        <v>1.1886242774566473</v>
      </c>
      <c r="W128" s="65">
        <f>IF(W118=0,0,W118*'Assumptions &amp; Inputs'!$K172*(1+'Assumptions &amp; Inputs'!$K$21))</f>
        <v>1.1886242774566473</v>
      </c>
      <c r="X128" s="65">
        <f>IF(X118=0,0,X118*'Assumptions &amp; Inputs'!$K172*(1+'Assumptions &amp; Inputs'!$K$21))</f>
        <v>1.1886242774566473</v>
      </c>
      <c r="Y128" s="65">
        <f>IF(Y118=0,0,Y118*'Assumptions &amp; Inputs'!$K172*(1+'Assumptions &amp; Inputs'!$K$21))</f>
        <v>1.1886242774566473</v>
      </c>
      <c r="Z128" s="65">
        <f>IF(Z118=0,0,Z118*'Assumptions &amp; Inputs'!$K172*(1+'Assumptions &amp; Inputs'!$K$21))</f>
        <v>1.1886242774566473</v>
      </c>
      <c r="AA128" s="65">
        <f>IF(AA118=0,0,AA118*'Assumptions &amp; Inputs'!$K172*(1+'Assumptions &amp; Inputs'!$K$21))</f>
        <v>1.1886242774566473</v>
      </c>
      <c r="AB128" s="65">
        <f>IF(AB118=0,0,AB118*'Assumptions &amp; Inputs'!$K172*(1+'Assumptions &amp; Inputs'!$K$21))</f>
        <v>1.1886242774566473</v>
      </c>
      <c r="AC128" s="65">
        <f>IF(AC118=0,0,AC118*'Assumptions &amp; Inputs'!$K172*(1+'Assumptions &amp; Inputs'!$K$21))</f>
        <v>1.1886242774566473</v>
      </c>
      <c r="AD128" s="65">
        <f>IF(AD118=0,0,AD118*'Assumptions &amp; Inputs'!$K172*(1+'Assumptions &amp; Inputs'!$K$21))</f>
        <v>1.1886242774566473</v>
      </c>
      <c r="AE128" s="65">
        <f>IF(AE118=0,0,AE118*'Assumptions &amp; Inputs'!$K172*(1+'Assumptions &amp; Inputs'!$K$21))</f>
        <v>0</v>
      </c>
      <c r="AF128" s="65">
        <f>IF(AF118=0,0,AF118*'Assumptions &amp; Inputs'!$K172*(1+'Assumptions &amp; Inputs'!$K$21))</f>
        <v>0</v>
      </c>
      <c r="AG128" s="65">
        <f>IF(AG118=0,0,AG118*'Assumptions &amp; Inputs'!$K172*(1+'Assumptions &amp; Inputs'!$K$21))</f>
        <v>0</v>
      </c>
      <c r="AH128" s="65">
        <f>IF(AH118=0,0,AH118*'Assumptions &amp; Inputs'!$K172*(1+'Assumptions &amp; Inputs'!$K$21))</f>
        <v>0</v>
      </c>
      <c r="AI128" s="65">
        <f>IF(AI118=0,0,AI118*'Assumptions &amp; Inputs'!$K172*(1+'Assumptions &amp; Inputs'!$K$21))</f>
        <v>0</v>
      </c>
      <c r="AJ128" s="65">
        <f>IF(AJ118=0,0,AJ118*'Assumptions &amp; Inputs'!$K172*(1+'Assumptions &amp; Inputs'!$K$21))</f>
        <v>0</v>
      </c>
      <c r="AK128" s="65">
        <f>IF(AK118=0,0,AK118*'Assumptions &amp; Inputs'!$K172*(1+'Assumptions &amp; Inputs'!$K$21))</f>
        <v>0</v>
      </c>
      <c r="AL128" s="65">
        <f>IF(AL118=0,0,AL118*'Assumptions &amp; Inputs'!$K172*(1+'Assumptions &amp; Inputs'!$K$21))</f>
        <v>0</v>
      </c>
      <c r="AM128" s="65">
        <f>IF(AM118=0,0,AM118*'Assumptions &amp; Inputs'!$K172*(1+'Assumptions &amp; Inputs'!$K$21))</f>
        <v>0</v>
      </c>
      <c r="AN128" s="65">
        <f>IF(AN118=0,0,AN118*'Assumptions &amp; Inputs'!$K172*(1+'Assumptions &amp; Inputs'!$K$21))</f>
        <v>0</v>
      </c>
      <c r="AO128" s="65">
        <f>IF(AO118=0,0,AO118*'Assumptions &amp; Inputs'!$K172*(1+'Assumptions &amp; Inputs'!$K$21))</f>
        <v>0</v>
      </c>
      <c r="AP128" s="65">
        <f>IF(AP118=0,0,AP118*'Assumptions &amp; Inputs'!$K172*(1+'Assumptions &amp; Inputs'!$K$21))</f>
        <v>0</v>
      </c>
      <c r="AQ128" s="65">
        <f>IF(AQ118=0,0,AQ118*'Assumptions &amp; Inputs'!$K172*(1+'Assumptions &amp; Inputs'!$K$21))</f>
        <v>0</v>
      </c>
      <c r="AR128" s="65">
        <f>IF(AR118=0,0,AR118*'Assumptions &amp; Inputs'!$K172*(1+'Assumptions &amp; Inputs'!$K$21))</f>
        <v>0</v>
      </c>
      <c r="AS128" s="65">
        <f>IF(AS118=0,0,AS118*'Assumptions &amp; Inputs'!$K172*(1+'Assumptions &amp; Inputs'!$K$21))</f>
        <v>0</v>
      </c>
      <c r="AT128" s="65">
        <f>IF(AT118=0,0,AT118*'Assumptions &amp; Inputs'!$K172*(1+'Assumptions &amp; Inputs'!$K$21))</f>
        <v>0</v>
      </c>
      <c r="AU128" s="65">
        <f>IF(AU118=0,0,AU118*'Assumptions &amp; Inputs'!$K172*(1+'Assumptions &amp; Inputs'!$K$21))</f>
        <v>0</v>
      </c>
      <c r="AV128" s="65">
        <f>IF(AV118=0,0,AV118*'Assumptions &amp; Inputs'!$K172*(1+'Assumptions &amp; Inputs'!$K$21))</f>
        <v>0</v>
      </c>
      <c r="AW128" s="65">
        <f>IF(AW118=0,0,AW118*'Assumptions &amp; Inputs'!$K172*(1+'Assumptions &amp; Inputs'!$K$21))</f>
        <v>0</v>
      </c>
    </row>
    <row r="130" spans="3:49" ht="14.25" customHeight="1">
      <c r="C130" s="48" t="s">
        <v>513</v>
      </c>
      <c r="D130" s="69">
        <f t="shared" ref="D130" si="210">SUM(D126:D128)</f>
        <v>0</v>
      </c>
      <c r="E130" s="69">
        <f t="shared" ref="E130:AW130" si="211">SUM(E126:E128)</f>
        <v>112.34915300809249</v>
      </c>
      <c r="F130" s="69">
        <f t="shared" si="211"/>
        <v>151.96047426145662</v>
      </c>
      <c r="G130" s="69">
        <f t="shared" si="211"/>
        <v>154.16530991713663</v>
      </c>
      <c r="H130" s="69">
        <f t="shared" si="211"/>
        <v>156.41424228593024</v>
      </c>
      <c r="I130" s="69">
        <f t="shared" si="211"/>
        <v>158.7081533020997</v>
      </c>
      <c r="J130" s="69">
        <f t="shared" si="211"/>
        <v>161.04794253859257</v>
      </c>
      <c r="K130" s="69">
        <f t="shared" si="211"/>
        <v>163.43452755981525</v>
      </c>
      <c r="L130" s="69">
        <f t="shared" si="211"/>
        <v>165.86884428146243</v>
      </c>
      <c r="M130" s="69">
        <f t="shared" si="211"/>
        <v>168.35184733754255</v>
      </c>
      <c r="N130" s="69">
        <f t="shared" si="211"/>
        <v>170.88451045474429</v>
      </c>
      <c r="O130" s="69">
        <f t="shared" si="211"/>
        <v>173.46782683429001</v>
      </c>
      <c r="P130" s="69">
        <f t="shared" si="211"/>
        <v>176.10280954142669</v>
      </c>
      <c r="Q130" s="69">
        <f t="shared" si="211"/>
        <v>178.79049190270609</v>
      </c>
      <c r="R130" s="69">
        <f t="shared" si="211"/>
        <v>181.53192791121111</v>
      </c>
      <c r="S130" s="69">
        <f t="shared" si="211"/>
        <v>184.32819263988614</v>
      </c>
      <c r="T130" s="69">
        <f t="shared" si="211"/>
        <v>187.18038266313476</v>
      </c>
      <c r="U130" s="69">
        <f t="shared" si="211"/>
        <v>190.08961648684834</v>
      </c>
      <c r="V130" s="69">
        <f t="shared" si="211"/>
        <v>193.05703498703616</v>
      </c>
      <c r="W130" s="69">
        <f t="shared" si="211"/>
        <v>196.08380185722774</v>
      </c>
      <c r="X130" s="69">
        <f t="shared" si="211"/>
        <v>199.17110406482317</v>
      </c>
      <c r="Y130" s="69">
        <f t="shared" si="211"/>
        <v>202.3201523165705</v>
      </c>
      <c r="Z130" s="69">
        <f t="shared" si="211"/>
        <v>205.53218153335277</v>
      </c>
      <c r="AA130" s="69">
        <f t="shared" si="211"/>
        <v>208.80845133447067</v>
      </c>
      <c r="AB130" s="69">
        <f t="shared" si="211"/>
        <v>212.15024653161097</v>
      </c>
      <c r="AC130" s="69">
        <f t="shared" si="211"/>
        <v>215.55887763269405</v>
      </c>
      <c r="AD130" s="69">
        <f t="shared" si="211"/>
        <v>219.03568135579883</v>
      </c>
      <c r="AE130" s="69">
        <f t="shared" si="211"/>
        <v>0</v>
      </c>
      <c r="AF130" s="69">
        <f t="shared" si="211"/>
        <v>0</v>
      </c>
      <c r="AG130" s="69">
        <f t="shared" si="211"/>
        <v>0</v>
      </c>
      <c r="AH130" s="69">
        <f t="shared" si="211"/>
        <v>0</v>
      </c>
      <c r="AI130" s="69">
        <f t="shared" si="211"/>
        <v>0</v>
      </c>
      <c r="AJ130" s="69">
        <f t="shared" si="211"/>
        <v>0</v>
      </c>
      <c r="AK130" s="69">
        <f t="shared" si="211"/>
        <v>0</v>
      </c>
      <c r="AL130" s="69">
        <f t="shared" si="211"/>
        <v>0</v>
      </c>
      <c r="AM130" s="69">
        <f t="shared" si="211"/>
        <v>0</v>
      </c>
      <c r="AN130" s="69">
        <f t="shared" si="211"/>
        <v>0</v>
      </c>
      <c r="AO130" s="69">
        <f t="shared" si="211"/>
        <v>0</v>
      </c>
      <c r="AP130" s="69">
        <f t="shared" si="211"/>
        <v>0</v>
      </c>
      <c r="AQ130" s="69">
        <f t="shared" si="211"/>
        <v>0</v>
      </c>
      <c r="AR130" s="69">
        <f t="shared" si="211"/>
        <v>0</v>
      </c>
      <c r="AS130" s="69">
        <f t="shared" si="211"/>
        <v>0</v>
      </c>
      <c r="AT130" s="69">
        <f t="shared" si="211"/>
        <v>0</v>
      </c>
      <c r="AU130" s="69">
        <f t="shared" si="211"/>
        <v>0</v>
      </c>
      <c r="AV130" s="69">
        <f t="shared" si="211"/>
        <v>0</v>
      </c>
      <c r="AW130" s="69">
        <f t="shared" si="211"/>
        <v>0</v>
      </c>
    </row>
    <row r="131" spans="3:49" ht="14.25" customHeight="1">
      <c r="C131" s="48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</row>
    <row r="132" spans="3:49" ht="14.25" customHeight="1">
      <c r="C132" s="48" t="s">
        <v>514</v>
      </c>
      <c r="D132" s="65">
        <f>D130</f>
        <v>0</v>
      </c>
      <c r="E132" s="65">
        <f t="shared" ref="E132:AW132" si="212">E130</f>
        <v>112.34915300809249</v>
      </c>
      <c r="F132" s="65">
        <f t="shared" si="212"/>
        <v>151.96047426145662</v>
      </c>
      <c r="G132" s="65">
        <f t="shared" si="212"/>
        <v>154.16530991713663</v>
      </c>
      <c r="H132" s="65">
        <f t="shared" si="212"/>
        <v>156.41424228593024</v>
      </c>
      <c r="I132" s="65">
        <f t="shared" si="212"/>
        <v>158.7081533020997</v>
      </c>
      <c r="J132" s="65">
        <f t="shared" si="212"/>
        <v>161.04794253859257</v>
      </c>
      <c r="K132" s="65">
        <f t="shared" si="212"/>
        <v>163.43452755981525</v>
      </c>
      <c r="L132" s="65">
        <f t="shared" si="212"/>
        <v>165.86884428146243</v>
      </c>
      <c r="M132" s="65">
        <f t="shared" si="212"/>
        <v>168.35184733754255</v>
      </c>
      <c r="N132" s="65">
        <f t="shared" si="212"/>
        <v>170.88451045474429</v>
      </c>
      <c r="O132" s="65">
        <f t="shared" si="212"/>
        <v>173.46782683429001</v>
      </c>
      <c r="P132" s="65">
        <f t="shared" si="212"/>
        <v>176.10280954142669</v>
      </c>
      <c r="Q132" s="65">
        <f t="shared" si="212"/>
        <v>178.79049190270609</v>
      </c>
      <c r="R132" s="65">
        <f t="shared" si="212"/>
        <v>181.53192791121111</v>
      </c>
      <c r="S132" s="65">
        <f t="shared" si="212"/>
        <v>184.32819263988614</v>
      </c>
      <c r="T132" s="65">
        <f t="shared" si="212"/>
        <v>187.18038266313476</v>
      </c>
      <c r="U132" s="65">
        <f t="shared" si="212"/>
        <v>190.08961648684834</v>
      </c>
      <c r="V132" s="65">
        <f t="shared" si="212"/>
        <v>193.05703498703616</v>
      </c>
      <c r="W132" s="65">
        <f t="shared" si="212"/>
        <v>196.08380185722774</v>
      </c>
      <c r="X132" s="65">
        <f t="shared" si="212"/>
        <v>199.17110406482317</v>
      </c>
      <c r="Y132" s="65">
        <f t="shared" si="212"/>
        <v>202.3201523165705</v>
      </c>
      <c r="Z132" s="65">
        <f t="shared" si="212"/>
        <v>205.53218153335277</v>
      </c>
      <c r="AA132" s="65">
        <f t="shared" si="212"/>
        <v>208.80845133447067</v>
      </c>
      <c r="AB132" s="65">
        <f t="shared" si="212"/>
        <v>212.15024653161097</v>
      </c>
      <c r="AC132" s="65">
        <f t="shared" si="212"/>
        <v>215.55887763269405</v>
      </c>
      <c r="AD132" s="65">
        <f t="shared" si="212"/>
        <v>219.03568135579883</v>
      </c>
      <c r="AE132" s="65">
        <f t="shared" si="212"/>
        <v>0</v>
      </c>
      <c r="AF132" s="65">
        <f t="shared" si="212"/>
        <v>0</v>
      </c>
      <c r="AG132" s="65">
        <f t="shared" si="212"/>
        <v>0</v>
      </c>
      <c r="AH132" s="65">
        <f t="shared" si="212"/>
        <v>0</v>
      </c>
      <c r="AI132" s="65">
        <f t="shared" si="212"/>
        <v>0</v>
      </c>
      <c r="AJ132" s="65">
        <f t="shared" si="212"/>
        <v>0</v>
      </c>
      <c r="AK132" s="65">
        <f t="shared" si="212"/>
        <v>0</v>
      </c>
      <c r="AL132" s="65">
        <f t="shared" si="212"/>
        <v>0</v>
      </c>
      <c r="AM132" s="65">
        <f t="shared" si="212"/>
        <v>0</v>
      </c>
      <c r="AN132" s="65">
        <f t="shared" si="212"/>
        <v>0</v>
      </c>
      <c r="AO132" s="65">
        <f t="shared" si="212"/>
        <v>0</v>
      </c>
      <c r="AP132" s="65">
        <f t="shared" si="212"/>
        <v>0</v>
      </c>
      <c r="AQ132" s="65">
        <f t="shared" si="212"/>
        <v>0</v>
      </c>
      <c r="AR132" s="65">
        <f t="shared" si="212"/>
        <v>0</v>
      </c>
      <c r="AS132" s="65">
        <f t="shared" si="212"/>
        <v>0</v>
      </c>
      <c r="AT132" s="65">
        <f t="shared" si="212"/>
        <v>0</v>
      </c>
      <c r="AU132" s="65">
        <f t="shared" si="212"/>
        <v>0</v>
      </c>
      <c r="AV132" s="65">
        <f t="shared" si="212"/>
        <v>0</v>
      </c>
      <c r="AW132" s="65">
        <f t="shared" si="212"/>
        <v>0</v>
      </c>
    </row>
    <row r="133" spans="3:49" ht="14.25" customHeight="1">
      <c r="C133" s="48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</row>
    <row r="134" spans="3:49" ht="14.25" customHeight="1">
      <c r="C134" s="44" t="s">
        <v>533</v>
      </c>
      <c r="D134" s="65">
        <f>(D112*_xlfn.XLOOKUP(D$110, 'Power Summary'!$C$30:$AV$30, 'Power Summary'!$C$35:$AV$35)+D113*_xlfn.XLOOKUP(D$110, 'Power Summary'!$C$30:$AV$30, 'Power Summary'!$C$42:$AV$42))/$E$3</f>
        <v>0</v>
      </c>
      <c r="E134" s="65">
        <f>(E112*_xlfn.XLOOKUP(E$110, 'Power Summary'!$C$30:$AV$30, 'Power Summary'!$C$35:$AV$35)+E113*_xlfn.XLOOKUP(E$110, 'Power Summary'!$C$30:$AV$30, 'Power Summary'!$C$42:$AV$42))/$E$3</f>
        <v>0.65088483495327432</v>
      </c>
      <c r="F134" s="65">
        <f>(F112*_xlfn.XLOOKUP(F$110, 'Power Summary'!$C$30:$AV$30, 'Power Summary'!$C$35:$AV$35)+F113*_xlfn.XLOOKUP(F$110, 'Power Summary'!$C$30:$AV$30, 'Power Summary'!$C$42:$AV$42))/$E$3</f>
        <v>0.8781793645041519</v>
      </c>
      <c r="G134" s="65">
        <f>(G112*_xlfn.XLOOKUP(G$110, 'Power Summary'!$C$30:$AV$30, 'Power Summary'!$C$35:$AV$35)+G113*_xlfn.XLOOKUP(G$110, 'Power Summary'!$C$30:$AV$30, 'Power Summary'!$C$42:$AV$42))/$E$3</f>
        <v>0.867098543240718</v>
      </c>
      <c r="H134" s="65">
        <f>(H112*_xlfn.XLOOKUP(H$110, 'Power Summary'!$C$30:$AV$30, 'Power Summary'!$C$35:$AV$35)+H113*_xlfn.XLOOKUP(H$110, 'Power Summary'!$C$30:$AV$30, 'Power Summary'!$C$42:$AV$42))/$E$3</f>
        <v>0.83060708811616735</v>
      </c>
      <c r="I134" s="65">
        <f>(I112*_xlfn.XLOOKUP(I$110, 'Power Summary'!$C$30:$AV$30, 'Power Summary'!$C$35:$AV$35)+I113*_xlfn.XLOOKUP(I$110, 'Power Summary'!$C$30:$AV$30, 'Power Summary'!$C$42:$AV$42))/$E$3</f>
        <v>0.83958200705228692</v>
      </c>
      <c r="J134" s="65">
        <f>(J112*_xlfn.XLOOKUP(J$110, 'Power Summary'!$C$30:$AV$30, 'Power Summary'!$C$35:$AV$35)+J113*_xlfn.XLOOKUP(J$110, 'Power Summary'!$C$30:$AV$30, 'Power Summary'!$C$42:$AV$42))/$E$3</f>
        <v>0.85671428310775077</v>
      </c>
      <c r="K134" s="65">
        <f>(K112*_xlfn.XLOOKUP(K$110, 'Power Summary'!$C$30:$AV$30, 'Power Summary'!$C$35:$AV$35)+K113*_xlfn.XLOOKUP(K$110, 'Power Summary'!$C$30:$AV$30, 'Power Summary'!$C$42:$AV$42))/$E$3</f>
        <v>0.87419461456724978</v>
      </c>
      <c r="L134" s="65">
        <f>(L112*_xlfn.XLOOKUP(L$110, 'Power Summary'!$C$30:$AV$30, 'Power Summary'!$C$35:$AV$35)+L113*_xlfn.XLOOKUP(L$110, 'Power Summary'!$C$30:$AV$30, 'Power Summary'!$C$42:$AV$42))/$E$3</f>
        <v>0.89203004966523569</v>
      </c>
      <c r="M134" s="65">
        <f>(M112*_xlfn.XLOOKUP(M$110, 'Power Summary'!$C$30:$AV$30, 'Power Summary'!$C$35:$AV$35)+M113*_xlfn.XLOOKUP(M$110, 'Power Summary'!$C$30:$AV$30, 'Power Summary'!$C$42:$AV$42))/$E$3</f>
        <v>0.91022777902297769</v>
      </c>
      <c r="N134" s="65">
        <f>(N112*_xlfn.XLOOKUP(N$110, 'Power Summary'!$C$30:$AV$30, 'Power Summary'!$C$35:$AV$35)+N113*_xlfn.XLOOKUP(N$110, 'Power Summary'!$C$30:$AV$30, 'Power Summary'!$C$42:$AV$42))/$E$3</f>
        <v>0.928795138519804</v>
      </c>
      <c r="O134" s="65">
        <f>(O112*_xlfn.XLOOKUP(O$110, 'Power Summary'!$C$30:$AV$30, 'Power Summary'!$C$35:$AV$35)+O113*_xlfn.XLOOKUP(O$110, 'Power Summary'!$C$30:$AV$30, 'Power Summary'!$C$42:$AV$42))/$E$3</f>
        <v>0.9477396122221583</v>
      </c>
      <c r="P134" s="65">
        <f>(P112*_xlfn.XLOOKUP(P$110, 'Power Summary'!$C$30:$AV$30, 'Power Summary'!$C$35:$AV$35)+P113*_xlfn.XLOOKUP(P$110, 'Power Summary'!$C$30:$AV$30, 'Power Summary'!$C$42:$AV$42))/$E$3</f>
        <v>0.96706883537164212</v>
      </c>
      <c r="Q134" s="65">
        <f>(Q112*_xlfn.XLOOKUP(Q$110, 'Power Summary'!$C$30:$AV$30, 'Power Summary'!$C$35:$AV$35)+Q113*_xlfn.XLOOKUP(Q$110, 'Power Summary'!$C$30:$AV$30, 'Power Summary'!$C$42:$AV$42))/$E$3</f>
        <v>0.9867905974332164</v>
      </c>
      <c r="R134" s="65">
        <f>(R112*_xlfn.XLOOKUP(R$110, 'Power Summary'!$C$30:$AV$30, 'Power Summary'!$C$35:$AV$35)+R113*_xlfn.XLOOKUP(R$110, 'Power Summary'!$C$30:$AV$30, 'Power Summary'!$C$42:$AV$42))/$E$3</f>
        <v>1.0069128452047895</v>
      </c>
      <c r="S134" s="65">
        <f>(S112*_xlfn.XLOOKUP(S$110, 'Power Summary'!$C$30:$AV$30, 'Power Summary'!$C$35:$AV$35)+S113*_xlfn.XLOOKUP(S$110, 'Power Summary'!$C$30:$AV$30, 'Power Summary'!$C$42:$AV$42))/$E$3</f>
        <v>1.0274436859894078</v>
      </c>
      <c r="T134" s="65">
        <f>(T112*_xlfn.XLOOKUP(T$110, 'Power Summary'!$C$30:$AV$30, 'Power Summary'!$C$35:$AV$35)+T113*_xlfn.XLOOKUP(T$110, 'Power Summary'!$C$30:$AV$30, 'Power Summary'!$C$42:$AV$42))/$E$3</f>
        <v>1.0483913908313269</v>
      </c>
      <c r="U134" s="65">
        <f>(U112*_xlfn.XLOOKUP(U$110, 'Power Summary'!$C$30:$AV$30, 'Power Summary'!$C$35:$AV$35)+U113*_xlfn.XLOOKUP(U$110, 'Power Summary'!$C$30:$AV$30, 'Power Summary'!$C$42:$AV$42))/$E$3</f>
        <v>1.0697643978172284</v>
      </c>
      <c r="V134" s="65">
        <f>(V112*_xlfn.XLOOKUP(V$110, 'Power Summary'!$C$30:$AV$30, 'Power Summary'!$C$35:$AV$35)+V113*_xlfn.XLOOKUP(V$110, 'Power Summary'!$C$30:$AV$30, 'Power Summary'!$C$42:$AV$42))/$E$3</f>
        <v>1.0915713154439102</v>
      </c>
      <c r="W134" s="65">
        <f>(W112*_xlfn.XLOOKUP(W$110, 'Power Summary'!$C$30:$AV$30, 'Power Summary'!$C$35:$AV$35)+W113*_xlfn.XLOOKUP(W$110, 'Power Summary'!$C$30:$AV$30, 'Power Summary'!$C$42:$AV$42))/$E$3</f>
        <v>1.1138209260537784</v>
      </c>
      <c r="X134" s="65">
        <f>(X112*_xlfn.XLOOKUP(X$110, 'Power Summary'!$C$30:$AV$30, 'Power Summary'!$C$35:$AV$35)+X113*_xlfn.XLOOKUP(X$110, 'Power Summary'!$C$30:$AV$30, 'Power Summary'!$C$42:$AV$42))/$E$3</f>
        <v>1.1365221893395032</v>
      </c>
      <c r="Y134" s="65">
        <f>(Y112*_xlfn.XLOOKUP(Y$110, 'Power Summary'!$C$30:$AV$30, 'Power Summary'!$C$35:$AV$35)+Y113*_xlfn.XLOOKUP(Y$110, 'Power Summary'!$C$30:$AV$30, 'Power Summary'!$C$42:$AV$42))/$E$3</f>
        <v>1.1596842459192351</v>
      </c>
      <c r="Z134" s="65">
        <f>(Z112*_xlfn.XLOOKUP(Z$110, 'Power Summary'!$C$30:$AV$30, 'Power Summary'!$C$35:$AV$35)+Z113*_xlfn.XLOOKUP(Z$110, 'Power Summary'!$C$30:$AV$30, 'Power Summary'!$C$42:$AV$42))/$E$3</f>
        <v>1.1833164209837956</v>
      </c>
      <c r="AA134" s="65">
        <f>(AA112*_xlfn.XLOOKUP(AA$110, 'Power Summary'!$C$30:$AV$30, 'Power Summary'!$C$35:$AV$35)+AA113*_xlfn.XLOOKUP(AA$110, 'Power Summary'!$C$30:$AV$30, 'Power Summary'!$C$42:$AV$42))/$E$3</f>
        <v>1.2074282280172952</v>
      </c>
      <c r="AB134" s="65">
        <f>(AB112*_xlfn.XLOOKUP(AB$110, 'Power Summary'!$C$30:$AV$30, 'Power Summary'!$C$35:$AV$35)+AB113*_xlfn.XLOOKUP(AB$110, 'Power Summary'!$C$30:$AV$30, 'Power Summary'!$C$42:$AV$42))/$E$3</f>
        <v>1.2320293725926483</v>
      </c>
      <c r="AC134" s="65">
        <f>(AC112*_xlfn.XLOOKUP(AC$110, 'Power Summary'!$C$30:$AV$30, 'Power Summary'!$C$35:$AV$35)+AC113*_xlfn.XLOOKUP(AC$110, 'Power Summary'!$C$30:$AV$30, 'Power Summary'!$C$42:$AV$42))/$E$3</f>
        <v>1.2571297562434984</v>
      </c>
      <c r="AD134" s="65">
        <f>(AD112*_xlfn.XLOOKUP(AD$110, 'Power Summary'!$C$30:$AV$30, 'Power Summary'!$C$35:$AV$35)+AD113*_xlfn.XLOOKUP(AD$110, 'Power Summary'!$C$30:$AV$30, 'Power Summary'!$C$42:$AV$42))/$E$3</f>
        <v>1.2827394804140846</v>
      </c>
      <c r="AE134" s="65">
        <f>(AE112*_xlfn.XLOOKUP(AE$110, 'Power Summary'!$C$30:$AV$30, 'Power Summary'!$C$35:$AV$35)+AE113*_xlfn.XLOOKUP(AE$110, 'Power Summary'!$C$30:$AV$30, 'Power Summary'!$C$42:$AV$42))/$E$3</f>
        <v>0</v>
      </c>
      <c r="AF134" s="65">
        <f>(AF112*_xlfn.XLOOKUP(AF$110, 'Power Summary'!$C$30:$AV$30, 'Power Summary'!$C$35:$AV$35)+AF113*_xlfn.XLOOKUP(AF$110, 'Power Summary'!$C$30:$AV$30, 'Power Summary'!$C$42:$AV$42))/$E$3</f>
        <v>0</v>
      </c>
      <c r="AG134" s="65">
        <f>(AG112*_xlfn.XLOOKUP(AG$110, 'Power Summary'!$C$30:$AV$30, 'Power Summary'!$C$35:$AV$35)+AG113*_xlfn.XLOOKUP(AG$110, 'Power Summary'!$C$30:$AV$30, 'Power Summary'!$C$42:$AV$42))/$E$3</f>
        <v>0</v>
      </c>
      <c r="AH134" s="65">
        <f>(AH112*_xlfn.XLOOKUP(AH$110, 'Power Summary'!$C$30:$AV$30, 'Power Summary'!$C$35:$AV$35)+AH113*_xlfn.XLOOKUP(AH$110, 'Power Summary'!$C$30:$AV$30, 'Power Summary'!$C$42:$AV$42))/$E$3</f>
        <v>0</v>
      </c>
      <c r="AI134" s="65">
        <f>(AI112*_xlfn.XLOOKUP(AI$110, 'Power Summary'!$C$30:$AV$30, 'Power Summary'!$C$35:$AV$35)+AI113*_xlfn.XLOOKUP(AI$110, 'Power Summary'!$C$30:$AV$30, 'Power Summary'!$C$42:$AV$42))/$E$3</f>
        <v>0</v>
      </c>
      <c r="AJ134" s="65">
        <f>(AJ112*_xlfn.XLOOKUP(AJ$110, 'Power Summary'!$C$30:$AV$30, 'Power Summary'!$C$35:$AV$35)+AJ113*_xlfn.XLOOKUP(AJ$110, 'Power Summary'!$C$30:$AV$30, 'Power Summary'!$C$42:$AV$42))/$E$3</f>
        <v>0</v>
      </c>
      <c r="AK134" s="65">
        <f>(AK112*_xlfn.XLOOKUP(AK$110, 'Power Summary'!$C$30:$AV$30, 'Power Summary'!$C$35:$AV$35)+AK113*_xlfn.XLOOKUP(AK$110, 'Power Summary'!$C$30:$AV$30, 'Power Summary'!$C$42:$AV$42))/$E$3</f>
        <v>0</v>
      </c>
      <c r="AL134" s="65">
        <f>(AL112*_xlfn.XLOOKUP(AL$110, 'Power Summary'!$C$30:$AV$30, 'Power Summary'!$C$35:$AV$35)+AL113*_xlfn.XLOOKUP(AL$110, 'Power Summary'!$C$30:$AV$30, 'Power Summary'!$C$42:$AV$42))/$E$3</f>
        <v>0</v>
      </c>
      <c r="AM134" s="65">
        <f>(AM112*_xlfn.XLOOKUP(AM$110, 'Power Summary'!$C$30:$AV$30, 'Power Summary'!$C$35:$AV$35)+AM113*_xlfn.XLOOKUP(AM$110, 'Power Summary'!$C$30:$AV$30, 'Power Summary'!$C$42:$AV$42))/$E$3</f>
        <v>0</v>
      </c>
      <c r="AN134" s="65">
        <f>(AN112*_xlfn.XLOOKUP(AN$110, 'Power Summary'!$C$30:$AV$30, 'Power Summary'!$C$35:$AV$35)+AN113*_xlfn.XLOOKUP(AN$110, 'Power Summary'!$C$30:$AV$30, 'Power Summary'!$C$42:$AV$42))/$E$3</f>
        <v>0</v>
      </c>
      <c r="AO134" s="65">
        <f>(AO112*_xlfn.XLOOKUP(AO$110, 'Power Summary'!$C$30:$AV$30, 'Power Summary'!$C$35:$AV$35)+AO113*_xlfn.XLOOKUP(AO$110, 'Power Summary'!$C$30:$AV$30, 'Power Summary'!$C$42:$AV$42))/$E$3</f>
        <v>0</v>
      </c>
      <c r="AP134" s="65">
        <f>(AP112*_xlfn.XLOOKUP(AP$110, 'Power Summary'!$C$30:$AV$30, 'Power Summary'!$C$35:$AV$35)+AP113*_xlfn.XLOOKUP(AP$110, 'Power Summary'!$C$30:$AV$30, 'Power Summary'!$C$42:$AV$42))/$E$3</f>
        <v>0</v>
      </c>
      <c r="AQ134" s="65">
        <f>(AQ112*_xlfn.XLOOKUP(AQ$110, 'Power Summary'!$C$30:$AV$30, 'Power Summary'!$C$35:$AV$35)+AQ113*_xlfn.XLOOKUP(AQ$110, 'Power Summary'!$C$30:$AV$30, 'Power Summary'!$C$42:$AV$42))/$E$3</f>
        <v>0</v>
      </c>
      <c r="AR134" s="65">
        <f>(AR112*_xlfn.XLOOKUP(AR$110, 'Power Summary'!$C$30:$AV$30, 'Power Summary'!$C$35:$AV$35)+AR113*_xlfn.XLOOKUP(AR$110, 'Power Summary'!$C$30:$AV$30, 'Power Summary'!$C$42:$AV$42))/$E$3</f>
        <v>0</v>
      </c>
      <c r="AS134" s="65">
        <f>(AS112*_xlfn.XLOOKUP(AS$110, 'Power Summary'!$C$30:$AV$30, 'Power Summary'!$C$35:$AV$35)+AS113*_xlfn.XLOOKUP(AS$110, 'Power Summary'!$C$30:$AV$30, 'Power Summary'!$C$42:$AV$42))/$E$3</f>
        <v>0</v>
      </c>
      <c r="AT134" s="65">
        <f>(AT112*_xlfn.XLOOKUP(AT$110, 'Power Summary'!$C$30:$AV$30, 'Power Summary'!$C$35:$AV$35)+AT113*_xlfn.XLOOKUP(AT$110, 'Power Summary'!$C$30:$AV$30, 'Power Summary'!$C$42:$AV$42))/$E$3</f>
        <v>0</v>
      </c>
      <c r="AU134" s="65">
        <f>(AU112*_xlfn.XLOOKUP(AU$110, 'Power Summary'!$C$30:$AV$30, 'Power Summary'!$C$35:$AV$35)+AU113*_xlfn.XLOOKUP(AU$110, 'Power Summary'!$C$30:$AV$30, 'Power Summary'!$C$42:$AV$42))/$E$3</f>
        <v>0</v>
      </c>
      <c r="AV134" s="65">
        <f>(AV112*_xlfn.XLOOKUP(AV$110, 'Power Summary'!$C$30:$AV$30, 'Power Summary'!$C$35:$AV$35)+AV113*_xlfn.XLOOKUP(AV$110, 'Power Summary'!$C$30:$AV$30, 'Power Summary'!$C$42:$AV$42))/$E$3</f>
        <v>0</v>
      </c>
      <c r="AW134" s="65">
        <f>(AW112*_xlfn.XLOOKUP(AW$110, 'Power Summary'!$C$30:$AV$30, 'Power Summary'!$C$35:$AV$35)+AW113*_xlfn.XLOOKUP(AW$110, 'Power Summary'!$C$30:$AV$30, 'Power Summary'!$C$42:$AV$42))/$E$3</f>
        <v>0</v>
      </c>
    </row>
    <row r="135" spans="3:49" ht="14.25" customHeight="1">
      <c r="C135" s="44" t="s">
        <v>535</v>
      </c>
      <c r="D135" s="65">
        <f>D130*'Assumptions &amp; Inputs'!$K$23</f>
        <v>0</v>
      </c>
      <c r="E135" s="65">
        <f>E130*'Assumptions &amp; Inputs'!$K$23</f>
        <v>1.1234915300809249</v>
      </c>
      <c r="F135" s="65">
        <f>F130*'Assumptions &amp; Inputs'!$K$23</f>
        <v>1.5196047426145662</v>
      </c>
      <c r="G135" s="65">
        <f>G130*'Assumptions &amp; Inputs'!$K$23</f>
        <v>1.5416530991713664</v>
      </c>
      <c r="H135" s="65">
        <f>H130*'Assumptions &amp; Inputs'!$K$23</f>
        <v>1.5641424228593024</v>
      </c>
      <c r="I135" s="65">
        <f>I130*'Assumptions &amp; Inputs'!$K$23</f>
        <v>1.5870815330209971</v>
      </c>
      <c r="J135" s="65">
        <f>J130*'Assumptions &amp; Inputs'!$K$23</f>
        <v>1.6104794253859256</v>
      </c>
      <c r="K135" s="65">
        <f>K130*'Assumptions &amp; Inputs'!$K$23</f>
        <v>1.6343452755981525</v>
      </c>
      <c r="L135" s="65">
        <f>L130*'Assumptions &amp; Inputs'!$K$23</f>
        <v>1.6586884428146242</v>
      </c>
      <c r="M135" s="65">
        <f>M130*'Assumptions &amp; Inputs'!$K$23</f>
        <v>1.6835184733754256</v>
      </c>
      <c r="N135" s="65">
        <f>N130*'Assumptions &amp; Inputs'!$K$23</f>
        <v>1.7088451045474429</v>
      </c>
      <c r="O135" s="65">
        <f>O130*'Assumptions &amp; Inputs'!$K$23</f>
        <v>1.7346782683429001</v>
      </c>
      <c r="P135" s="65">
        <f>P130*'Assumptions &amp; Inputs'!$K$23</f>
        <v>1.761028095414267</v>
      </c>
      <c r="Q135" s="65">
        <f>Q130*'Assumptions &amp; Inputs'!$K$23</f>
        <v>1.7879049190270611</v>
      </c>
      <c r="R135" s="65">
        <f>R130*'Assumptions &amp; Inputs'!$K$23</f>
        <v>1.8153192791121111</v>
      </c>
      <c r="S135" s="65">
        <f>S130*'Assumptions &amp; Inputs'!$K$23</f>
        <v>1.8432819263988613</v>
      </c>
      <c r="T135" s="65">
        <f>T130*'Assumptions &amp; Inputs'!$K$23</f>
        <v>1.8718038266313477</v>
      </c>
      <c r="U135" s="65">
        <f>U130*'Assumptions &amp; Inputs'!$K$23</f>
        <v>1.9008961648684835</v>
      </c>
      <c r="V135" s="65">
        <f>V130*'Assumptions &amp; Inputs'!$K$23</f>
        <v>1.9305703498703617</v>
      </c>
      <c r="W135" s="65">
        <f>W130*'Assumptions &amp; Inputs'!$K$23</f>
        <v>1.9608380185722774</v>
      </c>
      <c r="X135" s="65">
        <f>X130*'Assumptions &amp; Inputs'!$K$23</f>
        <v>1.9917110406482317</v>
      </c>
      <c r="Y135" s="65">
        <f>Y130*'Assumptions &amp; Inputs'!$K$23</f>
        <v>2.0232015231657052</v>
      </c>
      <c r="Z135" s="65">
        <f>Z130*'Assumptions &amp; Inputs'!$K$23</f>
        <v>2.0553218153335275</v>
      </c>
      <c r="AA135" s="65">
        <f>AA130*'Assumptions &amp; Inputs'!$K$23</f>
        <v>2.0880845133447066</v>
      </c>
      <c r="AB135" s="65">
        <f>AB130*'Assumptions &amp; Inputs'!$K$23</f>
        <v>2.1215024653161096</v>
      </c>
      <c r="AC135" s="65">
        <f>AC130*'Assumptions &amp; Inputs'!$K$23</f>
        <v>2.1555887763269403</v>
      </c>
      <c r="AD135" s="65">
        <f>AD130*'Assumptions &amp; Inputs'!$K$23</f>
        <v>2.1903568135579885</v>
      </c>
      <c r="AE135" s="65">
        <f>AE130*'Assumptions &amp; Inputs'!$K$23</f>
        <v>0</v>
      </c>
      <c r="AF135" s="65">
        <f>AF130*'Assumptions &amp; Inputs'!$K$23</f>
        <v>0</v>
      </c>
      <c r="AG135" s="65">
        <f>AG130*'Assumptions &amp; Inputs'!$K$23</f>
        <v>0</v>
      </c>
      <c r="AH135" s="65">
        <f>AH130*'Assumptions &amp; Inputs'!$K$23</f>
        <v>0</v>
      </c>
      <c r="AI135" s="65">
        <f>AI130*'Assumptions &amp; Inputs'!$K$23</f>
        <v>0</v>
      </c>
      <c r="AJ135" s="65">
        <f>AJ130*'Assumptions &amp; Inputs'!$K$23</f>
        <v>0</v>
      </c>
      <c r="AK135" s="65">
        <f>AK130*'Assumptions &amp; Inputs'!$K$23</f>
        <v>0</v>
      </c>
      <c r="AL135" s="65">
        <f>AL130*'Assumptions &amp; Inputs'!$K$23</f>
        <v>0</v>
      </c>
      <c r="AM135" s="65">
        <f>AM130*'Assumptions &amp; Inputs'!$K$23</f>
        <v>0</v>
      </c>
      <c r="AN135" s="65">
        <f>AN130*'Assumptions &amp; Inputs'!$K$23</f>
        <v>0</v>
      </c>
      <c r="AO135" s="65">
        <f>AO130*'Assumptions &amp; Inputs'!$K$23</f>
        <v>0</v>
      </c>
      <c r="AP135" s="65">
        <f>AP130*'Assumptions &amp; Inputs'!$K$23</f>
        <v>0</v>
      </c>
      <c r="AQ135" s="65">
        <f>AQ130*'Assumptions &amp; Inputs'!$K$23</f>
        <v>0</v>
      </c>
      <c r="AR135" s="65">
        <f>AR130*'Assumptions &amp; Inputs'!$K$23</f>
        <v>0</v>
      </c>
      <c r="AS135" s="65">
        <f>AS130*'Assumptions &amp; Inputs'!$K$23</f>
        <v>0</v>
      </c>
      <c r="AT135" s="65">
        <f>AT130*'Assumptions &amp; Inputs'!$K$23</f>
        <v>0</v>
      </c>
      <c r="AU135" s="65">
        <f>AU130*'Assumptions &amp; Inputs'!$K$23</f>
        <v>0</v>
      </c>
      <c r="AV135" s="65">
        <f>AV130*'Assumptions &amp; Inputs'!$K$23</f>
        <v>0</v>
      </c>
      <c r="AW135" s="65">
        <f>AW130*'Assumptions &amp; Inputs'!$K$23</f>
        <v>0</v>
      </c>
    </row>
    <row r="136" spans="3:49" ht="14.25" customHeight="1">
      <c r="C136" s="44" t="s">
        <v>239</v>
      </c>
      <c r="D136" s="273">
        <f>_xlfn.XLOOKUP(D110, 'Real Estate'!$D$103:$BA$103, 'Real Estate'!$D$112:$BA$112)</f>
        <v>0</v>
      </c>
      <c r="E136" s="273">
        <f>_xlfn.XLOOKUP(E110, 'Real Estate'!$D$103:$BA$103, 'Real Estate'!$D$112:$BA$112)</f>
        <v>0</v>
      </c>
      <c r="F136" s="273">
        <f>_xlfn.XLOOKUP(F110, 'Real Estate'!$D$103:$BA$103, 'Real Estate'!$D$112:$BA$112)</f>
        <v>0</v>
      </c>
      <c r="G136" s="273">
        <f>_xlfn.XLOOKUP(G110, 'Real Estate'!$D$103:$BA$103, 'Real Estate'!$D$112:$BA$112)</f>
        <v>0</v>
      </c>
      <c r="H136" s="273">
        <f>_xlfn.XLOOKUP(H110, 'Real Estate'!$D$103:$BA$103, 'Real Estate'!$D$112:$BA$112)</f>
        <v>0</v>
      </c>
      <c r="I136" s="273">
        <f>_xlfn.XLOOKUP(I110, 'Real Estate'!$D$103:$BA$103, 'Real Estate'!$D$112:$BA$112)</f>
        <v>0</v>
      </c>
      <c r="J136" s="273">
        <f>_xlfn.XLOOKUP(J110, 'Real Estate'!$D$103:$BA$103, 'Real Estate'!$D$112:$BA$112)</f>
        <v>0</v>
      </c>
      <c r="K136" s="273">
        <f>_xlfn.XLOOKUP(K110, 'Real Estate'!$D$103:$BA$103, 'Real Estate'!$D$112:$BA$112)</f>
        <v>0</v>
      </c>
      <c r="L136" s="273">
        <f>_xlfn.XLOOKUP(L110, 'Real Estate'!$D$103:$BA$103, 'Real Estate'!$D$112:$BA$112)</f>
        <v>0</v>
      </c>
      <c r="M136" s="273">
        <f>_xlfn.XLOOKUP(M110, 'Real Estate'!$D$103:$BA$103, 'Real Estate'!$D$112:$BA$112)</f>
        <v>0</v>
      </c>
      <c r="N136" s="273">
        <f>_xlfn.XLOOKUP(N110, 'Real Estate'!$D$103:$BA$103, 'Real Estate'!$D$112:$BA$112)</f>
        <v>0</v>
      </c>
      <c r="O136" s="273">
        <f>_xlfn.XLOOKUP(O110, 'Real Estate'!$D$103:$BA$103, 'Real Estate'!$D$112:$BA$112)</f>
        <v>0</v>
      </c>
      <c r="P136" s="273">
        <f>_xlfn.XLOOKUP(P110, 'Real Estate'!$D$103:$BA$103, 'Real Estate'!$D$112:$BA$112)</f>
        <v>0</v>
      </c>
      <c r="Q136" s="273">
        <f>_xlfn.XLOOKUP(Q110, 'Real Estate'!$D$103:$BA$103, 'Real Estate'!$D$112:$BA$112)</f>
        <v>0</v>
      </c>
      <c r="R136" s="273">
        <f>_xlfn.XLOOKUP(R110, 'Real Estate'!$D$103:$BA$103, 'Real Estate'!$D$112:$BA$112)</f>
        <v>0</v>
      </c>
      <c r="S136" s="273">
        <f>_xlfn.XLOOKUP(S110, 'Real Estate'!$D$103:$BA$103, 'Real Estate'!$D$112:$BA$112)</f>
        <v>0</v>
      </c>
      <c r="T136" s="273">
        <f>_xlfn.XLOOKUP(T110, 'Real Estate'!$D$103:$BA$103, 'Real Estate'!$D$112:$BA$112)</f>
        <v>0</v>
      </c>
      <c r="U136" s="273">
        <f>_xlfn.XLOOKUP(U110, 'Real Estate'!$D$103:$BA$103, 'Real Estate'!$D$112:$BA$112)</f>
        <v>0</v>
      </c>
      <c r="V136" s="273">
        <f>_xlfn.XLOOKUP(V110, 'Real Estate'!$D$103:$BA$103, 'Real Estate'!$D$112:$BA$112)</f>
        <v>0</v>
      </c>
      <c r="W136" s="273">
        <f>_xlfn.XLOOKUP(W110, 'Real Estate'!$D$103:$BA$103, 'Real Estate'!$D$112:$BA$112)</f>
        <v>0</v>
      </c>
      <c r="X136" s="273">
        <f>_xlfn.XLOOKUP(X110, 'Real Estate'!$D$103:$BA$103, 'Real Estate'!$D$112:$BA$112)</f>
        <v>0</v>
      </c>
      <c r="Y136" s="273">
        <f>_xlfn.XLOOKUP(Y110, 'Real Estate'!$D$103:$BA$103, 'Real Estate'!$D$112:$BA$112)</f>
        <v>0</v>
      </c>
      <c r="Z136" s="273">
        <f>_xlfn.XLOOKUP(Z110, 'Real Estate'!$D$103:$BA$103, 'Real Estate'!$D$112:$BA$112)</f>
        <v>0</v>
      </c>
      <c r="AA136" s="273">
        <f>_xlfn.XLOOKUP(AA110, 'Real Estate'!$D$103:$BA$103, 'Real Estate'!$D$112:$BA$112)</f>
        <v>0</v>
      </c>
      <c r="AB136" s="273">
        <f>_xlfn.XLOOKUP(AB110, 'Real Estate'!$D$103:$BA$103, 'Real Estate'!$D$112:$BA$112)</f>
        <v>0</v>
      </c>
      <c r="AC136" s="273">
        <f>_xlfn.XLOOKUP(AC110, 'Real Estate'!$D$103:$BA$103, 'Real Estate'!$D$112:$BA$112)</f>
        <v>0</v>
      </c>
      <c r="AD136" s="273">
        <f>_xlfn.XLOOKUP(AD110, 'Real Estate'!$D$103:$BA$103, 'Real Estate'!$D$112:$BA$112)</f>
        <v>0</v>
      </c>
      <c r="AE136" s="273">
        <f>_xlfn.XLOOKUP(AE110, 'Real Estate'!$D$103:$BA$103, 'Real Estate'!$D$112:$BA$112)</f>
        <v>0</v>
      </c>
      <c r="AF136" s="273">
        <f>_xlfn.XLOOKUP(AF110, 'Real Estate'!$D$103:$BA$103, 'Real Estate'!$D$112:$BA$112)</f>
        <v>0</v>
      </c>
      <c r="AG136" s="273">
        <f>_xlfn.XLOOKUP(AG110, 'Real Estate'!$D$103:$BA$103, 'Real Estate'!$D$112:$BA$112)</f>
        <v>0</v>
      </c>
      <c r="AH136" s="273">
        <f>_xlfn.XLOOKUP(AH110, 'Real Estate'!$D$103:$BA$103, 'Real Estate'!$D$112:$BA$112)</f>
        <v>0</v>
      </c>
      <c r="AI136" s="273">
        <f>_xlfn.XLOOKUP(AI110, 'Real Estate'!$D$103:$BA$103, 'Real Estate'!$D$112:$BA$112)</f>
        <v>0</v>
      </c>
      <c r="AJ136" s="273">
        <f>_xlfn.XLOOKUP(AJ110, 'Real Estate'!$D$103:$BA$103, 'Real Estate'!$D$112:$BA$112)</f>
        <v>0</v>
      </c>
      <c r="AK136" s="273">
        <f>_xlfn.XLOOKUP(AK110, 'Real Estate'!$D$103:$BA$103, 'Real Estate'!$D$112:$BA$112)</f>
        <v>0</v>
      </c>
      <c r="AL136" s="273">
        <f>_xlfn.XLOOKUP(AL110, 'Real Estate'!$D$103:$BA$103, 'Real Estate'!$D$112:$BA$112)</f>
        <v>0</v>
      </c>
      <c r="AM136" s="273">
        <f>_xlfn.XLOOKUP(AM110, 'Real Estate'!$D$103:$BA$103, 'Real Estate'!$D$112:$BA$112)</f>
        <v>0</v>
      </c>
      <c r="AN136" s="273">
        <f>_xlfn.XLOOKUP(AN110, 'Real Estate'!$D$103:$BA$103, 'Real Estate'!$D$112:$BA$112)</f>
        <v>0</v>
      </c>
      <c r="AO136" s="273">
        <f>_xlfn.XLOOKUP(AO110, 'Real Estate'!$D$103:$BA$103, 'Real Estate'!$D$112:$BA$112)</f>
        <v>0</v>
      </c>
      <c r="AP136" s="273">
        <f>_xlfn.XLOOKUP(AP110, 'Real Estate'!$D$103:$BA$103, 'Real Estate'!$D$112:$BA$112)</f>
        <v>0</v>
      </c>
      <c r="AQ136" s="273">
        <f>_xlfn.XLOOKUP(AQ110, 'Real Estate'!$D$103:$BA$103, 'Real Estate'!$D$112:$BA$112)</f>
        <v>0</v>
      </c>
      <c r="AR136" s="273">
        <f>_xlfn.XLOOKUP(AR110, 'Real Estate'!$D$103:$BA$103, 'Real Estate'!$D$112:$BA$112)</f>
        <v>0</v>
      </c>
      <c r="AS136" s="273">
        <f>_xlfn.XLOOKUP(AS110, 'Real Estate'!$D$103:$BA$103, 'Real Estate'!$D$112:$BA$112)</f>
        <v>0</v>
      </c>
      <c r="AT136" s="273">
        <f>_xlfn.XLOOKUP(AT110, 'Real Estate'!$D$103:$BA$103, 'Real Estate'!$D$112:$BA$112)</f>
        <v>0</v>
      </c>
      <c r="AU136" s="273">
        <f>_xlfn.XLOOKUP(AU110, 'Real Estate'!$D$103:$BA$103, 'Real Estate'!$D$112:$BA$112)</f>
        <v>0</v>
      </c>
      <c r="AV136" s="273">
        <f>_xlfn.XLOOKUP(AV110, 'Real Estate'!$D$103:$BA$103, 'Real Estate'!$D$112:$BA$112)</f>
        <v>0</v>
      </c>
      <c r="AW136" s="273">
        <f>_xlfn.XLOOKUP(AW110, 'Real Estate'!$D$103:$BA$103, 'Real Estate'!$D$112:$BA$112)</f>
        <v>0</v>
      </c>
    </row>
    <row r="137" spans="3:49" ht="14.25" customHeight="1">
      <c r="C137" s="44" t="s">
        <v>297</v>
      </c>
      <c r="D137" s="273">
        <f>D118*'Assumptions &amp; Inputs'!$K$110</f>
        <v>0</v>
      </c>
      <c r="E137" s="273">
        <f>E118*'Assumptions &amp; Inputs'!$K$110</f>
        <v>13.24512</v>
      </c>
      <c r="F137" s="273">
        <f>F118*'Assumptions &amp; Inputs'!$K$110</f>
        <v>17.660159999999998</v>
      </c>
      <c r="G137" s="273">
        <f>G118*'Assumptions &amp; Inputs'!$K$110</f>
        <v>17.660159999999998</v>
      </c>
      <c r="H137" s="273">
        <f>H118*'Assumptions &amp; Inputs'!$K$110</f>
        <v>17.660159999999998</v>
      </c>
      <c r="I137" s="273">
        <f>I118*'Assumptions &amp; Inputs'!$K$110</f>
        <v>17.660159999999998</v>
      </c>
      <c r="J137" s="273">
        <f>J118*'Assumptions &amp; Inputs'!$K$110</f>
        <v>17.660159999999998</v>
      </c>
      <c r="K137" s="273">
        <f>K118*'Assumptions &amp; Inputs'!$K$110</f>
        <v>17.660159999999998</v>
      </c>
      <c r="L137" s="273">
        <f>L118*'Assumptions &amp; Inputs'!$K$110</f>
        <v>17.660159999999998</v>
      </c>
      <c r="M137" s="273">
        <f>M118*'Assumptions &amp; Inputs'!$K$110</f>
        <v>17.660159999999998</v>
      </c>
      <c r="N137" s="273">
        <f>N118*'Assumptions &amp; Inputs'!$K$110</f>
        <v>17.660159999999998</v>
      </c>
      <c r="O137" s="273">
        <f>O118*'Assumptions &amp; Inputs'!$K$110</f>
        <v>17.660159999999998</v>
      </c>
      <c r="P137" s="273">
        <f>P118*'Assumptions &amp; Inputs'!$K$110</f>
        <v>17.660159999999998</v>
      </c>
      <c r="Q137" s="273">
        <f>Q118*'Assumptions &amp; Inputs'!$K$110</f>
        <v>17.660159999999998</v>
      </c>
      <c r="R137" s="273">
        <f>R118*'Assumptions &amp; Inputs'!$K$110</f>
        <v>17.660159999999998</v>
      </c>
      <c r="S137" s="273">
        <f>S118*'Assumptions &amp; Inputs'!$K$110</f>
        <v>17.660159999999998</v>
      </c>
      <c r="T137" s="273">
        <f>T118*'Assumptions &amp; Inputs'!$K$110</f>
        <v>17.660159999999998</v>
      </c>
      <c r="U137" s="273">
        <f>U118*'Assumptions &amp; Inputs'!$K$110</f>
        <v>17.660159999999998</v>
      </c>
      <c r="V137" s="273">
        <f>V118*'Assumptions &amp; Inputs'!$K$110</f>
        <v>17.660159999999998</v>
      </c>
      <c r="W137" s="273">
        <f>W118*'Assumptions &amp; Inputs'!$K$110</f>
        <v>17.660159999999998</v>
      </c>
      <c r="X137" s="273">
        <f>X118*'Assumptions &amp; Inputs'!$K$110</f>
        <v>17.660159999999998</v>
      </c>
      <c r="Y137" s="273">
        <f>Y118*'Assumptions &amp; Inputs'!$K$110</f>
        <v>17.660159999999998</v>
      </c>
      <c r="Z137" s="273">
        <f>Z118*'Assumptions &amp; Inputs'!$K$110</f>
        <v>17.660159999999998</v>
      </c>
      <c r="AA137" s="273">
        <f>AA118*'Assumptions &amp; Inputs'!$K$110</f>
        <v>17.660159999999998</v>
      </c>
      <c r="AB137" s="273">
        <f>AB118*'Assumptions &amp; Inputs'!$K$110</f>
        <v>17.660159999999998</v>
      </c>
      <c r="AC137" s="273">
        <f>AC118*'Assumptions &amp; Inputs'!$K$110</f>
        <v>17.660159999999998</v>
      </c>
      <c r="AD137" s="273">
        <f>AD118*'Assumptions &amp; Inputs'!$K$110</f>
        <v>17.660159999999998</v>
      </c>
      <c r="AE137" s="273">
        <f>AE118*'Assumptions &amp; Inputs'!$K$110</f>
        <v>0</v>
      </c>
      <c r="AF137" s="273">
        <f>AF118*'Assumptions &amp; Inputs'!$K$110</f>
        <v>0</v>
      </c>
      <c r="AG137" s="273">
        <f>AG118*'Assumptions &amp; Inputs'!$K$110</f>
        <v>0</v>
      </c>
      <c r="AH137" s="273">
        <f>AH118*'Assumptions &amp; Inputs'!$K$110</f>
        <v>0</v>
      </c>
      <c r="AI137" s="273">
        <f>AI118*'Assumptions &amp; Inputs'!$K$110</f>
        <v>0</v>
      </c>
      <c r="AJ137" s="273">
        <f>AJ118*'Assumptions &amp; Inputs'!$K$110</f>
        <v>0</v>
      </c>
      <c r="AK137" s="273">
        <f>AK118*'Assumptions &amp; Inputs'!$K$110</f>
        <v>0</v>
      </c>
      <c r="AL137" s="273">
        <f>AL118*'Assumptions &amp; Inputs'!$K$110</f>
        <v>0</v>
      </c>
      <c r="AM137" s="273">
        <f>AM118*'Assumptions &amp; Inputs'!$K$110</f>
        <v>0</v>
      </c>
      <c r="AN137" s="273">
        <f>AN118*'Assumptions &amp; Inputs'!$K$110</f>
        <v>0</v>
      </c>
      <c r="AO137" s="273">
        <f>AO118*'Assumptions &amp; Inputs'!$K$110</f>
        <v>0</v>
      </c>
      <c r="AP137" s="273">
        <f>AP118*'Assumptions &amp; Inputs'!$K$110</f>
        <v>0</v>
      </c>
      <c r="AQ137" s="273">
        <f>AQ118*'Assumptions &amp; Inputs'!$K$110</f>
        <v>0</v>
      </c>
      <c r="AR137" s="273">
        <f>AR118*'Assumptions &amp; Inputs'!$K$110</f>
        <v>0</v>
      </c>
      <c r="AS137" s="273">
        <f>AS118*'Assumptions &amp; Inputs'!$K$110</f>
        <v>0</v>
      </c>
      <c r="AT137" s="273">
        <f>AT118*'Assumptions &amp; Inputs'!$K$110</f>
        <v>0</v>
      </c>
      <c r="AU137" s="273">
        <f>AU118*'Assumptions &amp; Inputs'!$K$110</f>
        <v>0</v>
      </c>
      <c r="AV137" s="273">
        <f>AV118*'Assumptions &amp; Inputs'!$K$110</f>
        <v>0</v>
      </c>
      <c r="AW137" s="273">
        <f>AW118*'Assumptions &amp; Inputs'!$K$110</f>
        <v>0</v>
      </c>
    </row>
    <row r="138" spans="3:49" ht="14.25" customHeight="1">
      <c r="C138" s="44" t="s">
        <v>540</v>
      </c>
      <c r="D138" s="65">
        <f>IF(D114=0, 0, IF(YEAR('Assumptions &amp; Inputs'!$K$31)&gt;D110, 0, IF(D110=YEAR('Assumptions &amp; Inputs'!$K$31),'Assumptions &amp; Inputs'!$K$67*(1+'Assumptions &amp; Inputs'!$K$22)^D108*YEARFRAC('Assumptions &amp; Inputs'!$K$31,'Assumptions &amp; Inputs'!$K$32), IF(YEAR('Assumptions &amp; Inputs'!$K$36)&gt;=D110, 'Assumptions &amp; Inputs'!$K$67*(1+'Assumptions &amp; Inputs'!$K$22)^D108, 0))))</f>
        <v>0</v>
      </c>
      <c r="E138" s="65">
        <f>IF(E114=0, 0, IF(YEAR('Assumptions &amp; Inputs'!$K$31)&gt;E110, 0, IF(E110=YEAR('Assumptions &amp; Inputs'!$K$31),'Assumptions &amp; Inputs'!$K$67*(1+'Assumptions &amp; Inputs'!$K$22)^E108*YEARFRAC('Assumptions &amp; Inputs'!$K$31,'Assumptions &amp; Inputs'!$K$32), IF(YEAR('Assumptions &amp; Inputs'!$K$36)&gt;=E110, 'Assumptions &amp; Inputs'!$K$67*(1+'Assumptions &amp; Inputs'!$K$22)^E108, 0))))</f>
        <v>4.1310000000000002</v>
      </c>
      <c r="F138" s="65">
        <f>IF(F114=0, 0, IF(YEAR('Assumptions &amp; Inputs'!$K$31)&gt;F110, 0, IF(F110=YEAR('Assumptions &amp; Inputs'!$K$31),'Assumptions &amp; Inputs'!$K$67*(1+'Assumptions &amp; Inputs'!$K$22)^F108*YEARFRAC('Assumptions &amp; Inputs'!$K$31,'Assumptions &amp; Inputs'!$K$32), IF(YEAR('Assumptions &amp; Inputs'!$K$36)&gt;=F110, 'Assumptions &amp; Inputs'!$K$67*(1+'Assumptions &amp; Inputs'!$K$22)^F108, 0))))</f>
        <v>5.6181600000000005</v>
      </c>
      <c r="G138" s="65">
        <f>IF(G114=0, 0, IF(YEAR('Assumptions &amp; Inputs'!$K$31)&gt;G110, 0, IF(G110=YEAR('Assumptions &amp; Inputs'!$K$31),'Assumptions &amp; Inputs'!$K$67*(1+'Assumptions &amp; Inputs'!$K$22)^G108*YEARFRAC('Assumptions &amp; Inputs'!$K$31,'Assumptions &amp; Inputs'!$K$32), IF(YEAR('Assumptions &amp; Inputs'!$K$36)&gt;=G110, 'Assumptions &amp; Inputs'!$K$67*(1+'Assumptions &amp; Inputs'!$K$22)^G108, 0))))</f>
        <v>5.7305232000000004</v>
      </c>
      <c r="H138" s="65">
        <f>IF(H114=0, 0, IF(YEAR('Assumptions &amp; Inputs'!$K$31)&gt;H110, 0, IF(H110=YEAR('Assumptions &amp; Inputs'!$K$31),'Assumptions &amp; Inputs'!$K$67*(1+'Assumptions &amp; Inputs'!$K$22)^H108*YEARFRAC('Assumptions &amp; Inputs'!$K$31,'Assumptions &amp; Inputs'!$K$32), IF(YEAR('Assumptions &amp; Inputs'!$K$36)&gt;=H110, 'Assumptions &amp; Inputs'!$K$67*(1+'Assumptions &amp; Inputs'!$K$22)^H108, 0))))</f>
        <v>5.8451336640000005</v>
      </c>
      <c r="I138" s="65">
        <f>IF(I114=0, 0, IF(YEAR('Assumptions &amp; Inputs'!$K$31)&gt;I110, 0, IF(I110=YEAR('Assumptions &amp; Inputs'!$K$31),'Assumptions &amp; Inputs'!$K$67*(1+'Assumptions &amp; Inputs'!$K$22)^I108*YEARFRAC('Assumptions &amp; Inputs'!$K$31,'Assumptions &amp; Inputs'!$K$32), IF(YEAR('Assumptions &amp; Inputs'!$K$36)&gt;=I110, 'Assumptions &amp; Inputs'!$K$67*(1+'Assumptions &amp; Inputs'!$K$22)^I108, 0))))</f>
        <v>5.9620363372800007</v>
      </c>
      <c r="J138" s="65">
        <f>IF(J114=0, 0, IF(YEAR('Assumptions &amp; Inputs'!$K$31)&gt;J110, 0, IF(J110=YEAR('Assumptions &amp; Inputs'!$K$31),'Assumptions &amp; Inputs'!$K$67*(1+'Assumptions &amp; Inputs'!$K$22)^J108*YEARFRAC('Assumptions &amp; Inputs'!$K$31,'Assumptions &amp; Inputs'!$K$32), IF(YEAR('Assumptions &amp; Inputs'!$K$36)&gt;=J110, 'Assumptions &amp; Inputs'!$K$67*(1+'Assumptions &amp; Inputs'!$K$22)^J108, 0))))</f>
        <v>6.0812770640256009</v>
      </c>
      <c r="K138" s="65">
        <f>IF(K114=0, 0, IF(YEAR('Assumptions &amp; Inputs'!$K$31)&gt;K110, 0, IF(K110=YEAR('Assumptions &amp; Inputs'!$K$31),'Assumptions &amp; Inputs'!$K$67*(1+'Assumptions &amp; Inputs'!$K$22)^K108*YEARFRAC('Assumptions &amp; Inputs'!$K$31,'Assumptions &amp; Inputs'!$K$32), IF(YEAR('Assumptions &amp; Inputs'!$K$36)&gt;=K110, 'Assumptions &amp; Inputs'!$K$67*(1+'Assumptions &amp; Inputs'!$K$22)^K108, 0))))</f>
        <v>6.2029026053061118</v>
      </c>
      <c r="L138" s="65">
        <f>IF(L114=0, 0, IF(YEAR('Assumptions &amp; Inputs'!$K$31)&gt;L110, 0, IF(L110=YEAR('Assumptions &amp; Inputs'!$K$31),'Assumptions &amp; Inputs'!$K$67*(1+'Assumptions &amp; Inputs'!$K$22)^L108*YEARFRAC('Assumptions &amp; Inputs'!$K$31,'Assumptions &amp; Inputs'!$K$32), IF(YEAR('Assumptions &amp; Inputs'!$K$36)&gt;=L110, 'Assumptions &amp; Inputs'!$K$67*(1+'Assumptions &amp; Inputs'!$K$22)^L108, 0))))</f>
        <v>6.3269606574122346</v>
      </c>
      <c r="M138" s="65">
        <f>IF(M114=0, 0, IF(YEAR('Assumptions &amp; Inputs'!$K$31)&gt;M110, 0, IF(M110=YEAR('Assumptions &amp; Inputs'!$K$31),'Assumptions &amp; Inputs'!$K$67*(1+'Assumptions &amp; Inputs'!$K$22)^M108*YEARFRAC('Assumptions &amp; Inputs'!$K$31,'Assumptions &amp; Inputs'!$K$32), IF(YEAR('Assumptions &amp; Inputs'!$K$36)&gt;=M110, 'Assumptions &amp; Inputs'!$K$67*(1+'Assumptions &amp; Inputs'!$K$22)^M108, 0))))</f>
        <v>6.4534998705604787</v>
      </c>
      <c r="N138" s="65">
        <f>IF(N114=0, 0, IF(YEAR('Assumptions &amp; Inputs'!$K$31)&gt;N110, 0, IF(N110=YEAR('Assumptions &amp; Inputs'!$K$31),'Assumptions &amp; Inputs'!$K$67*(1+'Assumptions &amp; Inputs'!$K$22)^N108*YEARFRAC('Assumptions &amp; Inputs'!$K$31,'Assumptions &amp; Inputs'!$K$32), IF(YEAR('Assumptions &amp; Inputs'!$K$36)&gt;=N110, 'Assumptions &amp; Inputs'!$K$67*(1+'Assumptions &amp; Inputs'!$K$22)^N108, 0))))</f>
        <v>6.5825698679716886</v>
      </c>
      <c r="O138" s="65">
        <f>IF(O114=0, 0, IF(YEAR('Assumptions &amp; Inputs'!$K$31)&gt;O110, 0, IF(O110=YEAR('Assumptions &amp; Inputs'!$K$31),'Assumptions &amp; Inputs'!$K$67*(1+'Assumptions &amp; Inputs'!$K$22)^O108*YEARFRAC('Assumptions &amp; Inputs'!$K$31,'Assumptions &amp; Inputs'!$K$32), IF(YEAR('Assumptions &amp; Inputs'!$K$36)&gt;=O110, 'Assumptions &amp; Inputs'!$K$67*(1+'Assumptions &amp; Inputs'!$K$22)^O108, 0))))</f>
        <v>6.7142212653311217</v>
      </c>
      <c r="P138" s="65">
        <f>IF(P114=0, 0, IF(YEAR('Assumptions &amp; Inputs'!$K$31)&gt;P110, 0, IF(P110=YEAR('Assumptions &amp; Inputs'!$K$31),'Assumptions &amp; Inputs'!$K$67*(1+'Assumptions &amp; Inputs'!$K$22)^P108*YEARFRAC('Assumptions &amp; Inputs'!$K$31,'Assumptions &amp; Inputs'!$K$32), IF(YEAR('Assumptions &amp; Inputs'!$K$36)&gt;=P110, 'Assumptions &amp; Inputs'!$K$67*(1+'Assumptions &amp; Inputs'!$K$22)^P108, 0))))</f>
        <v>6.8485056906377446</v>
      </c>
      <c r="Q138" s="65">
        <f>IF(Q114=0, 0, IF(YEAR('Assumptions &amp; Inputs'!$K$31)&gt;Q110, 0, IF(Q110=YEAR('Assumptions &amp; Inputs'!$K$31),'Assumptions &amp; Inputs'!$K$67*(1+'Assumptions &amp; Inputs'!$K$22)^Q108*YEARFRAC('Assumptions &amp; Inputs'!$K$31,'Assumptions &amp; Inputs'!$K$32), IF(YEAR('Assumptions &amp; Inputs'!$K$36)&gt;=Q110, 'Assumptions &amp; Inputs'!$K$67*(1+'Assumptions &amp; Inputs'!$K$22)^Q108, 0))))</f>
        <v>6.9854758044504992</v>
      </c>
      <c r="R138" s="65">
        <f>IF(R114=0, 0, IF(YEAR('Assumptions &amp; Inputs'!$K$31)&gt;R110, 0, IF(R110=YEAR('Assumptions &amp; Inputs'!$K$31),'Assumptions &amp; Inputs'!$K$67*(1+'Assumptions &amp; Inputs'!$K$22)^R108*YEARFRAC('Assumptions &amp; Inputs'!$K$31,'Assumptions &amp; Inputs'!$K$32), IF(YEAR('Assumptions &amp; Inputs'!$K$36)&gt;=R110, 'Assumptions &amp; Inputs'!$K$67*(1+'Assumptions &amp; Inputs'!$K$22)^R108, 0))))</f>
        <v>7.1251853205395097</v>
      </c>
      <c r="S138" s="65">
        <f>IF(S114=0, 0, IF(YEAR('Assumptions &amp; Inputs'!$K$31)&gt;S110, 0, IF(S110=YEAR('Assumptions &amp; Inputs'!$K$31),'Assumptions &amp; Inputs'!$K$67*(1+'Assumptions &amp; Inputs'!$K$22)^S108*YEARFRAC('Assumptions &amp; Inputs'!$K$31,'Assumptions &amp; Inputs'!$K$32), IF(YEAR('Assumptions &amp; Inputs'!$K$36)&gt;=S110, 'Assumptions &amp; Inputs'!$K$67*(1+'Assumptions &amp; Inputs'!$K$22)^S108, 0))))</f>
        <v>7.2676890269502978</v>
      </c>
      <c r="T138" s="65">
        <f>IF(T114=0, 0, IF(YEAR('Assumptions &amp; Inputs'!$K$31)&gt;T110, 0, IF(T110=YEAR('Assumptions &amp; Inputs'!$K$31),'Assumptions &amp; Inputs'!$K$67*(1+'Assumptions &amp; Inputs'!$K$22)^T108*YEARFRAC('Assumptions &amp; Inputs'!$K$31,'Assumptions &amp; Inputs'!$K$32), IF(YEAR('Assumptions &amp; Inputs'!$K$36)&gt;=T110, 'Assumptions &amp; Inputs'!$K$67*(1+'Assumptions &amp; Inputs'!$K$22)^T108, 0))))</f>
        <v>7.4130428074893056</v>
      </c>
      <c r="U138" s="65">
        <f>IF(U114=0, 0, IF(YEAR('Assumptions &amp; Inputs'!$K$31)&gt;U110, 0, IF(U110=YEAR('Assumptions &amp; Inputs'!$K$31),'Assumptions &amp; Inputs'!$K$67*(1+'Assumptions &amp; Inputs'!$K$22)^U108*YEARFRAC('Assumptions &amp; Inputs'!$K$31,'Assumptions &amp; Inputs'!$K$32), IF(YEAR('Assumptions &amp; Inputs'!$K$36)&gt;=U110, 'Assumptions &amp; Inputs'!$K$67*(1+'Assumptions &amp; Inputs'!$K$22)^U108, 0))))</f>
        <v>7.5613036636390927</v>
      </c>
      <c r="V138" s="65">
        <f>IF(V114=0, 0, IF(YEAR('Assumptions &amp; Inputs'!$K$31)&gt;V110, 0, IF(V110=YEAR('Assumptions &amp; Inputs'!$K$31),'Assumptions &amp; Inputs'!$K$67*(1+'Assumptions &amp; Inputs'!$K$22)^V108*YEARFRAC('Assumptions &amp; Inputs'!$K$31,'Assumptions &amp; Inputs'!$K$32), IF(YEAR('Assumptions &amp; Inputs'!$K$36)&gt;=V110, 'Assumptions &amp; Inputs'!$K$67*(1+'Assumptions &amp; Inputs'!$K$22)^V108, 0))))</f>
        <v>7.7125297369118728</v>
      </c>
      <c r="W138" s="65">
        <f>IF(W114=0, 0, IF(YEAR('Assumptions &amp; Inputs'!$K$31)&gt;W110, 0, IF(W110=YEAR('Assumptions &amp; Inputs'!$K$31),'Assumptions &amp; Inputs'!$K$67*(1+'Assumptions &amp; Inputs'!$K$22)^W108*YEARFRAC('Assumptions &amp; Inputs'!$K$31,'Assumptions &amp; Inputs'!$K$32), IF(YEAR('Assumptions &amp; Inputs'!$K$36)&gt;=W110, 'Assumptions &amp; Inputs'!$K$67*(1+'Assumptions &amp; Inputs'!$K$22)^W108, 0))))</f>
        <v>7.8667803316501104</v>
      </c>
      <c r="X138" s="65">
        <f>IF(X114=0, 0, IF(YEAR('Assumptions &amp; Inputs'!$K$31)&gt;X110, 0, IF(X110=YEAR('Assumptions &amp; Inputs'!$K$31),'Assumptions &amp; Inputs'!$K$67*(1+'Assumptions &amp; Inputs'!$K$22)^X108*YEARFRAC('Assumptions &amp; Inputs'!$K$31,'Assumptions &amp; Inputs'!$K$32), IF(YEAR('Assumptions &amp; Inputs'!$K$36)&gt;=X110, 'Assumptions &amp; Inputs'!$K$67*(1+'Assumptions &amp; Inputs'!$K$22)^X108, 0))))</f>
        <v>8.0241159382831135</v>
      </c>
      <c r="Y138" s="65">
        <f>IF(Y114=0, 0, IF(YEAR('Assumptions &amp; Inputs'!$K$31)&gt;Y110, 0, IF(Y110=YEAR('Assumptions &amp; Inputs'!$K$31),'Assumptions &amp; Inputs'!$K$67*(1+'Assumptions &amp; Inputs'!$K$22)^Y108*YEARFRAC('Assumptions &amp; Inputs'!$K$31,'Assumptions &amp; Inputs'!$K$32), IF(YEAR('Assumptions &amp; Inputs'!$K$36)&gt;=Y110, 'Assumptions &amp; Inputs'!$K$67*(1+'Assumptions &amp; Inputs'!$K$22)^Y108, 0))))</f>
        <v>8.1845982570487745</v>
      </c>
      <c r="Z138" s="65">
        <f>IF(Z114=0, 0, IF(YEAR('Assumptions &amp; Inputs'!$K$31)&gt;Z110, 0, IF(Z110=YEAR('Assumptions &amp; Inputs'!$K$31),'Assumptions &amp; Inputs'!$K$67*(1+'Assumptions &amp; Inputs'!$K$22)^Z108*YEARFRAC('Assumptions &amp; Inputs'!$K$31,'Assumptions &amp; Inputs'!$K$32), IF(YEAR('Assumptions &amp; Inputs'!$K$36)&gt;=Z110, 'Assumptions &amp; Inputs'!$K$67*(1+'Assumptions &amp; Inputs'!$K$22)^Z108, 0))))</f>
        <v>8.3482902221897515</v>
      </c>
      <c r="AA138" s="65">
        <f>IF(AA114=0, 0, IF(YEAR('Assumptions &amp; Inputs'!$K$31)&gt;AA110, 0, IF(AA110=YEAR('Assumptions &amp; Inputs'!$K$31),'Assumptions &amp; Inputs'!$K$67*(1+'Assumptions &amp; Inputs'!$K$22)^AA108*YEARFRAC('Assumptions &amp; Inputs'!$K$31,'Assumptions &amp; Inputs'!$K$32), IF(YEAR('Assumptions &amp; Inputs'!$K$36)&gt;=AA110, 'Assumptions &amp; Inputs'!$K$67*(1+'Assumptions &amp; Inputs'!$K$22)^AA108, 0))))</f>
        <v>8.5152560266335442</v>
      </c>
      <c r="AB138" s="65">
        <f>IF(AB114=0, 0, IF(YEAR('Assumptions &amp; Inputs'!$K$31)&gt;AB110, 0, IF(AB110=YEAR('Assumptions &amp; Inputs'!$K$31),'Assumptions &amp; Inputs'!$K$67*(1+'Assumptions &amp; Inputs'!$K$22)^AB108*YEARFRAC('Assumptions &amp; Inputs'!$K$31,'Assumptions &amp; Inputs'!$K$32), IF(YEAR('Assumptions &amp; Inputs'!$K$36)&gt;=AB110, 'Assumptions &amp; Inputs'!$K$67*(1+'Assumptions &amp; Inputs'!$K$22)^AB108, 0))))</f>
        <v>8.6855611471662151</v>
      </c>
      <c r="AC138" s="65">
        <f>IF(AC114=0, 0, IF(YEAR('Assumptions &amp; Inputs'!$K$31)&gt;AC110, 0, IF(AC110=YEAR('Assumptions &amp; Inputs'!$K$31),'Assumptions &amp; Inputs'!$K$67*(1+'Assumptions &amp; Inputs'!$K$22)^AC108*YEARFRAC('Assumptions &amp; Inputs'!$K$31,'Assumptions &amp; Inputs'!$K$32), IF(YEAR('Assumptions &amp; Inputs'!$K$36)&gt;=AC110, 'Assumptions &amp; Inputs'!$K$67*(1+'Assumptions &amp; Inputs'!$K$22)^AC108, 0))))</f>
        <v>8.8592723701095402</v>
      </c>
      <c r="AD138" s="65">
        <f>IF(AD114=0, 0, IF(YEAR('Assumptions &amp; Inputs'!$K$31)&gt;AD110, 0, IF(AD110=YEAR('Assumptions &amp; Inputs'!$K$31),'Assumptions &amp; Inputs'!$K$67*(1+'Assumptions &amp; Inputs'!$K$22)^AD108*YEARFRAC('Assumptions &amp; Inputs'!$K$31,'Assumptions &amp; Inputs'!$K$32), IF(YEAR('Assumptions &amp; Inputs'!$K$36)&gt;=AD110, 'Assumptions &amp; Inputs'!$K$67*(1+'Assumptions &amp; Inputs'!$K$22)^AD108, 0))))</f>
        <v>9.0364578175117316</v>
      </c>
      <c r="AE138" s="65">
        <f>IF(AE114=0, 0, IF(YEAR('Assumptions &amp; Inputs'!$K$31)&gt;AE110, 0, IF(AE110=YEAR('Assumptions &amp; Inputs'!$K$31),'Assumptions &amp; Inputs'!$K$67*(1+'Assumptions &amp; Inputs'!$K$22)^AE108*YEARFRAC('Assumptions &amp; Inputs'!$K$31,'Assumptions &amp; Inputs'!$K$32), IF(YEAR('Assumptions &amp; Inputs'!$K$36)&gt;=AE110, 'Assumptions &amp; Inputs'!$K$67*(1+'Assumptions &amp; Inputs'!$K$22)^AE108, 0))))</f>
        <v>0</v>
      </c>
      <c r="AF138" s="65">
        <f>IF(AF114=0, 0, IF(YEAR('Assumptions &amp; Inputs'!$K$31)&gt;AF110, 0, IF(AF110=YEAR('Assumptions &amp; Inputs'!$K$31),'Assumptions &amp; Inputs'!$K$67*(1+'Assumptions &amp; Inputs'!$K$22)^AF108*YEARFRAC('Assumptions &amp; Inputs'!$K$31,'Assumptions &amp; Inputs'!$K$32), IF(YEAR('Assumptions &amp; Inputs'!$K$36)&gt;=AF110, 'Assumptions &amp; Inputs'!$K$67*(1+'Assumptions &amp; Inputs'!$K$22)^AF108, 0))))</f>
        <v>0</v>
      </c>
      <c r="AG138" s="65">
        <f>IF(AG114=0, 0, IF(YEAR('Assumptions &amp; Inputs'!$K$31)&gt;AG110, 0, IF(AG110=YEAR('Assumptions &amp; Inputs'!$K$31),'Assumptions &amp; Inputs'!$K$67*(1+'Assumptions &amp; Inputs'!$K$22)^AG108*YEARFRAC('Assumptions &amp; Inputs'!$K$31,'Assumptions &amp; Inputs'!$K$32), IF(YEAR('Assumptions &amp; Inputs'!$K$36)&gt;=AG110, 'Assumptions &amp; Inputs'!$K$67*(1+'Assumptions &amp; Inputs'!$K$22)^AG108, 0))))</f>
        <v>0</v>
      </c>
      <c r="AH138" s="65">
        <f>IF(AH114=0, 0, IF(YEAR('Assumptions &amp; Inputs'!$K$31)&gt;AH110, 0, IF(AH110=YEAR('Assumptions &amp; Inputs'!$K$31),'Assumptions &amp; Inputs'!$K$67*(1+'Assumptions &amp; Inputs'!$K$22)^AH108*YEARFRAC('Assumptions &amp; Inputs'!$K$31,'Assumptions &amp; Inputs'!$K$32), IF(YEAR('Assumptions &amp; Inputs'!$K$36)&gt;=AH110, 'Assumptions &amp; Inputs'!$K$67*(1+'Assumptions &amp; Inputs'!$K$22)^AH108, 0))))</f>
        <v>0</v>
      </c>
      <c r="AI138" s="65">
        <f>IF(AI114=0, 0, IF(YEAR('Assumptions &amp; Inputs'!$K$31)&gt;AI110, 0, IF(AI110=YEAR('Assumptions &amp; Inputs'!$K$31),'Assumptions &amp; Inputs'!$K$67*(1+'Assumptions &amp; Inputs'!$K$22)^AI108*YEARFRAC('Assumptions &amp; Inputs'!$K$31,'Assumptions &amp; Inputs'!$K$32), IF(YEAR('Assumptions &amp; Inputs'!$K$36)&gt;=AI110, 'Assumptions &amp; Inputs'!$K$67*(1+'Assumptions &amp; Inputs'!$K$22)^AI108, 0))))</f>
        <v>0</v>
      </c>
      <c r="AJ138" s="65">
        <f>IF(AJ114=0, 0, IF(YEAR('Assumptions &amp; Inputs'!$K$31)&gt;AJ110, 0, IF(AJ110=YEAR('Assumptions &amp; Inputs'!$K$31),'Assumptions &amp; Inputs'!$K$67*(1+'Assumptions &amp; Inputs'!$K$22)^AJ108*YEARFRAC('Assumptions &amp; Inputs'!$K$31,'Assumptions &amp; Inputs'!$K$32), IF(YEAR('Assumptions &amp; Inputs'!$K$36)&gt;=AJ110, 'Assumptions &amp; Inputs'!$K$67*(1+'Assumptions &amp; Inputs'!$K$22)^AJ108, 0))))</f>
        <v>0</v>
      </c>
      <c r="AK138" s="65">
        <f>IF(AK114=0, 0, IF(YEAR('Assumptions &amp; Inputs'!$K$31)&gt;AK110, 0, IF(AK110=YEAR('Assumptions &amp; Inputs'!$K$31),'Assumptions &amp; Inputs'!$K$67*(1+'Assumptions &amp; Inputs'!$K$22)^AK108*YEARFRAC('Assumptions &amp; Inputs'!$K$31,'Assumptions &amp; Inputs'!$K$32), IF(YEAR('Assumptions &amp; Inputs'!$K$36)&gt;=AK110, 'Assumptions &amp; Inputs'!$K$67*(1+'Assumptions &amp; Inputs'!$K$22)^AK108, 0))))</f>
        <v>0</v>
      </c>
      <c r="AL138" s="65">
        <f>IF(AL114=0, 0, IF(YEAR('Assumptions &amp; Inputs'!$K$31)&gt;AL110, 0, IF(AL110=YEAR('Assumptions &amp; Inputs'!$K$31),'Assumptions &amp; Inputs'!$K$67*(1+'Assumptions &amp; Inputs'!$K$22)^AL108*YEARFRAC('Assumptions &amp; Inputs'!$K$31,'Assumptions &amp; Inputs'!$K$32), IF(YEAR('Assumptions &amp; Inputs'!$K$36)&gt;=AL110, 'Assumptions &amp; Inputs'!$K$67*(1+'Assumptions &amp; Inputs'!$K$22)^AL108, 0))))</f>
        <v>0</v>
      </c>
      <c r="AM138" s="65">
        <f>IF(AM114=0, 0, IF(YEAR('Assumptions &amp; Inputs'!$K$31)&gt;AM110, 0, IF(AM110=YEAR('Assumptions &amp; Inputs'!$K$31),'Assumptions &amp; Inputs'!$K$67*(1+'Assumptions &amp; Inputs'!$K$22)^AM108*YEARFRAC('Assumptions &amp; Inputs'!$K$31,'Assumptions &amp; Inputs'!$K$32), IF(YEAR('Assumptions &amp; Inputs'!$K$36)&gt;=AM110, 'Assumptions &amp; Inputs'!$K$67*(1+'Assumptions &amp; Inputs'!$K$22)^AM108, 0))))</f>
        <v>0</v>
      </c>
      <c r="AN138" s="65">
        <f>IF(AN114=0, 0, IF(YEAR('Assumptions &amp; Inputs'!$K$31)&gt;AN110, 0, IF(AN110=YEAR('Assumptions &amp; Inputs'!$K$31),'Assumptions &amp; Inputs'!$K$67*(1+'Assumptions &amp; Inputs'!$K$22)^AN108*YEARFRAC('Assumptions &amp; Inputs'!$K$31,'Assumptions &amp; Inputs'!$K$32), IF(YEAR('Assumptions &amp; Inputs'!$K$36)&gt;=AN110, 'Assumptions &amp; Inputs'!$K$67*(1+'Assumptions &amp; Inputs'!$K$22)^AN108, 0))))</f>
        <v>0</v>
      </c>
      <c r="AO138" s="65">
        <f>IF(AO114=0, 0, IF(YEAR('Assumptions &amp; Inputs'!$K$31)&gt;AO110, 0, IF(AO110=YEAR('Assumptions &amp; Inputs'!$K$31),'Assumptions &amp; Inputs'!$K$67*(1+'Assumptions &amp; Inputs'!$K$22)^AO108*YEARFRAC('Assumptions &amp; Inputs'!$K$31,'Assumptions &amp; Inputs'!$K$32), IF(YEAR('Assumptions &amp; Inputs'!$K$36)&gt;=AO110, 'Assumptions &amp; Inputs'!$K$67*(1+'Assumptions &amp; Inputs'!$K$22)^AO108, 0))))</f>
        <v>0</v>
      </c>
      <c r="AP138" s="65">
        <f>IF(AP114=0, 0, IF(YEAR('Assumptions &amp; Inputs'!$K$31)&gt;AP110, 0, IF(AP110=YEAR('Assumptions &amp; Inputs'!$K$31),'Assumptions &amp; Inputs'!$K$67*(1+'Assumptions &amp; Inputs'!$K$22)^AP108*YEARFRAC('Assumptions &amp; Inputs'!$K$31,'Assumptions &amp; Inputs'!$K$32), IF(YEAR('Assumptions &amp; Inputs'!$K$36)&gt;=AP110, 'Assumptions &amp; Inputs'!$K$67*(1+'Assumptions &amp; Inputs'!$K$22)^AP108, 0))))</f>
        <v>0</v>
      </c>
      <c r="AQ138" s="65">
        <f>IF(AQ114=0, 0, IF(YEAR('Assumptions &amp; Inputs'!$K$31)&gt;AQ110, 0, IF(AQ110=YEAR('Assumptions &amp; Inputs'!$K$31),'Assumptions &amp; Inputs'!$K$67*(1+'Assumptions &amp; Inputs'!$K$22)^AQ108*YEARFRAC('Assumptions &amp; Inputs'!$K$31,'Assumptions &amp; Inputs'!$K$32), IF(YEAR('Assumptions &amp; Inputs'!$K$36)&gt;=AQ110, 'Assumptions &amp; Inputs'!$K$67*(1+'Assumptions &amp; Inputs'!$K$22)^AQ108, 0))))</f>
        <v>0</v>
      </c>
      <c r="AR138" s="65">
        <f>IF(AR114=0, 0, IF(YEAR('Assumptions &amp; Inputs'!$K$31)&gt;AR110, 0, IF(AR110=YEAR('Assumptions &amp; Inputs'!$K$31),'Assumptions &amp; Inputs'!$K$67*(1+'Assumptions &amp; Inputs'!$K$22)^AR108*YEARFRAC('Assumptions &amp; Inputs'!$K$31,'Assumptions &amp; Inputs'!$K$32), IF(YEAR('Assumptions &amp; Inputs'!$K$36)&gt;=AR110, 'Assumptions &amp; Inputs'!$K$67*(1+'Assumptions &amp; Inputs'!$K$22)^AR108, 0))))</f>
        <v>0</v>
      </c>
      <c r="AS138" s="65">
        <f>IF(AS114=0, 0, IF(YEAR('Assumptions &amp; Inputs'!$K$31)&gt;AS110, 0, IF(AS110=YEAR('Assumptions &amp; Inputs'!$K$31),'Assumptions &amp; Inputs'!$K$67*(1+'Assumptions &amp; Inputs'!$K$22)^AS108*YEARFRAC('Assumptions &amp; Inputs'!$K$31,'Assumptions &amp; Inputs'!$K$32), IF(YEAR('Assumptions &amp; Inputs'!$K$36)&gt;=AS110, 'Assumptions &amp; Inputs'!$K$67*(1+'Assumptions &amp; Inputs'!$K$22)^AS108, 0))))</f>
        <v>0</v>
      </c>
      <c r="AT138" s="65">
        <f>IF(AT114=0, 0, IF(YEAR('Assumptions &amp; Inputs'!$K$31)&gt;AT110, 0, IF(AT110=YEAR('Assumptions &amp; Inputs'!$K$31),'Assumptions &amp; Inputs'!$K$67*(1+'Assumptions &amp; Inputs'!$K$22)^AT108*YEARFRAC('Assumptions &amp; Inputs'!$K$31,'Assumptions &amp; Inputs'!$K$32), IF(YEAR('Assumptions &amp; Inputs'!$K$36)&gt;=AT110, 'Assumptions &amp; Inputs'!$K$67*(1+'Assumptions &amp; Inputs'!$K$22)^AT108, 0))))</f>
        <v>0</v>
      </c>
      <c r="AU138" s="65">
        <f>IF(AU114=0, 0, IF(YEAR('Assumptions &amp; Inputs'!$K$31)&gt;AU110, 0, IF(AU110=YEAR('Assumptions &amp; Inputs'!$K$31),'Assumptions &amp; Inputs'!$K$67*(1+'Assumptions &amp; Inputs'!$K$22)^AU108*YEARFRAC('Assumptions &amp; Inputs'!$K$31,'Assumptions &amp; Inputs'!$K$32), IF(YEAR('Assumptions &amp; Inputs'!$K$36)&gt;=AU110, 'Assumptions &amp; Inputs'!$K$67*(1+'Assumptions &amp; Inputs'!$K$22)^AU108, 0))))</f>
        <v>0</v>
      </c>
      <c r="AV138" s="65">
        <f>IF(AV114=0, 0, IF(YEAR('Assumptions &amp; Inputs'!$K$31)&gt;AV110, 0, IF(AV110=YEAR('Assumptions &amp; Inputs'!$K$31),'Assumptions &amp; Inputs'!$K$67*(1+'Assumptions &amp; Inputs'!$K$22)^AV108*YEARFRAC('Assumptions &amp; Inputs'!$K$31,'Assumptions &amp; Inputs'!$K$32), IF(YEAR('Assumptions &amp; Inputs'!$K$36)&gt;=AV110, 'Assumptions &amp; Inputs'!$K$67*(1+'Assumptions &amp; Inputs'!$K$22)^AV108, 0))))</f>
        <v>0</v>
      </c>
      <c r="AW138" s="65">
        <f>IF(AW114=0, 0, IF(YEAR('Assumptions &amp; Inputs'!$K$31)&gt;AW110, 0, IF(AW110=YEAR('Assumptions &amp; Inputs'!$K$31),'Assumptions &amp; Inputs'!$K$67*(1+'Assumptions &amp; Inputs'!$K$22)^AW108*YEARFRAC('Assumptions &amp; Inputs'!$K$31,'Assumptions &amp; Inputs'!$K$32), IF(YEAR('Assumptions &amp; Inputs'!$K$36)&gt;=AW110, 'Assumptions &amp; Inputs'!$K$67*(1+'Assumptions &amp; Inputs'!$K$22)^AW108, 0))))</f>
        <v>0</v>
      </c>
    </row>
    <row r="139" spans="3:49" ht="14.25" customHeight="1">
      <c r="C139" s="51" t="s">
        <v>516</v>
      </c>
      <c r="D139" s="71">
        <f>SUM(D134:D138)</f>
        <v>0</v>
      </c>
      <c r="E139" s="71">
        <f t="shared" ref="E139:AW139" si="213">SUM(E134:E138)</f>
        <v>19.150496365034201</v>
      </c>
      <c r="F139" s="71">
        <f t="shared" si="213"/>
        <v>25.676104107118714</v>
      </c>
      <c r="G139" s="71">
        <f t="shared" si="213"/>
        <v>25.799434842412083</v>
      </c>
      <c r="H139" s="71">
        <f t="shared" si="213"/>
        <v>25.900043174975465</v>
      </c>
      <c r="I139" s="71">
        <f t="shared" si="213"/>
        <v>26.048859877353284</v>
      </c>
      <c r="J139" s="71">
        <f t="shared" si="213"/>
        <v>26.208630772519271</v>
      </c>
      <c r="K139" s="71">
        <f t="shared" si="213"/>
        <v>26.37160249547151</v>
      </c>
      <c r="L139" s="71">
        <f t="shared" si="213"/>
        <v>26.537839149892093</v>
      </c>
      <c r="M139" s="71">
        <f t="shared" si="213"/>
        <v>26.707406122958879</v>
      </c>
      <c r="N139" s="71">
        <f t="shared" si="213"/>
        <v>26.880370111038932</v>
      </c>
      <c r="O139" s="71">
        <f t="shared" si="213"/>
        <v>27.056799145896179</v>
      </c>
      <c r="P139" s="71">
        <f t="shared" si="213"/>
        <v>27.236762621423651</v>
      </c>
      <c r="Q139" s="71">
        <f t="shared" si="213"/>
        <v>27.420331320910773</v>
      </c>
      <c r="R139" s="71">
        <f t="shared" si="213"/>
        <v>27.60757744485641</v>
      </c>
      <c r="S139" s="71">
        <f t="shared" si="213"/>
        <v>27.798574639338565</v>
      </c>
      <c r="T139" s="71">
        <f t="shared" si="213"/>
        <v>27.993398024951976</v>
      </c>
      <c r="U139" s="71">
        <f t="shared" si="213"/>
        <v>28.1921242263248</v>
      </c>
      <c r="V139" s="71">
        <f t="shared" si="213"/>
        <v>28.394831402226142</v>
      </c>
      <c r="W139" s="71">
        <f t="shared" si="213"/>
        <v>28.601599276276161</v>
      </c>
      <c r="X139" s="71">
        <f t="shared" si="213"/>
        <v>28.812509168270847</v>
      </c>
      <c r="Y139" s="71">
        <f t="shared" si="213"/>
        <v>29.027644026133714</v>
      </c>
      <c r="Z139" s="71">
        <f t="shared" si="213"/>
        <v>29.247088458507072</v>
      </c>
      <c r="AA139" s="71">
        <f t="shared" si="213"/>
        <v>29.470928767995545</v>
      </c>
      <c r="AB139" s="71">
        <f t="shared" si="213"/>
        <v>29.69925298507497</v>
      </c>
      <c r="AC139" s="71">
        <f t="shared" si="213"/>
        <v>29.932150902679975</v>
      </c>
      <c r="AD139" s="71">
        <f t="shared" si="213"/>
        <v>30.169714111483803</v>
      </c>
      <c r="AE139" s="71">
        <f t="shared" si="213"/>
        <v>0</v>
      </c>
      <c r="AF139" s="71">
        <f t="shared" si="213"/>
        <v>0</v>
      </c>
      <c r="AG139" s="71">
        <f t="shared" si="213"/>
        <v>0</v>
      </c>
      <c r="AH139" s="71">
        <f t="shared" si="213"/>
        <v>0</v>
      </c>
      <c r="AI139" s="71">
        <f t="shared" si="213"/>
        <v>0</v>
      </c>
      <c r="AJ139" s="71">
        <f t="shared" si="213"/>
        <v>0</v>
      </c>
      <c r="AK139" s="71">
        <f t="shared" si="213"/>
        <v>0</v>
      </c>
      <c r="AL139" s="71">
        <f t="shared" si="213"/>
        <v>0</v>
      </c>
      <c r="AM139" s="71">
        <f t="shared" si="213"/>
        <v>0</v>
      </c>
      <c r="AN139" s="71">
        <f t="shared" si="213"/>
        <v>0</v>
      </c>
      <c r="AO139" s="71">
        <f t="shared" si="213"/>
        <v>0</v>
      </c>
      <c r="AP139" s="71">
        <f t="shared" si="213"/>
        <v>0</v>
      </c>
      <c r="AQ139" s="71">
        <f t="shared" si="213"/>
        <v>0</v>
      </c>
      <c r="AR139" s="71">
        <f t="shared" si="213"/>
        <v>0</v>
      </c>
      <c r="AS139" s="71">
        <f t="shared" si="213"/>
        <v>0</v>
      </c>
      <c r="AT139" s="71">
        <f t="shared" si="213"/>
        <v>0</v>
      </c>
      <c r="AU139" s="71">
        <f t="shared" si="213"/>
        <v>0</v>
      </c>
      <c r="AV139" s="71">
        <f t="shared" si="213"/>
        <v>0</v>
      </c>
      <c r="AW139" s="71">
        <f t="shared" si="213"/>
        <v>0</v>
      </c>
    </row>
    <row r="140" spans="3:49" ht="14.25" customHeight="1">
      <c r="C140" s="44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</row>
    <row r="141" spans="3:49" ht="14.25" customHeight="1">
      <c r="C141" s="44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</row>
    <row r="142" spans="3:49" ht="14.25" customHeight="1">
      <c r="C142" s="124" t="s">
        <v>481</v>
      </c>
      <c r="D142" s="125">
        <f>SUM(D132,-D139)</f>
        <v>0</v>
      </c>
      <c r="E142" s="125">
        <f t="shared" ref="E142:AW142" si="214">SUM(E132,-E139)</f>
        <v>93.198656643058285</v>
      </c>
      <c r="F142" s="125">
        <f t="shared" si="214"/>
        <v>126.28437015433791</v>
      </c>
      <c r="G142" s="125">
        <f t="shared" si="214"/>
        <v>128.36587507472456</v>
      </c>
      <c r="H142" s="125">
        <f t="shared" si="214"/>
        <v>130.51419911095479</v>
      </c>
      <c r="I142" s="125">
        <f t="shared" si="214"/>
        <v>132.65929342474641</v>
      </c>
      <c r="J142" s="125">
        <f t="shared" si="214"/>
        <v>134.83931176607331</v>
      </c>
      <c r="K142" s="125">
        <f t="shared" si="214"/>
        <v>137.06292506434374</v>
      </c>
      <c r="L142" s="125">
        <f t="shared" si="214"/>
        <v>139.33100513157035</v>
      </c>
      <c r="M142" s="125">
        <f t="shared" si="214"/>
        <v>141.64444121458368</v>
      </c>
      <c r="N142" s="125">
        <f t="shared" si="214"/>
        <v>144.00414034370536</v>
      </c>
      <c r="O142" s="125">
        <f t="shared" si="214"/>
        <v>146.41102768839383</v>
      </c>
      <c r="P142" s="125">
        <f t="shared" si="214"/>
        <v>148.86604692000304</v>
      </c>
      <c r="Q142" s="125">
        <f t="shared" si="214"/>
        <v>151.37016058179532</v>
      </c>
      <c r="R142" s="125">
        <f t="shared" si="214"/>
        <v>153.9243504663547</v>
      </c>
      <c r="S142" s="125">
        <f t="shared" si="214"/>
        <v>156.52961800054757</v>
      </c>
      <c r="T142" s="125">
        <f t="shared" si="214"/>
        <v>159.18698463818279</v>
      </c>
      <c r="U142" s="125">
        <f t="shared" si="214"/>
        <v>161.89749226052353</v>
      </c>
      <c r="V142" s="125">
        <f t="shared" si="214"/>
        <v>164.66220358481002</v>
      </c>
      <c r="W142" s="125">
        <f t="shared" si="214"/>
        <v>167.48220258095159</v>
      </c>
      <c r="X142" s="125">
        <f t="shared" si="214"/>
        <v>170.35859489655232</v>
      </c>
      <c r="Y142" s="125">
        <f t="shared" si="214"/>
        <v>173.29250829043679</v>
      </c>
      <c r="Z142" s="125">
        <f t="shared" si="214"/>
        <v>176.28509307484569</v>
      </c>
      <c r="AA142" s="125">
        <f t="shared" si="214"/>
        <v>179.33752256647512</v>
      </c>
      <c r="AB142" s="125">
        <f t="shared" si="214"/>
        <v>182.45099354653601</v>
      </c>
      <c r="AC142" s="125">
        <f t="shared" si="214"/>
        <v>185.62672673001407</v>
      </c>
      <c r="AD142" s="125">
        <f t="shared" si="214"/>
        <v>188.86596724431502</v>
      </c>
      <c r="AE142" s="125">
        <f t="shared" si="214"/>
        <v>0</v>
      </c>
      <c r="AF142" s="125">
        <f t="shared" si="214"/>
        <v>0</v>
      </c>
      <c r="AG142" s="125">
        <f t="shared" si="214"/>
        <v>0</v>
      </c>
      <c r="AH142" s="125">
        <f t="shared" si="214"/>
        <v>0</v>
      </c>
      <c r="AI142" s="125">
        <f t="shared" si="214"/>
        <v>0</v>
      </c>
      <c r="AJ142" s="125">
        <f t="shared" si="214"/>
        <v>0</v>
      </c>
      <c r="AK142" s="125">
        <f t="shared" si="214"/>
        <v>0</v>
      </c>
      <c r="AL142" s="125">
        <f t="shared" si="214"/>
        <v>0</v>
      </c>
      <c r="AM142" s="125">
        <f t="shared" si="214"/>
        <v>0</v>
      </c>
      <c r="AN142" s="125">
        <f t="shared" si="214"/>
        <v>0</v>
      </c>
      <c r="AO142" s="125">
        <f t="shared" si="214"/>
        <v>0</v>
      </c>
      <c r="AP142" s="125">
        <f t="shared" si="214"/>
        <v>0</v>
      </c>
      <c r="AQ142" s="125">
        <f t="shared" si="214"/>
        <v>0</v>
      </c>
      <c r="AR142" s="125">
        <f t="shared" si="214"/>
        <v>0</v>
      </c>
      <c r="AS142" s="125">
        <f t="shared" si="214"/>
        <v>0</v>
      </c>
      <c r="AT142" s="125">
        <f t="shared" si="214"/>
        <v>0</v>
      </c>
      <c r="AU142" s="125">
        <f t="shared" si="214"/>
        <v>0</v>
      </c>
      <c r="AV142" s="125">
        <f t="shared" si="214"/>
        <v>0</v>
      </c>
      <c r="AW142" s="125">
        <f t="shared" si="214"/>
        <v>0</v>
      </c>
    </row>
    <row r="143" spans="3:49" ht="14.25" customHeight="1">
      <c r="C143" s="44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</row>
    <row r="144" spans="3:49" ht="14.25" customHeight="1">
      <c r="C144" s="46" t="s">
        <v>482</v>
      </c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</row>
    <row r="145" spans="3:49" ht="14.25" customHeight="1">
      <c r="C145" s="54" t="s">
        <v>517</v>
      </c>
      <c r="D145" s="70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spans="3:49" ht="14.25" customHeight="1">
      <c r="C146" s="54" t="s">
        <v>485</v>
      </c>
      <c r="D146" s="70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3:49" ht="14.25" customHeight="1">
      <c r="C147" s="57" t="s">
        <v>518</v>
      </c>
      <c r="D147" s="70"/>
      <c r="E147" s="73"/>
      <c r="F147" s="73"/>
      <c r="G147" s="73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3:49" ht="14.25" customHeight="1">
      <c r="C148" s="59" t="s">
        <v>486</v>
      </c>
      <c r="D148" s="74">
        <f t="shared" ref="D148:X148" si="215">SUM(D145:D147)</f>
        <v>0</v>
      </c>
      <c r="E148" s="74">
        <f t="shared" si="215"/>
        <v>0</v>
      </c>
      <c r="F148" s="74">
        <f t="shared" si="215"/>
        <v>0</v>
      </c>
      <c r="G148" s="74">
        <f t="shared" si="215"/>
        <v>0</v>
      </c>
      <c r="H148" s="74">
        <f t="shared" si="215"/>
        <v>0</v>
      </c>
      <c r="I148" s="74">
        <f t="shared" si="215"/>
        <v>0</v>
      </c>
      <c r="J148" s="74">
        <f t="shared" si="215"/>
        <v>0</v>
      </c>
      <c r="K148" s="74">
        <f t="shared" si="215"/>
        <v>0</v>
      </c>
      <c r="L148" s="74">
        <f t="shared" si="215"/>
        <v>0</v>
      </c>
      <c r="M148" s="74">
        <f t="shared" si="215"/>
        <v>0</v>
      </c>
      <c r="N148" s="74">
        <f t="shared" si="215"/>
        <v>0</v>
      </c>
      <c r="O148" s="74">
        <f t="shared" si="215"/>
        <v>0</v>
      </c>
      <c r="P148" s="74">
        <f t="shared" si="215"/>
        <v>0</v>
      </c>
      <c r="Q148" s="74">
        <f t="shared" si="215"/>
        <v>0</v>
      </c>
      <c r="R148" s="74">
        <f t="shared" si="215"/>
        <v>0</v>
      </c>
      <c r="S148" s="74">
        <f t="shared" si="215"/>
        <v>0</v>
      </c>
      <c r="T148" s="74">
        <f t="shared" si="215"/>
        <v>0</v>
      </c>
      <c r="U148" s="74">
        <f t="shared" si="215"/>
        <v>0</v>
      </c>
      <c r="V148" s="74">
        <f t="shared" si="215"/>
        <v>0</v>
      </c>
      <c r="W148" s="74">
        <f t="shared" si="215"/>
        <v>0</v>
      </c>
      <c r="X148" s="74">
        <f t="shared" si="215"/>
        <v>0</v>
      </c>
      <c r="Y148" s="74">
        <f t="shared" ref="Y148" si="216">SUM(Y145:Y147)</f>
        <v>0</v>
      </c>
      <c r="Z148" s="74">
        <f t="shared" ref="Z148" si="217">SUM(Z145:Z147)</f>
        <v>0</v>
      </c>
      <c r="AA148" s="74">
        <f t="shared" ref="AA148" si="218">SUM(AA145:AA147)</f>
        <v>0</v>
      </c>
      <c r="AB148" s="74">
        <f t="shared" ref="AB148" si="219">SUM(AB145:AB147)</f>
        <v>0</v>
      </c>
      <c r="AC148" s="74">
        <f t="shared" ref="AC148" si="220">SUM(AC145:AC147)</f>
        <v>0</v>
      </c>
      <c r="AD148" s="74">
        <f t="shared" ref="AD148" si="221">SUM(AD145:AD147)</f>
        <v>0</v>
      </c>
      <c r="AE148" s="74">
        <f t="shared" ref="AE148" si="222">SUM(AE145:AE147)</f>
        <v>0</v>
      </c>
      <c r="AF148" s="74">
        <f t="shared" ref="AF148" si="223">SUM(AF145:AF147)</f>
        <v>0</v>
      </c>
      <c r="AG148" s="74">
        <f t="shared" ref="AG148" si="224">SUM(AG145:AG147)</f>
        <v>0</v>
      </c>
      <c r="AH148" s="74">
        <f t="shared" ref="AH148" si="225">SUM(AH145:AH147)</f>
        <v>0</v>
      </c>
      <c r="AI148" s="74">
        <f t="shared" ref="AI148" si="226">SUM(AI145:AI147)</f>
        <v>0</v>
      </c>
      <c r="AJ148" s="74">
        <f t="shared" ref="AJ148" si="227">SUM(AJ145:AJ147)</f>
        <v>0</v>
      </c>
      <c r="AK148" s="74">
        <f t="shared" ref="AK148" si="228">SUM(AK145:AK147)</f>
        <v>0</v>
      </c>
      <c r="AL148" s="74">
        <f t="shared" ref="AL148" si="229">SUM(AL145:AL147)</f>
        <v>0</v>
      </c>
      <c r="AM148" s="74">
        <f t="shared" ref="AM148" si="230">SUM(AM145:AM147)</f>
        <v>0</v>
      </c>
      <c r="AN148" s="74">
        <f t="shared" ref="AN148" si="231">SUM(AN145:AN147)</f>
        <v>0</v>
      </c>
      <c r="AO148" s="74">
        <f t="shared" ref="AO148" si="232">SUM(AO145:AO147)</f>
        <v>0</v>
      </c>
      <c r="AP148" s="74">
        <f t="shared" ref="AP148" si="233">SUM(AP145:AP147)</f>
        <v>0</v>
      </c>
      <c r="AQ148" s="74">
        <f t="shared" ref="AQ148" si="234">SUM(AQ145:AQ147)</f>
        <v>0</v>
      </c>
      <c r="AR148" s="74">
        <f t="shared" ref="AR148" si="235">SUM(AR145:AR147)</f>
        <v>0</v>
      </c>
      <c r="AS148" s="74">
        <f t="shared" ref="AS148" si="236">SUM(AS145:AS147)</f>
        <v>0</v>
      </c>
      <c r="AT148" s="74">
        <f t="shared" ref="AT148" si="237">SUM(AT145:AT147)</f>
        <v>0</v>
      </c>
      <c r="AU148" s="74">
        <f t="shared" ref="AU148" si="238">SUM(AU145:AU147)</f>
        <v>0</v>
      </c>
      <c r="AV148" s="74">
        <f t="shared" ref="AV148" si="239">SUM(AV145:AV147)</f>
        <v>0</v>
      </c>
      <c r="AW148" s="74">
        <f t="shared" ref="AW148" si="240">SUM(AW145:AW147)</f>
        <v>0</v>
      </c>
    </row>
    <row r="149" spans="3:49" ht="14.25" customHeight="1">
      <c r="C149" s="44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3:49" ht="14.25" customHeight="1">
      <c r="C150" s="44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</row>
    <row r="151" spans="3:49" ht="14.25" customHeight="1">
      <c r="C151" s="124" t="s">
        <v>487</v>
      </c>
      <c r="D151" s="125">
        <f t="shared" ref="D151:X151" si="241">+SUM(D142,D148)</f>
        <v>0</v>
      </c>
      <c r="E151" s="125">
        <f t="shared" si="241"/>
        <v>93.198656643058285</v>
      </c>
      <c r="F151" s="125">
        <f t="shared" si="241"/>
        <v>126.28437015433791</v>
      </c>
      <c r="G151" s="125">
        <f t="shared" si="241"/>
        <v>128.36587507472456</v>
      </c>
      <c r="H151" s="125">
        <f t="shared" si="241"/>
        <v>130.51419911095479</v>
      </c>
      <c r="I151" s="125">
        <f t="shared" si="241"/>
        <v>132.65929342474641</v>
      </c>
      <c r="J151" s="125">
        <f t="shared" si="241"/>
        <v>134.83931176607331</v>
      </c>
      <c r="K151" s="125">
        <f t="shared" si="241"/>
        <v>137.06292506434374</v>
      </c>
      <c r="L151" s="125">
        <f t="shared" si="241"/>
        <v>139.33100513157035</v>
      </c>
      <c r="M151" s="125">
        <f t="shared" si="241"/>
        <v>141.64444121458368</v>
      </c>
      <c r="N151" s="125">
        <f t="shared" si="241"/>
        <v>144.00414034370536</v>
      </c>
      <c r="O151" s="125">
        <f t="shared" si="241"/>
        <v>146.41102768839383</v>
      </c>
      <c r="P151" s="125">
        <f t="shared" si="241"/>
        <v>148.86604692000304</v>
      </c>
      <c r="Q151" s="125">
        <f t="shared" si="241"/>
        <v>151.37016058179532</v>
      </c>
      <c r="R151" s="125">
        <f t="shared" si="241"/>
        <v>153.9243504663547</v>
      </c>
      <c r="S151" s="125">
        <f t="shared" si="241"/>
        <v>156.52961800054757</v>
      </c>
      <c r="T151" s="125">
        <f t="shared" si="241"/>
        <v>159.18698463818279</v>
      </c>
      <c r="U151" s="125">
        <f t="shared" si="241"/>
        <v>161.89749226052353</v>
      </c>
      <c r="V151" s="125">
        <f t="shared" si="241"/>
        <v>164.66220358481002</v>
      </c>
      <c r="W151" s="125">
        <f t="shared" si="241"/>
        <v>167.48220258095159</v>
      </c>
      <c r="X151" s="125">
        <f t="shared" si="241"/>
        <v>170.35859489655232</v>
      </c>
      <c r="Y151" s="125">
        <f t="shared" ref="Y151:AW151" si="242">+SUM(Y142,Y148)</f>
        <v>173.29250829043679</v>
      </c>
      <c r="Z151" s="125">
        <f t="shared" si="242"/>
        <v>176.28509307484569</v>
      </c>
      <c r="AA151" s="125">
        <f t="shared" si="242"/>
        <v>179.33752256647512</v>
      </c>
      <c r="AB151" s="125">
        <f t="shared" si="242"/>
        <v>182.45099354653601</v>
      </c>
      <c r="AC151" s="125">
        <f t="shared" si="242"/>
        <v>185.62672673001407</v>
      </c>
      <c r="AD151" s="125">
        <f t="shared" si="242"/>
        <v>188.86596724431502</v>
      </c>
      <c r="AE151" s="125">
        <f t="shared" si="242"/>
        <v>0</v>
      </c>
      <c r="AF151" s="125">
        <f t="shared" si="242"/>
        <v>0</v>
      </c>
      <c r="AG151" s="125">
        <f t="shared" si="242"/>
        <v>0</v>
      </c>
      <c r="AH151" s="125">
        <f t="shared" si="242"/>
        <v>0</v>
      </c>
      <c r="AI151" s="125">
        <f t="shared" si="242"/>
        <v>0</v>
      </c>
      <c r="AJ151" s="125">
        <f t="shared" si="242"/>
        <v>0</v>
      </c>
      <c r="AK151" s="125">
        <f t="shared" si="242"/>
        <v>0</v>
      </c>
      <c r="AL151" s="125">
        <f t="shared" si="242"/>
        <v>0</v>
      </c>
      <c r="AM151" s="125">
        <f t="shared" si="242"/>
        <v>0</v>
      </c>
      <c r="AN151" s="125">
        <f t="shared" si="242"/>
        <v>0</v>
      </c>
      <c r="AO151" s="125">
        <f t="shared" si="242"/>
        <v>0</v>
      </c>
      <c r="AP151" s="125">
        <f t="shared" si="242"/>
        <v>0</v>
      </c>
      <c r="AQ151" s="125">
        <f t="shared" si="242"/>
        <v>0</v>
      </c>
      <c r="AR151" s="125">
        <f t="shared" si="242"/>
        <v>0</v>
      </c>
      <c r="AS151" s="125">
        <f t="shared" si="242"/>
        <v>0</v>
      </c>
      <c r="AT151" s="125">
        <f t="shared" si="242"/>
        <v>0</v>
      </c>
      <c r="AU151" s="125">
        <f t="shared" si="242"/>
        <v>0</v>
      </c>
      <c r="AV151" s="125">
        <f t="shared" si="242"/>
        <v>0</v>
      </c>
      <c r="AW151" s="125">
        <f t="shared" si="242"/>
        <v>0</v>
      </c>
    </row>
    <row r="152" spans="3:49" ht="14.25" customHeight="1">
      <c r="C152" s="126" t="s">
        <v>488</v>
      </c>
      <c r="D152" s="127">
        <f>IF(D151&gt;0,-D151*SUM('Assumptions &amp; Inputs'!$L$13:$L$14),0)</f>
        <v>0</v>
      </c>
      <c r="E152" s="127">
        <f>IF(E151&gt;0,-E151*SUM('Assumptions &amp; Inputs'!$L$13:$L$14),0)</f>
        <v>-23.299664160764571</v>
      </c>
      <c r="F152" s="127">
        <f>IF(F151&gt;0,-F151*SUM('Assumptions &amp; Inputs'!$L$13:$L$14),0)</f>
        <v>-31.571092538584477</v>
      </c>
      <c r="G152" s="127">
        <f>IF(G151&gt;0,-G151*SUM('Assumptions &amp; Inputs'!$L$13:$L$14),0)</f>
        <v>-32.091468768681139</v>
      </c>
      <c r="H152" s="127">
        <f>IF(H151&gt;0,-H151*SUM('Assumptions &amp; Inputs'!$L$13:$L$14),0)</f>
        <v>-32.628549777738698</v>
      </c>
      <c r="I152" s="127">
        <f>IF(I151&gt;0,-I151*SUM('Assumptions &amp; Inputs'!$L$13:$L$14),0)</f>
        <v>-33.164823356186602</v>
      </c>
      <c r="J152" s="127">
        <f>IF(J151&gt;0,-J151*SUM('Assumptions &amp; Inputs'!$L$13:$L$14),0)</f>
        <v>-33.709827941518327</v>
      </c>
      <c r="K152" s="127">
        <f>IF(K151&gt;0,-K151*SUM('Assumptions &amp; Inputs'!$L$13:$L$14),0)</f>
        <v>-34.265731266085936</v>
      </c>
      <c r="L152" s="127">
        <f>IF(L151&gt;0,-L151*SUM('Assumptions &amp; Inputs'!$L$13:$L$14),0)</f>
        <v>-34.832751282892588</v>
      </c>
      <c r="M152" s="127">
        <f>IF(M151&gt;0,-M151*SUM('Assumptions &amp; Inputs'!$L$13:$L$14),0)</f>
        <v>-35.41111030364592</v>
      </c>
      <c r="N152" s="127">
        <f>IF(N151&gt;0,-N151*SUM('Assumptions &amp; Inputs'!$L$13:$L$14),0)</f>
        <v>-36.00103508592634</v>
      </c>
      <c r="O152" s="127">
        <f>IF(O151&gt;0,-O151*SUM('Assumptions &amp; Inputs'!$L$13:$L$14),0)</f>
        <v>-36.602756922098457</v>
      </c>
      <c r="P152" s="127">
        <f>IF(P151&gt;0,-P151*SUM('Assumptions &amp; Inputs'!$L$13:$L$14),0)</f>
        <v>-37.216511730000761</v>
      </c>
      <c r="Q152" s="127">
        <f>IF(Q151&gt;0,-Q151*SUM('Assumptions &amp; Inputs'!$L$13:$L$14),0)</f>
        <v>-37.842540145448829</v>
      </c>
      <c r="R152" s="127">
        <f>IF(R151&gt;0,-R151*SUM('Assumptions &amp; Inputs'!$L$13:$L$14),0)</f>
        <v>-38.481087616588674</v>
      </c>
      <c r="S152" s="127">
        <f>IF(S151&gt;0,-S151*SUM('Assumptions &amp; Inputs'!$L$13:$L$14),0)</f>
        <v>-39.132404500136893</v>
      </c>
      <c r="T152" s="127">
        <f>IF(T151&gt;0,-T151*SUM('Assumptions &amp; Inputs'!$L$13:$L$14),0)</f>
        <v>-39.796746159545698</v>
      </c>
      <c r="U152" s="127">
        <f>IF(U151&gt;0,-U151*SUM('Assumptions &amp; Inputs'!$L$13:$L$14),0)</f>
        <v>-40.474373065130884</v>
      </c>
      <c r="V152" s="127">
        <f>IF(V151&gt;0,-V151*SUM('Assumptions &amp; Inputs'!$L$13:$L$14),0)</f>
        <v>-41.165550896202504</v>
      </c>
      <c r="W152" s="127">
        <f>IF(W151&gt;0,-W151*SUM('Assumptions &amp; Inputs'!$L$13:$L$14),0)</f>
        <v>-41.870550645237898</v>
      </c>
      <c r="X152" s="127">
        <f>IF(X151&gt;0,-X151*SUM('Assumptions &amp; Inputs'!$L$13:$L$14),0)</f>
        <v>-42.58964872413808</v>
      </c>
      <c r="Y152" s="127">
        <f>IF(Y151&gt;0,-Y151*SUM('Assumptions &amp; Inputs'!$L$13:$L$14),0)</f>
        <v>-43.323127072609196</v>
      </c>
      <c r="Z152" s="127">
        <f>IF(Z151&gt;0,-Z151*SUM('Assumptions &amp; Inputs'!$L$13:$L$14),0)</f>
        <v>-44.071273268711423</v>
      </c>
      <c r="AA152" s="127">
        <f>IF(AA151&gt;0,-AA151*SUM('Assumptions &amp; Inputs'!$L$13:$L$14),0)</f>
        <v>-44.834380641618779</v>
      </c>
      <c r="AB152" s="127">
        <f>IF(AB151&gt;0,-AB151*SUM('Assumptions &amp; Inputs'!$L$13:$L$14),0)</f>
        <v>-45.612748386634003</v>
      </c>
      <c r="AC152" s="127">
        <f>IF(AC151&gt;0,-AC151*SUM('Assumptions &amp; Inputs'!$L$13:$L$14),0)</f>
        <v>-46.406681682503518</v>
      </c>
      <c r="AD152" s="127">
        <f>IF(AD151&gt;0,-AD151*SUM('Assumptions &amp; Inputs'!$L$13:$L$14),0)</f>
        <v>-47.216491811078754</v>
      </c>
      <c r="AE152" s="127">
        <f>IF(AE151&gt;0,-AE151*SUM('Assumptions &amp; Inputs'!$L$13:$L$14),0)</f>
        <v>0</v>
      </c>
      <c r="AF152" s="127">
        <f>IF(AF151&gt;0,-AF151*SUM('Assumptions &amp; Inputs'!$L$13:$L$14),0)</f>
        <v>0</v>
      </c>
      <c r="AG152" s="127">
        <f>IF(AG151&gt;0,-AG151*SUM('Assumptions &amp; Inputs'!$L$13:$L$14),0)</f>
        <v>0</v>
      </c>
      <c r="AH152" s="127">
        <f>IF(AH151&gt;0,-AH151*SUM('Assumptions &amp; Inputs'!$L$13:$L$14),0)</f>
        <v>0</v>
      </c>
      <c r="AI152" s="127">
        <f>IF(AI151&gt;0,-AI151*SUM('Assumptions &amp; Inputs'!$L$13:$L$14),0)</f>
        <v>0</v>
      </c>
      <c r="AJ152" s="127">
        <f>IF(AJ151&gt;0,-AJ151*SUM('Assumptions &amp; Inputs'!$L$13:$L$14),0)</f>
        <v>0</v>
      </c>
      <c r="AK152" s="127">
        <f>IF(AK151&gt;0,-AK151*SUM('Assumptions &amp; Inputs'!$L$13:$L$14),0)</f>
        <v>0</v>
      </c>
      <c r="AL152" s="127">
        <f>IF(AL151&gt;0,-AL151*SUM('Assumptions &amp; Inputs'!$L$13:$L$14),0)</f>
        <v>0</v>
      </c>
      <c r="AM152" s="127">
        <f>IF(AM151&gt;0,-AM151*SUM('Assumptions &amp; Inputs'!$L$13:$L$14),0)</f>
        <v>0</v>
      </c>
      <c r="AN152" s="127">
        <f>IF(AN151&gt;0,-AN151*SUM('Assumptions &amp; Inputs'!$L$13:$L$14),0)</f>
        <v>0</v>
      </c>
      <c r="AO152" s="127">
        <f>IF(AO151&gt;0,-AO151*SUM('Assumptions &amp; Inputs'!$L$13:$L$14),0)</f>
        <v>0</v>
      </c>
      <c r="AP152" s="127">
        <f>IF(AP151&gt;0,-AP151*SUM('Assumptions &amp; Inputs'!$L$13:$L$14),0)</f>
        <v>0</v>
      </c>
      <c r="AQ152" s="127">
        <f>IF(AQ151&gt;0,-AQ151*SUM('Assumptions &amp; Inputs'!$L$13:$L$14),0)</f>
        <v>0</v>
      </c>
      <c r="AR152" s="127">
        <f>IF(AR151&gt;0,-AR151*SUM('Assumptions &amp; Inputs'!$L$13:$L$14),0)</f>
        <v>0</v>
      </c>
      <c r="AS152" s="127">
        <f>IF(AS151&gt;0,-AS151*SUM('Assumptions &amp; Inputs'!$L$13:$L$14),0)</f>
        <v>0</v>
      </c>
      <c r="AT152" s="127">
        <f>IF(AT151&gt;0,-AT151*SUM('Assumptions &amp; Inputs'!$L$13:$L$14),0)</f>
        <v>0</v>
      </c>
      <c r="AU152" s="127">
        <f>IF(AU151&gt;0,-AU151*SUM('Assumptions &amp; Inputs'!$L$13:$L$14),0)</f>
        <v>0</v>
      </c>
      <c r="AV152" s="127">
        <f>IF(AV151&gt;0,-AV151*SUM('Assumptions &amp; Inputs'!$L$13:$L$14),0)</f>
        <v>0</v>
      </c>
      <c r="AW152" s="127">
        <f>IF(AW151&gt;0,-AW151*SUM('Assumptions &amp; Inputs'!$L$13:$L$14),0)</f>
        <v>0</v>
      </c>
    </row>
    <row r="153" spans="3:49" ht="14.25" customHeight="1">
      <c r="C153" s="44"/>
      <c r="D153" s="44"/>
      <c r="E153" s="55"/>
      <c r="F153" s="55"/>
      <c r="G153" s="55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</row>
    <row r="154" spans="3:49" ht="14.25" customHeight="1">
      <c r="C154" s="7" t="s">
        <v>489</v>
      </c>
      <c r="D154" s="72">
        <f t="shared" ref="D154:X154" si="243">SUM(D151,-D152)</f>
        <v>0</v>
      </c>
      <c r="E154" s="72">
        <f t="shared" si="243"/>
        <v>116.49832080382285</v>
      </c>
      <c r="F154" s="72">
        <f t="shared" si="243"/>
        <v>157.85546269292237</v>
      </c>
      <c r="G154" s="72">
        <f t="shared" si="243"/>
        <v>160.45734384340568</v>
      </c>
      <c r="H154" s="72">
        <f t="shared" si="243"/>
        <v>163.14274888869349</v>
      </c>
      <c r="I154" s="72">
        <f t="shared" si="243"/>
        <v>165.82411678093302</v>
      </c>
      <c r="J154" s="72">
        <f t="shared" si="243"/>
        <v>168.54913970759162</v>
      </c>
      <c r="K154" s="72">
        <f t="shared" si="243"/>
        <v>171.32865633042968</v>
      </c>
      <c r="L154" s="72">
        <f t="shared" si="243"/>
        <v>174.16375641446294</v>
      </c>
      <c r="M154" s="72">
        <f t="shared" si="243"/>
        <v>177.05555151822961</v>
      </c>
      <c r="N154" s="72">
        <f t="shared" si="243"/>
        <v>180.00517542963169</v>
      </c>
      <c r="O154" s="72">
        <f t="shared" si="243"/>
        <v>183.01378461049228</v>
      </c>
      <c r="P154" s="72">
        <f t="shared" si="243"/>
        <v>186.08255865000382</v>
      </c>
      <c r="Q154" s="72">
        <f t="shared" si="243"/>
        <v>189.21270072724414</v>
      </c>
      <c r="R154" s="72">
        <f t="shared" si="243"/>
        <v>192.40543808294336</v>
      </c>
      <c r="S154" s="72">
        <f t="shared" si="243"/>
        <v>195.66202250068446</v>
      </c>
      <c r="T154" s="72">
        <f t="shared" si="243"/>
        <v>198.9837307977285</v>
      </c>
      <c r="U154" s="72">
        <f t="shared" si="243"/>
        <v>202.37186532565443</v>
      </c>
      <c r="V154" s="72">
        <f t="shared" si="243"/>
        <v>205.82775448101251</v>
      </c>
      <c r="W154" s="72">
        <f t="shared" si="243"/>
        <v>209.35275322618949</v>
      </c>
      <c r="X154" s="72">
        <f t="shared" si="243"/>
        <v>212.94824362069039</v>
      </c>
      <c r="Y154" s="72">
        <f t="shared" ref="Y154:AW154" si="244">SUM(Y151,-Y152)</f>
        <v>216.61563536304598</v>
      </c>
      <c r="Z154" s="72">
        <f t="shared" si="244"/>
        <v>220.35636634355711</v>
      </c>
      <c r="AA154" s="72">
        <f t="shared" si="244"/>
        <v>224.17190320809391</v>
      </c>
      <c r="AB154" s="72">
        <f t="shared" si="244"/>
        <v>228.06374193317001</v>
      </c>
      <c r="AC154" s="72">
        <f t="shared" si="244"/>
        <v>232.03340841251759</v>
      </c>
      <c r="AD154" s="72">
        <f t="shared" si="244"/>
        <v>236.08245905539377</v>
      </c>
      <c r="AE154" s="72">
        <f t="shared" si="244"/>
        <v>0</v>
      </c>
      <c r="AF154" s="72">
        <f t="shared" si="244"/>
        <v>0</v>
      </c>
      <c r="AG154" s="72">
        <f t="shared" si="244"/>
        <v>0</v>
      </c>
      <c r="AH154" s="72">
        <f t="shared" si="244"/>
        <v>0</v>
      </c>
      <c r="AI154" s="72">
        <f t="shared" si="244"/>
        <v>0</v>
      </c>
      <c r="AJ154" s="72">
        <f t="shared" si="244"/>
        <v>0</v>
      </c>
      <c r="AK154" s="72">
        <f t="shared" si="244"/>
        <v>0</v>
      </c>
      <c r="AL154" s="72">
        <f t="shared" si="244"/>
        <v>0</v>
      </c>
      <c r="AM154" s="72">
        <f t="shared" si="244"/>
        <v>0</v>
      </c>
      <c r="AN154" s="72">
        <f t="shared" si="244"/>
        <v>0</v>
      </c>
      <c r="AO154" s="72">
        <f t="shared" si="244"/>
        <v>0</v>
      </c>
      <c r="AP154" s="72">
        <f t="shared" si="244"/>
        <v>0</v>
      </c>
      <c r="AQ154" s="72">
        <f t="shared" si="244"/>
        <v>0</v>
      </c>
      <c r="AR154" s="72">
        <f t="shared" si="244"/>
        <v>0</v>
      </c>
      <c r="AS154" s="72">
        <f t="shared" si="244"/>
        <v>0</v>
      </c>
      <c r="AT154" s="72">
        <f t="shared" si="244"/>
        <v>0</v>
      </c>
      <c r="AU154" s="72">
        <f t="shared" si="244"/>
        <v>0</v>
      </c>
      <c r="AV154" s="72">
        <f t="shared" si="244"/>
        <v>0</v>
      </c>
      <c r="AW154" s="72">
        <f t="shared" si="244"/>
        <v>0</v>
      </c>
    </row>
    <row r="155" spans="3:49" ht="14.25" customHeight="1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3:49" ht="14.25" customHeight="1">
      <c r="C156" s="2" t="s">
        <v>490</v>
      </c>
      <c r="D156" s="61">
        <f>D$24</f>
        <v>-103.125</v>
      </c>
      <c r="E156" s="61">
        <f t="shared" ref="E156:AW156" si="245">E$24</f>
        <v>-9.375</v>
      </c>
      <c r="F156" s="61">
        <f t="shared" si="245"/>
        <v>0</v>
      </c>
      <c r="G156" s="61">
        <f t="shared" si="245"/>
        <v>0</v>
      </c>
      <c r="H156" s="61">
        <f t="shared" si="245"/>
        <v>0</v>
      </c>
      <c r="I156" s="61">
        <f t="shared" si="245"/>
        <v>0</v>
      </c>
      <c r="J156" s="61">
        <f t="shared" si="245"/>
        <v>0</v>
      </c>
      <c r="K156" s="61">
        <f t="shared" si="245"/>
        <v>0</v>
      </c>
      <c r="L156" s="61">
        <f t="shared" si="245"/>
        <v>0</v>
      </c>
      <c r="M156" s="61">
        <f t="shared" si="245"/>
        <v>0</v>
      </c>
      <c r="N156" s="61">
        <f t="shared" si="245"/>
        <v>0</v>
      </c>
      <c r="O156" s="61">
        <f t="shared" si="245"/>
        <v>0</v>
      </c>
      <c r="P156" s="61">
        <f t="shared" si="245"/>
        <v>0</v>
      </c>
      <c r="Q156" s="61">
        <f t="shared" si="245"/>
        <v>0</v>
      </c>
      <c r="R156" s="61">
        <f t="shared" si="245"/>
        <v>0</v>
      </c>
      <c r="S156" s="61">
        <f t="shared" si="245"/>
        <v>0</v>
      </c>
      <c r="T156" s="61">
        <f t="shared" si="245"/>
        <v>0</v>
      </c>
      <c r="U156" s="61">
        <f t="shared" si="245"/>
        <v>0</v>
      </c>
      <c r="V156" s="61">
        <f t="shared" si="245"/>
        <v>0</v>
      </c>
      <c r="W156" s="61">
        <f t="shared" si="245"/>
        <v>0</v>
      </c>
      <c r="X156" s="61">
        <f t="shared" si="245"/>
        <v>0</v>
      </c>
      <c r="Y156" s="61">
        <f t="shared" si="245"/>
        <v>0</v>
      </c>
      <c r="Z156" s="61">
        <f t="shared" si="245"/>
        <v>0</v>
      </c>
      <c r="AA156" s="61">
        <f t="shared" si="245"/>
        <v>0</v>
      </c>
      <c r="AB156" s="61">
        <f t="shared" si="245"/>
        <v>0</v>
      </c>
      <c r="AC156" s="61">
        <f t="shared" si="245"/>
        <v>0</v>
      </c>
      <c r="AD156" s="61">
        <f t="shared" si="245"/>
        <v>0</v>
      </c>
      <c r="AE156" s="61">
        <f t="shared" si="245"/>
        <v>0</v>
      </c>
      <c r="AF156" s="61">
        <f t="shared" si="245"/>
        <v>0</v>
      </c>
      <c r="AG156" s="61">
        <f t="shared" si="245"/>
        <v>0</v>
      </c>
      <c r="AH156" s="61">
        <f t="shared" si="245"/>
        <v>0</v>
      </c>
      <c r="AI156" s="61">
        <f t="shared" si="245"/>
        <v>0</v>
      </c>
      <c r="AJ156" s="61">
        <f t="shared" si="245"/>
        <v>0</v>
      </c>
      <c r="AK156" s="61">
        <f t="shared" si="245"/>
        <v>0</v>
      </c>
      <c r="AL156" s="61">
        <f t="shared" si="245"/>
        <v>0</v>
      </c>
      <c r="AM156" s="61">
        <f t="shared" si="245"/>
        <v>0</v>
      </c>
      <c r="AN156" s="61">
        <f t="shared" si="245"/>
        <v>0</v>
      </c>
      <c r="AO156" s="61">
        <f t="shared" si="245"/>
        <v>0</v>
      </c>
      <c r="AP156" s="61">
        <f t="shared" si="245"/>
        <v>0</v>
      </c>
      <c r="AQ156" s="61">
        <f t="shared" si="245"/>
        <v>0</v>
      </c>
      <c r="AR156" s="61">
        <f t="shared" si="245"/>
        <v>0</v>
      </c>
      <c r="AS156" s="61">
        <f t="shared" si="245"/>
        <v>0</v>
      </c>
      <c r="AT156" s="61">
        <f t="shared" si="245"/>
        <v>0</v>
      </c>
      <c r="AU156" s="61">
        <f t="shared" si="245"/>
        <v>0</v>
      </c>
      <c r="AV156" s="61">
        <f t="shared" si="245"/>
        <v>0</v>
      </c>
      <c r="AW156" s="61">
        <f t="shared" si="245"/>
        <v>0</v>
      </c>
    </row>
    <row r="157" spans="3:49" ht="14.25" customHeight="1">
      <c r="C157" s="4" t="s">
        <v>506</v>
      </c>
      <c r="D157" s="503">
        <f>0</f>
        <v>0</v>
      </c>
      <c r="E157" s="503">
        <f>D156+D157-D158</f>
        <v>-103.125</v>
      </c>
      <c r="F157" s="503">
        <f t="shared" ref="F157:AW157" si="246">E156+E157-E158</f>
        <v>-112.5</v>
      </c>
      <c r="G157" s="503">
        <f t="shared" si="246"/>
        <v>-112.5</v>
      </c>
      <c r="H157" s="503">
        <f t="shared" si="246"/>
        <v>-112.5</v>
      </c>
      <c r="I157" s="503">
        <f t="shared" si="246"/>
        <v>-112.5</v>
      </c>
      <c r="J157" s="503">
        <f t="shared" si="246"/>
        <v>-112.5</v>
      </c>
      <c r="K157" s="503">
        <f t="shared" si="246"/>
        <v>-112.5</v>
      </c>
      <c r="L157" s="503">
        <f t="shared" si="246"/>
        <v>-112.5</v>
      </c>
      <c r="M157" s="503">
        <f t="shared" si="246"/>
        <v>-112.5</v>
      </c>
      <c r="N157" s="503">
        <f t="shared" si="246"/>
        <v>-112.5</v>
      </c>
      <c r="O157" s="503">
        <f t="shared" si="246"/>
        <v>-112.5</v>
      </c>
      <c r="P157" s="503">
        <f t="shared" si="246"/>
        <v>-112.5</v>
      </c>
      <c r="Q157" s="503">
        <f t="shared" si="246"/>
        <v>-112.5</v>
      </c>
      <c r="R157" s="503">
        <f t="shared" si="246"/>
        <v>-112.5</v>
      </c>
      <c r="S157" s="503">
        <f t="shared" si="246"/>
        <v>-112.5</v>
      </c>
      <c r="T157" s="503">
        <f t="shared" si="246"/>
        <v>-112.5</v>
      </c>
      <c r="U157" s="503">
        <f t="shared" si="246"/>
        <v>-112.5</v>
      </c>
      <c r="V157" s="503">
        <f t="shared" si="246"/>
        <v>-112.5</v>
      </c>
      <c r="W157" s="503">
        <f t="shared" si="246"/>
        <v>-112.5</v>
      </c>
      <c r="X157" s="503">
        <f t="shared" si="246"/>
        <v>-112.5</v>
      </c>
      <c r="Y157" s="503">
        <f t="shared" si="246"/>
        <v>-112.5</v>
      </c>
      <c r="Z157" s="503">
        <f t="shared" si="246"/>
        <v>-112.5</v>
      </c>
      <c r="AA157" s="503">
        <f t="shared" si="246"/>
        <v>-112.5</v>
      </c>
      <c r="AB157" s="503">
        <f t="shared" si="246"/>
        <v>-112.5</v>
      </c>
      <c r="AC157" s="503">
        <f t="shared" si="246"/>
        <v>-112.5</v>
      </c>
      <c r="AD157" s="503">
        <f t="shared" si="246"/>
        <v>-112.5</v>
      </c>
      <c r="AE157" s="503">
        <f t="shared" si="246"/>
        <v>0</v>
      </c>
      <c r="AF157" s="503">
        <f t="shared" si="246"/>
        <v>0</v>
      </c>
      <c r="AG157" s="503">
        <f t="shared" si="246"/>
        <v>0</v>
      </c>
      <c r="AH157" s="503">
        <f t="shared" si="246"/>
        <v>0</v>
      </c>
      <c r="AI157" s="503">
        <f t="shared" si="246"/>
        <v>0</v>
      </c>
      <c r="AJ157" s="503">
        <f t="shared" si="246"/>
        <v>0</v>
      </c>
      <c r="AK157" s="503">
        <f t="shared" si="246"/>
        <v>0</v>
      </c>
      <c r="AL157" s="503">
        <f t="shared" si="246"/>
        <v>0</v>
      </c>
      <c r="AM157" s="503">
        <f t="shared" si="246"/>
        <v>0</v>
      </c>
      <c r="AN157" s="503">
        <f t="shared" si="246"/>
        <v>0</v>
      </c>
      <c r="AO157" s="503">
        <f t="shared" si="246"/>
        <v>0</v>
      </c>
      <c r="AP157" s="503">
        <f t="shared" si="246"/>
        <v>0</v>
      </c>
      <c r="AQ157" s="503">
        <f t="shared" si="246"/>
        <v>0</v>
      </c>
      <c r="AR157" s="503">
        <f t="shared" si="246"/>
        <v>0</v>
      </c>
      <c r="AS157" s="503">
        <f t="shared" si="246"/>
        <v>0</v>
      </c>
      <c r="AT157" s="503">
        <f t="shared" si="246"/>
        <v>0</v>
      </c>
      <c r="AU157" s="503">
        <f t="shared" si="246"/>
        <v>0</v>
      </c>
      <c r="AV157" s="503">
        <f t="shared" si="246"/>
        <v>0</v>
      </c>
      <c r="AW157" s="503">
        <f t="shared" si="246"/>
        <v>0</v>
      </c>
    </row>
    <row r="158" spans="3:49" ht="14.25" customHeight="1">
      <c r="C158" s="4" t="s">
        <v>507</v>
      </c>
      <c r="D158" s="503">
        <f>IF(D57=0, 0, D157)</f>
        <v>0</v>
      </c>
      <c r="E158" s="503">
        <f>IF(E$42=0, 0, E157)</f>
        <v>0</v>
      </c>
      <c r="F158" s="503">
        <f t="shared" ref="F158:AW158" si="247">IF(F$42=0, 0, F157)</f>
        <v>0</v>
      </c>
      <c r="G158" s="503">
        <f t="shared" si="247"/>
        <v>0</v>
      </c>
      <c r="H158" s="503">
        <f t="shared" si="247"/>
        <v>0</v>
      </c>
      <c r="I158" s="503">
        <f t="shared" si="247"/>
        <v>0</v>
      </c>
      <c r="J158" s="503">
        <f t="shared" si="247"/>
        <v>0</v>
      </c>
      <c r="K158" s="503">
        <f t="shared" si="247"/>
        <v>0</v>
      </c>
      <c r="L158" s="503">
        <f t="shared" si="247"/>
        <v>0</v>
      </c>
      <c r="M158" s="503">
        <f t="shared" si="247"/>
        <v>0</v>
      </c>
      <c r="N158" s="503">
        <f t="shared" si="247"/>
        <v>0</v>
      </c>
      <c r="O158" s="503">
        <f t="shared" si="247"/>
        <v>0</v>
      </c>
      <c r="P158" s="503">
        <f t="shared" si="247"/>
        <v>0</v>
      </c>
      <c r="Q158" s="503">
        <f t="shared" si="247"/>
        <v>0</v>
      </c>
      <c r="R158" s="503">
        <f t="shared" si="247"/>
        <v>0</v>
      </c>
      <c r="S158" s="503">
        <f t="shared" si="247"/>
        <v>0</v>
      </c>
      <c r="T158" s="503">
        <f t="shared" si="247"/>
        <v>0</v>
      </c>
      <c r="U158" s="503">
        <f t="shared" si="247"/>
        <v>0</v>
      </c>
      <c r="V158" s="503">
        <f t="shared" si="247"/>
        <v>0</v>
      </c>
      <c r="W158" s="503">
        <f t="shared" si="247"/>
        <v>0</v>
      </c>
      <c r="X158" s="503">
        <f t="shared" si="247"/>
        <v>0</v>
      </c>
      <c r="Y158" s="503">
        <f t="shared" si="247"/>
        <v>0</v>
      </c>
      <c r="Z158" s="503">
        <f t="shared" si="247"/>
        <v>0</v>
      </c>
      <c r="AA158" s="503">
        <f t="shared" si="247"/>
        <v>0</v>
      </c>
      <c r="AB158" s="503">
        <f t="shared" si="247"/>
        <v>0</v>
      </c>
      <c r="AC158" s="503">
        <f t="shared" si="247"/>
        <v>0</v>
      </c>
      <c r="AD158" s="503">
        <f t="shared" si="247"/>
        <v>-112.5</v>
      </c>
      <c r="AE158" s="503">
        <f t="shared" si="247"/>
        <v>0</v>
      </c>
      <c r="AF158" s="503">
        <f t="shared" si="247"/>
        <v>0</v>
      </c>
      <c r="AG158" s="503">
        <f t="shared" si="247"/>
        <v>0</v>
      </c>
      <c r="AH158" s="503">
        <f t="shared" si="247"/>
        <v>0</v>
      </c>
      <c r="AI158" s="503">
        <f t="shared" si="247"/>
        <v>0</v>
      </c>
      <c r="AJ158" s="503">
        <f t="shared" si="247"/>
        <v>0</v>
      </c>
      <c r="AK158" s="503">
        <f t="shared" si="247"/>
        <v>0</v>
      </c>
      <c r="AL158" s="503">
        <f t="shared" si="247"/>
        <v>0</v>
      </c>
      <c r="AM158" s="503">
        <f t="shared" si="247"/>
        <v>0</v>
      </c>
      <c r="AN158" s="503">
        <f t="shared" si="247"/>
        <v>0</v>
      </c>
      <c r="AO158" s="503">
        <f t="shared" si="247"/>
        <v>0</v>
      </c>
      <c r="AP158" s="503">
        <f t="shared" si="247"/>
        <v>0</v>
      </c>
      <c r="AQ158" s="503">
        <f t="shared" si="247"/>
        <v>0</v>
      </c>
      <c r="AR158" s="503">
        <f t="shared" si="247"/>
        <v>0</v>
      </c>
      <c r="AS158" s="503">
        <f t="shared" si="247"/>
        <v>0</v>
      </c>
      <c r="AT158" s="503">
        <f t="shared" si="247"/>
        <v>0</v>
      </c>
      <c r="AU158" s="503">
        <f t="shared" si="247"/>
        <v>0</v>
      </c>
      <c r="AV158" s="503">
        <f t="shared" si="247"/>
        <v>0</v>
      </c>
      <c r="AW158" s="503">
        <f t="shared" si="247"/>
        <v>0</v>
      </c>
    </row>
    <row r="159" spans="3:49" ht="14.25" customHeight="1">
      <c r="C159" s="1" t="s">
        <v>491</v>
      </c>
      <c r="D159" s="8">
        <f>IF(AND(D156=0, C161&lt;$D$25*'Assumptions &amp; Inputs'!$K$37),MIN($D$25*(1-'Assumptions &amp; Inputs'!$K$37)/'Assumptions &amp; Inputs'!$K$35,-C161),0)</f>
        <v>0</v>
      </c>
      <c r="E159" s="8">
        <f>IF(AND(E$110&gt;YEAR('Assumptions &amp; Inputs'!$K$31), ROUND(D161, 7)&lt;SUMIF($D$110:$AW$110, "="&amp;E$110-'Assumptions &amp; Inputs'!$K$34-1, $D156:$AW156)*'Assumptions &amp; Inputs'!$K$37),MIN(E157*(1-'Assumptions &amp; Inputs'!$K$37)/'Assumptions &amp; Inputs'!$K$34,-D161),0)</f>
        <v>0</v>
      </c>
      <c r="F159" s="8">
        <f>IF(AND(F$110&gt;YEAR('Assumptions &amp; Inputs'!$K$31), ROUND(E161, 7)&lt;SUMIF($D$110:$AW$110, "="&amp;F$110-'Assumptions &amp; Inputs'!$K$34-1, $D156:$AW156)*'Assumptions &amp; Inputs'!$K$37),MIN(F157*(1-'Assumptions &amp; Inputs'!$K$37)/'Assumptions &amp; Inputs'!$K$34,-E161),0)</f>
        <v>-4.2750000000000004</v>
      </c>
      <c r="G159" s="8">
        <f>IF(AND(G$110&gt;YEAR('Assumptions &amp; Inputs'!$K$31), ROUND(F161, 7)&lt;SUMIF($D$110:$AW$110, "="&amp;G$110-'Assumptions &amp; Inputs'!$K$34-1, $D156:$AW156)*'Assumptions &amp; Inputs'!$K$37),MIN(G157*(1-'Assumptions &amp; Inputs'!$K$37)/'Assumptions &amp; Inputs'!$K$34,-F161),0)</f>
        <v>-4.2750000000000004</v>
      </c>
      <c r="H159" s="8">
        <f>IF(AND(H$110&gt;YEAR('Assumptions &amp; Inputs'!$K$31), ROUND(G161, 7)&lt;SUMIF($D$110:$AW$110, "="&amp;H$110-'Assumptions &amp; Inputs'!$K$34-1, $D156:$AW156)*'Assumptions &amp; Inputs'!$K$37),MIN(H157*(1-'Assumptions &amp; Inputs'!$K$37)/'Assumptions &amp; Inputs'!$K$34,-G161),0)</f>
        <v>-4.2750000000000004</v>
      </c>
      <c r="I159" s="8">
        <f>IF(AND(I$110&gt;YEAR('Assumptions &amp; Inputs'!$K$31), ROUND(H161, 7)&lt;SUMIF($D$110:$AW$110, "="&amp;I$110-'Assumptions &amp; Inputs'!$K$34-1, $D156:$AW156)*'Assumptions &amp; Inputs'!$K$37),MIN(I157*(1-'Assumptions &amp; Inputs'!$K$37)/'Assumptions &amp; Inputs'!$K$34,-H161),0)</f>
        <v>-4.2750000000000004</v>
      </c>
      <c r="J159" s="8">
        <f>IF(AND(J$110&gt;YEAR('Assumptions &amp; Inputs'!$K$31), ROUND(I161, 7)&lt;SUMIF($D$110:$AW$110, "="&amp;J$110-'Assumptions &amp; Inputs'!$K$34-1, $D156:$AW156)*'Assumptions &amp; Inputs'!$K$37),MIN(J157*(1-'Assumptions &amp; Inputs'!$K$37)/'Assumptions &amp; Inputs'!$K$34,-I161),0)</f>
        <v>-4.2750000000000004</v>
      </c>
      <c r="K159" s="8">
        <f>IF(AND(K$110&gt;YEAR('Assumptions &amp; Inputs'!$K$31), ROUND(J161, 7)&lt;SUMIF($D$110:$AW$110, "="&amp;K$110-'Assumptions &amp; Inputs'!$K$34-1, $D156:$AW156)*'Assumptions &amp; Inputs'!$K$37),MIN(K157*(1-'Assumptions &amp; Inputs'!$K$37)/'Assumptions &amp; Inputs'!$K$34,-J161),0)</f>
        <v>-4.2750000000000004</v>
      </c>
      <c r="L159" s="8">
        <f>IF(AND(L$110&gt;YEAR('Assumptions &amp; Inputs'!$K$31), ROUND(K161, 7)&lt;SUMIF($D$110:$AW$110, "="&amp;L$110-'Assumptions &amp; Inputs'!$K$34-1, $D156:$AW156)*'Assumptions &amp; Inputs'!$K$37),MIN(L157*(1-'Assumptions &amp; Inputs'!$K$37)/'Assumptions &amp; Inputs'!$K$34,-K161),0)</f>
        <v>-4.2750000000000004</v>
      </c>
      <c r="M159" s="8">
        <f>IF(AND(M$110&gt;YEAR('Assumptions &amp; Inputs'!$K$31), ROUND(L161, 7)&lt;SUMIF($D$110:$AW$110, "="&amp;M$110-'Assumptions &amp; Inputs'!$K$34-1, $D156:$AW156)*'Assumptions &amp; Inputs'!$K$37),MIN(M157*(1-'Assumptions &amp; Inputs'!$K$37)/'Assumptions &amp; Inputs'!$K$34,-L161),0)</f>
        <v>-4.2750000000000004</v>
      </c>
      <c r="N159" s="8">
        <f>IF(AND(N$110&gt;YEAR('Assumptions &amp; Inputs'!$K$31), ROUND(M161, 7)&lt;SUMIF($D$110:$AW$110, "="&amp;N$110-'Assumptions &amp; Inputs'!$K$34-1, $D156:$AW156)*'Assumptions &amp; Inputs'!$K$37),MIN(N157*(1-'Assumptions &amp; Inputs'!$K$37)/'Assumptions &amp; Inputs'!$K$34,-M161),0)</f>
        <v>-4.2750000000000004</v>
      </c>
      <c r="O159" s="8">
        <f>IF(AND(O$110&gt;YEAR('Assumptions &amp; Inputs'!$K$31), ROUND(N161, 7)&lt;SUMIF($D$110:$AW$110, "="&amp;O$110-'Assumptions &amp; Inputs'!$K$34-1, $D156:$AW156)*'Assumptions &amp; Inputs'!$K$37),MIN(O157*(1-'Assumptions &amp; Inputs'!$K$37)/'Assumptions &amp; Inputs'!$K$34,-N161),0)</f>
        <v>-4.2750000000000004</v>
      </c>
      <c r="P159" s="8">
        <f>IF(AND(P$110&gt;YEAR('Assumptions &amp; Inputs'!$K$31), ROUND(O161, 7)&lt;SUMIF($D$110:$AW$110, "="&amp;P$110-'Assumptions &amp; Inputs'!$K$34-1, $D156:$AW156)*'Assumptions &amp; Inputs'!$K$37),MIN(P157*(1-'Assumptions &amp; Inputs'!$K$37)/'Assumptions &amp; Inputs'!$K$34,-O161),0)</f>
        <v>-4.2750000000000004</v>
      </c>
      <c r="Q159" s="8">
        <f>IF(AND(Q$110&gt;YEAR('Assumptions &amp; Inputs'!$K$31), ROUND(P161, 7)&lt;SUMIF($D$110:$AW$110, "="&amp;Q$110-'Assumptions &amp; Inputs'!$K$34-1, $D156:$AW156)*'Assumptions &amp; Inputs'!$K$37),MIN(Q157*(1-'Assumptions &amp; Inputs'!$K$37)/'Assumptions &amp; Inputs'!$K$34,-P161),0)</f>
        <v>-4.2750000000000004</v>
      </c>
      <c r="R159" s="8">
        <f>IF(AND(R$110&gt;YEAR('Assumptions &amp; Inputs'!$K$31), ROUND(Q161, 7)&lt;SUMIF($D$110:$AW$110, "="&amp;R$110-'Assumptions &amp; Inputs'!$K$34-1, $D156:$AW156)*'Assumptions &amp; Inputs'!$K$37),MIN(R157*(1-'Assumptions &amp; Inputs'!$K$37)/'Assumptions &amp; Inputs'!$K$34,-Q161),0)</f>
        <v>-4.2750000000000004</v>
      </c>
      <c r="S159" s="8">
        <f>IF(AND(S$110&gt;YEAR('Assumptions &amp; Inputs'!$K$31), ROUND(R161, 7)&lt;SUMIF($D$110:$AW$110, "="&amp;S$110-'Assumptions &amp; Inputs'!$K$34-1, $D156:$AW156)*'Assumptions &amp; Inputs'!$K$37),MIN(S157*(1-'Assumptions &amp; Inputs'!$K$37)/'Assumptions &amp; Inputs'!$K$34,-R161),0)</f>
        <v>-4.2750000000000004</v>
      </c>
      <c r="T159" s="8">
        <f>IF(AND(T$110&gt;YEAR('Assumptions &amp; Inputs'!$K$31), ROUND(S161, 7)&lt;SUMIF($D$110:$AW$110, "="&amp;T$110-'Assumptions &amp; Inputs'!$K$34-1, $D156:$AW156)*'Assumptions &amp; Inputs'!$K$37),MIN(T157*(1-'Assumptions &amp; Inputs'!$K$37)/'Assumptions &amp; Inputs'!$K$34,-S161),0)</f>
        <v>-4.2750000000000004</v>
      </c>
      <c r="U159" s="8">
        <f>IF(AND(U$110&gt;YEAR('Assumptions &amp; Inputs'!$K$31), ROUND(T161, 7)&lt;SUMIF($D$110:$AW$110, "="&amp;U$110-'Assumptions &amp; Inputs'!$K$34-1, $D156:$AW156)*'Assumptions &amp; Inputs'!$K$37),MIN(U157*(1-'Assumptions &amp; Inputs'!$K$37)/'Assumptions &amp; Inputs'!$K$34,-T161),0)</f>
        <v>-4.2750000000000004</v>
      </c>
      <c r="V159" s="8">
        <f>IF(AND(V$110&gt;YEAR('Assumptions &amp; Inputs'!$K$31), ROUND(U161, 7)&lt;SUMIF($D$110:$AW$110, "="&amp;V$110-'Assumptions &amp; Inputs'!$K$34-1, $D156:$AW156)*'Assumptions &amp; Inputs'!$K$37),MIN(V157*(1-'Assumptions &amp; Inputs'!$K$37)/'Assumptions &amp; Inputs'!$K$34,-U161),0)</f>
        <v>-4.2750000000000004</v>
      </c>
      <c r="W159" s="8">
        <f>IF(AND(W$110&gt;YEAR('Assumptions &amp; Inputs'!$K$31), ROUND(V161, 7)&lt;SUMIF($D$110:$AW$110, "="&amp;W$110-'Assumptions &amp; Inputs'!$K$34-1, $D156:$AW156)*'Assumptions &amp; Inputs'!$K$37),MIN(W157*(1-'Assumptions &amp; Inputs'!$K$37)/'Assumptions &amp; Inputs'!$K$34,-V161),0)</f>
        <v>-4.2750000000000004</v>
      </c>
      <c r="X159" s="8">
        <f>IF(AND(X$110&gt;YEAR('Assumptions &amp; Inputs'!$K$31), ROUND(W161, 7)&lt;SUMIF($D$110:$AW$110, "="&amp;X$110-'Assumptions &amp; Inputs'!$K$34-1, $D156:$AW156)*'Assumptions &amp; Inputs'!$K$37),MIN(X157*(1-'Assumptions &amp; Inputs'!$K$37)/'Assumptions &amp; Inputs'!$K$34,-W161),0)</f>
        <v>-4.2750000000000004</v>
      </c>
      <c r="Y159" s="8">
        <f>IF(AND(Y$110&gt;YEAR('Assumptions &amp; Inputs'!$K$31), ROUND(X161, 7)&lt;SUMIF($D$110:$AW$110, "="&amp;Y$110-'Assumptions &amp; Inputs'!$K$34-1, $D156:$AW156)*'Assumptions &amp; Inputs'!$K$37),MIN(Y157*(1-'Assumptions &amp; Inputs'!$K$37)/'Assumptions &amp; Inputs'!$K$34,-X161),0)</f>
        <v>-4.2750000000000004</v>
      </c>
      <c r="Z159" s="8">
        <f>IF(AND(Z$110&gt;YEAR('Assumptions &amp; Inputs'!$K$31), ROUND(Y161, 7)&lt;SUMIF($D$110:$AW$110, "="&amp;Z$110-'Assumptions &amp; Inputs'!$K$34-1, $D156:$AW156)*'Assumptions &amp; Inputs'!$K$37),MIN(Z157*(1-'Assumptions &amp; Inputs'!$K$37)/'Assumptions &amp; Inputs'!$K$34,-Y161),0)</f>
        <v>-4.2750000000000004</v>
      </c>
      <c r="AA159" s="8">
        <f>IF(AND(AA$110&gt;YEAR('Assumptions &amp; Inputs'!$K$31), ROUND(Z161, 7)&lt;SUMIF($D$110:$AW$110, "="&amp;AA$110-'Assumptions &amp; Inputs'!$K$34-1, $D156:$AW156)*'Assumptions &amp; Inputs'!$K$37),MIN(AA157*(1-'Assumptions &amp; Inputs'!$K$37)/'Assumptions &amp; Inputs'!$K$34,-Z161),0)</f>
        <v>-4.2750000000000004</v>
      </c>
      <c r="AB159" s="8">
        <f>IF(AND(AB$110&gt;YEAR('Assumptions &amp; Inputs'!$K$31), ROUND(AA161, 7)&lt;SUMIF($D$110:$AW$110, "="&amp;AB$110-'Assumptions &amp; Inputs'!$K$34-1, $D156:$AW156)*'Assumptions &amp; Inputs'!$K$37),MIN(AB157*(1-'Assumptions &amp; Inputs'!$K$37)/'Assumptions &amp; Inputs'!$K$34,-AA161),0)</f>
        <v>-4.2750000000000004</v>
      </c>
      <c r="AC159" s="8">
        <f>IF(AND(AC$110&gt;YEAR('Assumptions &amp; Inputs'!$K$31), ROUND(AB161, 7)&lt;SUMIF($D$110:$AW$110, "="&amp;AC$110-'Assumptions &amp; Inputs'!$K$34-1, $D156:$AW156)*'Assumptions &amp; Inputs'!$K$37),MIN(AC157*(1-'Assumptions &amp; Inputs'!$K$37)/'Assumptions &amp; Inputs'!$K$34,-AB161),0)</f>
        <v>-4.2750000000000004</v>
      </c>
      <c r="AD159" s="8">
        <f>IF(AND(AD$110&gt;YEAR('Assumptions &amp; Inputs'!$K$31), ROUND(AC161, 7)&lt;SUMIF($D$110:$AW$110, "="&amp;AD$110-'Assumptions &amp; Inputs'!$K$34-1, $D156:$AW156)*'Assumptions &amp; Inputs'!$K$37),MIN(AD157*(1-'Assumptions &amp; Inputs'!$K$37)/'Assumptions &amp; Inputs'!$K$34,-AC161),0)</f>
        <v>-4.2750000000000004</v>
      </c>
      <c r="AE159" s="8">
        <f>IF(AND(AE$110&gt;YEAR('Assumptions &amp; Inputs'!$K$31), ROUND(AD161, 7)&lt;SUMIF($D$110:$AW$110, "="&amp;AE$110-'Assumptions &amp; Inputs'!$K$34-1, $D156:$AW156)*'Assumptions &amp; Inputs'!$K$37),MIN(AE157*(1-'Assumptions &amp; Inputs'!$K$37)/'Assumptions &amp; Inputs'!$K$34,-AD161),0)</f>
        <v>0</v>
      </c>
      <c r="AF159" s="8">
        <f>IF(AND(AF$110&gt;YEAR('Assumptions &amp; Inputs'!$K$31), ROUND(AE161, 7)&lt;SUMIF($D$110:$AW$110, "="&amp;AF$110-'Assumptions &amp; Inputs'!$K$34-1, $D156:$AW156)*'Assumptions &amp; Inputs'!$K$37),MIN(AF157*(1-'Assumptions &amp; Inputs'!$K$37)/'Assumptions &amp; Inputs'!$K$34,-AE161),0)</f>
        <v>0</v>
      </c>
      <c r="AG159" s="8">
        <f>IF(AND(AG$110&gt;YEAR('Assumptions &amp; Inputs'!$K$31), ROUND(AF161, 7)&lt;SUMIF($D$110:$AW$110, "="&amp;AG$110-'Assumptions &amp; Inputs'!$K$34-1, $D156:$AW156)*'Assumptions &amp; Inputs'!$K$37),MIN(AG157*(1-'Assumptions &amp; Inputs'!$K$37)/'Assumptions &amp; Inputs'!$K$34,-AF161),0)</f>
        <v>0</v>
      </c>
      <c r="AH159" s="8">
        <f>IF(AND(AH$110&gt;YEAR('Assumptions &amp; Inputs'!$K$31), ROUND(AG161, 7)&lt;SUMIF($D$110:$AW$110, "="&amp;AH$110-'Assumptions &amp; Inputs'!$K$34-1, $D156:$AW156)*'Assumptions &amp; Inputs'!$K$37),MIN(AH157*(1-'Assumptions &amp; Inputs'!$K$37)/'Assumptions &amp; Inputs'!$K$34,-AG161),0)</f>
        <v>0</v>
      </c>
      <c r="AI159" s="8">
        <f>IF(AND(AI$110&gt;YEAR('Assumptions &amp; Inputs'!$K$31), ROUND(AH161, 7)&lt;SUMIF($D$110:$AW$110, "="&amp;AI$110-'Assumptions &amp; Inputs'!$K$34-1, $D156:$AW156)*'Assumptions &amp; Inputs'!$K$37),MIN(AI157*(1-'Assumptions &amp; Inputs'!$K$37)/'Assumptions &amp; Inputs'!$K$34,-AH161),0)</f>
        <v>0</v>
      </c>
      <c r="AJ159" s="8">
        <f>IF(AND(AJ$110&gt;YEAR('Assumptions &amp; Inputs'!$K$31), ROUND(AI161, 7)&lt;SUMIF($D$110:$AW$110, "="&amp;AJ$110-'Assumptions &amp; Inputs'!$K$34-1, $D156:$AW156)*'Assumptions &amp; Inputs'!$K$37),MIN(AJ157*(1-'Assumptions &amp; Inputs'!$K$37)/'Assumptions &amp; Inputs'!$K$34,-AI161),0)</f>
        <v>0</v>
      </c>
      <c r="AK159" s="8">
        <f>IF(AND(AK$110&gt;YEAR('Assumptions &amp; Inputs'!$K$31), ROUND(AJ161, 7)&lt;SUMIF($D$110:$AW$110, "="&amp;AK$110-'Assumptions &amp; Inputs'!$K$34-1, $D156:$AW156)*'Assumptions &amp; Inputs'!$K$37),MIN(AK157*(1-'Assumptions &amp; Inputs'!$K$37)/'Assumptions &amp; Inputs'!$K$34,-AJ161),0)</f>
        <v>0</v>
      </c>
      <c r="AL159" s="8">
        <f>IF(AND(AL$110&gt;YEAR('Assumptions &amp; Inputs'!$K$31), ROUND(AK161, 7)&lt;SUMIF($D$110:$AW$110, "="&amp;AL$110-'Assumptions &amp; Inputs'!$K$34-1, $D156:$AW156)*'Assumptions &amp; Inputs'!$K$37),MIN(AL157*(1-'Assumptions &amp; Inputs'!$K$37)/'Assumptions &amp; Inputs'!$K$34,-AK161),0)</f>
        <v>0</v>
      </c>
      <c r="AM159" s="8">
        <f>IF(AND(AM$110&gt;YEAR('Assumptions &amp; Inputs'!$K$31), ROUND(AL161, 7)&lt;SUMIF($D$110:$AW$110, "="&amp;AM$110-'Assumptions &amp; Inputs'!$K$34-1, $D156:$AW156)*'Assumptions &amp; Inputs'!$K$37),MIN(AM157*(1-'Assumptions &amp; Inputs'!$K$37)/'Assumptions &amp; Inputs'!$K$34,-AL161),0)</f>
        <v>0</v>
      </c>
      <c r="AN159" s="8">
        <f>IF(AND(AN$110&gt;YEAR('Assumptions &amp; Inputs'!$K$31), ROUND(AM161, 7)&lt;SUMIF($D$110:$AW$110, "="&amp;AN$110-'Assumptions &amp; Inputs'!$K$34-1, $D156:$AW156)*'Assumptions &amp; Inputs'!$K$37),MIN(AN157*(1-'Assumptions &amp; Inputs'!$K$37)/'Assumptions &amp; Inputs'!$K$34,-AM161),0)</f>
        <v>0</v>
      </c>
      <c r="AO159" s="8">
        <f>IF(AND(AO$110&gt;YEAR('Assumptions &amp; Inputs'!$K$31), ROUND(AN161, 7)&lt;SUMIF($D$110:$AW$110, "="&amp;AO$110-'Assumptions &amp; Inputs'!$K$34-1, $D156:$AW156)*'Assumptions &amp; Inputs'!$K$37),MIN(AO157*(1-'Assumptions &amp; Inputs'!$K$37)/'Assumptions &amp; Inputs'!$K$34,-AN161),0)</f>
        <v>0</v>
      </c>
      <c r="AP159" s="8">
        <f>IF(AND(AP$110&gt;YEAR('Assumptions &amp; Inputs'!$K$31), ROUND(AO161, 7)&lt;SUMIF($D$110:$AW$110, "="&amp;AP$110-'Assumptions &amp; Inputs'!$K$34-1, $D156:$AW156)*'Assumptions &amp; Inputs'!$K$37),MIN(AP157*(1-'Assumptions &amp; Inputs'!$K$37)/'Assumptions &amp; Inputs'!$K$34,-AO161),0)</f>
        <v>0</v>
      </c>
      <c r="AQ159" s="8">
        <f>IF(AND(AQ$110&gt;YEAR('Assumptions &amp; Inputs'!$K$31), ROUND(AP161, 7)&lt;SUMIF($D$110:$AW$110, "="&amp;AQ$110-'Assumptions &amp; Inputs'!$K$34-1, $D156:$AW156)*'Assumptions &amp; Inputs'!$K$37),MIN(AQ157*(1-'Assumptions &amp; Inputs'!$K$37)/'Assumptions &amp; Inputs'!$K$34,-AP161),0)</f>
        <v>0</v>
      </c>
      <c r="AR159" s="8">
        <f>IF(AND(AR$110&gt;YEAR('Assumptions &amp; Inputs'!$K$31), ROUND(AQ161, 7)&lt;SUMIF($D$110:$AW$110, "="&amp;AR$110-'Assumptions &amp; Inputs'!$K$34-1, $D156:$AW156)*'Assumptions &amp; Inputs'!$K$37),MIN(AR157*(1-'Assumptions &amp; Inputs'!$K$37)/'Assumptions &amp; Inputs'!$K$34,-AQ161),0)</f>
        <v>0</v>
      </c>
      <c r="AS159" s="8">
        <f>IF(AND(AS$110&gt;YEAR('Assumptions &amp; Inputs'!$K$31), ROUND(AR161, 7)&lt;SUMIF($D$110:$AW$110, "="&amp;AS$110-'Assumptions &amp; Inputs'!$K$34-1, $D156:$AW156)*'Assumptions &amp; Inputs'!$K$37),MIN(AS157*(1-'Assumptions &amp; Inputs'!$K$37)/'Assumptions &amp; Inputs'!$K$34,-AR161),0)</f>
        <v>0</v>
      </c>
      <c r="AT159" s="8">
        <f>IF(AND(AT$110&gt;YEAR('Assumptions &amp; Inputs'!$K$31), ROUND(AS161, 7)&lt;SUMIF($D$110:$AW$110, "="&amp;AT$110-'Assumptions &amp; Inputs'!$K$34-1, $D156:$AW156)*'Assumptions &amp; Inputs'!$K$37),MIN(AT157*(1-'Assumptions &amp; Inputs'!$K$37)/'Assumptions &amp; Inputs'!$K$34,-AS161),0)</f>
        <v>0</v>
      </c>
      <c r="AU159" s="8">
        <f>IF(AND(AU$110&gt;YEAR('Assumptions &amp; Inputs'!$K$31), ROUND(AT161, 7)&lt;SUMIF($D$110:$AW$110, "="&amp;AU$110-'Assumptions &amp; Inputs'!$K$34-1, $D156:$AW156)*'Assumptions &amp; Inputs'!$K$37),MIN(AU157*(1-'Assumptions &amp; Inputs'!$K$37)/'Assumptions &amp; Inputs'!$K$34,-AT161),0)</f>
        <v>0</v>
      </c>
      <c r="AV159" s="8">
        <f>IF(AND(AV$110&gt;YEAR('Assumptions &amp; Inputs'!$K$31), ROUND(AU161, 7)&lt;SUMIF($D$110:$AW$110, "="&amp;AV$110-'Assumptions &amp; Inputs'!$K$34-1, $D156:$AW156)*'Assumptions &amp; Inputs'!$K$37),MIN(AV157*(1-'Assumptions &amp; Inputs'!$K$37)/'Assumptions &amp; Inputs'!$K$34,-AU161),0)</f>
        <v>0</v>
      </c>
      <c r="AW159" s="8">
        <f>IF(AND(AW$110&gt;YEAR('Assumptions &amp; Inputs'!$K$31), ROUND(AV161, 7)&lt;SUMIF($D$110:$AW$110, "="&amp;AW$110-'Assumptions &amp; Inputs'!$K$34-1, $D156:$AW156)*'Assumptions &amp; Inputs'!$K$37),MIN(AW157*(1-'Assumptions &amp; Inputs'!$K$37)/'Assumptions &amp; Inputs'!$K$34,-AV161),0)</f>
        <v>0</v>
      </c>
    </row>
    <row r="160" spans="3:49" ht="14.25" customHeight="1">
      <c r="C160" s="4" t="s">
        <v>508</v>
      </c>
      <c r="D160" s="23">
        <f>D159</f>
        <v>0</v>
      </c>
      <c r="E160" s="23">
        <f>MAX(E159+D160, $D$25)</f>
        <v>0</v>
      </c>
      <c r="F160" s="23">
        <f t="shared" ref="F160:AW160" si="248">MAX(F159+E160, $D$25)</f>
        <v>-4.2750000000000004</v>
      </c>
      <c r="G160" s="23">
        <f t="shared" si="248"/>
        <v>-8.5500000000000007</v>
      </c>
      <c r="H160" s="23">
        <f t="shared" si="248"/>
        <v>-12.825000000000001</v>
      </c>
      <c r="I160" s="23">
        <f t="shared" si="248"/>
        <v>-17.100000000000001</v>
      </c>
      <c r="J160" s="23">
        <f t="shared" si="248"/>
        <v>-21.375</v>
      </c>
      <c r="K160" s="23">
        <f t="shared" si="248"/>
        <v>-25.65</v>
      </c>
      <c r="L160" s="23">
        <f t="shared" si="248"/>
        <v>-29.924999999999997</v>
      </c>
      <c r="M160" s="23">
        <f t="shared" si="248"/>
        <v>-34.199999999999996</v>
      </c>
      <c r="N160" s="23">
        <f t="shared" si="248"/>
        <v>-38.474999999999994</v>
      </c>
      <c r="O160" s="23">
        <f t="shared" si="248"/>
        <v>-42.749999999999993</v>
      </c>
      <c r="P160" s="23">
        <f t="shared" si="248"/>
        <v>-47.024999999999991</v>
      </c>
      <c r="Q160" s="23">
        <f t="shared" si="248"/>
        <v>-51.29999999999999</v>
      </c>
      <c r="R160" s="23">
        <f t="shared" si="248"/>
        <v>-55.574999999999989</v>
      </c>
      <c r="S160" s="23">
        <f t="shared" si="248"/>
        <v>-59.849999999999987</v>
      </c>
      <c r="T160" s="23">
        <f t="shared" si="248"/>
        <v>-64.124999999999986</v>
      </c>
      <c r="U160" s="23">
        <f t="shared" si="248"/>
        <v>-68.399999999999991</v>
      </c>
      <c r="V160" s="23">
        <f t="shared" si="248"/>
        <v>-72.674999999999997</v>
      </c>
      <c r="W160" s="23">
        <f t="shared" si="248"/>
        <v>-76.95</v>
      </c>
      <c r="X160" s="23">
        <f t="shared" si="248"/>
        <v>-81.225000000000009</v>
      </c>
      <c r="Y160" s="23">
        <f t="shared" si="248"/>
        <v>-85.500000000000014</v>
      </c>
      <c r="Z160" s="23">
        <f t="shared" si="248"/>
        <v>-89.77500000000002</v>
      </c>
      <c r="AA160" s="23">
        <f t="shared" si="248"/>
        <v>-94.050000000000026</v>
      </c>
      <c r="AB160" s="23">
        <f t="shared" si="248"/>
        <v>-98.325000000000031</v>
      </c>
      <c r="AC160" s="23">
        <f t="shared" si="248"/>
        <v>-102.60000000000004</v>
      </c>
      <c r="AD160" s="23">
        <f t="shared" si="248"/>
        <v>-106.87500000000004</v>
      </c>
      <c r="AE160" s="23">
        <f t="shared" si="248"/>
        <v>-106.87500000000004</v>
      </c>
      <c r="AF160" s="23">
        <f t="shared" si="248"/>
        <v>-106.87500000000004</v>
      </c>
      <c r="AG160" s="23">
        <f t="shared" si="248"/>
        <v>-106.87500000000004</v>
      </c>
      <c r="AH160" s="23">
        <f t="shared" si="248"/>
        <v>-106.87500000000004</v>
      </c>
      <c r="AI160" s="23">
        <f t="shared" si="248"/>
        <v>-106.87500000000004</v>
      </c>
      <c r="AJ160" s="23">
        <f t="shared" si="248"/>
        <v>-106.87500000000004</v>
      </c>
      <c r="AK160" s="23">
        <f t="shared" si="248"/>
        <v>-106.87500000000004</v>
      </c>
      <c r="AL160" s="23">
        <f t="shared" si="248"/>
        <v>-106.87500000000004</v>
      </c>
      <c r="AM160" s="23">
        <f t="shared" si="248"/>
        <v>-106.87500000000004</v>
      </c>
      <c r="AN160" s="23">
        <f t="shared" si="248"/>
        <v>-106.87500000000004</v>
      </c>
      <c r="AO160" s="23">
        <f t="shared" si="248"/>
        <v>-106.87500000000004</v>
      </c>
      <c r="AP160" s="23">
        <f t="shared" si="248"/>
        <v>-106.87500000000004</v>
      </c>
      <c r="AQ160" s="23">
        <f t="shared" si="248"/>
        <v>-106.87500000000004</v>
      </c>
      <c r="AR160" s="23">
        <f t="shared" si="248"/>
        <v>-106.87500000000004</v>
      </c>
      <c r="AS160" s="23">
        <f t="shared" si="248"/>
        <v>-106.87500000000004</v>
      </c>
      <c r="AT160" s="23">
        <f t="shared" si="248"/>
        <v>-106.87500000000004</v>
      </c>
      <c r="AU160" s="23">
        <f t="shared" si="248"/>
        <v>-106.87500000000004</v>
      </c>
      <c r="AV160" s="23">
        <f t="shared" si="248"/>
        <v>-106.87500000000004</v>
      </c>
      <c r="AW160" s="23">
        <f t="shared" si="248"/>
        <v>-106.87500000000004</v>
      </c>
    </row>
    <row r="161" spans="3:49" ht="14.25" customHeight="1">
      <c r="C161" s="4" t="s">
        <v>509</v>
      </c>
      <c r="D161" s="23">
        <f>SUM(-D160, D156)</f>
        <v>-103.125</v>
      </c>
      <c r="E161" s="23">
        <f>SUM(D161,-E159, E$42, E156)</f>
        <v>-112.5</v>
      </c>
      <c r="F161" s="23">
        <f t="shared" ref="F161:AW161" si="249">SUM(E161,-F159, F$42, F156)</f>
        <v>-108.22499999999999</v>
      </c>
      <c r="G161" s="23">
        <f t="shared" si="249"/>
        <v>-103.94999999999999</v>
      </c>
      <c r="H161" s="23">
        <f t="shared" si="249"/>
        <v>-99.674999999999983</v>
      </c>
      <c r="I161" s="23">
        <f t="shared" si="249"/>
        <v>-95.399999999999977</v>
      </c>
      <c r="J161" s="23">
        <f t="shared" si="249"/>
        <v>-91.124999999999972</v>
      </c>
      <c r="K161" s="23">
        <f t="shared" si="249"/>
        <v>-86.849999999999966</v>
      </c>
      <c r="L161" s="23">
        <f t="shared" si="249"/>
        <v>-82.57499999999996</v>
      </c>
      <c r="M161" s="23">
        <f t="shared" si="249"/>
        <v>-78.299999999999955</v>
      </c>
      <c r="N161" s="23">
        <f t="shared" si="249"/>
        <v>-74.024999999999949</v>
      </c>
      <c r="O161" s="23">
        <f t="shared" si="249"/>
        <v>-69.749999999999943</v>
      </c>
      <c r="P161" s="23">
        <f t="shared" si="249"/>
        <v>-65.474999999999937</v>
      </c>
      <c r="Q161" s="23">
        <f t="shared" si="249"/>
        <v>-61.199999999999939</v>
      </c>
      <c r="R161" s="23">
        <f t="shared" si="249"/>
        <v>-56.92499999999994</v>
      </c>
      <c r="S161" s="23">
        <f t="shared" si="249"/>
        <v>-52.649999999999942</v>
      </c>
      <c r="T161" s="23">
        <f t="shared" si="249"/>
        <v>-48.374999999999943</v>
      </c>
      <c r="U161" s="23">
        <f t="shared" si="249"/>
        <v>-44.099999999999945</v>
      </c>
      <c r="V161" s="23">
        <f t="shared" si="249"/>
        <v>-39.824999999999946</v>
      </c>
      <c r="W161" s="23">
        <f t="shared" si="249"/>
        <v>-35.549999999999947</v>
      </c>
      <c r="X161" s="23">
        <f t="shared" si="249"/>
        <v>-31.274999999999949</v>
      </c>
      <c r="Y161" s="23">
        <f t="shared" si="249"/>
        <v>-26.99999999999995</v>
      </c>
      <c r="Z161" s="23">
        <f t="shared" si="249"/>
        <v>-22.724999999999952</v>
      </c>
      <c r="AA161" s="23">
        <f t="shared" si="249"/>
        <v>-18.449999999999953</v>
      </c>
      <c r="AB161" s="23">
        <f t="shared" si="249"/>
        <v>-14.174999999999953</v>
      </c>
      <c r="AC161" s="23">
        <f t="shared" si="249"/>
        <v>-9.8999999999999524</v>
      </c>
      <c r="AD161" s="23">
        <f t="shared" si="249"/>
        <v>4.7961634663806763E-14</v>
      </c>
      <c r="AE161" s="23">
        <f t="shared" si="249"/>
        <v>4.7961634663806763E-14</v>
      </c>
      <c r="AF161" s="23">
        <f t="shared" si="249"/>
        <v>4.7961634663806763E-14</v>
      </c>
      <c r="AG161" s="23">
        <f t="shared" si="249"/>
        <v>4.7961634663806763E-14</v>
      </c>
      <c r="AH161" s="23">
        <f t="shared" si="249"/>
        <v>4.7961634663806763E-14</v>
      </c>
      <c r="AI161" s="23">
        <f t="shared" si="249"/>
        <v>4.7961634663806763E-14</v>
      </c>
      <c r="AJ161" s="23">
        <f t="shared" si="249"/>
        <v>4.7961634663806763E-14</v>
      </c>
      <c r="AK161" s="23">
        <f t="shared" si="249"/>
        <v>4.7961634663806763E-14</v>
      </c>
      <c r="AL161" s="23">
        <f t="shared" si="249"/>
        <v>4.7961634663806763E-14</v>
      </c>
      <c r="AM161" s="23">
        <f t="shared" si="249"/>
        <v>4.7961634663806763E-14</v>
      </c>
      <c r="AN161" s="23">
        <f t="shared" si="249"/>
        <v>4.7961634663806763E-14</v>
      </c>
      <c r="AO161" s="23">
        <f t="shared" si="249"/>
        <v>4.7961634663806763E-14</v>
      </c>
      <c r="AP161" s="23">
        <f t="shared" si="249"/>
        <v>4.7961634663806763E-14</v>
      </c>
      <c r="AQ161" s="23">
        <f t="shared" si="249"/>
        <v>4.7961634663806763E-14</v>
      </c>
      <c r="AR161" s="23">
        <f t="shared" si="249"/>
        <v>4.7961634663806763E-14</v>
      </c>
      <c r="AS161" s="23">
        <f t="shared" si="249"/>
        <v>4.7961634663806763E-14</v>
      </c>
      <c r="AT161" s="23">
        <f t="shared" si="249"/>
        <v>4.7961634663806763E-14</v>
      </c>
      <c r="AU161" s="23">
        <f t="shared" si="249"/>
        <v>4.7961634663806763E-14</v>
      </c>
      <c r="AV161" s="23">
        <f t="shared" si="249"/>
        <v>4.7961634663806763E-14</v>
      </c>
      <c r="AW161" s="23">
        <f t="shared" si="249"/>
        <v>4.7961634663806763E-14</v>
      </c>
    </row>
    <row r="162" spans="3:49" ht="14.25" customHeight="1">
      <c r="C162" s="184" t="s">
        <v>459</v>
      </c>
      <c r="D162" s="178">
        <f>IF(-SUM(D159:AW159)=ROUND($D$25*(1-'Assumptions &amp; Inputs'!$H$37),0),"yes",ROUND(SUM(D159:AW159)-$D$25*(1-'Assumptions &amp; Inputs'!$H$37),0))</f>
        <v>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3:49" ht="14.25" customHeight="1">
      <c r="C163" s="184"/>
      <c r="D163" s="17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3:49" ht="14.25" customHeight="1">
      <c r="C164" s="2" t="s">
        <v>492</v>
      </c>
      <c r="D164" s="31">
        <f>SUM(D142,-D159)</f>
        <v>0</v>
      </c>
      <c r="E164" s="31">
        <f t="shared" ref="E164:X164" si="250">SUM(E142,-E159)</f>
        <v>93.198656643058285</v>
      </c>
      <c r="F164" s="31">
        <f t="shared" si="250"/>
        <v>130.5593701543379</v>
      </c>
      <c r="G164" s="31">
        <f t="shared" si="250"/>
        <v>132.64087507472456</v>
      </c>
      <c r="H164" s="31">
        <f t="shared" si="250"/>
        <v>134.7891991109548</v>
      </c>
      <c r="I164" s="31">
        <f t="shared" si="250"/>
        <v>136.93429342474641</v>
      </c>
      <c r="J164" s="31">
        <f t="shared" si="250"/>
        <v>139.11431176607331</v>
      </c>
      <c r="K164" s="31">
        <f t="shared" si="250"/>
        <v>141.33792506434375</v>
      </c>
      <c r="L164" s="31">
        <f t="shared" si="250"/>
        <v>143.60600513157036</v>
      </c>
      <c r="M164" s="31">
        <f t="shared" si="250"/>
        <v>145.91944121458368</v>
      </c>
      <c r="N164" s="31">
        <f t="shared" si="250"/>
        <v>148.27914034370536</v>
      </c>
      <c r="O164" s="31">
        <f t="shared" si="250"/>
        <v>150.68602768839384</v>
      </c>
      <c r="P164" s="31">
        <f t="shared" si="250"/>
        <v>153.14104692000305</v>
      </c>
      <c r="Q164" s="31">
        <f t="shared" si="250"/>
        <v>155.64516058179532</v>
      </c>
      <c r="R164" s="31">
        <f t="shared" si="250"/>
        <v>158.1993504663547</v>
      </c>
      <c r="S164" s="31">
        <f t="shared" si="250"/>
        <v>160.80461800054758</v>
      </c>
      <c r="T164" s="31">
        <f t="shared" si="250"/>
        <v>163.4619846381828</v>
      </c>
      <c r="U164" s="31">
        <f t="shared" si="250"/>
        <v>166.17249226052354</v>
      </c>
      <c r="V164" s="31">
        <f t="shared" si="250"/>
        <v>168.93720358481002</v>
      </c>
      <c r="W164" s="31">
        <f t="shared" si="250"/>
        <v>171.7572025809516</v>
      </c>
      <c r="X164" s="31">
        <f t="shared" si="250"/>
        <v>174.63359489655232</v>
      </c>
      <c r="Y164" s="31">
        <f t="shared" ref="Y164:AW164" si="251">SUM(Y142,-Y159)</f>
        <v>177.56750829043679</v>
      </c>
      <c r="Z164" s="31">
        <f t="shared" si="251"/>
        <v>180.5600930748457</v>
      </c>
      <c r="AA164" s="31">
        <f t="shared" si="251"/>
        <v>183.61252256647512</v>
      </c>
      <c r="AB164" s="31">
        <f t="shared" si="251"/>
        <v>186.72599354653602</v>
      </c>
      <c r="AC164" s="31">
        <f t="shared" si="251"/>
        <v>189.90172673001408</v>
      </c>
      <c r="AD164" s="31">
        <f t="shared" si="251"/>
        <v>193.14096724431502</v>
      </c>
      <c r="AE164" s="31">
        <f t="shared" si="251"/>
        <v>0</v>
      </c>
      <c r="AF164" s="31">
        <f t="shared" si="251"/>
        <v>0</v>
      </c>
      <c r="AG164" s="31">
        <f t="shared" si="251"/>
        <v>0</v>
      </c>
      <c r="AH164" s="31">
        <f t="shared" si="251"/>
        <v>0</v>
      </c>
      <c r="AI164" s="31">
        <f t="shared" si="251"/>
        <v>0</v>
      </c>
      <c r="AJ164" s="31">
        <f t="shared" si="251"/>
        <v>0</v>
      </c>
      <c r="AK164" s="31">
        <f t="shared" si="251"/>
        <v>0</v>
      </c>
      <c r="AL164" s="31">
        <f t="shared" si="251"/>
        <v>0</v>
      </c>
      <c r="AM164" s="31">
        <f t="shared" si="251"/>
        <v>0</v>
      </c>
      <c r="AN164" s="31">
        <f t="shared" si="251"/>
        <v>0</v>
      </c>
      <c r="AO164" s="31">
        <f t="shared" si="251"/>
        <v>0</v>
      </c>
      <c r="AP164" s="31">
        <f t="shared" si="251"/>
        <v>0</v>
      </c>
      <c r="AQ164" s="31">
        <f t="shared" si="251"/>
        <v>0</v>
      </c>
      <c r="AR164" s="31">
        <f t="shared" si="251"/>
        <v>0</v>
      </c>
      <c r="AS164" s="31">
        <f t="shared" si="251"/>
        <v>0</v>
      </c>
      <c r="AT164" s="31">
        <f t="shared" si="251"/>
        <v>0</v>
      </c>
      <c r="AU164" s="31">
        <f t="shared" si="251"/>
        <v>0</v>
      </c>
      <c r="AV164" s="31">
        <f t="shared" si="251"/>
        <v>0</v>
      </c>
      <c r="AW164" s="31">
        <f t="shared" si="251"/>
        <v>0</v>
      </c>
    </row>
  </sheetData>
  <mergeCells count="6">
    <mergeCell ref="E109:P109"/>
    <mergeCell ref="E8:P8"/>
    <mergeCell ref="E31:P31"/>
    <mergeCell ref="C64:E64"/>
    <mergeCell ref="C78:E78"/>
    <mergeCell ref="E88:P88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1833-6887-4F84-8E43-205F22F92558}">
  <sheetPr codeName="Sheet15">
    <tabColor rgb="FF92D050"/>
  </sheetPr>
  <dimension ref="A2:AW168"/>
  <sheetViews>
    <sheetView workbookViewId="0">
      <selection activeCell="F51" sqref="F51"/>
    </sheetView>
  </sheetViews>
  <sheetFormatPr baseColWidth="10" defaultColWidth="14.33203125" defaultRowHeight="15" customHeight="1"/>
  <cols>
    <col min="1" max="2" width="3.33203125" customWidth="1"/>
    <col min="3" max="3" width="42.83203125" customWidth="1"/>
    <col min="4" max="24" width="13.1640625" customWidth="1"/>
  </cols>
  <sheetData>
    <row r="2" spans="3:49" ht="14.25" customHeight="1">
      <c r="C2" s="63" t="s">
        <v>469</v>
      </c>
      <c r="D2" s="89"/>
      <c r="E2" s="105">
        <v>1000</v>
      </c>
      <c r="F2" s="63"/>
      <c r="G2" s="1"/>
      <c r="H2" s="1"/>
      <c r="I2" s="1"/>
    </row>
    <row r="3" spans="3:49" ht="14.25" customHeight="1">
      <c r="C3" s="63" t="s">
        <v>470</v>
      </c>
      <c r="D3" s="64"/>
      <c r="E3" s="106">
        <v>1000000</v>
      </c>
      <c r="F3" s="63"/>
      <c r="G3" s="1"/>
      <c r="H3" s="14"/>
      <c r="I3" s="14"/>
    </row>
    <row r="4" spans="3:49" ht="14.25" customHeight="1">
      <c r="C4" s="1"/>
      <c r="D4" s="1"/>
      <c r="E4" s="1"/>
      <c r="F4" s="1"/>
      <c r="G4" s="1"/>
      <c r="H4" s="14"/>
      <c r="I4" s="14"/>
    </row>
    <row r="5" spans="3:49" ht="14.25" customHeight="1" thickBot="1">
      <c r="C5" s="9" t="s">
        <v>352</v>
      </c>
      <c r="D5" s="9"/>
      <c r="E5" s="10"/>
      <c r="F5" s="10"/>
      <c r="G5" s="10"/>
      <c r="H5" s="10"/>
      <c r="I5" s="10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</row>
    <row r="6" spans="3:49" ht="14.25" customHeight="1">
      <c r="C6" s="12" t="s">
        <v>353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3:49" ht="14.25" customHeight="1">
      <c r="C7" s="1"/>
      <c r="D7" s="43">
        <v>0</v>
      </c>
      <c r="E7" s="119">
        <f t="shared" ref="E7:X7" si="0">D7+1</f>
        <v>1</v>
      </c>
      <c r="F7" s="119">
        <f t="shared" si="0"/>
        <v>2</v>
      </c>
      <c r="G7" s="119">
        <f t="shared" si="0"/>
        <v>3</v>
      </c>
      <c r="H7" s="119">
        <f t="shared" si="0"/>
        <v>4</v>
      </c>
      <c r="I7" s="119">
        <f t="shared" si="0"/>
        <v>5</v>
      </c>
      <c r="J7" s="119">
        <f t="shared" si="0"/>
        <v>6</v>
      </c>
      <c r="K7" s="119">
        <f t="shared" si="0"/>
        <v>7</v>
      </c>
      <c r="L7" s="119">
        <f t="shared" si="0"/>
        <v>8</v>
      </c>
      <c r="M7" s="119">
        <f t="shared" si="0"/>
        <v>9</v>
      </c>
      <c r="N7" s="119">
        <f t="shared" si="0"/>
        <v>10</v>
      </c>
      <c r="O7" s="119">
        <f t="shared" si="0"/>
        <v>11</v>
      </c>
      <c r="P7" s="119">
        <f t="shared" si="0"/>
        <v>12</v>
      </c>
      <c r="Q7" s="119">
        <f t="shared" si="0"/>
        <v>13</v>
      </c>
      <c r="R7" s="119">
        <f t="shared" si="0"/>
        <v>14</v>
      </c>
      <c r="S7" s="119">
        <f t="shared" si="0"/>
        <v>15</v>
      </c>
      <c r="T7" s="119">
        <f t="shared" si="0"/>
        <v>16</v>
      </c>
      <c r="U7" s="119">
        <f t="shared" si="0"/>
        <v>17</v>
      </c>
      <c r="V7" s="119">
        <f t="shared" si="0"/>
        <v>18</v>
      </c>
      <c r="W7" s="119">
        <f t="shared" si="0"/>
        <v>19</v>
      </c>
      <c r="X7" s="119">
        <f t="shared" si="0"/>
        <v>20</v>
      </c>
      <c r="Y7" s="119">
        <f t="shared" ref="Y7:AW7" si="1">X7+1</f>
        <v>21</v>
      </c>
      <c r="Z7" s="119">
        <f t="shared" si="1"/>
        <v>22</v>
      </c>
      <c r="AA7" s="119">
        <f t="shared" si="1"/>
        <v>23</v>
      </c>
      <c r="AB7" s="119">
        <f t="shared" si="1"/>
        <v>24</v>
      </c>
      <c r="AC7" s="119">
        <f t="shared" si="1"/>
        <v>25</v>
      </c>
      <c r="AD7" s="119">
        <f t="shared" si="1"/>
        <v>26</v>
      </c>
      <c r="AE7" s="119">
        <f t="shared" si="1"/>
        <v>27</v>
      </c>
      <c r="AF7" s="119">
        <f t="shared" si="1"/>
        <v>28</v>
      </c>
      <c r="AG7" s="119">
        <f t="shared" si="1"/>
        <v>29</v>
      </c>
      <c r="AH7" s="119">
        <f t="shared" si="1"/>
        <v>30</v>
      </c>
      <c r="AI7" s="119">
        <f t="shared" si="1"/>
        <v>31</v>
      </c>
      <c r="AJ7" s="119">
        <f t="shared" si="1"/>
        <v>32</v>
      </c>
      <c r="AK7" s="119">
        <f t="shared" si="1"/>
        <v>33</v>
      </c>
      <c r="AL7" s="119">
        <f t="shared" si="1"/>
        <v>34</v>
      </c>
      <c r="AM7" s="119">
        <f t="shared" si="1"/>
        <v>35</v>
      </c>
      <c r="AN7" s="119">
        <f t="shared" si="1"/>
        <v>36</v>
      </c>
      <c r="AO7" s="119">
        <f t="shared" si="1"/>
        <v>37</v>
      </c>
      <c r="AP7" s="119">
        <f t="shared" si="1"/>
        <v>38</v>
      </c>
      <c r="AQ7" s="119">
        <f t="shared" si="1"/>
        <v>39</v>
      </c>
      <c r="AR7" s="119">
        <f t="shared" si="1"/>
        <v>40</v>
      </c>
      <c r="AS7" s="119">
        <f t="shared" si="1"/>
        <v>41</v>
      </c>
      <c r="AT7" s="119">
        <f t="shared" si="1"/>
        <v>42</v>
      </c>
      <c r="AU7" s="119">
        <f t="shared" si="1"/>
        <v>43</v>
      </c>
      <c r="AV7" s="119">
        <f t="shared" si="1"/>
        <v>44</v>
      </c>
      <c r="AW7" s="119">
        <f t="shared" si="1"/>
        <v>45</v>
      </c>
    </row>
    <row r="8" spans="3:49" ht="14.25" customHeight="1" thickBot="1">
      <c r="C8" s="200"/>
      <c r="D8" s="83"/>
      <c r="E8" s="806" t="s">
        <v>354</v>
      </c>
      <c r="F8" s="806"/>
      <c r="G8" s="806"/>
      <c r="H8" s="806"/>
      <c r="I8" s="806"/>
      <c r="J8" s="806"/>
      <c r="K8" s="806"/>
      <c r="L8" s="806"/>
      <c r="M8" s="806"/>
      <c r="N8" s="806"/>
      <c r="O8" s="806"/>
      <c r="P8" s="806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</row>
    <row r="9" spans="3:49" ht="14.25" customHeight="1">
      <c r="C9" s="202"/>
      <c r="D9" s="40">
        <f>YEAR(D10)</f>
        <v>2026</v>
      </c>
      <c r="E9" s="40">
        <f t="shared" ref="E9:X9" si="2">D9+1</f>
        <v>2027</v>
      </c>
      <c r="F9" s="40">
        <f t="shared" si="2"/>
        <v>2028</v>
      </c>
      <c r="G9" s="40">
        <f t="shared" si="2"/>
        <v>2029</v>
      </c>
      <c r="H9" s="40">
        <f t="shared" si="2"/>
        <v>2030</v>
      </c>
      <c r="I9" s="40">
        <f t="shared" si="2"/>
        <v>2031</v>
      </c>
      <c r="J9" s="40">
        <f t="shared" si="2"/>
        <v>2032</v>
      </c>
      <c r="K9" s="40">
        <f t="shared" si="2"/>
        <v>2033</v>
      </c>
      <c r="L9" s="40">
        <f t="shared" si="2"/>
        <v>2034</v>
      </c>
      <c r="M9" s="40">
        <f t="shared" si="2"/>
        <v>2035</v>
      </c>
      <c r="N9" s="40">
        <f t="shared" si="2"/>
        <v>2036</v>
      </c>
      <c r="O9" s="40">
        <f t="shared" si="2"/>
        <v>2037</v>
      </c>
      <c r="P9" s="40">
        <f t="shared" si="2"/>
        <v>2038</v>
      </c>
      <c r="Q9" s="40">
        <f>P9+1</f>
        <v>2039</v>
      </c>
      <c r="R9" s="40">
        <f t="shared" si="2"/>
        <v>2040</v>
      </c>
      <c r="S9" s="40">
        <f t="shared" si="2"/>
        <v>2041</v>
      </c>
      <c r="T9" s="40">
        <f t="shared" si="2"/>
        <v>2042</v>
      </c>
      <c r="U9" s="40">
        <f t="shared" si="2"/>
        <v>2043</v>
      </c>
      <c r="V9" s="40">
        <f t="shared" si="2"/>
        <v>2044</v>
      </c>
      <c r="W9" s="40">
        <f t="shared" si="2"/>
        <v>2045</v>
      </c>
      <c r="X9" s="40">
        <f t="shared" si="2"/>
        <v>2046</v>
      </c>
      <c r="Y9" s="40">
        <f t="shared" ref="Y9" si="3">X9+1</f>
        <v>2047</v>
      </c>
      <c r="Z9" s="40">
        <f t="shared" ref="Z9" si="4">Y9+1</f>
        <v>2048</v>
      </c>
      <c r="AA9" s="40">
        <f t="shared" ref="AA9" si="5">Z9+1</f>
        <v>2049</v>
      </c>
      <c r="AB9" s="40">
        <f t="shared" ref="AB9" si="6">AA9+1</f>
        <v>2050</v>
      </c>
      <c r="AC9" s="40">
        <f t="shared" ref="AC9" si="7">AB9+1</f>
        <v>2051</v>
      </c>
      <c r="AD9" s="40">
        <f t="shared" ref="AD9" si="8">AC9+1</f>
        <v>2052</v>
      </c>
      <c r="AE9" s="40">
        <f t="shared" ref="AE9" si="9">AD9+1</f>
        <v>2053</v>
      </c>
      <c r="AF9" s="40">
        <f t="shared" ref="AF9" si="10">AE9+1</f>
        <v>2054</v>
      </c>
      <c r="AG9" s="40">
        <f t="shared" ref="AG9" si="11">AF9+1</f>
        <v>2055</v>
      </c>
      <c r="AH9" s="40">
        <f t="shared" ref="AH9" si="12">AG9+1</f>
        <v>2056</v>
      </c>
      <c r="AI9" s="40">
        <f t="shared" ref="AI9" si="13">AH9+1</f>
        <v>2057</v>
      </c>
      <c r="AJ9" s="40">
        <f t="shared" ref="AJ9" si="14">AI9+1</f>
        <v>2058</v>
      </c>
      <c r="AK9" s="40">
        <f t="shared" ref="AK9" si="15">AJ9+1</f>
        <v>2059</v>
      </c>
      <c r="AL9" s="40">
        <f t="shared" ref="AL9" si="16">AK9+1</f>
        <v>2060</v>
      </c>
      <c r="AM9" s="40">
        <f t="shared" ref="AM9" si="17">AL9+1</f>
        <v>2061</v>
      </c>
      <c r="AN9" s="40">
        <f t="shared" ref="AN9" si="18">AM9+1</f>
        <v>2062</v>
      </c>
      <c r="AO9" s="40">
        <f t="shared" ref="AO9" si="19">AN9+1</f>
        <v>2063</v>
      </c>
      <c r="AP9" s="40">
        <f t="shared" ref="AP9" si="20">AO9+1</f>
        <v>2064</v>
      </c>
      <c r="AQ9" s="40">
        <f t="shared" ref="AQ9" si="21">AP9+1</f>
        <v>2065</v>
      </c>
      <c r="AR9" s="40">
        <f t="shared" ref="AR9" si="22">AQ9+1</f>
        <v>2066</v>
      </c>
      <c r="AS9" s="40">
        <f t="shared" ref="AS9" si="23">AR9+1</f>
        <v>2067</v>
      </c>
      <c r="AT9" s="40">
        <f t="shared" ref="AT9" si="24">AS9+1</f>
        <v>2068</v>
      </c>
      <c r="AU9" s="40">
        <f t="shared" ref="AU9" si="25">AT9+1</f>
        <v>2069</v>
      </c>
      <c r="AV9" s="40">
        <f t="shared" ref="AV9" si="26">AU9+1</f>
        <v>2070</v>
      </c>
      <c r="AW9" s="41">
        <f t="shared" ref="AW9" si="27">AV9+1</f>
        <v>2071</v>
      </c>
    </row>
    <row r="10" spans="3:49" ht="14.25" customHeight="1">
      <c r="C10" s="94"/>
      <c r="D10" s="142">
        <f>'Assumptions &amp; Inputs'!$J$27</f>
        <v>46023</v>
      </c>
      <c r="E10" s="142">
        <f t="shared" ref="E10:X10" si="28">DATE(E9, 12, 31)</f>
        <v>46752</v>
      </c>
      <c r="F10" s="142">
        <f t="shared" si="28"/>
        <v>47118</v>
      </c>
      <c r="G10" s="142">
        <f t="shared" si="28"/>
        <v>47483</v>
      </c>
      <c r="H10" s="142">
        <f t="shared" si="28"/>
        <v>47848</v>
      </c>
      <c r="I10" s="142">
        <f t="shared" si="28"/>
        <v>48213</v>
      </c>
      <c r="J10" s="142">
        <f t="shared" si="28"/>
        <v>48579</v>
      </c>
      <c r="K10" s="142">
        <f t="shared" si="28"/>
        <v>48944</v>
      </c>
      <c r="L10" s="142">
        <f t="shared" si="28"/>
        <v>49309</v>
      </c>
      <c r="M10" s="142">
        <f t="shared" si="28"/>
        <v>49674</v>
      </c>
      <c r="N10" s="142">
        <f t="shared" si="28"/>
        <v>50040</v>
      </c>
      <c r="O10" s="142">
        <f t="shared" si="28"/>
        <v>50405</v>
      </c>
      <c r="P10" s="142">
        <f t="shared" si="28"/>
        <v>50770</v>
      </c>
      <c r="Q10" s="142">
        <f t="shared" si="28"/>
        <v>51135</v>
      </c>
      <c r="R10" s="142">
        <f t="shared" si="28"/>
        <v>51501</v>
      </c>
      <c r="S10" s="142">
        <f t="shared" si="28"/>
        <v>51866</v>
      </c>
      <c r="T10" s="142">
        <f t="shared" si="28"/>
        <v>52231</v>
      </c>
      <c r="U10" s="142">
        <f t="shared" si="28"/>
        <v>52596</v>
      </c>
      <c r="V10" s="142">
        <f t="shared" si="28"/>
        <v>52962</v>
      </c>
      <c r="W10" s="142">
        <f t="shared" si="28"/>
        <v>53327</v>
      </c>
      <c r="X10" s="142">
        <f t="shared" si="28"/>
        <v>53692</v>
      </c>
      <c r="Y10" s="142">
        <f t="shared" ref="Y10:AW10" si="29">DATE(Y9, 12, 31)</f>
        <v>54057</v>
      </c>
      <c r="Z10" s="142">
        <f t="shared" si="29"/>
        <v>54423</v>
      </c>
      <c r="AA10" s="142">
        <f t="shared" si="29"/>
        <v>54788</v>
      </c>
      <c r="AB10" s="142">
        <f t="shared" si="29"/>
        <v>55153</v>
      </c>
      <c r="AC10" s="142">
        <f t="shared" si="29"/>
        <v>55518</v>
      </c>
      <c r="AD10" s="142">
        <f t="shared" si="29"/>
        <v>55884</v>
      </c>
      <c r="AE10" s="142">
        <f t="shared" si="29"/>
        <v>56249</v>
      </c>
      <c r="AF10" s="142">
        <f t="shared" si="29"/>
        <v>56614</v>
      </c>
      <c r="AG10" s="142">
        <f t="shared" si="29"/>
        <v>56979</v>
      </c>
      <c r="AH10" s="142">
        <f t="shared" si="29"/>
        <v>57345</v>
      </c>
      <c r="AI10" s="142">
        <f t="shared" si="29"/>
        <v>57710</v>
      </c>
      <c r="AJ10" s="142">
        <f t="shared" si="29"/>
        <v>58075</v>
      </c>
      <c r="AK10" s="142">
        <f t="shared" si="29"/>
        <v>58440</v>
      </c>
      <c r="AL10" s="142">
        <f t="shared" si="29"/>
        <v>58806</v>
      </c>
      <c r="AM10" s="142">
        <f t="shared" si="29"/>
        <v>59171</v>
      </c>
      <c r="AN10" s="142">
        <f t="shared" si="29"/>
        <v>59536</v>
      </c>
      <c r="AO10" s="142">
        <f t="shared" si="29"/>
        <v>59901</v>
      </c>
      <c r="AP10" s="142">
        <f t="shared" si="29"/>
        <v>60267</v>
      </c>
      <c r="AQ10" s="142">
        <f t="shared" si="29"/>
        <v>60632</v>
      </c>
      <c r="AR10" s="142">
        <f t="shared" si="29"/>
        <v>60997</v>
      </c>
      <c r="AS10" s="142">
        <f t="shared" si="29"/>
        <v>61362</v>
      </c>
      <c r="AT10" s="142">
        <f t="shared" si="29"/>
        <v>61728</v>
      </c>
      <c r="AU10" s="142">
        <f t="shared" si="29"/>
        <v>62093</v>
      </c>
      <c r="AV10" s="142">
        <f t="shared" si="29"/>
        <v>62458</v>
      </c>
      <c r="AW10" s="107">
        <f t="shared" si="29"/>
        <v>62823</v>
      </c>
    </row>
    <row r="11" spans="3:49" ht="14.25" customHeight="1">
      <c r="C11" s="252" t="s">
        <v>471</v>
      </c>
      <c r="D11" s="186">
        <f>IF(DATEDIF('Assumptions &amp; Inputs'!$L$27,DATE(YEAR('Assumptions &amp; Inputs'!$L$27),12,31),"m")&gt;'Assumptions &amp; Inputs'!$L$28, 'Assumptions &amp; Inputs'!$L$28, DATEDIF('Assumptions &amp; Inputs'!$L$27,DATE(YEAR('Assumptions &amp; Inputs'!$L$27),12,31),"m"))</f>
        <v>11</v>
      </c>
      <c r="E11" s="186">
        <f>IF('Assumptions &amp; Inputs'!$L$28-D12&lt;=12,MIN('Assumptions &amp; Inputs'!$L$28-D12,12), 12)</f>
        <v>1</v>
      </c>
      <c r="F11" s="186">
        <f>IF('Assumptions &amp; Inputs'!$L$28-E12&lt;=12,MIN('Assumptions &amp; Inputs'!$L$28-E12,12), 12)</f>
        <v>0</v>
      </c>
      <c r="G11" s="186">
        <f>IF('Assumptions &amp; Inputs'!$L$28-F12&lt;=12,MIN('Assumptions &amp; Inputs'!$L$28-F12,12), 12)</f>
        <v>0</v>
      </c>
      <c r="H11" s="186">
        <f>IF('Assumptions &amp; Inputs'!$L$28-G12&lt;=12,MIN('Assumptions &amp; Inputs'!$L$28-G12,12), 12)</f>
        <v>0</v>
      </c>
      <c r="I11" s="186">
        <f>IF('Assumptions &amp; Inputs'!$L$28-H12&lt;=12,MIN('Assumptions &amp; Inputs'!$L$28-H12,12), 12)</f>
        <v>0</v>
      </c>
      <c r="J11" s="186">
        <f>IF('Assumptions &amp; Inputs'!$L$28-I12&lt;=12,MIN('Assumptions &amp; Inputs'!$L$28-I12,12), 12)</f>
        <v>0</v>
      </c>
      <c r="K11" s="186">
        <f>IF('Assumptions &amp; Inputs'!$L$28-J12&lt;=12,MIN('Assumptions &amp; Inputs'!$L$28-J12,12), 12)</f>
        <v>0</v>
      </c>
      <c r="L11" s="186">
        <f>IF('Assumptions &amp; Inputs'!$L$28-K12&lt;=12,MIN('Assumptions &amp; Inputs'!$L$28-K12,12), 12)</f>
        <v>0</v>
      </c>
      <c r="M11" s="186">
        <f>IF('Assumptions &amp; Inputs'!$L$28-L12&lt;=12,MIN('Assumptions &amp; Inputs'!$L$28-L12,12), 12)</f>
        <v>0</v>
      </c>
      <c r="N11" s="186">
        <f>IF('Assumptions &amp; Inputs'!$L$28-M12&lt;=12,MIN('Assumptions &amp; Inputs'!$L$28-M12,12), 12)</f>
        <v>0</v>
      </c>
      <c r="O11" s="186">
        <f>IF('Assumptions &amp; Inputs'!$L$28-N12&lt;=12,MIN('Assumptions &amp; Inputs'!$L$28-N12,12), 12)</f>
        <v>0</v>
      </c>
      <c r="P11" s="186">
        <f>IF('Assumptions &amp; Inputs'!$L$28-O12&lt;=12,MIN('Assumptions &amp; Inputs'!$L$28-O12,12), 12)</f>
        <v>0</v>
      </c>
      <c r="Q11" s="186">
        <f>IF('Assumptions &amp; Inputs'!$L$28-P12&lt;=12,MIN('Assumptions &amp; Inputs'!$L$28-P12,12), 12)</f>
        <v>0</v>
      </c>
      <c r="R11" s="186">
        <f>IF('Assumptions &amp; Inputs'!$L$28-Q12&lt;=12,MIN('Assumptions &amp; Inputs'!$L$28-Q12,12), 12)</f>
        <v>0</v>
      </c>
      <c r="S11" s="186">
        <f>IF('Assumptions &amp; Inputs'!$L$28-R12&lt;=12,MIN('Assumptions &amp; Inputs'!$L$28-R12,12), 12)</f>
        <v>0</v>
      </c>
      <c r="T11" s="186">
        <f>IF('Assumptions &amp; Inputs'!$L$28-S12&lt;=12,MIN('Assumptions &amp; Inputs'!$L$28-S12,12), 12)</f>
        <v>0</v>
      </c>
      <c r="U11" s="186">
        <f>IF('Assumptions &amp; Inputs'!$L$28-T12&lt;=12,MIN('Assumptions &amp; Inputs'!$L$28-T12,12), 12)</f>
        <v>0</v>
      </c>
      <c r="V11" s="186">
        <f>IF('Assumptions &amp; Inputs'!$L$28-U12&lt;=12,MIN('Assumptions &amp; Inputs'!$L$28-U12,12), 12)</f>
        <v>0</v>
      </c>
      <c r="W11" s="186">
        <f>IF('Assumptions &amp; Inputs'!$L$28-V12&lt;=12,MIN('Assumptions &amp; Inputs'!$L$28-V12,12), 12)</f>
        <v>0</v>
      </c>
      <c r="X11" s="186">
        <f>IF('Assumptions &amp; Inputs'!$L$28-W12&lt;=12,MIN('Assumptions &amp; Inputs'!$L$28-W12,12), 12)</f>
        <v>0</v>
      </c>
      <c r="Y11" s="186">
        <f>IF('Assumptions &amp; Inputs'!$L$28-X12&lt;=12,MIN('Assumptions &amp; Inputs'!$L$28-X12,12), 12)</f>
        <v>0</v>
      </c>
      <c r="Z11" s="186">
        <f>IF('Assumptions &amp; Inputs'!$L$28-Y12&lt;=12,MIN('Assumptions &amp; Inputs'!$L$28-Y12,12), 12)</f>
        <v>0</v>
      </c>
      <c r="AA11" s="186">
        <f>IF('Assumptions &amp; Inputs'!$L$28-Z12&lt;=12,MIN('Assumptions &amp; Inputs'!$L$28-Z12,12), 12)</f>
        <v>0</v>
      </c>
      <c r="AB11" s="186">
        <f>IF('Assumptions &amp; Inputs'!$L$28-AA12&lt;=12,MIN('Assumptions &amp; Inputs'!$L$28-AA12,12), 12)</f>
        <v>0</v>
      </c>
      <c r="AC11" s="186">
        <f>IF('Assumptions &amp; Inputs'!$L$28-AB12&lt;=12,MIN('Assumptions &amp; Inputs'!$L$28-AB12,12), 12)</f>
        <v>0</v>
      </c>
      <c r="AD11" s="186">
        <f>IF('Assumptions &amp; Inputs'!$L$28-AC12&lt;=12,MIN('Assumptions &amp; Inputs'!$L$28-AC12,12), 12)</f>
        <v>0</v>
      </c>
      <c r="AE11" s="186">
        <f>IF('Assumptions &amp; Inputs'!$L$28-AD12&lt;=12,MIN('Assumptions &amp; Inputs'!$L$28-AD12,12), 12)</f>
        <v>0</v>
      </c>
      <c r="AF11" s="186">
        <f>IF('Assumptions &amp; Inputs'!$L$28-AE12&lt;=12,MIN('Assumptions &amp; Inputs'!$L$28-AE12,12), 12)</f>
        <v>0</v>
      </c>
      <c r="AG11" s="186">
        <f>IF('Assumptions &amp; Inputs'!$L$28-AF12&lt;=12,MIN('Assumptions &amp; Inputs'!$L$28-AF12,12), 12)</f>
        <v>0</v>
      </c>
      <c r="AH11" s="186">
        <f>IF('Assumptions &amp; Inputs'!$L$28-AG12&lt;=12,MIN('Assumptions &amp; Inputs'!$L$28-AG12,12), 12)</f>
        <v>0</v>
      </c>
      <c r="AI11" s="186">
        <f>IF('Assumptions &amp; Inputs'!$L$28-AH12&lt;=12,MIN('Assumptions &amp; Inputs'!$L$28-AH12,12), 12)</f>
        <v>0</v>
      </c>
      <c r="AJ11" s="186">
        <f>IF('Assumptions &amp; Inputs'!$L$28-AI12&lt;=12,MIN('Assumptions &amp; Inputs'!$L$28-AI12,12), 12)</f>
        <v>0</v>
      </c>
      <c r="AK11" s="186">
        <f>IF('Assumptions &amp; Inputs'!$L$28-AJ12&lt;=12,MIN('Assumptions &amp; Inputs'!$L$28-AJ12,12), 12)</f>
        <v>0</v>
      </c>
      <c r="AL11" s="186">
        <f>IF('Assumptions &amp; Inputs'!$L$28-AK12&lt;=12,MIN('Assumptions &amp; Inputs'!$L$28-AK12,12), 12)</f>
        <v>0</v>
      </c>
      <c r="AM11" s="186">
        <f>IF('Assumptions &amp; Inputs'!$L$28-AL12&lt;=12,MIN('Assumptions &amp; Inputs'!$L$28-AL12,12), 12)</f>
        <v>0</v>
      </c>
      <c r="AN11" s="186">
        <f>IF('Assumptions &amp; Inputs'!$L$28-AM12&lt;=12,MIN('Assumptions &amp; Inputs'!$L$28-AM12,12), 12)</f>
        <v>0</v>
      </c>
      <c r="AO11" s="186">
        <f>IF('Assumptions &amp; Inputs'!$L$28-AN12&lt;=12,MIN('Assumptions &amp; Inputs'!$L$28-AN12,12), 12)</f>
        <v>0</v>
      </c>
      <c r="AP11" s="186">
        <f>IF('Assumptions &amp; Inputs'!$L$28-AO12&lt;=12,MIN('Assumptions &amp; Inputs'!$L$28-AO12,12), 12)</f>
        <v>0</v>
      </c>
      <c r="AQ11" s="186">
        <f>IF('Assumptions &amp; Inputs'!$L$28-AP12&lt;=12,MIN('Assumptions &amp; Inputs'!$L$28-AP12,12), 12)</f>
        <v>0</v>
      </c>
      <c r="AR11" s="186">
        <f>IF('Assumptions &amp; Inputs'!$L$28-AQ12&lt;=12,MIN('Assumptions &amp; Inputs'!$L$28-AQ12,12), 12)</f>
        <v>0</v>
      </c>
      <c r="AS11" s="186">
        <f>IF('Assumptions &amp; Inputs'!$L$28-AR12&lt;=12,MIN('Assumptions &amp; Inputs'!$L$28-AR12,12), 12)</f>
        <v>0</v>
      </c>
      <c r="AT11" s="186">
        <f>IF('Assumptions &amp; Inputs'!$L$28-AS12&lt;=12,MIN('Assumptions &amp; Inputs'!$L$28-AS12,12), 12)</f>
        <v>0</v>
      </c>
      <c r="AU11" s="186">
        <f>IF('Assumptions &amp; Inputs'!$L$28-AT12&lt;=12,MIN('Assumptions &amp; Inputs'!$L$28-AT12,12), 12)</f>
        <v>0</v>
      </c>
      <c r="AV11" s="186">
        <f>IF('Assumptions &amp; Inputs'!$L$28-AU12&lt;=12,MIN('Assumptions &amp; Inputs'!$L$28-AU12,12), 12)</f>
        <v>0</v>
      </c>
      <c r="AW11" s="197">
        <f>IF('Assumptions &amp; Inputs'!$L$28-AV12&lt;=12,MIN('Assumptions &amp; Inputs'!$L$28-AV12,12), 12)</f>
        <v>0</v>
      </c>
    </row>
    <row r="12" spans="3:49" ht="14.25" customHeight="1">
      <c r="C12" s="252" t="s">
        <v>472</v>
      </c>
      <c r="D12" s="186">
        <f>D11</f>
        <v>11</v>
      </c>
      <c r="E12" s="186">
        <f>E11+D12</f>
        <v>12</v>
      </c>
      <c r="F12" s="186">
        <f t="shared" ref="F12:X12" si="30">F11+E12</f>
        <v>12</v>
      </c>
      <c r="G12" s="186">
        <f t="shared" si="30"/>
        <v>12</v>
      </c>
      <c r="H12" s="186">
        <f t="shared" si="30"/>
        <v>12</v>
      </c>
      <c r="I12" s="186">
        <f t="shared" si="30"/>
        <v>12</v>
      </c>
      <c r="J12" s="186">
        <f t="shared" si="30"/>
        <v>12</v>
      </c>
      <c r="K12" s="186">
        <f t="shared" si="30"/>
        <v>12</v>
      </c>
      <c r="L12" s="186">
        <f t="shared" si="30"/>
        <v>12</v>
      </c>
      <c r="M12" s="186">
        <f t="shared" si="30"/>
        <v>12</v>
      </c>
      <c r="N12" s="186">
        <f t="shared" si="30"/>
        <v>12</v>
      </c>
      <c r="O12" s="186">
        <f t="shared" si="30"/>
        <v>12</v>
      </c>
      <c r="P12" s="186">
        <f t="shared" si="30"/>
        <v>12</v>
      </c>
      <c r="Q12" s="186">
        <f t="shared" si="30"/>
        <v>12</v>
      </c>
      <c r="R12" s="186">
        <f t="shared" si="30"/>
        <v>12</v>
      </c>
      <c r="S12" s="186">
        <f t="shared" si="30"/>
        <v>12</v>
      </c>
      <c r="T12" s="186">
        <f t="shared" si="30"/>
        <v>12</v>
      </c>
      <c r="U12" s="186">
        <f t="shared" si="30"/>
        <v>12</v>
      </c>
      <c r="V12" s="186">
        <f t="shared" si="30"/>
        <v>12</v>
      </c>
      <c r="W12" s="186">
        <f t="shared" si="30"/>
        <v>12</v>
      </c>
      <c r="X12" s="186">
        <f t="shared" si="30"/>
        <v>12</v>
      </c>
      <c r="Y12" s="186">
        <f t="shared" ref="Y12" si="31">Y11+X12</f>
        <v>12</v>
      </c>
      <c r="Z12" s="186">
        <f t="shared" ref="Z12" si="32">Z11+Y12</f>
        <v>12</v>
      </c>
      <c r="AA12" s="186">
        <f t="shared" ref="AA12" si="33">AA11+Z12</f>
        <v>12</v>
      </c>
      <c r="AB12" s="186">
        <f t="shared" ref="AB12" si="34">AB11+AA12</f>
        <v>12</v>
      </c>
      <c r="AC12" s="186">
        <f t="shared" ref="AC12" si="35">AC11+AB12</f>
        <v>12</v>
      </c>
      <c r="AD12" s="186">
        <f t="shared" ref="AD12" si="36">AD11+AC12</f>
        <v>12</v>
      </c>
      <c r="AE12" s="186">
        <f t="shared" ref="AE12" si="37">AE11+AD12</f>
        <v>12</v>
      </c>
      <c r="AF12" s="186">
        <f t="shared" ref="AF12" si="38">AF11+AE12</f>
        <v>12</v>
      </c>
      <c r="AG12" s="186">
        <f t="shared" ref="AG12" si="39">AG11+AF12</f>
        <v>12</v>
      </c>
      <c r="AH12" s="186">
        <f t="shared" ref="AH12" si="40">AH11+AG12</f>
        <v>12</v>
      </c>
      <c r="AI12" s="186">
        <f t="shared" ref="AI12" si="41">AI11+AH12</f>
        <v>12</v>
      </c>
      <c r="AJ12" s="186">
        <f t="shared" ref="AJ12" si="42">AJ11+AI12</f>
        <v>12</v>
      </c>
      <c r="AK12" s="186">
        <f t="shared" ref="AK12" si="43">AK11+AJ12</f>
        <v>12</v>
      </c>
      <c r="AL12" s="186">
        <f t="shared" ref="AL12" si="44">AL11+AK12</f>
        <v>12</v>
      </c>
      <c r="AM12" s="186">
        <f t="shared" ref="AM12" si="45">AM11+AL12</f>
        <v>12</v>
      </c>
      <c r="AN12" s="186">
        <f t="shared" ref="AN12" si="46">AN11+AM12</f>
        <v>12</v>
      </c>
      <c r="AO12" s="186">
        <f t="shared" ref="AO12" si="47">AO11+AN12</f>
        <v>12</v>
      </c>
      <c r="AP12" s="186">
        <f t="shared" ref="AP12" si="48">AP11+AO12</f>
        <v>12</v>
      </c>
      <c r="AQ12" s="186">
        <f t="shared" ref="AQ12" si="49">AQ11+AP12</f>
        <v>12</v>
      </c>
      <c r="AR12" s="186">
        <f t="shared" ref="AR12" si="50">AR11+AQ12</f>
        <v>12</v>
      </c>
      <c r="AS12" s="186">
        <f t="shared" ref="AS12" si="51">AS11+AR12</f>
        <v>12</v>
      </c>
      <c r="AT12" s="186">
        <f t="shared" ref="AT12" si="52">AT11+AS12</f>
        <v>12</v>
      </c>
      <c r="AU12" s="186">
        <f t="shared" ref="AU12" si="53">AU11+AT12</f>
        <v>12</v>
      </c>
      <c r="AV12" s="186">
        <f t="shared" ref="AV12" si="54">AV11+AU12</f>
        <v>12</v>
      </c>
      <c r="AW12" s="197">
        <f t="shared" ref="AW12" si="55">AW11+AV12</f>
        <v>12</v>
      </c>
    </row>
    <row r="13" spans="3:49" ht="14.25" customHeight="1">
      <c r="C13" s="96" t="s">
        <v>493</v>
      </c>
      <c r="D13" s="187">
        <f>IF(AND(MOD(D9-YEAR('Assumptions &amp; Inputs'!$L$31),'Assumptions &amp; Inputs'!$L$34)=0, D9&lt;YEAR('Assumptions &amp; Inputs'!$L$36), D9&gt;YEAR('Assumptions &amp; Inputs'!$L$31)), (-'Assumptions &amp; Inputs'!$L$38)*'Assumptions &amp; Inputs'!$L$33, -D11/'Assumptions &amp; Inputs'!$L$28*'Assumptions &amp; Inputs'!$L$38)</f>
        <v>-165</v>
      </c>
      <c r="E13" s="187">
        <f>IF(AND(MOD(E9-YEAR('Assumptions &amp; Inputs'!$L$31),'Assumptions &amp; Inputs'!$L$34)=0, E9&lt;YEAR('Assumptions &amp; Inputs'!$L$36), E9&gt;YEAR('Assumptions &amp; Inputs'!$L$31)), (-'Assumptions &amp; Inputs'!$L$38)*'Assumptions &amp; Inputs'!$L$33, -E11/'Assumptions &amp; Inputs'!$L$28*'Assumptions &amp; Inputs'!$L$38)</f>
        <v>-15</v>
      </c>
      <c r="F13" s="187">
        <f>IF(AND(MOD(F9-YEAR('Assumptions &amp; Inputs'!$L$31),'Assumptions &amp; Inputs'!$L$34)=0, F9&lt;YEAR('Assumptions &amp; Inputs'!$L$36), F9&gt;YEAR('Assumptions &amp; Inputs'!$L$31)), (-'Assumptions &amp; Inputs'!$L$38)*'Assumptions &amp; Inputs'!$L$33, -F11/'Assumptions &amp; Inputs'!$L$28*'Assumptions &amp; Inputs'!$L$38)</f>
        <v>0</v>
      </c>
      <c r="G13" s="187">
        <f>IF(AND(MOD(G9-YEAR('Assumptions &amp; Inputs'!$L$31),'Assumptions &amp; Inputs'!$L$34)=0, G9&lt;YEAR('Assumptions &amp; Inputs'!$L$36), G9&gt;YEAR('Assumptions &amp; Inputs'!$L$31)), (-'Assumptions &amp; Inputs'!$L$38)*'Assumptions &amp; Inputs'!$L$33, -G11/'Assumptions &amp; Inputs'!$L$28*'Assumptions &amp; Inputs'!$L$38)</f>
        <v>0</v>
      </c>
      <c r="H13" s="187">
        <f>IF(AND(MOD(H9-YEAR('Assumptions &amp; Inputs'!$L$31),'Assumptions &amp; Inputs'!$L$34)=0, H9&lt;YEAR('Assumptions &amp; Inputs'!$L$36), H9&gt;YEAR('Assumptions &amp; Inputs'!$L$31)), (-'Assumptions &amp; Inputs'!$L$38)*'Assumptions &amp; Inputs'!$L$33, -H11/'Assumptions &amp; Inputs'!$L$28*'Assumptions &amp; Inputs'!$L$38)</f>
        <v>0</v>
      </c>
      <c r="I13" s="187">
        <f>IF(AND(MOD(I9-YEAR('Assumptions &amp; Inputs'!$L$31),'Assumptions &amp; Inputs'!$L$34)=0, I9&lt;YEAR('Assumptions &amp; Inputs'!$L$36), I9&gt;YEAR('Assumptions &amp; Inputs'!$L$31)), (-'Assumptions &amp; Inputs'!$L$38)*'Assumptions &amp; Inputs'!$L$33, -I11/'Assumptions &amp; Inputs'!$L$28*'Assumptions &amp; Inputs'!$L$38)</f>
        <v>0</v>
      </c>
      <c r="J13" s="187">
        <f>IF(AND(MOD(J9-YEAR('Assumptions &amp; Inputs'!$L$31),'Assumptions &amp; Inputs'!$L$34)=0, J9&lt;YEAR('Assumptions &amp; Inputs'!$L$36), J9&gt;YEAR('Assumptions &amp; Inputs'!$L$31)), (-'Assumptions &amp; Inputs'!$L$38)*'Assumptions &amp; Inputs'!$L$33, -J11/'Assumptions &amp; Inputs'!$L$28*'Assumptions &amp; Inputs'!$L$38)</f>
        <v>0</v>
      </c>
      <c r="K13" s="187">
        <f>IF(AND(MOD(K9-YEAR('Assumptions &amp; Inputs'!$L$31),'Assumptions &amp; Inputs'!$L$34)=0, K9&lt;YEAR('Assumptions &amp; Inputs'!$L$36), K9&gt;YEAR('Assumptions &amp; Inputs'!$L$31)), (-'Assumptions &amp; Inputs'!$L$38)*'Assumptions &amp; Inputs'!$L$33, -K11/'Assumptions &amp; Inputs'!$L$28*'Assumptions &amp; Inputs'!$L$38)</f>
        <v>0</v>
      </c>
      <c r="L13" s="187">
        <f>IF(AND(MOD(L9-YEAR('Assumptions &amp; Inputs'!$L$31),'Assumptions &amp; Inputs'!$L$34)=0, L9&lt;YEAR('Assumptions &amp; Inputs'!$L$36), L9&gt;YEAR('Assumptions &amp; Inputs'!$L$31)), (-'Assumptions &amp; Inputs'!$L$38)*'Assumptions &amp; Inputs'!$L$33, -L11/'Assumptions &amp; Inputs'!$L$28*'Assumptions &amp; Inputs'!$L$38)</f>
        <v>0</v>
      </c>
      <c r="M13" s="187">
        <f>IF(AND(MOD(M9-YEAR('Assumptions &amp; Inputs'!$L$31),'Assumptions &amp; Inputs'!$L$34)=0, M9&lt;YEAR('Assumptions &amp; Inputs'!$L$36), M9&gt;YEAR('Assumptions &amp; Inputs'!$L$31)), (-'Assumptions &amp; Inputs'!$L$38)*'Assumptions &amp; Inputs'!$L$33, -M11/'Assumptions &amp; Inputs'!$L$28*'Assumptions &amp; Inputs'!$L$38)</f>
        <v>0</v>
      </c>
      <c r="N13" s="187">
        <f>IF(AND(MOD(N9-YEAR('Assumptions &amp; Inputs'!$L$31),'Assumptions &amp; Inputs'!$L$34)=0, N9&lt;YEAR('Assumptions &amp; Inputs'!$L$36), N9&gt;YEAR('Assumptions &amp; Inputs'!$L$31)), (-'Assumptions &amp; Inputs'!$L$38)*'Assumptions &amp; Inputs'!$L$33, -N11/'Assumptions &amp; Inputs'!$L$28*'Assumptions &amp; Inputs'!$L$38)</f>
        <v>0</v>
      </c>
      <c r="O13" s="187">
        <f>IF(AND(MOD(O9-YEAR('Assumptions &amp; Inputs'!$L$31),'Assumptions &amp; Inputs'!$L$34)=0, O9&lt;YEAR('Assumptions &amp; Inputs'!$L$36), O9&gt;YEAR('Assumptions &amp; Inputs'!$L$31)), (-'Assumptions &amp; Inputs'!$L$38)*'Assumptions &amp; Inputs'!$L$33, -O11/'Assumptions &amp; Inputs'!$L$28*'Assumptions &amp; Inputs'!$L$38)</f>
        <v>0</v>
      </c>
      <c r="P13" s="187">
        <f>IF(AND(MOD(P9-YEAR('Assumptions &amp; Inputs'!$L$31),'Assumptions &amp; Inputs'!$L$34)=0, P9&lt;YEAR('Assumptions &amp; Inputs'!$L$36), P9&gt;YEAR('Assumptions &amp; Inputs'!$L$31)), (-'Assumptions &amp; Inputs'!$L$38)*'Assumptions &amp; Inputs'!$L$33, -P11/'Assumptions &amp; Inputs'!$L$28*'Assumptions &amp; Inputs'!$L$38)</f>
        <v>0</v>
      </c>
      <c r="Q13" s="187">
        <f>IF(AND(MOD(Q9-YEAR('Assumptions &amp; Inputs'!$L$31),'Assumptions &amp; Inputs'!$L$34)=0, Q9&lt;YEAR('Assumptions &amp; Inputs'!$L$36), Q9&gt;YEAR('Assumptions &amp; Inputs'!$L$31)), (-'Assumptions &amp; Inputs'!$L$38)*'Assumptions &amp; Inputs'!$L$33, -Q11/'Assumptions &amp; Inputs'!$L$28*'Assumptions &amp; Inputs'!$L$38)</f>
        <v>0</v>
      </c>
      <c r="R13" s="187">
        <f>IF(AND(MOD(R9-YEAR('Assumptions &amp; Inputs'!$L$31),'Assumptions &amp; Inputs'!$L$34)=0, R9&lt;YEAR('Assumptions &amp; Inputs'!$L$36), R9&gt;YEAR('Assumptions &amp; Inputs'!$L$31)), (-'Assumptions &amp; Inputs'!$L$38)*'Assumptions &amp; Inputs'!$L$33, -R11/'Assumptions &amp; Inputs'!$L$28*'Assumptions &amp; Inputs'!$L$38)</f>
        <v>0</v>
      </c>
      <c r="S13" s="187">
        <f>IF(AND(MOD(S9-YEAR('Assumptions &amp; Inputs'!$L$31),'Assumptions &amp; Inputs'!$L$34)=0, S9&lt;YEAR('Assumptions &amp; Inputs'!$L$36), S9&gt;YEAR('Assumptions &amp; Inputs'!$L$31)), (-'Assumptions &amp; Inputs'!$L$38)*'Assumptions &amp; Inputs'!$L$33, -S11/'Assumptions &amp; Inputs'!$L$28*'Assumptions &amp; Inputs'!$L$38)</f>
        <v>0</v>
      </c>
      <c r="T13" s="187">
        <f>IF(AND(MOD(T9-YEAR('Assumptions &amp; Inputs'!$L$31),'Assumptions &amp; Inputs'!$L$34)=0, T9&lt;YEAR('Assumptions &amp; Inputs'!$L$36), T9&gt;YEAR('Assumptions &amp; Inputs'!$L$31)), (-'Assumptions &amp; Inputs'!$L$38)*'Assumptions &amp; Inputs'!$L$33, -T11/'Assumptions &amp; Inputs'!$L$28*'Assumptions &amp; Inputs'!$L$38)</f>
        <v>0</v>
      </c>
      <c r="U13" s="187">
        <f>IF(AND(MOD(U9-YEAR('Assumptions &amp; Inputs'!$L$31),'Assumptions &amp; Inputs'!$L$34)=0, U9&lt;YEAR('Assumptions &amp; Inputs'!$L$36), U9&gt;YEAR('Assumptions &amp; Inputs'!$L$31)), (-'Assumptions &amp; Inputs'!$L$38)*'Assumptions &amp; Inputs'!$L$33, -U11/'Assumptions &amp; Inputs'!$L$28*'Assumptions &amp; Inputs'!$L$38)</f>
        <v>0</v>
      </c>
      <c r="V13" s="187">
        <f>IF(AND(MOD(V9-YEAR('Assumptions &amp; Inputs'!$L$31),'Assumptions &amp; Inputs'!$L$34)=0, V9&lt;YEAR('Assumptions &amp; Inputs'!$L$36), V9&gt;YEAR('Assumptions &amp; Inputs'!$L$31)), (-'Assumptions &amp; Inputs'!$L$38)*'Assumptions &amp; Inputs'!$L$33, -V11/'Assumptions &amp; Inputs'!$L$28*'Assumptions &amp; Inputs'!$L$38)</f>
        <v>0</v>
      </c>
      <c r="W13" s="187">
        <f>IF(AND(MOD(W9-YEAR('Assumptions &amp; Inputs'!$L$31),'Assumptions &amp; Inputs'!$L$34)=0, W9&lt;YEAR('Assumptions &amp; Inputs'!$L$36), W9&gt;YEAR('Assumptions &amp; Inputs'!$L$31)), (-'Assumptions &amp; Inputs'!$L$38)*'Assumptions &amp; Inputs'!$L$33, -W11/'Assumptions &amp; Inputs'!$L$28*'Assumptions &amp; Inputs'!$L$38)</f>
        <v>0</v>
      </c>
      <c r="X13" s="187">
        <f>IF(AND(MOD(X9-YEAR('Assumptions &amp; Inputs'!$L$31),'Assumptions &amp; Inputs'!$L$34)=0, X9&lt;YEAR('Assumptions &amp; Inputs'!$L$36), X9&gt;YEAR('Assumptions &amp; Inputs'!$L$31)), (-'Assumptions &amp; Inputs'!$L$38)*'Assumptions &amp; Inputs'!$L$33, -X11/'Assumptions &amp; Inputs'!$L$28*'Assumptions &amp; Inputs'!$L$38)</f>
        <v>0</v>
      </c>
      <c r="Y13" s="187">
        <f>IF(AND(MOD(Y9-YEAR('Assumptions &amp; Inputs'!$L$31),'Assumptions &amp; Inputs'!$L$34)=0, Y9&lt;YEAR('Assumptions &amp; Inputs'!$L$36), Y9&gt;YEAR('Assumptions &amp; Inputs'!$L$31)), (-'Assumptions &amp; Inputs'!$L$38)*'Assumptions &amp; Inputs'!$L$33, -Y11/'Assumptions &amp; Inputs'!$L$28*'Assumptions &amp; Inputs'!$L$38)</f>
        <v>0</v>
      </c>
      <c r="Z13" s="187">
        <f>IF(AND(MOD(Z9-YEAR('Assumptions &amp; Inputs'!$L$31),'Assumptions &amp; Inputs'!$L$34)=0, Z9&lt;YEAR('Assumptions &amp; Inputs'!$L$36), Z9&gt;YEAR('Assumptions &amp; Inputs'!$L$31)), (-'Assumptions &amp; Inputs'!$L$38)*'Assumptions &amp; Inputs'!$L$33, -Z11/'Assumptions &amp; Inputs'!$L$28*'Assumptions &amp; Inputs'!$L$38)</f>
        <v>0</v>
      </c>
      <c r="AA13" s="187">
        <f>IF(AND(MOD(AA9-YEAR('Assumptions &amp; Inputs'!$L$31),'Assumptions &amp; Inputs'!$L$34)=0, AA9&lt;YEAR('Assumptions &amp; Inputs'!$L$36), AA9&gt;YEAR('Assumptions &amp; Inputs'!$L$31)), (-'Assumptions &amp; Inputs'!$L$38)*'Assumptions &amp; Inputs'!$L$33, -AA11/'Assumptions &amp; Inputs'!$L$28*'Assumptions &amp; Inputs'!$L$38)</f>
        <v>0</v>
      </c>
      <c r="AB13" s="187">
        <f>IF(AND(MOD(AB9-YEAR('Assumptions &amp; Inputs'!$L$31),'Assumptions &amp; Inputs'!$L$34)=0, AB9&lt;YEAR('Assumptions &amp; Inputs'!$L$36), AB9&gt;YEAR('Assumptions &amp; Inputs'!$L$31)), (-'Assumptions &amp; Inputs'!$L$38)*'Assumptions &amp; Inputs'!$L$33, -AB11/'Assumptions &amp; Inputs'!$L$28*'Assumptions &amp; Inputs'!$L$38)</f>
        <v>0</v>
      </c>
      <c r="AC13" s="187">
        <f>IF(AND(MOD(AC9-YEAR('Assumptions &amp; Inputs'!$L$31),'Assumptions &amp; Inputs'!$L$34)=0, AC9&lt;YEAR('Assumptions &amp; Inputs'!$L$36), AC9&gt;YEAR('Assumptions &amp; Inputs'!$L$31)), (-'Assumptions &amp; Inputs'!$L$38)*'Assumptions &amp; Inputs'!$L$33, -AC11/'Assumptions &amp; Inputs'!$L$28*'Assumptions &amp; Inputs'!$L$38)</f>
        <v>0</v>
      </c>
      <c r="AD13" s="187">
        <f>IF(AND(MOD(AD9-YEAR('Assumptions &amp; Inputs'!$L$31),'Assumptions &amp; Inputs'!$L$34)=0, AD9&lt;YEAR('Assumptions &amp; Inputs'!$L$36), AD9&gt;YEAR('Assumptions &amp; Inputs'!$L$31)), (-'Assumptions &amp; Inputs'!$L$38)*'Assumptions &amp; Inputs'!$L$33, -AD11/'Assumptions &amp; Inputs'!$L$28*'Assumptions &amp; Inputs'!$L$38)</f>
        <v>0</v>
      </c>
      <c r="AE13" s="187">
        <f>IF(AND(MOD(AE9-YEAR('Assumptions &amp; Inputs'!$L$31),'Assumptions &amp; Inputs'!$L$34)=0, AE9&lt;YEAR('Assumptions &amp; Inputs'!$L$36), AE9&gt;YEAR('Assumptions &amp; Inputs'!$L$31)), (-'Assumptions &amp; Inputs'!$L$38)*'Assumptions &amp; Inputs'!$L$33, -AE11/'Assumptions &amp; Inputs'!$L$28*'Assumptions &amp; Inputs'!$L$38)</f>
        <v>0</v>
      </c>
      <c r="AF13" s="187">
        <f>IF(AND(MOD(AF9-YEAR('Assumptions &amp; Inputs'!$L$31),'Assumptions &amp; Inputs'!$L$34)=0, AF9&lt;YEAR('Assumptions &amp; Inputs'!$L$36), AF9&gt;YEAR('Assumptions &amp; Inputs'!$L$31)), (-'Assumptions &amp; Inputs'!$L$38)*'Assumptions &amp; Inputs'!$L$33, -AF11/'Assumptions &amp; Inputs'!$L$28*'Assumptions &amp; Inputs'!$L$38)</f>
        <v>0</v>
      </c>
      <c r="AG13" s="187">
        <f>IF(AND(MOD(AG9-YEAR('Assumptions &amp; Inputs'!$L$31),'Assumptions &amp; Inputs'!$L$34)=0, AG9&lt;YEAR('Assumptions &amp; Inputs'!$L$36), AG9&gt;YEAR('Assumptions &amp; Inputs'!$L$31)), (-'Assumptions &amp; Inputs'!$L$38)*'Assumptions &amp; Inputs'!$L$33, -AG11/'Assumptions &amp; Inputs'!$L$28*'Assumptions &amp; Inputs'!$L$38)</f>
        <v>0</v>
      </c>
      <c r="AH13" s="187">
        <f>IF(AND(MOD(AH9-YEAR('Assumptions &amp; Inputs'!$L$31),'Assumptions &amp; Inputs'!$L$34)=0, AH9&lt;YEAR('Assumptions &amp; Inputs'!$L$36), AH9&gt;YEAR('Assumptions &amp; Inputs'!$L$31)), (-'Assumptions &amp; Inputs'!$L$38)*'Assumptions &amp; Inputs'!$L$33, -AH11/'Assumptions &amp; Inputs'!$L$28*'Assumptions &amp; Inputs'!$L$38)</f>
        <v>0</v>
      </c>
      <c r="AI13" s="187">
        <f>IF(AND(MOD(AI9-YEAR('Assumptions &amp; Inputs'!$L$31),'Assumptions &amp; Inputs'!$L$34)=0, AI9&lt;YEAR('Assumptions &amp; Inputs'!$L$36), AI9&gt;YEAR('Assumptions &amp; Inputs'!$L$31)), (-'Assumptions &amp; Inputs'!$L$38)*'Assumptions &amp; Inputs'!$L$33, -AI11/'Assumptions &amp; Inputs'!$L$28*'Assumptions &amp; Inputs'!$L$38)</f>
        <v>0</v>
      </c>
      <c r="AJ13" s="187">
        <f>IF(AND(MOD(AJ9-YEAR('Assumptions &amp; Inputs'!$L$31),'Assumptions &amp; Inputs'!$L$34)=0, AJ9&lt;YEAR('Assumptions &amp; Inputs'!$L$36), AJ9&gt;YEAR('Assumptions &amp; Inputs'!$L$31)), (-'Assumptions &amp; Inputs'!$L$38)*'Assumptions &amp; Inputs'!$L$33, -AJ11/'Assumptions &amp; Inputs'!$L$28*'Assumptions &amp; Inputs'!$L$38)</f>
        <v>0</v>
      </c>
      <c r="AK13" s="187">
        <f>IF(AND(MOD(AK9-YEAR('Assumptions &amp; Inputs'!$L$31),'Assumptions &amp; Inputs'!$L$34)=0, AK9&lt;YEAR('Assumptions &amp; Inputs'!$L$36), AK9&gt;YEAR('Assumptions &amp; Inputs'!$L$31)), (-'Assumptions &amp; Inputs'!$L$38)*'Assumptions &amp; Inputs'!$L$33, -AK11/'Assumptions &amp; Inputs'!$L$28*'Assumptions &amp; Inputs'!$L$38)</f>
        <v>0</v>
      </c>
      <c r="AL13" s="187">
        <f>IF(AND(MOD(AL9-YEAR('Assumptions &amp; Inputs'!$L$31),'Assumptions &amp; Inputs'!$L$34)=0, AL9&lt;YEAR('Assumptions &amp; Inputs'!$L$36), AL9&gt;YEAR('Assumptions &amp; Inputs'!$L$31)), (-'Assumptions &amp; Inputs'!$L$38)*'Assumptions &amp; Inputs'!$L$33, -AL11/'Assumptions &amp; Inputs'!$L$28*'Assumptions &amp; Inputs'!$L$38)</f>
        <v>0</v>
      </c>
      <c r="AM13" s="187">
        <f>IF(AND(MOD(AM9-YEAR('Assumptions &amp; Inputs'!$L$31),'Assumptions &amp; Inputs'!$L$34)=0, AM9&lt;YEAR('Assumptions &amp; Inputs'!$L$36), AM9&gt;YEAR('Assumptions &amp; Inputs'!$L$31)), (-'Assumptions &amp; Inputs'!$L$38)*'Assumptions &amp; Inputs'!$L$33, -AM11/'Assumptions &amp; Inputs'!$L$28*'Assumptions &amp; Inputs'!$L$38)</f>
        <v>0</v>
      </c>
      <c r="AN13" s="187">
        <f>IF(AND(MOD(AN9-YEAR('Assumptions &amp; Inputs'!$L$31),'Assumptions &amp; Inputs'!$L$34)=0, AN9&lt;YEAR('Assumptions &amp; Inputs'!$L$36), AN9&gt;YEAR('Assumptions &amp; Inputs'!$L$31)), (-'Assumptions &amp; Inputs'!$L$38)*'Assumptions &amp; Inputs'!$L$33, -AN11/'Assumptions &amp; Inputs'!$L$28*'Assumptions &amp; Inputs'!$L$38)</f>
        <v>0</v>
      </c>
      <c r="AO13" s="187">
        <f>IF(AND(MOD(AO9-YEAR('Assumptions &amp; Inputs'!$L$31),'Assumptions &amp; Inputs'!$L$34)=0, AO9&lt;YEAR('Assumptions &amp; Inputs'!$L$36), AO9&gt;YEAR('Assumptions &amp; Inputs'!$L$31)), (-'Assumptions &amp; Inputs'!$L$38)*'Assumptions &amp; Inputs'!$L$33, -AO11/'Assumptions &amp; Inputs'!$L$28*'Assumptions &amp; Inputs'!$L$38)</f>
        <v>0</v>
      </c>
      <c r="AP13" s="187">
        <f>IF(AND(MOD(AP9-YEAR('Assumptions &amp; Inputs'!$L$31),'Assumptions &amp; Inputs'!$L$34)=0, AP9&lt;YEAR('Assumptions &amp; Inputs'!$L$36), AP9&gt;YEAR('Assumptions &amp; Inputs'!$L$31)), (-'Assumptions &amp; Inputs'!$L$38)*'Assumptions &amp; Inputs'!$L$33, -AP11/'Assumptions &amp; Inputs'!$L$28*'Assumptions &amp; Inputs'!$L$38)</f>
        <v>0</v>
      </c>
      <c r="AQ13" s="187">
        <f>IF(AND(MOD(AQ9-YEAR('Assumptions &amp; Inputs'!$L$31),'Assumptions &amp; Inputs'!$L$34)=0, AQ9&lt;YEAR('Assumptions &amp; Inputs'!$L$36), AQ9&gt;YEAR('Assumptions &amp; Inputs'!$L$31)), (-'Assumptions &amp; Inputs'!$L$38)*'Assumptions &amp; Inputs'!$L$33, -AQ11/'Assumptions &amp; Inputs'!$L$28*'Assumptions &amp; Inputs'!$L$38)</f>
        <v>0</v>
      </c>
      <c r="AR13" s="187">
        <f>IF(AND(MOD(AR9-YEAR('Assumptions &amp; Inputs'!$L$31),'Assumptions &amp; Inputs'!$L$34)=0, AR9&lt;YEAR('Assumptions &amp; Inputs'!$L$36), AR9&gt;YEAR('Assumptions &amp; Inputs'!$L$31)), (-'Assumptions &amp; Inputs'!$L$38)*'Assumptions &amp; Inputs'!$L$33, -AR11/'Assumptions &amp; Inputs'!$L$28*'Assumptions &amp; Inputs'!$L$38)</f>
        <v>0</v>
      </c>
      <c r="AS13" s="187">
        <f>IF(AND(MOD(AS9-YEAR('Assumptions &amp; Inputs'!$L$31),'Assumptions &amp; Inputs'!$L$34)=0, AS9&lt;YEAR('Assumptions &amp; Inputs'!$L$36), AS9&gt;YEAR('Assumptions &amp; Inputs'!$L$31)), (-'Assumptions &amp; Inputs'!$L$38)*'Assumptions &amp; Inputs'!$L$33, -AS11/'Assumptions &amp; Inputs'!$L$28*'Assumptions &amp; Inputs'!$L$38)</f>
        <v>0</v>
      </c>
      <c r="AT13" s="187">
        <f>IF(AND(MOD(AT9-YEAR('Assumptions &amp; Inputs'!$L$31),'Assumptions &amp; Inputs'!$L$34)=0, AT9&lt;YEAR('Assumptions &amp; Inputs'!$L$36), AT9&gt;YEAR('Assumptions &amp; Inputs'!$L$31)), (-'Assumptions &amp; Inputs'!$L$38)*'Assumptions &amp; Inputs'!$L$33, -AT11/'Assumptions &amp; Inputs'!$L$28*'Assumptions &amp; Inputs'!$L$38)</f>
        <v>0</v>
      </c>
      <c r="AU13" s="187">
        <f>IF(AND(MOD(AU9-YEAR('Assumptions &amp; Inputs'!$L$31),'Assumptions &amp; Inputs'!$L$34)=0, AU9&lt;YEAR('Assumptions &amp; Inputs'!$L$36), AU9&gt;YEAR('Assumptions &amp; Inputs'!$L$31)), (-'Assumptions &amp; Inputs'!$L$38)*'Assumptions &amp; Inputs'!$L$33, -AU11/'Assumptions &amp; Inputs'!$L$28*'Assumptions &amp; Inputs'!$L$38)</f>
        <v>0</v>
      </c>
      <c r="AV13" s="187">
        <f>IF(AND(MOD(AV9-YEAR('Assumptions &amp; Inputs'!$L$31),'Assumptions &amp; Inputs'!$L$34)=0, AV9&lt;YEAR('Assumptions &amp; Inputs'!$L$36), AV9&gt;YEAR('Assumptions &amp; Inputs'!$L$31)), (-'Assumptions &amp; Inputs'!$L$38)*'Assumptions &amp; Inputs'!$L$33, -AV11/'Assumptions &amp; Inputs'!$L$28*'Assumptions &amp; Inputs'!$L$38)</f>
        <v>0</v>
      </c>
      <c r="AW13" s="187">
        <f>IF(AND(MOD(AW9-YEAR('Assumptions &amp; Inputs'!$L$31),'Assumptions &amp; Inputs'!$L$34)=0, AW9&lt;YEAR('Assumptions &amp; Inputs'!$L$36), AW9&gt;YEAR('Assumptions &amp; Inputs'!$L$31)), (-'Assumptions &amp; Inputs'!$L$38)*'Assumptions &amp; Inputs'!$L$33, -AW11/'Assumptions &amp; Inputs'!$L$28*'Assumptions &amp; Inputs'!$L$38)</f>
        <v>0</v>
      </c>
    </row>
    <row r="14" spans="3:49" ht="14.25" customHeight="1">
      <c r="C14" s="94" t="s">
        <v>219</v>
      </c>
      <c r="D14" s="519">
        <f>D$13*'Assumptions &amp; Inputs'!$L39</f>
        <v>-3.3000000000000003</v>
      </c>
      <c r="E14" s="519">
        <f>E$13*'Assumptions &amp; Inputs'!$L39</f>
        <v>-0.3</v>
      </c>
      <c r="F14" s="519">
        <f>F$13*'Assumptions &amp; Inputs'!$L39</f>
        <v>0</v>
      </c>
      <c r="G14" s="519">
        <f>G$13*'Assumptions &amp; Inputs'!$L39</f>
        <v>0</v>
      </c>
      <c r="H14" s="519">
        <f>H$13*'Assumptions &amp; Inputs'!$L39</f>
        <v>0</v>
      </c>
      <c r="I14" s="519">
        <f>I$13*'Assumptions &amp; Inputs'!$L39</f>
        <v>0</v>
      </c>
      <c r="J14" s="519">
        <f>J$13*'Assumptions &amp; Inputs'!$L39</f>
        <v>0</v>
      </c>
      <c r="K14" s="519">
        <f>K$13*'Assumptions &amp; Inputs'!$L39</f>
        <v>0</v>
      </c>
      <c r="L14" s="519">
        <f>L$13*'Assumptions &amp; Inputs'!$L39</f>
        <v>0</v>
      </c>
      <c r="M14" s="519">
        <f>M$13*'Assumptions &amp; Inputs'!$L39</f>
        <v>0</v>
      </c>
      <c r="N14" s="519">
        <f>N$13*'Assumptions &amp; Inputs'!$L39</f>
        <v>0</v>
      </c>
      <c r="O14" s="519">
        <f>O$13*'Assumptions &amp; Inputs'!$L39</f>
        <v>0</v>
      </c>
      <c r="P14" s="519">
        <f>P$13*'Assumptions &amp; Inputs'!$L39</f>
        <v>0</v>
      </c>
      <c r="Q14" s="519">
        <f>Q$13*'Assumptions &amp; Inputs'!$L39</f>
        <v>0</v>
      </c>
      <c r="R14" s="519">
        <f>R$13*'Assumptions &amp; Inputs'!$L39</f>
        <v>0</v>
      </c>
      <c r="S14" s="519">
        <f>S$13*'Assumptions &amp; Inputs'!$L39</f>
        <v>0</v>
      </c>
      <c r="T14" s="519">
        <f>T$13*'Assumptions &amp; Inputs'!$L39</f>
        <v>0</v>
      </c>
      <c r="U14" s="519">
        <f>U$13*'Assumptions &amp; Inputs'!$L39</f>
        <v>0</v>
      </c>
      <c r="V14" s="519">
        <f>V$13*'Assumptions &amp; Inputs'!$L39</f>
        <v>0</v>
      </c>
      <c r="W14" s="519">
        <f>W$13*'Assumptions &amp; Inputs'!$L39</f>
        <v>0</v>
      </c>
      <c r="X14" s="519">
        <f>X$13*'Assumptions &amp; Inputs'!$L39</f>
        <v>0</v>
      </c>
      <c r="Y14" s="519">
        <f>Y$13*'Assumptions &amp; Inputs'!$L39</f>
        <v>0</v>
      </c>
      <c r="Z14" s="519">
        <f>Z$13*'Assumptions &amp; Inputs'!$L39</f>
        <v>0</v>
      </c>
      <c r="AA14" s="519">
        <f>AA$13*'Assumptions &amp; Inputs'!$L39</f>
        <v>0</v>
      </c>
      <c r="AB14" s="519">
        <f>AB$13*'Assumptions &amp; Inputs'!$L39</f>
        <v>0</v>
      </c>
      <c r="AC14" s="519">
        <f>AC$13*'Assumptions &amp; Inputs'!$L39</f>
        <v>0</v>
      </c>
      <c r="AD14" s="519">
        <f>AD$13*'Assumptions &amp; Inputs'!$L39</f>
        <v>0</v>
      </c>
      <c r="AE14" s="519">
        <f>AE$13*'Assumptions &amp; Inputs'!$L39</f>
        <v>0</v>
      </c>
      <c r="AF14" s="519">
        <f>AF$13*'Assumptions &amp; Inputs'!$L39</f>
        <v>0</v>
      </c>
      <c r="AG14" s="519">
        <f>AG$13*'Assumptions &amp; Inputs'!$L39</f>
        <v>0</v>
      </c>
      <c r="AH14" s="519">
        <f>AH$13*'Assumptions &amp; Inputs'!$L39</f>
        <v>0</v>
      </c>
      <c r="AI14" s="519">
        <f>AI$13*'Assumptions &amp; Inputs'!$L39</f>
        <v>0</v>
      </c>
      <c r="AJ14" s="519">
        <f>AJ$13*'Assumptions &amp; Inputs'!$L39</f>
        <v>0</v>
      </c>
      <c r="AK14" s="519">
        <f>AK$13*'Assumptions &amp; Inputs'!$L39</f>
        <v>0</v>
      </c>
      <c r="AL14" s="519">
        <f>AL$13*'Assumptions &amp; Inputs'!$L39</f>
        <v>0</v>
      </c>
      <c r="AM14" s="519">
        <f>AM$13*'Assumptions &amp; Inputs'!$L39</f>
        <v>0</v>
      </c>
      <c r="AN14" s="519">
        <f>AN$13*'Assumptions &amp; Inputs'!$L39</f>
        <v>0</v>
      </c>
      <c r="AO14" s="519">
        <f>AO$13*'Assumptions &amp; Inputs'!$L39</f>
        <v>0</v>
      </c>
      <c r="AP14" s="519">
        <f>AP$13*'Assumptions &amp; Inputs'!$L39</f>
        <v>0</v>
      </c>
      <c r="AQ14" s="519">
        <f>AQ$13*'Assumptions &amp; Inputs'!$L39</f>
        <v>0</v>
      </c>
      <c r="AR14" s="519">
        <f>AR$13*'Assumptions &amp; Inputs'!$L39</f>
        <v>0</v>
      </c>
      <c r="AS14" s="519">
        <f>AS$13*'Assumptions &amp; Inputs'!$L39</f>
        <v>0</v>
      </c>
      <c r="AT14" s="519">
        <f>AT$13*'Assumptions &amp; Inputs'!$L39</f>
        <v>0</v>
      </c>
      <c r="AU14" s="519">
        <f>AU$13*'Assumptions &amp; Inputs'!$L39</f>
        <v>0</v>
      </c>
      <c r="AV14" s="519">
        <f>AV$13*'Assumptions &amp; Inputs'!$L39</f>
        <v>0</v>
      </c>
      <c r="AW14" s="520">
        <f>AW$13*'Assumptions &amp; Inputs'!$L39</f>
        <v>0</v>
      </c>
    </row>
    <row r="15" spans="3:49" ht="14.25" customHeight="1">
      <c r="C15" s="94" t="s">
        <v>220</v>
      </c>
      <c r="D15" s="519">
        <f>D$13*'Assumptions &amp; Inputs'!$L40</f>
        <v>-8.25</v>
      </c>
      <c r="E15" s="519">
        <f>E$13*'Assumptions &amp; Inputs'!$L40</f>
        <v>-0.75</v>
      </c>
      <c r="F15" s="519">
        <f>F$13*'Assumptions &amp; Inputs'!$L40</f>
        <v>0</v>
      </c>
      <c r="G15" s="519">
        <f>G$13*'Assumptions &amp; Inputs'!$L40</f>
        <v>0</v>
      </c>
      <c r="H15" s="519">
        <f>H$13*'Assumptions &amp; Inputs'!$L40</f>
        <v>0</v>
      </c>
      <c r="I15" s="519">
        <f>I$13*'Assumptions &amp; Inputs'!$L40</f>
        <v>0</v>
      </c>
      <c r="J15" s="519">
        <f>J$13*'Assumptions &amp; Inputs'!$L40</f>
        <v>0</v>
      </c>
      <c r="K15" s="519">
        <f>K$13*'Assumptions &amp; Inputs'!$L40</f>
        <v>0</v>
      </c>
      <c r="L15" s="519">
        <f>L$13*'Assumptions &amp; Inputs'!$L40</f>
        <v>0</v>
      </c>
      <c r="M15" s="519">
        <f>M$13*'Assumptions &amp; Inputs'!$L40</f>
        <v>0</v>
      </c>
      <c r="N15" s="519">
        <f>N$13*'Assumptions &amp; Inputs'!$L40</f>
        <v>0</v>
      </c>
      <c r="O15" s="519">
        <f>O$13*'Assumptions &amp; Inputs'!$L40</f>
        <v>0</v>
      </c>
      <c r="P15" s="519">
        <f>P$13*'Assumptions &amp; Inputs'!$L40</f>
        <v>0</v>
      </c>
      <c r="Q15" s="519">
        <f>Q$13*'Assumptions &amp; Inputs'!$L40</f>
        <v>0</v>
      </c>
      <c r="R15" s="519">
        <f>R$13*'Assumptions &amp; Inputs'!$L40</f>
        <v>0</v>
      </c>
      <c r="S15" s="519">
        <f>S$13*'Assumptions &amp; Inputs'!$L40</f>
        <v>0</v>
      </c>
      <c r="T15" s="519">
        <f>T$13*'Assumptions &amp; Inputs'!$L40</f>
        <v>0</v>
      </c>
      <c r="U15" s="519">
        <f>U$13*'Assumptions &amp; Inputs'!$L40</f>
        <v>0</v>
      </c>
      <c r="V15" s="519">
        <f>V$13*'Assumptions &amp; Inputs'!$L40</f>
        <v>0</v>
      </c>
      <c r="W15" s="519">
        <f>W$13*'Assumptions &amp; Inputs'!$L40</f>
        <v>0</v>
      </c>
      <c r="X15" s="519">
        <f>X$13*'Assumptions &amp; Inputs'!$L40</f>
        <v>0</v>
      </c>
      <c r="Y15" s="519">
        <f>Y$13*'Assumptions &amp; Inputs'!$L40</f>
        <v>0</v>
      </c>
      <c r="Z15" s="519">
        <f>Z$13*'Assumptions &amp; Inputs'!$L40</f>
        <v>0</v>
      </c>
      <c r="AA15" s="519">
        <f>AA$13*'Assumptions &amp; Inputs'!$L40</f>
        <v>0</v>
      </c>
      <c r="AB15" s="519">
        <f>AB$13*'Assumptions &amp; Inputs'!$L40</f>
        <v>0</v>
      </c>
      <c r="AC15" s="519">
        <f>AC$13*'Assumptions &amp; Inputs'!$L40</f>
        <v>0</v>
      </c>
      <c r="AD15" s="519">
        <f>AD$13*'Assumptions &amp; Inputs'!$L40</f>
        <v>0</v>
      </c>
      <c r="AE15" s="519">
        <f>AE$13*'Assumptions &amp; Inputs'!$L40</f>
        <v>0</v>
      </c>
      <c r="AF15" s="519">
        <f>AF$13*'Assumptions &amp; Inputs'!$L40</f>
        <v>0</v>
      </c>
      <c r="AG15" s="519">
        <f>AG$13*'Assumptions &amp; Inputs'!$L40</f>
        <v>0</v>
      </c>
      <c r="AH15" s="519">
        <f>AH$13*'Assumptions &amp; Inputs'!$L40</f>
        <v>0</v>
      </c>
      <c r="AI15" s="519">
        <f>AI$13*'Assumptions &amp; Inputs'!$L40</f>
        <v>0</v>
      </c>
      <c r="AJ15" s="519">
        <f>AJ$13*'Assumptions &amp; Inputs'!$L40</f>
        <v>0</v>
      </c>
      <c r="AK15" s="519">
        <f>AK$13*'Assumptions &amp; Inputs'!$L40</f>
        <v>0</v>
      </c>
      <c r="AL15" s="519">
        <f>AL$13*'Assumptions &amp; Inputs'!$L40</f>
        <v>0</v>
      </c>
      <c r="AM15" s="519">
        <f>AM$13*'Assumptions &amp; Inputs'!$L40</f>
        <v>0</v>
      </c>
      <c r="AN15" s="519">
        <f>AN$13*'Assumptions &amp; Inputs'!$L40</f>
        <v>0</v>
      </c>
      <c r="AO15" s="519">
        <f>AO$13*'Assumptions &amp; Inputs'!$L40</f>
        <v>0</v>
      </c>
      <c r="AP15" s="519">
        <f>AP$13*'Assumptions &amp; Inputs'!$L40</f>
        <v>0</v>
      </c>
      <c r="AQ15" s="519">
        <f>AQ$13*'Assumptions &amp; Inputs'!$L40</f>
        <v>0</v>
      </c>
      <c r="AR15" s="519">
        <f>AR$13*'Assumptions &amp; Inputs'!$L40</f>
        <v>0</v>
      </c>
      <c r="AS15" s="519">
        <f>AS$13*'Assumptions &amp; Inputs'!$L40</f>
        <v>0</v>
      </c>
      <c r="AT15" s="519">
        <f>AT$13*'Assumptions &amp; Inputs'!$L40</f>
        <v>0</v>
      </c>
      <c r="AU15" s="519">
        <f>AU$13*'Assumptions &amp; Inputs'!$L40</f>
        <v>0</v>
      </c>
      <c r="AV15" s="519">
        <f>AV$13*'Assumptions &amp; Inputs'!$L40</f>
        <v>0</v>
      </c>
      <c r="AW15" s="520">
        <f>AW$13*'Assumptions &amp; Inputs'!$L40</f>
        <v>0</v>
      </c>
    </row>
    <row r="16" spans="3:49" ht="14.25" customHeight="1">
      <c r="C16" s="94" t="s">
        <v>221</v>
      </c>
      <c r="D16" s="519">
        <f>D$13*'Assumptions &amp; Inputs'!$L41</f>
        <v>-1.6500000000000001</v>
      </c>
      <c r="E16" s="519">
        <f>E$13*'Assumptions &amp; Inputs'!$L41</f>
        <v>-0.15</v>
      </c>
      <c r="F16" s="519">
        <f>F$13*'Assumptions &amp; Inputs'!$L41</f>
        <v>0</v>
      </c>
      <c r="G16" s="519">
        <f>G$13*'Assumptions &amp; Inputs'!$L41</f>
        <v>0</v>
      </c>
      <c r="H16" s="519">
        <f>H$13*'Assumptions &amp; Inputs'!$L41</f>
        <v>0</v>
      </c>
      <c r="I16" s="519">
        <f>I$13*'Assumptions &amp; Inputs'!$L41</f>
        <v>0</v>
      </c>
      <c r="J16" s="519">
        <f>J$13*'Assumptions &amp; Inputs'!$L41</f>
        <v>0</v>
      </c>
      <c r="K16" s="519">
        <f>K$13*'Assumptions &amp; Inputs'!$L41</f>
        <v>0</v>
      </c>
      <c r="L16" s="519">
        <f>L$13*'Assumptions &amp; Inputs'!$L41</f>
        <v>0</v>
      </c>
      <c r="M16" s="519">
        <f>M$13*'Assumptions &amp; Inputs'!$L41</f>
        <v>0</v>
      </c>
      <c r="N16" s="519">
        <f>N$13*'Assumptions &amp; Inputs'!$L41</f>
        <v>0</v>
      </c>
      <c r="O16" s="519">
        <f>O$13*'Assumptions &amp; Inputs'!$L41</f>
        <v>0</v>
      </c>
      <c r="P16" s="519">
        <f>P$13*'Assumptions &amp; Inputs'!$L41</f>
        <v>0</v>
      </c>
      <c r="Q16" s="519">
        <f>Q$13*'Assumptions &amp; Inputs'!$L41</f>
        <v>0</v>
      </c>
      <c r="R16" s="519">
        <f>R$13*'Assumptions &amp; Inputs'!$L41</f>
        <v>0</v>
      </c>
      <c r="S16" s="519">
        <f>S$13*'Assumptions &amp; Inputs'!$L41</f>
        <v>0</v>
      </c>
      <c r="T16" s="519">
        <f>T$13*'Assumptions &amp; Inputs'!$L41</f>
        <v>0</v>
      </c>
      <c r="U16" s="519">
        <f>U$13*'Assumptions &amp; Inputs'!$L41</f>
        <v>0</v>
      </c>
      <c r="V16" s="519">
        <f>V$13*'Assumptions &amp; Inputs'!$L41</f>
        <v>0</v>
      </c>
      <c r="W16" s="519">
        <f>W$13*'Assumptions &amp; Inputs'!$L41</f>
        <v>0</v>
      </c>
      <c r="X16" s="519">
        <f>X$13*'Assumptions &amp; Inputs'!$L41</f>
        <v>0</v>
      </c>
      <c r="Y16" s="519">
        <f>Y$13*'Assumptions &amp; Inputs'!$L41</f>
        <v>0</v>
      </c>
      <c r="Z16" s="519">
        <f>Z$13*'Assumptions &amp; Inputs'!$L41</f>
        <v>0</v>
      </c>
      <c r="AA16" s="519">
        <f>AA$13*'Assumptions &amp; Inputs'!$L41</f>
        <v>0</v>
      </c>
      <c r="AB16" s="519">
        <f>AB$13*'Assumptions &amp; Inputs'!$L41</f>
        <v>0</v>
      </c>
      <c r="AC16" s="519">
        <f>AC$13*'Assumptions &amp; Inputs'!$L41</f>
        <v>0</v>
      </c>
      <c r="AD16" s="519">
        <f>AD$13*'Assumptions &amp; Inputs'!$L41</f>
        <v>0</v>
      </c>
      <c r="AE16" s="519">
        <f>AE$13*'Assumptions &amp; Inputs'!$L41</f>
        <v>0</v>
      </c>
      <c r="AF16" s="519">
        <f>AF$13*'Assumptions &amp; Inputs'!$L41</f>
        <v>0</v>
      </c>
      <c r="AG16" s="519">
        <f>AG$13*'Assumptions &amp; Inputs'!$L41</f>
        <v>0</v>
      </c>
      <c r="AH16" s="519">
        <f>AH$13*'Assumptions &amp; Inputs'!$L41</f>
        <v>0</v>
      </c>
      <c r="AI16" s="519">
        <f>AI$13*'Assumptions &amp; Inputs'!$L41</f>
        <v>0</v>
      </c>
      <c r="AJ16" s="519">
        <f>AJ$13*'Assumptions &amp; Inputs'!$L41</f>
        <v>0</v>
      </c>
      <c r="AK16" s="519">
        <f>AK$13*'Assumptions &amp; Inputs'!$L41</f>
        <v>0</v>
      </c>
      <c r="AL16" s="519">
        <f>AL$13*'Assumptions &amp; Inputs'!$L41</f>
        <v>0</v>
      </c>
      <c r="AM16" s="519">
        <f>AM$13*'Assumptions &amp; Inputs'!$L41</f>
        <v>0</v>
      </c>
      <c r="AN16" s="519">
        <f>AN$13*'Assumptions &amp; Inputs'!$L41</f>
        <v>0</v>
      </c>
      <c r="AO16" s="519">
        <f>AO$13*'Assumptions &amp; Inputs'!$L41</f>
        <v>0</v>
      </c>
      <c r="AP16" s="519">
        <f>AP$13*'Assumptions &amp; Inputs'!$L41</f>
        <v>0</v>
      </c>
      <c r="AQ16" s="519">
        <f>AQ$13*'Assumptions &amp; Inputs'!$L41</f>
        <v>0</v>
      </c>
      <c r="AR16" s="519">
        <f>AR$13*'Assumptions &amp; Inputs'!$L41</f>
        <v>0</v>
      </c>
      <c r="AS16" s="519">
        <f>AS$13*'Assumptions &amp; Inputs'!$L41</f>
        <v>0</v>
      </c>
      <c r="AT16" s="519">
        <f>AT$13*'Assumptions &amp; Inputs'!$L41</f>
        <v>0</v>
      </c>
      <c r="AU16" s="519">
        <f>AU$13*'Assumptions &amp; Inputs'!$L41</f>
        <v>0</v>
      </c>
      <c r="AV16" s="519">
        <f>AV$13*'Assumptions &amp; Inputs'!$L41</f>
        <v>0</v>
      </c>
      <c r="AW16" s="520">
        <f>AW$13*'Assumptions &amp; Inputs'!$L41</f>
        <v>0</v>
      </c>
    </row>
    <row r="17" spans="1:49" ht="14.25" customHeight="1">
      <c r="A17" s="1"/>
      <c r="B17" s="84"/>
      <c r="C17" s="94" t="s">
        <v>222</v>
      </c>
      <c r="D17" s="519">
        <f>D$13*'Assumptions &amp; Inputs'!$L42</f>
        <v>-4.95</v>
      </c>
      <c r="E17" s="519">
        <f>E$13*'Assumptions &amp; Inputs'!$L42</f>
        <v>-0.44999999999999996</v>
      </c>
      <c r="F17" s="519">
        <f>F$13*'Assumptions &amp; Inputs'!$L42</f>
        <v>0</v>
      </c>
      <c r="G17" s="519">
        <f>G$13*'Assumptions &amp; Inputs'!$L42</f>
        <v>0</v>
      </c>
      <c r="H17" s="519">
        <f>H$13*'Assumptions &amp; Inputs'!$L42</f>
        <v>0</v>
      </c>
      <c r="I17" s="519">
        <f>I$13*'Assumptions &amp; Inputs'!$L42</f>
        <v>0</v>
      </c>
      <c r="J17" s="519">
        <f>J$13*'Assumptions &amp; Inputs'!$L42</f>
        <v>0</v>
      </c>
      <c r="K17" s="519">
        <f>K$13*'Assumptions &amp; Inputs'!$L42</f>
        <v>0</v>
      </c>
      <c r="L17" s="519">
        <f>L$13*'Assumptions &amp; Inputs'!$L42</f>
        <v>0</v>
      </c>
      <c r="M17" s="519">
        <f>M$13*'Assumptions &amp; Inputs'!$L42</f>
        <v>0</v>
      </c>
      <c r="N17" s="519">
        <f>N$13*'Assumptions &amp; Inputs'!$L42</f>
        <v>0</v>
      </c>
      <c r="O17" s="519">
        <f>O$13*'Assumptions &amp; Inputs'!$L42</f>
        <v>0</v>
      </c>
      <c r="P17" s="519">
        <f>P$13*'Assumptions &amp; Inputs'!$L42</f>
        <v>0</v>
      </c>
      <c r="Q17" s="519">
        <f>Q$13*'Assumptions &amp; Inputs'!$L42</f>
        <v>0</v>
      </c>
      <c r="R17" s="519">
        <f>R$13*'Assumptions &amp; Inputs'!$L42</f>
        <v>0</v>
      </c>
      <c r="S17" s="519">
        <f>S$13*'Assumptions &amp; Inputs'!$L42</f>
        <v>0</v>
      </c>
      <c r="T17" s="519">
        <f>T$13*'Assumptions &amp; Inputs'!$L42</f>
        <v>0</v>
      </c>
      <c r="U17" s="519">
        <f>U$13*'Assumptions &amp; Inputs'!$L42</f>
        <v>0</v>
      </c>
      <c r="V17" s="519">
        <f>V$13*'Assumptions &amp; Inputs'!$L42</f>
        <v>0</v>
      </c>
      <c r="W17" s="519">
        <f>W$13*'Assumptions &amp; Inputs'!$L42</f>
        <v>0</v>
      </c>
      <c r="X17" s="519">
        <f>X$13*'Assumptions &amp; Inputs'!$L42</f>
        <v>0</v>
      </c>
      <c r="Y17" s="519">
        <f>Y$13*'Assumptions &amp; Inputs'!$L42</f>
        <v>0</v>
      </c>
      <c r="Z17" s="519">
        <f>Z$13*'Assumptions &amp; Inputs'!$L42</f>
        <v>0</v>
      </c>
      <c r="AA17" s="519">
        <f>AA$13*'Assumptions &amp; Inputs'!$L42</f>
        <v>0</v>
      </c>
      <c r="AB17" s="519">
        <f>AB$13*'Assumptions &amp; Inputs'!$L42</f>
        <v>0</v>
      </c>
      <c r="AC17" s="519">
        <f>AC$13*'Assumptions &amp; Inputs'!$L42</f>
        <v>0</v>
      </c>
      <c r="AD17" s="519">
        <f>AD$13*'Assumptions &amp; Inputs'!$L42</f>
        <v>0</v>
      </c>
      <c r="AE17" s="519">
        <f>AE$13*'Assumptions &amp; Inputs'!$L42</f>
        <v>0</v>
      </c>
      <c r="AF17" s="519">
        <f>AF$13*'Assumptions &amp; Inputs'!$L42</f>
        <v>0</v>
      </c>
      <c r="AG17" s="519">
        <f>AG$13*'Assumptions &amp; Inputs'!$L42</f>
        <v>0</v>
      </c>
      <c r="AH17" s="519">
        <f>AH$13*'Assumptions &amp; Inputs'!$L42</f>
        <v>0</v>
      </c>
      <c r="AI17" s="519">
        <f>AI$13*'Assumptions &amp; Inputs'!$L42</f>
        <v>0</v>
      </c>
      <c r="AJ17" s="519">
        <f>AJ$13*'Assumptions &amp; Inputs'!$L42</f>
        <v>0</v>
      </c>
      <c r="AK17" s="519">
        <f>AK$13*'Assumptions &amp; Inputs'!$L42</f>
        <v>0</v>
      </c>
      <c r="AL17" s="519">
        <f>AL$13*'Assumptions &amp; Inputs'!$L42</f>
        <v>0</v>
      </c>
      <c r="AM17" s="519">
        <f>AM$13*'Assumptions &amp; Inputs'!$L42</f>
        <v>0</v>
      </c>
      <c r="AN17" s="519">
        <f>AN$13*'Assumptions &amp; Inputs'!$L42</f>
        <v>0</v>
      </c>
      <c r="AO17" s="519">
        <f>AO$13*'Assumptions &amp; Inputs'!$L42</f>
        <v>0</v>
      </c>
      <c r="AP17" s="519">
        <f>AP$13*'Assumptions &amp; Inputs'!$L42</f>
        <v>0</v>
      </c>
      <c r="AQ17" s="519">
        <f>AQ$13*'Assumptions &amp; Inputs'!$L42</f>
        <v>0</v>
      </c>
      <c r="AR17" s="519">
        <f>AR$13*'Assumptions &amp; Inputs'!$L42</f>
        <v>0</v>
      </c>
      <c r="AS17" s="519">
        <f>AS$13*'Assumptions &amp; Inputs'!$L42</f>
        <v>0</v>
      </c>
      <c r="AT17" s="519">
        <f>AT$13*'Assumptions &amp; Inputs'!$L42</f>
        <v>0</v>
      </c>
      <c r="AU17" s="519">
        <f>AU$13*'Assumptions &amp; Inputs'!$L42</f>
        <v>0</v>
      </c>
      <c r="AV17" s="519">
        <f>AV$13*'Assumptions &amp; Inputs'!$L42</f>
        <v>0</v>
      </c>
      <c r="AW17" s="520">
        <f>AW$13*'Assumptions &amp; Inputs'!$L42</f>
        <v>0</v>
      </c>
    </row>
    <row r="18" spans="1:49" ht="14.25" customHeight="1">
      <c r="A18" s="1"/>
      <c r="B18" s="84"/>
      <c r="C18" s="94" t="s">
        <v>223</v>
      </c>
      <c r="D18" s="519">
        <f>D$13*'Assumptions &amp; Inputs'!$L43</f>
        <v>-4.95</v>
      </c>
      <c r="E18" s="519">
        <f>E$13*'Assumptions &amp; Inputs'!$L43</f>
        <v>-0.44999999999999996</v>
      </c>
      <c r="F18" s="519">
        <f>F$13*'Assumptions &amp; Inputs'!$L43</f>
        <v>0</v>
      </c>
      <c r="G18" s="519">
        <f>G$13*'Assumptions &amp; Inputs'!$L43</f>
        <v>0</v>
      </c>
      <c r="H18" s="519">
        <f>H$13*'Assumptions &amp; Inputs'!$L43</f>
        <v>0</v>
      </c>
      <c r="I18" s="519">
        <f>I$13*'Assumptions &amp; Inputs'!$L43</f>
        <v>0</v>
      </c>
      <c r="J18" s="519">
        <f>J$13*'Assumptions &amp; Inputs'!$L43</f>
        <v>0</v>
      </c>
      <c r="K18" s="519">
        <f>K$13*'Assumptions &amp; Inputs'!$L43</f>
        <v>0</v>
      </c>
      <c r="L18" s="519">
        <f>L$13*'Assumptions &amp; Inputs'!$L43</f>
        <v>0</v>
      </c>
      <c r="M18" s="519">
        <f>M$13*'Assumptions &amp; Inputs'!$L43</f>
        <v>0</v>
      </c>
      <c r="N18" s="519">
        <f>N$13*'Assumptions &amp; Inputs'!$L43</f>
        <v>0</v>
      </c>
      <c r="O18" s="519">
        <f>O$13*'Assumptions &amp; Inputs'!$L43</f>
        <v>0</v>
      </c>
      <c r="P18" s="519">
        <f>P$13*'Assumptions &amp; Inputs'!$L43</f>
        <v>0</v>
      </c>
      <c r="Q18" s="519">
        <f>Q$13*'Assumptions &amp; Inputs'!$L43</f>
        <v>0</v>
      </c>
      <c r="R18" s="519">
        <f>R$13*'Assumptions &amp; Inputs'!$L43</f>
        <v>0</v>
      </c>
      <c r="S18" s="519">
        <f>S$13*'Assumptions &amp; Inputs'!$L43</f>
        <v>0</v>
      </c>
      <c r="T18" s="519">
        <f>T$13*'Assumptions &amp; Inputs'!$L43</f>
        <v>0</v>
      </c>
      <c r="U18" s="519">
        <f>U$13*'Assumptions &amp; Inputs'!$L43</f>
        <v>0</v>
      </c>
      <c r="V18" s="519">
        <f>V$13*'Assumptions &amp; Inputs'!$L43</f>
        <v>0</v>
      </c>
      <c r="W18" s="519">
        <f>W$13*'Assumptions &amp; Inputs'!$L43</f>
        <v>0</v>
      </c>
      <c r="X18" s="519">
        <f>X$13*'Assumptions &amp; Inputs'!$L43</f>
        <v>0</v>
      </c>
      <c r="Y18" s="519">
        <f>Y$13*'Assumptions &amp; Inputs'!$L43</f>
        <v>0</v>
      </c>
      <c r="Z18" s="519">
        <f>Z$13*'Assumptions &amp; Inputs'!$L43</f>
        <v>0</v>
      </c>
      <c r="AA18" s="519">
        <f>AA$13*'Assumptions &amp; Inputs'!$L43</f>
        <v>0</v>
      </c>
      <c r="AB18" s="519">
        <f>AB$13*'Assumptions &amp; Inputs'!$L43</f>
        <v>0</v>
      </c>
      <c r="AC18" s="519">
        <f>AC$13*'Assumptions &amp; Inputs'!$L43</f>
        <v>0</v>
      </c>
      <c r="AD18" s="519">
        <f>AD$13*'Assumptions &amp; Inputs'!$L43</f>
        <v>0</v>
      </c>
      <c r="AE18" s="519">
        <f>AE$13*'Assumptions &amp; Inputs'!$L43</f>
        <v>0</v>
      </c>
      <c r="AF18" s="519">
        <f>AF$13*'Assumptions &amp; Inputs'!$L43</f>
        <v>0</v>
      </c>
      <c r="AG18" s="519">
        <f>AG$13*'Assumptions &amp; Inputs'!$L43</f>
        <v>0</v>
      </c>
      <c r="AH18" s="519">
        <f>AH$13*'Assumptions &amp; Inputs'!$L43</f>
        <v>0</v>
      </c>
      <c r="AI18" s="519">
        <f>AI$13*'Assumptions &amp; Inputs'!$L43</f>
        <v>0</v>
      </c>
      <c r="AJ18" s="519">
        <f>AJ$13*'Assumptions &amp; Inputs'!$L43</f>
        <v>0</v>
      </c>
      <c r="AK18" s="519">
        <f>AK$13*'Assumptions &amp; Inputs'!$L43</f>
        <v>0</v>
      </c>
      <c r="AL18" s="519">
        <f>AL$13*'Assumptions &amp; Inputs'!$L43</f>
        <v>0</v>
      </c>
      <c r="AM18" s="519">
        <f>AM$13*'Assumptions &amp; Inputs'!$L43</f>
        <v>0</v>
      </c>
      <c r="AN18" s="519">
        <f>AN$13*'Assumptions &amp; Inputs'!$L43</f>
        <v>0</v>
      </c>
      <c r="AO18" s="519">
        <f>AO$13*'Assumptions &amp; Inputs'!$L43</f>
        <v>0</v>
      </c>
      <c r="AP18" s="519">
        <f>AP$13*'Assumptions &amp; Inputs'!$L43</f>
        <v>0</v>
      </c>
      <c r="AQ18" s="519">
        <f>AQ$13*'Assumptions &amp; Inputs'!$L43</f>
        <v>0</v>
      </c>
      <c r="AR18" s="519">
        <f>AR$13*'Assumptions &amp; Inputs'!$L43</f>
        <v>0</v>
      </c>
      <c r="AS18" s="519">
        <f>AS$13*'Assumptions &amp; Inputs'!$L43</f>
        <v>0</v>
      </c>
      <c r="AT18" s="519">
        <f>AT$13*'Assumptions &amp; Inputs'!$L43</f>
        <v>0</v>
      </c>
      <c r="AU18" s="519">
        <f>AU$13*'Assumptions &amp; Inputs'!$L43</f>
        <v>0</v>
      </c>
      <c r="AV18" s="519">
        <f>AV$13*'Assumptions &amp; Inputs'!$L43</f>
        <v>0</v>
      </c>
      <c r="AW18" s="520">
        <f>AW$13*'Assumptions &amp; Inputs'!$L43</f>
        <v>0</v>
      </c>
    </row>
    <row r="19" spans="1:49" ht="14.25" customHeight="1">
      <c r="A19" s="1"/>
      <c r="B19" s="84"/>
      <c r="C19" s="94" t="s">
        <v>224</v>
      </c>
      <c r="D19" s="519">
        <f>D$13*'Assumptions &amp; Inputs'!$L44</f>
        <v>-9.9</v>
      </c>
      <c r="E19" s="519">
        <f>E$13*'Assumptions &amp; Inputs'!$L44</f>
        <v>-0.89999999999999991</v>
      </c>
      <c r="F19" s="519">
        <f>F$13*'Assumptions &amp; Inputs'!$L44</f>
        <v>0</v>
      </c>
      <c r="G19" s="519">
        <f>G$13*'Assumptions &amp; Inputs'!$L44</f>
        <v>0</v>
      </c>
      <c r="H19" s="519">
        <f>H$13*'Assumptions &amp; Inputs'!$L44</f>
        <v>0</v>
      </c>
      <c r="I19" s="519">
        <f>I$13*'Assumptions &amp; Inputs'!$L44</f>
        <v>0</v>
      </c>
      <c r="J19" s="519">
        <f>J$13*'Assumptions &amp; Inputs'!$L44</f>
        <v>0</v>
      </c>
      <c r="K19" s="519">
        <f>K$13*'Assumptions &amp; Inputs'!$L44</f>
        <v>0</v>
      </c>
      <c r="L19" s="519">
        <f>L$13*'Assumptions &amp; Inputs'!$L44</f>
        <v>0</v>
      </c>
      <c r="M19" s="519">
        <f>M$13*'Assumptions &amp; Inputs'!$L44</f>
        <v>0</v>
      </c>
      <c r="N19" s="519">
        <f>N$13*'Assumptions &amp; Inputs'!$L44</f>
        <v>0</v>
      </c>
      <c r="O19" s="519">
        <f>O$13*'Assumptions &amp; Inputs'!$L44</f>
        <v>0</v>
      </c>
      <c r="P19" s="519">
        <f>P$13*'Assumptions &amp; Inputs'!$L44</f>
        <v>0</v>
      </c>
      <c r="Q19" s="519">
        <f>Q$13*'Assumptions &amp; Inputs'!$L44</f>
        <v>0</v>
      </c>
      <c r="R19" s="519">
        <f>R$13*'Assumptions &amp; Inputs'!$L44</f>
        <v>0</v>
      </c>
      <c r="S19" s="519">
        <f>S$13*'Assumptions &amp; Inputs'!$L44</f>
        <v>0</v>
      </c>
      <c r="T19" s="519">
        <f>T$13*'Assumptions &amp; Inputs'!$L44</f>
        <v>0</v>
      </c>
      <c r="U19" s="519">
        <f>U$13*'Assumptions &amp; Inputs'!$L44</f>
        <v>0</v>
      </c>
      <c r="V19" s="519">
        <f>V$13*'Assumptions &amp; Inputs'!$L44</f>
        <v>0</v>
      </c>
      <c r="W19" s="519">
        <f>W$13*'Assumptions &amp; Inputs'!$L44</f>
        <v>0</v>
      </c>
      <c r="X19" s="519">
        <f>X$13*'Assumptions &amp; Inputs'!$L44</f>
        <v>0</v>
      </c>
      <c r="Y19" s="519">
        <f>Y$13*'Assumptions &amp; Inputs'!$L44</f>
        <v>0</v>
      </c>
      <c r="Z19" s="519">
        <f>Z$13*'Assumptions &amp; Inputs'!$L44</f>
        <v>0</v>
      </c>
      <c r="AA19" s="519">
        <f>AA$13*'Assumptions &amp; Inputs'!$L44</f>
        <v>0</v>
      </c>
      <c r="AB19" s="519">
        <f>AB$13*'Assumptions &amp; Inputs'!$L44</f>
        <v>0</v>
      </c>
      <c r="AC19" s="519">
        <f>AC$13*'Assumptions &amp; Inputs'!$L44</f>
        <v>0</v>
      </c>
      <c r="AD19" s="519">
        <f>AD$13*'Assumptions &amp; Inputs'!$L44</f>
        <v>0</v>
      </c>
      <c r="AE19" s="519">
        <f>AE$13*'Assumptions &amp; Inputs'!$L44</f>
        <v>0</v>
      </c>
      <c r="AF19" s="519">
        <f>AF$13*'Assumptions &amp; Inputs'!$L44</f>
        <v>0</v>
      </c>
      <c r="AG19" s="519">
        <f>AG$13*'Assumptions &amp; Inputs'!$L44</f>
        <v>0</v>
      </c>
      <c r="AH19" s="519">
        <f>AH$13*'Assumptions &amp; Inputs'!$L44</f>
        <v>0</v>
      </c>
      <c r="AI19" s="519">
        <f>AI$13*'Assumptions &amp; Inputs'!$L44</f>
        <v>0</v>
      </c>
      <c r="AJ19" s="519">
        <f>AJ$13*'Assumptions &amp; Inputs'!$L44</f>
        <v>0</v>
      </c>
      <c r="AK19" s="519">
        <f>AK$13*'Assumptions &amp; Inputs'!$L44</f>
        <v>0</v>
      </c>
      <c r="AL19" s="519">
        <f>AL$13*'Assumptions &amp; Inputs'!$L44</f>
        <v>0</v>
      </c>
      <c r="AM19" s="519">
        <f>AM$13*'Assumptions &amp; Inputs'!$L44</f>
        <v>0</v>
      </c>
      <c r="AN19" s="519">
        <f>AN$13*'Assumptions &amp; Inputs'!$L44</f>
        <v>0</v>
      </c>
      <c r="AO19" s="519">
        <f>AO$13*'Assumptions &amp; Inputs'!$L44</f>
        <v>0</v>
      </c>
      <c r="AP19" s="519">
        <f>AP$13*'Assumptions &amp; Inputs'!$L44</f>
        <v>0</v>
      </c>
      <c r="AQ19" s="519">
        <f>AQ$13*'Assumptions &amp; Inputs'!$L44</f>
        <v>0</v>
      </c>
      <c r="AR19" s="519">
        <f>AR$13*'Assumptions &amp; Inputs'!$L44</f>
        <v>0</v>
      </c>
      <c r="AS19" s="519">
        <f>AS$13*'Assumptions &amp; Inputs'!$L44</f>
        <v>0</v>
      </c>
      <c r="AT19" s="519">
        <f>AT$13*'Assumptions &amp; Inputs'!$L44</f>
        <v>0</v>
      </c>
      <c r="AU19" s="519">
        <f>AU$13*'Assumptions &amp; Inputs'!$L44</f>
        <v>0</v>
      </c>
      <c r="AV19" s="519">
        <f>AV$13*'Assumptions &amp; Inputs'!$L44</f>
        <v>0</v>
      </c>
      <c r="AW19" s="520">
        <f>AW$13*'Assumptions &amp; Inputs'!$L44</f>
        <v>0</v>
      </c>
    </row>
    <row r="20" spans="1:49" ht="14.25" customHeight="1">
      <c r="A20" s="1"/>
      <c r="B20" s="84"/>
      <c r="C20" s="94" t="s">
        <v>225</v>
      </c>
      <c r="D20" s="519">
        <f>D$13*'Assumptions &amp; Inputs'!$L45</f>
        <v>-13.200000000000001</v>
      </c>
      <c r="E20" s="519">
        <f>E$13*'Assumptions &amp; Inputs'!$L45</f>
        <v>-1.2</v>
      </c>
      <c r="F20" s="519">
        <f>F$13*'Assumptions &amp; Inputs'!$L45</f>
        <v>0</v>
      </c>
      <c r="G20" s="519">
        <f>G$13*'Assumptions &amp; Inputs'!$L45</f>
        <v>0</v>
      </c>
      <c r="H20" s="519">
        <f>H$13*'Assumptions &amp; Inputs'!$L45</f>
        <v>0</v>
      </c>
      <c r="I20" s="519">
        <f>I$13*'Assumptions &amp; Inputs'!$L45</f>
        <v>0</v>
      </c>
      <c r="J20" s="519">
        <f>J$13*'Assumptions &amp; Inputs'!$L45</f>
        <v>0</v>
      </c>
      <c r="K20" s="519">
        <f>K$13*'Assumptions &amp; Inputs'!$L45</f>
        <v>0</v>
      </c>
      <c r="L20" s="519">
        <f>L$13*'Assumptions &amp; Inputs'!$L45</f>
        <v>0</v>
      </c>
      <c r="M20" s="519">
        <f>M$13*'Assumptions &amp; Inputs'!$L45</f>
        <v>0</v>
      </c>
      <c r="N20" s="519">
        <f>N$13*'Assumptions &amp; Inputs'!$L45</f>
        <v>0</v>
      </c>
      <c r="O20" s="519">
        <f>O$13*'Assumptions &amp; Inputs'!$L45</f>
        <v>0</v>
      </c>
      <c r="P20" s="519">
        <f>P$13*'Assumptions &amp; Inputs'!$L45</f>
        <v>0</v>
      </c>
      <c r="Q20" s="519">
        <f>Q$13*'Assumptions &amp; Inputs'!$L45</f>
        <v>0</v>
      </c>
      <c r="R20" s="519">
        <f>R$13*'Assumptions &amp; Inputs'!$L45</f>
        <v>0</v>
      </c>
      <c r="S20" s="519">
        <f>S$13*'Assumptions &amp; Inputs'!$L45</f>
        <v>0</v>
      </c>
      <c r="T20" s="519">
        <f>T$13*'Assumptions &amp; Inputs'!$L45</f>
        <v>0</v>
      </c>
      <c r="U20" s="519">
        <f>U$13*'Assumptions &amp; Inputs'!$L45</f>
        <v>0</v>
      </c>
      <c r="V20" s="519">
        <f>V$13*'Assumptions &amp; Inputs'!$L45</f>
        <v>0</v>
      </c>
      <c r="W20" s="519">
        <f>W$13*'Assumptions &amp; Inputs'!$L45</f>
        <v>0</v>
      </c>
      <c r="X20" s="519">
        <f>X$13*'Assumptions &amp; Inputs'!$L45</f>
        <v>0</v>
      </c>
      <c r="Y20" s="519">
        <f>Y$13*'Assumptions &amp; Inputs'!$L45</f>
        <v>0</v>
      </c>
      <c r="Z20" s="519">
        <f>Z$13*'Assumptions &amp; Inputs'!$L45</f>
        <v>0</v>
      </c>
      <c r="AA20" s="519">
        <f>AA$13*'Assumptions &amp; Inputs'!$L45</f>
        <v>0</v>
      </c>
      <c r="AB20" s="519">
        <f>AB$13*'Assumptions &amp; Inputs'!$L45</f>
        <v>0</v>
      </c>
      <c r="AC20" s="519">
        <f>AC$13*'Assumptions &amp; Inputs'!$L45</f>
        <v>0</v>
      </c>
      <c r="AD20" s="519">
        <f>AD$13*'Assumptions &amp; Inputs'!$L45</f>
        <v>0</v>
      </c>
      <c r="AE20" s="519">
        <f>AE$13*'Assumptions &amp; Inputs'!$L45</f>
        <v>0</v>
      </c>
      <c r="AF20" s="519">
        <f>AF$13*'Assumptions &amp; Inputs'!$L45</f>
        <v>0</v>
      </c>
      <c r="AG20" s="519">
        <f>AG$13*'Assumptions &amp; Inputs'!$L45</f>
        <v>0</v>
      </c>
      <c r="AH20" s="519">
        <f>AH$13*'Assumptions &amp; Inputs'!$L45</f>
        <v>0</v>
      </c>
      <c r="AI20" s="519">
        <f>AI$13*'Assumptions &amp; Inputs'!$L45</f>
        <v>0</v>
      </c>
      <c r="AJ20" s="519">
        <f>AJ$13*'Assumptions &amp; Inputs'!$L45</f>
        <v>0</v>
      </c>
      <c r="AK20" s="519">
        <f>AK$13*'Assumptions &amp; Inputs'!$L45</f>
        <v>0</v>
      </c>
      <c r="AL20" s="519">
        <f>AL$13*'Assumptions &amp; Inputs'!$L45</f>
        <v>0</v>
      </c>
      <c r="AM20" s="519">
        <f>AM$13*'Assumptions &amp; Inputs'!$L45</f>
        <v>0</v>
      </c>
      <c r="AN20" s="519">
        <f>AN$13*'Assumptions &amp; Inputs'!$L45</f>
        <v>0</v>
      </c>
      <c r="AO20" s="519">
        <f>AO$13*'Assumptions &amp; Inputs'!$L45</f>
        <v>0</v>
      </c>
      <c r="AP20" s="519">
        <f>AP$13*'Assumptions &amp; Inputs'!$L45</f>
        <v>0</v>
      </c>
      <c r="AQ20" s="519">
        <f>AQ$13*'Assumptions &amp; Inputs'!$L45</f>
        <v>0</v>
      </c>
      <c r="AR20" s="519">
        <f>AR$13*'Assumptions &amp; Inputs'!$L45</f>
        <v>0</v>
      </c>
      <c r="AS20" s="519">
        <f>AS$13*'Assumptions &amp; Inputs'!$L45</f>
        <v>0</v>
      </c>
      <c r="AT20" s="519">
        <f>AT$13*'Assumptions &amp; Inputs'!$L45</f>
        <v>0</v>
      </c>
      <c r="AU20" s="519">
        <f>AU$13*'Assumptions &amp; Inputs'!$L45</f>
        <v>0</v>
      </c>
      <c r="AV20" s="519">
        <f>AV$13*'Assumptions &amp; Inputs'!$L45</f>
        <v>0</v>
      </c>
      <c r="AW20" s="520">
        <f>AW$13*'Assumptions &amp; Inputs'!$L45</f>
        <v>0</v>
      </c>
    </row>
    <row r="21" spans="1:49" ht="14.25" customHeight="1">
      <c r="A21" s="4"/>
      <c r="B21" s="221"/>
      <c r="C21" s="94" t="s">
        <v>226</v>
      </c>
      <c r="D21" s="519">
        <f>D$13*'Assumptions &amp; Inputs'!$L46</f>
        <v>-115.49999999999999</v>
      </c>
      <c r="E21" s="519">
        <f>E$13*'Assumptions &amp; Inputs'!$L46</f>
        <v>-10.5</v>
      </c>
      <c r="F21" s="519">
        <f>F$13*'Assumptions &amp; Inputs'!$L46</f>
        <v>0</v>
      </c>
      <c r="G21" s="519">
        <f>G$13*'Assumptions &amp; Inputs'!$L46</f>
        <v>0</v>
      </c>
      <c r="H21" s="519">
        <f>H$13*'Assumptions &amp; Inputs'!$L46</f>
        <v>0</v>
      </c>
      <c r="I21" s="519">
        <f>I$13*'Assumptions &amp; Inputs'!$L46</f>
        <v>0</v>
      </c>
      <c r="J21" s="519">
        <f>J$13*'Assumptions &amp; Inputs'!$L46</f>
        <v>0</v>
      </c>
      <c r="K21" s="519">
        <f>K$13*'Assumptions &amp; Inputs'!$L46</f>
        <v>0</v>
      </c>
      <c r="L21" s="519">
        <f>L$13*'Assumptions &amp; Inputs'!$L46</f>
        <v>0</v>
      </c>
      <c r="M21" s="519">
        <f>M$13*'Assumptions &amp; Inputs'!$L46</f>
        <v>0</v>
      </c>
      <c r="N21" s="519">
        <f>N$13*'Assumptions &amp; Inputs'!$L46</f>
        <v>0</v>
      </c>
      <c r="O21" s="519">
        <f>O$13*'Assumptions &amp; Inputs'!$L46</f>
        <v>0</v>
      </c>
      <c r="P21" s="519">
        <f>P$13*'Assumptions &amp; Inputs'!$L46</f>
        <v>0</v>
      </c>
      <c r="Q21" s="519">
        <f>Q$13*'Assumptions &amp; Inputs'!$L46</f>
        <v>0</v>
      </c>
      <c r="R21" s="519">
        <f>R$13*'Assumptions &amp; Inputs'!$L46</f>
        <v>0</v>
      </c>
      <c r="S21" s="519">
        <f>S$13*'Assumptions &amp; Inputs'!$L46</f>
        <v>0</v>
      </c>
      <c r="T21" s="519">
        <f>T$13*'Assumptions &amp; Inputs'!$L46</f>
        <v>0</v>
      </c>
      <c r="U21" s="519">
        <f>U$13*'Assumptions &amp; Inputs'!$L46</f>
        <v>0</v>
      </c>
      <c r="V21" s="519">
        <f>V$13*'Assumptions &amp; Inputs'!$L46</f>
        <v>0</v>
      </c>
      <c r="W21" s="519">
        <f>W$13*'Assumptions &amp; Inputs'!$L46</f>
        <v>0</v>
      </c>
      <c r="X21" s="519">
        <f>X$13*'Assumptions &amp; Inputs'!$L46</f>
        <v>0</v>
      </c>
      <c r="Y21" s="519">
        <f>Y$13*'Assumptions &amp; Inputs'!$L46</f>
        <v>0</v>
      </c>
      <c r="Z21" s="519">
        <f>Z$13*'Assumptions &amp; Inputs'!$L46</f>
        <v>0</v>
      </c>
      <c r="AA21" s="519">
        <f>AA$13*'Assumptions &amp; Inputs'!$L46</f>
        <v>0</v>
      </c>
      <c r="AB21" s="519">
        <f>AB$13*'Assumptions &amp; Inputs'!$L46</f>
        <v>0</v>
      </c>
      <c r="AC21" s="519">
        <f>AC$13*'Assumptions &amp; Inputs'!$L46</f>
        <v>0</v>
      </c>
      <c r="AD21" s="519">
        <f>AD$13*'Assumptions &amp; Inputs'!$L46</f>
        <v>0</v>
      </c>
      <c r="AE21" s="519">
        <f>AE$13*'Assumptions &amp; Inputs'!$L46</f>
        <v>0</v>
      </c>
      <c r="AF21" s="519">
        <f>AF$13*'Assumptions &amp; Inputs'!$L46</f>
        <v>0</v>
      </c>
      <c r="AG21" s="519">
        <f>AG$13*'Assumptions &amp; Inputs'!$L46</f>
        <v>0</v>
      </c>
      <c r="AH21" s="519">
        <f>AH$13*'Assumptions &amp; Inputs'!$L46</f>
        <v>0</v>
      </c>
      <c r="AI21" s="519">
        <f>AI$13*'Assumptions &amp; Inputs'!$L46</f>
        <v>0</v>
      </c>
      <c r="AJ21" s="519">
        <f>AJ$13*'Assumptions &amp; Inputs'!$L46</f>
        <v>0</v>
      </c>
      <c r="AK21" s="519">
        <f>AK$13*'Assumptions &amp; Inputs'!$L46</f>
        <v>0</v>
      </c>
      <c r="AL21" s="519">
        <f>AL$13*'Assumptions &amp; Inputs'!$L46</f>
        <v>0</v>
      </c>
      <c r="AM21" s="519">
        <f>AM$13*'Assumptions &amp; Inputs'!$L46</f>
        <v>0</v>
      </c>
      <c r="AN21" s="519">
        <f>AN$13*'Assumptions &amp; Inputs'!$L46</f>
        <v>0</v>
      </c>
      <c r="AO21" s="519">
        <f>AO$13*'Assumptions &amp; Inputs'!$L46</f>
        <v>0</v>
      </c>
      <c r="AP21" s="519">
        <f>AP$13*'Assumptions &amp; Inputs'!$L46</f>
        <v>0</v>
      </c>
      <c r="AQ21" s="519">
        <f>AQ$13*'Assumptions &amp; Inputs'!$L46</f>
        <v>0</v>
      </c>
      <c r="AR21" s="519">
        <f>AR$13*'Assumptions &amp; Inputs'!$L46</f>
        <v>0</v>
      </c>
      <c r="AS21" s="519">
        <f>AS$13*'Assumptions &amp; Inputs'!$L46</f>
        <v>0</v>
      </c>
      <c r="AT21" s="519">
        <f>AT$13*'Assumptions &amp; Inputs'!$L46</f>
        <v>0</v>
      </c>
      <c r="AU21" s="519">
        <f>AU$13*'Assumptions &amp; Inputs'!$L46</f>
        <v>0</v>
      </c>
      <c r="AV21" s="519">
        <f>AV$13*'Assumptions &amp; Inputs'!$L46</f>
        <v>0</v>
      </c>
      <c r="AW21" s="520">
        <f>AW$13*'Assumptions &amp; Inputs'!$L46</f>
        <v>0</v>
      </c>
    </row>
    <row r="22" spans="1:49" ht="14.25" customHeight="1">
      <c r="A22" s="1"/>
      <c r="B22" s="84"/>
      <c r="C22" s="94" t="s">
        <v>227</v>
      </c>
      <c r="D22" s="519">
        <f>D$13*'Assumptions &amp; Inputs'!$L47</f>
        <v>-3.3000000000000003</v>
      </c>
      <c r="E22" s="519">
        <f>E$13*'Assumptions &amp; Inputs'!$L47</f>
        <v>-0.3</v>
      </c>
      <c r="F22" s="519">
        <f>F$13*'Assumptions &amp; Inputs'!$L47</f>
        <v>0</v>
      </c>
      <c r="G22" s="519">
        <f>G$13*'Assumptions &amp; Inputs'!$L47</f>
        <v>0</v>
      </c>
      <c r="H22" s="519">
        <f>H$13*'Assumptions &amp; Inputs'!$L47</f>
        <v>0</v>
      </c>
      <c r="I22" s="519">
        <f>I$13*'Assumptions &amp; Inputs'!$L47</f>
        <v>0</v>
      </c>
      <c r="J22" s="519">
        <f>J$13*'Assumptions &amp; Inputs'!$L47</f>
        <v>0</v>
      </c>
      <c r="K22" s="519">
        <f>K$13*'Assumptions &amp; Inputs'!$L47</f>
        <v>0</v>
      </c>
      <c r="L22" s="519">
        <f>L$13*'Assumptions &amp; Inputs'!$L47</f>
        <v>0</v>
      </c>
      <c r="M22" s="519">
        <f>M$13*'Assumptions &amp; Inputs'!$L47</f>
        <v>0</v>
      </c>
      <c r="N22" s="519">
        <f>N$13*'Assumptions &amp; Inputs'!$L47</f>
        <v>0</v>
      </c>
      <c r="O22" s="519">
        <f>O$13*'Assumptions &amp; Inputs'!$L47</f>
        <v>0</v>
      </c>
      <c r="P22" s="519">
        <f>P$13*'Assumptions &amp; Inputs'!$L47</f>
        <v>0</v>
      </c>
      <c r="Q22" s="519">
        <f>Q$13*'Assumptions &amp; Inputs'!$L47</f>
        <v>0</v>
      </c>
      <c r="R22" s="519">
        <f>R$13*'Assumptions &amp; Inputs'!$L47</f>
        <v>0</v>
      </c>
      <c r="S22" s="519">
        <f>S$13*'Assumptions &amp; Inputs'!$L47</f>
        <v>0</v>
      </c>
      <c r="T22" s="519">
        <f>T$13*'Assumptions &amp; Inputs'!$L47</f>
        <v>0</v>
      </c>
      <c r="U22" s="519">
        <f>U$13*'Assumptions &amp; Inputs'!$L47</f>
        <v>0</v>
      </c>
      <c r="V22" s="519">
        <f>V$13*'Assumptions &amp; Inputs'!$L47</f>
        <v>0</v>
      </c>
      <c r="W22" s="519">
        <f>W$13*'Assumptions &amp; Inputs'!$L47</f>
        <v>0</v>
      </c>
      <c r="X22" s="519">
        <f>X$13*'Assumptions &amp; Inputs'!$L47</f>
        <v>0</v>
      </c>
      <c r="Y22" s="519">
        <f>Y$13*'Assumptions &amp; Inputs'!$L47</f>
        <v>0</v>
      </c>
      <c r="Z22" s="519">
        <f>Z$13*'Assumptions &amp; Inputs'!$L47</f>
        <v>0</v>
      </c>
      <c r="AA22" s="519">
        <f>AA$13*'Assumptions &amp; Inputs'!$L47</f>
        <v>0</v>
      </c>
      <c r="AB22" s="519">
        <f>AB$13*'Assumptions &amp; Inputs'!$L47</f>
        <v>0</v>
      </c>
      <c r="AC22" s="519">
        <f>AC$13*'Assumptions &amp; Inputs'!$L47</f>
        <v>0</v>
      </c>
      <c r="AD22" s="519">
        <f>AD$13*'Assumptions &amp; Inputs'!$L47</f>
        <v>0</v>
      </c>
      <c r="AE22" s="519">
        <f>AE$13*'Assumptions &amp; Inputs'!$L47</f>
        <v>0</v>
      </c>
      <c r="AF22" s="519">
        <f>AF$13*'Assumptions &amp; Inputs'!$L47</f>
        <v>0</v>
      </c>
      <c r="AG22" s="519">
        <f>AG$13*'Assumptions &amp; Inputs'!$L47</f>
        <v>0</v>
      </c>
      <c r="AH22" s="519">
        <f>AH$13*'Assumptions &amp; Inputs'!$L47</f>
        <v>0</v>
      </c>
      <c r="AI22" s="519">
        <f>AI$13*'Assumptions &amp; Inputs'!$L47</f>
        <v>0</v>
      </c>
      <c r="AJ22" s="519">
        <f>AJ$13*'Assumptions &amp; Inputs'!$L47</f>
        <v>0</v>
      </c>
      <c r="AK22" s="519">
        <f>AK$13*'Assumptions &amp; Inputs'!$L47</f>
        <v>0</v>
      </c>
      <c r="AL22" s="519">
        <f>AL$13*'Assumptions &amp; Inputs'!$L47</f>
        <v>0</v>
      </c>
      <c r="AM22" s="519">
        <f>AM$13*'Assumptions &amp; Inputs'!$L47</f>
        <v>0</v>
      </c>
      <c r="AN22" s="519">
        <f>AN$13*'Assumptions &amp; Inputs'!$L47</f>
        <v>0</v>
      </c>
      <c r="AO22" s="519">
        <f>AO$13*'Assumptions &amp; Inputs'!$L47</f>
        <v>0</v>
      </c>
      <c r="AP22" s="519">
        <f>AP$13*'Assumptions &amp; Inputs'!$L47</f>
        <v>0</v>
      </c>
      <c r="AQ22" s="519">
        <f>AQ$13*'Assumptions &amp; Inputs'!$L47</f>
        <v>0</v>
      </c>
      <c r="AR22" s="519">
        <f>AR$13*'Assumptions &amp; Inputs'!$L47</f>
        <v>0</v>
      </c>
      <c r="AS22" s="519">
        <f>AS$13*'Assumptions &amp; Inputs'!$L47</f>
        <v>0</v>
      </c>
      <c r="AT22" s="519">
        <f>AT$13*'Assumptions &amp; Inputs'!$L47</f>
        <v>0</v>
      </c>
      <c r="AU22" s="519">
        <f>AU$13*'Assumptions &amp; Inputs'!$L47</f>
        <v>0</v>
      </c>
      <c r="AV22" s="519">
        <f>AV$13*'Assumptions &amp; Inputs'!$L47</f>
        <v>0</v>
      </c>
      <c r="AW22" s="520">
        <f>AW$13*'Assumptions &amp; Inputs'!$L47</f>
        <v>0</v>
      </c>
    </row>
    <row r="23" spans="1:49" ht="14.25" customHeight="1">
      <c r="A23" s="1"/>
      <c r="B23" s="84"/>
      <c r="C23" s="96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98"/>
    </row>
    <row r="24" spans="1:49" ht="14.25" customHeight="1">
      <c r="A24" s="1"/>
      <c r="B24" s="84"/>
      <c r="C24" s="150" t="s">
        <v>359</v>
      </c>
      <c r="D24" s="517">
        <f>SUM(D14:D22)</f>
        <v>-165</v>
      </c>
      <c r="E24" s="517">
        <f t="shared" ref="E24:X24" si="56">SUM(E14:E22)</f>
        <v>-15</v>
      </c>
      <c r="F24" s="517">
        <f t="shared" si="56"/>
        <v>0</v>
      </c>
      <c r="G24" s="517">
        <f t="shared" si="56"/>
        <v>0</v>
      </c>
      <c r="H24" s="517">
        <f t="shared" si="56"/>
        <v>0</v>
      </c>
      <c r="I24" s="517">
        <f t="shared" si="56"/>
        <v>0</v>
      </c>
      <c r="J24" s="517">
        <f t="shared" si="56"/>
        <v>0</v>
      </c>
      <c r="K24" s="517">
        <f t="shared" si="56"/>
        <v>0</v>
      </c>
      <c r="L24" s="517">
        <f t="shared" si="56"/>
        <v>0</v>
      </c>
      <c r="M24" s="517">
        <f t="shared" si="56"/>
        <v>0</v>
      </c>
      <c r="N24" s="517">
        <f t="shared" si="56"/>
        <v>0</v>
      </c>
      <c r="O24" s="517">
        <f t="shared" si="56"/>
        <v>0</v>
      </c>
      <c r="P24" s="517">
        <f t="shared" si="56"/>
        <v>0</v>
      </c>
      <c r="Q24" s="517">
        <f t="shared" si="56"/>
        <v>0</v>
      </c>
      <c r="R24" s="517">
        <f t="shared" si="56"/>
        <v>0</v>
      </c>
      <c r="S24" s="517">
        <f t="shared" si="56"/>
        <v>0</v>
      </c>
      <c r="T24" s="517">
        <f t="shared" si="56"/>
        <v>0</v>
      </c>
      <c r="U24" s="517">
        <f t="shared" si="56"/>
        <v>0</v>
      </c>
      <c r="V24" s="517">
        <f t="shared" si="56"/>
        <v>0</v>
      </c>
      <c r="W24" s="517">
        <f t="shared" si="56"/>
        <v>0</v>
      </c>
      <c r="X24" s="517">
        <f t="shared" si="56"/>
        <v>0</v>
      </c>
      <c r="Y24" s="517">
        <f t="shared" ref="Y24:AW24" si="57">SUM(Y14:Y22)</f>
        <v>0</v>
      </c>
      <c r="Z24" s="517">
        <f t="shared" si="57"/>
        <v>0</v>
      </c>
      <c r="AA24" s="517">
        <f t="shared" si="57"/>
        <v>0</v>
      </c>
      <c r="AB24" s="517">
        <f t="shared" si="57"/>
        <v>0</v>
      </c>
      <c r="AC24" s="517">
        <f t="shared" si="57"/>
        <v>0</v>
      </c>
      <c r="AD24" s="517">
        <f t="shared" si="57"/>
        <v>0</v>
      </c>
      <c r="AE24" s="517">
        <f t="shared" si="57"/>
        <v>0</v>
      </c>
      <c r="AF24" s="517">
        <f t="shared" si="57"/>
        <v>0</v>
      </c>
      <c r="AG24" s="517">
        <f t="shared" si="57"/>
        <v>0</v>
      </c>
      <c r="AH24" s="517">
        <f t="shared" si="57"/>
        <v>0</v>
      </c>
      <c r="AI24" s="517">
        <f t="shared" si="57"/>
        <v>0</v>
      </c>
      <c r="AJ24" s="517">
        <f t="shared" si="57"/>
        <v>0</v>
      </c>
      <c r="AK24" s="517">
        <f t="shared" si="57"/>
        <v>0</v>
      </c>
      <c r="AL24" s="517">
        <f t="shared" si="57"/>
        <v>0</v>
      </c>
      <c r="AM24" s="517">
        <f t="shared" si="57"/>
        <v>0</v>
      </c>
      <c r="AN24" s="517">
        <f t="shared" si="57"/>
        <v>0</v>
      </c>
      <c r="AO24" s="517">
        <f t="shared" si="57"/>
        <v>0</v>
      </c>
      <c r="AP24" s="517">
        <f t="shared" si="57"/>
        <v>0</v>
      </c>
      <c r="AQ24" s="517">
        <f t="shared" si="57"/>
        <v>0</v>
      </c>
      <c r="AR24" s="517">
        <f t="shared" si="57"/>
        <v>0</v>
      </c>
      <c r="AS24" s="517">
        <f t="shared" si="57"/>
        <v>0</v>
      </c>
      <c r="AT24" s="517">
        <f t="shared" si="57"/>
        <v>0</v>
      </c>
      <c r="AU24" s="517">
        <f t="shared" si="57"/>
        <v>0</v>
      </c>
      <c r="AV24" s="517">
        <f t="shared" si="57"/>
        <v>0</v>
      </c>
      <c r="AW24" s="521">
        <f t="shared" si="57"/>
        <v>0</v>
      </c>
    </row>
    <row r="25" spans="1:49" ht="14.25" customHeight="1" thickBot="1">
      <c r="A25" s="1"/>
      <c r="B25" s="84"/>
      <c r="C25" s="151" t="s">
        <v>360</v>
      </c>
      <c r="D25" s="176">
        <f>SUM(D24:BA24)</f>
        <v>-180</v>
      </c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9"/>
    </row>
    <row r="26" spans="1:49" ht="14.25" customHeight="1">
      <c r="A26" s="1"/>
      <c r="B26" s="1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</row>
    <row r="27" spans="1:49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14.25" customHeight="1" thickBot="1">
      <c r="A28" s="1" t="s">
        <v>351</v>
      </c>
      <c r="B28" s="1"/>
      <c r="C28" s="9" t="s">
        <v>402</v>
      </c>
      <c r="D28" s="162"/>
      <c r="E28" s="161"/>
      <c r="F28" s="161"/>
      <c r="G28" s="161"/>
      <c r="H28" s="10"/>
      <c r="I28" s="10"/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ht="14.25" customHeight="1">
      <c r="A29" s="1"/>
      <c r="B29" s="1"/>
      <c r="C29" s="12" t="s">
        <v>353</v>
      </c>
      <c r="D29" s="1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4.25" customHeight="1">
      <c r="A30" s="1"/>
      <c r="B30" s="1"/>
      <c r="C30" s="1"/>
      <c r="D30" s="90">
        <v>0</v>
      </c>
      <c r="E30" s="90">
        <f t="shared" ref="E30:X30" si="58">D30+1</f>
        <v>1</v>
      </c>
      <c r="F30" s="90">
        <f t="shared" si="58"/>
        <v>2</v>
      </c>
      <c r="G30" s="90">
        <f t="shared" si="58"/>
        <v>3</v>
      </c>
      <c r="H30" s="90">
        <f t="shared" si="58"/>
        <v>4</v>
      </c>
      <c r="I30" s="90">
        <f t="shared" si="58"/>
        <v>5</v>
      </c>
      <c r="J30" s="90">
        <f t="shared" si="58"/>
        <v>6</v>
      </c>
      <c r="K30" s="90">
        <f t="shared" si="58"/>
        <v>7</v>
      </c>
      <c r="L30" s="90">
        <f t="shared" si="58"/>
        <v>8</v>
      </c>
      <c r="M30" s="90">
        <f t="shared" si="58"/>
        <v>9</v>
      </c>
      <c r="N30" s="90">
        <f t="shared" si="58"/>
        <v>10</v>
      </c>
      <c r="O30" s="90">
        <f t="shared" si="58"/>
        <v>11</v>
      </c>
      <c r="P30" s="90">
        <f t="shared" si="58"/>
        <v>12</v>
      </c>
      <c r="Q30" s="90">
        <f>P30+1</f>
        <v>13</v>
      </c>
      <c r="R30" s="90">
        <f t="shared" si="58"/>
        <v>14</v>
      </c>
      <c r="S30" s="90">
        <f t="shared" si="58"/>
        <v>15</v>
      </c>
      <c r="T30" s="90">
        <f t="shared" si="58"/>
        <v>16</v>
      </c>
      <c r="U30" s="90">
        <f t="shared" si="58"/>
        <v>17</v>
      </c>
      <c r="V30" s="90">
        <f t="shared" si="58"/>
        <v>18</v>
      </c>
      <c r="W30" s="90">
        <f t="shared" si="58"/>
        <v>19</v>
      </c>
      <c r="X30" s="90">
        <f t="shared" si="58"/>
        <v>20</v>
      </c>
      <c r="Y30" s="90">
        <f t="shared" ref="Y30" si="59">X30+1</f>
        <v>21</v>
      </c>
      <c r="Z30" s="90">
        <f t="shared" ref="Z30" si="60">Y30+1</f>
        <v>22</v>
      </c>
      <c r="AA30" s="90">
        <f t="shared" ref="AA30" si="61">Z30+1</f>
        <v>23</v>
      </c>
      <c r="AB30" s="90">
        <f t="shared" ref="AB30" si="62">AA30+1</f>
        <v>24</v>
      </c>
      <c r="AC30" s="90">
        <f t="shared" ref="AC30" si="63">AB30+1</f>
        <v>25</v>
      </c>
      <c r="AD30" s="90">
        <f t="shared" ref="AD30" si="64">AC30+1</f>
        <v>26</v>
      </c>
      <c r="AE30" s="90">
        <f t="shared" ref="AE30" si="65">AD30+1</f>
        <v>27</v>
      </c>
      <c r="AF30" s="90">
        <f t="shared" ref="AF30" si="66">AE30+1</f>
        <v>28</v>
      </c>
      <c r="AG30" s="90">
        <f t="shared" ref="AG30" si="67">AF30+1</f>
        <v>29</v>
      </c>
      <c r="AH30" s="90">
        <f t="shared" ref="AH30" si="68">AG30+1</f>
        <v>30</v>
      </c>
      <c r="AI30" s="90">
        <f t="shared" ref="AI30" si="69">AH30+1</f>
        <v>31</v>
      </c>
      <c r="AJ30" s="90">
        <f t="shared" ref="AJ30" si="70">AI30+1</f>
        <v>32</v>
      </c>
      <c r="AK30" s="90">
        <f t="shared" ref="AK30" si="71">AJ30+1</f>
        <v>33</v>
      </c>
      <c r="AL30" s="90">
        <f t="shared" ref="AL30" si="72">AK30+1</f>
        <v>34</v>
      </c>
      <c r="AM30" s="90">
        <f t="shared" ref="AM30" si="73">AL30+1</f>
        <v>35</v>
      </c>
      <c r="AN30" s="90">
        <f t="shared" ref="AN30" si="74">AM30+1</f>
        <v>36</v>
      </c>
      <c r="AO30" s="90">
        <f t="shared" ref="AO30" si="75">AN30+1</f>
        <v>37</v>
      </c>
      <c r="AP30" s="90">
        <f t="shared" ref="AP30" si="76">AO30+1</f>
        <v>38</v>
      </c>
      <c r="AQ30" s="90">
        <f t="shared" ref="AQ30" si="77">AP30+1</f>
        <v>39</v>
      </c>
      <c r="AR30" s="90">
        <f t="shared" ref="AR30" si="78">AQ30+1</f>
        <v>40</v>
      </c>
      <c r="AS30" s="90">
        <f t="shared" ref="AS30" si="79">AR30+1</f>
        <v>41</v>
      </c>
      <c r="AT30" s="90">
        <f t="shared" ref="AT30" si="80">AS30+1</f>
        <v>42</v>
      </c>
      <c r="AU30" s="90">
        <f t="shared" ref="AU30" si="81">AT30+1</f>
        <v>43</v>
      </c>
      <c r="AV30" s="90">
        <f t="shared" ref="AV30" si="82">AU30+1</f>
        <v>44</v>
      </c>
      <c r="AW30" s="90">
        <f t="shared" ref="AW30" si="83">AV30+1</f>
        <v>45</v>
      </c>
    </row>
    <row r="31" spans="1:49" ht="14.25" customHeight="1">
      <c r="A31" s="1"/>
      <c r="B31" s="1"/>
      <c r="C31" s="2"/>
      <c r="D31" s="2"/>
      <c r="E31" s="806" t="s">
        <v>354</v>
      </c>
      <c r="F31" s="819"/>
      <c r="G31" s="819"/>
      <c r="H31" s="819"/>
      <c r="I31" s="819"/>
      <c r="J31" s="819"/>
      <c r="K31" s="819"/>
      <c r="L31" s="819"/>
      <c r="M31" s="819"/>
      <c r="N31" s="819"/>
      <c r="O31" s="819"/>
      <c r="P31" s="8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</row>
    <row r="32" spans="1:49" ht="14.25" customHeight="1">
      <c r="A32" s="1"/>
      <c r="B32" s="1"/>
      <c r="C32" s="2"/>
      <c r="D32" s="3">
        <f>D9</f>
        <v>2026</v>
      </c>
      <c r="E32" s="91">
        <f>D32+1</f>
        <v>2027</v>
      </c>
      <c r="F32" s="91">
        <f t="shared" ref="F32:X32" si="84">E32+1</f>
        <v>2028</v>
      </c>
      <c r="G32" s="91">
        <f t="shared" si="84"/>
        <v>2029</v>
      </c>
      <c r="H32" s="91">
        <f t="shared" si="84"/>
        <v>2030</v>
      </c>
      <c r="I32" s="91">
        <f t="shared" si="84"/>
        <v>2031</v>
      </c>
      <c r="J32" s="91">
        <f t="shared" si="84"/>
        <v>2032</v>
      </c>
      <c r="K32" s="91">
        <f t="shared" si="84"/>
        <v>2033</v>
      </c>
      <c r="L32" s="91">
        <f t="shared" si="84"/>
        <v>2034</v>
      </c>
      <c r="M32" s="91">
        <f t="shared" si="84"/>
        <v>2035</v>
      </c>
      <c r="N32" s="91">
        <f t="shared" si="84"/>
        <v>2036</v>
      </c>
      <c r="O32" s="91">
        <f t="shared" si="84"/>
        <v>2037</v>
      </c>
      <c r="P32" s="91">
        <f t="shared" si="84"/>
        <v>2038</v>
      </c>
      <c r="Q32" s="91">
        <f>P32+1</f>
        <v>2039</v>
      </c>
      <c r="R32" s="91">
        <f t="shared" si="84"/>
        <v>2040</v>
      </c>
      <c r="S32" s="91">
        <f t="shared" si="84"/>
        <v>2041</v>
      </c>
      <c r="T32" s="91">
        <f t="shared" si="84"/>
        <v>2042</v>
      </c>
      <c r="U32" s="91">
        <f t="shared" si="84"/>
        <v>2043</v>
      </c>
      <c r="V32" s="91">
        <f t="shared" si="84"/>
        <v>2044</v>
      </c>
      <c r="W32" s="91">
        <f t="shared" si="84"/>
        <v>2045</v>
      </c>
      <c r="X32" s="91">
        <f t="shared" si="84"/>
        <v>2046</v>
      </c>
      <c r="Y32" s="91">
        <f t="shared" ref="Y32" si="85">X32+1</f>
        <v>2047</v>
      </c>
      <c r="Z32" s="91">
        <f t="shared" ref="Z32" si="86">Y32+1</f>
        <v>2048</v>
      </c>
      <c r="AA32" s="91">
        <f t="shared" ref="AA32" si="87">Z32+1</f>
        <v>2049</v>
      </c>
      <c r="AB32" s="91">
        <f t="shared" ref="AB32" si="88">AA32+1</f>
        <v>2050</v>
      </c>
      <c r="AC32" s="91">
        <f t="shared" ref="AC32" si="89">AB32+1</f>
        <v>2051</v>
      </c>
      <c r="AD32" s="91">
        <f t="shared" ref="AD32" si="90">AC32+1</f>
        <v>2052</v>
      </c>
      <c r="AE32" s="91">
        <f t="shared" ref="AE32" si="91">AD32+1</f>
        <v>2053</v>
      </c>
      <c r="AF32" s="91">
        <f t="shared" ref="AF32" si="92">AE32+1</f>
        <v>2054</v>
      </c>
      <c r="AG32" s="91">
        <f t="shared" ref="AG32" si="93">AF32+1</f>
        <v>2055</v>
      </c>
      <c r="AH32" s="91">
        <f t="shared" ref="AH32" si="94">AG32+1</f>
        <v>2056</v>
      </c>
      <c r="AI32" s="91">
        <f t="shared" ref="AI32" si="95">AH32+1</f>
        <v>2057</v>
      </c>
      <c r="AJ32" s="91">
        <f t="shared" ref="AJ32" si="96">AI32+1</f>
        <v>2058</v>
      </c>
      <c r="AK32" s="91">
        <f t="shared" ref="AK32" si="97">AJ32+1</f>
        <v>2059</v>
      </c>
      <c r="AL32" s="91">
        <f t="shared" ref="AL32" si="98">AK32+1</f>
        <v>2060</v>
      </c>
      <c r="AM32" s="91">
        <f t="shared" ref="AM32" si="99">AL32+1</f>
        <v>2061</v>
      </c>
      <c r="AN32" s="91">
        <f t="shared" ref="AN32" si="100">AM32+1</f>
        <v>2062</v>
      </c>
      <c r="AO32" s="91">
        <f t="shared" ref="AO32" si="101">AN32+1</f>
        <v>2063</v>
      </c>
      <c r="AP32" s="91">
        <f t="shared" ref="AP32" si="102">AO32+1</f>
        <v>2064</v>
      </c>
      <c r="AQ32" s="91">
        <f t="shared" ref="AQ32" si="103">AP32+1</f>
        <v>2065</v>
      </c>
      <c r="AR32" s="91">
        <f t="shared" ref="AR32" si="104">AQ32+1</f>
        <v>2066</v>
      </c>
      <c r="AS32" s="91">
        <f t="shared" ref="AS32" si="105">AR32+1</f>
        <v>2067</v>
      </c>
      <c r="AT32" s="91">
        <f t="shared" ref="AT32" si="106">AS32+1</f>
        <v>2068</v>
      </c>
      <c r="AU32" s="91">
        <f t="shared" ref="AU32" si="107">AT32+1</f>
        <v>2069</v>
      </c>
      <c r="AV32" s="91">
        <f t="shared" ref="AV32" si="108">AU32+1</f>
        <v>2070</v>
      </c>
      <c r="AW32" s="91">
        <f t="shared" ref="AW32" si="109">AV32+1</f>
        <v>2071</v>
      </c>
    </row>
    <row r="33" spans="2:49" ht="14.25" customHeight="1">
      <c r="B33" s="1"/>
      <c r="C33" s="92"/>
      <c r="D33" s="93">
        <f>D10</f>
        <v>46023</v>
      </c>
      <c r="E33" s="93">
        <v>46387</v>
      </c>
      <c r="F33" s="93">
        <f t="shared" ref="F33:X33" si="110">EDATE(E33,12)</f>
        <v>46752</v>
      </c>
      <c r="G33" s="93">
        <f t="shared" si="110"/>
        <v>47118</v>
      </c>
      <c r="H33" s="93">
        <f t="shared" si="110"/>
        <v>47483</v>
      </c>
      <c r="I33" s="93">
        <f t="shared" si="110"/>
        <v>47848</v>
      </c>
      <c r="J33" s="93">
        <f t="shared" si="110"/>
        <v>48213</v>
      </c>
      <c r="K33" s="93">
        <f t="shared" si="110"/>
        <v>48579</v>
      </c>
      <c r="L33" s="93">
        <f t="shared" si="110"/>
        <v>48944</v>
      </c>
      <c r="M33" s="93">
        <f t="shared" si="110"/>
        <v>49309</v>
      </c>
      <c r="N33" s="93">
        <f t="shared" si="110"/>
        <v>49674</v>
      </c>
      <c r="O33" s="93">
        <f t="shared" si="110"/>
        <v>50040</v>
      </c>
      <c r="P33" s="93">
        <f t="shared" si="110"/>
        <v>50405</v>
      </c>
      <c r="Q33" s="93">
        <f>EDATE(P33,12)</f>
        <v>50770</v>
      </c>
      <c r="R33" s="93">
        <f t="shared" si="110"/>
        <v>51135</v>
      </c>
      <c r="S33" s="93">
        <f t="shared" si="110"/>
        <v>51501</v>
      </c>
      <c r="T33" s="93">
        <f t="shared" si="110"/>
        <v>51866</v>
      </c>
      <c r="U33" s="93">
        <f t="shared" si="110"/>
        <v>52231</v>
      </c>
      <c r="V33" s="93">
        <f t="shared" si="110"/>
        <v>52596</v>
      </c>
      <c r="W33" s="93">
        <f t="shared" si="110"/>
        <v>52962</v>
      </c>
      <c r="X33" s="93">
        <f t="shared" si="110"/>
        <v>53327</v>
      </c>
      <c r="Y33" s="93">
        <f t="shared" ref="Y33" si="111">EDATE(X33,12)</f>
        <v>53692</v>
      </c>
      <c r="Z33" s="93">
        <f t="shared" ref="Z33" si="112">EDATE(Y33,12)</f>
        <v>54057</v>
      </c>
      <c r="AA33" s="93">
        <f t="shared" ref="AA33" si="113">EDATE(Z33,12)</f>
        <v>54423</v>
      </c>
      <c r="AB33" s="93">
        <f t="shared" ref="AB33" si="114">EDATE(AA33,12)</f>
        <v>54788</v>
      </c>
      <c r="AC33" s="93">
        <f t="shared" ref="AC33" si="115">EDATE(AB33,12)</f>
        <v>55153</v>
      </c>
      <c r="AD33" s="93">
        <f t="shared" ref="AD33" si="116">EDATE(AC33,12)</f>
        <v>55518</v>
      </c>
      <c r="AE33" s="93">
        <f t="shared" ref="AE33" si="117">EDATE(AD33,12)</f>
        <v>55884</v>
      </c>
      <c r="AF33" s="93">
        <f t="shared" ref="AF33" si="118">EDATE(AE33,12)</f>
        <v>56249</v>
      </c>
      <c r="AG33" s="93">
        <f t="shared" ref="AG33" si="119">EDATE(AF33,12)</f>
        <v>56614</v>
      </c>
      <c r="AH33" s="93">
        <f t="shared" ref="AH33" si="120">EDATE(AG33,12)</f>
        <v>56979</v>
      </c>
      <c r="AI33" s="93">
        <f t="shared" ref="AI33" si="121">EDATE(AH33,12)</f>
        <v>57345</v>
      </c>
      <c r="AJ33" s="93">
        <f t="shared" ref="AJ33" si="122">EDATE(AI33,12)</f>
        <v>57710</v>
      </c>
      <c r="AK33" s="93">
        <f t="shared" ref="AK33" si="123">EDATE(AJ33,12)</f>
        <v>58075</v>
      </c>
      <c r="AL33" s="93">
        <f t="shared" ref="AL33" si="124">EDATE(AK33,12)</f>
        <v>58440</v>
      </c>
      <c r="AM33" s="93">
        <f t="shared" ref="AM33" si="125">EDATE(AL33,12)</f>
        <v>58806</v>
      </c>
      <c r="AN33" s="93">
        <f t="shared" ref="AN33" si="126">EDATE(AM33,12)</f>
        <v>59171</v>
      </c>
      <c r="AO33" s="93">
        <f t="shared" ref="AO33" si="127">EDATE(AN33,12)</f>
        <v>59536</v>
      </c>
      <c r="AP33" s="93">
        <f t="shared" ref="AP33" si="128">EDATE(AO33,12)</f>
        <v>59901</v>
      </c>
      <c r="AQ33" s="93">
        <f t="shared" ref="AQ33" si="129">EDATE(AP33,12)</f>
        <v>60267</v>
      </c>
      <c r="AR33" s="93">
        <f t="shared" ref="AR33" si="130">EDATE(AQ33,12)</f>
        <v>60632</v>
      </c>
      <c r="AS33" s="93">
        <f t="shared" ref="AS33" si="131">EDATE(AR33,12)</f>
        <v>60997</v>
      </c>
      <c r="AT33" s="93">
        <f t="shared" ref="AT33" si="132">EDATE(AS33,12)</f>
        <v>61362</v>
      </c>
      <c r="AU33" s="93">
        <f t="shared" ref="AU33" si="133">EDATE(AT33,12)</f>
        <v>61728</v>
      </c>
      <c r="AV33" s="93">
        <f t="shared" ref="AV33" si="134">EDATE(AU33,12)</f>
        <v>62093</v>
      </c>
      <c r="AW33" s="93">
        <f t="shared" ref="AW33" si="135">EDATE(AV33,12)</f>
        <v>62458</v>
      </c>
    </row>
    <row r="34" spans="2:49" ht="14.25" customHeight="1">
      <c r="B34" s="1"/>
      <c r="C34" s="1" t="s">
        <v>403</v>
      </c>
      <c r="D34" s="15">
        <f>D144</f>
        <v>0</v>
      </c>
      <c r="E34" s="15">
        <f t="shared" ref="E34:X34" si="136">E144</f>
        <v>159.10478499120794</v>
      </c>
      <c r="F34" s="15">
        <f t="shared" si="136"/>
        <v>216.85112827292647</v>
      </c>
      <c r="G34" s="15">
        <f t="shared" si="136"/>
        <v>221.6633832656299</v>
      </c>
      <c r="H34" s="15">
        <f t="shared" si="136"/>
        <v>244.16577537830793</v>
      </c>
      <c r="I34" s="15">
        <f t="shared" si="136"/>
        <v>253.23399901941497</v>
      </c>
      <c r="J34" s="15">
        <f t="shared" si="136"/>
        <v>258.26991569793262</v>
      </c>
      <c r="K34" s="15">
        <f t="shared" si="136"/>
        <v>263.40794521545166</v>
      </c>
      <c r="L34" s="15">
        <f t="shared" si="136"/>
        <v>268.65012631170873</v>
      </c>
      <c r="M34" s="15">
        <f t="shared" si="136"/>
        <v>273.99853850952582</v>
      </c>
      <c r="N34" s="15">
        <f t="shared" si="136"/>
        <v>279.45530293044345</v>
      </c>
      <c r="O34" s="15">
        <f t="shared" si="136"/>
        <v>285.02258312666635</v>
      </c>
      <c r="P34" s="15">
        <f t="shared" si="136"/>
        <v>290.70258592964683</v>
      </c>
      <c r="Q34" s="15">
        <f t="shared" si="136"/>
        <v>296.49756231564129</v>
      </c>
      <c r="R34" s="15">
        <f t="shared" si="136"/>
        <v>302.40980828857636</v>
      </c>
      <c r="S34" s="15">
        <f t="shared" si="136"/>
        <v>308.44166578057337</v>
      </c>
      <c r="T34" s="15">
        <f t="shared" si="136"/>
        <v>314.59552357048273</v>
      </c>
      <c r="U34" s="15">
        <f t="shared" si="136"/>
        <v>320.87381822078908</v>
      </c>
      <c r="V34" s="15">
        <f t="shared" si="136"/>
        <v>327.27903503325393</v>
      </c>
      <c r="W34" s="15">
        <f t="shared" si="136"/>
        <v>333.81370902367212</v>
      </c>
      <c r="X34" s="15">
        <f t="shared" si="136"/>
        <v>340.4804259161225</v>
      </c>
      <c r="Y34" s="15">
        <f t="shared" ref="Y34:AW34" si="137">Y144</f>
        <v>347.2818231571037</v>
      </c>
      <c r="Z34" s="15">
        <f t="shared" si="137"/>
        <v>354.22059094995251</v>
      </c>
      <c r="AA34" s="15">
        <f t="shared" si="137"/>
        <v>361.29947330995083</v>
      </c>
      <c r="AB34" s="15">
        <f t="shared" si="137"/>
        <v>368.5212691405344</v>
      </c>
      <c r="AC34" s="15">
        <f t="shared" si="137"/>
        <v>375.88883333102524</v>
      </c>
      <c r="AD34" s="15">
        <f t="shared" si="137"/>
        <v>383.40507787632004</v>
      </c>
      <c r="AE34" s="15">
        <f t="shared" si="137"/>
        <v>23.490729690114286</v>
      </c>
      <c r="AF34" s="15">
        <f t="shared" si="137"/>
        <v>23.432002865889004</v>
      </c>
      <c r="AG34" s="15">
        <f t="shared" si="137"/>
        <v>23.373422858724279</v>
      </c>
      <c r="AH34" s="15">
        <f t="shared" si="137"/>
        <v>0</v>
      </c>
      <c r="AI34" s="15">
        <f t="shared" si="137"/>
        <v>0</v>
      </c>
      <c r="AJ34" s="15">
        <f t="shared" si="137"/>
        <v>0</v>
      </c>
      <c r="AK34" s="15">
        <f t="shared" si="137"/>
        <v>0</v>
      </c>
      <c r="AL34" s="15">
        <f t="shared" si="137"/>
        <v>0</v>
      </c>
      <c r="AM34" s="15">
        <f t="shared" si="137"/>
        <v>0</v>
      </c>
      <c r="AN34" s="15">
        <f t="shared" si="137"/>
        <v>0</v>
      </c>
      <c r="AO34" s="15">
        <f t="shared" si="137"/>
        <v>0</v>
      </c>
      <c r="AP34" s="15">
        <f t="shared" si="137"/>
        <v>0</v>
      </c>
      <c r="AQ34" s="15">
        <f t="shared" si="137"/>
        <v>0</v>
      </c>
      <c r="AR34" s="15">
        <f t="shared" si="137"/>
        <v>0</v>
      </c>
      <c r="AS34" s="15">
        <f t="shared" si="137"/>
        <v>0</v>
      </c>
      <c r="AT34" s="15">
        <f t="shared" si="137"/>
        <v>0</v>
      </c>
      <c r="AU34" s="15">
        <f t="shared" si="137"/>
        <v>0</v>
      </c>
      <c r="AV34" s="15">
        <f t="shared" si="137"/>
        <v>0</v>
      </c>
      <c r="AW34" s="15">
        <f t="shared" si="137"/>
        <v>0</v>
      </c>
    </row>
    <row r="35" spans="2:49" ht="14.25" customHeight="1">
      <c r="B35" s="1"/>
      <c r="C35" s="4" t="str">
        <f>"   Less: Taxes @ "&amp;TEXT(SUM('Assumptions &amp; Inputs'!$E$13,'Assumptions &amp; Inputs'!$E$14),"0.0%")</f>
        <v xml:space="preserve">   Less: Taxes @ 25.0%</v>
      </c>
      <c r="D35" s="67">
        <f>D154</f>
        <v>0</v>
      </c>
      <c r="E35" s="67">
        <f t="shared" ref="E35:X35" si="138">E154</f>
        <v>-39.776196247801984</v>
      </c>
      <c r="F35" s="67">
        <f t="shared" si="138"/>
        <v>-54.212782068231618</v>
      </c>
      <c r="G35" s="67">
        <f t="shared" si="138"/>
        <v>-55.415845816407476</v>
      </c>
      <c r="H35" s="67">
        <f t="shared" si="138"/>
        <v>-61.041443844576982</v>
      </c>
      <c r="I35" s="67">
        <f t="shared" si="138"/>
        <v>-63.308499754853742</v>
      </c>
      <c r="J35" s="67">
        <f t="shared" si="138"/>
        <v>-64.567478924483154</v>
      </c>
      <c r="K35" s="67">
        <f t="shared" si="138"/>
        <v>-65.851986303862915</v>
      </c>
      <c r="L35" s="67">
        <f t="shared" si="138"/>
        <v>-67.162531577927183</v>
      </c>
      <c r="M35" s="67">
        <f t="shared" si="138"/>
        <v>-68.499634627381454</v>
      </c>
      <c r="N35" s="67">
        <f t="shared" si="138"/>
        <v>-69.863825732610863</v>
      </c>
      <c r="O35" s="67">
        <f t="shared" si="138"/>
        <v>-71.255645781666587</v>
      </c>
      <c r="P35" s="67">
        <f t="shared" si="138"/>
        <v>-72.675646482411707</v>
      </c>
      <c r="Q35" s="67">
        <f t="shared" si="138"/>
        <v>-74.124390578910322</v>
      </c>
      <c r="R35" s="67">
        <f t="shared" si="138"/>
        <v>-75.602452072144089</v>
      </c>
      <c r="S35" s="67">
        <f t="shared" si="138"/>
        <v>-77.110416445143343</v>
      </c>
      <c r="T35" s="67">
        <f t="shared" si="138"/>
        <v>-78.648880892620681</v>
      </c>
      <c r="U35" s="67">
        <f t="shared" si="138"/>
        <v>-80.218454555197269</v>
      </c>
      <c r="V35" s="67">
        <f t="shared" si="138"/>
        <v>-81.819758758313483</v>
      </c>
      <c r="W35" s="67">
        <f t="shared" si="138"/>
        <v>-83.453427255918029</v>
      </c>
      <c r="X35" s="67">
        <f t="shared" si="138"/>
        <v>-85.120106479030625</v>
      </c>
      <c r="Y35" s="67">
        <f t="shared" ref="Y35:AW35" si="139">Y154</f>
        <v>-86.820455789275925</v>
      </c>
      <c r="Z35" s="67">
        <f t="shared" si="139"/>
        <v>-88.555147737488127</v>
      </c>
      <c r="AA35" s="67">
        <f t="shared" si="139"/>
        <v>-90.324868327487707</v>
      </c>
      <c r="AB35" s="67">
        <f t="shared" si="139"/>
        <v>-92.1303172851336</v>
      </c>
      <c r="AC35" s="67">
        <f t="shared" si="139"/>
        <v>-93.97220833275631</v>
      </c>
      <c r="AD35" s="67">
        <f t="shared" si="139"/>
        <v>-95.851269469080009</v>
      </c>
      <c r="AE35" s="67">
        <f t="shared" si="139"/>
        <v>-5.8726824225285714</v>
      </c>
      <c r="AF35" s="67">
        <f t="shared" si="139"/>
        <v>-5.858000716472251</v>
      </c>
      <c r="AG35" s="67">
        <f t="shared" si="139"/>
        <v>-5.8433557146810697</v>
      </c>
      <c r="AH35" s="67">
        <f t="shared" si="139"/>
        <v>0</v>
      </c>
      <c r="AI35" s="67">
        <f t="shared" si="139"/>
        <v>0</v>
      </c>
      <c r="AJ35" s="67">
        <f t="shared" si="139"/>
        <v>0</v>
      </c>
      <c r="AK35" s="67">
        <f t="shared" si="139"/>
        <v>0</v>
      </c>
      <c r="AL35" s="67">
        <f t="shared" si="139"/>
        <v>0</v>
      </c>
      <c r="AM35" s="67">
        <f t="shared" si="139"/>
        <v>0</v>
      </c>
      <c r="AN35" s="67">
        <f t="shared" si="139"/>
        <v>0</v>
      </c>
      <c r="AO35" s="67">
        <f t="shared" si="139"/>
        <v>0</v>
      </c>
      <c r="AP35" s="67">
        <f t="shared" si="139"/>
        <v>0</v>
      </c>
      <c r="AQ35" s="67">
        <f t="shared" si="139"/>
        <v>0</v>
      </c>
      <c r="AR35" s="67">
        <f t="shared" si="139"/>
        <v>0</v>
      </c>
      <c r="AS35" s="67">
        <f t="shared" si="139"/>
        <v>0</v>
      </c>
      <c r="AT35" s="67">
        <f t="shared" si="139"/>
        <v>0</v>
      </c>
      <c r="AU35" s="67">
        <f t="shared" si="139"/>
        <v>0</v>
      </c>
      <c r="AV35" s="67">
        <f t="shared" si="139"/>
        <v>0</v>
      </c>
      <c r="AW35" s="67">
        <f t="shared" si="139"/>
        <v>0</v>
      </c>
    </row>
    <row r="36" spans="2:49" ht="14.25" customHeight="1">
      <c r="B36" s="1"/>
      <c r="C36" s="1" t="s">
        <v>404</v>
      </c>
      <c r="D36" s="8">
        <f>SUM(D34:D35)</f>
        <v>0</v>
      </c>
      <c r="E36" s="8">
        <f t="shared" ref="E36:X36" si="140">SUM(E34:E35)</f>
        <v>119.32858874340596</v>
      </c>
      <c r="F36" s="8">
        <f t="shared" si="140"/>
        <v>162.63834620469487</v>
      </c>
      <c r="G36" s="8">
        <f t="shared" si="140"/>
        <v>166.24753744922242</v>
      </c>
      <c r="H36" s="8">
        <f t="shared" si="140"/>
        <v>183.12433153373095</v>
      </c>
      <c r="I36" s="8">
        <f t="shared" si="140"/>
        <v>189.92549926456121</v>
      </c>
      <c r="J36" s="8">
        <f t="shared" si="140"/>
        <v>193.70243677344945</v>
      </c>
      <c r="K36" s="8">
        <f t="shared" si="140"/>
        <v>197.55595891158873</v>
      </c>
      <c r="L36" s="8">
        <f t="shared" si="140"/>
        <v>201.48759473378155</v>
      </c>
      <c r="M36" s="8">
        <f t="shared" si="140"/>
        <v>205.49890388214436</v>
      </c>
      <c r="N36" s="8">
        <f t="shared" si="140"/>
        <v>209.5914771978326</v>
      </c>
      <c r="O36" s="8">
        <f t="shared" si="140"/>
        <v>213.76693734499975</v>
      </c>
      <c r="P36" s="8">
        <f t="shared" si="140"/>
        <v>218.02693944723512</v>
      </c>
      <c r="Q36" s="8">
        <f t="shared" si="140"/>
        <v>222.37317173673097</v>
      </c>
      <c r="R36" s="8">
        <f t="shared" si="140"/>
        <v>226.80735621643225</v>
      </c>
      <c r="S36" s="8">
        <f t="shared" si="140"/>
        <v>231.33124933543002</v>
      </c>
      <c r="T36" s="8">
        <f t="shared" si="140"/>
        <v>235.94664267786203</v>
      </c>
      <c r="U36" s="8">
        <f t="shared" si="140"/>
        <v>240.65536366559181</v>
      </c>
      <c r="V36" s="8">
        <f t="shared" si="140"/>
        <v>245.45927627494046</v>
      </c>
      <c r="W36" s="8">
        <f t="shared" si="140"/>
        <v>250.36028176775409</v>
      </c>
      <c r="X36" s="8">
        <f t="shared" si="140"/>
        <v>255.36031943709187</v>
      </c>
      <c r="Y36" s="8">
        <f t="shared" ref="Y36:AW36" si="141">SUM(Y34:Y35)</f>
        <v>260.46136736782779</v>
      </c>
      <c r="Z36" s="8">
        <f t="shared" si="141"/>
        <v>265.66544321246437</v>
      </c>
      <c r="AA36" s="8">
        <f t="shared" si="141"/>
        <v>270.97460498246312</v>
      </c>
      <c r="AB36" s="8">
        <f t="shared" si="141"/>
        <v>276.39095185540077</v>
      </c>
      <c r="AC36" s="8">
        <f t="shared" si="141"/>
        <v>281.91662499826896</v>
      </c>
      <c r="AD36" s="8">
        <f t="shared" si="141"/>
        <v>287.55380840724001</v>
      </c>
      <c r="AE36" s="8">
        <f t="shared" si="141"/>
        <v>17.618047267585716</v>
      </c>
      <c r="AF36" s="8">
        <f t="shared" si="141"/>
        <v>17.574002149416753</v>
      </c>
      <c r="AG36" s="8">
        <f t="shared" si="141"/>
        <v>17.530067144043208</v>
      </c>
      <c r="AH36" s="8">
        <f t="shared" si="141"/>
        <v>0</v>
      </c>
      <c r="AI36" s="8">
        <f t="shared" si="141"/>
        <v>0</v>
      </c>
      <c r="AJ36" s="8">
        <f t="shared" si="141"/>
        <v>0</v>
      </c>
      <c r="AK36" s="8">
        <f t="shared" si="141"/>
        <v>0</v>
      </c>
      <c r="AL36" s="8">
        <f t="shared" si="141"/>
        <v>0</v>
      </c>
      <c r="AM36" s="8">
        <f t="shared" si="141"/>
        <v>0</v>
      </c>
      <c r="AN36" s="8">
        <f t="shared" si="141"/>
        <v>0</v>
      </c>
      <c r="AO36" s="8">
        <f t="shared" si="141"/>
        <v>0</v>
      </c>
      <c r="AP36" s="8">
        <f t="shared" si="141"/>
        <v>0</v>
      </c>
      <c r="AQ36" s="8">
        <f t="shared" si="141"/>
        <v>0</v>
      </c>
      <c r="AR36" s="8">
        <f t="shared" si="141"/>
        <v>0</v>
      </c>
      <c r="AS36" s="8">
        <f t="shared" si="141"/>
        <v>0</v>
      </c>
      <c r="AT36" s="8">
        <f t="shared" si="141"/>
        <v>0</v>
      </c>
      <c r="AU36" s="8">
        <f t="shared" si="141"/>
        <v>0</v>
      </c>
      <c r="AV36" s="8">
        <f t="shared" si="141"/>
        <v>0</v>
      </c>
      <c r="AW36" s="8">
        <f t="shared" si="141"/>
        <v>0</v>
      </c>
    </row>
    <row r="37" spans="2:49" ht="14.25" customHeight="1">
      <c r="B37" s="1"/>
      <c r="C37" s="17" t="s">
        <v>405</v>
      </c>
      <c r="D37" s="15">
        <f t="shared" ref="D37" si="142">-D161</f>
        <v>0</v>
      </c>
      <c r="E37" s="15">
        <f>-E161</f>
        <v>0</v>
      </c>
      <c r="F37" s="15">
        <f t="shared" ref="F37:X37" si="143">-F161</f>
        <v>6.84</v>
      </c>
      <c r="G37" s="15">
        <f t="shared" si="143"/>
        <v>6.84</v>
      </c>
      <c r="H37" s="15">
        <f t="shared" si="143"/>
        <v>6.84</v>
      </c>
      <c r="I37" s="15">
        <f t="shared" si="143"/>
        <v>6.84</v>
      </c>
      <c r="J37" s="15">
        <f t="shared" si="143"/>
        <v>6.84</v>
      </c>
      <c r="K37" s="15">
        <f t="shared" si="143"/>
        <v>6.84</v>
      </c>
      <c r="L37" s="15">
        <f t="shared" si="143"/>
        <v>6.84</v>
      </c>
      <c r="M37" s="15">
        <f t="shared" si="143"/>
        <v>6.84</v>
      </c>
      <c r="N37" s="15">
        <f t="shared" si="143"/>
        <v>6.84</v>
      </c>
      <c r="O37" s="15">
        <f t="shared" si="143"/>
        <v>6.84</v>
      </c>
      <c r="P37" s="15">
        <f t="shared" si="143"/>
        <v>6.84</v>
      </c>
      <c r="Q37" s="15">
        <f t="shared" si="143"/>
        <v>6.84</v>
      </c>
      <c r="R37" s="15">
        <f t="shared" si="143"/>
        <v>6.84</v>
      </c>
      <c r="S37" s="15">
        <f t="shared" si="143"/>
        <v>6.84</v>
      </c>
      <c r="T37" s="15">
        <f t="shared" si="143"/>
        <v>6.84</v>
      </c>
      <c r="U37" s="15">
        <f t="shared" si="143"/>
        <v>6.84</v>
      </c>
      <c r="V37" s="15">
        <f t="shared" si="143"/>
        <v>6.84</v>
      </c>
      <c r="W37" s="15">
        <f t="shared" si="143"/>
        <v>6.84</v>
      </c>
      <c r="X37" s="15">
        <f t="shared" si="143"/>
        <v>6.84</v>
      </c>
      <c r="Y37" s="15">
        <f t="shared" ref="Y37:AW37" si="144">-Y161</f>
        <v>6.84</v>
      </c>
      <c r="Z37" s="15">
        <f t="shared" si="144"/>
        <v>6.84</v>
      </c>
      <c r="AA37" s="15">
        <f t="shared" si="144"/>
        <v>6.84</v>
      </c>
      <c r="AB37" s="15">
        <f t="shared" si="144"/>
        <v>6.84</v>
      </c>
      <c r="AC37" s="15">
        <f t="shared" si="144"/>
        <v>6.84</v>
      </c>
      <c r="AD37" s="15">
        <f t="shared" si="144"/>
        <v>6.84</v>
      </c>
      <c r="AE37" s="15">
        <f t="shared" si="144"/>
        <v>0</v>
      </c>
      <c r="AF37" s="15">
        <f t="shared" si="144"/>
        <v>0</v>
      </c>
      <c r="AG37" s="15">
        <f t="shared" si="144"/>
        <v>0</v>
      </c>
      <c r="AH37" s="15">
        <f t="shared" si="144"/>
        <v>0</v>
      </c>
      <c r="AI37" s="15">
        <f t="shared" si="144"/>
        <v>0</v>
      </c>
      <c r="AJ37" s="15">
        <f t="shared" si="144"/>
        <v>0</v>
      </c>
      <c r="AK37" s="15">
        <f t="shared" si="144"/>
        <v>0</v>
      </c>
      <c r="AL37" s="15">
        <f t="shared" si="144"/>
        <v>0</v>
      </c>
      <c r="AM37" s="15">
        <f t="shared" si="144"/>
        <v>0</v>
      </c>
      <c r="AN37" s="15">
        <f t="shared" si="144"/>
        <v>0</v>
      </c>
      <c r="AO37" s="15">
        <f t="shared" si="144"/>
        <v>0</v>
      </c>
      <c r="AP37" s="15">
        <f t="shared" si="144"/>
        <v>0</v>
      </c>
      <c r="AQ37" s="15">
        <f t="shared" si="144"/>
        <v>0</v>
      </c>
      <c r="AR37" s="15">
        <f t="shared" si="144"/>
        <v>0</v>
      </c>
      <c r="AS37" s="15">
        <f t="shared" si="144"/>
        <v>0</v>
      </c>
      <c r="AT37" s="15">
        <f t="shared" si="144"/>
        <v>0</v>
      </c>
      <c r="AU37" s="15">
        <f t="shared" si="144"/>
        <v>0</v>
      </c>
      <c r="AV37" s="15">
        <f t="shared" si="144"/>
        <v>0</v>
      </c>
      <c r="AW37" s="15">
        <f t="shared" si="144"/>
        <v>0</v>
      </c>
    </row>
    <row r="38" spans="2:49" ht="14.25" customHeight="1">
      <c r="B38" s="1"/>
      <c r="C38" s="17" t="s">
        <v>406</v>
      </c>
      <c r="D38" s="18">
        <f>D24</f>
        <v>-165</v>
      </c>
      <c r="E38" s="18">
        <f t="shared" ref="E38:X38" si="145">E24</f>
        <v>-15</v>
      </c>
      <c r="F38" s="18">
        <f t="shared" si="145"/>
        <v>0</v>
      </c>
      <c r="G38" s="18">
        <f t="shared" si="145"/>
        <v>0</v>
      </c>
      <c r="H38" s="18">
        <f t="shared" si="145"/>
        <v>0</v>
      </c>
      <c r="I38" s="18">
        <f t="shared" si="145"/>
        <v>0</v>
      </c>
      <c r="J38" s="18">
        <f t="shared" si="145"/>
        <v>0</v>
      </c>
      <c r="K38" s="18">
        <f t="shared" si="145"/>
        <v>0</v>
      </c>
      <c r="L38" s="18">
        <f t="shared" si="145"/>
        <v>0</v>
      </c>
      <c r="M38" s="18">
        <f t="shared" si="145"/>
        <v>0</v>
      </c>
      <c r="N38" s="18">
        <f t="shared" si="145"/>
        <v>0</v>
      </c>
      <c r="O38" s="18">
        <f t="shared" si="145"/>
        <v>0</v>
      </c>
      <c r="P38" s="18">
        <f t="shared" si="145"/>
        <v>0</v>
      </c>
      <c r="Q38" s="18">
        <f t="shared" si="145"/>
        <v>0</v>
      </c>
      <c r="R38" s="18">
        <f t="shared" si="145"/>
        <v>0</v>
      </c>
      <c r="S38" s="18">
        <f t="shared" si="145"/>
        <v>0</v>
      </c>
      <c r="T38" s="18">
        <f t="shared" si="145"/>
        <v>0</v>
      </c>
      <c r="U38" s="18">
        <f t="shared" si="145"/>
        <v>0</v>
      </c>
      <c r="V38" s="18">
        <f t="shared" si="145"/>
        <v>0</v>
      </c>
      <c r="W38" s="18">
        <f t="shared" si="145"/>
        <v>0</v>
      </c>
      <c r="X38" s="18">
        <f t="shared" si="145"/>
        <v>0</v>
      </c>
      <c r="Y38" s="18">
        <f t="shared" ref="Y38:AW38" si="146">Y24</f>
        <v>0</v>
      </c>
      <c r="Z38" s="18">
        <f t="shared" si="146"/>
        <v>0</v>
      </c>
      <c r="AA38" s="18">
        <f t="shared" si="146"/>
        <v>0</v>
      </c>
      <c r="AB38" s="18">
        <f t="shared" si="146"/>
        <v>0</v>
      </c>
      <c r="AC38" s="18">
        <f t="shared" si="146"/>
        <v>0</v>
      </c>
      <c r="AD38" s="18">
        <f t="shared" si="146"/>
        <v>0</v>
      </c>
      <c r="AE38" s="18">
        <f t="shared" si="146"/>
        <v>0</v>
      </c>
      <c r="AF38" s="18">
        <f t="shared" si="146"/>
        <v>0</v>
      </c>
      <c r="AG38" s="18">
        <f t="shared" si="146"/>
        <v>0</v>
      </c>
      <c r="AH38" s="18">
        <f t="shared" si="146"/>
        <v>0</v>
      </c>
      <c r="AI38" s="18">
        <f t="shared" si="146"/>
        <v>0</v>
      </c>
      <c r="AJ38" s="18">
        <f t="shared" si="146"/>
        <v>0</v>
      </c>
      <c r="AK38" s="18">
        <f t="shared" si="146"/>
        <v>0</v>
      </c>
      <c r="AL38" s="18">
        <f t="shared" si="146"/>
        <v>0</v>
      </c>
      <c r="AM38" s="18">
        <f t="shared" si="146"/>
        <v>0</v>
      </c>
      <c r="AN38" s="18">
        <f t="shared" si="146"/>
        <v>0</v>
      </c>
      <c r="AO38" s="18">
        <f t="shared" si="146"/>
        <v>0</v>
      </c>
      <c r="AP38" s="18">
        <f t="shared" si="146"/>
        <v>0</v>
      </c>
      <c r="AQ38" s="18">
        <f t="shared" si="146"/>
        <v>0</v>
      </c>
      <c r="AR38" s="18">
        <f t="shared" si="146"/>
        <v>0</v>
      </c>
      <c r="AS38" s="18">
        <f t="shared" si="146"/>
        <v>0</v>
      </c>
      <c r="AT38" s="18">
        <f t="shared" si="146"/>
        <v>0</v>
      </c>
      <c r="AU38" s="18">
        <f t="shared" si="146"/>
        <v>0</v>
      </c>
      <c r="AV38" s="18">
        <f t="shared" si="146"/>
        <v>0</v>
      </c>
      <c r="AW38" s="18">
        <f t="shared" si="146"/>
        <v>0</v>
      </c>
    </row>
    <row r="39" spans="2:49" ht="14.25" customHeight="1">
      <c r="B39" s="1"/>
      <c r="C39" s="17" t="s">
        <v>407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</row>
    <row r="40" spans="2:49" ht="14.25" customHeight="1">
      <c r="B40" s="1"/>
      <c r="C40" s="20" t="s">
        <v>408</v>
      </c>
      <c r="D40" s="21">
        <f>SUM(D36:D39)</f>
        <v>-165</v>
      </c>
      <c r="E40" s="21">
        <f>SUM(E36:E39)</f>
        <v>104.32858874340596</v>
      </c>
      <c r="F40" s="21">
        <f t="shared" ref="F40:X40" si="147">SUM(F36:F39)</f>
        <v>169.47834620469487</v>
      </c>
      <c r="G40" s="21">
        <f t="shared" si="147"/>
        <v>173.08753744922242</v>
      </c>
      <c r="H40" s="21">
        <f t="shared" si="147"/>
        <v>189.96433153373096</v>
      </c>
      <c r="I40" s="21">
        <f t="shared" si="147"/>
        <v>196.76549926456121</v>
      </c>
      <c r="J40" s="21">
        <f t="shared" si="147"/>
        <v>200.54243677344945</v>
      </c>
      <c r="K40" s="21">
        <f t="shared" si="147"/>
        <v>204.39595891158874</v>
      </c>
      <c r="L40" s="21">
        <f t="shared" si="147"/>
        <v>208.32759473378155</v>
      </c>
      <c r="M40" s="21">
        <f t="shared" si="147"/>
        <v>212.33890388214436</v>
      </c>
      <c r="N40" s="21">
        <f t="shared" si="147"/>
        <v>216.43147719783261</v>
      </c>
      <c r="O40" s="21">
        <f t="shared" si="147"/>
        <v>220.60693734499975</v>
      </c>
      <c r="P40" s="21">
        <f t="shared" si="147"/>
        <v>224.86693944723513</v>
      </c>
      <c r="Q40" s="21">
        <f t="shared" si="147"/>
        <v>229.21317173673097</v>
      </c>
      <c r="R40" s="21">
        <f t="shared" si="147"/>
        <v>233.64735621643226</v>
      </c>
      <c r="S40" s="21">
        <f t="shared" si="147"/>
        <v>238.17124933543002</v>
      </c>
      <c r="T40" s="21">
        <f t="shared" si="147"/>
        <v>242.78664267786203</v>
      </c>
      <c r="U40" s="21">
        <f t="shared" si="147"/>
        <v>247.49536366559181</v>
      </c>
      <c r="V40" s="21">
        <f t="shared" si="147"/>
        <v>252.29927627494047</v>
      </c>
      <c r="W40" s="21">
        <f t="shared" si="147"/>
        <v>257.20028176775406</v>
      </c>
      <c r="X40" s="21">
        <f t="shared" si="147"/>
        <v>262.20031943709188</v>
      </c>
      <c r="Y40" s="21">
        <f t="shared" ref="Y40:AV40" si="148">SUM(Y36:Y39)</f>
        <v>267.30136736782777</v>
      </c>
      <c r="Z40" s="21">
        <f t="shared" si="148"/>
        <v>272.50544321246434</v>
      </c>
      <c r="AA40" s="21">
        <f t="shared" si="148"/>
        <v>277.81460498246309</v>
      </c>
      <c r="AB40" s="21">
        <f t="shared" si="148"/>
        <v>283.23095185540075</v>
      </c>
      <c r="AC40" s="21">
        <f t="shared" si="148"/>
        <v>288.75662499826893</v>
      </c>
      <c r="AD40" s="21">
        <f t="shared" si="148"/>
        <v>294.39380840723999</v>
      </c>
      <c r="AE40" s="21">
        <f t="shared" si="148"/>
        <v>17.618047267585716</v>
      </c>
      <c r="AF40" s="21">
        <f t="shared" si="148"/>
        <v>17.574002149416753</v>
      </c>
      <c r="AG40" s="21">
        <f t="shared" si="148"/>
        <v>17.530067144043208</v>
      </c>
      <c r="AH40" s="21">
        <f t="shared" si="148"/>
        <v>0</v>
      </c>
      <c r="AI40" s="21">
        <f t="shared" si="148"/>
        <v>0</v>
      </c>
      <c r="AJ40" s="21">
        <f t="shared" si="148"/>
        <v>0</v>
      </c>
      <c r="AK40" s="21">
        <f t="shared" si="148"/>
        <v>0</v>
      </c>
      <c r="AL40" s="21">
        <f t="shared" si="148"/>
        <v>0</v>
      </c>
      <c r="AM40" s="21">
        <f t="shared" si="148"/>
        <v>0</v>
      </c>
      <c r="AN40" s="21">
        <f t="shared" si="148"/>
        <v>0</v>
      </c>
      <c r="AO40" s="21">
        <f t="shared" si="148"/>
        <v>0</v>
      </c>
      <c r="AP40" s="21">
        <f t="shared" si="148"/>
        <v>0</v>
      </c>
      <c r="AQ40" s="21">
        <f t="shared" si="148"/>
        <v>0</v>
      </c>
      <c r="AR40" s="21">
        <f t="shared" si="148"/>
        <v>0</v>
      </c>
      <c r="AS40" s="21">
        <f t="shared" si="148"/>
        <v>0</v>
      </c>
      <c r="AT40" s="21">
        <f t="shared" si="148"/>
        <v>0</v>
      </c>
      <c r="AU40" s="21">
        <f t="shared" si="148"/>
        <v>0</v>
      </c>
      <c r="AV40" s="21">
        <f t="shared" si="148"/>
        <v>0</v>
      </c>
      <c r="AW40" s="21">
        <f>SUM(AW36:AW39)</f>
        <v>0</v>
      </c>
    </row>
    <row r="41" spans="2:49" ht="14.25" customHeight="1">
      <c r="B41" s="1"/>
      <c r="C41" s="1" t="s">
        <v>409</v>
      </c>
      <c r="D41" s="15">
        <f>-E65</f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2:49" ht="14.25" customHeight="1">
      <c r="B42" s="1"/>
      <c r="C42" s="1" t="s">
        <v>410</v>
      </c>
      <c r="D42" s="1">
        <f>IF(AND(MOD(D32-YEAR('Assumptions &amp; Inputs'!$L$31),'Assumptions &amp; Inputs'!$L$34)=0, D32&lt;=YEAR('Assumptions &amp; Inputs'!$L$36), D9&gt;YEAR('Assumptions &amp; Inputs'!$L$31)),'Assumptions &amp; Inputs'!$L$37*'Assumptions &amp; Inputs'!$L$38*IF(D32-'Assumptions &amp; Inputs'!$L$34&gt;YEAR('Assumptions &amp; Inputs'!$L$31), 'Assumptions &amp; Inputs'!$L$33, 1), 0)</f>
        <v>0</v>
      </c>
      <c r="E42" s="1">
        <f>IF(AND(MOD(E32-YEAR('Assumptions &amp; Inputs'!$L$31),'Assumptions &amp; Inputs'!$L$34)=0, E32&lt;=YEAR('Assumptions &amp; Inputs'!$L$36), E9&gt;YEAR('Assumptions &amp; Inputs'!$L$31)),'Assumptions &amp; Inputs'!$L$37*'Assumptions &amp; Inputs'!$L$38*IF(E32-'Assumptions &amp; Inputs'!$L$34&gt;YEAR('Assumptions &amp; Inputs'!$L$31), 'Assumptions &amp; Inputs'!$L$33, 1), 0)</f>
        <v>0</v>
      </c>
      <c r="F42" s="1">
        <f>IF(AND(MOD(F32-YEAR('Assumptions &amp; Inputs'!$L$31),'Assumptions &amp; Inputs'!$L$34)=0, F32&lt;=YEAR('Assumptions &amp; Inputs'!$L$36), F9&gt;YEAR('Assumptions &amp; Inputs'!$L$31)),'Assumptions &amp; Inputs'!$L$37*'Assumptions &amp; Inputs'!$L$38*IF(F32-'Assumptions &amp; Inputs'!$L$34&gt;YEAR('Assumptions &amp; Inputs'!$L$31), 'Assumptions &amp; Inputs'!$L$33, 1), 0)</f>
        <v>0</v>
      </c>
      <c r="G42" s="1">
        <f>IF(AND(MOD(G32-YEAR('Assumptions &amp; Inputs'!$L$31),'Assumptions &amp; Inputs'!$L$34)=0, G32&lt;=YEAR('Assumptions &amp; Inputs'!$L$36), G9&gt;YEAR('Assumptions &amp; Inputs'!$L$31)),'Assumptions &amp; Inputs'!$L$37*'Assumptions &amp; Inputs'!$L$38*IF(G32-'Assumptions &amp; Inputs'!$L$34&gt;YEAR('Assumptions &amp; Inputs'!$L$31), 'Assumptions &amp; Inputs'!$L$33, 1), 0)</f>
        <v>0</v>
      </c>
      <c r="H42" s="1">
        <f>IF(AND(MOD(H32-YEAR('Assumptions &amp; Inputs'!$L$31),'Assumptions &amp; Inputs'!$L$34)=0, H32&lt;=YEAR('Assumptions &amp; Inputs'!$L$36), H9&gt;YEAR('Assumptions &amp; Inputs'!$L$31)),'Assumptions &amp; Inputs'!$L$37*'Assumptions &amp; Inputs'!$L$38*IF(H32-'Assumptions &amp; Inputs'!$L$34&gt;YEAR('Assumptions &amp; Inputs'!$L$31), 'Assumptions &amp; Inputs'!$L$33, 1), 0)</f>
        <v>0</v>
      </c>
      <c r="I42" s="1">
        <f>IF(AND(MOD(I32-YEAR('Assumptions &amp; Inputs'!$L$31),'Assumptions &amp; Inputs'!$L$34)=0, I32&lt;=YEAR('Assumptions &amp; Inputs'!$L$36), I9&gt;YEAR('Assumptions &amp; Inputs'!$L$31)),'Assumptions &amp; Inputs'!$L$37*'Assumptions &amp; Inputs'!$L$38*IF(I32-'Assumptions &amp; Inputs'!$L$34&gt;YEAR('Assumptions &amp; Inputs'!$L$31), 'Assumptions &amp; Inputs'!$L$33, 1), 0)</f>
        <v>0</v>
      </c>
      <c r="J42" s="1">
        <f>IF(AND(MOD(J32-YEAR('Assumptions &amp; Inputs'!$L$31),'Assumptions &amp; Inputs'!$L$34)=0, J32&lt;=YEAR('Assumptions &amp; Inputs'!$L$36), J9&gt;YEAR('Assumptions &amp; Inputs'!$L$31)),'Assumptions &amp; Inputs'!$L$37*'Assumptions &amp; Inputs'!$L$38*IF(J32-'Assumptions &amp; Inputs'!$L$34&gt;YEAR('Assumptions &amp; Inputs'!$L$31), 'Assumptions &amp; Inputs'!$L$33, 1), 0)</f>
        <v>0</v>
      </c>
      <c r="K42" s="1">
        <f>IF(AND(MOD(K32-YEAR('Assumptions &amp; Inputs'!$L$31),'Assumptions &amp; Inputs'!$L$34)=0, K32&lt;=YEAR('Assumptions &amp; Inputs'!$L$36), K9&gt;YEAR('Assumptions &amp; Inputs'!$L$31)),'Assumptions &amp; Inputs'!$L$37*'Assumptions &amp; Inputs'!$L$38*IF(K32-'Assumptions &amp; Inputs'!$L$34&gt;YEAR('Assumptions &amp; Inputs'!$L$31), 'Assumptions &amp; Inputs'!$L$33, 1), 0)</f>
        <v>0</v>
      </c>
      <c r="L42" s="1">
        <f>IF(AND(MOD(L32-YEAR('Assumptions &amp; Inputs'!$L$31),'Assumptions &amp; Inputs'!$L$34)=0, L32&lt;=YEAR('Assumptions &amp; Inputs'!$L$36), L9&gt;YEAR('Assumptions &amp; Inputs'!$L$31)),'Assumptions &amp; Inputs'!$L$37*'Assumptions &amp; Inputs'!$L$38*IF(L32-'Assumptions &amp; Inputs'!$L$34&gt;YEAR('Assumptions &amp; Inputs'!$L$31), 'Assumptions &amp; Inputs'!$L$33, 1), 0)</f>
        <v>0</v>
      </c>
      <c r="M42" s="1">
        <f>IF(AND(MOD(M32-YEAR('Assumptions &amp; Inputs'!$L$31),'Assumptions &amp; Inputs'!$L$34)=0, M32&lt;=YEAR('Assumptions &amp; Inputs'!$L$36), M9&gt;YEAR('Assumptions &amp; Inputs'!$L$31)),'Assumptions &amp; Inputs'!$L$37*'Assumptions &amp; Inputs'!$L$38*IF(M32-'Assumptions &amp; Inputs'!$L$34&gt;YEAR('Assumptions &amp; Inputs'!$L$31), 'Assumptions &amp; Inputs'!$L$33, 1), 0)</f>
        <v>0</v>
      </c>
      <c r="N42" s="1">
        <f>IF(AND(MOD(N32-YEAR('Assumptions &amp; Inputs'!$L$31),'Assumptions &amp; Inputs'!$L$34)=0, N32&lt;=YEAR('Assumptions &amp; Inputs'!$L$36), N9&gt;YEAR('Assumptions &amp; Inputs'!$L$31)),'Assumptions &amp; Inputs'!$L$37*'Assumptions &amp; Inputs'!$L$38*IF(N32-'Assumptions &amp; Inputs'!$L$34&gt;YEAR('Assumptions &amp; Inputs'!$L$31), 'Assumptions &amp; Inputs'!$L$33, 1), 0)</f>
        <v>0</v>
      </c>
      <c r="O42" s="1">
        <f>IF(AND(MOD(O32-YEAR('Assumptions &amp; Inputs'!$L$31),'Assumptions &amp; Inputs'!$L$34)=0, O32&lt;=YEAR('Assumptions &amp; Inputs'!$L$36), O9&gt;YEAR('Assumptions &amp; Inputs'!$L$31)),'Assumptions &amp; Inputs'!$L$37*'Assumptions &amp; Inputs'!$L$38*IF(O32-'Assumptions &amp; Inputs'!$L$34&gt;YEAR('Assumptions &amp; Inputs'!$L$31), 'Assumptions &amp; Inputs'!$L$33, 1), 0)</f>
        <v>0</v>
      </c>
      <c r="P42" s="1">
        <f>IF(AND(MOD(P32-YEAR('Assumptions &amp; Inputs'!$L$31),'Assumptions &amp; Inputs'!$L$34)=0, P32&lt;=YEAR('Assumptions &amp; Inputs'!$L$36), P9&gt;YEAR('Assumptions &amp; Inputs'!$L$31)),'Assumptions &amp; Inputs'!$L$37*'Assumptions &amp; Inputs'!$L$38*IF(P32-'Assumptions &amp; Inputs'!$L$34&gt;YEAR('Assumptions &amp; Inputs'!$L$31), 'Assumptions &amp; Inputs'!$L$33, 1), 0)</f>
        <v>0</v>
      </c>
      <c r="Q42" s="1">
        <f>IF(AND(MOD(Q32-YEAR('Assumptions &amp; Inputs'!$L$31),'Assumptions &amp; Inputs'!$L$34)=0, Q32&lt;=YEAR('Assumptions &amp; Inputs'!$L$36), Q9&gt;YEAR('Assumptions &amp; Inputs'!$L$31)),'Assumptions &amp; Inputs'!$L$37*'Assumptions &amp; Inputs'!$L$38*IF(Q32-'Assumptions &amp; Inputs'!$L$34&gt;YEAR('Assumptions &amp; Inputs'!$L$31), 'Assumptions &amp; Inputs'!$L$33, 1), 0)</f>
        <v>0</v>
      </c>
      <c r="R42" s="1">
        <f>IF(AND(MOD(R32-YEAR('Assumptions &amp; Inputs'!$L$31),'Assumptions &amp; Inputs'!$L$34)=0, R32&lt;=YEAR('Assumptions &amp; Inputs'!$L$36), R9&gt;YEAR('Assumptions &amp; Inputs'!$L$31)),'Assumptions &amp; Inputs'!$L$37*'Assumptions &amp; Inputs'!$L$38*IF(R32-'Assumptions &amp; Inputs'!$L$34&gt;YEAR('Assumptions &amp; Inputs'!$L$31), 'Assumptions &amp; Inputs'!$L$33, 1), 0)</f>
        <v>0</v>
      </c>
      <c r="S42" s="1">
        <f>IF(AND(MOD(S32-YEAR('Assumptions &amp; Inputs'!$L$31),'Assumptions &amp; Inputs'!$L$34)=0, S32&lt;=YEAR('Assumptions &amp; Inputs'!$L$36), S9&gt;YEAR('Assumptions &amp; Inputs'!$L$31)),'Assumptions &amp; Inputs'!$L$37*'Assumptions &amp; Inputs'!$L$38*IF(S32-'Assumptions &amp; Inputs'!$L$34&gt;YEAR('Assumptions &amp; Inputs'!$L$31), 'Assumptions &amp; Inputs'!$L$33, 1), 0)</f>
        <v>0</v>
      </c>
      <c r="T42" s="1">
        <f>IF(AND(MOD(T32-YEAR('Assumptions &amp; Inputs'!$L$31),'Assumptions &amp; Inputs'!$L$34)=0, T32&lt;=YEAR('Assumptions &amp; Inputs'!$L$36), T9&gt;YEAR('Assumptions &amp; Inputs'!$L$31)),'Assumptions &amp; Inputs'!$L$37*'Assumptions &amp; Inputs'!$L$38*IF(T32-'Assumptions &amp; Inputs'!$L$34&gt;YEAR('Assumptions &amp; Inputs'!$L$31), 'Assumptions &amp; Inputs'!$L$33, 1), 0)</f>
        <v>0</v>
      </c>
      <c r="U42" s="1">
        <f>IF(AND(MOD(U32-YEAR('Assumptions &amp; Inputs'!$L$31),'Assumptions &amp; Inputs'!$L$34)=0, U32&lt;=YEAR('Assumptions &amp; Inputs'!$L$36), U9&gt;YEAR('Assumptions &amp; Inputs'!$L$31)),'Assumptions &amp; Inputs'!$L$37*'Assumptions &amp; Inputs'!$L$38*IF(U32-'Assumptions &amp; Inputs'!$L$34&gt;YEAR('Assumptions &amp; Inputs'!$L$31), 'Assumptions &amp; Inputs'!$L$33, 1), 0)</f>
        <v>0</v>
      </c>
      <c r="V42" s="1">
        <f>IF(AND(MOD(V32-YEAR('Assumptions &amp; Inputs'!$L$31),'Assumptions &amp; Inputs'!$L$34)=0, V32&lt;=YEAR('Assumptions &amp; Inputs'!$L$36), V9&gt;YEAR('Assumptions &amp; Inputs'!$L$31)),'Assumptions &amp; Inputs'!$L$37*'Assumptions &amp; Inputs'!$L$38*IF(V32-'Assumptions &amp; Inputs'!$L$34&gt;YEAR('Assumptions &amp; Inputs'!$L$31), 'Assumptions &amp; Inputs'!$L$33, 1), 0)</f>
        <v>0</v>
      </c>
      <c r="W42" s="1">
        <f>IF(AND(MOD(W32-YEAR('Assumptions &amp; Inputs'!$L$31),'Assumptions &amp; Inputs'!$L$34)=0, W32&lt;=YEAR('Assumptions &amp; Inputs'!$L$36), W9&gt;YEAR('Assumptions &amp; Inputs'!$L$31)),'Assumptions &amp; Inputs'!$L$37*'Assumptions &amp; Inputs'!$L$38*IF(W32-'Assumptions &amp; Inputs'!$L$34&gt;YEAR('Assumptions &amp; Inputs'!$L$31), 'Assumptions &amp; Inputs'!$L$33, 1), 0)</f>
        <v>0</v>
      </c>
      <c r="X42" s="1">
        <f>IF(AND(MOD(X32-YEAR('Assumptions &amp; Inputs'!$L$31),'Assumptions &amp; Inputs'!$L$34)=0, X32&lt;=YEAR('Assumptions &amp; Inputs'!$L$36), X9&gt;YEAR('Assumptions &amp; Inputs'!$L$31)),'Assumptions &amp; Inputs'!$L$37*'Assumptions &amp; Inputs'!$L$38*IF(X32-'Assumptions &amp; Inputs'!$L$34&gt;YEAR('Assumptions &amp; Inputs'!$L$31), 'Assumptions &amp; Inputs'!$L$33, 1), 0)</f>
        <v>0</v>
      </c>
      <c r="Y42" s="1">
        <f>IF(AND(MOD(Y32-YEAR('Assumptions &amp; Inputs'!$L$31),'Assumptions &amp; Inputs'!$L$34)=0, Y32&lt;=YEAR('Assumptions &amp; Inputs'!$L$36), Y9&gt;YEAR('Assumptions &amp; Inputs'!$L$31)),'Assumptions &amp; Inputs'!$L$37*'Assumptions &amp; Inputs'!$L$38*IF(Y32-'Assumptions &amp; Inputs'!$L$34&gt;YEAR('Assumptions &amp; Inputs'!$L$31), 'Assumptions &amp; Inputs'!$L$33, 1), 0)</f>
        <v>0</v>
      </c>
      <c r="Z42" s="1">
        <f>IF(AND(MOD(Z32-YEAR('Assumptions &amp; Inputs'!$L$31),'Assumptions &amp; Inputs'!$L$34)=0, Z32&lt;=YEAR('Assumptions &amp; Inputs'!$L$36), Z9&gt;YEAR('Assumptions &amp; Inputs'!$L$31)),'Assumptions &amp; Inputs'!$L$37*'Assumptions &amp; Inputs'!$L$38*IF(Z32-'Assumptions &amp; Inputs'!$L$34&gt;YEAR('Assumptions &amp; Inputs'!$L$31), 'Assumptions &amp; Inputs'!$L$33, 1), 0)</f>
        <v>0</v>
      </c>
      <c r="AA42" s="1">
        <f>IF(AND(MOD(AA32-YEAR('Assumptions &amp; Inputs'!$L$31),'Assumptions &amp; Inputs'!$L$34)=0, AA32&lt;=YEAR('Assumptions &amp; Inputs'!$L$36), AA9&gt;YEAR('Assumptions &amp; Inputs'!$L$31)),'Assumptions &amp; Inputs'!$L$37*'Assumptions &amp; Inputs'!$L$38*IF(AA32-'Assumptions &amp; Inputs'!$L$34&gt;YEAR('Assumptions &amp; Inputs'!$L$31), 'Assumptions &amp; Inputs'!$L$33, 1), 0)</f>
        <v>0</v>
      </c>
      <c r="AB42" s="1">
        <f>IF(AND(MOD(AB32-YEAR('Assumptions &amp; Inputs'!$L$31),'Assumptions &amp; Inputs'!$L$34)=0, AB32&lt;=YEAR('Assumptions &amp; Inputs'!$L$36), AB9&gt;YEAR('Assumptions &amp; Inputs'!$L$31)),'Assumptions &amp; Inputs'!$L$37*'Assumptions &amp; Inputs'!$L$38*IF(AB32-'Assumptions &amp; Inputs'!$L$34&gt;YEAR('Assumptions &amp; Inputs'!$L$31), 'Assumptions &amp; Inputs'!$L$33, 1), 0)</f>
        <v>0</v>
      </c>
      <c r="AC42" s="1">
        <f>IF(AND(MOD(AC32-YEAR('Assumptions &amp; Inputs'!$L$31),'Assumptions &amp; Inputs'!$L$34)=0, AC32&lt;=YEAR('Assumptions &amp; Inputs'!$L$36), AC9&gt;YEAR('Assumptions &amp; Inputs'!$L$31)),'Assumptions &amp; Inputs'!$L$37*'Assumptions &amp; Inputs'!$L$38*IF(AC32-'Assumptions &amp; Inputs'!$L$34&gt;YEAR('Assumptions &amp; Inputs'!$L$31), 'Assumptions &amp; Inputs'!$L$33, 1), 0)</f>
        <v>0</v>
      </c>
      <c r="AD42" s="1">
        <f>IF(AND(MOD(AD32-YEAR('Assumptions &amp; Inputs'!$L$31),'Assumptions &amp; Inputs'!$L$34)=0, AD32&lt;=YEAR('Assumptions &amp; Inputs'!$L$36), AD9&gt;YEAR('Assumptions &amp; Inputs'!$L$31)),'Assumptions &amp; Inputs'!$L$37*'Assumptions &amp; Inputs'!$L$38*IF(AD32-'Assumptions &amp; Inputs'!$L$34&gt;YEAR('Assumptions &amp; Inputs'!$L$31), 'Assumptions &amp; Inputs'!$L$33, 1), 0)</f>
        <v>9</v>
      </c>
      <c r="AE42" s="1">
        <f>IF(AND(MOD(AE32-YEAR('Assumptions &amp; Inputs'!$L$31),'Assumptions &amp; Inputs'!$L$34)=0, AE32&lt;=YEAR('Assumptions &amp; Inputs'!$L$36), AE9&gt;YEAR('Assumptions &amp; Inputs'!$L$31)),'Assumptions &amp; Inputs'!$L$37*'Assumptions &amp; Inputs'!$L$38*IF(AE32-'Assumptions &amp; Inputs'!$L$34&gt;YEAR('Assumptions &amp; Inputs'!$L$31), 'Assumptions &amp; Inputs'!$L$33, 1), 0)</f>
        <v>0</v>
      </c>
      <c r="AF42" s="1">
        <f>IF(AND(MOD(AF32-YEAR('Assumptions &amp; Inputs'!$L$31),'Assumptions &amp; Inputs'!$L$34)=0, AF32&lt;=YEAR('Assumptions &amp; Inputs'!$L$36), AF9&gt;YEAR('Assumptions &amp; Inputs'!$L$31)),'Assumptions &amp; Inputs'!$L$37*'Assumptions &amp; Inputs'!$L$38*IF(AF32-'Assumptions &amp; Inputs'!$L$34&gt;YEAR('Assumptions &amp; Inputs'!$L$31), 'Assumptions &amp; Inputs'!$L$33, 1), 0)</f>
        <v>0</v>
      </c>
      <c r="AG42" s="1">
        <f>IF(AND(MOD(AG32-YEAR('Assumptions &amp; Inputs'!$L$31),'Assumptions &amp; Inputs'!$L$34)=0, AG32&lt;=YEAR('Assumptions &amp; Inputs'!$L$36), AG9&gt;YEAR('Assumptions &amp; Inputs'!$L$31)),'Assumptions &amp; Inputs'!$L$37*'Assumptions &amp; Inputs'!$L$38*IF(AG32-'Assumptions &amp; Inputs'!$L$34&gt;YEAR('Assumptions &amp; Inputs'!$L$31), 'Assumptions &amp; Inputs'!$L$33, 1), 0)</f>
        <v>0</v>
      </c>
      <c r="AH42" s="1">
        <f>IF(AND(MOD(AH32-YEAR('Assumptions &amp; Inputs'!$L$31),'Assumptions &amp; Inputs'!$L$34)=0, AH32&lt;=YEAR('Assumptions &amp; Inputs'!$L$36), AH9&gt;YEAR('Assumptions &amp; Inputs'!$L$31)),'Assumptions &amp; Inputs'!$L$37*'Assumptions &amp; Inputs'!$L$38*IF(AH32-'Assumptions &amp; Inputs'!$L$34&gt;YEAR('Assumptions &amp; Inputs'!$L$31), 'Assumptions &amp; Inputs'!$L$33, 1), 0)</f>
        <v>0</v>
      </c>
      <c r="AI42" s="1">
        <f>IF(AND(MOD(AI32-YEAR('Assumptions &amp; Inputs'!$L$31),'Assumptions &amp; Inputs'!$L$34)=0, AI32&lt;=YEAR('Assumptions &amp; Inputs'!$L$36), AI9&gt;YEAR('Assumptions &amp; Inputs'!$L$31)),'Assumptions &amp; Inputs'!$L$37*'Assumptions &amp; Inputs'!$L$38*IF(AI32-'Assumptions &amp; Inputs'!$L$34&gt;YEAR('Assumptions &amp; Inputs'!$L$31), 'Assumptions &amp; Inputs'!$L$33, 1), 0)</f>
        <v>0</v>
      </c>
      <c r="AJ42" s="1">
        <f>IF(AND(MOD(AJ32-YEAR('Assumptions &amp; Inputs'!$L$31),'Assumptions &amp; Inputs'!$L$34)=0, AJ32&lt;=YEAR('Assumptions &amp; Inputs'!$L$36), AJ9&gt;YEAR('Assumptions &amp; Inputs'!$L$31)),'Assumptions &amp; Inputs'!$L$37*'Assumptions &amp; Inputs'!$L$38*IF(AJ32-'Assumptions &amp; Inputs'!$L$34&gt;YEAR('Assumptions &amp; Inputs'!$L$31), 'Assumptions &amp; Inputs'!$L$33, 1), 0)</f>
        <v>0</v>
      </c>
      <c r="AK42" s="1">
        <f>IF(AND(MOD(AK32-YEAR('Assumptions &amp; Inputs'!$L$31),'Assumptions &amp; Inputs'!$L$34)=0, AK32&lt;=YEAR('Assumptions &amp; Inputs'!$L$36), AK9&gt;YEAR('Assumptions &amp; Inputs'!$L$31)),'Assumptions &amp; Inputs'!$L$37*'Assumptions &amp; Inputs'!$L$38*IF(AK32-'Assumptions &amp; Inputs'!$L$34&gt;YEAR('Assumptions &amp; Inputs'!$L$31), 'Assumptions &amp; Inputs'!$L$33, 1), 0)</f>
        <v>0</v>
      </c>
      <c r="AL42" s="1">
        <f>IF(AND(MOD(AL32-YEAR('Assumptions &amp; Inputs'!$L$31),'Assumptions &amp; Inputs'!$L$34)=0, AL32&lt;=YEAR('Assumptions &amp; Inputs'!$L$36), AL9&gt;YEAR('Assumptions &amp; Inputs'!$L$31)),'Assumptions &amp; Inputs'!$L$37*'Assumptions &amp; Inputs'!$L$38*IF(AL32-'Assumptions &amp; Inputs'!$L$34&gt;YEAR('Assumptions &amp; Inputs'!$L$31), 'Assumptions &amp; Inputs'!$L$33, 1), 0)</f>
        <v>0</v>
      </c>
      <c r="AM42" s="1">
        <f>IF(AND(MOD(AM32-YEAR('Assumptions &amp; Inputs'!$L$31),'Assumptions &amp; Inputs'!$L$34)=0, AM32&lt;=YEAR('Assumptions &amp; Inputs'!$L$36), AM9&gt;YEAR('Assumptions &amp; Inputs'!$L$31)),'Assumptions &amp; Inputs'!$L$37*'Assumptions &amp; Inputs'!$L$38*IF(AM32-'Assumptions &amp; Inputs'!$L$34&gt;YEAR('Assumptions &amp; Inputs'!$L$31), 'Assumptions &amp; Inputs'!$L$33, 1), 0)</f>
        <v>0</v>
      </c>
      <c r="AN42" s="1">
        <f>IF(AND(MOD(AN32-YEAR('Assumptions &amp; Inputs'!$L$31),'Assumptions &amp; Inputs'!$L$34)=0, AN32&lt;=YEAR('Assumptions &amp; Inputs'!$L$36), AN9&gt;YEAR('Assumptions &amp; Inputs'!$L$31)),'Assumptions &amp; Inputs'!$L$37*'Assumptions &amp; Inputs'!$L$38*IF(AN32-'Assumptions &amp; Inputs'!$L$34&gt;YEAR('Assumptions &amp; Inputs'!$L$31), 'Assumptions &amp; Inputs'!$L$33, 1), 0)</f>
        <v>0</v>
      </c>
      <c r="AO42" s="1">
        <f>IF(AND(MOD(AO32-YEAR('Assumptions &amp; Inputs'!$L$31),'Assumptions &amp; Inputs'!$L$34)=0, AO32&lt;=YEAR('Assumptions &amp; Inputs'!$L$36), AO9&gt;YEAR('Assumptions &amp; Inputs'!$L$31)),'Assumptions &amp; Inputs'!$L$37*'Assumptions &amp; Inputs'!$L$38*IF(AO32-'Assumptions &amp; Inputs'!$L$34&gt;YEAR('Assumptions &amp; Inputs'!$L$31), 'Assumptions &amp; Inputs'!$L$33, 1), 0)</f>
        <v>0</v>
      </c>
      <c r="AP42" s="1">
        <f>IF(AND(MOD(AP32-YEAR('Assumptions &amp; Inputs'!$L$31),'Assumptions &amp; Inputs'!$L$34)=0, AP32&lt;=YEAR('Assumptions &amp; Inputs'!$L$36), AP9&gt;YEAR('Assumptions &amp; Inputs'!$L$31)),'Assumptions &amp; Inputs'!$L$37*'Assumptions &amp; Inputs'!$L$38*IF(AP32-'Assumptions &amp; Inputs'!$L$34&gt;YEAR('Assumptions &amp; Inputs'!$L$31), 'Assumptions &amp; Inputs'!$L$33, 1), 0)</f>
        <v>0</v>
      </c>
      <c r="AQ42" s="1">
        <f>IF(AND(MOD(AQ32-YEAR('Assumptions &amp; Inputs'!$L$31),'Assumptions &amp; Inputs'!$L$34)=0, AQ32&lt;=YEAR('Assumptions &amp; Inputs'!$L$36), AQ9&gt;YEAR('Assumptions &amp; Inputs'!$L$31)),'Assumptions &amp; Inputs'!$L$37*'Assumptions &amp; Inputs'!$L$38*IF(AQ32-'Assumptions &amp; Inputs'!$L$34&gt;YEAR('Assumptions &amp; Inputs'!$L$31), 'Assumptions &amp; Inputs'!$L$33, 1), 0)</f>
        <v>0</v>
      </c>
      <c r="AR42" s="1">
        <f>IF(AND(MOD(AR32-YEAR('Assumptions &amp; Inputs'!$L$31),'Assumptions &amp; Inputs'!$L$34)=0, AR32&lt;=YEAR('Assumptions &amp; Inputs'!$L$36), AR9&gt;YEAR('Assumptions &amp; Inputs'!$L$31)),'Assumptions &amp; Inputs'!$L$37*'Assumptions &amp; Inputs'!$L$38*IF(AR32-'Assumptions &amp; Inputs'!$L$34&gt;YEAR('Assumptions &amp; Inputs'!$L$31), 'Assumptions &amp; Inputs'!$L$33, 1), 0)</f>
        <v>0</v>
      </c>
      <c r="AS42" s="1">
        <f>IF(AND(MOD(AS32-YEAR('Assumptions &amp; Inputs'!$L$31),'Assumptions &amp; Inputs'!$L$34)=0, AS32&lt;=YEAR('Assumptions &amp; Inputs'!$L$36), AS9&gt;YEAR('Assumptions &amp; Inputs'!$L$31)),'Assumptions &amp; Inputs'!$L$37*'Assumptions &amp; Inputs'!$L$38*IF(AS32-'Assumptions &amp; Inputs'!$L$34&gt;YEAR('Assumptions &amp; Inputs'!$L$31), 'Assumptions &amp; Inputs'!$L$33, 1), 0)</f>
        <v>0</v>
      </c>
      <c r="AT42" s="1">
        <f>IF(AND(MOD(AT32-YEAR('Assumptions &amp; Inputs'!$L$31),'Assumptions &amp; Inputs'!$L$34)=0, AT32&lt;=YEAR('Assumptions &amp; Inputs'!$L$36), AT9&gt;YEAR('Assumptions &amp; Inputs'!$L$31)),'Assumptions &amp; Inputs'!$L$37*'Assumptions &amp; Inputs'!$L$38*IF(AT32-'Assumptions &amp; Inputs'!$L$34&gt;YEAR('Assumptions &amp; Inputs'!$L$31), 'Assumptions &amp; Inputs'!$L$33, 1), 0)</f>
        <v>0</v>
      </c>
      <c r="AU42" s="1">
        <f>IF(AND(MOD(AU32-YEAR('Assumptions &amp; Inputs'!$L$31),'Assumptions &amp; Inputs'!$L$34)=0, AU32&lt;=YEAR('Assumptions &amp; Inputs'!$L$36), AU9&gt;YEAR('Assumptions &amp; Inputs'!$L$31)),'Assumptions &amp; Inputs'!$L$37*'Assumptions &amp; Inputs'!$L$38*IF(AU32-'Assumptions &amp; Inputs'!$L$34&gt;YEAR('Assumptions &amp; Inputs'!$L$31), 'Assumptions &amp; Inputs'!$L$33, 1), 0)</f>
        <v>0</v>
      </c>
      <c r="AV42" s="1">
        <f>IF(AND(MOD(AV32-YEAR('Assumptions &amp; Inputs'!$L$31),'Assumptions &amp; Inputs'!$L$34)=0, AV32&lt;=YEAR('Assumptions &amp; Inputs'!$L$36), AV9&gt;YEAR('Assumptions &amp; Inputs'!$L$31)),'Assumptions &amp; Inputs'!$L$37*'Assumptions &amp; Inputs'!$L$38*IF(AV32-'Assumptions &amp; Inputs'!$L$34&gt;YEAR('Assumptions &amp; Inputs'!$L$31), 'Assumptions &amp; Inputs'!$L$33, 1), 0)</f>
        <v>0</v>
      </c>
      <c r="AW42" s="1">
        <f>IF(AND(MOD(AW32-YEAR('Assumptions &amp; Inputs'!$L$31),'Assumptions &amp; Inputs'!$L$34)=0, AW32&lt;=YEAR('Assumptions &amp; Inputs'!$L$36), AW9&gt;YEAR('Assumptions &amp; Inputs'!$L$31)),'Assumptions &amp; Inputs'!$L$37*'Assumptions &amp; Inputs'!$L$38*IF(AW32-'Assumptions &amp; Inputs'!$L$34&gt;YEAR('Assumptions &amp; Inputs'!$L$31), 'Assumptions &amp; Inputs'!$L$33, 1), 0)</f>
        <v>0</v>
      </c>
    </row>
    <row r="43" spans="2:49" ht="14.25" customHeight="1">
      <c r="B43" s="1"/>
      <c r="C43" s="22" t="s">
        <v>411</v>
      </c>
      <c r="D43" s="21">
        <f>SUM(D40:D42)</f>
        <v>-165</v>
      </c>
      <c r="E43" s="21">
        <f t="shared" ref="E43:X43" si="149">SUM(E40:E42)</f>
        <v>104.32858874340596</v>
      </c>
      <c r="F43" s="21">
        <f t="shared" si="149"/>
        <v>169.47834620469487</v>
      </c>
      <c r="G43" s="21">
        <f t="shared" si="149"/>
        <v>173.08753744922242</v>
      </c>
      <c r="H43" s="21">
        <f t="shared" si="149"/>
        <v>189.96433153373096</v>
      </c>
      <c r="I43" s="21">
        <f t="shared" si="149"/>
        <v>196.76549926456121</v>
      </c>
      <c r="J43" s="21">
        <f t="shared" si="149"/>
        <v>200.54243677344945</v>
      </c>
      <c r="K43" s="21">
        <f t="shared" si="149"/>
        <v>204.39595891158874</v>
      </c>
      <c r="L43" s="21">
        <f t="shared" si="149"/>
        <v>208.32759473378155</v>
      </c>
      <c r="M43" s="21">
        <f t="shared" si="149"/>
        <v>212.33890388214436</v>
      </c>
      <c r="N43" s="21">
        <f t="shared" si="149"/>
        <v>216.43147719783261</v>
      </c>
      <c r="O43" s="21">
        <f t="shared" si="149"/>
        <v>220.60693734499975</v>
      </c>
      <c r="P43" s="21">
        <f t="shared" si="149"/>
        <v>224.86693944723513</v>
      </c>
      <c r="Q43" s="21">
        <f t="shared" si="149"/>
        <v>229.21317173673097</v>
      </c>
      <c r="R43" s="21">
        <f t="shared" si="149"/>
        <v>233.64735621643226</v>
      </c>
      <c r="S43" s="21">
        <f t="shared" si="149"/>
        <v>238.17124933543002</v>
      </c>
      <c r="T43" s="21">
        <f t="shared" si="149"/>
        <v>242.78664267786203</v>
      </c>
      <c r="U43" s="21">
        <f t="shared" si="149"/>
        <v>247.49536366559181</v>
      </c>
      <c r="V43" s="21">
        <f t="shared" si="149"/>
        <v>252.29927627494047</v>
      </c>
      <c r="W43" s="21">
        <f t="shared" si="149"/>
        <v>257.20028176775406</v>
      </c>
      <c r="X43" s="21">
        <f t="shared" si="149"/>
        <v>262.20031943709188</v>
      </c>
      <c r="Y43" s="21">
        <f t="shared" ref="Y43:AW43" si="150">SUM(Y40:Y42)</f>
        <v>267.30136736782777</v>
      </c>
      <c r="Z43" s="21">
        <f t="shared" si="150"/>
        <v>272.50544321246434</v>
      </c>
      <c r="AA43" s="21">
        <f t="shared" si="150"/>
        <v>277.81460498246309</v>
      </c>
      <c r="AB43" s="21">
        <f t="shared" si="150"/>
        <v>283.23095185540075</v>
      </c>
      <c r="AC43" s="21">
        <f t="shared" si="150"/>
        <v>288.75662499826893</v>
      </c>
      <c r="AD43" s="21">
        <f t="shared" si="150"/>
        <v>303.39380840723999</v>
      </c>
      <c r="AE43" s="21">
        <f t="shared" si="150"/>
        <v>17.618047267585716</v>
      </c>
      <c r="AF43" s="21">
        <f t="shared" si="150"/>
        <v>17.574002149416753</v>
      </c>
      <c r="AG43" s="21">
        <f t="shared" si="150"/>
        <v>17.530067144043208</v>
      </c>
      <c r="AH43" s="21">
        <f t="shared" si="150"/>
        <v>0</v>
      </c>
      <c r="AI43" s="21">
        <f t="shared" si="150"/>
        <v>0</v>
      </c>
      <c r="AJ43" s="21">
        <f t="shared" si="150"/>
        <v>0</v>
      </c>
      <c r="AK43" s="21">
        <f t="shared" si="150"/>
        <v>0</v>
      </c>
      <c r="AL43" s="21">
        <f t="shared" si="150"/>
        <v>0</v>
      </c>
      <c r="AM43" s="21">
        <f t="shared" si="150"/>
        <v>0</v>
      </c>
      <c r="AN43" s="21">
        <f t="shared" si="150"/>
        <v>0</v>
      </c>
      <c r="AO43" s="21">
        <f t="shared" si="150"/>
        <v>0</v>
      </c>
      <c r="AP43" s="21">
        <f t="shared" si="150"/>
        <v>0</v>
      </c>
      <c r="AQ43" s="21">
        <f t="shared" si="150"/>
        <v>0</v>
      </c>
      <c r="AR43" s="21">
        <f t="shared" si="150"/>
        <v>0</v>
      </c>
      <c r="AS43" s="21">
        <f t="shared" si="150"/>
        <v>0</v>
      </c>
      <c r="AT43" s="21">
        <f t="shared" si="150"/>
        <v>0</v>
      </c>
      <c r="AU43" s="21">
        <f t="shared" si="150"/>
        <v>0</v>
      </c>
      <c r="AV43" s="21">
        <f t="shared" si="150"/>
        <v>0</v>
      </c>
      <c r="AW43" s="21">
        <f t="shared" si="150"/>
        <v>0</v>
      </c>
    </row>
    <row r="44" spans="2:49" ht="14.25" customHeight="1">
      <c r="B44" s="1"/>
      <c r="C44" s="4" t="s">
        <v>412</v>
      </c>
      <c r="D44" s="4"/>
      <c r="E44" s="23">
        <f>SUM($D$43:E43)</f>
        <v>-60.671411256594041</v>
      </c>
      <c r="F44" s="23">
        <f>SUM($D$43:F43)</f>
        <v>108.80693494810083</v>
      </c>
      <c r="G44" s="23">
        <f>SUM($D$43:G43)</f>
        <v>281.89447239732328</v>
      </c>
      <c r="H44" s="23">
        <f>SUM($D$43:H43)</f>
        <v>471.85880393105424</v>
      </c>
      <c r="I44" s="23">
        <f>SUM($D$43:I43)</f>
        <v>668.62430319561543</v>
      </c>
      <c r="J44" s="23">
        <f>SUM($D$43:J43)</f>
        <v>869.16673996906491</v>
      </c>
      <c r="K44" s="23">
        <f>SUM($D$43:K43)</f>
        <v>1073.5626988806537</v>
      </c>
      <c r="L44" s="23">
        <f>SUM($D$43:L43)</f>
        <v>1281.8902936144352</v>
      </c>
      <c r="M44" s="23">
        <f>SUM($D$43:M43)</f>
        <v>1494.2291974965797</v>
      </c>
      <c r="N44" s="23">
        <f>SUM($D$43:N43)</f>
        <v>1710.6606746944124</v>
      </c>
      <c r="O44" s="23">
        <f>SUM($D$43:O43)</f>
        <v>1931.2676120394121</v>
      </c>
      <c r="P44" s="23">
        <f>SUM($D$43:P43)</f>
        <v>2156.1345514866471</v>
      </c>
      <c r="Q44" s="23">
        <f>SUM($D$43:Q43)</f>
        <v>2385.3477232233781</v>
      </c>
      <c r="R44" s="23">
        <f>SUM($D$43:R43)</f>
        <v>2618.9950794398105</v>
      </c>
      <c r="S44" s="23">
        <f>SUM($D$43:S43)</f>
        <v>2857.1663287752403</v>
      </c>
      <c r="T44" s="23">
        <f>SUM($D$43:T43)</f>
        <v>3099.9529714531022</v>
      </c>
      <c r="U44" s="23">
        <f>SUM($D$43:U43)</f>
        <v>3347.4483351186941</v>
      </c>
      <c r="V44" s="23">
        <f>SUM($D$43:V43)</f>
        <v>3599.7476113936345</v>
      </c>
      <c r="W44" s="23">
        <f>SUM($D$43:W43)</f>
        <v>3856.9478931613885</v>
      </c>
      <c r="X44" s="23">
        <f>SUM($D$43:X43)</f>
        <v>4119.1482125984803</v>
      </c>
      <c r="Y44" s="23">
        <f>SUM($D$43:Y43)</f>
        <v>4386.4495799663082</v>
      </c>
      <c r="Z44" s="23">
        <f>SUM($D$43:Z43)</f>
        <v>4658.9550231787725</v>
      </c>
      <c r="AA44" s="23">
        <f>SUM($D$43:AA43)</f>
        <v>4936.7696281612352</v>
      </c>
      <c r="AB44" s="23">
        <f>SUM($D$43:AB43)</f>
        <v>5220.0005800166364</v>
      </c>
      <c r="AC44" s="23">
        <f>SUM($D$43:AC43)</f>
        <v>5508.7572050149056</v>
      </c>
      <c r="AD44" s="23">
        <f>SUM($D$43:AD43)</f>
        <v>5812.1510134221453</v>
      </c>
      <c r="AE44" s="23">
        <f>SUM($D$43:AE43)</f>
        <v>5829.7690606897313</v>
      </c>
      <c r="AF44" s="23">
        <f>SUM($D$43:AF43)</f>
        <v>5847.3430628391479</v>
      </c>
      <c r="AG44" s="23">
        <f>SUM($D$43:AG43)</f>
        <v>5864.8731299831916</v>
      </c>
      <c r="AH44" s="23">
        <f>SUM($D$43:AH43)</f>
        <v>5864.8731299831916</v>
      </c>
      <c r="AI44" s="23">
        <f>SUM($D$43:AI43)</f>
        <v>5864.8731299831916</v>
      </c>
      <c r="AJ44" s="23">
        <f>SUM($D$43:AJ43)</f>
        <v>5864.8731299831916</v>
      </c>
      <c r="AK44" s="23">
        <f>SUM($D$43:AK43)</f>
        <v>5864.8731299831916</v>
      </c>
      <c r="AL44" s="23">
        <f>SUM($D$43:AL43)</f>
        <v>5864.8731299831916</v>
      </c>
      <c r="AM44" s="23">
        <f>SUM($D$43:AM43)</f>
        <v>5864.8731299831916</v>
      </c>
      <c r="AN44" s="23">
        <f>SUM($D$43:AN43)</f>
        <v>5864.8731299831916</v>
      </c>
      <c r="AO44" s="23">
        <f>SUM($D$43:AO43)</f>
        <v>5864.8731299831916</v>
      </c>
      <c r="AP44" s="23">
        <f>SUM($D$43:AP43)</f>
        <v>5864.8731299831916</v>
      </c>
      <c r="AQ44" s="23">
        <f>SUM($D$43:AQ43)</f>
        <v>5864.8731299831916</v>
      </c>
      <c r="AR44" s="23">
        <f>SUM($D$43:AR43)</f>
        <v>5864.8731299831916</v>
      </c>
      <c r="AS44" s="23">
        <f>SUM($D$43:AS43)</f>
        <v>5864.8731299831916</v>
      </c>
      <c r="AT44" s="23">
        <f>SUM($D$43:AT43)</f>
        <v>5864.8731299831916</v>
      </c>
      <c r="AU44" s="23">
        <f>SUM($D$43:AU43)</f>
        <v>5864.8731299831916</v>
      </c>
      <c r="AV44" s="23">
        <f>SUM($D$43:AV43)</f>
        <v>5864.8731299831916</v>
      </c>
      <c r="AW44" s="23">
        <f>SUM($D$43:AW43)</f>
        <v>5864.8731299831916</v>
      </c>
    </row>
    <row r="45" spans="2:49" s="342" customFormat="1" ht="14.25" customHeight="1">
      <c r="B45" s="375"/>
      <c r="C45" s="375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7"/>
      <c r="S45" s="397"/>
      <c r="T45" s="397"/>
      <c r="U45" s="397"/>
      <c r="V45" s="397"/>
      <c r="W45" s="397"/>
      <c r="X45" s="397"/>
      <c r="Y45" s="397"/>
      <c r="Z45" s="397"/>
      <c r="AA45" s="397"/>
      <c r="AB45" s="397"/>
      <c r="AC45" s="397"/>
      <c r="AD45" s="397"/>
      <c r="AE45" s="397"/>
      <c r="AF45" s="397"/>
      <c r="AG45" s="397"/>
      <c r="AH45" s="397"/>
      <c r="AI45" s="397"/>
      <c r="AJ45" s="397"/>
      <c r="AK45" s="397"/>
      <c r="AL45" s="397"/>
      <c r="AM45" s="397"/>
      <c r="AN45" s="397"/>
      <c r="AO45" s="397"/>
      <c r="AP45" s="397"/>
      <c r="AQ45" s="397"/>
      <c r="AR45" s="397"/>
      <c r="AS45" s="397"/>
      <c r="AT45" s="397"/>
      <c r="AU45" s="397"/>
      <c r="AV45" s="397"/>
      <c r="AW45" s="397"/>
    </row>
    <row r="46" spans="2:49" s="342" customFormat="1" ht="14.25" customHeight="1">
      <c r="B46" s="375"/>
      <c r="C46" s="357" t="s">
        <v>413</v>
      </c>
      <c r="D46" s="397"/>
      <c r="E46" s="397"/>
      <c r="F46" s="397"/>
      <c r="G46" s="397"/>
      <c r="H46" s="397"/>
      <c r="I46" s="397"/>
      <c r="J46" s="397"/>
      <c r="K46" s="397"/>
      <c r="L46" s="397"/>
      <c r="M46" s="397"/>
      <c r="N46" s="397"/>
      <c r="O46" s="397"/>
      <c r="P46" s="397"/>
      <c r="Q46" s="397"/>
      <c r="R46" s="397"/>
      <c r="S46" s="397"/>
      <c r="T46" s="397"/>
      <c r="U46" s="397"/>
      <c r="V46" s="397"/>
      <c r="W46" s="397"/>
      <c r="X46" s="397"/>
      <c r="Y46" s="397"/>
      <c r="Z46" s="397"/>
      <c r="AA46" s="397"/>
      <c r="AB46" s="397"/>
      <c r="AC46" s="397"/>
      <c r="AD46" s="397"/>
      <c r="AE46" s="397"/>
      <c r="AF46" s="397"/>
      <c r="AG46" s="397"/>
      <c r="AH46" s="397"/>
      <c r="AI46" s="397"/>
      <c r="AJ46" s="397"/>
      <c r="AK46" s="397"/>
      <c r="AL46" s="397"/>
      <c r="AM46" s="397"/>
      <c r="AN46" s="397"/>
      <c r="AO46" s="397"/>
      <c r="AP46" s="397"/>
      <c r="AQ46" s="397"/>
      <c r="AR46" s="397"/>
      <c r="AS46" s="397"/>
      <c r="AT46" s="397"/>
      <c r="AU46" s="397"/>
      <c r="AV46" s="397"/>
      <c r="AW46" s="397"/>
    </row>
    <row r="47" spans="2:49" s="342" customFormat="1" ht="14.25" customHeight="1">
      <c r="B47" s="375"/>
      <c r="C47" s="342" t="s">
        <v>414</v>
      </c>
      <c r="D47" s="388">
        <f>D36</f>
        <v>0</v>
      </c>
      <c r="E47" s="388">
        <f>E36</f>
        <v>119.32858874340596</v>
      </c>
      <c r="F47" s="388">
        <f>F36</f>
        <v>162.63834620469487</v>
      </c>
      <c r="G47" s="388">
        <f>G36</f>
        <v>166.24753744922242</v>
      </c>
      <c r="H47" s="388">
        <f>H36</f>
        <v>183.12433153373095</v>
      </c>
      <c r="I47" s="388">
        <f t="shared" ref="I47:AW47" si="151">I36</f>
        <v>189.92549926456121</v>
      </c>
      <c r="J47" s="388">
        <f t="shared" si="151"/>
        <v>193.70243677344945</v>
      </c>
      <c r="K47" s="388">
        <f t="shared" si="151"/>
        <v>197.55595891158873</v>
      </c>
      <c r="L47" s="388">
        <f t="shared" si="151"/>
        <v>201.48759473378155</v>
      </c>
      <c r="M47" s="388">
        <f t="shared" si="151"/>
        <v>205.49890388214436</v>
      </c>
      <c r="N47" s="388">
        <f t="shared" si="151"/>
        <v>209.5914771978326</v>
      </c>
      <c r="O47" s="388">
        <f t="shared" si="151"/>
        <v>213.76693734499975</v>
      </c>
      <c r="P47" s="388">
        <f t="shared" si="151"/>
        <v>218.02693944723512</v>
      </c>
      <c r="Q47" s="388">
        <f t="shared" si="151"/>
        <v>222.37317173673097</v>
      </c>
      <c r="R47" s="388">
        <f t="shared" si="151"/>
        <v>226.80735621643225</v>
      </c>
      <c r="S47" s="388">
        <f t="shared" si="151"/>
        <v>231.33124933543002</v>
      </c>
      <c r="T47" s="388">
        <f t="shared" si="151"/>
        <v>235.94664267786203</v>
      </c>
      <c r="U47" s="388">
        <f t="shared" si="151"/>
        <v>240.65536366559181</v>
      </c>
      <c r="V47" s="388">
        <f t="shared" si="151"/>
        <v>245.45927627494046</v>
      </c>
      <c r="W47" s="388">
        <f t="shared" si="151"/>
        <v>250.36028176775409</v>
      </c>
      <c r="X47" s="388">
        <f t="shared" si="151"/>
        <v>255.36031943709187</v>
      </c>
      <c r="Y47" s="388">
        <f t="shared" si="151"/>
        <v>260.46136736782779</v>
      </c>
      <c r="Z47" s="388">
        <f t="shared" si="151"/>
        <v>265.66544321246437</v>
      </c>
      <c r="AA47" s="388">
        <f t="shared" si="151"/>
        <v>270.97460498246312</v>
      </c>
      <c r="AB47" s="388">
        <f t="shared" si="151"/>
        <v>276.39095185540077</v>
      </c>
      <c r="AC47" s="388">
        <f t="shared" si="151"/>
        <v>281.91662499826896</v>
      </c>
      <c r="AD47" s="388">
        <f t="shared" si="151"/>
        <v>287.55380840724001</v>
      </c>
      <c r="AE47" s="388">
        <f t="shared" si="151"/>
        <v>17.618047267585716</v>
      </c>
      <c r="AF47" s="388">
        <f t="shared" si="151"/>
        <v>17.574002149416753</v>
      </c>
      <c r="AG47" s="388">
        <f t="shared" si="151"/>
        <v>17.530067144043208</v>
      </c>
      <c r="AH47" s="388">
        <f t="shared" si="151"/>
        <v>0</v>
      </c>
      <c r="AI47" s="388">
        <f t="shared" si="151"/>
        <v>0</v>
      </c>
      <c r="AJ47" s="388">
        <f t="shared" si="151"/>
        <v>0</v>
      </c>
      <c r="AK47" s="388">
        <f t="shared" si="151"/>
        <v>0</v>
      </c>
      <c r="AL47" s="388">
        <f t="shared" si="151"/>
        <v>0</v>
      </c>
      <c r="AM47" s="388">
        <f t="shared" si="151"/>
        <v>0</v>
      </c>
      <c r="AN47" s="388">
        <f t="shared" si="151"/>
        <v>0</v>
      </c>
      <c r="AO47" s="388">
        <f t="shared" si="151"/>
        <v>0</v>
      </c>
      <c r="AP47" s="388">
        <f t="shared" si="151"/>
        <v>0</v>
      </c>
      <c r="AQ47" s="388">
        <f t="shared" si="151"/>
        <v>0</v>
      </c>
      <c r="AR47" s="388">
        <f t="shared" si="151"/>
        <v>0</v>
      </c>
      <c r="AS47" s="388">
        <f t="shared" si="151"/>
        <v>0</v>
      </c>
      <c r="AT47" s="388">
        <f t="shared" si="151"/>
        <v>0</v>
      </c>
      <c r="AU47" s="388">
        <f t="shared" si="151"/>
        <v>0</v>
      </c>
      <c r="AV47" s="388">
        <f t="shared" si="151"/>
        <v>0</v>
      </c>
      <c r="AW47" s="388">
        <f t="shared" si="151"/>
        <v>0</v>
      </c>
    </row>
    <row r="48" spans="2:49" s="342" customFormat="1" ht="14.25" customHeight="1">
      <c r="B48" s="375"/>
      <c r="C48" s="342" t="s">
        <v>415</v>
      </c>
      <c r="D48" s="397"/>
      <c r="E48" s="397"/>
      <c r="F48" s="397"/>
      <c r="G48" s="397"/>
      <c r="H48" s="397"/>
      <c r="I48" s="397"/>
      <c r="J48" s="397"/>
      <c r="K48" s="397"/>
      <c r="L48" s="397"/>
      <c r="M48" s="397"/>
      <c r="N48" s="397"/>
      <c r="O48" s="397"/>
      <c r="P48" s="397"/>
      <c r="Q48" s="397"/>
      <c r="R48" s="397"/>
      <c r="S48" s="397"/>
      <c r="T48" s="397"/>
      <c r="U48" s="397"/>
      <c r="V48" s="397"/>
      <c r="W48" s="397"/>
      <c r="X48" s="397"/>
      <c r="Y48" s="397"/>
      <c r="Z48" s="397"/>
      <c r="AA48" s="397"/>
      <c r="AB48" s="397"/>
      <c r="AC48" s="397"/>
      <c r="AD48" s="397"/>
      <c r="AE48" s="397"/>
      <c r="AF48" s="397"/>
      <c r="AG48" s="397"/>
      <c r="AH48" s="397"/>
      <c r="AI48" s="397"/>
      <c r="AJ48" s="397"/>
      <c r="AK48" s="397"/>
      <c r="AL48" s="397"/>
      <c r="AM48" s="397"/>
      <c r="AN48" s="397"/>
      <c r="AO48" s="397"/>
      <c r="AP48" s="397"/>
      <c r="AQ48" s="397"/>
      <c r="AR48" s="397"/>
      <c r="AS48" s="397"/>
      <c r="AT48" s="397"/>
      <c r="AU48" s="397"/>
      <c r="AV48" s="397"/>
      <c r="AW48" s="397"/>
    </row>
    <row r="49" spans="2:49" s="342" customFormat="1" ht="14.25" customHeight="1">
      <c r="B49" s="375"/>
      <c r="C49" s="342" t="s">
        <v>416</v>
      </c>
      <c r="D49" s="388">
        <f>-D24</f>
        <v>165</v>
      </c>
      <c r="E49" s="388">
        <f t="shared" ref="E49:AW49" si="152">-E24</f>
        <v>15</v>
      </c>
      <c r="F49" s="388">
        <f t="shared" si="152"/>
        <v>0</v>
      </c>
      <c r="G49" s="388">
        <f t="shared" si="152"/>
        <v>0</v>
      </c>
      <c r="H49" s="388">
        <f t="shared" si="152"/>
        <v>0</v>
      </c>
      <c r="I49" s="388">
        <f t="shared" si="152"/>
        <v>0</v>
      </c>
      <c r="J49" s="388">
        <f t="shared" si="152"/>
        <v>0</v>
      </c>
      <c r="K49" s="388">
        <f t="shared" si="152"/>
        <v>0</v>
      </c>
      <c r="L49" s="388">
        <f t="shared" si="152"/>
        <v>0</v>
      </c>
      <c r="M49" s="388">
        <f t="shared" si="152"/>
        <v>0</v>
      </c>
      <c r="N49" s="388">
        <f t="shared" si="152"/>
        <v>0</v>
      </c>
      <c r="O49" s="388">
        <f t="shared" si="152"/>
        <v>0</v>
      </c>
      <c r="P49" s="388">
        <f t="shared" si="152"/>
        <v>0</v>
      </c>
      <c r="Q49" s="388">
        <f t="shared" si="152"/>
        <v>0</v>
      </c>
      <c r="R49" s="388">
        <f t="shared" si="152"/>
        <v>0</v>
      </c>
      <c r="S49" s="388">
        <f t="shared" si="152"/>
        <v>0</v>
      </c>
      <c r="T49" s="388">
        <f t="shared" si="152"/>
        <v>0</v>
      </c>
      <c r="U49" s="388">
        <f t="shared" si="152"/>
        <v>0</v>
      </c>
      <c r="V49" s="388">
        <f t="shared" si="152"/>
        <v>0</v>
      </c>
      <c r="W49" s="388">
        <f t="shared" si="152"/>
        <v>0</v>
      </c>
      <c r="X49" s="388">
        <f t="shared" si="152"/>
        <v>0</v>
      </c>
      <c r="Y49" s="388">
        <f t="shared" si="152"/>
        <v>0</v>
      </c>
      <c r="Z49" s="388">
        <f t="shared" si="152"/>
        <v>0</v>
      </c>
      <c r="AA49" s="388">
        <f t="shared" si="152"/>
        <v>0</v>
      </c>
      <c r="AB49" s="388">
        <f t="shared" si="152"/>
        <v>0</v>
      </c>
      <c r="AC49" s="388">
        <f t="shared" si="152"/>
        <v>0</v>
      </c>
      <c r="AD49" s="388">
        <f t="shared" si="152"/>
        <v>0</v>
      </c>
      <c r="AE49" s="388">
        <f t="shared" si="152"/>
        <v>0</v>
      </c>
      <c r="AF49" s="388">
        <f t="shared" si="152"/>
        <v>0</v>
      </c>
      <c r="AG49" s="388">
        <f t="shared" si="152"/>
        <v>0</v>
      </c>
      <c r="AH49" s="388">
        <f t="shared" si="152"/>
        <v>0</v>
      </c>
      <c r="AI49" s="388">
        <f t="shared" si="152"/>
        <v>0</v>
      </c>
      <c r="AJ49" s="388">
        <f t="shared" si="152"/>
        <v>0</v>
      </c>
      <c r="AK49" s="388">
        <f t="shared" si="152"/>
        <v>0</v>
      </c>
      <c r="AL49" s="388">
        <f t="shared" si="152"/>
        <v>0</v>
      </c>
      <c r="AM49" s="388">
        <f t="shared" si="152"/>
        <v>0</v>
      </c>
      <c r="AN49" s="388">
        <f t="shared" si="152"/>
        <v>0</v>
      </c>
      <c r="AO49" s="388">
        <f t="shared" si="152"/>
        <v>0</v>
      </c>
      <c r="AP49" s="388">
        <f t="shared" si="152"/>
        <v>0</v>
      </c>
      <c r="AQ49" s="388">
        <f t="shared" si="152"/>
        <v>0</v>
      </c>
      <c r="AR49" s="388">
        <f t="shared" si="152"/>
        <v>0</v>
      </c>
      <c r="AS49" s="388">
        <f t="shared" si="152"/>
        <v>0</v>
      </c>
      <c r="AT49" s="388">
        <f t="shared" si="152"/>
        <v>0</v>
      </c>
      <c r="AU49" s="388">
        <f t="shared" si="152"/>
        <v>0</v>
      </c>
      <c r="AV49" s="388">
        <f t="shared" si="152"/>
        <v>0</v>
      </c>
      <c r="AW49" s="388">
        <f t="shared" si="152"/>
        <v>0</v>
      </c>
    </row>
    <row r="50" spans="2:49" s="342" customFormat="1" ht="14.25" customHeight="1">
      <c r="B50" s="375"/>
      <c r="C50" s="342" t="s">
        <v>417</v>
      </c>
      <c r="D50" s="398">
        <f>D161</f>
        <v>0</v>
      </c>
      <c r="E50" s="398">
        <f t="shared" ref="E50:AW50" si="153">E161</f>
        <v>0</v>
      </c>
      <c r="F50" s="398">
        <f t="shared" si="153"/>
        <v>-6.84</v>
      </c>
      <c r="G50" s="398">
        <f t="shared" si="153"/>
        <v>-6.84</v>
      </c>
      <c r="H50" s="398">
        <f t="shared" si="153"/>
        <v>-6.84</v>
      </c>
      <c r="I50" s="398">
        <f t="shared" si="153"/>
        <v>-6.84</v>
      </c>
      <c r="J50" s="398">
        <f t="shared" si="153"/>
        <v>-6.84</v>
      </c>
      <c r="K50" s="398">
        <f t="shared" si="153"/>
        <v>-6.84</v>
      </c>
      <c r="L50" s="398">
        <f t="shared" si="153"/>
        <v>-6.84</v>
      </c>
      <c r="M50" s="398">
        <f t="shared" si="153"/>
        <v>-6.84</v>
      </c>
      <c r="N50" s="398">
        <f t="shared" si="153"/>
        <v>-6.84</v>
      </c>
      <c r="O50" s="398">
        <f t="shared" si="153"/>
        <v>-6.84</v>
      </c>
      <c r="P50" s="398">
        <f t="shared" si="153"/>
        <v>-6.84</v>
      </c>
      <c r="Q50" s="398">
        <f t="shared" si="153"/>
        <v>-6.84</v>
      </c>
      <c r="R50" s="398">
        <f t="shared" si="153"/>
        <v>-6.84</v>
      </c>
      <c r="S50" s="398">
        <f t="shared" si="153"/>
        <v>-6.84</v>
      </c>
      <c r="T50" s="398">
        <f t="shared" si="153"/>
        <v>-6.84</v>
      </c>
      <c r="U50" s="398">
        <f t="shared" si="153"/>
        <v>-6.84</v>
      </c>
      <c r="V50" s="398">
        <f t="shared" si="153"/>
        <v>-6.84</v>
      </c>
      <c r="W50" s="398">
        <f t="shared" si="153"/>
        <v>-6.84</v>
      </c>
      <c r="X50" s="398">
        <f t="shared" si="153"/>
        <v>-6.84</v>
      </c>
      <c r="Y50" s="398">
        <f t="shared" si="153"/>
        <v>-6.84</v>
      </c>
      <c r="Z50" s="398">
        <f t="shared" si="153"/>
        <v>-6.84</v>
      </c>
      <c r="AA50" s="398">
        <f t="shared" si="153"/>
        <v>-6.84</v>
      </c>
      <c r="AB50" s="398">
        <f t="shared" si="153"/>
        <v>-6.84</v>
      </c>
      <c r="AC50" s="398">
        <f t="shared" si="153"/>
        <v>-6.84</v>
      </c>
      <c r="AD50" s="398">
        <f t="shared" si="153"/>
        <v>-6.84</v>
      </c>
      <c r="AE50" s="398">
        <f t="shared" si="153"/>
        <v>0</v>
      </c>
      <c r="AF50" s="398">
        <f t="shared" si="153"/>
        <v>0</v>
      </c>
      <c r="AG50" s="398">
        <f t="shared" si="153"/>
        <v>0</v>
      </c>
      <c r="AH50" s="398">
        <f t="shared" si="153"/>
        <v>0</v>
      </c>
      <c r="AI50" s="398">
        <f t="shared" si="153"/>
        <v>0</v>
      </c>
      <c r="AJ50" s="398">
        <f t="shared" si="153"/>
        <v>0</v>
      </c>
      <c r="AK50" s="398">
        <f t="shared" si="153"/>
        <v>0</v>
      </c>
      <c r="AL50" s="398">
        <f t="shared" si="153"/>
        <v>0</v>
      </c>
      <c r="AM50" s="398">
        <f t="shared" si="153"/>
        <v>0</v>
      </c>
      <c r="AN50" s="398">
        <f t="shared" si="153"/>
        <v>0</v>
      </c>
      <c r="AO50" s="398">
        <f t="shared" si="153"/>
        <v>0</v>
      </c>
      <c r="AP50" s="398">
        <f t="shared" si="153"/>
        <v>0</v>
      </c>
      <c r="AQ50" s="398">
        <f t="shared" si="153"/>
        <v>0</v>
      </c>
      <c r="AR50" s="398">
        <f t="shared" si="153"/>
        <v>0</v>
      </c>
      <c r="AS50" s="398">
        <f t="shared" si="153"/>
        <v>0</v>
      </c>
      <c r="AT50" s="398">
        <f t="shared" si="153"/>
        <v>0</v>
      </c>
      <c r="AU50" s="398">
        <f t="shared" si="153"/>
        <v>0</v>
      </c>
      <c r="AV50" s="398">
        <f t="shared" si="153"/>
        <v>0</v>
      </c>
      <c r="AW50" s="398">
        <f t="shared" si="153"/>
        <v>0</v>
      </c>
    </row>
    <row r="51" spans="2:49" s="342" customFormat="1" ht="14.25" customHeight="1">
      <c r="B51" s="375"/>
      <c r="C51" s="342" t="s">
        <v>418</v>
      </c>
      <c r="D51" s="390">
        <f>SUM(E64,D49:D50)</f>
        <v>165</v>
      </c>
      <c r="E51" s="390">
        <f>SUM(D51,E49:E50)</f>
        <v>180</v>
      </c>
      <c r="F51" s="390">
        <f t="shared" ref="F51:AW51" si="154">SUM(E51,F49:F50)</f>
        <v>173.16</v>
      </c>
      <c r="G51" s="390">
        <f t="shared" si="154"/>
        <v>166.32</v>
      </c>
      <c r="H51" s="390">
        <f t="shared" si="154"/>
        <v>159.47999999999999</v>
      </c>
      <c r="I51" s="390">
        <f t="shared" si="154"/>
        <v>152.63999999999999</v>
      </c>
      <c r="J51" s="390">
        <f t="shared" si="154"/>
        <v>145.79999999999998</v>
      </c>
      <c r="K51" s="390">
        <f t="shared" si="154"/>
        <v>138.95999999999998</v>
      </c>
      <c r="L51" s="390">
        <f t="shared" si="154"/>
        <v>132.11999999999998</v>
      </c>
      <c r="M51" s="390">
        <f t="shared" si="154"/>
        <v>125.27999999999997</v>
      </c>
      <c r="N51" s="390">
        <f t="shared" si="154"/>
        <v>118.43999999999997</v>
      </c>
      <c r="O51" s="390">
        <f t="shared" si="154"/>
        <v>111.59999999999997</v>
      </c>
      <c r="P51" s="390">
        <f t="shared" si="154"/>
        <v>104.75999999999996</v>
      </c>
      <c r="Q51" s="390">
        <f t="shared" si="154"/>
        <v>97.919999999999959</v>
      </c>
      <c r="R51" s="390">
        <f t="shared" si="154"/>
        <v>91.079999999999956</v>
      </c>
      <c r="S51" s="390">
        <f t="shared" si="154"/>
        <v>84.239999999999952</v>
      </c>
      <c r="T51" s="390">
        <f t="shared" si="154"/>
        <v>77.399999999999949</v>
      </c>
      <c r="U51" s="390">
        <f t="shared" si="154"/>
        <v>70.559999999999945</v>
      </c>
      <c r="V51" s="390">
        <f t="shared" si="154"/>
        <v>63.719999999999942</v>
      </c>
      <c r="W51" s="390">
        <f t="shared" si="154"/>
        <v>56.879999999999939</v>
      </c>
      <c r="X51" s="390">
        <f t="shared" si="154"/>
        <v>50.039999999999935</v>
      </c>
      <c r="Y51" s="390">
        <f t="shared" si="154"/>
        <v>43.199999999999932</v>
      </c>
      <c r="Z51" s="390">
        <f t="shared" si="154"/>
        <v>36.359999999999928</v>
      </c>
      <c r="AA51" s="390">
        <f t="shared" si="154"/>
        <v>29.519999999999929</v>
      </c>
      <c r="AB51" s="390">
        <f t="shared" si="154"/>
        <v>22.679999999999929</v>
      </c>
      <c r="AC51" s="390">
        <f t="shared" si="154"/>
        <v>15.839999999999929</v>
      </c>
      <c r="AD51" s="390">
        <f t="shared" si="154"/>
        <v>8.9999999999999289</v>
      </c>
      <c r="AE51" s="390">
        <f t="shared" si="154"/>
        <v>8.9999999999999289</v>
      </c>
      <c r="AF51" s="390">
        <f t="shared" si="154"/>
        <v>8.9999999999999289</v>
      </c>
      <c r="AG51" s="390">
        <f t="shared" si="154"/>
        <v>8.9999999999999289</v>
      </c>
      <c r="AH51" s="390">
        <f t="shared" si="154"/>
        <v>8.9999999999999289</v>
      </c>
      <c r="AI51" s="390">
        <f t="shared" si="154"/>
        <v>8.9999999999999289</v>
      </c>
      <c r="AJ51" s="390">
        <f t="shared" si="154"/>
        <v>8.9999999999999289</v>
      </c>
      <c r="AK51" s="390">
        <f t="shared" si="154"/>
        <v>8.9999999999999289</v>
      </c>
      <c r="AL51" s="390">
        <f t="shared" si="154"/>
        <v>8.9999999999999289</v>
      </c>
      <c r="AM51" s="390">
        <f t="shared" si="154"/>
        <v>8.9999999999999289</v>
      </c>
      <c r="AN51" s="390">
        <f t="shared" si="154"/>
        <v>8.9999999999999289</v>
      </c>
      <c r="AO51" s="390">
        <f t="shared" si="154"/>
        <v>8.9999999999999289</v>
      </c>
      <c r="AP51" s="390">
        <f t="shared" si="154"/>
        <v>8.9999999999999289</v>
      </c>
      <c r="AQ51" s="390">
        <f t="shared" si="154"/>
        <v>8.9999999999999289</v>
      </c>
      <c r="AR51" s="390">
        <f t="shared" si="154"/>
        <v>8.9999999999999289</v>
      </c>
      <c r="AS51" s="390">
        <f t="shared" si="154"/>
        <v>8.9999999999999289</v>
      </c>
      <c r="AT51" s="390">
        <f t="shared" si="154"/>
        <v>8.9999999999999289</v>
      </c>
      <c r="AU51" s="390">
        <f t="shared" si="154"/>
        <v>8.9999999999999289</v>
      </c>
      <c r="AV51" s="390">
        <f t="shared" si="154"/>
        <v>8.9999999999999289</v>
      </c>
      <c r="AW51" s="390">
        <f t="shared" si="154"/>
        <v>8.9999999999999289</v>
      </c>
    </row>
    <row r="52" spans="2:49" s="342" customFormat="1" ht="14.25" customHeight="1">
      <c r="B52" s="375"/>
      <c r="C52" s="399" t="s">
        <v>419</v>
      </c>
      <c r="D52" s="400"/>
      <c r="E52" s="400"/>
      <c r="F52" s="400"/>
      <c r="G52" s="400"/>
      <c r="H52" s="400"/>
      <c r="I52" s="400"/>
      <c r="J52" s="400"/>
      <c r="K52" s="400"/>
      <c r="L52" s="400"/>
      <c r="M52" s="400"/>
      <c r="N52" s="400"/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  <c r="AA52" s="400"/>
      <c r="AB52" s="400"/>
      <c r="AC52" s="400"/>
      <c r="AD52" s="400"/>
      <c r="AE52" s="400"/>
      <c r="AF52" s="400"/>
      <c r="AG52" s="400"/>
      <c r="AH52" s="400"/>
      <c r="AI52" s="400"/>
      <c r="AJ52" s="400"/>
      <c r="AK52" s="400"/>
      <c r="AL52" s="400"/>
      <c r="AM52" s="400"/>
      <c r="AN52" s="400"/>
      <c r="AO52" s="400"/>
      <c r="AP52" s="400"/>
      <c r="AQ52" s="400"/>
      <c r="AR52" s="400"/>
      <c r="AS52" s="400"/>
      <c r="AT52" s="400"/>
      <c r="AU52" s="400"/>
      <c r="AV52" s="400"/>
      <c r="AW52" s="400"/>
    </row>
    <row r="53" spans="2:49" s="342" customFormat="1" ht="14.25" customHeight="1">
      <c r="B53" s="375"/>
      <c r="C53" s="342" t="s">
        <v>420</v>
      </c>
      <c r="D53" s="390">
        <f>SUM(D51:D52)</f>
        <v>165</v>
      </c>
      <c r="E53" s="390">
        <f>SUM(E51:E52)</f>
        <v>180</v>
      </c>
      <c r="F53" s="390">
        <f>SUM(F51:F52)</f>
        <v>173.16</v>
      </c>
      <c r="G53" s="390">
        <f>SUM(G51:G52)</f>
        <v>166.32</v>
      </c>
      <c r="H53" s="390">
        <f t="shared" ref="H53:AW53" si="155">SUM(H51:H52)</f>
        <v>159.47999999999999</v>
      </c>
      <c r="I53" s="390">
        <f>SUM(I51:I52)</f>
        <v>152.63999999999999</v>
      </c>
      <c r="J53" s="390">
        <f>SUM(J51:J52)</f>
        <v>145.79999999999998</v>
      </c>
      <c r="K53" s="390">
        <f>SUM(K51:K52)</f>
        <v>138.95999999999998</v>
      </c>
      <c r="L53" s="390">
        <f t="shared" si="155"/>
        <v>132.11999999999998</v>
      </c>
      <c r="M53" s="390">
        <f t="shared" si="155"/>
        <v>125.27999999999997</v>
      </c>
      <c r="N53" s="390">
        <f t="shared" si="155"/>
        <v>118.43999999999997</v>
      </c>
      <c r="O53" s="390">
        <f t="shared" si="155"/>
        <v>111.59999999999997</v>
      </c>
      <c r="P53" s="390">
        <f t="shared" si="155"/>
        <v>104.75999999999996</v>
      </c>
      <c r="Q53" s="390">
        <f t="shared" si="155"/>
        <v>97.919999999999959</v>
      </c>
      <c r="R53" s="390">
        <f t="shared" si="155"/>
        <v>91.079999999999956</v>
      </c>
      <c r="S53" s="390">
        <f t="shared" si="155"/>
        <v>84.239999999999952</v>
      </c>
      <c r="T53" s="390">
        <f t="shared" si="155"/>
        <v>77.399999999999949</v>
      </c>
      <c r="U53" s="390">
        <f t="shared" si="155"/>
        <v>70.559999999999945</v>
      </c>
      <c r="V53" s="390">
        <f t="shared" si="155"/>
        <v>63.719999999999942</v>
      </c>
      <c r="W53" s="390">
        <f t="shared" si="155"/>
        <v>56.879999999999939</v>
      </c>
      <c r="X53" s="390">
        <f t="shared" si="155"/>
        <v>50.039999999999935</v>
      </c>
      <c r="Y53" s="390">
        <f t="shared" si="155"/>
        <v>43.199999999999932</v>
      </c>
      <c r="Z53" s="390">
        <f t="shared" si="155"/>
        <v>36.359999999999928</v>
      </c>
      <c r="AA53" s="390">
        <f t="shared" si="155"/>
        <v>29.519999999999929</v>
      </c>
      <c r="AB53" s="390">
        <f t="shared" si="155"/>
        <v>22.679999999999929</v>
      </c>
      <c r="AC53" s="390">
        <f t="shared" si="155"/>
        <v>15.839999999999929</v>
      </c>
      <c r="AD53" s="390">
        <f t="shared" si="155"/>
        <v>8.9999999999999289</v>
      </c>
      <c r="AE53" s="390">
        <f t="shared" si="155"/>
        <v>8.9999999999999289</v>
      </c>
      <c r="AF53" s="390">
        <f t="shared" si="155"/>
        <v>8.9999999999999289</v>
      </c>
      <c r="AG53" s="390">
        <f t="shared" si="155"/>
        <v>8.9999999999999289</v>
      </c>
      <c r="AH53" s="390">
        <f t="shared" si="155"/>
        <v>8.9999999999999289</v>
      </c>
      <c r="AI53" s="390">
        <f t="shared" si="155"/>
        <v>8.9999999999999289</v>
      </c>
      <c r="AJ53" s="390">
        <f t="shared" si="155"/>
        <v>8.9999999999999289</v>
      </c>
      <c r="AK53" s="390">
        <f t="shared" si="155"/>
        <v>8.9999999999999289</v>
      </c>
      <c r="AL53" s="390">
        <f t="shared" si="155"/>
        <v>8.9999999999999289</v>
      </c>
      <c r="AM53" s="390">
        <f t="shared" si="155"/>
        <v>8.9999999999999289</v>
      </c>
      <c r="AN53" s="390">
        <f t="shared" si="155"/>
        <v>8.9999999999999289</v>
      </c>
      <c r="AO53" s="390">
        <f t="shared" si="155"/>
        <v>8.9999999999999289</v>
      </c>
      <c r="AP53" s="390">
        <f t="shared" si="155"/>
        <v>8.9999999999999289</v>
      </c>
      <c r="AQ53" s="390">
        <f t="shared" si="155"/>
        <v>8.9999999999999289</v>
      </c>
      <c r="AR53" s="390">
        <f t="shared" si="155"/>
        <v>8.9999999999999289</v>
      </c>
      <c r="AS53" s="390">
        <f t="shared" si="155"/>
        <v>8.9999999999999289</v>
      </c>
      <c r="AT53" s="390">
        <f t="shared" si="155"/>
        <v>8.9999999999999289</v>
      </c>
      <c r="AU53" s="390">
        <f t="shared" si="155"/>
        <v>8.9999999999999289</v>
      </c>
      <c r="AV53" s="390">
        <f t="shared" si="155"/>
        <v>8.9999999999999289</v>
      </c>
      <c r="AW53" s="390">
        <f t="shared" si="155"/>
        <v>8.9999999999999289</v>
      </c>
    </row>
    <row r="54" spans="2:49" s="357" customFormat="1" ht="14.25" customHeight="1">
      <c r="B54" s="357" t="s">
        <v>351</v>
      </c>
      <c r="C54" s="357" t="s">
        <v>421</v>
      </c>
      <c r="D54" s="401">
        <f>IFERROR(D47/D53,"n.a.")</f>
        <v>0</v>
      </c>
      <c r="E54" s="401">
        <f t="shared" ref="E54:AW54" si="156">IFERROR(E47/E53,"n.a.")</f>
        <v>0.66293660413003308</v>
      </c>
      <c r="F54" s="401">
        <f t="shared" si="156"/>
        <v>0.93923738856950145</v>
      </c>
      <c r="G54" s="401">
        <f t="shared" si="156"/>
        <v>0.99956431847776828</v>
      </c>
      <c r="H54" s="401">
        <f t="shared" si="156"/>
        <v>1.1482589135548718</v>
      </c>
      <c r="I54" s="401">
        <f t="shared" si="156"/>
        <v>1.2442708285152071</v>
      </c>
      <c r="J54" s="401">
        <f t="shared" si="156"/>
        <v>1.3285489490634395</v>
      </c>
      <c r="K54" s="401">
        <f t="shared" si="156"/>
        <v>1.4216750065600803</v>
      </c>
      <c r="L54" s="401">
        <f t="shared" si="156"/>
        <v>1.5250347769738237</v>
      </c>
      <c r="M54" s="401">
        <f t="shared" si="156"/>
        <v>1.6403169211537707</v>
      </c>
      <c r="N54" s="401">
        <f t="shared" si="156"/>
        <v>1.7696004491542778</v>
      </c>
      <c r="O54" s="401">
        <f t="shared" si="156"/>
        <v>1.9154743489695323</v>
      </c>
      <c r="P54" s="401">
        <f t="shared" si="156"/>
        <v>2.0812040802523404</v>
      </c>
      <c r="Q54" s="401">
        <f t="shared" si="156"/>
        <v>2.2709678486185769</v>
      </c>
      <c r="R54" s="401">
        <f t="shared" si="156"/>
        <v>2.4901993436147603</v>
      </c>
      <c r="S54" s="401">
        <f t="shared" si="156"/>
        <v>2.7460974517501207</v>
      </c>
      <c r="T54" s="401">
        <f t="shared" si="156"/>
        <v>3.0484062361480904</v>
      </c>
      <c r="U54" s="401">
        <f t="shared" si="156"/>
        <v>3.4106485780270974</v>
      </c>
      <c r="V54" s="401">
        <f t="shared" si="156"/>
        <v>3.8521543671522394</v>
      </c>
      <c r="W54" s="401">
        <f t="shared" si="156"/>
        <v>4.4015520704598163</v>
      </c>
      <c r="X54" s="401">
        <f t="shared" si="156"/>
        <v>5.1031238896301403</v>
      </c>
      <c r="Y54" s="401">
        <f t="shared" si="156"/>
        <v>6.0291983186997271</v>
      </c>
      <c r="Z54" s="401">
        <f t="shared" si="156"/>
        <v>7.3065303413769218</v>
      </c>
      <c r="AA54" s="401">
        <f t="shared" si="156"/>
        <v>9.1793565373463331</v>
      </c>
      <c r="AB54" s="401">
        <f t="shared" si="156"/>
        <v>12.186549905440989</v>
      </c>
      <c r="AC54" s="401">
        <f t="shared" si="156"/>
        <v>17.797766729688778</v>
      </c>
      <c r="AD54" s="401">
        <f t="shared" si="156"/>
        <v>31.950423156360255</v>
      </c>
      <c r="AE54" s="401">
        <f t="shared" si="156"/>
        <v>1.9575608075095394</v>
      </c>
      <c r="AF54" s="401">
        <f t="shared" si="156"/>
        <v>1.9526669054907657</v>
      </c>
      <c r="AG54" s="401">
        <f t="shared" si="156"/>
        <v>1.9477852382270384</v>
      </c>
      <c r="AH54" s="401">
        <f t="shared" si="156"/>
        <v>0</v>
      </c>
      <c r="AI54" s="401">
        <f t="shared" si="156"/>
        <v>0</v>
      </c>
      <c r="AJ54" s="401">
        <f t="shared" si="156"/>
        <v>0</v>
      </c>
      <c r="AK54" s="401">
        <f t="shared" si="156"/>
        <v>0</v>
      </c>
      <c r="AL54" s="401">
        <f t="shared" si="156"/>
        <v>0</v>
      </c>
      <c r="AM54" s="401">
        <f t="shared" si="156"/>
        <v>0</v>
      </c>
      <c r="AN54" s="401">
        <f t="shared" si="156"/>
        <v>0</v>
      </c>
      <c r="AO54" s="401">
        <f t="shared" si="156"/>
        <v>0</v>
      </c>
      <c r="AP54" s="401">
        <f t="shared" si="156"/>
        <v>0</v>
      </c>
      <c r="AQ54" s="401">
        <f t="shared" si="156"/>
        <v>0</v>
      </c>
      <c r="AR54" s="401">
        <f t="shared" si="156"/>
        <v>0</v>
      </c>
      <c r="AS54" s="401">
        <f t="shared" si="156"/>
        <v>0</v>
      </c>
      <c r="AT54" s="401">
        <f t="shared" si="156"/>
        <v>0</v>
      </c>
      <c r="AU54" s="401">
        <f t="shared" si="156"/>
        <v>0</v>
      </c>
      <c r="AV54" s="401">
        <f t="shared" si="156"/>
        <v>0</v>
      </c>
      <c r="AW54" s="401">
        <f t="shared" si="156"/>
        <v>0</v>
      </c>
    </row>
    <row r="55" spans="2:49" s="357" customFormat="1" ht="14.25" customHeight="1">
      <c r="D55" s="401"/>
      <c r="E55" s="401"/>
      <c r="F55" s="401"/>
      <c r="G55" s="401"/>
      <c r="H55" s="401"/>
      <c r="I55" s="401"/>
      <c r="J55" s="401"/>
      <c r="K55" s="401"/>
      <c r="L55" s="401"/>
      <c r="M55" s="401"/>
      <c r="N55" s="401"/>
      <c r="O55" s="401"/>
      <c r="P55" s="401"/>
      <c r="Q55" s="401"/>
      <c r="R55" s="401"/>
      <c r="S55" s="401"/>
      <c r="T55" s="401"/>
      <c r="U55" s="401"/>
      <c r="V55" s="401"/>
      <c r="W55" s="401"/>
      <c r="X55" s="401"/>
      <c r="Y55" s="401"/>
      <c r="Z55" s="401"/>
      <c r="AA55" s="401"/>
      <c r="AB55" s="401"/>
      <c r="AC55" s="401"/>
      <c r="AD55" s="401"/>
      <c r="AE55" s="401"/>
      <c r="AF55" s="401"/>
      <c r="AG55" s="401"/>
      <c r="AH55" s="401"/>
      <c r="AI55" s="401"/>
      <c r="AJ55" s="401"/>
      <c r="AK55" s="401"/>
      <c r="AL55" s="401"/>
      <c r="AM55" s="401"/>
      <c r="AN55" s="401"/>
      <c r="AO55" s="401"/>
      <c r="AP55" s="401"/>
      <c r="AQ55" s="401"/>
      <c r="AR55" s="401"/>
      <c r="AS55" s="401"/>
      <c r="AT55" s="401"/>
      <c r="AU55" s="401"/>
      <c r="AV55" s="401"/>
      <c r="AW55" s="401"/>
    </row>
    <row r="56" spans="2:49" s="357" customFormat="1" ht="14.25" customHeight="1">
      <c r="D56" s="401"/>
      <c r="E56" s="401"/>
      <c r="F56" s="401"/>
      <c r="G56" s="401"/>
      <c r="H56" s="401"/>
      <c r="I56" s="401"/>
      <c r="J56" s="401"/>
      <c r="K56" s="401"/>
      <c r="L56" s="401"/>
      <c r="M56" s="401"/>
      <c r="N56" s="401"/>
      <c r="O56" s="401"/>
      <c r="P56" s="401"/>
      <c r="Q56" s="401"/>
      <c r="R56" s="401"/>
      <c r="S56" s="401"/>
      <c r="T56" s="401"/>
      <c r="U56" s="401"/>
      <c r="V56" s="401"/>
      <c r="W56" s="401"/>
      <c r="X56" s="401"/>
      <c r="Y56" s="401"/>
      <c r="Z56" s="401"/>
      <c r="AA56" s="401"/>
      <c r="AB56" s="401"/>
      <c r="AC56" s="401"/>
      <c r="AD56" s="401"/>
      <c r="AE56" s="401"/>
      <c r="AF56" s="401"/>
      <c r="AG56" s="401"/>
      <c r="AH56" s="401"/>
      <c r="AI56" s="401"/>
      <c r="AJ56" s="401"/>
      <c r="AK56" s="401"/>
      <c r="AL56" s="401"/>
      <c r="AM56" s="401"/>
      <c r="AN56" s="401"/>
      <c r="AO56" s="401"/>
      <c r="AP56" s="401"/>
      <c r="AQ56" s="401"/>
      <c r="AR56" s="401"/>
      <c r="AS56" s="401"/>
      <c r="AT56" s="401"/>
      <c r="AU56" s="401"/>
      <c r="AV56" s="401"/>
      <c r="AW56" s="401"/>
    </row>
    <row r="57" spans="2:49" s="357" customFormat="1" ht="14.25" customHeight="1">
      <c r="C57" s="357" t="s">
        <v>422</v>
      </c>
      <c r="D57" s="329">
        <f>D30</f>
        <v>0</v>
      </c>
      <c r="E57" s="329">
        <f t="shared" ref="E57:AW57" si="157">E30</f>
        <v>1</v>
      </c>
      <c r="F57" s="329">
        <f t="shared" si="157"/>
        <v>2</v>
      </c>
      <c r="G57" s="329">
        <f t="shared" si="157"/>
        <v>3</v>
      </c>
      <c r="H57" s="329">
        <f t="shared" si="157"/>
        <v>4</v>
      </c>
      <c r="I57" s="329">
        <f t="shared" si="157"/>
        <v>5</v>
      </c>
      <c r="J57" s="329">
        <f t="shared" si="157"/>
        <v>6</v>
      </c>
      <c r="K57" s="329">
        <f t="shared" si="157"/>
        <v>7</v>
      </c>
      <c r="L57" s="329">
        <f t="shared" si="157"/>
        <v>8</v>
      </c>
      <c r="M57" s="329">
        <f t="shared" si="157"/>
        <v>9</v>
      </c>
      <c r="N57" s="329">
        <f t="shared" si="157"/>
        <v>10</v>
      </c>
      <c r="O57" s="329">
        <f t="shared" si="157"/>
        <v>11</v>
      </c>
      <c r="P57" s="329">
        <f t="shared" si="157"/>
        <v>12</v>
      </c>
      <c r="Q57" s="329">
        <f t="shared" si="157"/>
        <v>13</v>
      </c>
      <c r="R57" s="329">
        <f t="shared" si="157"/>
        <v>14</v>
      </c>
      <c r="S57" s="329">
        <f t="shared" si="157"/>
        <v>15</v>
      </c>
      <c r="T57" s="329">
        <f t="shared" si="157"/>
        <v>16</v>
      </c>
      <c r="U57" s="329">
        <f t="shared" si="157"/>
        <v>17</v>
      </c>
      <c r="V57" s="329">
        <f t="shared" si="157"/>
        <v>18</v>
      </c>
      <c r="W57" s="329">
        <f t="shared" si="157"/>
        <v>19</v>
      </c>
      <c r="X57" s="329">
        <f t="shared" si="157"/>
        <v>20</v>
      </c>
      <c r="Y57" s="329">
        <f t="shared" si="157"/>
        <v>21</v>
      </c>
      <c r="Z57" s="329">
        <f t="shared" si="157"/>
        <v>22</v>
      </c>
      <c r="AA57" s="329">
        <f t="shared" si="157"/>
        <v>23</v>
      </c>
      <c r="AB57" s="329">
        <f t="shared" si="157"/>
        <v>24</v>
      </c>
      <c r="AC57" s="329">
        <f t="shared" si="157"/>
        <v>25</v>
      </c>
      <c r="AD57" s="329">
        <f t="shared" si="157"/>
        <v>26</v>
      </c>
      <c r="AE57" s="329">
        <f t="shared" si="157"/>
        <v>27</v>
      </c>
      <c r="AF57" s="329">
        <f t="shared" si="157"/>
        <v>28</v>
      </c>
      <c r="AG57" s="329">
        <f t="shared" si="157"/>
        <v>29</v>
      </c>
      <c r="AH57" s="329">
        <f t="shared" si="157"/>
        <v>30</v>
      </c>
      <c r="AI57" s="329">
        <f t="shared" si="157"/>
        <v>31</v>
      </c>
      <c r="AJ57" s="329">
        <f t="shared" si="157"/>
        <v>32</v>
      </c>
      <c r="AK57" s="329">
        <f t="shared" si="157"/>
        <v>33</v>
      </c>
      <c r="AL57" s="329">
        <f t="shared" si="157"/>
        <v>34</v>
      </c>
      <c r="AM57" s="329">
        <f t="shared" si="157"/>
        <v>35</v>
      </c>
      <c r="AN57" s="329">
        <f t="shared" si="157"/>
        <v>36</v>
      </c>
      <c r="AO57" s="329">
        <f t="shared" si="157"/>
        <v>37</v>
      </c>
      <c r="AP57" s="329">
        <f t="shared" si="157"/>
        <v>38</v>
      </c>
      <c r="AQ57" s="329">
        <f t="shared" si="157"/>
        <v>39</v>
      </c>
      <c r="AR57" s="329">
        <f t="shared" si="157"/>
        <v>40</v>
      </c>
      <c r="AS57" s="329">
        <f t="shared" si="157"/>
        <v>41</v>
      </c>
      <c r="AT57" s="329">
        <f t="shared" si="157"/>
        <v>42</v>
      </c>
      <c r="AU57" s="329">
        <f t="shared" si="157"/>
        <v>43</v>
      </c>
      <c r="AV57" s="329">
        <f t="shared" si="157"/>
        <v>44</v>
      </c>
      <c r="AW57" s="329">
        <f t="shared" si="157"/>
        <v>45</v>
      </c>
    </row>
    <row r="58" spans="2:49" s="357" customFormat="1" ht="14.25" customHeight="1">
      <c r="C58" s="342" t="s">
        <v>423</v>
      </c>
      <c r="D58" s="402">
        <f>D44</f>
        <v>0</v>
      </c>
      <c r="E58" s="402">
        <f t="shared" ref="E58:AW58" si="158">E44</f>
        <v>-60.671411256594041</v>
      </c>
      <c r="F58" s="402">
        <f t="shared" si="158"/>
        <v>108.80693494810083</v>
      </c>
      <c r="G58" s="402">
        <f t="shared" si="158"/>
        <v>281.89447239732328</v>
      </c>
      <c r="H58" s="402">
        <f t="shared" si="158"/>
        <v>471.85880393105424</v>
      </c>
      <c r="I58" s="402">
        <f t="shared" si="158"/>
        <v>668.62430319561543</v>
      </c>
      <c r="J58" s="402">
        <f t="shared" si="158"/>
        <v>869.16673996906491</v>
      </c>
      <c r="K58" s="402">
        <f t="shared" si="158"/>
        <v>1073.5626988806537</v>
      </c>
      <c r="L58" s="402">
        <f t="shared" si="158"/>
        <v>1281.8902936144352</v>
      </c>
      <c r="M58" s="402">
        <f t="shared" si="158"/>
        <v>1494.2291974965797</v>
      </c>
      <c r="N58" s="402">
        <f t="shared" si="158"/>
        <v>1710.6606746944124</v>
      </c>
      <c r="O58" s="402">
        <f t="shared" si="158"/>
        <v>1931.2676120394121</v>
      </c>
      <c r="P58" s="402">
        <f t="shared" si="158"/>
        <v>2156.1345514866471</v>
      </c>
      <c r="Q58" s="402">
        <f t="shared" si="158"/>
        <v>2385.3477232233781</v>
      </c>
      <c r="R58" s="402">
        <f t="shared" si="158"/>
        <v>2618.9950794398105</v>
      </c>
      <c r="S58" s="402">
        <f t="shared" si="158"/>
        <v>2857.1663287752403</v>
      </c>
      <c r="T58" s="402">
        <f t="shared" si="158"/>
        <v>3099.9529714531022</v>
      </c>
      <c r="U58" s="402">
        <f t="shared" si="158"/>
        <v>3347.4483351186941</v>
      </c>
      <c r="V58" s="402">
        <f t="shared" si="158"/>
        <v>3599.7476113936345</v>
      </c>
      <c r="W58" s="402">
        <f t="shared" si="158"/>
        <v>3856.9478931613885</v>
      </c>
      <c r="X58" s="402">
        <f t="shared" si="158"/>
        <v>4119.1482125984803</v>
      </c>
      <c r="Y58" s="402">
        <f t="shared" si="158"/>
        <v>4386.4495799663082</v>
      </c>
      <c r="Z58" s="402">
        <f t="shared" si="158"/>
        <v>4658.9550231787725</v>
      </c>
      <c r="AA58" s="402">
        <f t="shared" si="158"/>
        <v>4936.7696281612352</v>
      </c>
      <c r="AB58" s="402">
        <f t="shared" si="158"/>
        <v>5220.0005800166364</v>
      </c>
      <c r="AC58" s="402">
        <f t="shared" si="158"/>
        <v>5508.7572050149056</v>
      </c>
      <c r="AD58" s="402">
        <f t="shared" si="158"/>
        <v>5812.1510134221453</v>
      </c>
      <c r="AE58" s="402">
        <f t="shared" si="158"/>
        <v>5829.7690606897313</v>
      </c>
      <c r="AF58" s="402">
        <f t="shared" si="158"/>
        <v>5847.3430628391479</v>
      </c>
      <c r="AG58" s="402">
        <f t="shared" si="158"/>
        <v>5864.8731299831916</v>
      </c>
      <c r="AH58" s="402">
        <f t="shared" si="158"/>
        <v>5864.8731299831916</v>
      </c>
      <c r="AI58" s="402">
        <f t="shared" si="158"/>
        <v>5864.8731299831916</v>
      </c>
      <c r="AJ58" s="402">
        <f t="shared" si="158"/>
        <v>5864.8731299831916</v>
      </c>
      <c r="AK58" s="402">
        <f t="shared" si="158"/>
        <v>5864.8731299831916</v>
      </c>
      <c r="AL58" s="402">
        <f t="shared" si="158"/>
        <v>5864.8731299831916</v>
      </c>
      <c r="AM58" s="402">
        <f t="shared" si="158"/>
        <v>5864.8731299831916</v>
      </c>
      <c r="AN58" s="402">
        <f t="shared" si="158"/>
        <v>5864.8731299831916</v>
      </c>
      <c r="AO58" s="402">
        <f t="shared" si="158"/>
        <v>5864.8731299831916</v>
      </c>
      <c r="AP58" s="402">
        <f t="shared" si="158"/>
        <v>5864.8731299831916</v>
      </c>
      <c r="AQ58" s="402">
        <f t="shared" si="158"/>
        <v>5864.8731299831916</v>
      </c>
      <c r="AR58" s="402">
        <f t="shared" si="158"/>
        <v>5864.8731299831916</v>
      </c>
      <c r="AS58" s="402">
        <f t="shared" si="158"/>
        <v>5864.8731299831916</v>
      </c>
      <c r="AT58" s="402">
        <f t="shared" si="158"/>
        <v>5864.8731299831916</v>
      </c>
      <c r="AU58" s="402">
        <f t="shared" si="158"/>
        <v>5864.8731299831916</v>
      </c>
      <c r="AV58" s="402">
        <f t="shared" si="158"/>
        <v>5864.8731299831916</v>
      </c>
      <c r="AW58" s="402">
        <f t="shared" si="158"/>
        <v>5864.8731299831916</v>
      </c>
    </row>
    <row r="59" spans="2:49" s="357" customFormat="1" ht="14.25" customHeight="1">
      <c r="C59" s="342" t="s">
        <v>424</v>
      </c>
      <c r="D59" s="403">
        <f>IF(AND(C58&lt;0,D58&gt;=0),1,0)</f>
        <v>0</v>
      </c>
      <c r="E59" s="403">
        <f>IF(AND(D58&lt;0,E58&gt;=0),1,0)</f>
        <v>0</v>
      </c>
      <c r="F59" s="403">
        <f t="shared" ref="F59:AW59" si="159">IF(AND(E58&lt;0,F58&gt;=0),1,0)</f>
        <v>1</v>
      </c>
      <c r="G59" s="403">
        <f>IF(AND(F58&lt;0,G58&gt;=0),1,0)</f>
        <v>0</v>
      </c>
      <c r="H59" s="403">
        <f t="shared" si="159"/>
        <v>0</v>
      </c>
      <c r="I59" s="403">
        <f t="shared" si="159"/>
        <v>0</v>
      </c>
      <c r="J59" s="403">
        <f t="shared" si="159"/>
        <v>0</v>
      </c>
      <c r="K59" s="403">
        <f t="shared" si="159"/>
        <v>0</v>
      </c>
      <c r="L59" s="403">
        <f t="shared" si="159"/>
        <v>0</v>
      </c>
      <c r="M59" s="403">
        <f t="shared" si="159"/>
        <v>0</v>
      </c>
      <c r="N59" s="403">
        <f t="shared" si="159"/>
        <v>0</v>
      </c>
      <c r="O59" s="403">
        <f t="shared" si="159"/>
        <v>0</v>
      </c>
      <c r="P59" s="403">
        <f t="shared" si="159"/>
        <v>0</v>
      </c>
      <c r="Q59" s="403">
        <f t="shared" si="159"/>
        <v>0</v>
      </c>
      <c r="R59" s="403">
        <f t="shared" si="159"/>
        <v>0</v>
      </c>
      <c r="S59" s="403">
        <f t="shared" si="159"/>
        <v>0</v>
      </c>
      <c r="T59" s="403">
        <f t="shared" si="159"/>
        <v>0</v>
      </c>
      <c r="U59" s="403">
        <f t="shared" si="159"/>
        <v>0</v>
      </c>
      <c r="V59" s="403">
        <f t="shared" si="159"/>
        <v>0</v>
      </c>
      <c r="W59" s="403">
        <f t="shared" si="159"/>
        <v>0</v>
      </c>
      <c r="X59" s="403">
        <f t="shared" si="159"/>
        <v>0</v>
      </c>
      <c r="Y59" s="403">
        <f t="shared" si="159"/>
        <v>0</v>
      </c>
      <c r="Z59" s="403">
        <f t="shared" si="159"/>
        <v>0</v>
      </c>
      <c r="AA59" s="403">
        <f t="shared" si="159"/>
        <v>0</v>
      </c>
      <c r="AB59" s="403">
        <f t="shared" si="159"/>
        <v>0</v>
      </c>
      <c r="AC59" s="403">
        <f t="shared" si="159"/>
        <v>0</v>
      </c>
      <c r="AD59" s="403">
        <f t="shared" si="159"/>
        <v>0</v>
      </c>
      <c r="AE59" s="403">
        <f t="shared" si="159"/>
        <v>0</v>
      </c>
      <c r="AF59" s="403">
        <f t="shared" si="159"/>
        <v>0</v>
      </c>
      <c r="AG59" s="403">
        <f t="shared" si="159"/>
        <v>0</v>
      </c>
      <c r="AH59" s="403">
        <f t="shared" si="159"/>
        <v>0</v>
      </c>
      <c r="AI59" s="403">
        <f t="shared" si="159"/>
        <v>0</v>
      </c>
      <c r="AJ59" s="403">
        <f t="shared" si="159"/>
        <v>0</v>
      </c>
      <c r="AK59" s="403">
        <f t="shared" si="159"/>
        <v>0</v>
      </c>
      <c r="AL59" s="403">
        <f t="shared" si="159"/>
        <v>0</v>
      </c>
      <c r="AM59" s="403">
        <f t="shared" si="159"/>
        <v>0</v>
      </c>
      <c r="AN59" s="403">
        <f t="shared" si="159"/>
        <v>0</v>
      </c>
      <c r="AO59" s="403">
        <f t="shared" si="159"/>
        <v>0</v>
      </c>
      <c r="AP59" s="403">
        <f t="shared" si="159"/>
        <v>0</v>
      </c>
      <c r="AQ59" s="403">
        <f t="shared" si="159"/>
        <v>0</v>
      </c>
      <c r="AR59" s="403">
        <f t="shared" si="159"/>
        <v>0</v>
      </c>
      <c r="AS59" s="403">
        <f t="shared" si="159"/>
        <v>0</v>
      </c>
      <c r="AT59" s="403">
        <f t="shared" si="159"/>
        <v>0</v>
      </c>
      <c r="AU59" s="403">
        <f t="shared" si="159"/>
        <v>0</v>
      </c>
      <c r="AV59" s="403">
        <f t="shared" si="159"/>
        <v>0</v>
      </c>
      <c r="AW59" s="403">
        <f t="shared" si="159"/>
        <v>0</v>
      </c>
    </row>
    <row r="60" spans="2:49" s="357" customFormat="1" ht="14.25" customHeight="1">
      <c r="C60" s="342" t="s">
        <v>425</v>
      </c>
      <c r="D60" s="403">
        <f>IF(D59=1,C58/D43,0)*-1</f>
        <v>0</v>
      </c>
      <c r="E60" s="403">
        <f>IF(E59=1,D58/E43,0)*-1</f>
        <v>0</v>
      </c>
      <c r="F60" s="403">
        <f t="shared" ref="F60:AW60" si="160">IF(F59=1,E58/F43,0)*-1</f>
        <v>0.35798916271766951</v>
      </c>
      <c r="G60" s="403">
        <f>IF(G59=1,F58/G43,0)*-1</f>
        <v>0</v>
      </c>
      <c r="H60" s="403">
        <f t="shared" si="160"/>
        <v>0</v>
      </c>
      <c r="I60" s="403">
        <f t="shared" si="160"/>
        <v>0</v>
      </c>
      <c r="J60" s="403">
        <f t="shared" si="160"/>
        <v>0</v>
      </c>
      <c r="K60" s="403">
        <f t="shared" si="160"/>
        <v>0</v>
      </c>
      <c r="L60" s="403">
        <f t="shared" si="160"/>
        <v>0</v>
      </c>
      <c r="M60" s="403">
        <f t="shared" si="160"/>
        <v>0</v>
      </c>
      <c r="N60" s="403">
        <f t="shared" si="160"/>
        <v>0</v>
      </c>
      <c r="O60" s="403">
        <f t="shared" si="160"/>
        <v>0</v>
      </c>
      <c r="P60" s="403">
        <f t="shared" si="160"/>
        <v>0</v>
      </c>
      <c r="Q60" s="403">
        <f t="shared" si="160"/>
        <v>0</v>
      </c>
      <c r="R60" s="403">
        <f t="shared" si="160"/>
        <v>0</v>
      </c>
      <c r="S60" s="403">
        <f t="shared" si="160"/>
        <v>0</v>
      </c>
      <c r="T60" s="403">
        <f t="shared" si="160"/>
        <v>0</v>
      </c>
      <c r="U60" s="403">
        <f t="shared" si="160"/>
        <v>0</v>
      </c>
      <c r="V60" s="403">
        <f t="shared" si="160"/>
        <v>0</v>
      </c>
      <c r="W60" s="403">
        <f t="shared" si="160"/>
        <v>0</v>
      </c>
      <c r="X60" s="403">
        <f t="shared" si="160"/>
        <v>0</v>
      </c>
      <c r="Y60" s="403">
        <f t="shared" si="160"/>
        <v>0</v>
      </c>
      <c r="Z60" s="403">
        <f t="shared" si="160"/>
        <v>0</v>
      </c>
      <c r="AA60" s="403">
        <f t="shared" si="160"/>
        <v>0</v>
      </c>
      <c r="AB60" s="403">
        <f t="shared" si="160"/>
        <v>0</v>
      </c>
      <c r="AC60" s="403">
        <f t="shared" si="160"/>
        <v>0</v>
      </c>
      <c r="AD60" s="403">
        <f t="shared" si="160"/>
        <v>0</v>
      </c>
      <c r="AE60" s="403">
        <f t="shared" si="160"/>
        <v>0</v>
      </c>
      <c r="AF60" s="403">
        <f t="shared" si="160"/>
        <v>0</v>
      </c>
      <c r="AG60" s="403">
        <f t="shared" si="160"/>
        <v>0</v>
      </c>
      <c r="AH60" s="403">
        <f t="shared" si="160"/>
        <v>0</v>
      </c>
      <c r="AI60" s="403">
        <f t="shared" si="160"/>
        <v>0</v>
      </c>
      <c r="AJ60" s="403">
        <f t="shared" si="160"/>
        <v>0</v>
      </c>
      <c r="AK60" s="403">
        <f t="shared" si="160"/>
        <v>0</v>
      </c>
      <c r="AL60" s="403">
        <f t="shared" si="160"/>
        <v>0</v>
      </c>
      <c r="AM60" s="403">
        <f t="shared" si="160"/>
        <v>0</v>
      </c>
      <c r="AN60" s="403">
        <f t="shared" si="160"/>
        <v>0</v>
      </c>
      <c r="AO60" s="403">
        <f t="shared" si="160"/>
        <v>0</v>
      </c>
      <c r="AP60" s="403">
        <f t="shared" si="160"/>
        <v>0</v>
      </c>
      <c r="AQ60" s="403">
        <f t="shared" si="160"/>
        <v>0</v>
      </c>
      <c r="AR60" s="403">
        <f t="shared" si="160"/>
        <v>0</v>
      </c>
      <c r="AS60" s="403">
        <f t="shared" si="160"/>
        <v>0</v>
      </c>
      <c r="AT60" s="403">
        <f t="shared" si="160"/>
        <v>0</v>
      </c>
      <c r="AU60" s="403">
        <f t="shared" si="160"/>
        <v>0</v>
      </c>
      <c r="AV60" s="403">
        <f t="shared" si="160"/>
        <v>0</v>
      </c>
      <c r="AW60" s="403">
        <f t="shared" si="160"/>
        <v>0</v>
      </c>
    </row>
    <row r="61" spans="2:49" s="357" customFormat="1" ht="14.25" customHeight="1">
      <c r="C61" s="342" t="s">
        <v>426</v>
      </c>
      <c r="D61" s="403">
        <f>IF(D59&lt;&gt;1,0,D57*D59-1+D60)</f>
        <v>0</v>
      </c>
      <c r="E61" s="403">
        <f>IF(E59&lt;&gt;1,0,E57*E59-1+E60)</f>
        <v>0</v>
      </c>
      <c r="F61" s="403">
        <f t="shared" ref="F61:AW61" si="161">IF(F59&lt;&gt;1,0,F57*F59-1+F60)</f>
        <v>1.3579891627176695</v>
      </c>
      <c r="G61" s="403">
        <f>IF(G59&lt;&gt;1,0,G57*G59-1+G60)</f>
        <v>0</v>
      </c>
      <c r="H61" s="403">
        <f t="shared" si="161"/>
        <v>0</v>
      </c>
      <c r="I61" s="403">
        <f t="shared" si="161"/>
        <v>0</v>
      </c>
      <c r="J61" s="403">
        <f t="shared" si="161"/>
        <v>0</v>
      </c>
      <c r="K61" s="403">
        <f t="shared" si="161"/>
        <v>0</v>
      </c>
      <c r="L61" s="403">
        <f t="shared" si="161"/>
        <v>0</v>
      </c>
      <c r="M61" s="403">
        <f t="shared" si="161"/>
        <v>0</v>
      </c>
      <c r="N61" s="403">
        <f t="shared" si="161"/>
        <v>0</v>
      </c>
      <c r="O61" s="403">
        <f t="shared" si="161"/>
        <v>0</v>
      </c>
      <c r="P61" s="403">
        <f t="shared" si="161"/>
        <v>0</v>
      </c>
      <c r="Q61" s="403">
        <f t="shared" si="161"/>
        <v>0</v>
      </c>
      <c r="R61" s="403">
        <f t="shared" si="161"/>
        <v>0</v>
      </c>
      <c r="S61" s="403">
        <f t="shared" si="161"/>
        <v>0</v>
      </c>
      <c r="T61" s="403">
        <f t="shared" si="161"/>
        <v>0</v>
      </c>
      <c r="U61" s="403">
        <f t="shared" si="161"/>
        <v>0</v>
      </c>
      <c r="V61" s="403">
        <f t="shared" si="161"/>
        <v>0</v>
      </c>
      <c r="W61" s="403">
        <f t="shared" si="161"/>
        <v>0</v>
      </c>
      <c r="X61" s="403">
        <f t="shared" si="161"/>
        <v>0</v>
      </c>
      <c r="Y61" s="403">
        <f t="shared" si="161"/>
        <v>0</v>
      </c>
      <c r="Z61" s="403">
        <f t="shared" si="161"/>
        <v>0</v>
      </c>
      <c r="AA61" s="403">
        <f t="shared" si="161"/>
        <v>0</v>
      </c>
      <c r="AB61" s="403">
        <f t="shared" si="161"/>
        <v>0</v>
      </c>
      <c r="AC61" s="403">
        <f t="shared" si="161"/>
        <v>0</v>
      </c>
      <c r="AD61" s="403">
        <f t="shared" si="161"/>
        <v>0</v>
      </c>
      <c r="AE61" s="403">
        <f t="shared" si="161"/>
        <v>0</v>
      </c>
      <c r="AF61" s="403">
        <f t="shared" si="161"/>
        <v>0</v>
      </c>
      <c r="AG61" s="403">
        <f t="shared" si="161"/>
        <v>0</v>
      </c>
      <c r="AH61" s="403">
        <f t="shared" si="161"/>
        <v>0</v>
      </c>
      <c r="AI61" s="403">
        <f t="shared" si="161"/>
        <v>0</v>
      </c>
      <c r="AJ61" s="403">
        <f t="shared" si="161"/>
        <v>0</v>
      </c>
      <c r="AK61" s="403">
        <f t="shared" si="161"/>
        <v>0</v>
      </c>
      <c r="AL61" s="403">
        <f t="shared" si="161"/>
        <v>0</v>
      </c>
      <c r="AM61" s="403">
        <f t="shared" si="161"/>
        <v>0</v>
      </c>
      <c r="AN61" s="403">
        <f t="shared" si="161"/>
        <v>0</v>
      </c>
      <c r="AO61" s="403">
        <f t="shared" si="161"/>
        <v>0</v>
      </c>
      <c r="AP61" s="403">
        <f t="shared" si="161"/>
        <v>0</v>
      </c>
      <c r="AQ61" s="403">
        <f t="shared" si="161"/>
        <v>0</v>
      </c>
      <c r="AR61" s="403">
        <f t="shared" si="161"/>
        <v>0</v>
      </c>
      <c r="AS61" s="403">
        <f t="shared" si="161"/>
        <v>0</v>
      </c>
      <c r="AT61" s="403">
        <f t="shared" si="161"/>
        <v>0</v>
      </c>
      <c r="AU61" s="403">
        <f t="shared" si="161"/>
        <v>0</v>
      </c>
      <c r="AV61" s="403">
        <f t="shared" si="161"/>
        <v>0</v>
      </c>
      <c r="AW61" s="403">
        <f t="shared" si="161"/>
        <v>0</v>
      </c>
    </row>
    <row r="62" spans="2:49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49" ht="14.25" customHeight="1" thickBo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49" ht="14.25" customHeight="1" thickBot="1">
      <c r="B64" s="2"/>
      <c r="C64" s="809" t="s">
        <v>427</v>
      </c>
      <c r="D64" s="821"/>
      <c r="E64" s="82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2"/>
      <c r="Z64" s="2"/>
    </row>
    <row r="65" spans="1:6" ht="14.25" customHeight="1">
      <c r="A65" s="2"/>
      <c r="B65" s="2"/>
      <c r="C65" s="278" t="s">
        <v>428</v>
      </c>
      <c r="D65" s="84"/>
      <c r="E65" s="332">
        <f>'Assumptions &amp; Inputs'!L5</f>
        <v>0</v>
      </c>
      <c r="F65" s="4" t="s">
        <v>429</v>
      </c>
    </row>
    <row r="66" spans="1:6" ht="14.25" customHeight="1">
      <c r="A66" s="200"/>
      <c r="B66" s="200"/>
      <c r="C66" s="278" t="s">
        <v>430</v>
      </c>
      <c r="D66" s="84"/>
      <c r="E66" s="333">
        <f>E65/SUM(E36:E37)</f>
        <v>0</v>
      </c>
      <c r="F66" s="1"/>
    </row>
    <row r="67" spans="1:6" ht="14.25" customHeight="1">
      <c r="A67" s="1"/>
      <c r="B67" s="1"/>
      <c r="C67" s="278" t="s">
        <v>431</v>
      </c>
      <c r="D67" s="84"/>
      <c r="E67" s="334">
        <f>-SUM(D38:G38)</f>
        <v>180</v>
      </c>
      <c r="F67" s="1"/>
    </row>
    <row r="68" spans="1:6" ht="14.25" customHeight="1">
      <c r="A68" s="1"/>
      <c r="B68" s="1"/>
      <c r="C68" s="278"/>
      <c r="D68" s="84"/>
      <c r="E68" s="335"/>
      <c r="F68" s="1"/>
    </row>
    <row r="69" spans="1:6" ht="14.25" customHeight="1">
      <c r="A69" s="1"/>
      <c r="B69" s="1"/>
      <c r="C69" s="336" t="s">
        <v>432</v>
      </c>
      <c r="D69" s="83"/>
      <c r="E69" s="337">
        <f>XNPV('Assumptions &amp; Inputs'!$E$16,D43:AW43,D33:AW33)</f>
        <v>1394.7862596248433</v>
      </c>
      <c r="F69" s="1"/>
    </row>
    <row r="70" spans="1:6" ht="14.25" customHeight="1">
      <c r="A70" s="2"/>
      <c r="B70" s="2"/>
      <c r="C70" s="336" t="s">
        <v>433</v>
      </c>
      <c r="D70" s="83"/>
      <c r="E70" s="338">
        <f>IFERROR(XIRR(D43:AW43,D33:AW33),"n.a.")</f>
        <v>0.87155555486679082</v>
      </c>
      <c r="F70" s="1"/>
    </row>
    <row r="71" spans="1:6">
      <c r="A71" s="1"/>
      <c r="B71" s="1"/>
      <c r="C71" s="322" t="s">
        <v>434</v>
      </c>
      <c r="D71" s="84"/>
      <c r="E71" s="340">
        <f>I54</f>
        <v>1.2442708285152071</v>
      </c>
      <c r="F71" s="1"/>
    </row>
    <row r="72" spans="1:6" ht="16" thickBot="1">
      <c r="A72" s="1"/>
      <c r="B72" s="1"/>
      <c r="C72" s="339" t="s">
        <v>435</v>
      </c>
      <c r="D72" s="86"/>
      <c r="E72" s="341">
        <f>J61</f>
        <v>0</v>
      </c>
      <c r="F72" s="1"/>
    </row>
    <row r="73" spans="1:6" ht="14.25" customHeight="1">
      <c r="A73" s="1"/>
      <c r="B73" s="1"/>
      <c r="C73" s="1"/>
      <c r="D73" s="1"/>
      <c r="E73" s="1"/>
      <c r="F73" s="1"/>
    </row>
    <row r="74" spans="1:6" ht="14.25" customHeight="1">
      <c r="A74" s="1"/>
      <c r="B74" s="1"/>
      <c r="C74" s="1"/>
      <c r="D74" s="1"/>
      <c r="E74" s="1"/>
      <c r="F74" s="1"/>
    </row>
    <row r="75" spans="1:6" ht="14.25" customHeight="1" thickBot="1">
      <c r="A75" s="1" t="s">
        <v>351</v>
      </c>
      <c r="B75" s="1"/>
      <c r="C75" s="9" t="s">
        <v>436</v>
      </c>
      <c r="D75" s="9"/>
      <c r="E75" s="10"/>
      <c r="F75" s="10"/>
    </row>
    <row r="76" spans="1:6" ht="14.25" customHeight="1">
      <c r="A76" s="1"/>
      <c r="B76" s="1"/>
      <c r="C76" s="12" t="s">
        <v>353</v>
      </c>
      <c r="D76" s="13"/>
      <c r="E76" s="14"/>
      <c r="F76" s="14"/>
    </row>
    <row r="77" spans="1:6" ht="14.25" customHeight="1" thickBot="1">
      <c r="A77" s="1"/>
      <c r="B77" s="1"/>
      <c r="C77" s="12"/>
      <c r="D77" s="13"/>
      <c r="E77" s="14"/>
      <c r="F77" s="14"/>
    </row>
    <row r="78" spans="1:6" ht="14.25" customHeight="1" thickBot="1">
      <c r="A78" s="1"/>
      <c r="B78" s="1"/>
      <c r="C78" s="812" t="s">
        <v>437</v>
      </c>
      <c r="D78" s="823"/>
      <c r="E78" s="824"/>
      <c r="F78" s="14"/>
    </row>
    <row r="79" spans="1:6" ht="14.25" customHeight="1">
      <c r="A79" s="1"/>
      <c r="B79" s="1"/>
      <c r="C79" s="98" t="s">
        <v>438</v>
      </c>
      <c r="D79" s="13"/>
      <c r="E79" s="99">
        <f>E80*SUM(E65,E67)</f>
        <v>0</v>
      </c>
      <c r="F79" s="14"/>
    </row>
    <row r="80" spans="1:6" ht="14.25" customHeight="1">
      <c r="A80" s="1"/>
      <c r="B80" s="1"/>
      <c r="C80" s="98" t="s">
        <v>439</v>
      </c>
      <c r="D80" s="13"/>
      <c r="E80" s="100">
        <f>'Assumptions &amp; Inputs'!L8</f>
        <v>0</v>
      </c>
      <c r="F80" s="14"/>
    </row>
    <row r="81" spans="3:49" ht="14.25" customHeight="1">
      <c r="C81" s="98" t="s">
        <v>440</v>
      </c>
      <c r="D81" s="13"/>
      <c r="E81" s="95">
        <f>IFERROR(SUM(E91:AW91)/SUM(E92:AW92),0)</f>
        <v>0</v>
      </c>
      <c r="F81" s="14"/>
      <c r="G81" s="14"/>
      <c r="H81" s="14"/>
      <c r="I81" s="14"/>
      <c r="J81" s="14"/>
      <c r="K81" s="14"/>
      <c r="L81" s="14"/>
      <c r="M81" s="14"/>
      <c r="N81" s="1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3:49" ht="14.25" customHeight="1">
      <c r="C82" s="98"/>
      <c r="D82" s="13"/>
      <c r="E82" s="95"/>
      <c r="F82" s="14"/>
      <c r="G82" s="14"/>
      <c r="H82" s="14"/>
      <c r="I82" s="14"/>
      <c r="J82" s="14"/>
      <c r="K82" s="14"/>
      <c r="L82" s="14"/>
      <c r="M82" s="14"/>
      <c r="N82" s="1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3:49" ht="14.25" customHeight="1">
      <c r="C83" s="101" t="s">
        <v>441</v>
      </c>
      <c r="D83" s="25"/>
      <c r="E83" s="97">
        <f>XNPV('Assumptions &amp; Inputs'!$E$16,D94:AW94,D90:AW90)</f>
        <v>1379.3143055930416</v>
      </c>
      <c r="F83" s="14"/>
      <c r="G83" s="14"/>
      <c r="H83" s="14"/>
      <c r="I83" s="14"/>
      <c r="J83" s="14"/>
      <c r="K83" s="14"/>
      <c r="L83" s="14"/>
      <c r="M83" s="14"/>
      <c r="N83" s="1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3:49" ht="14.25" customHeight="1" thickBot="1">
      <c r="C84" s="26" t="s">
        <v>442</v>
      </c>
      <c r="D84" s="27"/>
      <c r="E84" s="28">
        <f>IFERROR(XIRR(D94:AW94,D90:AW90),"n.a.")</f>
        <v>0.80848177671432508</v>
      </c>
      <c r="F84" s="14"/>
      <c r="G84" s="14"/>
      <c r="H84" s="14"/>
      <c r="I84" s="14"/>
      <c r="J84" s="14"/>
      <c r="K84" s="14"/>
      <c r="L84" s="14"/>
      <c r="M84" s="14"/>
      <c r="N84" s="1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3:49" ht="14.25" customHeight="1">
      <c r="C85" s="12"/>
      <c r="D85" s="13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3:49" ht="14.25" customHeight="1">
      <c r="C86" s="12"/>
      <c r="D86" s="13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3:49" ht="14.25" customHeight="1">
      <c r="C87" s="1"/>
      <c r="D87" s="90">
        <v>0</v>
      </c>
      <c r="E87" s="90">
        <f t="shared" ref="E87:X87" si="162">D87+1</f>
        <v>1</v>
      </c>
      <c r="F87" s="90">
        <f t="shared" si="162"/>
        <v>2</v>
      </c>
      <c r="G87" s="90">
        <f t="shared" si="162"/>
        <v>3</v>
      </c>
      <c r="H87" s="90">
        <f t="shared" si="162"/>
        <v>4</v>
      </c>
      <c r="I87" s="90">
        <f t="shared" si="162"/>
        <v>5</v>
      </c>
      <c r="J87" s="90">
        <f t="shared" si="162"/>
        <v>6</v>
      </c>
      <c r="K87" s="90">
        <f t="shared" si="162"/>
        <v>7</v>
      </c>
      <c r="L87" s="90">
        <f t="shared" si="162"/>
        <v>8</v>
      </c>
      <c r="M87" s="90">
        <f t="shared" si="162"/>
        <v>9</v>
      </c>
      <c r="N87" s="90">
        <f t="shared" si="162"/>
        <v>10</v>
      </c>
      <c r="O87" s="90">
        <f t="shared" si="162"/>
        <v>11</v>
      </c>
      <c r="P87" s="90">
        <f t="shared" si="162"/>
        <v>12</v>
      </c>
      <c r="Q87" s="90">
        <f>P87+1</f>
        <v>13</v>
      </c>
      <c r="R87" s="90">
        <f t="shared" si="162"/>
        <v>14</v>
      </c>
      <c r="S87" s="90">
        <f t="shared" si="162"/>
        <v>15</v>
      </c>
      <c r="T87" s="90">
        <f t="shared" si="162"/>
        <v>16</v>
      </c>
      <c r="U87" s="90">
        <f t="shared" si="162"/>
        <v>17</v>
      </c>
      <c r="V87" s="90">
        <f t="shared" si="162"/>
        <v>18</v>
      </c>
      <c r="W87" s="90">
        <f t="shared" si="162"/>
        <v>19</v>
      </c>
      <c r="X87" s="90">
        <f t="shared" si="162"/>
        <v>20</v>
      </c>
      <c r="Y87" s="90">
        <f t="shared" ref="Y87" si="163">X87+1</f>
        <v>21</v>
      </c>
      <c r="Z87" s="90">
        <f t="shared" ref="Z87" si="164">Y87+1</f>
        <v>22</v>
      </c>
      <c r="AA87" s="90">
        <f t="shared" ref="AA87" si="165">Z87+1</f>
        <v>23</v>
      </c>
      <c r="AB87" s="90">
        <f t="shared" ref="AB87" si="166">AA87+1</f>
        <v>24</v>
      </c>
      <c r="AC87" s="90">
        <f t="shared" ref="AC87" si="167">AB87+1</f>
        <v>25</v>
      </c>
      <c r="AD87" s="90">
        <f t="shared" ref="AD87" si="168">AC87+1</f>
        <v>26</v>
      </c>
      <c r="AE87" s="90">
        <f t="shared" ref="AE87" si="169">AD87+1</f>
        <v>27</v>
      </c>
      <c r="AF87" s="90">
        <f t="shared" ref="AF87" si="170">AE87+1</f>
        <v>28</v>
      </c>
      <c r="AG87" s="90">
        <f t="shared" ref="AG87" si="171">AF87+1</f>
        <v>29</v>
      </c>
      <c r="AH87" s="90">
        <f t="shared" ref="AH87" si="172">AG87+1</f>
        <v>30</v>
      </c>
      <c r="AI87" s="90">
        <f t="shared" ref="AI87" si="173">AH87+1</f>
        <v>31</v>
      </c>
      <c r="AJ87" s="90">
        <f t="shared" ref="AJ87" si="174">AI87+1</f>
        <v>32</v>
      </c>
      <c r="AK87" s="90">
        <f t="shared" ref="AK87" si="175">AJ87+1</f>
        <v>33</v>
      </c>
      <c r="AL87" s="90">
        <f t="shared" ref="AL87" si="176">AK87+1</f>
        <v>34</v>
      </c>
      <c r="AM87" s="90">
        <f t="shared" ref="AM87" si="177">AL87+1</f>
        <v>35</v>
      </c>
      <c r="AN87" s="90">
        <f t="shared" ref="AN87" si="178">AM87+1</f>
        <v>36</v>
      </c>
      <c r="AO87" s="90">
        <f t="shared" ref="AO87" si="179">AN87+1</f>
        <v>37</v>
      </c>
      <c r="AP87" s="90">
        <f t="shared" ref="AP87" si="180">AO87+1</f>
        <v>38</v>
      </c>
      <c r="AQ87" s="90">
        <f t="shared" ref="AQ87" si="181">AP87+1</f>
        <v>39</v>
      </c>
      <c r="AR87" s="90">
        <f t="shared" ref="AR87" si="182">AQ87+1</f>
        <v>40</v>
      </c>
      <c r="AS87" s="90">
        <f t="shared" ref="AS87" si="183">AR87+1</f>
        <v>41</v>
      </c>
      <c r="AT87" s="90">
        <f t="shared" ref="AT87" si="184">AS87+1</f>
        <v>42</v>
      </c>
      <c r="AU87" s="90">
        <f t="shared" ref="AU87" si="185">AT87+1</f>
        <v>43</v>
      </c>
      <c r="AV87" s="90">
        <f t="shared" ref="AV87" si="186">AU87+1</f>
        <v>44</v>
      </c>
      <c r="AW87" s="90">
        <f t="shared" ref="AW87" si="187">AV87+1</f>
        <v>45</v>
      </c>
    </row>
    <row r="88" spans="3:49" ht="14.25" customHeight="1">
      <c r="C88" s="2"/>
      <c r="D88" s="2"/>
      <c r="E88" s="806" t="s">
        <v>354</v>
      </c>
      <c r="F88" s="819"/>
      <c r="G88" s="819"/>
      <c r="H88" s="819"/>
      <c r="I88" s="819"/>
      <c r="J88" s="819"/>
      <c r="K88" s="819"/>
      <c r="L88" s="819"/>
      <c r="M88" s="819"/>
      <c r="N88" s="819"/>
      <c r="O88" s="819"/>
      <c r="P88" s="819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</row>
    <row r="89" spans="3:49" ht="14.25" customHeight="1">
      <c r="C89" s="2"/>
      <c r="D89" s="3">
        <f>D32</f>
        <v>2026</v>
      </c>
      <c r="E89" s="91">
        <f t="shared" ref="E89:X89" si="188">D89+1</f>
        <v>2027</v>
      </c>
      <c r="F89" s="91">
        <f t="shared" si="188"/>
        <v>2028</v>
      </c>
      <c r="G89" s="91">
        <f t="shared" si="188"/>
        <v>2029</v>
      </c>
      <c r="H89" s="91">
        <f t="shared" si="188"/>
        <v>2030</v>
      </c>
      <c r="I89" s="91">
        <f t="shared" si="188"/>
        <v>2031</v>
      </c>
      <c r="J89" s="91">
        <f t="shared" si="188"/>
        <v>2032</v>
      </c>
      <c r="K89" s="91">
        <f t="shared" si="188"/>
        <v>2033</v>
      </c>
      <c r="L89" s="91">
        <f t="shared" si="188"/>
        <v>2034</v>
      </c>
      <c r="M89" s="91">
        <f t="shared" si="188"/>
        <v>2035</v>
      </c>
      <c r="N89" s="91">
        <f t="shared" si="188"/>
        <v>2036</v>
      </c>
      <c r="O89" s="91">
        <f t="shared" si="188"/>
        <v>2037</v>
      </c>
      <c r="P89" s="91">
        <f t="shared" si="188"/>
        <v>2038</v>
      </c>
      <c r="Q89" s="91">
        <f>P89+1</f>
        <v>2039</v>
      </c>
      <c r="R89" s="91">
        <f t="shared" si="188"/>
        <v>2040</v>
      </c>
      <c r="S89" s="91">
        <f t="shared" si="188"/>
        <v>2041</v>
      </c>
      <c r="T89" s="91">
        <f t="shared" si="188"/>
        <v>2042</v>
      </c>
      <c r="U89" s="91">
        <f t="shared" si="188"/>
        <v>2043</v>
      </c>
      <c r="V89" s="91">
        <f t="shared" si="188"/>
        <v>2044</v>
      </c>
      <c r="W89" s="91">
        <f t="shared" si="188"/>
        <v>2045</v>
      </c>
      <c r="X89" s="91">
        <f t="shared" si="188"/>
        <v>2046</v>
      </c>
      <c r="Y89" s="91">
        <f t="shared" ref="Y89" si="189">X89+1</f>
        <v>2047</v>
      </c>
      <c r="Z89" s="91">
        <f t="shared" ref="Z89" si="190">Y89+1</f>
        <v>2048</v>
      </c>
      <c r="AA89" s="91">
        <f t="shared" ref="AA89" si="191">Z89+1</f>
        <v>2049</v>
      </c>
      <c r="AB89" s="91">
        <f t="shared" ref="AB89" si="192">AA89+1</f>
        <v>2050</v>
      </c>
      <c r="AC89" s="91">
        <f t="shared" ref="AC89" si="193">AB89+1</f>
        <v>2051</v>
      </c>
      <c r="AD89" s="91">
        <f t="shared" ref="AD89" si="194">AC89+1</f>
        <v>2052</v>
      </c>
      <c r="AE89" s="91">
        <f t="shared" ref="AE89" si="195">AD89+1</f>
        <v>2053</v>
      </c>
      <c r="AF89" s="91">
        <f t="shared" ref="AF89" si="196">AE89+1</f>
        <v>2054</v>
      </c>
      <c r="AG89" s="91">
        <f t="shared" ref="AG89" si="197">AF89+1</f>
        <v>2055</v>
      </c>
      <c r="AH89" s="91">
        <f t="shared" ref="AH89" si="198">AG89+1</f>
        <v>2056</v>
      </c>
      <c r="AI89" s="91">
        <f t="shared" ref="AI89" si="199">AH89+1</f>
        <v>2057</v>
      </c>
      <c r="AJ89" s="91">
        <f t="shared" ref="AJ89" si="200">AI89+1</f>
        <v>2058</v>
      </c>
      <c r="AK89" s="91">
        <f t="shared" ref="AK89" si="201">AJ89+1</f>
        <v>2059</v>
      </c>
      <c r="AL89" s="91">
        <f t="shared" ref="AL89" si="202">AK89+1</f>
        <v>2060</v>
      </c>
      <c r="AM89" s="91">
        <f t="shared" ref="AM89" si="203">AL89+1</f>
        <v>2061</v>
      </c>
      <c r="AN89" s="91">
        <f t="shared" ref="AN89" si="204">AM89+1</f>
        <v>2062</v>
      </c>
      <c r="AO89" s="91">
        <f t="shared" ref="AO89" si="205">AN89+1</f>
        <v>2063</v>
      </c>
      <c r="AP89" s="91">
        <f t="shared" ref="AP89" si="206">AO89+1</f>
        <v>2064</v>
      </c>
      <c r="AQ89" s="91">
        <f t="shared" ref="AQ89" si="207">AP89+1</f>
        <v>2065</v>
      </c>
      <c r="AR89" s="91">
        <f t="shared" ref="AR89" si="208">AQ89+1</f>
        <v>2066</v>
      </c>
      <c r="AS89" s="91">
        <f t="shared" ref="AS89" si="209">AR89+1</f>
        <v>2067</v>
      </c>
      <c r="AT89" s="91">
        <f t="shared" ref="AT89" si="210">AS89+1</f>
        <v>2068</v>
      </c>
      <c r="AU89" s="91">
        <f t="shared" ref="AU89" si="211">AT89+1</f>
        <v>2069</v>
      </c>
      <c r="AV89" s="91">
        <f t="shared" ref="AV89" si="212">AU89+1</f>
        <v>2070</v>
      </c>
      <c r="AW89" s="91">
        <f t="shared" ref="AW89" si="213">AV89+1</f>
        <v>2071</v>
      </c>
    </row>
    <row r="90" spans="3:49" ht="14.25" customHeight="1">
      <c r="C90" s="92"/>
      <c r="D90" s="93">
        <f>D10</f>
        <v>46023</v>
      </c>
      <c r="E90" s="93">
        <v>46387</v>
      </c>
      <c r="F90" s="93">
        <f t="shared" ref="F90:X90" si="214">EDATE(E90,12)</f>
        <v>46752</v>
      </c>
      <c r="G90" s="93">
        <f t="shared" si="214"/>
        <v>47118</v>
      </c>
      <c r="H90" s="93">
        <f t="shared" si="214"/>
        <v>47483</v>
      </c>
      <c r="I90" s="93">
        <f t="shared" si="214"/>
        <v>47848</v>
      </c>
      <c r="J90" s="93">
        <f t="shared" si="214"/>
        <v>48213</v>
      </c>
      <c r="K90" s="93">
        <f t="shared" si="214"/>
        <v>48579</v>
      </c>
      <c r="L90" s="93">
        <f t="shared" si="214"/>
        <v>48944</v>
      </c>
      <c r="M90" s="93">
        <f t="shared" si="214"/>
        <v>49309</v>
      </c>
      <c r="N90" s="93">
        <f t="shared" si="214"/>
        <v>49674</v>
      </c>
      <c r="O90" s="93">
        <f t="shared" si="214"/>
        <v>50040</v>
      </c>
      <c r="P90" s="93">
        <f t="shared" si="214"/>
        <v>50405</v>
      </c>
      <c r="Q90" s="93">
        <f>EDATE(P90,12)</f>
        <v>50770</v>
      </c>
      <c r="R90" s="93">
        <f t="shared" si="214"/>
        <v>51135</v>
      </c>
      <c r="S90" s="93">
        <f t="shared" si="214"/>
        <v>51501</v>
      </c>
      <c r="T90" s="93">
        <f t="shared" si="214"/>
        <v>51866</v>
      </c>
      <c r="U90" s="93">
        <f t="shared" si="214"/>
        <v>52231</v>
      </c>
      <c r="V90" s="93">
        <f t="shared" si="214"/>
        <v>52596</v>
      </c>
      <c r="W90" s="93">
        <f t="shared" si="214"/>
        <v>52962</v>
      </c>
      <c r="X90" s="93">
        <f t="shared" si="214"/>
        <v>53327</v>
      </c>
      <c r="Y90" s="93">
        <f t="shared" ref="Y90" si="215">EDATE(X90,12)</f>
        <v>53692</v>
      </c>
      <c r="Z90" s="93">
        <f t="shared" ref="Z90" si="216">EDATE(Y90,12)</f>
        <v>54057</v>
      </c>
      <c r="AA90" s="93">
        <f t="shared" ref="AA90" si="217">EDATE(Z90,12)</f>
        <v>54423</v>
      </c>
      <c r="AB90" s="93">
        <f t="shared" ref="AB90" si="218">EDATE(AA90,12)</f>
        <v>54788</v>
      </c>
      <c r="AC90" s="93">
        <f t="shared" ref="AC90" si="219">EDATE(AB90,12)</f>
        <v>55153</v>
      </c>
      <c r="AD90" s="93">
        <f t="shared" ref="AD90" si="220">EDATE(AC90,12)</f>
        <v>55518</v>
      </c>
      <c r="AE90" s="93">
        <f t="shared" ref="AE90" si="221">EDATE(AD90,12)</f>
        <v>55884</v>
      </c>
      <c r="AF90" s="93">
        <f t="shared" ref="AF90" si="222">EDATE(AE90,12)</f>
        <v>56249</v>
      </c>
      <c r="AG90" s="93">
        <f t="shared" ref="AG90" si="223">EDATE(AF90,12)</f>
        <v>56614</v>
      </c>
      <c r="AH90" s="93">
        <f t="shared" ref="AH90" si="224">EDATE(AG90,12)</f>
        <v>56979</v>
      </c>
      <c r="AI90" s="93">
        <f t="shared" ref="AI90" si="225">EDATE(AH90,12)</f>
        <v>57345</v>
      </c>
      <c r="AJ90" s="93">
        <f t="shared" ref="AJ90" si="226">EDATE(AI90,12)</f>
        <v>57710</v>
      </c>
      <c r="AK90" s="93">
        <f t="shared" ref="AK90" si="227">EDATE(AJ90,12)</f>
        <v>58075</v>
      </c>
      <c r="AL90" s="93">
        <f t="shared" ref="AL90" si="228">EDATE(AK90,12)</f>
        <v>58440</v>
      </c>
      <c r="AM90" s="93">
        <f t="shared" ref="AM90" si="229">EDATE(AL90,12)</f>
        <v>58806</v>
      </c>
      <c r="AN90" s="93">
        <f t="shared" ref="AN90" si="230">EDATE(AM90,12)</f>
        <v>59171</v>
      </c>
      <c r="AO90" s="93">
        <f t="shared" ref="AO90" si="231">EDATE(AN90,12)</f>
        <v>59536</v>
      </c>
      <c r="AP90" s="93">
        <f t="shared" ref="AP90" si="232">EDATE(AO90,12)</f>
        <v>59901</v>
      </c>
      <c r="AQ90" s="93">
        <f t="shared" ref="AQ90" si="233">EDATE(AP90,12)</f>
        <v>60267</v>
      </c>
      <c r="AR90" s="93">
        <f t="shared" ref="AR90" si="234">EDATE(AQ90,12)</f>
        <v>60632</v>
      </c>
      <c r="AS90" s="93">
        <f t="shared" ref="AS90" si="235">EDATE(AR90,12)</f>
        <v>60997</v>
      </c>
      <c r="AT90" s="93">
        <f t="shared" ref="AT90" si="236">EDATE(AS90,12)</f>
        <v>61362</v>
      </c>
      <c r="AU90" s="93">
        <f t="shared" ref="AU90" si="237">EDATE(AT90,12)</f>
        <v>61728</v>
      </c>
      <c r="AV90" s="93">
        <f t="shared" ref="AV90" si="238">EDATE(AU90,12)</f>
        <v>62093</v>
      </c>
      <c r="AW90" s="93">
        <f t="shared" ref="AW90" si="239">EDATE(AV90,12)</f>
        <v>62458</v>
      </c>
    </row>
    <row r="91" spans="3:49" ht="14.25" customHeight="1">
      <c r="C91" s="1" t="s">
        <v>443</v>
      </c>
      <c r="D91" s="15">
        <f>D40</f>
        <v>-165</v>
      </c>
      <c r="E91" s="15">
        <f>E40</f>
        <v>104.32858874340596</v>
      </c>
      <c r="F91" s="15">
        <f t="shared" ref="F91:X91" si="240">F40</f>
        <v>169.47834620469487</v>
      </c>
      <c r="G91" s="15">
        <f t="shared" si="240"/>
        <v>173.08753744922242</v>
      </c>
      <c r="H91" s="15">
        <f t="shared" si="240"/>
        <v>189.96433153373096</v>
      </c>
      <c r="I91" s="15">
        <f t="shared" si="240"/>
        <v>196.76549926456121</v>
      </c>
      <c r="J91" s="15">
        <f t="shared" si="240"/>
        <v>200.54243677344945</v>
      </c>
      <c r="K91" s="15">
        <f t="shared" si="240"/>
        <v>204.39595891158874</v>
      </c>
      <c r="L91" s="15">
        <f t="shared" si="240"/>
        <v>208.32759473378155</v>
      </c>
      <c r="M91" s="15">
        <f t="shared" si="240"/>
        <v>212.33890388214436</v>
      </c>
      <c r="N91" s="15">
        <f t="shared" si="240"/>
        <v>216.43147719783261</v>
      </c>
      <c r="O91" s="15">
        <f t="shared" si="240"/>
        <v>220.60693734499975</v>
      </c>
      <c r="P91" s="15">
        <f t="shared" si="240"/>
        <v>224.86693944723513</v>
      </c>
      <c r="Q91" s="15">
        <f t="shared" si="240"/>
        <v>229.21317173673097</v>
      </c>
      <c r="R91" s="15">
        <f t="shared" si="240"/>
        <v>233.64735621643226</v>
      </c>
      <c r="S91" s="15">
        <f t="shared" si="240"/>
        <v>238.17124933543002</v>
      </c>
      <c r="T91" s="15">
        <f t="shared" si="240"/>
        <v>242.78664267786203</v>
      </c>
      <c r="U91" s="15">
        <f t="shared" si="240"/>
        <v>247.49536366559181</v>
      </c>
      <c r="V91" s="15">
        <f t="shared" si="240"/>
        <v>252.29927627494047</v>
      </c>
      <c r="W91" s="15">
        <f t="shared" si="240"/>
        <v>257.20028176775406</v>
      </c>
      <c r="X91" s="15">
        <f t="shared" si="240"/>
        <v>262.20031943709188</v>
      </c>
      <c r="Y91" s="15">
        <f t="shared" ref="Y91:AW91" si="241">Y40</f>
        <v>267.30136736782777</v>
      </c>
      <c r="Z91" s="15">
        <f t="shared" si="241"/>
        <v>272.50544321246434</v>
      </c>
      <c r="AA91" s="15">
        <f t="shared" si="241"/>
        <v>277.81460498246309</v>
      </c>
      <c r="AB91" s="15">
        <f t="shared" si="241"/>
        <v>283.23095185540075</v>
      </c>
      <c r="AC91" s="15">
        <f t="shared" si="241"/>
        <v>288.75662499826893</v>
      </c>
      <c r="AD91" s="15">
        <f t="shared" si="241"/>
        <v>294.39380840723999</v>
      </c>
      <c r="AE91" s="15">
        <f t="shared" si="241"/>
        <v>17.618047267585716</v>
      </c>
      <c r="AF91" s="15">
        <f t="shared" si="241"/>
        <v>17.574002149416753</v>
      </c>
      <c r="AG91" s="15">
        <f t="shared" si="241"/>
        <v>17.530067144043208</v>
      </c>
      <c r="AH91" s="15">
        <f t="shared" si="241"/>
        <v>0</v>
      </c>
      <c r="AI91" s="15">
        <f t="shared" si="241"/>
        <v>0</v>
      </c>
      <c r="AJ91" s="15">
        <f t="shared" si="241"/>
        <v>0</v>
      </c>
      <c r="AK91" s="15">
        <f t="shared" si="241"/>
        <v>0</v>
      </c>
      <c r="AL91" s="15">
        <f t="shared" si="241"/>
        <v>0</v>
      </c>
      <c r="AM91" s="15">
        <f t="shared" si="241"/>
        <v>0</v>
      </c>
      <c r="AN91" s="15">
        <f t="shared" si="241"/>
        <v>0</v>
      </c>
      <c r="AO91" s="15">
        <f t="shared" si="241"/>
        <v>0</v>
      </c>
      <c r="AP91" s="15">
        <f t="shared" si="241"/>
        <v>0</v>
      </c>
      <c r="AQ91" s="15">
        <f t="shared" si="241"/>
        <v>0</v>
      </c>
      <c r="AR91" s="15">
        <f t="shared" si="241"/>
        <v>0</v>
      </c>
      <c r="AS91" s="15">
        <f t="shared" si="241"/>
        <v>0</v>
      </c>
      <c r="AT91" s="15">
        <f t="shared" si="241"/>
        <v>0</v>
      </c>
      <c r="AU91" s="15">
        <f t="shared" si="241"/>
        <v>0</v>
      </c>
      <c r="AV91" s="15">
        <f t="shared" si="241"/>
        <v>0</v>
      </c>
      <c r="AW91" s="15">
        <f t="shared" si="241"/>
        <v>0</v>
      </c>
    </row>
    <row r="92" spans="3:49" ht="14.25" customHeight="1">
      <c r="C92" s="1" t="s">
        <v>444</v>
      </c>
      <c r="D92" s="8"/>
      <c r="E92" s="15">
        <f>E103</f>
        <v>0</v>
      </c>
      <c r="F92" s="15">
        <f t="shared" ref="F92:X92" si="242">F103</f>
        <v>0</v>
      </c>
      <c r="G92" s="15">
        <f t="shared" si="242"/>
        <v>0</v>
      </c>
      <c r="H92" s="15">
        <f t="shared" si="242"/>
        <v>0</v>
      </c>
      <c r="I92" s="15">
        <f t="shared" si="242"/>
        <v>0</v>
      </c>
      <c r="J92" s="15">
        <f t="shared" si="242"/>
        <v>0</v>
      </c>
      <c r="K92" s="15">
        <f t="shared" si="242"/>
        <v>0</v>
      </c>
      <c r="L92" s="15">
        <f t="shared" si="242"/>
        <v>0</v>
      </c>
      <c r="M92" s="15">
        <f t="shared" si="242"/>
        <v>0</v>
      </c>
      <c r="N92" s="15">
        <f t="shared" si="242"/>
        <v>0</v>
      </c>
      <c r="O92" s="15">
        <f t="shared" si="242"/>
        <v>0</v>
      </c>
      <c r="P92" s="15">
        <f t="shared" si="242"/>
        <v>0</v>
      </c>
      <c r="Q92" s="15">
        <f t="shared" si="242"/>
        <v>0</v>
      </c>
      <c r="R92" s="15">
        <f t="shared" si="242"/>
        <v>0</v>
      </c>
      <c r="S92" s="15">
        <f t="shared" si="242"/>
        <v>0</v>
      </c>
      <c r="T92" s="15">
        <f t="shared" si="242"/>
        <v>0</v>
      </c>
      <c r="U92" s="15">
        <f t="shared" si="242"/>
        <v>0</v>
      </c>
      <c r="V92" s="15">
        <f t="shared" si="242"/>
        <v>0</v>
      </c>
      <c r="W92" s="15">
        <f t="shared" si="242"/>
        <v>0</v>
      </c>
      <c r="X92" s="15">
        <f t="shared" si="242"/>
        <v>0</v>
      </c>
      <c r="Y92" s="15">
        <f t="shared" ref="Y92:AW92" si="243">Y103</f>
        <v>0</v>
      </c>
      <c r="Z92" s="15">
        <f t="shared" si="243"/>
        <v>0</v>
      </c>
      <c r="AA92" s="15">
        <f t="shared" si="243"/>
        <v>0</v>
      </c>
      <c r="AB92" s="15">
        <f t="shared" si="243"/>
        <v>0</v>
      </c>
      <c r="AC92" s="15">
        <f t="shared" si="243"/>
        <v>0</v>
      </c>
      <c r="AD92" s="15">
        <f t="shared" si="243"/>
        <v>0</v>
      </c>
      <c r="AE92" s="15">
        <f t="shared" si="243"/>
        <v>0</v>
      </c>
      <c r="AF92" s="15">
        <f t="shared" si="243"/>
        <v>0</v>
      </c>
      <c r="AG92" s="15">
        <f t="shared" si="243"/>
        <v>0</v>
      </c>
      <c r="AH92" s="15">
        <f t="shared" si="243"/>
        <v>0</v>
      </c>
      <c r="AI92" s="15">
        <f t="shared" si="243"/>
        <v>0</v>
      </c>
      <c r="AJ92" s="15">
        <f t="shared" si="243"/>
        <v>0</v>
      </c>
      <c r="AK92" s="15">
        <f t="shared" si="243"/>
        <v>0</v>
      </c>
      <c r="AL92" s="15">
        <f t="shared" si="243"/>
        <v>0</v>
      </c>
      <c r="AM92" s="15">
        <f t="shared" si="243"/>
        <v>0</v>
      </c>
      <c r="AN92" s="15">
        <f t="shared" si="243"/>
        <v>0</v>
      </c>
      <c r="AO92" s="15">
        <f t="shared" si="243"/>
        <v>0</v>
      </c>
      <c r="AP92" s="15">
        <f t="shared" si="243"/>
        <v>0</v>
      </c>
      <c r="AQ92" s="15">
        <f t="shared" si="243"/>
        <v>0</v>
      </c>
      <c r="AR92" s="15">
        <f t="shared" si="243"/>
        <v>0</v>
      </c>
      <c r="AS92" s="15">
        <f t="shared" si="243"/>
        <v>0</v>
      </c>
      <c r="AT92" s="15">
        <f t="shared" si="243"/>
        <v>0</v>
      </c>
      <c r="AU92" s="15">
        <f t="shared" si="243"/>
        <v>0</v>
      </c>
      <c r="AV92" s="15">
        <f t="shared" si="243"/>
        <v>0</v>
      </c>
      <c r="AW92" s="15">
        <f t="shared" si="243"/>
        <v>0</v>
      </c>
    </row>
    <row r="93" spans="3:49" ht="14.25" customHeight="1">
      <c r="C93" s="1" t="s">
        <v>445</v>
      </c>
      <c r="D93" s="1"/>
      <c r="E93" s="29">
        <f>IFERROR(E91/E92,0)</f>
        <v>0</v>
      </c>
      <c r="F93" s="29">
        <f t="shared" ref="F93:X93" si="244">IFERROR(F91/F92,0)</f>
        <v>0</v>
      </c>
      <c r="G93" s="29">
        <f t="shared" si="244"/>
        <v>0</v>
      </c>
      <c r="H93" s="29">
        <f t="shared" si="244"/>
        <v>0</v>
      </c>
      <c r="I93" s="29">
        <f t="shared" si="244"/>
        <v>0</v>
      </c>
      <c r="J93" s="29">
        <f t="shared" si="244"/>
        <v>0</v>
      </c>
      <c r="K93" s="29">
        <f t="shared" si="244"/>
        <v>0</v>
      </c>
      <c r="L93" s="29">
        <f t="shared" si="244"/>
        <v>0</v>
      </c>
      <c r="M93" s="29">
        <f t="shared" si="244"/>
        <v>0</v>
      </c>
      <c r="N93" s="29">
        <f t="shared" si="244"/>
        <v>0</v>
      </c>
      <c r="O93" s="29">
        <f t="shared" si="244"/>
        <v>0</v>
      </c>
      <c r="P93" s="29">
        <f t="shared" si="244"/>
        <v>0</v>
      </c>
      <c r="Q93" s="29">
        <f t="shared" si="244"/>
        <v>0</v>
      </c>
      <c r="R93" s="29">
        <f t="shared" si="244"/>
        <v>0</v>
      </c>
      <c r="S93" s="29">
        <f t="shared" si="244"/>
        <v>0</v>
      </c>
      <c r="T93" s="29">
        <f t="shared" si="244"/>
        <v>0</v>
      </c>
      <c r="U93" s="29">
        <f t="shared" si="244"/>
        <v>0</v>
      </c>
      <c r="V93" s="29">
        <f t="shared" si="244"/>
        <v>0</v>
      </c>
      <c r="W93" s="29">
        <f t="shared" si="244"/>
        <v>0</v>
      </c>
      <c r="X93" s="29">
        <f t="shared" si="244"/>
        <v>0</v>
      </c>
      <c r="Y93" s="29">
        <f t="shared" ref="Y93:AW93" si="245">IFERROR(Y91/Y92,0)</f>
        <v>0</v>
      </c>
      <c r="Z93" s="29">
        <f t="shared" si="245"/>
        <v>0</v>
      </c>
      <c r="AA93" s="29">
        <f t="shared" si="245"/>
        <v>0</v>
      </c>
      <c r="AB93" s="29">
        <f t="shared" si="245"/>
        <v>0</v>
      </c>
      <c r="AC93" s="29">
        <f t="shared" si="245"/>
        <v>0</v>
      </c>
      <c r="AD93" s="29">
        <f t="shared" si="245"/>
        <v>0</v>
      </c>
      <c r="AE93" s="29">
        <f t="shared" si="245"/>
        <v>0</v>
      </c>
      <c r="AF93" s="29">
        <f t="shared" si="245"/>
        <v>0</v>
      </c>
      <c r="AG93" s="29">
        <f t="shared" si="245"/>
        <v>0</v>
      </c>
      <c r="AH93" s="29">
        <f t="shared" si="245"/>
        <v>0</v>
      </c>
      <c r="AI93" s="29">
        <f t="shared" si="245"/>
        <v>0</v>
      </c>
      <c r="AJ93" s="29">
        <f t="shared" si="245"/>
        <v>0</v>
      </c>
      <c r="AK93" s="29">
        <f t="shared" si="245"/>
        <v>0</v>
      </c>
      <c r="AL93" s="29">
        <f t="shared" si="245"/>
        <v>0</v>
      </c>
      <c r="AM93" s="29">
        <f t="shared" si="245"/>
        <v>0</v>
      </c>
      <c r="AN93" s="29">
        <f t="shared" si="245"/>
        <v>0</v>
      </c>
      <c r="AO93" s="29">
        <f t="shared" si="245"/>
        <v>0</v>
      </c>
      <c r="AP93" s="29">
        <f t="shared" si="245"/>
        <v>0</v>
      </c>
      <c r="AQ93" s="29">
        <f t="shared" si="245"/>
        <v>0</v>
      </c>
      <c r="AR93" s="29">
        <f t="shared" si="245"/>
        <v>0</v>
      </c>
      <c r="AS93" s="29">
        <f t="shared" si="245"/>
        <v>0</v>
      </c>
      <c r="AT93" s="29">
        <f t="shared" si="245"/>
        <v>0</v>
      </c>
      <c r="AU93" s="29">
        <f t="shared" si="245"/>
        <v>0</v>
      </c>
      <c r="AV93" s="29">
        <f t="shared" si="245"/>
        <v>0</v>
      </c>
      <c r="AW93" s="29">
        <f t="shared" si="245"/>
        <v>0</v>
      </c>
    </row>
    <row r="94" spans="3:49" ht="14.25" customHeight="1">
      <c r="C94" s="2" t="s">
        <v>446</v>
      </c>
      <c r="D94" s="30">
        <f>-'Assumptions &amp; Inputs'!$L$7*SUM(E65,E67)</f>
        <v>-180</v>
      </c>
      <c r="E94" s="31">
        <f t="shared" ref="E94:X94" si="246">SUM(E91,-E92)</f>
        <v>104.32858874340596</v>
      </c>
      <c r="F94" s="31">
        <f t="shared" si="246"/>
        <v>169.47834620469487</v>
      </c>
      <c r="G94" s="31">
        <f t="shared" si="246"/>
        <v>173.08753744922242</v>
      </c>
      <c r="H94" s="31">
        <f t="shared" si="246"/>
        <v>189.96433153373096</v>
      </c>
      <c r="I94" s="31">
        <f t="shared" si="246"/>
        <v>196.76549926456121</v>
      </c>
      <c r="J94" s="31">
        <f t="shared" si="246"/>
        <v>200.54243677344945</v>
      </c>
      <c r="K94" s="31">
        <f t="shared" si="246"/>
        <v>204.39595891158874</v>
      </c>
      <c r="L94" s="31">
        <f t="shared" si="246"/>
        <v>208.32759473378155</v>
      </c>
      <c r="M94" s="31">
        <f t="shared" si="246"/>
        <v>212.33890388214436</v>
      </c>
      <c r="N94" s="31">
        <f t="shared" si="246"/>
        <v>216.43147719783261</v>
      </c>
      <c r="O94" s="31">
        <f t="shared" si="246"/>
        <v>220.60693734499975</v>
      </c>
      <c r="P94" s="31">
        <f t="shared" si="246"/>
        <v>224.86693944723513</v>
      </c>
      <c r="Q94" s="31">
        <f t="shared" si="246"/>
        <v>229.21317173673097</v>
      </c>
      <c r="R94" s="31">
        <f t="shared" si="246"/>
        <v>233.64735621643226</v>
      </c>
      <c r="S94" s="31">
        <f t="shared" si="246"/>
        <v>238.17124933543002</v>
      </c>
      <c r="T94" s="31">
        <f t="shared" si="246"/>
        <v>242.78664267786203</v>
      </c>
      <c r="U94" s="31">
        <f t="shared" si="246"/>
        <v>247.49536366559181</v>
      </c>
      <c r="V94" s="31">
        <f t="shared" si="246"/>
        <v>252.29927627494047</v>
      </c>
      <c r="W94" s="31">
        <f t="shared" si="246"/>
        <v>257.20028176775406</v>
      </c>
      <c r="X94" s="31">
        <f t="shared" si="246"/>
        <v>262.20031943709188</v>
      </c>
      <c r="Y94" s="31">
        <f t="shared" ref="Y94:AW94" si="247">SUM(Y91,-Y92)</f>
        <v>267.30136736782777</v>
      </c>
      <c r="Z94" s="31">
        <f t="shared" si="247"/>
        <v>272.50544321246434</v>
      </c>
      <c r="AA94" s="31">
        <f t="shared" si="247"/>
        <v>277.81460498246309</v>
      </c>
      <c r="AB94" s="31">
        <f t="shared" si="247"/>
        <v>283.23095185540075</v>
      </c>
      <c r="AC94" s="31">
        <f t="shared" si="247"/>
        <v>288.75662499826893</v>
      </c>
      <c r="AD94" s="31">
        <f t="shared" si="247"/>
        <v>294.39380840723999</v>
      </c>
      <c r="AE94" s="31">
        <f t="shared" si="247"/>
        <v>17.618047267585716</v>
      </c>
      <c r="AF94" s="31">
        <f t="shared" si="247"/>
        <v>17.574002149416753</v>
      </c>
      <c r="AG94" s="31">
        <f t="shared" si="247"/>
        <v>17.530067144043208</v>
      </c>
      <c r="AH94" s="31">
        <f t="shared" si="247"/>
        <v>0</v>
      </c>
      <c r="AI94" s="31">
        <f t="shared" si="247"/>
        <v>0</v>
      </c>
      <c r="AJ94" s="31">
        <f t="shared" si="247"/>
        <v>0</v>
      </c>
      <c r="AK94" s="31">
        <f t="shared" si="247"/>
        <v>0</v>
      </c>
      <c r="AL94" s="31">
        <f t="shared" si="247"/>
        <v>0</v>
      </c>
      <c r="AM94" s="31">
        <f t="shared" si="247"/>
        <v>0</v>
      </c>
      <c r="AN94" s="31">
        <f t="shared" si="247"/>
        <v>0</v>
      </c>
      <c r="AO94" s="31">
        <f t="shared" si="247"/>
        <v>0</v>
      </c>
      <c r="AP94" s="31">
        <f t="shared" si="247"/>
        <v>0</v>
      </c>
      <c r="AQ94" s="31">
        <f t="shared" si="247"/>
        <v>0</v>
      </c>
      <c r="AR94" s="31">
        <f t="shared" si="247"/>
        <v>0</v>
      </c>
      <c r="AS94" s="31">
        <f t="shared" si="247"/>
        <v>0</v>
      </c>
      <c r="AT94" s="31">
        <f t="shared" si="247"/>
        <v>0</v>
      </c>
      <c r="AU94" s="31">
        <f t="shared" si="247"/>
        <v>0</v>
      </c>
      <c r="AV94" s="31">
        <f t="shared" si="247"/>
        <v>0</v>
      </c>
      <c r="AW94" s="31">
        <f t="shared" si="247"/>
        <v>0</v>
      </c>
    </row>
    <row r="95" spans="3:49" ht="14.25" customHeight="1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3:49" ht="14.25" customHeight="1">
      <c r="C96" s="1" t="s">
        <v>447</v>
      </c>
      <c r="D96" s="90">
        <v>0</v>
      </c>
      <c r="E96" s="90">
        <f t="shared" ref="E96:X96" si="248">D96+1</f>
        <v>1</v>
      </c>
      <c r="F96" s="90">
        <f t="shared" si="248"/>
        <v>2</v>
      </c>
      <c r="G96" s="90">
        <f t="shared" si="248"/>
        <v>3</v>
      </c>
      <c r="H96" s="90">
        <f t="shared" si="248"/>
        <v>4</v>
      </c>
      <c r="I96" s="90">
        <f t="shared" si="248"/>
        <v>5</v>
      </c>
      <c r="J96" s="90">
        <f t="shared" si="248"/>
        <v>6</v>
      </c>
      <c r="K96" s="90">
        <f t="shared" si="248"/>
        <v>7</v>
      </c>
      <c r="L96" s="90">
        <f t="shared" si="248"/>
        <v>8</v>
      </c>
      <c r="M96" s="90">
        <f t="shared" si="248"/>
        <v>9</v>
      </c>
      <c r="N96" s="90">
        <f t="shared" si="248"/>
        <v>10</v>
      </c>
      <c r="O96" s="90">
        <f t="shared" si="248"/>
        <v>11</v>
      </c>
      <c r="P96" s="90">
        <f t="shared" si="248"/>
        <v>12</v>
      </c>
      <c r="Q96" s="90">
        <f>P96+1</f>
        <v>13</v>
      </c>
      <c r="R96" s="90">
        <f t="shared" si="248"/>
        <v>14</v>
      </c>
      <c r="S96" s="90">
        <f t="shared" si="248"/>
        <v>15</v>
      </c>
      <c r="T96" s="90">
        <f t="shared" si="248"/>
        <v>16</v>
      </c>
      <c r="U96" s="90">
        <f t="shared" si="248"/>
        <v>17</v>
      </c>
      <c r="V96" s="90">
        <f t="shared" si="248"/>
        <v>18</v>
      </c>
      <c r="W96" s="90">
        <f t="shared" si="248"/>
        <v>19</v>
      </c>
      <c r="X96" s="90">
        <f t="shared" si="248"/>
        <v>20</v>
      </c>
      <c r="Y96" s="90">
        <f t="shared" ref="Y96" si="249">X96+1</f>
        <v>21</v>
      </c>
      <c r="Z96" s="90">
        <f t="shared" ref="Z96" si="250">Y96+1</f>
        <v>22</v>
      </c>
      <c r="AA96" s="90">
        <f t="shared" ref="AA96" si="251">Z96+1</f>
        <v>23</v>
      </c>
      <c r="AB96" s="90">
        <f t="shared" ref="AB96" si="252">AA96+1</f>
        <v>24</v>
      </c>
      <c r="AC96" s="90">
        <f t="shared" ref="AC96" si="253">AB96+1</f>
        <v>25</v>
      </c>
      <c r="AD96" s="90">
        <f t="shared" ref="AD96" si="254">AC96+1</f>
        <v>26</v>
      </c>
      <c r="AE96" s="90">
        <f t="shared" ref="AE96" si="255">AD96+1</f>
        <v>27</v>
      </c>
      <c r="AF96" s="90">
        <f t="shared" ref="AF96" si="256">AE96+1</f>
        <v>28</v>
      </c>
      <c r="AG96" s="90">
        <f t="shared" ref="AG96" si="257">AF96+1</f>
        <v>29</v>
      </c>
      <c r="AH96" s="90">
        <f t="shared" ref="AH96" si="258">AG96+1</f>
        <v>30</v>
      </c>
      <c r="AI96" s="90">
        <f t="shared" ref="AI96" si="259">AH96+1</f>
        <v>31</v>
      </c>
      <c r="AJ96" s="90">
        <f t="shared" ref="AJ96" si="260">AI96+1</f>
        <v>32</v>
      </c>
      <c r="AK96" s="90">
        <f t="shared" ref="AK96" si="261">AJ96+1</f>
        <v>33</v>
      </c>
      <c r="AL96" s="90">
        <f t="shared" ref="AL96" si="262">AK96+1</f>
        <v>34</v>
      </c>
      <c r="AM96" s="90">
        <f t="shared" ref="AM96" si="263">AL96+1</f>
        <v>35</v>
      </c>
      <c r="AN96" s="90">
        <f t="shared" ref="AN96" si="264">AM96+1</f>
        <v>36</v>
      </c>
      <c r="AO96" s="90">
        <f t="shared" ref="AO96" si="265">AN96+1</f>
        <v>37</v>
      </c>
      <c r="AP96" s="90">
        <f t="shared" ref="AP96" si="266">AO96+1</f>
        <v>38</v>
      </c>
      <c r="AQ96" s="90">
        <f t="shared" ref="AQ96" si="267">AP96+1</f>
        <v>39</v>
      </c>
      <c r="AR96" s="90">
        <f t="shared" ref="AR96" si="268">AQ96+1</f>
        <v>40</v>
      </c>
      <c r="AS96" s="90">
        <f t="shared" ref="AS96" si="269">AR96+1</f>
        <v>41</v>
      </c>
      <c r="AT96" s="90">
        <f t="shared" ref="AT96" si="270">AS96+1</f>
        <v>42</v>
      </c>
      <c r="AU96" s="90">
        <f t="shared" ref="AU96" si="271">AT96+1</f>
        <v>43</v>
      </c>
      <c r="AV96" s="90">
        <f t="shared" ref="AV96" si="272">AU96+1</f>
        <v>44</v>
      </c>
      <c r="AW96" s="90">
        <f t="shared" ref="AW96" si="273">AV96+1</f>
        <v>45</v>
      </c>
    </row>
    <row r="97" spans="1:49" ht="14.25" customHeight="1">
      <c r="A97" s="44"/>
      <c r="B97" s="44"/>
      <c r="C97" s="1" t="s">
        <v>448</v>
      </c>
      <c r="D97" s="501">
        <f>IF(D89&lt;=YEAR('Assumptions &amp; Inputs'!$L$29), $E$79, IF(ISNUMBER(C99), C99, 0))</f>
        <v>0</v>
      </c>
      <c r="E97" s="501">
        <f>IF(E89&lt;=YEAR('Assumptions &amp; Inputs'!$L$29), $E$79, IF(ISNUMBER(D99), D99, 0))</f>
        <v>0</v>
      </c>
      <c r="F97" s="501">
        <f>IF(F89&lt;=YEAR('Assumptions &amp; Inputs'!$L$29), $E$79, IF(ISNUMBER(E99), E99, 0))</f>
        <v>0</v>
      </c>
      <c r="G97" s="501">
        <f>IF(G89&lt;=YEAR('Assumptions &amp; Inputs'!$L$29), $E$79, IF(ISNUMBER(F99), F99, 0))</f>
        <v>0</v>
      </c>
      <c r="H97" s="501">
        <f>IF(H89&lt;=YEAR('Assumptions &amp; Inputs'!$L$29), $E$79, IF(ISNUMBER(G99), G99, 0))</f>
        <v>0</v>
      </c>
      <c r="I97" s="501">
        <f>IF(I89&lt;=YEAR('Assumptions &amp; Inputs'!$L$29), $E$79, IF(ISNUMBER(H99), H99, 0))</f>
        <v>0</v>
      </c>
      <c r="J97" s="501">
        <f>IF(J89&lt;=YEAR('Assumptions &amp; Inputs'!$L$29), $E$79, IF(ISNUMBER(I99), I99, 0))</f>
        <v>0</v>
      </c>
      <c r="K97" s="501">
        <f>IF(K89&lt;=YEAR('Assumptions &amp; Inputs'!$L$29), $E$79, IF(ISNUMBER(J99), J99, 0))</f>
        <v>0</v>
      </c>
      <c r="L97" s="501">
        <f>IF(L89&lt;=YEAR('Assumptions &amp; Inputs'!$L$29), $E$79, IF(ISNUMBER(K99), K99, 0))</f>
        <v>0</v>
      </c>
      <c r="M97" s="501">
        <f>IF(M89&lt;=YEAR('Assumptions &amp; Inputs'!$L$29), $E$79, IF(ISNUMBER(L99), L99, 0))</f>
        <v>0</v>
      </c>
      <c r="N97" s="501">
        <f>IF(N89&lt;=YEAR('Assumptions &amp; Inputs'!$L$29), $E$79, IF(ISNUMBER(M99), M99, 0))</f>
        <v>0</v>
      </c>
      <c r="O97" s="501">
        <f>IF(O89&lt;=YEAR('Assumptions &amp; Inputs'!$L$29), $E$79, IF(ISNUMBER(N99), N99, 0))</f>
        <v>0</v>
      </c>
      <c r="P97" s="501">
        <f>IF(P89&lt;=YEAR('Assumptions &amp; Inputs'!$L$29), $E$79, IF(ISNUMBER(O99), O99, 0))</f>
        <v>0</v>
      </c>
      <c r="Q97" s="501">
        <f>IF(Q89&lt;=YEAR('Assumptions &amp; Inputs'!$L$29), $E$79, IF(ISNUMBER(P99), P99, 0))</f>
        <v>0</v>
      </c>
      <c r="R97" s="501">
        <f>IF(R89&lt;=YEAR('Assumptions &amp; Inputs'!$L$29), $E$79, IF(ISNUMBER(Q99), Q99, 0))</f>
        <v>0</v>
      </c>
      <c r="S97" s="501">
        <f>IF(S89&lt;=YEAR('Assumptions &amp; Inputs'!$L$29), $E$79, IF(ISNUMBER(R99), R99, 0))</f>
        <v>0</v>
      </c>
      <c r="T97" s="501">
        <f>IF(T89&lt;=YEAR('Assumptions &amp; Inputs'!$L$29), $E$79, IF(ISNUMBER(S99), S99, 0))</f>
        <v>0</v>
      </c>
      <c r="U97" s="501">
        <f>IF(U89&lt;=YEAR('Assumptions &amp; Inputs'!$L$29), $E$79, IF(ISNUMBER(T99), T99, 0))</f>
        <v>0</v>
      </c>
      <c r="V97" s="501">
        <f>IF(V89&lt;=YEAR('Assumptions &amp; Inputs'!$L$29), $E$79, IF(ISNUMBER(U99), U99, 0))</f>
        <v>0</v>
      </c>
      <c r="W97" s="501">
        <f>IF(W89&lt;=YEAR('Assumptions &amp; Inputs'!$L$29), $E$79, IF(ISNUMBER(V99), V99, 0))</f>
        <v>0</v>
      </c>
      <c r="X97" s="501">
        <f>IF(X89&lt;=YEAR('Assumptions &amp; Inputs'!$L$29), $E$79, IF(ISNUMBER(W99), W99, 0))</f>
        <v>0</v>
      </c>
      <c r="Y97" s="501">
        <f>IF(Y89&lt;=YEAR('Assumptions &amp; Inputs'!$L$29), $E$79, IF(ISNUMBER(X99), X99, 0))</f>
        <v>0</v>
      </c>
      <c r="Z97" s="501">
        <f>IF(Z89&lt;=YEAR('Assumptions &amp; Inputs'!$L$29), $E$79, IF(ISNUMBER(Y99), Y99, 0))</f>
        <v>0</v>
      </c>
      <c r="AA97" s="501">
        <f>IF(AA89&lt;=YEAR('Assumptions &amp; Inputs'!$L$29), $E$79, IF(ISNUMBER(Z99), Z99, 0))</f>
        <v>0</v>
      </c>
      <c r="AB97" s="501">
        <f>IF(AB89&lt;=YEAR('Assumptions &amp; Inputs'!$L$29), $E$79, IF(ISNUMBER(AA99), AA99, 0))</f>
        <v>0</v>
      </c>
      <c r="AC97" s="501">
        <f>IF(AC89&lt;=YEAR('Assumptions &amp; Inputs'!$L$29), $E$79, IF(ISNUMBER(AB99), AB99, 0))</f>
        <v>0</v>
      </c>
      <c r="AD97" s="501">
        <f>IF(AD89&lt;=YEAR('Assumptions &amp; Inputs'!$L$29), $E$79, IF(ISNUMBER(AC99), AC99, 0))</f>
        <v>0</v>
      </c>
      <c r="AE97" s="501">
        <f>IF(AE89&lt;=YEAR('Assumptions &amp; Inputs'!$L$29), $E$79, IF(ISNUMBER(AD99), AD99, 0))</f>
        <v>0</v>
      </c>
      <c r="AF97" s="501">
        <f>IF(AF89&lt;=YEAR('Assumptions &amp; Inputs'!$L$29), $E$79, IF(ISNUMBER(AE99), AE99, 0))</f>
        <v>0</v>
      </c>
      <c r="AG97" s="501">
        <f>IF(AG89&lt;=YEAR('Assumptions &amp; Inputs'!$L$29), $E$79, IF(ISNUMBER(AF99), AF99, 0))</f>
        <v>0</v>
      </c>
      <c r="AH97" s="501">
        <f>IF(AH89&lt;=YEAR('Assumptions &amp; Inputs'!$L$29), $E$79, IF(ISNUMBER(AG99), AG99, 0))</f>
        <v>0</v>
      </c>
      <c r="AI97" s="501">
        <f>IF(AI89&lt;=YEAR('Assumptions &amp; Inputs'!$L$29), $E$79, IF(ISNUMBER(AH99), AH99, 0))</f>
        <v>0</v>
      </c>
      <c r="AJ97" s="501">
        <f>IF(AJ89&lt;=YEAR('Assumptions &amp; Inputs'!$L$29), $E$79, IF(ISNUMBER(AI99), AI99, 0))</f>
        <v>0</v>
      </c>
      <c r="AK97" s="501">
        <f>IF(AK89&lt;=YEAR('Assumptions &amp; Inputs'!$L$29), $E$79, IF(ISNUMBER(AJ99), AJ99, 0))</f>
        <v>0</v>
      </c>
      <c r="AL97" s="501">
        <f>IF(AL89&lt;=YEAR('Assumptions &amp; Inputs'!$L$29), $E$79, IF(ISNUMBER(AK99), AK99, 0))</f>
        <v>0</v>
      </c>
      <c r="AM97" s="501">
        <f>IF(AM89&lt;=YEAR('Assumptions &amp; Inputs'!$L$29), $E$79, IF(ISNUMBER(AL99), AL99, 0))</f>
        <v>0</v>
      </c>
      <c r="AN97" s="501">
        <f>IF(AN89&lt;=YEAR('Assumptions &amp; Inputs'!$L$29), $E$79, IF(ISNUMBER(AM99), AM99, 0))</f>
        <v>0</v>
      </c>
      <c r="AO97" s="501">
        <f>IF(AO89&lt;=YEAR('Assumptions &amp; Inputs'!$L$29), $E$79, IF(ISNUMBER(AN99), AN99, 0))</f>
        <v>0</v>
      </c>
      <c r="AP97" s="501">
        <f>IF(AP89&lt;=YEAR('Assumptions &amp; Inputs'!$L$29), $E$79, IF(ISNUMBER(AO99), AO99, 0))</f>
        <v>0</v>
      </c>
      <c r="AQ97" s="501">
        <f>IF(AQ89&lt;=YEAR('Assumptions &amp; Inputs'!$L$29), $E$79, IF(ISNUMBER(AP99), AP99, 0))</f>
        <v>0</v>
      </c>
      <c r="AR97" s="501">
        <f>IF(AR89&lt;=YEAR('Assumptions &amp; Inputs'!$L$29), $E$79, IF(ISNUMBER(AQ99), AQ99, 0))</f>
        <v>0</v>
      </c>
      <c r="AS97" s="501">
        <f>IF(AS89&lt;=YEAR('Assumptions &amp; Inputs'!$L$29), $E$79, IF(ISNUMBER(AR99), AR99, 0))</f>
        <v>0</v>
      </c>
      <c r="AT97" s="501">
        <f>IF(AT89&lt;=YEAR('Assumptions &amp; Inputs'!$L$29), $E$79, IF(ISNUMBER(AS99), AS99, 0))</f>
        <v>0</v>
      </c>
      <c r="AU97" s="501">
        <f>IF(AU89&lt;=YEAR('Assumptions &amp; Inputs'!$L$29), $E$79, IF(ISNUMBER(AT99), AT99, 0))</f>
        <v>0</v>
      </c>
      <c r="AV97" s="501">
        <f>IF(AV89&lt;=YEAR('Assumptions &amp; Inputs'!$L$29), $E$79, IF(ISNUMBER(AU99), AU99, 0))</f>
        <v>0</v>
      </c>
      <c r="AW97" s="501">
        <f>IF(AW89&lt;=YEAR('Assumptions &amp; Inputs'!$L$29), $E$79, IF(ISNUMBER(AV99), AV99, 0))</f>
        <v>0</v>
      </c>
    </row>
    <row r="98" spans="1:49" ht="14.25" customHeight="1">
      <c r="A98" s="44"/>
      <c r="B98" s="44"/>
      <c r="C98" s="1" t="s">
        <v>449</v>
      </c>
      <c r="D98" s="501"/>
      <c r="E98" s="501">
        <f>IFERROR(PPMT('Assumptions &amp; Inputs'!$L$10,E89-YEAR('Assumptions &amp; Inputs'!$L$29),'Assumptions &amp; Inputs'!$L$9,$E$79), 0)</f>
        <v>0</v>
      </c>
      <c r="F98" s="501">
        <f>IFERROR(PPMT('Assumptions &amp; Inputs'!$L$10,F89-YEAR('Assumptions &amp; Inputs'!$L$29),'Assumptions &amp; Inputs'!$L$9,$E$79), 0)</f>
        <v>0</v>
      </c>
      <c r="G98" s="501">
        <f>IFERROR(PPMT('Assumptions &amp; Inputs'!$L$10,G89-YEAR('Assumptions &amp; Inputs'!$L$29),'Assumptions &amp; Inputs'!$L$9,$E$79), 0)</f>
        <v>0</v>
      </c>
      <c r="H98" s="501">
        <f>IFERROR(PPMT('Assumptions &amp; Inputs'!$L$10,H89-YEAR('Assumptions &amp; Inputs'!$L$29),'Assumptions &amp; Inputs'!$L$9,$E$79), 0)</f>
        <v>0</v>
      </c>
      <c r="I98" s="501">
        <f>IFERROR(PPMT('Assumptions &amp; Inputs'!$L$10,I89-YEAR('Assumptions &amp; Inputs'!$L$29),'Assumptions &amp; Inputs'!$L$9,$E$79), 0)</f>
        <v>0</v>
      </c>
      <c r="J98" s="501">
        <f>IFERROR(PPMT('Assumptions &amp; Inputs'!$L$10,J89-YEAR('Assumptions &amp; Inputs'!$L$29),'Assumptions &amp; Inputs'!$L$9,$E$79), 0)</f>
        <v>0</v>
      </c>
      <c r="K98" s="501">
        <f>IFERROR(PPMT('Assumptions &amp; Inputs'!$L$10,K89-YEAR('Assumptions &amp; Inputs'!$L$29),'Assumptions &amp; Inputs'!$L$9,$E$79), 0)</f>
        <v>0</v>
      </c>
      <c r="L98" s="501">
        <f>IFERROR(PPMT('Assumptions &amp; Inputs'!$L$10,L89-YEAR('Assumptions &amp; Inputs'!$L$29),'Assumptions &amp; Inputs'!$L$9,$E$79), 0)</f>
        <v>0</v>
      </c>
      <c r="M98" s="501">
        <f>IFERROR(PPMT('Assumptions &amp; Inputs'!$L$10,M89-YEAR('Assumptions &amp; Inputs'!$L$29),'Assumptions &amp; Inputs'!$L$9,$E$79), 0)</f>
        <v>0</v>
      </c>
      <c r="N98" s="501">
        <f>IFERROR(PPMT('Assumptions &amp; Inputs'!$L$10,N89-YEAR('Assumptions &amp; Inputs'!$L$29),'Assumptions &amp; Inputs'!$L$9,$E$79), 0)</f>
        <v>0</v>
      </c>
      <c r="O98" s="501">
        <f>IFERROR(PPMT('Assumptions &amp; Inputs'!$L$10,O89-YEAR('Assumptions &amp; Inputs'!$L$29),'Assumptions &amp; Inputs'!$L$9,$E$79), 0)</f>
        <v>0</v>
      </c>
      <c r="P98" s="501">
        <f>IFERROR(PPMT('Assumptions &amp; Inputs'!$L$10,P89-YEAR('Assumptions &amp; Inputs'!$L$29),'Assumptions &amp; Inputs'!$L$9,$E$79), 0)</f>
        <v>0</v>
      </c>
      <c r="Q98" s="501">
        <f>IFERROR(PPMT('Assumptions &amp; Inputs'!$L$10,Q89-YEAR('Assumptions &amp; Inputs'!$L$29),'Assumptions &amp; Inputs'!$L$9,$E$79), 0)</f>
        <v>0</v>
      </c>
      <c r="R98" s="501">
        <f>IFERROR(PPMT('Assumptions &amp; Inputs'!$L$10,R89-YEAR('Assumptions &amp; Inputs'!$L$29),'Assumptions &amp; Inputs'!$L$9,$E$79), 0)</f>
        <v>0</v>
      </c>
      <c r="S98" s="501">
        <f>IFERROR(PPMT('Assumptions &amp; Inputs'!$L$10,S89-YEAR('Assumptions &amp; Inputs'!$L$29),'Assumptions &amp; Inputs'!$L$9,$E$79), 0)</f>
        <v>0</v>
      </c>
      <c r="T98" s="501">
        <f>IFERROR(PPMT('Assumptions &amp; Inputs'!$L$10,T89-YEAR('Assumptions &amp; Inputs'!$L$29),'Assumptions &amp; Inputs'!$L$9,$E$79), 0)</f>
        <v>0</v>
      </c>
      <c r="U98" s="501">
        <f>IFERROR(PPMT('Assumptions &amp; Inputs'!$L$10,U89-YEAR('Assumptions &amp; Inputs'!$L$29),'Assumptions &amp; Inputs'!$L$9,$E$79), 0)</f>
        <v>0</v>
      </c>
      <c r="V98" s="501">
        <f>IFERROR(PPMT('Assumptions &amp; Inputs'!$L$10,V89-YEAR('Assumptions &amp; Inputs'!$L$29),'Assumptions &amp; Inputs'!$L$9,$E$79), 0)</f>
        <v>0</v>
      </c>
      <c r="W98" s="501">
        <f>IFERROR(PPMT('Assumptions &amp; Inputs'!$L$10,W89-YEAR('Assumptions &amp; Inputs'!$L$29),'Assumptions &amp; Inputs'!$L$9,$E$79), 0)</f>
        <v>0</v>
      </c>
      <c r="X98" s="501">
        <f>IFERROR(PPMT('Assumptions &amp; Inputs'!$L$10,X89-YEAR('Assumptions &amp; Inputs'!$L$29),'Assumptions &amp; Inputs'!$L$9,$E$79), 0)</f>
        <v>0</v>
      </c>
      <c r="Y98" s="501">
        <f>IFERROR(PPMT('Assumptions &amp; Inputs'!$L$10,Y89-YEAR('Assumptions &amp; Inputs'!$L$29),'Assumptions &amp; Inputs'!$L$9,$E$79), 0)</f>
        <v>0</v>
      </c>
      <c r="Z98" s="501">
        <f>IFERROR(PPMT('Assumptions &amp; Inputs'!$L$10,Z89-YEAR('Assumptions &amp; Inputs'!$L$29),'Assumptions &amp; Inputs'!$L$9,$E$79), 0)</f>
        <v>0</v>
      </c>
      <c r="AA98" s="501">
        <f>IFERROR(PPMT('Assumptions &amp; Inputs'!$L$10,AA89-YEAR('Assumptions &amp; Inputs'!$L$29),'Assumptions &amp; Inputs'!$L$9,$E$79), 0)</f>
        <v>0</v>
      </c>
      <c r="AB98" s="501">
        <f>IFERROR(PPMT('Assumptions &amp; Inputs'!$L$10,AB89-YEAR('Assumptions &amp; Inputs'!$L$29),'Assumptions &amp; Inputs'!$L$9,$E$79), 0)</f>
        <v>0</v>
      </c>
      <c r="AC98" s="501">
        <f>IFERROR(PPMT('Assumptions &amp; Inputs'!$L$10,AC89-YEAR('Assumptions &amp; Inputs'!$L$29),'Assumptions &amp; Inputs'!$L$9,$E$79), 0)</f>
        <v>0</v>
      </c>
      <c r="AD98" s="501">
        <f>IFERROR(PPMT('Assumptions &amp; Inputs'!$L$10,AD89-YEAR('Assumptions &amp; Inputs'!$L$29),'Assumptions &amp; Inputs'!$L$9,$E$79), 0)</f>
        <v>0</v>
      </c>
      <c r="AE98" s="501">
        <f>IFERROR(PPMT('Assumptions &amp; Inputs'!$L$10,AE89-YEAR('Assumptions &amp; Inputs'!$L$29),'Assumptions &amp; Inputs'!$L$9,$E$79), 0)</f>
        <v>0</v>
      </c>
      <c r="AF98" s="501">
        <f>IFERROR(PPMT('Assumptions &amp; Inputs'!$L$10,AF89-YEAR('Assumptions &amp; Inputs'!$L$29),'Assumptions &amp; Inputs'!$L$9,$E$79), 0)</f>
        <v>0</v>
      </c>
      <c r="AG98" s="501">
        <f>IFERROR(PPMT('Assumptions &amp; Inputs'!$L$10,AG89-YEAR('Assumptions &amp; Inputs'!$L$29),'Assumptions &amp; Inputs'!$L$9,$E$79), 0)</f>
        <v>0</v>
      </c>
      <c r="AH98" s="501">
        <f>IFERROR(PPMT('Assumptions &amp; Inputs'!$L$10,AH89-YEAR('Assumptions &amp; Inputs'!$L$29),'Assumptions &amp; Inputs'!$L$9,$E$79), 0)</f>
        <v>0</v>
      </c>
      <c r="AI98" s="501">
        <f>IFERROR(PPMT('Assumptions &amp; Inputs'!$L$10,AI89-YEAR('Assumptions &amp; Inputs'!$L$29),'Assumptions &amp; Inputs'!$L$9,$E$79), 0)</f>
        <v>0</v>
      </c>
      <c r="AJ98" s="501">
        <f>IFERROR(PPMT('Assumptions &amp; Inputs'!$L$10,AJ89-YEAR('Assumptions &amp; Inputs'!$L$29),'Assumptions &amp; Inputs'!$L$9,$E$79), 0)</f>
        <v>0</v>
      </c>
      <c r="AK98" s="501">
        <f>IFERROR(PPMT('Assumptions &amp; Inputs'!$L$10,AK89-YEAR('Assumptions &amp; Inputs'!$L$29),'Assumptions &amp; Inputs'!$L$9,$E$79), 0)</f>
        <v>0</v>
      </c>
      <c r="AL98" s="501">
        <f>IFERROR(PPMT('Assumptions &amp; Inputs'!$L$10,AL89-YEAR('Assumptions &amp; Inputs'!$L$29),'Assumptions &amp; Inputs'!$L$9,$E$79), 0)</f>
        <v>0</v>
      </c>
      <c r="AM98" s="501">
        <f>IFERROR(PPMT('Assumptions &amp; Inputs'!$L$10,AM89-YEAR('Assumptions &amp; Inputs'!$L$29),'Assumptions &amp; Inputs'!$L$9,$E$79), 0)</f>
        <v>0</v>
      </c>
      <c r="AN98" s="501">
        <f>IFERROR(PPMT('Assumptions &amp; Inputs'!$L$10,AN89-YEAR('Assumptions &amp; Inputs'!$L$29),'Assumptions &amp; Inputs'!$L$9,$E$79), 0)</f>
        <v>0</v>
      </c>
      <c r="AO98" s="501">
        <f>IFERROR(PPMT('Assumptions &amp; Inputs'!$L$10,AO89-YEAR('Assumptions &amp; Inputs'!$L$29),'Assumptions &amp; Inputs'!$L$9,$E$79), 0)</f>
        <v>0</v>
      </c>
      <c r="AP98" s="501">
        <f>IFERROR(PPMT('Assumptions &amp; Inputs'!$L$10,AP89-YEAR('Assumptions &amp; Inputs'!$L$29),'Assumptions &amp; Inputs'!$L$9,$E$79), 0)</f>
        <v>0</v>
      </c>
      <c r="AQ98" s="501">
        <f>IFERROR(PPMT('Assumptions &amp; Inputs'!$L$10,AQ89-YEAR('Assumptions &amp; Inputs'!$L$29),'Assumptions &amp; Inputs'!$L$9,$E$79), 0)</f>
        <v>0</v>
      </c>
      <c r="AR98" s="501">
        <f>IFERROR(PPMT('Assumptions &amp; Inputs'!$L$10,AR89-YEAR('Assumptions &amp; Inputs'!$L$29),'Assumptions &amp; Inputs'!$L$9,$E$79), 0)</f>
        <v>0</v>
      </c>
      <c r="AS98" s="501">
        <f>IFERROR(PPMT('Assumptions &amp; Inputs'!$L$10,AS89-YEAR('Assumptions &amp; Inputs'!$L$29),'Assumptions &amp; Inputs'!$L$9,$E$79), 0)</f>
        <v>0</v>
      </c>
      <c r="AT98" s="501">
        <f>IFERROR(PPMT('Assumptions &amp; Inputs'!$L$10,AT89-YEAR('Assumptions &amp; Inputs'!$L$29),'Assumptions &amp; Inputs'!$L$9,$E$79), 0)</f>
        <v>0</v>
      </c>
      <c r="AU98" s="501">
        <f>IFERROR(PPMT('Assumptions &amp; Inputs'!$L$10,AU89-YEAR('Assumptions &amp; Inputs'!$L$29),'Assumptions &amp; Inputs'!$L$9,$E$79), 0)</f>
        <v>0</v>
      </c>
      <c r="AV98" s="501">
        <f>IFERROR(PPMT('Assumptions &amp; Inputs'!$L$10,AV89-YEAR('Assumptions &amp; Inputs'!$L$29),'Assumptions &amp; Inputs'!$L$9,$E$79), 0)</f>
        <v>0</v>
      </c>
      <c r="AW98" s="501">
        <f>IFERROR(PPMT('Assumptions &amp; Inputs'!$L$10,AW89-YEAR('Assumptions &amp; Inputs'!$L$29),'Assumptions &amp; Inputs'!$L$9,$E$79), 0)</f>
        <v>0</v>
      </c>
    </row>
    <row r="99" spans="1:49" ht="14.25" customHeight="1">
      <c r="A99" s="44"/>
      <c r="B99" s="44"/>
      <c r="C99" s="1" t="s">
        <v>450</v>
      </c>
      <c r="D99" s="501">
        <f>D97</f>
        <v>0</v>
      </c>
      <c r="E99" s="501">
        <f>SUM(E97:E98)</f>
        <v>0</v>
      </c>
      <c r="F99" s="501">
        <f t="shared" ref="F99:AW99" si="274">SUM(F97:F98)</f>
        <v>0</v>
      </c>
      <c r="G99" s="501">
        <f t="shared" si="274"/>
        <v>0</v>
      </c>
      <c r="H99" s="501">
        <f t="shared" si="274"/>
        <v>0</v>
      </c>
      <c r="I99" s="501">
        <f t="shared" si="274"/>
        <v>0</v>
      </c>
      <c r="J99" s="501">
        <f t="shared" si="274"/>
        <v>0</v>
      </c>
      <c r="K99" s="501">
        <f t="shared" si="274"/>
        <v>0</v>
      </c>
      <c r="L99" s="501">
        <f t="shared" si="274"/>
        <v>0</v>
      </c>
      <c r="M99" s="501">
        <f t="shared" si="274"/>
        <v>0</v>
      </c>
      <c r="N99" s="501">
        <f t="shared" si="274"/>
        <v>0</v>
      </c>
      <c r="O99" s="501">
        <f t="shared" si="274"/>
        <v>0</v>
      </c>
      <c r="P99" s="501">
        <f t="shared" si="274"/>
        <v>0</v>
      </c>
      <c r="Q99" s="501">
        <f t="shared" si="274"/>
        <v>0</v>
      </c>
      <c r="R99" s="501">
        <f t="shared" si="274"/>
        <v>0</v>
      </c>
      <c r="S99" s="501">
        <f t="shared" si="274"/>
        <v>0</v>
      </c>
      <c r="T99" s="501">
        <f t="shared" si="274"/>
        <v>0</v>
      </c>
      <c r="U99" s="501">
        <f t="shared" si="274"/>
        <v>0</v>
      </c>
      <c r="V99" s="501">
        <f t="shared" si="274"/>
        <v>0</v>
      </c>
      <c r="W99" s="501">
        <f t="shared" si="274"/>
        <v>0</v>
      </c>
      <c r="X99" s="501">
        <f t="shared" si="274"/>
        <v>0</v>
      </c>
      <c r="Y99" s="501">
        <f t="shared" si="274"/>
        <v>0</v>
      </c>
      <c r="Z99" s="501">
        <f t="shared" si="274"/>
        <v>0</v>
      </c>
      <c r="AA99" s="501">
        <f t="shared" si="274"/>
        <v>0</v>
      </c>
      <c r="AB99" s="501">
        <f t="shared" si="274"/>
        <v>0</v>
      </c>
      <c r="AC99" s="501">
        <f t="shared" si="274"/>
        <v>0</v>
      </c>
      <c r="AD99" s="501">
        <f t="shared" si="274"/>
        <v>0</v>
      </c>
      <c r="AE99" s="501">
        <f t="shared" si="274"/>
        <v>0</v>
      </c>
      <c r="AF99" s="501">
        <f t="shared" si="274"/>
        <v>0</v>
      </c>
      <c r="AG99" s="501">
        <f t="shared" si="274"/>
        <v>0</v>
      </c>
      <c r="AH99" s="501">
        <f t="shared" si="274"/>
        <v>0</v>
      </c>
      <c r="AI99" s="501">
        <f t="shared" si="274"/>
        <v>0</v>
      </c>
      <c r="AJ99" s="501">
        <f t="shared" si="274"/>
        <v>0</v>
      </c>
      <c r="AK99" s="501">
        <f t="shared" si="274"/>
        <v>0</v>
      </c>
      <c r="AL99" s="501">
        <f t="shared" si="274"/>
        <v>0</v>
      </c>
      <c r="AM99" s="501">
        <f t="shared" si="274"/>
        <v>0</v>
      </c>
      <c r="AN99" s="501">
        <f t="shared" si="274"/>
        <v>0</v>
      </c>
      <c r="AO99" s="501">
        <f t="shared" si="274"/>
        <v>0</v>
      </c>
      <c r="AP99" s="501">
        <f t="shared" si="274"/>
        <v>0</v>
      </c>
      <c r="AQ99" s="501">
        <f t="shared" si="274"/>
        <v>0</v>
      </c>
      <c r="AR99" s="501">
        <f t="shared" si="274"/>
        <v>0</v>
      </c>
      <c r="AS99" s="501">
        <f t="shared" si="274"/>
        <v>0</v>
      </c>
      <c r="AT99" s="501">
        <f t="shared" si="274"/>
        <v>0</v>
      </c>
      <c r="AU99" s="501">
        <f t="shared" si="274"/>
        <v>0</v>
      </c>
      <c r="AV99" s="501">
        <f t="shared" si="274"/>
        <v>0</v>
      </c>
      <c r="AW99" s="501">
        <f t="shared" si="274"/>
        <v>0</v>
      </c>
    </row>
    <row r="100" spans="1:49" ht="14.25" customHeight="1">
      <c r="A100" s="44"/>
      <c r="B100" s="4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4.25" customHeight="1">
      <c r="A101" s="44"/>
      <c r="B101" s="44"/>
      <c r="C101" s="1" t="s">
        <v>451</v>
      </c>
      <c r="D101" s="1"/>
      <c r="E101" s="8">
        <f>IFERROR(-IPMT('Assumptions &amp; Inputs'!$L$10,E89-YEAR('Assumptions &amp; Inputs'!$L$29),'Assumptions &amp; Inputs'!$L$9,$E$79), 0)</f>
        <v>0</v>
      </c>
      <c r="F101" s="8">
        <f>IFERROR(-IPMT('Assumptions &amp; Inputs'!$L$10,F89-YEAR('Assumptions &amp; Inputs'!$L$29),'Assumptions &amp; Inputs'!$L$9,$E$79), 0)</f>
        <v>0</v>
      </c>
      <c r="G101" s="8">
        <f>IFERROR(-IPMT('Assumptions &amp; Inputs'!$L$10,G89-YEAR('Assumptions &amp; Inputs'!$L$29),'Assumptions &amp; Inputs'!$L$9,$E$79), 0)</f>
        <v>0</v>
      </c>
      <c r="H101" s="8">
        <f>IFERROR(-IPMT('Assumptions &amp; Inputs'!$L$10,H89-YEAR('Assumptions &amp; Inputs'!$L$29),'Assumptions &amp; Inputs'!$L$9,$E$79), 0)</f>
        <v>0</v>
      </c>
      <c r="I101" s="8">
        <f>IFERROR(-IPMT('Assumptions &amp; Inputs'!$L$10,I89-YEAR('Assumptions &amp; Inputs'!$L$29),'Assumptions &amp; Inputs'!$L$9,$E$79), 0)</f>
        <v>0</v>
      </c>
      <c r="J101" s="8">
        <f>IFERROR(-IPMT('Assumptions &amp; Inputs'!$L$10,J89-YEAR('Assumptions &amp; Inputs'!$L$29),'Assumptions &amp; Inputs'!$L$9,$E$79), 0)</f>
        <v>0</v>
      </c>
      <c r="K101" s="8">
        <f>IFERROR(-IPMT('Assumptions &amp; Inputs'!$L$10,K89-YEAR('Assumptions &amp; Inputs'!$L$29),'Assumptions &amp; Inputs'!$L$9,$E$79), 0)</f>
        <v>0</v>
      </c>
      <c r="L101" s="8">
        <f>IFERROR(-IPMT('Assumptions &amp; Inputs'!$L$10,L89-YEAR('Assumptions &amp; Inputs'!$L$29),'Assumptions &amp; Inputs'!$L$9,$E$79), 0)</f>
        <v>0</v>
      </c>
      <c r="M101" s="8">
        <f>IFERROR(-IPMT('Assumptions &amp; Inputs'!$L$10,M89-YEAR('Assumptions &amp; Inputs'!$L$29),'Assumptions &amp; Inputs'!$L$9,$E$79), 0)</f>
        <v>0</v>
      </c>
      <c r="N101" s="8">
        <f>IFERROR(-IPMT('Assumptions &amp; Inputs'!$L$10,N89-YEAR('Assumptions &amp; Inputs'!$L$29),'Assumptions &amp; Inputs'!$L$9,$E$79), 0)</f>
        <v>0</v>
      </c>
      <c r="O101" s="8">
        <f>IFERROR(-IPMT('Assumptions &amp; Inputs'!$L$10,O89-YEAR('Assumptions &amp; Inputs'!$L$29),'Assumptions &amp; Inputs'!$L$9,$E$79), 0)</f>
        <v>0</v>
      </c>
      <c r="P101" s="8">
        <f>IFERROR(-IPMT('Assumptions &amp; Inputs'!$L$10,P89-YEAR('Assumptions &amp; Inputs'!$L$29),'Assumptions &amp; Inputs'!$L$9,$E$79), 0)</f>
        <v>0</v>
      </c>
      <c r="Q101" s="8">
        <f>IFERROR(-IPMT('Assumptions &amp; Inputs'!$L$10,Q89-YEAR('Assumptions &amp; Inputs'!$L$29),'Assumptions &amp; Inputs'!$L$9,$E$79), 0)</f>
        <v>0</v>
      </c>
      <c r="R101" s="8">
        <f>IFERROR(-IPMT('Assumptions &amp; Inputs'!$L$10,R89-YEAR('Assumptions &amp; Inputs'!$L$29),'Assumptions &amp; Inputs'!$L$9,$E$79), 0)</f>
        <v>0</v>
      </c>
      <c r="S101" s="8">
        <f>IFERROR(-IPMT('Assumptions &amp; Inputs'!$L$10,S89-YEAR('Assumptions &amp; Inputs'!$L$29),'Assumptions &amp; Inputs'!$L$9,$E$79), 0)</f>
        <v>0</v>
      </c>
      <c r="T101" s="8">
        <f>IFERROR(-IPMT('Assumptions &amp; Inputs'!$L$10,T89-YEAR('Assumptions &amp; Inputs'!$L$29),'Assumptions &amp; Inputs'!$L$9,$E$79), 0)</f>
        <v>0</v>
      </c>
      <c r="U101" s="8">
        <f>IFERROR(-IPMT('Assumptions &amp; Inputs'!$L$10,U89-YEAR('Assumptions &amp; Inputs'!$L$29),'Assumptions &amp; Inputs'!$L$9,$E$79), 0)</f>
        <v>0</v>
      </c>
      <c r="V101" s="8">
        <f>IFERROR(-IPMT('Assumptions &amp; Inputs'!$L$10,V89-YEAR('Assumptions &amp; Inputs'!$L$29),'Assumptions &amp; Inputs'!$L$9,$E$79), 0)</f>
        <v>0</v>
      </c>
      <c r="W101" s="8">
        <f>IFERROR(-IPMT('Assumptions &amp; Inputs'!$L$10,W89-YEAR('Assumptions &amp; Inputs'!$L$29),'Assumptions &amp; Inputs'!$L$9,$E$79), 0)</f>
        <v>0</v>
      </c>
      <c r="X101" s="8">
        <f>IFERROR(-IPMT('Assumptions &amp; Inputs'!$L$10,X89-YEAR('Assumptions &amp; Inputs'!$L$29),'Assumptions &amp; Inputs'!$L$9,$E$79), 0)</f>
        <v>0</v>
      </c>
      <c r="Y101" s="8">
        <f>IFERROR(-IPMT('Assumptions &amp; Inputs'!$L$10,Y89-YEAR('Assumptions &amp; Inputs'!$L$29),'Assumptions &amp; Inputs'!$L$9,$E$79), 0)</f>
        <v>0</v>
      </c>
      <c r="Z101" s="8">
        <f>IFERROR(-IPMT('Assumptions &amp; Inputs'!$L$10,Z89-YEAR('Assumptions &amp; Inputs'!$L$29),'Assumptions &amp; Inputs'!$L$9,$E$79), 0)</f>
        <v>0</v>
      </c>
      <c r="AA101" s="8">
        <f>IFERROR(-IPMT('Assumptions &amp; Inputs'!$L$10,AA89-YEAR('Assumptions &amp; Inputs'!$L$29),'Assumptions &amp; Inputs'!$L$9,$E$79), 0)</f>
        <v>0</v>
      </c>
      <c r="AB101" s="8">
        <f>IFERROR(-IPMT('Assumptions &amp; Inputs'!$L$10,AB89-YEAR('Assumptions &amp; Inputs'!$L$29),'Assumptions &amp; Inputs'!$L$9,$E$79), 0)</f>
        <v>0</v>
      </c>
      <c r="AC101" s="8">
        <f>IFERROR(-IPMT('Assumptions &amp; Inputs'!$L$10,AC89-YEAR('Assumptions &amp; Inputs'!$L$29),'Assumptions &amp; Inputs'!$L$9,$E$79), 0)</f>
        <v>0</v>
      </c>
      <c r="AD101" s="8">
        <f>IFERROR(-IPMT('Assumptions &amp; Inputs'!$L$10,AD89-YEAR('Assumptions &amp; Inputs'!$L$29),'Assumptions &amp; Inputs'!$L$9,$E$79), 0)</f>
        <v>0</v>
      </c>
      <c r="AE101" s="8">
        <f>IFERROR(-IPMT('Assumptions &amp; Inputs'!$L$10,AE89-YEAR('Assumptions &amp; Inputs'!$L$29),'Assumptions &amp; Inputs'!$L$9,$E$79), 0)</f>
        <v>0</v>
      </c>
      <c r="AF101" s="8">
        <f>IFERROR(-IPMT('Assumptions &amp; Inputs'!$L$10,AF89-YEAR('Assumptions &amp; Inputs'!$L$29),'Assumptions &amp; Inputs'!$L$9,$E$79), 0)</f>
        <v>0</v>
      </c>
      <c r="AG101" s="8">
        <f>IFERROR(-IPMT('Assumptions &amp; Inputs'!$L$10,AG89-YEAR('Assumptions &amp; Inputs'!$L$29),'Assumptions &amp; Inputs'!$L$9,$E$79), 0)</f>
        <v>0</v>
      </c>
      <c r="AH101" s="8">
        <f>IFERROR(-IPMT('Assumptions &amp; Inputs'!$L$10,AH89-YEAR('Assumptions &amp; Inputs'!$L$29),'Assumptions &amp; Inputs'!$L$9,$E$79), 0)</f>
        <v>0</v>
      </c>
      <c r="AI101" s="8">
        <f>IFERROR(-IPMT('Assumptions &amp; Inputs'!$L$10,AI89-YEAR('Assumptions &amp; Inputs'!$L$29),'Assumptions &amp; Inputs'!$L$9,$E$79), 0)</f>
        <v>0</v>
      </c>
      <c r="AJ101" s="8">
        <f>IFERROR(-IPMT('Assumptions &amp; Inputs'!$L$10,AJ89-YEAR('Assumptions &amp; Inputs'!$L$29),'Assumptions &amp; Inputs'!$L$9,$E$79), 0)</f>
        <v>0</v>
      </c>
      <c r="AK101" s="8">
        <f>IFERROR(-IPMT('Assumptions &amp; Inputs'!$L$10,AK89-YEAR('Assumptions &amp; Inputs'!$L$29),'Assumptions &amp; Inputs'!$L$9,$E$79), 0)</f>
        <v>0</v>
      </c>
      <c r="AL101" s="8">
        <f>IFERROR(-IPMT('Assumptions &amp; Inputs'!$L$10,AL89-YEAR('Assumptions &amp; Inputs'!$L$29),'Assumptions &amp; Inputs'!$L$9,$E$79), 0)</f>
        <v>0</v>
      </c>
      <c r="AM101" s="8">
        <f>IFERROR(-IPMT('Assumptions &amp; Inputs'!$L$10,AM89-YEAR('Assumptions &amp; Inputs'!$L$29),'Assumptions &amp; Inputs'!$L$9,$E$79), 0)</f>
        <v>0</v>
      </c>
      <c r="AN101" s="8">
        <f>IFERROR(-IPMT('Assumptions &amp; Inputs'!$L$10,AN89-YEAR('Assumptions &amp; Inputs'!$L$29),'Assumptions &amp; Inputs'!$L$9,$E$79), 0)</f>
        <v>0</v>
      </c>
      <c r="AO101" s="8">
        <f>IFERROR(-IPMT('Assumptions &amp; Inputs'!$L$10,AO89-YEAR('Assumptions &amp; Inputs'!$L$29),'Assumptions &amp; Inputs'!$L$9,$E$79), 0)</f>
        <v>0</v>
      </c>
      <c r="AP101" s="8">
        <f>IFERROR(-IPMT('Assumptions &amp; Inputs'!$L$10,AP89-YEAR('Assumptions &amp; Inputs'!$L$29),'Assumptions &amp; Inputs'!$L$9,$E$79), 0)</f>
        <v>0</v>
      </c>
      <c r="AQ101" s="8">
        <f>IFERROR(-IPMT('Assumptions &amp; Inputs'!$L$10,AQ89-YEAR('Assumptions &amp; Inputs'!$L$29),'Assumptions &amp; Inputs'!$L$9,$E$79), 0)</f>
        <v>0</v>
      </c>
      <c r="AR101" s="8">
        <f>IFERROR(-IPMT('Assumptions &amp; Inputs'!$L$10,AR89-YEAR('Assumptions &amp; Inputs'!$L$29),'Assumptions &amp; Inputs'!$L$9,$E$79), 0)</f>
        <v>0</v>
      </c>
      <c r="AS101" s="8">
        <f>IFERROR(-IPMT('Assumptions &amp; Inputs'!$L$10,AS89-YEAR('Assumptions &amp; Inputs'!$L$29),'Assumptions &amp; Inputs'!$L$9,$E$79), 0)</f>
        <v>0</v>
      </c>
      <c r="AT101" s="8">
        <f>IFERROR(-IPMT('Assumptions &amp; Inputs'!$L$10,AT89-YEAR('Assumptions &amp; Inputs'!$L$29),'Assumptions &amp; Inputs'!$L$9,$E$79), 0)</f>
        <v>0</v>
      </c>
      <c r="AU101" s="8">
        <f>IFERROR(-IPMT('Assumptions &amp; Inputs'!$L$10,AU89-YEAR('Assumptions &amp; Inputs'!$L$29),'Assumptions &amp; Inputs'!$L$9,$E$79), 0)</f>
        <v>0</v>
      </c>
      <c r="AV101" s="8">
        <f>IFERROR(-IPMT('Assumptions &amp; Inputs'!$L$10,AV89-YEAR('Assumptions &amp; Inputs'!$L$29),'Assumptions &amp; Inputs'!$L$9,$E$79), 0)</f>
        <v>0</v>
      </c>
      <c r="AW101" s="8">
        <f>IFERROR(-IPMT('Assumptions &amp; Inputs'!$L$10,AW89-YEAR('Assumptions &amp; Inputs'!$L$29),'Assumptions &amp; Inputs'!$L$9,$E$79), 0)</f>
        <v>0</v>
      </c>
    </row>
    <row r="102" spans="1:49" ht="14.25" customHeight="1">
      <c r="A102" s="44"/>
      <c r="B102" s="44"/>
      <c r="C102" s="1" t="s">
        <v>452</v>
      </c>
      <c r="D102" s="1"/>
      <c r="E102" s="8">
        <f t="shared" ref="E102:AW102" si="275">-E98</f>
        <v>0</v>
      </c>
      <c r="F102" s="8">
        <f t="shared" si="275"/>
        <v>0</v>
      </c>
      <c r="G102" s="8">
        <f t="shared" si="275"/>
        <v>0</v>
      </c>
      <c r="H102" s="8">
        <f t="shared" si="275"/>
        <v>0</v>
      </c>
      <c r="I102" s="8">
        <f t="shared" si="275"/>
        <v>0</v>
      </c>
      <c r="J102" s="8">
        <f t="shared" si="275"/>
        <v>0</v>
      </c>
      <c r="K102" s="8">
        <f t="shared" si="275"/>
        <v>0</v>
      </c>
      <c r="L102" s="8">
        <f t="shared" si="275"/>
        <v>0</v>
      </c>
      <c r="M102" s="8">
        <f t="shared" si="275"/>
        <v>0</v>
      </c>
      <c r="N102" s="8">
        <f t="shared" si="275"/>
        <v>0</v>
      </c>
      <c r="O102" s="8">
        <f t="shared" si="275"/>
        <v>0</v>
      </c>
      <c r="P102" s="8">
        <f t="shared" si="275"/>
        <v>0</v>
      </c>
      <c r="Q102" s="8">
        <f t="shared" si="275"/>
        <v>0</v>
      </c>
      <c r="R102" s="8">
        <f t="shared" si="275"/>
        <v>0</v>
      </c>
      <c r="S102" s="8">
        <f t="shared" si="275"/>
        <v>0</v>
      </c>
      <c r="T102" s="8">
        <f t="shared" si="275"/>
        <v>0</v>
      </c>
      <c r="U102" s="8">
        <f t="shared" si="275"/>
        <v>0</v>
      </c>
      <c r="V102" s="8">
        <f t="shared" si="275"/>
        <v>0</v>
      </c>
      <c r="W102" s="8">
        <f t="shared" si="275"/>
        <v>0</v>
      </c>
      <c r="X102" s="8">
        <f t="shared" si="275"/>
        <v>0</v>
      </c>
      <c r="Y102" s="8">
        <f t="shared" si="275"/>
        <v>0</v>
      </c>
      <c r="Z102" s="8">
        <f t="shared" si="275"/>
        <v>0</v>
      </c>
      <c r="AA102" s="8">
        <f t="shared" si="275"/>
        <v>0</v>
      </c>
      <c r="AB102" s="8">
        <f t="shared" si="275"/>
        <v>0</v>
      </c>
      <c r="AC102" s="8">
        <f t="shared" si="275"/>
        <v>0</v>
      </c>
      <c r="AD102" s="8">
        <f t="shared" si="275"/>
        <v>0</v>
      </c>
      <c r="AE102" s="8">
        <f t="shared" si="275"/>
        <v>0</v>
      </c>
      <c r="AF102" s="8">
        <f t="shared" si="275"/>
        <v>0</v>
      </c>
      <c r="AG102" s="8">
        <f t="shared" si="275"/>
        <v>0</v>
      </c>
      <c r="AH102" s="8">
        <f t="shared" si="275"/>
        <v>0</v>
      </c>
      <c r="AI102" s="8">
        <f t="shared" si="275"/>
        <v>0</v>
      </c>
      <c r="AJ102" s="8">
        <f t="shared" si="275"/>
        <v>0</v>
      </c>
      <c r="AK102" s="8">
        <f t="shared" si="275"/>
        <v>0</v>
      </c>
      <c r="AL102" s="8">
        <f t="shared" si="275"/>
        <v>0</v>
      </c>
      <c r="AM102" s="8">
        <f t="shared" si="275"/>
        <v>0</v>
      </c>
      <c r="AN102" s="8">
        <f t="shared" si="275"/>
        <v>0</v>
      </c>
      <c r="AO102" s="8">
        <f t="shared" si="275"/>
        <v>0</v>
      </c>
      <c r="AP102" s="8">
        <f t="shared" si="275"/>
        <v>0</v>
      </c>
      <c r="AQ102" s="8">
        <f t="shared" si="275"/>
        <v>0</v>
      </c>
      <c r="AR102" s="8">
        <f t="shared" si="275"/>
        <v>0</v>
      </c>
      <c r="AS102" s="8">
        <f t="shared" si="275"/>
        <v>0</v>
      </c>
      <c r="AT102" s="8">
        <f t="shared" si="275"/>
        <v>0</v>
      </c>
      <c r="AU102" s="8">
        <f t="shared" si="275"/>
        <v>0</v>
      </c>
      <c r="AV102" s="8">
        <f t="shared" si="275"/>
        <v>0</v>
      </c>
      <c r="AW102" s="8">
        <f t="shared" si="275"/>
        <v>0</v>
      </c>
    </row>
    <row r="103" spans="1:49" ht="14.25" customHeight="1">
      <c r="A103" s="44"/>
      <c r="B103" s="44"/>
      <c r="C103" s="2" t="s">
        <v>444</v>
      </c>
      <c r="D103" s="2"/>
      <c r="E103" s="31">
        <f t="shared" ref="E103:AW103" si="276">SUM(E101:E102)</f>
        <v>0</v>
      </c>
      <c r="F103" s="31">
        <f t="shared" si="276"/>
        <v>0</v>
      </c>
      <c r="G103" s="31">
        <f t="shared" si="276"/>
        <v>0</v>
      </c>
      <c r="H103" s="31">
        <f t="shared" si="276"/>
        <v>0</v>
      </c>
      <c r="I103" s="31">
        <f t="shared" si="276"/>
        <v>0</v>
      </c>
      <c r="J103" s="31">
        <f t="shared" si="276"/>
        <v>0</v>
      </c>
      <c r="K103" s="31">
        <f t="shared" si="276"/>
        <v>0</v>
      </c>
      <c r="L103" s="31">
        <f t="shared" si="276"/>
        <v>0</v>
      </c>
      <c r="M103" s="31">
        <f t="shared" si="276"/>
        <v>0</v>
      </c>
      <c r="N103" s="31">
        <f t="shared" si="276"/>
        <v>0</v>
      </c>
      <c r="O103" s="31">
        <f t="shared" si="276"/>
        <v>0</v>
      </c>
      <c r="P103" s="31">
        <f t="shared" si="276"/>
        <v>0</v>
      </c>
      <c r="Q103" s="31">
        <f t="shared" si="276"/>
        <v>0</v>
      </c>
      <c r="R103" s="31">
        <f t="shared" si="276"/>
        <v>0</v>
      </c>
      <c r="S103" s="31">
        <f t="shared" si="276"/>
        <v>0</v>
      </c>
      <c r="T103" s="31">
        <f t="shared" si="276"/>
        <v>0</v>
      </c>
      <c r="U103" s="31">
        <f t="shared" si="276"/>
        <v>0</v>
      </c>
      <c r="V103" s="31">
        <f t="shared" si="276"/>
        <v>0</v>
      </c>
      <c r="W103" s="31">
        <f t="shared" si="276"/>
        <v>0</v>
      </c>
      <c r="X103" s="31">
        <f t="shared" si="276"/>
        <v>0</v>
      </c>
      <c r="Y103" s="31">
        <f t="shared" si="276"/>
        <v>0</v>
      </c>
      <c r="Z103" s="31">
        <f t="shared" si="276"/>
        <v>0</v>
      </c>
      <c r="AA103" s="31">
        <f t="shared" si="276"/>
        <v>0</v>
      </c>
      <c r="AB103" s="31">
        <f t="shared" si="276"/>
        <v>0</v>
      </c>
      <c r="AC103" s="31">
        <f t="shared" si="276"/>
        <v>0</v>
      </c>
      <c r="AD103" s="31">
        <f t="shared" si="276"/>
        <v>0</v>
      </c>
      <c r="AE103" s="31">
        <f t="shared" si="276"/>
        <v>0</v>
      </c>
      <c r="AF103" s="31">
        <f t="shared" si="276"/>
        <v>0</v>
      </c>
      <c r="AG103" s="31">
        <f t="shared" si="276"/>
        <v>0</v>
      </c>
      <c r="AH103" s="31">
        <f t="shared" si="276"/>
        <v>0</v>
      </c>
      <c r="AI103" s="31">
        <f t="shared" si="276"/>
        <v>0</v>
      </c>
      <c r="AJ103" s="31">
        <f t="shared" si="276"/>
        <v>0</v>
      </c>
      <c r="AK103" s="31">
        <f t="shared" si="276"/>
        <v>0</v>
      </c>
      <c r="AL103" s="31">
        <f t="shared" si="276"/>
        <v>0</v>
      </c>
      <c r="AM103" s="31">
        <f t="shared" si="276"/>
        <v>0</v>
      </c>
      <c r="AN103" s="31">
        <f t="shared" si="276"/>
        <v>0</v>
      </c>
      <c r="AO103" s="31">
        <f t="shared" si="276"/>
        <v>0</v>
      </c>
      <c r="AP103" s="31">
        <f t="shared" si="276"/>
        <v>0</v>
      </c>
      <c r="AQ103" s="31">
        <f t="shared" si="276"/>
        <v>0</v>
      </c>
      <c r="AR103" s="31">
        <f t="shared" si="276"/>
        <v>0</v>
      </c>
      <c r="AS103" s="31">
        <f t="shared" si="276"/>
        <v>0</v>
      </c>
      <c r="AT103" s="31">
        <f t="shared" si="276"/>
        <v>0</v>
      </c>
      <c r="AU103" s="31">
        <f t="shared" si="276"/>
        <v>0</v>
      </c>
      <c r="AV103" s="31">
        <f t="shared" si="276"/>
        <v>0</v>
      </c>
      <c r="AW103" s="31">
        <f t="shared" si="276"/>
        <v>0</v>
      </c>
    </row>
    <row r="104" spans="1:49" ht="14.25" customHeight="1">
      <c r="A104" s="44"/>
      <c r="B104" s="4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4.25" customHeight="1">
      <c r="A105" s="44"/>
      <c r="B105" s="4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4.25" customHeight="1" thickBot="1">
      <c r="A106" s="44" t="s">
        <v>351</v>
      </c>
      <c r="B106" s="44"/>
      <c r="C106" s="9" t="s">
        <v>475</v>
      </c>
      <c r="D106" s="9"/>
      <c r="E106" s="10"/>
      <c r="F106" s="10"/>
      <c r="G106" s="10"/>
      <c r="H106" s="10"/>
      <c r="I106" s="10"/>
      <c r="J106" s="1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ht="14.25" customHeight="1">
      <c r="A107" s="44"/>
      <c r="B107" s="44"/>
      <c r="C107" s="12" t="s">
        <v>353</v>
      </c>
      <c r="D107" s="13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4.25" customHeight="1">
      <c r="A108" s="44"/>
      <c r="B108" s="44"/>
      <c r="C108" s="1"/>
      <c r="D108" s="43">
        <v>0</v>
      </c>
      <c r="E108" s="90">
        <f t="shared" ref="E108:X108" si="277">D108+1</f>
        <v>1</v>
      </c>
      <c r="F108" s="90">
        <f t="shared" si="277"/>
        <v>2</v>
      </c>
      <c r="G108" s="90">
        <f t="shared" si="277"/>
        <v>3</v>
      </c>
      <c r="H108" s="90">
        <f t="shared" si="277"/>
        <v>4</v>
      </c>
      <c r="I108" s="90">
        <f t="shared" si="277"/>
        <v>5</v>
      </c>
      <c r="J108" s="90">
        <f t="shared" si="277"/>
        <v>6</v>
      </c>
      <c r="K108" s="90">
        <f t="shared" si="277"/>
        <v>7</v>
      </c>
      <c r="L108" s="90">
        <f t="shared" si="277"/>
        <v>8</v>
      </c>
      <c r="M108" s="90">
        <f t="shared" si="277"/>
        <v>9</v>
      </c>
      <c r="N108" s="90">
        <f t="shared" si="277"/>
        <v>10</v>
      </c>
      <c r="O108" s="90">
        <f t="shared" si="277"/>
        <v>11</v>
      </c>
      <c r="P108" s="90">
        <f t="shared" si="277"/>
        <v>12</v>
      </c>
      <c r="Q108" s="90">
        <f>P108+1</f>
        <v>13</v>
      </c>
      <c r="R108" s="90">
        <f t="shared" si="277"/>
        <v>14</v>
      </c>
      <c r="S108" s="90">
        <f t="shared" si="277"/>
        <v>15</v>
      </c>
      <c r="T108" s="90">
        <f t="shared" si="277"/>
        <v>16</v>
      </c>
      <c r="U108" s="90">
        <f t="shared" si="277"/>
        <v>17</v>
      </c>
      <c r="V108" s="90">
        <f t="shared" si="277"/>
        <v>18</v>
      </c>
      <c r="W108" s="90">
        <f t="shared" si="277"/>
        <v>19</v>
      </c>
      <c r="X108" s="90">
        <f t="shared" si="277"/>
        <v>20</v>
      </c>
      <c r="Y108" s="90">
        <f t="shared" ref="Y108" si="278">X108+1</f>
        <v>21</v>
      </c>
      <c r="Z108" s="90">
        <f t="shared" ref="Z108" si="279">Y108+1</f>
        <v>22</v>
      </c>
      <c r="AA108" s="90">
        <f t="shared" ref="AA108" si="280">Z108+1</f>
        <v>23</v>
      </c>
      <c r="AB108" s="90">
        <f t="shared" ref="AB108" si="281">AA108+1</f>
        <v>24</v>
      </c>
      <c r="AC108" s="90">
        <f t="shared" ref="AC108" si="282">AB108+1</f>
        <v>25</v>
      </c>
      <c r="AD108" s="90">
        <f t="shared" ref="AD108" si="283">AC108+1</f>
        <v>26</v>
      </c>
      <c r="AE108" s="90">
        <f t="shared" ref="AE108" si="284">AD108+1</f>
        <v>27</v>
      </c>
      <c r="AF108" s="90">
        <f t="shared" ref="AF108" si="285">AE108+1</f>
        <v>28</v>
      </c>
      <c r="AG108" s="90">
        <f t="shared" ref="AG108" si="286">AF108+1</f>
        <v>29</v>
      </c>
      <c r="AH108" s="90">
        <f t="shared" ref="AH108" si="287">AG108+1</f>
        <v>30</v>
      </c>
      <c r="AI108" s="90">
        <f t="shared" ref="AI108" si="288">AH108+1</f>
        <v>31</v>
      </c>
      <c r="AJ108" s="90">
        <f t="shared" ref="AJ108" si="289">AI108+1</f>
        <v>32</v>
      </c>
      <c r="AK108" s="90">
        <f t="shared" ref="AK108" si="290">AJ108+1</f>
        <v>33</v>
      </c>
      <c r="AL108" s="90">
        <f t="shared" ref="AL108" si="291">AK108+1</f>
        <v>34</v>
      </c>
      <c r="AM108" s="90">
        <f t="shared" ref="AM108" si="292">AL108+1</f>
        <v>35</v>
      </c>
      <c r="AN108" s="90">
        <f t="shared" ref="AN108" si="293">AM108+1</f>
        <v>36</v>
      </c>
      <c r="AO108" s="90">
        <f t="shared" ref="AO108" si="294">AN108+1</f>
        <v>37</v>
      </c>
      <c r="AP108" s="90">
        <f t="shared" ref="AP108" si="295">AO108+1</f>
        <v>38</v>
      </c>
      <c r="AQ108" s="90">
        <f t="shared" ref="AQ108" si="296">AP108+1</f>
        <v>39</v>
      </c>
      <c r="AR108" s="90">
        <f t="shared" ref="AR108" si="297">AQ108+1</f>
        <v>40</v>
      </c>
      <c r="AS108" s="90">
        <f t="shared" ref="AS108" si="298">AR108+1</f>
        <v>41</v>
      </c>
      <c r="AT108" s="90">
        <f t="shared" ref="AT108" si="299">AS108+1</f>
        <v>42</v>
      </c>
      <c r="AU108" s="90">
        <f t="shared" ref="AU108" si="300">AT108+1</f>
        <v>43</v>
      </c>
      <c r="AV108" s="90">
        <f t="shared" ref="AV108" si="301">AU108+1</f>
        <v>44</v>
      </c>
      <c r="AW108" s="90">
        <f t="shared" ref="AW108" si="302">AV108+1</f>
        <v>45</v>
      </c>
    </row>
    <row r="109" spans="1:49" ht="14.25" customHeight="1">
      <c r="A109" s="44"/>
      <c r="B109" s="44"/>
      <c r="C109" s="45"/>
      <c r="D109" s="2"/>
      <c r="E109" s="806" t="s">
        <v>354</v>
      </c>
      <c r="F109" s="819"/>
      <c r="G109" s="819"/>
      <c r="H109" s="819"/>
      <c r="I109" s="819"/>
      <c r="J109" s="819"/>
      <c r="K109" s="819"/>
      <c r="L109" s="819"/>
      <c r="M109" s="819"/>
      <c r="N109" s="819"/>
      <c r="O109" s="819"/>
      <c r="P109" s="819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</row>
    <row r="110" spans="1:49" ht="14.25" customHeight="1">
      <c r="A110" s="44"/>
      <c r="B110" s="44"/>
      <c r="C110" s="46"/>
      <c r="D110" s="3">
        <f>D89</f>
        <v>2026</v>
      </c>
      <c r="E110" s="91">
        <f t="shared" ref="E110:X110" si="303">D110+1</f>
        <v>2027</v>
      </c>
      <c r="F110" s="91">
        <f t="shared" si="303"/>
        <v>2028</v>
      </c>
      <c r="G110" s="91">
        <f t="shared" si="303"/>
        <v>2029</v>
      </c>
      <c r="H110" s="91">
        <f t="shared" si="303"/>
        <v>2030</v>
      </c>
      <c r="I110" s="91">
        <f t="shared" si="303"/>
        <v>2031</v>
      </c>
      <c r="J110" s="91">
        <f t="shared" si="303"/>
        <v>2032</v>
      </c>
      <c r="K110" s="91">
        <f t="shared" si="303"/>
        <v>2033</v>
      </c>
      <c r="L110" s="91">
        <f t="shared" si="303"/>
        <v>2034</v>
      </c>
      <c r="M110" s="91">
        <f t="shared" si="303"/>
        <v>2035</v>
      </c>
      <c r="N110" s="91">
        <f t="shared" si="303"/>
        <v>2036</v>
      </c>
      <c r="O110" s="91">
        <f t="shared" si="303"/>
        <v>2037</v>
      </c>
      <c r="P110" s="91">
        <f t="shared" si="303"/>
        <v>2038</v>
      </c>
      <c r="Q110" s="91">
        <f>P110+1</f>
        <v>2039</v>
      </c>
      <c r="R110" s="91">
        <f t="shared" si="303"/>
        <v>2040</v>
      </c>
      <c r="S110" s="91">
        <f t="shared" si="303"/>
        <v>2041</v>
      </c>
      <c r="T110" s="91">
        <f t="shared" si="303"/>
        <v>2042</v>
      </c>
      <c r="U110" s="91">
        <f t="shared" si="303"/>
        <v>2043</v>
      </c>
      <c r="V110" s="91">
        <f t="shared" si="303"/>
        <v>2044</v>
      </c>
      <c r="W110" s="91">
        <f t="shared" si="303"/>
        <v>2045</v>
      </c>
      <c r="X110" s="91">
        <f t="shared" si="303"/>
        <v>2046</v>
      </c>
      <c r="Y110" s="91">
        <f t="shared" ref="Y110" si="304">X110+1</f>
        <v>2047</v>
      </c>
      <c r="Z110" s="91">
        <f t="shared" ref="Z110" si="305">Y110+1</f>
        <v>2048</v>
      </c>
      <c r="AA110" s="91">
        <f t="shared" ref="AA110" si="306">Z110+1</f>
        <v>2049</v>
      </c>
      <c r="AB110" s="91">
        <f t="shared" ref="AB110" si="307">AA110+1</f>
        <v>2050</v>
      </c>
      <c r="AC110" s="91">
        <f t="shared" ref="AC110" si="308">AB110+1</f>
        <v>2051</v>
      </c>
      <c r="AD110" s="91">
        <f t="shared" ref="AD110" si="309">AC110+1</f>
        <v>2052</v>
      </c>
      <c r="AE110" s="91">
        <f t="shared" ref="AE110" si="310">AD110+1</f>
        <v>2053</v>
      </c>
      <c r="AF110" s="91">
        <f t="shared" ref="AF110" si="311">AE110+1</f>
        <v>2054</v>
      </c>
      <c r="AG110" s="91">
        <f t="shared" ref="AG110" si="312">AF110+1</f>
        <v>2055</v>
      </c>
      <c r="AH110" s="91">
        <f t="shared" ref="AH110" si="313">AG110+1</f>
        <v>2056</v>
      </c>
      <c r="AI110" s="91">
        <f t="shared" ref="AI110" si="314">AH110+1</f>
        <v>2057</v>
      </c>
      <c r="AJ110" s="91">
        <f t="shared" ref="AJ110" si="315">AI110+1</f>
        <v>2058</v>
      </c>
      <c r="AK110" s="91">
        <f t="shared" ref="AK110" si="316">AJ110+1</f>
        <v>2059</v>
      </c>
      <c r="AL110" s="91">
        <f t="shared" ref="AL110" si="317">AK110+1</f>
        <v>2060</v>
      </c>
      <c r="AM110" s="91">
        <f t="shared" ref="AM110" si="318">AL110+1</f>
        <v>2061</v>
      </c>
      <c r="AN110" s="91">
        <f t="shared" ref="AN110" si="319">AM110+1</f>
        <v>2062</v>
      </c>
      <c r="AO110" s="91">
        <f t="shared" ref="AO110" si="320">AN110+1</f>
        <v>2063</v>
      </c>
      <c r="AP110" s="91">
        <f t="shared" ref="AP110" si="321">AO110+1</f>
        <v>2064</v>
      </c>
      <c r="AQ110" s="91">
        <f t="shared" ref="AQ110" si="322">AP110+1</f>
        <v>2065</v>
      </c>
      <c r="AR110" s="91">
        <f t="shared" ref="AR110" si="323">AQ110+1</f>
        <v>2066</v>
      </c>
      <c r="AS110" s="91">
        <f t="shared" ref="AS110" si="324">AR110+1</f>
        <v>2067</v>
      </c>
      <c r="AT110" s="91">
        <f t="shared" ref="AT110" si="325">AS110+1</f>
        <v>2068</v>
      </c>
      <c r="AU110" s="91">
        <f t="shared" ref="AU110" si="326">AT110+1</f>
        <v>2069</v>
      </c>
      <c r="AV110" s="91">
        <f t="shared" ref="AV110" si="327">AU110+1</f>
        <v>2070</v>
      </c>
      <c r="AW110" s="91">
        <f t="shared" ref="AW110" si="328">AV110+1</f>
        <v>2071</v>
      </c>
    </row>
    <row r="111" spans="1:49" ht="14.25" customHeight="1">
      <c r="A111" s="44"/>
      <c r="B111" s="44"/>
      <c r="C111" s="44"/>
      <c r="D111" s="42">
        <f>D10</f>
        <v>46023</v>
      </c>
      <c r="E111" s="93">
        <v>46387</v>
      </c>
      <c r="F111" s="93">
        <f t="shared" ref="F111:X111" si="329">EDATE(E111,12)</f>
        <v>46752</v>
      </c>
      <c r="G111" s="93">
        <f t="shared" si="329"/>
        <v>47118</v>
      </c>
      <c r="H111" s="93">
        <f t="shared" si="329"/>
        <v>47483</v>
      </c>
      <c r="I111" s="93">
        <f t="shared" si="329"/>
        <v>47848</v>
      </c>
      <c r="J111" s="93">
        <f t="shared" si="329"/>
        <v>48213</v>
      </c>
      <c r="K111" s="93">
        <f t="shared" si="329"/>
        <v>48579</v>
      </c>
      <c r="L111" s="93">
        <f t="shared" si="329"/>
        <v>48944</v>
      </c>
      <c r="M111" s="93">
        <f t="shared" si="329"/>
        <v>49309</v>
      </c>
      <c r="N111" s="93">
        <f t="shared" si="329"/>
        <v>49674</v>
      </c>
      <c r="O111" s="93">
        <f t="shared" si="329"/>
        <v>50040</v>
      </c>
      <c r="P111" s="93">
        <f t="shared" si="329"/>
        <v>50405</v>
      </c>
      <c r="Q111" s="93">
        <f>EDATE(P111,12)</f>
        <v>50770</v>
      </c>
      <c r="R111" s="93">
        <f t="shared" si="329"/>
        <v>51135</v>
      </c>
      <c r="S111" s="93">
        <f t="shared" si="329"/>
        <v>51501</v>
      </c>
      <c r="T111" s="93">
        <f t="shared" si="329"/>
        <v>51866</v>
      </c>
      <c r="U111" s="93">
        <f t="shared" si="329"/>
        <v>52231</v>
      </c>
      <c r="V111" s="93">
        <f t="shared" si="329"/>
        <v>52596</v>
      </c>
      <c r="W111" s="93">
        <f t="shared" si="329"/>
        <v>52962</v>
      </c>
      <c r="X111" s="93">
        <f t="shared" si="329"/>
        <v>53327</v>
      </c>
      <c r="Y111" s="93">
        <f t="shared" ref="Y111" si="330">EDATE(X111,12)</f>
        <v>53692</v>
      </c>
      <c r="Z111" s="93">
        <f t="shared" ref="Z111" si="331">EDATE(Y111,12)</f>
        <v>54057</v>
      </c>
      <c r="AA111" s="93">
        <f t="shared" ref="AA111" si="332">EDATE(Z111,12)</f>
        <v>54423</v>
      </c>
      <c r="AB111" s="93">
        <f t="shared" ref="AB111" si="333">EDATE(AA111,12)</f>
        <v>54788</v>
      </c>
      <c r="AC111" s="93">
        <f t="shared" ref="AC111" si="334">EDATE(AB111,12)</f>
        <v>55153</v>
      </c>
      <c r="AD111" s="93">
        <f t="shared" ref="AD111" si="335">EDATE(AC111,12)</f>
        <v>55518</v>
      </c>
      <c r="AE111" s="93">
        <f t="shared" ref="AE111" si="336">EDATE(AD111,12)</f>
        <v>55884</v>
      </c>
      <c r="AF111" s="93">
        <f t="shared" ref="AF111" si="337">EDATE(AE111,12)</f>
        <v>56249</v>
      </c>
      <c r="AG111" s="93">
        <f t="shared" ref="AG111" si="338">EDATE(AF111,12)</f>
        <v>56614</v>
      </c>
      <c r="AH111" s="93">
        <f t="shared" ref="AH111" si="339">EDATE(AG111,12)</f>
        <v>56979</v>
      </c>
      <c r="AI111" s="93">
        <f t="shared" ref="AI111" si="340">EDATE(AH111,12)</f>
        <v>57345</v>
      </c>
      <c r="AJ111" s="93">
        <f t="shared" ref="AJ111" si="341">EDATE(AI111,12)</f>
        <v>57710</v>
      </c>
      <c r="AK111" s="93">
        <f t="shared" ref="AK111" si="342">EDATE(AJ111,12)</f>
        <v>58075</v>
      </c>
      <c r="AL111" s="93">
        <f t="shared" ref="AL111" si="343">EDATE(AK111,12)</f>
        <v>58440</v>
      </c>
      <c r="AM111" s="93">
        <f t="shared" ref="AM111" si="344">EDATE(AL111,12)</f>
        <v>58806</v>
      </c>
      <c r="AN111" s="93">
        <f t="shared" ref="AN111" si="345">EDATE(AM111,12)</f>
        <v>59171</v>
      </c>
      <c r="AO111" s="93">
        <f t="shared" ref="AO111" si="346">EDATE(AN111,12)</f>
        <v>59536</v>
      </c>
      <c r="AP111" s="93">
        <f t="shared" ref="AP111" si="347">EDATE(AO111,12)</f>
        <v>59901</v>
      </c>
      <c r="AQ111" s="93">
        <f t="shared" ref="AQ111" si="348">EDATE(AP111,12)</f>
        <v>60267</v>
      </c>
      <c r="AR111" s="93">
        <f t="shared" ref="AR111" si="349">EDATE(AQ111,12)</f>
        <v>60632</v>
      </c>
      <c r="AS111" s="93">
        <f t="shared" ref="AS111" si="350">EDATE(AR111,12)</f>
        <v>60997</v>
      </c>
      <c r="AT111" s="93">
        <f t="shared" ref="AT111" si="351">EDATE(AS111,12)</f>
        <v>61362</v>
      </c>
      <c r="AU111" s="93">
        <f t="shared" ref="AU111" si="352">EDATE(AT111,12)</f>
        <v>61728</v>
      </c>
      <c r="AV111" s="93">
        <f t="shared" ref="AV111" si="353">EDATE(AU111,12)</f>
        <v>62093</v>
      </c>
      <c r="AW111" s="93">
        <f t="shared" ref="AW111" si="354">EDATE(AV111,12)</f>
        <v>62458</v>
      </c>
    </row>
    <row r="112" spans="1:49" ht="14.25" customHeight="1">
      <c r="A112" s="44"/>
      <c r="B112" s="44"/>
      <c r="C112" s="136" t="s">
        <v>467</v>
      </c>
      <c r="D112" s="47">
        <f>_xlfn.XLOOKUP(D$110, 'Power Summary'!$C$46:$AV$46, 'Power Summary'!$C47:$AV47)</f>
        <v>60</v>
      </c>
      <c r="E112" s="47">
        <f>_xlfn.XLOOKUP(E$110, 'Power Summary'!$C$46:$AV$46, 'Power Summary'!$C47:$AV47)</f>
        <v>61.2</v>
      </c>
      <c r="F112" s="47">
        <f>_xlfn.XLOOKUP(F$110, 'Power Summary'!$C$46:$AV$46, 'Power Summary'!$C47:$AV47)</f>
        <v>62.423999999999999</v>
      </c>
      <c r="G112" s="47">
        <f>_xlfn.XLOOKUP(G$110, 'Power Summary'!$C$46:$AV$46, 'Power Summary'!$C47:$AV47)</f>
        <v>63.672479999999993</v>
      </c>
      <c r="H112" s="47">
        <f>_xlfn.XLOOKUP(H$110, 'Power Summary'!$C$46:$AV$46, 'Power Summary'!$C47:$AV47)</f>
        <v>64.945929599999999</v>
      </c>
      <c r="I112" s="47">
        <f>_xlfn.XLOOKUP(I$110, 'Power Summary'!$C$46:$AV$46, 'Power Summary'!$C47:$AV47)</f>
        <v>66.244848192000006</v>
      </c>
      <c r="J112" s="47">
        <f>_xlfn.XLOOKUP(J$110, 'Power Summary'!$C$46:$AV$46, 'Power Summary'!$C47:$AV47)</f>
        <v>67.56974515584001</v>
      </c>
      <c r="K112" s="47">
        <f>_xlfn.XLOOKUP(K$110, 'Power Summary'!$C$46:$AV$46, 'Power Summary'!$C47:$AV47)</f>
        <v>68.921140058956794</v>
      </c>
      <c r="L112" s="47">
        <f>_xlfn.XLOOKUP(L$110, 'Power Summary'!$C$46:$AV$46, 'Power Summary'!$C47:$AV47)</f>
        <v>70.299562860135936</v>
      </c>
      <c r="M112" s="47">
        <f>_xlfn.XLOOKUP(M$110, 'Power Summary'!$C$46:$AV$46, 'Power Summary'!$C47:$AV47)</f>
        <v>71.70555411733865</v>
      </c>
      <c r="N112" s="47">
        <f>_xlfn.XLOOKUP(N$110, 'Power Summary'!$C$46:$AV$46, 'Power Summary'!$C47:$AV47)</f>
        <v>73.139665199685425</v>
      </c>
      <c r="O112" s="47">
        <f>_xlfn.XLOOKUP(O$110, 'Power Summary'!$C$46:$AV$46, 'Power Summary'!$C47:$AV47)</f>
        <v>74.602458503679117</v>
      </c>
      <c r="P112" s="47">
        <f>_xlfn.XLOOKUP(P$110, 'Power Summary'!$C$46:$AV$46, 'Power Summary'!$C47:$AV47)</f>
        <v>76.094507673752716</v>
      </c>
      <c r="Q112" s="47">
        <f>_xlfn.XLOOKUP(Q$110, 'Power Summary'!$C$46:$AV$46, 'Power Summary'!$C47:$AV47)</f>
        <v>77.616397827227772</v>
      </c>
      <c r="R112" s="47">
        <f>_xlfn.XLOOKUP(R$110, 'Power Summary'!$C$46:$AV$46, 'Power Summary'!$C47:$AV47)</f>
        <v>79.168725783772331</v>
      </c>
      <c r="S112" s="47">
        <f>_xlfn.XLOOKUP(S$110, 'Power Summary'!$C$46:$AV$46, 'Power Summary'!$C47:$AV47)</f>
        <v>80.752100299447747</v>
      </c>
      <c r="T112" s="47">
        <f>_xlfn.XLOOKUP(T$110, 'Power Summary'!$C$46:$AV$46, 'Power Summary'!$C47:$AV47)</f>
        <v>82.367142305436715</v>
      </c>
      <c r="U112" s="47">
        <f>_xlfn.XLOOKUP(U$110, 'Power Summary'!$C$46:$AV$46, 'Power Summary'!$C47:$AV47)</f>
        <v>84.014485151545458</v>
      </c>
      <c r="V112" s="47">
        <f>_xlfn.XLOOKUP(V$110, 'Power Summary'!$C$46:$AV$46, 'Power Summary'!$C47:$AV47)</f>
        <v>85.694774854576366</v>
      </c>
      <c r="W112" s="47">
        <f>_xlfn.XLOOKUP(W$110, 'Power Summary'!$C$46:$AV$46, 'Power Summary'!$C47:$AV47)</f>
        <v>87.408670351667894</v>
      </c>
      <c r="X112" s="47">
        <f>_xlfn.XLOOKUP(X$110, 'Power Summary'!$C$46:$AV$46, 'Power Summary'!$C47:$AV47)</f>
        <v>89.156843758701257</v>
      </c>
      <c r="Y112" s="47">
        <f>_xlfn.XLOOKUP(Y$110, 'Power Summary'!$C$46:$AV$46, 'Power Summary'!$C47:$AV47)</f>
        <v>90.93998063387528</v>
      </c>
      <c r="Z112" s="47">
        <f>_xlfn.XLOOKUP(Z$110, 'Power Summary'!$C$46:$AV$46, 'Power Summary'!$C47:$AV47)</f>
        <v>92.758780246552789</v>
      </c>
      <c r="AA112" s="47">
        <f>_xlfn.XLOOKUP(AA$110, 'Power Summary'!$C$46:$AV$46, 'Power Summary'!$C47:$AV47)</f>
        <v>94.613955851483823</v>
      </c>
      <c r="AB112" s="47">
        <f>_xlfn.XLOOKUP(AB$110, 'Power Summary'!$C$46:$AV$46, 'Power Summary'!$C47:$AV47)</f>
        <v>96.506234968513496</v>
      </c>
      <c r="AC112" s="47">
        <f>_xlfn.XLOOKUP(AC$110, 'Power Summary'!$C$46:$AV$46, 'Power Summary'!$C47:$AV47)</f>
        <v>98.436359667883778</v>
      </c>
      <c r="AD112" s="47">
        <f>_xlfn.XLOOKUP(AD$110, 'Power Summary'!$C$46:$AV$46, 'Power Summary'!$C47:$AV47)</f>
        <v>100.40508686124146</v>
      </c>
      <c r="AE112" s="47">
        <f>_xlfn.XLOOKUP(AE$110, 'Power Summary'!$C$46:$AV$46, 'Power Summary'!$C47:$AV47)</f>
        <v>102.41318859846626</v>
      </c>
      <c r="AF112" s="47">
        <f>_xlfn.XLOOKUP(AF$110, 'Power Summary'!$C$46:$AV$46, 'Power Summary'!$C47:$AV47)</f>
        <v>104.46145237043562</v>
      </c>
      <c r="AG112" s="47">
        <f>_xlfn.XLOOKUP(AG$110, 'Power Summary'!$C$46:$AV$46, 'Power Summary'!$C47:$AV47)</f>
        <v>106.55068141784432</v>
      </c>
      <c r="AH112" s="47">
        <f>_xlfn.XLOOKUP(AH$110, 'Power Summary'!$C$46:$AV$46, 'Power Summary'!$C47:$AV47)</f>
        <v>108.68169504620121</v>
      </c>
      <c r="AI112" s="47">
        <f>_xlfn.XLOOKUP(AI$110, 'Power Summary'!$C$46:$AV$46, 'Power Summary'!$C47:$AV47)</f>
        <v>110.8553289471252</v>
      </c>
      <c r="AJ112" s="47">
        <f>_xlfn.XLOOKUP(AJ$110, 'Power Summary'!$C$46:$AV$46, 'Power Summary'!$C47:$AV47)</f>
        <v>113.07243552606774</v>
      </c>
      <c r="AK112" s="47">
        <f>_xlfn.XLOOKUP(AK$110, 'Power Summary'!$C$46:$AV$46, 'Power Summary'!$C47:$AV47)</f>
        <v>115.3338842365891</v>
      </c>
      <c r="AL112" s="47">
        <f>_xlfn.XLOOKUP(AL$110, 'Power Summary'!$C$46:$AV$46, 'Power Summary'!$C47:$AV47)</f>
        <v>117.64056192132087</v>
      </c>
      <c r="AM112" s="47">
        <f>_xlfn.XLOOKUP(AM$110, 'Power Summary'!$C$46:$AV$46, 'Power Summary'!$C47:$AV47)</f>
        <v>119.99337315974728</v>
      </c>
      <c r="AN112" s="47">
        <f>_xlfn.XLOOKUP(AN$110, 'Power Summary'!$C$46:$AV$46, 'Power Summary'!$C47:$AV47)</f>
        <v>122.39324062294222</v>
      </c>
      <c r="AO112" s="47">
        <f>_xlfn.XLOOKUP(AO$110, 'Power Summary'!$C$46:$AV$46, 'Power Summary'!$C47:$AV47)</f>
        <v>124.84110543540109</v>
      </c>
      <c r="AP112" s="47">
        <f>_xlfn.XLOOKUP(AP$110, 'Power Summary'!$C$46:$AV$46, 'Power Summary'!$C47:$AV47)</f>
        <v>127.33792754410912</v>
      </c>
      <c r="AQ112" s="47">
        <f>_xlfn.XLOOKUP(AQ$110, 'Power Summary'!$C$46:$AV$46, 'Power Summary'!$C47:$AV47)</f>
        <v>129.88468609499125</v>
      </c>
      <c r="AR112" s="47">
        <f>_xlfn.XLOOKUP(AR$110, 'Power Summary'!$C$46:$AV$46, 'Power Summary'!$C47:$AV47)</f>
        <v>132.4823798168911</v>
      </c>
      <c r="AS112" s="47">
        <f>_xlfn.XLOOKUP(AS$110, 'Power Summary'!$C$46:$AV$46, 'Power Summary'!$C47:$AV47)</f>
        <v>135.13202741322891</v>
      </c>
      <c r="AT112" s="47">
        <f>_xlfn.XLOOKUP(AT$110, 'Power Summary'!$C$46:$AV$46, 'Power Summary'!$C47:$AV47)</f>
        <v>137.83466796149349</v>
      </c>
      <c r="AU112" s="47">
        <f>_xlfn.XLOOKUP(AU$110, 'Power Summary'!$C$46:$AV$46, 'Power Summary'!$C47:$AV47)</f>
        <v>140.59136132072337</v>
      </c>
      <c r="AV112" s="47">
        <f>_xlfn.XLOOKUP(AV$110, 'Power Summary'!$C$46:$AV$46, 'Power Summary'!$C47:$AV47)</f>
        <v>143.40318854713786</v>
      </c>
      <c r="AW112" s="47">
        <f>_xlfn.XLOOKUP(AW$110, 'Power Summary'!$C$46:$AV$46, 'Power Summary'!$C47:$AV47)</f>
        <v>146.2712523180806</v>
      </c>
    </row>
    <row r="113" spans="3:49" ht="14.25" customHeight="1">
      <c r="C113" s="136" t="s">
        <v>468</v>
      </c>
      <c r="D113" s="47">
        <f>_xlfn.XLOOKUP(D$110, 'Power Summary'!$C$46:$AV$46, 'Power Summary'!$C48:$AV48)</f>
        <v>75</v>
      </c>
      <c r="E113" s="47">
        <f>_xlfn.XLOOKUP(E$110, 'Power Summary'!$C$46:$AV$46, 'Power Summary'!$C48:$AV48)</f>
        <v>76.5</v>
      </c>
      <c r="F113" s="47">
        <f>_xlfn.XLOOKUP(F$110, 'Power Summary'!$C$46:$AV$46, 'Power Summary'!$C48:$AV48)</f>
        <v>78.03</v>
      </c>
      <c r="G113" s="47">
        <f>_xlfn.XLOOKUP(G$110, 'Power Summary'!$C$46:$AV$46, 'Power Summary'!$C48:$AV48)</f>
        <v>79.590599999999995</v>
      </c>
      <c r="H113" s="47">
        <f>_xlfn.XLOOKUP(H$110, 'Power Summary'!$C$46:$AV$46, 'Power Summary'!$C48:$AV48)</f>
        <v>81.182411999999999</v>
      </c>
      <c r="I113" s="47">
        <f>_xlfn.XLOOKUP(I$110, 'Power Summary'!$C$46:$AV$46, 'Power Summary'!$C48:$AV48)</f>
        <v>82.806060240000008</v>
      </c>
      <c r="J113" s="47">
        <f>_xlfn.XLOOKUP(J$110, 'Power Summary'!$C$46:$AV$46, 'Power Summary'!$C48:$AV48)</f>
        <v>84.462181444800009</v>
      </c>
      <c r="K113" s="47">
        <f>_xlfn.XLOOKUP(K$110, 'Power Summary'!$C$46:$AV$46, 'Power Summary'!$C48:$AV48)</f>
        <v>86.151425073695989</v>
      </c>
      <c r="L113" s="47">
        <f>_xlfn.XLOOKUP(L$110, 'Power Summary'!$C$46:$AV$46, 'Power Summary'!$C48:$AV48)</f>
        <v>87.874453575169909</v>
      </c>
      <c r="M113" s="47">
        <f>_xlfn.XLOOKUP(M$110, 'Power Summary'!$C$46:$AV$46, 'Power Summary'!$C48:$AV48)</f>
        <v>89.631942646673309</v>
      </c>
      <c r="N113" s="47">
        <f>_xlfn.XLOOKUP(N$110, 'Power Summary'!$C$46:$AV$46, 'Power Summary'!$C48:$AV48)</f>
        <v>91.424581499606788</v>
      </c>
      <c r="O113" s="47">
        <f>_xlfn.XLOOKUP(O$110, 'Power Summary'!$C$46:$AV$46, 'Power Summary'!$C48:$AV48)</f>
        <v>93.253073129598903</v>
      </c>
      <c r="P113" s="47">
        <f>_xlfn.XLOOKUP(P$110, 'Power Summary'!$C$46:$AV$46, 'Power Summary'!$C48:$AV48)</f>
        <v>95.118134592190899</v>
      </c>
      <c r="Q113" s="47">
        <f>_xlfn.XLOOKUP(Q$110, 'Power Summary'!$C$46:$AV$46, 'Power Summary'!$C48:$AV48)</f>
        <v>97.020497284034704</v>
      </c>
      <c r="R113" s="47">
        <f>_xlfn.XLOOKUP(R$110, 'Power Summary'!$C$46:$AV$46, 'Power Summary'!$C48:$AV48)</f>
        <v>98.960907229715417</v>
      </c>
      <c r="S113" s="47">
        <f>_xlfn.XLOOKUP(S$110, 'Power Summary'!$C$46:$AV$46, 'Power Summary'!$C48:$AV48)</f>
        <v>100.94012537430969</v>
      </c>
      <c r="T113" s="47">
        <f>_xlfn.XLOOKUP(T$110, 'Power Summary'!$C$46:$AV$46, 'Power Summary'!$C48:$AV48)</f>
        <v>102.9589278817959</v>
      </c>
      <c r="U113" s="47">
        <f>_xlfn.XLOOKUP(U$110, 'Power Summary'!$C$46:$AV$46, 'Power Summary'!$C48:$AV48)</f>
        <v>105.01810643943183</v>
      </c>
      <c r="V113" s="47">
        <f>_xlfn.XLOOKUP(V$110, 'Power Summary'!$C$46:$AV$46, 'Power Summary'!$C48:$AV48)</f>
        <v>107.11846856822045</v>
      </c>
      <c r="W113" s="47">
        <f>_xlfn.XLOOKUP(W$110, 'Power Summary'!$C$46:$AV$46, 'Power Summary'!$C48:$AV48)</f>
        <v>109.26083793958486</v>
      </c>
      <c r="X113" s="47">
        <f>_xlfn.XLOOKUP(X$110, 'Power Summary'!$C$46:$AV$46, 'Power Summary'!$C48:$AV48)</f>
        <v>111.44605469837657</v>
      </c>
      <c r="Y113" s="47">
        <f>_xlfn.XLOOKUP(Y$110, 'Power Summary'!$C$46:$AV$46, 'Power Summary'!$C48:$AV48)</f>
        <v>113.67497579234409</v>
      </c>
      <c r="Z113" s="47">
        <f>_xlfn.XLOOKUP(Z$110, 'Power Summary'!$C$46:$AV$46, 'Power Summary'!$C48:$AV48)</f>
        <v>115.94847530819098</v>
      </c>
      <c r="AA113" s="47">
        <f>_xlfn.XLOOKUP(AA$110, 'Power Summary'!$C$46:$AV$46, 'Power Summary'!$C48:$AV48)</f>
        <v>118.26744481435477</v>
      </c>
      <c r="AB113" s="47">
        <f>_xlfn.XLOOKUP(AB$110, 'Power Summary'!$C$46:$AV$46, 'Power Summary'!$C48:$AV48)</f>
        <v>120.63279371064188</v>
      </c>
      <c r="AC113" s="47">
        <f>_xlfn.XLOOKUP(AC$110, 'Power Summary'!$C$46:$AV$46, 'Power Summary'!$C48:$AV48)</f>
        <v>123.04544958485472</v>
      </c>
      <c r="AD113" s="47">
        <f>_xlfn.XLOOKUP(AD$110, 'Power Summary'!$C$46:$AV$46, 'Power Summary'!$C48:$AV48)</f>
        <v>125.50635857655182</v>
      </c>
      <c r="AE113" s="47">
        <f>_xlfn.XLOOKUP(AE$110, 'Power Summary'!$C$46:$AV$46, 'Power Summary'!$C48:$AV48)</f>
        <v>128.01648574808283</v>
      </c>
      <c r="AF113" s="47">
        <f>_xlfn.XLOOKUP(AF$110, 'Power Summary'!$C$46:$AV$46, 'Power Summary'!$C48:$AV48)</f>
        <v>130.57681546304451</v>
      </c>
      <c r="AG113" s="47">
        <f>_xlfn.XLOOKUP(AG$110, 'Power Summary'!$C$46:$AV$46, 'Power Summary'!$C48:$AV48)</f>
        <v>133.1883517723054</v>
      </c>
      <c r="AH113" s="47">
        <f>_xlfn.XLOOKUP(AH$110, 'Power Summary'!$C$46:$AV$46, 'Power Summary'!$C48:$AV48)</f>
        <v>135.85211880775151</v>
      </c>
      <c r="AI113" s="47">
        <f>_xlfn.XLOOKUP(AI$110, 'Power Summary'!$C$46:$AV$46, 'Power Summary'!$C48:$AV48)</f>
        <v>138.56916118390652</v>
      </c>
      <c r="AJ113" s="47">
        <f>_xlfn.XLOOKUP(AJ$110, 'Power Summary'!$C$46:$AV$46, 'Power Summary'!$C48:$AV48)</f>
        <v>141.34054440758467</v>
      </c>
      <c r="AK113" s="47">
        <f>_xlfn.XLOOKUP(AK$110, 'Power Summary'!$C$46:$AV$46, 'Power Summary'!$C48:$AV48)</f>
        <v>144.16735529573637</v>
      </c>
      <c r="AL113" s="47">
        <f>_xlfn.XLOOKUP(AL$110, 'Power Summary'!$C$46:$AV$46, 'Power Summary'!$C48:$AV48)</f>
        <v>147.05070240165108</v>
      </c>
      <c r="AM113" s="47">
        <f>_xlfn.XLOOKUP(AM$110, 'Power Summary'!$C$46:$AV$46, 'Power Summary'!$C48:$AV48)</f>
        <v>149.99171644968411</v>
      </c>
      <c r="AN113" s="47">
        <f>_xlfn.XLOOKUP(AN$110, 'Power Summary'!$C$46:$AV$46, 'Power Summary'!$C48:$AV48)</f>
        <v>152.99155077867778</v>
      </c>
      <c r="AO113" s="47">
        <f>_xlfn.XLOOKUP(AO$110, 'Power Summary'!$C$46:$AV$46, 'Power Summary'!$C48:$AV48)</f>
        <v>156.05138179425134</v>
      </c>
      <c r="AP113" s="47">
        <f>_xlfn.XLOOKUP(AP$110, 'Power Summary'!$C$46:$AV$46, 'Power Summary'!$C48:$AV48)</f>
        <v>159.17240943013638</v>
      </c>
      <c r="AQ113" s="47">
        <f>_xlfn.XLOOKUP(AQ$110, 'Power Summary'!$C$46:$AV$46, 'Power Summary'!$C48:$AV48)</f>
        <v>162.35585761873907</v>
      </c>
      <c r="AR113" s="47">
        <f>_xlfn.XLOOKUP(AR$110, 'Power Summary'!$C$46:$AV$46, 'Power Summary'!$C48:$AV48)</f>
        <v>165.60297477111388</v>
      </c>
      <c r="AS113" s="47">
        <f>_xlfn.XLOOKUP(AS$110, 'Power Summary'!$C$46:$AV$46, 'Power Summary'!$C48:$AV48)</f>
        <v>168.91503426653617</v>
      </c>
      <c r="AT113" s="47">
        <f>_xlfn.XLOOKUP(AT$110, 'Power Summary'!$C$46:$AV$46, 'Power Summary'!$C48:$AV48)</f>
        <v>172.29333495186688</v>
      </c>
      <c r="AU113" s="47">
        <f>_xlfn.XLOOKUP(AU$110, 'Power Summary'!$C$46:$AV$46, 'Power Summary'!$C48:$AV48)</f>
        <v>175.73920165090419</v>
      </c>
      <c r="AV113" s="47">
        <f>_xlfn.XLOOKUP(AV$110, 'Power Summary'!$C$46:$AV$46, 'Power Summary'!$C48:$AV48)</f>
        <v>179.25398568392231</v>
      </c>
      <c r="AW113" s="47">
        <f>_xlfn.XLOOKUP(AW$110, 'Power Summary'!$C$46:$AV$46, 'Power Summary'!$C48:$AV48)</f>
        <v>182.83906539760073</v>
      </c>
    </row>
    <row r="114" spans="3:49" ht="14.25" customHeight="1">
      <c r="C114" s="44" t="s">
        <v>530</v>
      </c>
      <c r="D114" s="66">
        <f>IF(YEAR('Assumptions &amp; Inputs'!$L$31)&gt;D110, 0, IF(D110=YEAR('Assumptions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Inputs'!$L$36)&gt;=D110, 'Assumptions &amp; Inputs'!$L$62/'Assumptions &amp; Inputs'!$L$108*'Assumptions &amp; Inputs'!$L$72*'Assumptions &amp; Inputs'!$L$73*'Assumptions &amp; Inputs'!$L$71, 0)))</f>
        <v>0</v>
      </c>
      <c r="E114" s="66">
        <f>IF(YEAR('Assumptions &amp; Inputs'!$L$31)&gt;E110, 0, IF(E110=YEAR('Assumptions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Inputs'!$L$36)&gt;=E110, 'Assumptions &amp; Inputs'!$L$62/'Assumptions &amp; Inputs'!$L$108*'Assumptions &amp; Inputs'!$L$72*'Assumptions &amp; Inputs'!$L$73*'Assumptions &amp; Inputs'!$L$71, 0)))</f>
        <v>2628</v>
      </c>
      <c r="F114" s="66">
        <f>IF(YEAR('Assumptions &amp; Inputs'!$L$31)&gt;F110, 0, IF(F110=YEAR('Assumptions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Inputs'!$L$36)&gt;=F110, 'Assumptions &amp; Inputs'!$L$62/'Assumptions &amp; Inputs'!$L$108*'Assumptions &amp; Inputs'!$L$72*'Assumptions &amp; Inputs'!$L$73*'Assumptions &amp; Inputs'!$L$71, 0)))</f>
        <v>3504</v>
      </c>
      <c r="G114" s="66">
        <f>IF(YEAR('Assumptions &amp; Inputs'!$L$31)&gt;G110, 0, IF(G110=YEAR('Assumptions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Inputs'!$L$36)&gt;=G110, 'Assumptions &amp; Inputs'!$L$62/'Assumptions &amp; Inputs'!$L$108*'Assumptions &amp; Inputs'!$L$72*'Assumptions &amp; Inputs'!$L$73*'Assumptions &amp; Inputs'!$L$71, 0)))</f>
        <v>3504</v>
      </c>
      <c r="H114" s="66">
        <f>IF(YEAR('Assumptions &amp; Inputs'!$L$31)&gt;H110, 0, IF(H110=YEAR('Assumptions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Inputs'!$L$36)&gt;=H110, 'Assumptions &amp; Inputs'!$L$62/'Assumptions &amp; Inputs'!$L$108*'Assumptions &amp; Inputs'!$L$72*'Assumptions &amp; Inputs'!$L$73*'Assumptions &amp; Inputs'!$L$71, 0)))</f>
        <v>3504</v>
      </c>
      <c r="I114" s="66">
        <f>IF(YEAR('Assumptions &amp; Inputs'!$L$31)&gt;I110, 0, IF(I110=YEAR('Assumptions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Inputs'!$L$36)&gt;=I110, 'Assumptions &amp; Inputs'!$L$62/'Assumptions &amp; Inputs'!$L$108*'Assumptions &amp; Inputs'!$L$72*'Assumptions &amp; Inputs'!$L$73*'Assumptions &amp; Inputs'!$L$71, 0)))</f>
        <v>3504</v>
      </c>
      <c r="J114" s="66">
        <f>IF(YEAR('Assumptions &amp; Inputs'!$L$31)&gt;J110, 0, IF(J110=YEAR('Assumptions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Inputs'!$L$36)&gt;=J110, 'Assumptions &amp; Inputs'!$L$62/'Assumptions &amp; Inputs'!$L$108*'Assumptions &amp; Inputs'!$L$72*'Assumptions &amp; Inputs'!$L$73*'Assumptions &amp; Inputs'!$L$71, 0)))</f>
        <v>3504</v>
      </c>
      <c r="K114" s="66">
        <f>IF(YEAR('Assumptions &amp; Inputs'!$L$31)&gt;K110, 0, IF(K110=YEAR('Assumptions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Inputs'!$L$36)&gt;=K110, 'Assumptions &amp; Inputs'!$L$62/'Assumptions &amp; Inputs'!$L$108*'Assumptions &amp; Inputs'!$L$72*'Assumptions &amp; Inputs'!$L$73*'Assumptions &amp; Inputs'!$L$71, 0)))</f>
        <v>3504</v>
      </c>
      <c r="L114" s="66">
        <f>IF(YEAR('Assumptions &amp; Inputs'!$L$31)&gt;L110, 0, IF(L110=YEAR('Assumptions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Inputs'!$L$36)&gt;=L110, 'Assumptions &amp; Inputs'!$L$62/'Assumptions &amp; Inputs'!$L$108*'Assumptions &amp; Inputs'!$L$72*'Assumptions &amp; Inputs'!$L$73*'Assumptions &amp; Inputs'!$L$71, 0)))</f>
        <v>3504</v>
      </c>
      <c r="M114" s="66">
        <f>IF(YEAR('Assumptions &amp; Inputs'!$L$31)&gt;M110, 0, IF(M110=YEAR('Assumptions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Inputs'!$L$36)&gt;=M110, 'Assumptions &amp; Inputs'!$L$62/'Assumptions &amp; Inputs'!$L$108*'Assumptions &amp; Inputs'!$L$72*'Assumptions &amp; Inputs'!$L$73*'Assumptions &amp; Inputs'!$L$71, 0)))</f>
        <v>3504</v>
      </c>
      <c r="N114" s="66">
        <f>IF(YEAR('Assumptions &amp; Inputs'!$L$31)&gt;N110, 0, IF(N110=YEAR('Assumptions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Inputs'!$L$36)&gt;=N110, 'Assumptions &amp; Inputs'!$L$62/'Assumptions &amp; Inputs'!$L$108*'Assumptions &amp; Inputs'!$L$72*'Assumptions &amp; Inputs'!$L$73*'Assumptions &amp; Inputs'!$L$71, 0)))</f>
        <v>3504</v>
      </c>
      <c r="O114" s="66">
        <f>IF(YEAR('Assumptions &amp; Inputs'!$L$31)&gt;O110, 0, IF(O110=YEAR('Assumptions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Inputs'!$L$36)&gt;=O110, 'Assumptions &amp; Inputs'!$L$62/'Assumptions &amp; Inputs'!$L$108*'Assumptions &amp; Inputs'!$L$72*'Assumptions &amp; Inputs'!$L$73*'Assumptions &amp; Inputs'!$L$71, 0)))</f>
        <v>3504</v>
      </c>
      <c r="P114" s="66">
        <f>IF(YEAR('Assumptions &amp; Inputs'!$L$31)&gt;P110, 0, IF(P110=YEAR('Assumptions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Inputs'!$L$36)&gt;=P110, 'Assumptions &amp; Inputs'!$L$62/'Assumptions &amp; Inputs'!$L$108*'Assumptions &amp; Inputs'!$L$72*'Assumptions &amp; Inputs'!$L$73*'Assumptions &amp; Inputs'!$L$71, 0)))</f>
        <v>3504</v>
      </c>
      <c r="Q114" s="66">
        <f>IF(YEAR('Assumptions &amp; Inputs'!$L$31)&gt;Q110, 0, IF(Q110=YEAR('Assumptions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Inputs'!$L$36)&gt;=Q110, 'Assumptions &amp; Inputs'!$L$62/'Assumptions &amp; Inputs'!$L$108*'Assumptions &amp; Inputs'!$L$72*'Assumptions &amp; Inputs'!$L$73*'Assumptions &amp; Inputs'!$L$71, 0)))</f>
        <v>3504</v>
      </c>
      <c r="R114" s="66">
        <f>IF(YEAR('Assumptions &amp; Inputs'!$L$31)&gt;R110, 0, IF(R110=YEAR('Assumptions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Inputs'!$L$36)&gt;=R110, 'Assumptions &amp; Inputs'!$L$62/'Assumptions &amp; Inputs'!$L$108*'Assumptions &amp; Inputs'!$L$72*'Assumptions &amp; Inputs'!$L$73*'Assumptions &amp; Inputs'!$L$71, 0)))</f>
        <v>3504</v>
      </c>
      <c r="S114" s="66">
        <f>IF(YEAR('Assumptions &amp; Inputs'!$L$31)&gt;S110, 0, IF(S110=YEAR('Assumptions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Inputs'!$L$36)&gt;=S110, 'Assumptions &amp; Inputs'!$L$62/'Assumptions &amp; Inputs'!$L$108*'Assumptions &amp; Inputs'!$L$72*'Assumptions &amp; Inputs'!$L$73*'Assumptions &amp; Inputs'!$L$71, 0)))</f>
        <v>3504</v>
      </c>
      <c r="T114" s="66">
        <f>IF(YEAR('Assumptions &amp; Inputs'!$L$31)&gt;T110, 0, IF(T110=YEAR('Assumptions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Inputs'!$L$36)&gt;=T110, 'Assumptions &amp; Inputs'!$L$62/'Assumptions &amp; Inputs'!$L$108*'Assumptions &amp; Inputs'!$L$72*'Assumptions &amp; Inputs'!$L$73*'Assumptions &amp; Inputs'!$L$71, 0)))</f>
        <v>3504</v>
      </c>
      <c r="U114" s="66">
        <f>IF(YEAR('Assumptions &amp; Inputs'!$L$31)&gt;U110, 0, IF(U110=YEAR('Assumptions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Inputs'!$L$36)&gt;=U110, 'Assumptions &amp; Inputs'!$L$62/'Assumptions &amp; Inputs'!$L$108*'Assumptions &amp; Inputs'!$L$72*'Assumptions &amp; Inputs'!$L$73*'Assumptions &amp; Inputs'!$L$71, 0)))</f>
        <v>3504</v>
      </c>
      <c r="V114" s="66">
        <f>IF(YEAR('Assumptions &amp; Inputs'!$L$31)&gt;V110, 0, IF(V110=YEAR('Assumptions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Inputs'!$L$36)&gt;=V110, 'Assumptions &amp; Inputs'!$L$62/'Assumptions &amp; Inputs'!$L$108*'Assumptions &amp; Inputs'!$L$72*'Assumptions &amp; Inputs'!$L$73*'Assumptions &amp; Inputs'!$L$71, 0)))</f>
        <v>3504</v>
      </c>
      <c r="W114" s="66">
        <f>IF(YEAR('Assumptions &amp; Inputs'!$L$31)&gt;W110, 0, IF(W110=YEAR('Assumptions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Inputs'!$L$36)&gt;=W110, 'Assumptions &amp; Inputs'!$L$62/'Assumptions &amp; Inputs'!$L$108*'Assumptions &amp; Inputs'!$L$72*'Assumptions &amp; Inputs'!$L$73*'Assumptions &amp; Inputs'!$L$71, 0)))</f>
        <v>3504</v>
      </c>
      <c r="X114" s="66">
        <f>IF(YEAR('Assumptions &amp; Inputs'!$L$31)&gt;X110, 0, IF(X110=YEAR('Assumptions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Inputs'!$L$36)&gt;=X110, 'Assumptions &amp; Inputs'!$L$62/'Assumptions &amp; Inputs'!$L$108*'Assumptions &amp; Inputs'!$L$72*'Assumptions &amp; Inputs'!$L$73*'Assumptions &amp; Inputs'!$L$71, 0)))</f>
        <v>3504</v>
      </c>
      <c r="Y114" s="66">
        <f>IF(YEAR('Assumptions &amp; Inputs'!$L$31)&gt;Y110, 0, IF(Y110=YEAR('Assumptions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Inputs'!$L$36)&gt;=Y110, 'Assumptions &amp; Inputs'!$L$62/'Assumptions &amp; Inputs'!$L$108*'Assumptions &amp; Inputs'!$L$72*'Assumptions &amp; Inputs'!$L$73*'Assumptions &amp; Inputs'!$L$71, 0)))</f>
        <v>3504</v>
      </c>
      <c r="Z114" s="66">
        <f>IF(YEAR('Assumptions &amp; Inputs'!$L$31)&gt;Z110, 0, IF(Z110=YEAR('Assumptions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Inputs'!$L$36)&gt;=Z110, 'Assumptions &amp; Inputs'!$L$62/'Assumptions &amp; Inputs'!$L$108*'Assumptions &amp; Inputs'!$L$72*'Assumptions &amp; Inputs'!$L$73*'Assumptions &amp; Inputs'!$L$71, 0)))</f>
        <v>3504</v>
      </c>
      <c r="AA114" s="66">
        <f>IF(YEAR('Assumptions &amp; Inputs'!$L$31)&gt;AA110, 0, IF(AA110=YEAR('Assumptions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Inputs'!$L$36)&gt;=AA110, 'Assumptions &amp; Inputs'!$L$62/'Assumptions &amp; Inputs'!$L$108*'Assumptions &amp; Inputs'!$L$72*'Assumptions &amp; Inputs'!$L$73*'Assumptions &amp; Inputs'!$L$71, 0)))</f>
        <v>3504</v>
      </c>
      <c r="AB114" s="66">
        <f>IF(YEAR('Assumptions &amp; Inputs'!$L$31)&gt;AB110, 0, IF(AB110=YEAR('Assumptions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Inputs'!$L$36)&gt;=AB110, 'Assumptions &amp; Inputs'!$L$62/'Assumptions &amp; Inputs'!$L$108*'Assumptions &amp; Inputs'!$L$72*'Assumptions &amp; Inputs'!$L$73*'Assumptions &amp; Inputs'!$L$71, 0)))</f>
        <v>3504</v>
      </c>
      <c r="AC114" s="66">
        <f>IF(YEAR('Assumptions &amp; Inputs'!$L$31)&gt;AC110, 0, IF(AC110=YEAR('Assumptions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Inputs'!$L$36)&gt;=AC110, 'Assumptions &amp; Inputs'!$L$62/'Assumptions &amp; Inputs'!$L$108*'Assumptions &amp; Inputs'!$L$72*'Assumptions &amp; Inputs'!$L$73*'Assumptions &amp; Inputs'!$L$71, 0)))</f>
        <v>3504</v>
      </c>
      <c r="AD114" s="66">
        <f>IF(YEAR('Assumptions &amp; Inputs'!$L$31)&gt;AD110, 0, IF(AD110=YEAR('Assumptions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Inputs'!$L$36)&gt;=AD110, 'Assumptions &amp; Inputs'!$L$62/'Assumptions &amp; Inputs'!$L$108*'Assumptions &amp; Inputs'!$L$72*'Assumptions &amp; Inputs'!$L$73*'Assumptions &amp; Inputs'!$L$71, 0)))</f>
        <v>3504</v>
      </c>
      <c r="AE114" s="66">
        <f>IF(YEAR('Assumptions &amp; Inputs'!$L$31)&gt;AE110, 0, IF(AE110=YEAR('Assumptions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Inputs'!$L$36)&gt;=AE110, 'Assumptions &amp; Inputs'!$L$62/'Assumptions &amp; Inputs'!$L$108*'Assumptions &amp; Inputs'!$L$72*'Assumptions &amp; Inputs'!$L$73*'Assumptions &amp; Inputs'!$L$71, 0)))</f>
        <v>0</v>
      </c>
      <c r="AF114" s="66">
        <f>IF(YEAR('Assumptions &amp; Inputs'!$L$31)&gt;AF110, 0, IF(AF110=YEAR('Assumptions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Inputs'!$L$36)&gt;=AF110, 'Assumptions &amp; Inputs'!$L$62/'Assumptions &amp; Inputs'!$L$108*'Assumptions &amp; Inputs'!$L$72*'Assumptions &amp; Inputs'!$L$73*'Assumptions &amp; Inputs'!$L$71, 0)))</f>
        <v>0</v>
      </c>
      <c r="AG114" s="66">
        <f>IF(YEAR('Assumptions &amp; Inputs'!$L$31)&gt;AG110, 0, IF(AG110=YEAR('Assumptions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Inputs'!$L$36)&gt;=AG110, 'Assumptions &amp; Inputs'!$L$62/'Assumptions &amp; Inputs'!$L$108*'Assumptions &amp; Inputs'!$L$72*'Assumptions &amp; Inputs'!$L$73*'Assumptions &amp; Inputs'!$L$71, 0)))</f>
        <v>0</v>
      </c>
      <c r="AH114" s="66">
        <f>IF(YEAR('Assumptions &amp; Inputs'!$L$31)&gt;AH110, 0, IF(AH110=YEAR('Assumptions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Inputs'!$L$36)&gt;=AH110, 'Assumptions &amp; Inputs'!$L$62/'Assumptions &amp; Inputs'!$L$108*'Assumptions &amp; Inputs'!$L$72*'Assumptions &amp; Inputs'!$L$73*'Assumptions &amp; Inputs'!$L$71, 0)))</f>
        <v>0</v>
      </c>
      <c r="AI114" s="66">
        <f>IF(YEAR('Assumptions &amp; Inputs'!$L$31)&gt;AI110, 0, IF(AI110=YEAR('Assumptions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Inputs'!$L$36)&gt;=AI110, 'Assumptions &amp; Inputs'!$L$62/'Assumptions &amp; Inputs'!$L$108*'Assumptions &amp; Inputs'!$L$72*'Assumptions &amp; Inputs'!$L$73*'Assumptions &amp; Inputs'!$L$71, 0)))</f>
        <v>0</v>
      </c>
      <c r="AJ114" s="66">
        <f>IF(YEAR('Assumptions &amp; Inputs'!$L$31)&gt;AJ110, 0, IF(AJ110=YEAR('Assumptions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Inputs'!$L$36)&gt;=AJ110, 'Assumptions &amp; Inputs'!$L$62/'Assumptions &amp; Inputs'!$L$108*'Assumptions &amp; Inputs'!$L$72*'Assumptions &amp; Inputs'!$L$73*'Assumptions &amp; Inputs'!$L$71, 0)))</f>
        <v>0</v>
      </c>
      <c r="AK114" s="66">
        <f>IF(YEAR('Assumptions &amp; Inputs'!$L$31)&gt;AK110, 0, IF(AK110=YEAR('Assumptions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Inputs'!$L$36)&gt;=AK110, 'Assumptions &amp; Inputs'!$L$62/'Assumptions &amp; Inputs'!$L$108*'Assumptions &amp; Inputs'!$L$72*'Assumptions &amp; Inputs'!$L$73*'Assumptions &amp; Inputs'!$L$71, 0)))</f>
        <v>0</v>
      </c>
      <c r="AL114" s="66">
        <f>IF(YEAR('Assumptions &amp; Inputs'!$L$31)&gt;AL110, 0, IF(AL110=YEAR('Assumptions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Inputs'!$L$36)&gt;=AL110, 'Assumptions &amp; Inputs'!$L$62/'Assumptions &amp; Inputs'!$L$108*'Assumptions &amp; Inputs'!$L$72*'Assumptions &amp; Inputs'!$L$73*'Assumptions &amp; Inputs'!$L$71, 0)))</f>
        <v>0</v>
      </c>
      <c r="AM114" s="66">
        <f>IF(YEAR('Assumptions &amp; Inputs'!$L$31)&gt;AM110, 0, IF(AM110=YEAR('Assumptions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Inputs'!$L$36)&gt;=AM110, 'Assumptions &amp; Inputs'!$L$62/'Assumptions &amp; Inputs'!$L$108*'Assumptions &amp; Inputs'!$L$72*'Assumptions &amp; Inputs'!$L$73*'Assumptions &amp; Inputs'!$L$71, 0)))</f>
        <v>0</v>
      </c>
      <c r="AN114" s="66">
        <f>IF(YEAR('Assumptions &amp; Inputs'!$L$31)&gt;AN110, 0, IF(AN110=YEAR('Assumptions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Inputs'!$L$36)&gt;=AN110, 'Assumptions &amp; Inputs'!$L$62/'Assumptions &amp; Inputs'!$L$108*'Assumptions &amp; Inputs'!$L$72*'Assumptions &amp; Inputs'!$L$73*'Assumptions &amp; Inputs'!$L$71, 0)))</f>
        <v>0</v>
      </c>
      <c r="AO114" s="66">
        <f>IF(YEAR('Assumptions &amp; Inputs'!$L$31)&gt;AO110, 0, IF(AO110=YEAR('Assumptions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Inputs'!$L$36)&gt;=AO110, 'Assumptions &amp; Inputs'!$L$62/'Assumptions &amp; Inputs'!$L$108*'Assumptions &amp; Inputs'!$L$72*'Assumptions &amp; Inputs'!$L$73*'Assumptions &amp; Inputs'!$L$71, 0)))</f>
        <v>0</v>
      </c>
      <c r="AP114" s="66">
        <f>IF(YEAR('Assumptions &amp; Inputs'!$L$31)&gt;AP110, 0, IF(AP110=YEAR('Assumptions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Inputs'!$L$36)&gt;=AP110, 'Assumptions &amp; Inputs'!$L$62/'Assumptions &amp; Inputs'!$L$108*'Assumptions &amp; Inputs'!$L$72*'Assumptions &amp; Inputs'!$L$73*'Assumptions &amp; Inputs'!$L$71, 0)))</f>
        <v>0</v>
      </c>
      <c r="AQ114" s="66">
        <f>IF(YEAR('Assumptions &amp; Inputs'!$L$31)&gt;AQ110, 0, IF(AQ110=YEAR('Assumptions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Inputs'!$L$36)&gt;=AQ110, 'Assumptions &amp; Inputs'!$L$62/'Assumptions &amp; Inputs'!$L$108*'Assumptions &amp; Inputs'!$L$72*'Assumptions &amp; Inputs'!$L$73*'Assumptions &amp; Inputs'!$L$71, 0)))</f>
        <v>0</v>
      </c>
      <c r="AR114" s="66">
        <f>IF(YEAR('Assumptions &amp; Inputs'!$L$31)&gt;AR110, 0, IF(AR110=YEAR('Assumptions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Inputs'!$L$36)&gt;=AR110, 'Assumptions &amp; Inputs'!$L$62/'Assumptions &amp; Inputs'!$L$108*'Assumptions &amp; Inputs'!$L$72*'Assumptions &amp; Inputs'!$L$73*'Assumptions &amp; Inputs'!$L$71, 0)))</f>
        <v>0</v>
      </c>
      <c r="AS114" s="66">
        <f>IF(YEAR('Assumptions &amp; Inputs'!$L$31)&gt;AS110, 0, IF(AS110=YEAR('Assumptions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Inputs'!$L$36)&gt;=AS110, 'Assumptions &amp; Inputs'!$L$62/'Assumptions &amp; Inputs'!$L$108*'Assumptions &amp; Inputs'!$L$72*'Assumptions &amp; Inputs'!$L$73*'Assumptions &amp; Inputs'!$L$71, 0)))</f>
        <v>0</v>
      </c>
      <c r="AT114" s="66">
        <f>IF(YEAR('Assumptions &amp; Inputs'!$L$31)&gt;AT110, 0, IF(AT110=YEAR('Assumptions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Inputs'!$L$36)&gt;=AT110, 'Assumptions &amp; Inputs'!$L$62/'Assumptions &amp; Inputs'!$L$108*'Assumptions &amp; Inputs'!$L$72*'Assumptions &amp; Inputs'!$L$73*'Assumptions &amp; Inputs'!$L$71, 0)))</f>
        <v>0</v>
      </c>
      <c r="AU114" s="66">
        <f>IF(YEAR('Assumptions &amp; Inputs'!$L$31)&gt;AU110, 0, IF(AU110=YEAR('Assumptions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Inputs'!$L$36)&gt;=AU110, 'Assumptions &amp; Inputs'!$L$62/'Assumptions &amp; Inputs'!$L$108*'Assumptions &amp; Inputs'!$L$72*'Assumptions &amp; Inputs'!$L$73*'Assumptions &amp; Inputs'!$L$71, 0)))</f>
        <v>0</v>
      </c>
      <c r="AV114" s="66">
        <f>IF(YEAR('Assumptions &amp; Inputs'!$L$31)&gt;AV110, 0, IF(AV110=YEAR('Assumptions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Inputs'!$L$36)&gt;=AV110, 'Assumptions &amp; Inputs'!$L$62/'Assumptions &amp; Inputs'!$L$108*'Assumptions &amp; Inputs'!$L$72*'Assumptions &amp; Inputs'!$L$73*'Assumptions &amp; Inputs'!$L$71, 0)))</f>
        <v>0</v>
      </c>
      <c r="AW114" s="66">
        <f>IF(YEAR('Assumptions &amp; Inputs'!$L$31)&gt;AW110, 0, IF(AW110=YEAR('Assumptions &amp; Inputs'!$L$31),'Assumptions &amp; Inputs'!$L$62/'Assumptions &amp; Inputs'!$L$108*'Assumptions &amp; Inputs'!$L$72*'Assumptions &amp; Inputs'!$L$73*'Assumptions &amp; Inputs'!$L$71*YEARFRAC('Assumptions &amp; Inputs'!$L$31,'Assumptions &amp; Inputs'!$L$32), IF(YEAR('Assumptions &amp; Inputs'!$L$36)&gt;=AW110, 'Assumptions &amp; Inputs'!$L$62/'Assumptions &amp; Inputs'!$L$108*'Assumptions &amp; Inputs'!$L$72*'Assumptions &amp; Inputs'!$L$73*'Assumptions &amp; Inputs'!$L$71, 0)))</f>
        <v>0</v>
      </c>
    </row>
    <row r="115" spans="3:49" ht="14.25" customHeight="1">
      <c r="C115" s="44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</row>
    <row r="116" spans="3:49" ht="14.25" customHeight="1">
      <c r="C116" s="48" t="s">
        <v>536</v>
      </c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</row>
    <row r="117" spans="3:49" ht="14.25" customHeight="1">
      <c r="C117" s="44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</row>
    <row r="118" spans="3:49" ht="14.25" customHeight="1">
      <c r="C118" s="44" t="s">
        <v>537</v>
      </c>
      <c r="D118" s="75">
        <f>IF(YEAR('Assumptions &amp; Inputs'!$L$31)&gt;D110, 0, IF(D110=YEAR('Assumptions &amp; Inputs'!$L$31),('Assumptions &amp; Inputs'!$L$60*'Assumptions &amp; Inputs'!$L$109/1000000)*YEARFRAC('Assumptions &amp; Inputs'!$L$31,'Assumptions &amp; Inputs'!$L$32), IF(YEAR('Assumptions &amp; Inputs'!$L$36)&gt;=D110, 'Assumptions &amp; Inputs'!$L$60*'Assumptions &amp; Inputs'!$L$109/1000000, 0)))</f>
        <v>0</v>
      </c>
      <c r="E118" s="75">
        <f>IF(YEAR('Assumptions &amp; Inputs'!$L$31)&gt;E110, 0, IF(E110=YEAR('Assumptions &amp; Inputs'!$L$31),('Assumptions &amp; Inputs'!$L$60*'Assumptions &amp; Inputs'!$L$109/1000000)*YEARFRAC('Assumptions &amp; Inputs'!$L$31,'Assumptions &amp; Inputs'!$L$32), IF(YEAR('Assumptions &amp; Inputs'!$L$36)&gt;=E110, 'Assumptions &amp; Inputs'!$L$60*'Assumptions &amp; Inputs'!$L$109/1000000, 0)))</f>
        <v>0.99338399999999993</v>
      </c>
      <c r="F118" s="75">
        <f>IF(YEAR('Assumptions &amp; Inputs'!$L$31)&gt;F110, 0, IF(F110=YEAR('Assumptions &amp; Inputs'!$L$31),('Assumptions &amp; Inputs'!$L$60*'Assumptions &amp; Inputs'!$L$109/1000000)*YEARFRAC('Assumptions &amp; Inputs'!$L$31,'Assumptions &amp; Inputs'!$L$32), IF(YEAR('Assumptions &amp; Inputs'!$L$36)&gt;=F110, 'Assumptions &amp; Inputs'!$L$60*'Assumptions &amp; Inputs'!$L$109/1000000, 0)))</f>
        <v>1.3245119999999999</v>
      </c>
      <c r="G118" s="75">
        <f>IF(YEAR('Assumptions &amp; Inputs'!$L$31)&gt;G110, 0, IF(G110=YEAR('Assumptions &amp; Inputs'!$L$31),('Assumptions &amp; Inputs'!$L$60*'Assumptions &amp; Inputs'!$L$109/1000000)*YEARFRAC('Assumptions &amp; Inputs'!$L$31,'Assumptions &amp; Inputs'!$L$32), IF(YEAR('Assumptions &amp; Inputs'!$L$36)&gt;=G110, 'Assumptions &amp; Inputs'!$L$60*'Assumptions &amp; Inputs'!$L$109/1000000, 0)))</f>
        <v>1.3245119999999999</v>
      </c>
      <c r="H118" s="75">
        <f>IF(YEAR('Assumptions &amp; Inputs'!$L$31)&gt;H110, 0, IF(H110=YEAR('Assumptions &amp; Inputs'!$L$31),('Assumptions &amp; Inputs'!$L$60*'Assumptions &amp; Inputs'!$L$109/1000000)*YEARFRAC('Assumptions &amp; Inputs'!$L$31,'Assumptions &amp; Inputs'!$L$32), IF(YEAR('Assumptions &amp; Inputs'!$L$36)&gt;=H110, 'Assumptions &amp; Inputs'!$L$60*'Assumptions &amp; Inputs'!$L$109/1000000, 0)))</f>
        <v>1.3245119999999999</v>
      </c>
      <c r="I118" s="75">
        <f>IF(YEAR('Assumptions &amp; Inputs'!$L$31)&gt;I110, 0, IF(I110=YEAR('Assumptions &amp; Inputs'!$L$31),('Assumptions &amp; Inputs'!$L$60*'Assumptions &amp; Inputs'!$L$109/1000000)*YEARFRAC('Assumptions &amp; Inputs'!$L$31,'Assumptions &amp; Inputs'!$L$32), IF(YEAR('Assumptions &amp; Inputs'!$L$36)&gt;=I110, 'Assumptions &amp; Inputs'!$L$60*'Assumptions &amp; Inputs'!$L$109/1000000, 0)))</f>
        <v>1.3245119999999999</v>
      </c>
      <c r="J118" s="75">
        <f>IF(YEAR('Assumptions &amp; Inputs'!$L$31)&gt;J110, 0, IF(J110=YEAR('Assumptions &amp; Inputs'!$L$31),('Assumptions &amp; Inputs'!$L$60*'Assumptions &amp; Inputs'!$L$109/1000000)*YEARFRAC('Assumptions &amp; Inputs'!$L$31,'Assumptions &amp; Inputs'!$L$32), IF(YEAR('Assumptions &amp; Inputs'!$L$36)&gt;=J110, 'Assumptions &amp; Inputs'!$L$60*'Assumptions &amp; Inputs'!$L$109/1000000, 0)))</f>
        <v>1.3245119999999999</v>
      </c>
      <c r="K118" s="75">
        <f>IF(YEAR('Assumptions &amp; Inputs'!$L$31)&gt;K110, 0, IF(K110=YEAR('Assumptions &amp; Inputs'!$L$31),('Assumptions &amp; Inputs'!$L$60*'Assumptions &amp; Inputs'!$L$109/1000000)*YEARFRAC('Assumptions &amp; Inputs'!$L$31,'Assumptions &amp; Inputs'!$L$32), IF(YEAR('Assumptions &amp; Inputs'!$L$36)&gt;=K110, 'Assumptions &amp; Inputs'!$L$60*'Assumptions &amp; Inputs'!$L$109/1000000, 0)))</f>
        <v>1.3245119999999999</v>
      </c>
      <c r="L118" s="75">
        <f>IF(YEAR('Assumptions &amp; Inputs'!$L$31)&gt;L110, 0, IF(L110=YEAR('Assumptions &amp; Inputs'!$L$31),('Assumptions &amp; Inputs'!$L$60*'Assumptions &amp; Inputs'!$L$109/1000000)*YEARFRAC('Assumptions &amp; Inputs'!$L$31,'Assumptions &amp; Inputs'!$L$32), IF(YEAR('Assumptions &amp; Inputs'!$L$36)&gt;=L110, 'Assumptions &amp; Inputs'!$L$60*'Assumptions &amp; Inputs'!$L$109/1000000, 0)))</f>
        <v>1.3245119999999999</v>
      </c>
      <c r="M118" s="75">
        <f>IF(YEAR('Assumptions &amp; Inputs'!$L$31)&gt;M110, 0, IF(M110=YEAR('Assumptions &amp; Inputs'!$L$31),('Assumptions &amp; Inputs'!$L$60*'Assumptions &amp; Inputs'!$L$109/1000000)*YEARFRAC('Assumptions &amp; Inputs'!$L$31,'Assumptions &amp; Inputs'!$L$32), IF(YEAR('Assumptions &amp; Inputs'!$L$36)&gt;=M110, 'Assumptions &amp; Inputs'!$L$60*'Assumptions &amp; Inputs'!$L$109/1000000, 0)))</f>
        <v>1.3245119999999999</v>
      </c>
      <c r="N118" s="75">
        <f>IF(YEAR('Assumptions &amp; Inputs'!$L$31)&gt;N110, 0, IF(N110=YEAR('Assumptions &amp; Inputs'!$L$31),('Assumptions &amp; Inputs'!$L$60*'Assumptions &amp; Inputs'!$L$109/1000000)*YEARFRAC('Assumptions &amp; Inputs'!$L$31,'Assumptions &amp; Inputs'!$L$32), IF(YEAR('Assumptions &amp; Inputs'!$L$36)&gt;=N110, 'Assumptions &amp; Inputs'!$L$60*'Assumptions &amp; Inputs'!$L$109/1000000, 0)))</f>
        <v>1.3245119999999999</v>
      </c>
      <c r="O118" s="75">
        <f>IF(YEAR('Assumptions &amp; Inputs'!$L$31)&gt;O110, 0, IF(O110=YEAR('Assumptions &amp; Inputs'!$L$31),('Assumptions &amp; Inputs'!$L$60*'Assumptions &amp; Inputs'!$L$109/1000000)*YEARFRAC('Assumptions &amp; Inputs'!$L$31,'Assumptions &amp; Inputs'!$L$32), IF(YEAR('Assumptions &amp; Inputs'!$L$36)&gt;=O110, 'Assumptions &amp; Inputs'!$L$60*'Assumptions &amp; Inputs'!$L$109/1000000, 0)))</f>
        <v>1.3245119999999999</v>
      </c>
      <c r="P118" s="75">
        <f>IF(YEAR('Assumptions &amp; Inputs'!$L$31)&gt;P110, 0, IF(P110=YEAR('Assumptions &amp; Inputs'!$L$31),('Assumptions &amp; Inputs'!$L$60*'Assumptions &amp; Inputs'!$L$109/1000000)*YEARFRAC('Assumptions &amp; Inputs'!$L$31,'Assumptions &amp; Inputs'!$L$32), IF(YEAR('Assumptions &amp; Inputs'!$L$36)&gt;=P110, 'Assumptions &amp; Inputs'!$L$60*'Assumptions &amp; Inputs'!$L$109/1000000, 0)))</f>
        <v>1.3245119999999999</v>
      </c>
      <c r="Q118" s="75">
        <f>IF(YEAR('Assumptions &amp; Inputs'!$L$31)&gt;Q110, 0, IF(Q110=YEAR('Assumptions &amp; Inputs'!$L$31),('Assumptions &amp; Inputs'!$L$60*'Assumptions &amp; Inputs'!$L$109/1000000)*YEARFRAC('Assumptions &amp; Inputs'!$L$31,'Assumptions &amp; Inputs'!$L$32), IF(YEAR('Assumptions &amp; Inputs'!$L$36)&gt;=Q110, 'Assumptions &amp; Inputs'!$L$60*'Assumptions &amp; Inputs'!$L$109/1000000, 0)))</f>
        <v>1.3245119999999999</v>
      </c>
      <c r="R118" s="75">
        <f>IF(YEAR('Assumptions &amp; Inputs'!$L$31)&gt;R110, 0, IF(R110=YEAR('Assumptions &amp; Inputs'!$L$31),('Assumptions &amp; Inputs'!$L$60*'Assumptions &amp; Inputs'!$L$109/1000000)*YEARFRAC('Assumptions &amp; Inputs'!$L$31,'Assumptions &amp; Inputs'!$L$32), IF(YEAR('Assumptions &amp; Inputs'!$L$36)&gt;=R110, 'Assumptions &amp; Inputs'!$L$60*'Assumptions &amp; Inputs'!$L$109/1000000, 0)))</f>
        <v>1.3245119999999999</v>
      </c>
      <c r="S118" s="75">
        <f>IF(YEAR('Assumptions &amp; Inputs'!$L$31)&gt;S110, 0, IF(S110=YEAR('Assumptions &amp; Inputs'!$L$31),('Assumptions &amp; Inputs'!$L$60*'Assumptions &amp; Inputs'!$L$109/1000000)*YEARFRAC('Assumptions &amp; Inputs'!$L$31,'Assumptions &amp; Inputs'!$L$32), IF(YEAR('Assumptions &amp; Inputs'!$L$36)&gt;=S110, 'Assumptions &amp; Inputs'!$L$60*'Assumptions &amp; Inputs'!$L$109/1000000, 0)))</f>
        <v>1.3245119999999999</v>
      </c>
      <c r="T118" s="75">
        <f>IF(YEAR('Assumptions &amp; Inputs'!$L$31)&gt;T110, 0, IF(T110=YEAR('Assumptions &amp; Inputs'!$L$31),('Assumptions &amp; Inputs'!$L$60*'Assumptions &amp; Inputs'!$L$109/1000000)*YEARFRAC('Assumptions &amp; Inputs'!$L$31,'Assumptions &amp; Inputs'!$L$32), IF(YEAR('Assumptions &amp; Inputs'!$L$36)&gt;=T110, 'Assumptions &amp; Inputs'!$L$60*'Assumptions &amp; Inputs'!$L$109/1000000, 0)))</f>
        <v>1.3245119999999999</v>
      </c>
      <c r="U118" s="75">
        <f>IF(YEAR('Assumptions &amp; Inputs'!$L$31)&gt;U110, 0, IF(U110=YEAR('Assumptions &amp; Inputs'!$L$31),('Assumptions &amp; Inputs'!$L$60*'Assumptions &amp; Inputs'!$L$109/1000000)*YEARFRAC('Assumptions &amp; Inputs'!$L$31,'Assumptions &amp; Inputs'!$L$32), IF(YEAR('Assumptions &amp; Inputs'!$L$36)&gt;=U110, 'Assumptions &amp; Inputs'!$L$60*'Assumptions &amp; Inputs'!$L$109/1000000, 0)))</f>
        <v>1.3245119999999999</v>
      </c>
      <c r="V118" s="75">
        <f>IF(YEAR('Assumptions &amp; Inputs'!$L$31)&gt;V110, 0, IF(V110=YEAR('Assumptions &amp; Inputs'!$L$31),('Assumptions &amp; Inputs'!$L$60*'Assumptions &amp; Inputs'!$L$109/1000000)*YEARFRAC('Assumptions &amp; Inputs'!$L$31,'Assumptions &amp; Inputs'!$L$32), IF(YEAR('Assumptions &amp; Inputs'!$L$36)&gt;=V110, 'Assumptions &amp; Inputs'!$L$60*'Assumptions &amp; Inputs'!$L$109/1000000, 0)))</f>
        <v>1.3245119999999999</v>
      </c>
      <c r="W118" s="75">
        <f>IF(YEAR('Assumptions &amp; Inputs'!$L$31)&gt;W110, 0, IF(W110=YEAR('Assumptions &amp; Inputs'!$L$31),('Assumptions &amp; Inputs'!$L$60*'Assumptions &amp; Inputs'!$L$109/1000000)*YEARFRAC('Assumptions &amp; Inputs'!$L$31,'Assumptions &amp; Inputs'!$L$32), IF(YEAR('Assumptions &amp; Inputs'!$L$36)&gt;=W110, 'Assumptions &amp; Inputs'!$L$60*'Assumptions &amp; Inputs'!$L$109/1000000, 0)))</f>
        <v>1.3245119999999999</v>
      </c>
      <c r="X118" s="75">
        <f>IF(YEAR('Assumptions &amp; Inputs'!$L$31)&gt;X110, 0, IF(X110=YEAR('Assumptions &amp; Inputs'!$L$31),('Assumptions &amp; Inputs'!$L$60*'Assumptions &amp; Inputs'!$L$109/1000000)*YEARFRAC('Assumptions &amp; Inputs'!$L$31,'Assumptions &amp; Inputs'!$L$32), IF(YEAR('Assumptions &amp; Inputs'!$L$36)&gt;=X110, 'Assumptions &amp; Inputs'!$L$60*'Assumptions &amp; Inputs'!$L$109/1000000, 0)))</f>
        <v>1.3245119999999999</v>
      </c>
      <c r="Y118" s="75">
        <f>IF(YEAR('Assumptions &amp; Inputs'!$L$31)&gt;Y110, 0, IF(Y110=YEAR('Assumptions &amp; Inputs'!$L$31),('Assumptions &amp; Inputs'!$L$60*'Assumptions &amp; Inputs'!$L$109/1000000)*YEARFRAC('Assumptions &amp; Inputs'!$L$31,'Assumptions &amp; Inputs'!$L$32), IF(YEAR('Assumptions &amp; Inputs'!$L$36)&gt;=Y110, 'Assumptions &amp; Inputs'!$L$60*'Assumptions &amp; Inputs'!$L$109/1000000, 0)))</f>
        <v>1.3245119999999999</v>
      </c>
      <c r="Z118" s="75">
        <f>IF(YEAR('Assumptions &amp; Inputs'!$L$31)&gt;Z110, 0, IF(Z110=YEAR('Assumptions &amp; Inputs'!$L$31),('Assumptions &amp; Inputs'!$L$60*'Assumptions &amp; Inputs'!$L$109/1000000)*YEARFRAC('Assumptions &amp; Inputs'!$L$31,'Assumptions &amp; Inputs'!$L$32), IF(YEAR('Assumptions &amp; Inputs'!$L$36)&gt;=Z110, 'Assumptions &amp; Inputs'!$L$60*'Assumptions &amp; Inputs'!$L$109/1000000, 0)))</f>
        <v>1.3245119999999999</v>
      </c>
      <c r="AA118" s="75">
        <f>IF(YEAR('Assumptions &amp; Inputs'!$L$31)&gt;AA110, 0, IF(AA110=YEAR('Assumptions &amp; Inputs'!$L$31),('Assumptions &amp; Inputs'!$L$60*'Assumptions &amp; Inputs'!$L$109/1000000)*YEARFRAC('Assumptions &amp; Inputs'!$L$31,'Assumptions &amp; Inputs'!$L$32), IF(YEAR('Assumptions &amp; Inputs'!$L$36)&gt;=AA110, 'Assumptions &amp; Inputs'!$L$60*'Assumptions &amp; Inputs'!$L$109/1000000, 0)))</f>
        <v>1.3245119999999999</v>
      </c>
      <c r="AB118" s="75">
        <f>IF(YEAR('Assumptions &amp; Inputs'!$L$31)&gt;AB110, 0, IF(AB110=YEAR('Assumptions &amp; Inputs'!$L$31),('Assumptions &amp; Inputs'!$L$60*'Assumptions &amp; Inputs'!$L$109/1000000)*YEARFRAC('Assumptions &amp; Inputs'!$L$31,'Assumptions &amp; Inputs'!$L$32), IF(YEAR('Assumptions &amp; Inputs'!$L$36)&gt;=AB110, 'Assumptions &amp; Inputs'!$L$60*'Assumptions &amp; Inputs'!$L$109/1000000, 0)))</f>
        <v>1.3245119999999999</v>
      </c>
      <c r="AC118" s="75">
        <f>IF(YEAR('Assumptions &amp; Inputs'!$L$31)&gt;AC110, 0, IF(AC110=YEAR('Assumptions &amp; Inputs'!$L$31),('Assumptions &amp; Inputs'!$L$60*'Assumptions &amp; Inputs'!$L$109/1000000)*YEARFRAC('Assumptions &amp; Inputs'!$L$31,'Assumptions &amp; Inputs'!$L$32), IF(YEAR('Assumptions &amp; Inputs'!$L$36)&gt;=AC110, 'Assumptions &amp; Inputs'!$L$60*'Assumptions &amp; Inputs'!$L$109/1000000, 0)))</f>
        <v>1.3245119999999999</v>
      </c>
      <c r="AD118" s="75">
        <f>IF(YEAR('Assumptions &amp; Inputs'!$L$31)&gt;AD110, 0, IF(AD110=YEAR('Assumptions &amp; Inputs'!$L$31),('Assumptions &amp; Inputs'!$L$60*'Assumptions &amp; Inputs'!$L$109/1000000)*YEARFRAC('Assumptions &amp; Inputs'!$L$31,'Assumptions &amp; Inputs'!$L$32), IF(YEAR('Assumptions &amp; Inputs'!$L$36)&gt;=AD110, 'Assumptions &amp; Inputs'!$L$60*'Assumptions &amp; Inputs'!$L$109/1000000, 0)))</f>
        <v>1.3245119999999999</v>
      </c>
      <c r="AE118" s="75">
        <f>IF(YEAR('Assumptions &amp; Inputs'!$L$31)&gt;AE110, 0, IF(AE110=YEAR('Assumptions &amp; Inputs'!$L$31),('Assumptions &amp; Inputs'!$L$60*'Assumptions &amp; Inputs'!$L$109/1000000)*YEARFRAC('Assumptions &amp; Inputs'!$L$31,'Assumptions &amp; Inputs'!$L$32), IF(YEAR('Assumptions &amp; Inputs'!$L$36)&gt;=AE110, 'Assumptions &amp; Inputs'!$L$60*'Assumptions &amp; Inputs'!$L$109/1000000, 0)))</f>
        <v>0</v>
      </c>
      <c r="AF118" s="75">
        <f>IF(YEAR('Assumptions &amp; Inputs'!$L$31)&gt;AF110, 0, IF(AF110=YEAR('Assumptions &amp; Inputs'!$L$31),('Assumptions &amp; Inputs'!$L$60*'Assumptions &amp; Inputs'!$L$109/1000000)*YEARFRAC('Assumptions &amp; Inputs'!$L$31,'Assumptions &amp; Inputs'!$L$32), IF(YEAR('Assumptions &amp; Inputs'!$L$36)&gt;=AF110, 'Assumptions &amp; Inputs'!$L$60*'Assumptions &amp; Inputs'!$L$109/1000000, 0)))</f>
        <v>0</v>
      </c>
      <c r="AG118" s="75">
        <f>IF(YEAR('Assumptions &amp; Inputs'!$L$31)&gt;AG110, 0, IF(AG110=YEAR('Assumptions &amp; Inputs'!$L$31),('Assumptions &amp; Inputs'!$L$60*'Assumptions &amp; Inputs'!$L$109/1000000)*YEARFRAC('Assumptions &amp; Inputs'!$L$31,'Assumptions &amp; Inputs'!$L$32), IF(YEAR('Assumptions &amp; Inputs'!$L$36)&gt;=AG110, 'Assumptions &amp; Inputs'!$L$60*'Assumptions &amp; Inputs'!$L$109/1000000, 0)))</f>
        <v>0</v>
      </c>
      <c r="AH118" s="75">
        <f>IF(YEAR('Assumptions &amp; Inputs'!$L$31)&gt;AH110, 0, IF(AH110=YEAR('Assumptions &amp; Inputs'!$L$31),('Assumptions &amp; Inputs'!$L$60*'Assumptions &amp; Inputs'!$L$109/1000000)*YEARFRAC('Assumptions &amp; Inputs'!$L$31,'Assumptions &amp; Inputs'!$L$32), IF(YEAR('Assumptions &amp; Inputs'!$L$36)&gt;=AH110, 'Assumptions &amp; Inputs'!$L$60*'Assumptions &amp; Inputs'!$L$109/1000000, 0)))</f>
        <v>0</v>
      </c>
      <c r="AI118" s="75">
        <f>IF(YEAR('Assumptions &amp; Inputs'!$L$31)&gt;AI110, 0, IF(AI110=YEAR('Assumptions &amp; Inputs'!$L$31),('Assumptions &amp; Inputs'!$L$60*'Assumptions &amp; Inputs'!$L$109/1000000)*YEARFRAC('Assumptions &amp; Inputs'!$L$31,'Assumptions &amp; Inputs'!$L$32), IF(YEAR('Assumptions &amp; Inputs'!$L$36)&gt;=AI110, 'Assumptions &amp; Inputs'!$L$60*'Assumptions &amp; Inputs'!$L$109/1000000, 0)))</f>
        <v>0</v>
      </c>
      <c r="AJ118" s="75">
        <f>IF(YEAR('Assumptions &amp; Inputs'!$L$31)&gt;AJ110, 0, IF(AJ110=YEAR('Assumptions &amp; Inputs'!$L$31),('Assumptions &amp; Inputs'!$L$60*'Assumptions &amp; Inputs'!$L$109/1000000)*YEARFRAC('Assumptions &amp; Inputs'!$L$31,'Assumptions &amp; Inputs'!$L$32), IF(YEAR('Assumptions &amp; Inputs'!$L$36)&gt;=AJ110, 'Assumptions &amp; Inputs'!$L$60*'Assumptions &amp; Inputs'!$L$109/1000000, 0)))</f>
        <v>0</v>
      </c>
      <c r="AK118" s="75">
        <f>IF(YEAR('Assumptions &amp; Inputs'!$L$31)&gt;AK110, 0, IF(AK110=YEAR('Assumptions &amp; Inputs'!$L$31),('Assumptions &amp; Inputs'!$L$60*'Assumptions &amp; Inputs'!$L$109/1000000)*YEARFRAC('Assumptions &amp; Inputs'!$L$31,'Assumptions &amp; Inputs'!$L$32), IF(YEAR('Assumptions &amp; Inputs'!$L$36)&gt;=AK110, 'Assumptions &amp; Inputs'!$L$60*'Assumptions &amp; Inputs'!$L$109/1000000, 0)))</f>
        <v>0</v>
      </c>
      <c r="AL118" s="75">
        <f>IF(YEAR('Assumptions &amp; Inputs'!$L$31)&gt;AL110, 0, IF(AL110=YEAR('Assumptions &amp; Inputs'!$L$31),('Assumptions &amp; Inputs'!$L$60*'Assumptions &amp; Inputs'!$L$109/1000000)*YEARFRAC('Assumptions &amp; Inputs'!$L$31,'Assumptions &amp; Inputs'!$L$32), IF(YEAR('Assumptions &amp; Inputs'!$L$36)&gt;=AL110, 'Assumptions &amp; Inputs'!$L$60*'Assumptions &amp; Inputs'!$L$109/1000000, 0)))</f>
        <v>0</v>
      </c>
      <c r="AM118" s="75">
        <f>IF(YEAR('Assumptions &amp; Inputs'!$L$31)&gt;AM110, 0, IF(AM110=YEAR('Assumptions &amp; Inputs'!$L$31),('Assumptions &amp; Inputs'!$L$60*'Assumptions &amp; Inputs'!$L$109/1000000)*YEARFRAC('Assumptions &amp; Inputs'!$L$31,'Assumptions &amp; Inputs'!$L$32), IF(YEAR('Assumptions &amp; Inputs'!$L$36)&gt;=AM110, 'Assumptions &amp; Inputs'!$L$60*'Assumptions &amp; Inputs'!$L$109/1000000, 0)))</f>
        <v>0</v>
      </c>
      <c r="AN118" s="75">
        <f>IF(YEAR('Assumptions &amp; Inputs'!$L$31)&gt;AN110, 0, IF(AN110=YEAR('Assumptions &amp; Inputs'!$L$31),('Assumptions &amp; Inputs'!$L$60*'Assumptions &amp; Inputs'!$L$109/1000000)*YEARFRAC('Assumptions &amp; Inputs'!$L$31,'Assumptions &amp; Inputs'!$L$32), IF(YEAR('Assumptions &amp; Inputs'!$L$36)&gt;=AN110, 'Assumptions &amp; Inputs'!$L$60*'Assumptions &amp; Inputs'!$L$109/1000000, 0)))</f>
        <v>0</v>
      </c>
      <c r="AO118" s="75">
        <f>IF(YEAR('Assumptions &amp; Inputs'!$L$31)&gt;AO110, 0, IF(AO110=YEAR('Assumptions &amp; Inputs'!$L$31),('Assumptions &amp; Inputs'!$L$60*'Assumptions &amp; Inputs'!$L$109/1000000)*YEARFRAC('Assumptions &amp; Inputs'!$L$31,'Assumptions &amp; Inputs'!$L$32), IF(YEAR('Assumptions &amp; Inputs'!$L$36)&gt;=AO110, 'Assumptions &amp; Inputs'!$L$60*'Assumptions &amp; Inputs'!$L$109/1000000, 0)))</f>
        <v>0</v>
      </c>
      <c r="AP118" s="75">
        <f>IF(YEAR('Assumptions &amp; Inputs'!$L$31)&gt;AP110, 0, IF(AP110=YEAR('Assumptions &amp; Inputs'!$L$31),('Assumptions &amp; Inputs'!$L$60*'Assumptions &amp; Inputs'!$L$109/1000000)*YEARFRAC('Assumptions &amp; Inputs'!$L$31,'Assumptions &amp; Inputs'!$L$32), IF(YEAR('Assumptions &amp; Inputs'!$L$36)&gt;=AP110, 'Assumptions &amp; Inputs'!$L$60*'Assumptions &amp; Inputs'!$L$109/1000000, 0)))</f>
        <v>0</v>
      </c>
      <c r="AQ118" s="75">
        <f>IF(YEAR('Assumptions &amp; Inputs'!$L$31)&gt;AQ110, 0, IF(AQ110=YEAR('Assumptions &amp; Inputs'!$L$31),('Assumptions &amp; Inputs'!$L$60*'Assumptions &amp; Inputs'!$L$109/1000000)*YEARFRAC('Assumptions &amp; Inputs'!$L$31,'Assumptions &amp; Inputs'!$L$32), IF(YEAR('Assumptions &amp; Inputs'!$L$36)&gt;=AQ110, 'Assumptions &amp; Inputs'!$L$60*'Assumptions &amp; Inputs'!$L$109/1000000, 0)))</f>
        <v>0</v>
      </c>
      <c r="AR118" s="75">
        <f>IF(YEAR('Assumptions &amp; Inputs'!$L$31)&gt;AR110, 0, IF(AR110=YEAR('Assumptions &amp; Inputs'!$L$31),('Assumptions &amp; Inputs'!$L$60*'Assumptions &amp; Inputs'!$L$109/1000000)*YEARFRAC('Assumptions &amp; Inputs'!$L$31,'Assumptions &amp; Inputs'!$L$32), IF(YEAR('Assumptions &amp; Inputs'!$L$36)&gt;=AR110, 'Assumptions &amp; Inputs'!$L$60*'Assumptions &amp; Inputs'!$L$109/1000000, 0)))</f>
        <v>0</v>
      </c>
      <c r="AS118" s="75">
        <f>IF(YEAR('Assumptions &amp; Inputs'!$L$31)&gt;AS110, 0, IF(AS110=YEAR('Assumptions &amp; Inputs'!$L$31),('Assumptions &amp; Inputs'!$L$60*'Assumptions &amp; Inputs'!$L$109/1000000)*YEARFRAC('Assumptions &amp; Inputs'!$L$31,'Assumptions &amp; Inputs'!$L$32), IF(YEAR('Assumptions &amp; Inputs'!$L$36)&gt;=AS110, 'Assumptions &amp; Inputs'!$L$60*'Assumptions &amp; Inputs'!$L$109/1000000, 0)))</f>
        <v>0</v>
      </c>
      <c r="AT118" s="75">
        <f>IF(YEAR('Assumptions &amp; Inputs'!$L$31)&gt;AT110, 0, IF(AT110=YEAR('Assumptions &amp; Inputs'!$L$31),('Assumptions &amp; Inputs'!$L$60*'Assumptions &amp; Inputs'!$L$109/1000000)*YEARFRAC('Assumptions &amp; Inputs'!$L$31,'Assumptions &amp; Inputs'!$L$32), IF(YEAR('Assumptions &amp; Inputs'!$L$36)&gt;=AT110, 'Assumptions &amp; Inputs'!$L$60*'Assumptions &amp; Inputs'!$L$109/1000000, 0)))</f>
        <v>0</v>
      </c>
      <c r="AU118" s="75">
        <f>IF(YEAR('Assumptions &amp; Inputs'!$L$31)&gt;AU110, 0, IF(AU110=YEAR('Assumptions &amp; Inputs'!$L$31),('Assumptions &amp; Inputs'!$L$60*'Assumptions &amp; Inputs'!$L$109/1000000)*YEARFRAC('Assumptions &amp; Inputs'!$L$31,'Assumptions &amp; Inputs'!$L$32), IF(YEAR('Assumptions &amp; Inputs'!$L$36)&gt;=AU110, 'Assumptions &amp; Inputs'!$L$60*'Assumptions &amp; Inputs'!$L$109/1000000, 0)))</f>
        <v>0</v>
      </c>
      <c r="AV118" s="75">
        <f>IF(YEAR('Assumptions &amp; Inputs'!$L$31)&gt;AV110, 0, IF(AV110=YEAR('Assumptions &amp; Inputs'!$L$31),('Assumptions &amp; Inputs'!$L$60*'Assumptions &amp; Inputs'!$L$109/1000000)*YEARFRAC('Assumptions &amp; Inputs'!$L$31,'Assumptions &amp; Inputs'!$L$32), IF(YEAR('Assumptions &amp; Inputs'!$L$36)&gt;=AV110, 'Assumptions &amp; Inputs'!$L$60*'Assumptions &amp; Inputs'!$L$109/1000000, 0)))</f>
        <v>0</v>
      </c>
      <c r="AW118" s="75">
        <f>IF(YEAR('Assumptions &amp; Inputs'!$L$31)&gt;AW110, 0, IF(AW110=YEAR('Assumptions &amp; Inputs'!$L$31),('Assumptions &amp; Inputs'!$L$60*'Assumptions &amp; Inputs'!$L$109/1000000)*YEARFRAC('Assumptions &amp; Inputs'!$L$31,'Assumptions &amp; Inputs'!$L$32), IF(YEAR('Assumptions &amp; Inputs'!$L$36)&gt;=AW110, 'Assumptions &amp; Inputs'!$L$60*'Assumptions &amp; Inputs'!$L$109/1000000, 0)))</f>
        <v>0</v>
      </c>
    </row>
    <row r="119" spans="3:49" ht="14.25" customHeight="1">
      <c r="C119" s="44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</row>
    <row r="120" spans="3:49" ht="14.25" customHeight="1">
      <c r="C120" s="44" t="s">
        <v>541</v>
      </c>
      <c r="D120" s="65">
        <f>D$118*'Assumptions &amp; Inputs'!$L119</f>
        <v>0</v>
      </c>
      <c r="E120" s="65">
        <f>E$118*'Assumptions &amp; Inputs'!$L119</f>
        <v>0.24437246399999998</v>
      </c>
      <c r="F120" s="65">
        <f>F$118*'Assumptions &amp; Inputs'!$L119</f>
        <v>0.32582995199999998</v>
      </c>
      <c r="G120" s="65">
        <f>G$118*'Assumptions &amp; Inputs'!$L119</f>
        <v>0.32582995199999998</v>
      </c>
      <c r="H120" s="65">
        <f>H$118*'Assumptions &amp; Inputs'!$L119</f>
        <v>0.32582995199999998</v>
      </c>
      <c r="I120" s="65">
        <f>I$118*'Assumptions &amp; Inputs'!$L119</f>
        <v>0.32582995199999998</v>
      </c>
      <c r="J120" s="65">
        <f>J$118*'Assumptions &amp; Inputs'!$L119</f>
        <v>0.32582995199999998</v>
      </c>
      <c r="K120" s="65">
        <f>K$118*'Assumptions &amp; Inputs'!$L119</f>
        <v>0.32582995199999998</v>
      </c>
      <c r="L120" s="65">
        <f>L$118*'Assumptions &amp; Inputs'!$L119</f>
        <v>0.32582995199999998</v>
      </c>
      <c r="M120" s="65">
        <f>M$118*'Assumptions &amp; Inputs'!$L119</f>
        <v>0.32582995199999998</v>
      </c>
      <c r="N120" s="65">
        <f>N$118*'Assumptions &amp; Inputs'!$L119</f>
        <v>0.32582995199999998</v>
      </c>
      <c r="O120" s="65">
        <f>O$118*'Assumptions &amp; Inputs'!$L119</f>
        <v>0.32582995199999998</v>
      </c>
      <c r="P120" s="65">
        <f>P$118*'Assumptions &amp; Inputs'!$L119</f>
        <v>0.32582995199999998</v>
      </c>
      <c r="Q120" s="65">
        <f>Q$118*'Assumptions &amp; Inputs'!$L119</f>
        <v>0.32582995199999998</v>
      </c>
      <c r="R120" s="65">
        <f>R$118*'Assumptions &amp; Inputs'!$L119</f>
        <v>0.32582995199999998</v>
      </c>
      <c r="S120" s="65">
        <f>S$118*'Assumptions &amp; Inputs'!$L119</f>
        <v>0.32582995199999998</v>
      </c>
      <c r="T120" s="65">
        <f>T$118*'Assumptions &amp; Inputs'!$L119</f>
        <v>0.32582995199999998</v>
      </c>
      <c r="U120" s="65">
        <f>U$118*'Assumptions &amp; Inputs'!$L119</f>
        <v>0.32582995199999998</v>
      </c>
      <c r="V120" s="65">
        <f>V$118*'Assumptions &amp; Inputs'!$L119</f>
        <v>0.32582995199999998</v>
      </c>
      <c r="W120" s="65">
        <f>W$118*'Assumptions &amp; Inputs'!$L119</f>
        <v>0.32582995199999998</v>
      </c>
      <c r="X120" s="65">
        <f>X$118*'Assumptions &amp; Inputs'!$L119</f>
        <v>0.32582995199999998</v>
      </c>
      <c r="Y120" s="65">
        <f>Y$118*'Assumptions &amp; Inputs'!$L119</f>
        <v>0.32582995199999998</v>
      </c>
      <c r="Z120" s="65">
        <f>Z$118*'Assumptions &amp; Inputs'!$L119</f>
        <v>0.32582995199999998</v>
      </c>
      <c r="AA120" s="65">
        <f>AA$118*'Assumptions &amp; Inputs'!$L119</f>
        <v>0.32582995199999998</v>
      </c>
      <c r="AB120" s="65">
        <f>AB$118*'Assumptions &amp; Inputs'!$L119</f>
        <v>0.32582995199999998</v>
      </c>
      <c r="AC120" s="65">
        <f>AC$118*'Assumptions &amp; Inputs'!$L119</f>
        <v>0.32582995199999998</v>
      </c>
      <c r="AD120" s="65">
        <f>AD$118*'Assumptions &amp; Inputs'!$L119</f>
        <v>0.32582995199999998</v>
      </c>
      <c r="AE120" s="65">
        <f>AE$118*'Assumptions &amp; Inputs'!$L119</f>
        <v>0</v>
      </c>
      <c r="AF120" s="65">
        <f>AF$118*'Assumptions &amp; Inputs'!$L119</f>
        <v>0</v>
      </c>
      <c r="AG120" s="65">
        <f>AG$118*'Assumptions &amp; Inputs'!$L119</f>
        <v>0</v>
      </c>
      <c r="AH120" s="65">
        <f>AH$118*'Assumptions &amp; Inputs'!$L119</f>
        <v>0</v>
      </c>
      <c r="AI120" s="65">
        <f>AI$118*'Assumptions &amp; Inputs'!$L119</f>
        <v>0</v>
      </c>
      <c r="AJ120" s="65">
        <f>AJ$118*'Assumptions &amp; Inputs'!$L119</f>
        <v>0</v>
      </c>
      <c r="AK120" s="65">
        <f>AK$118*'Assumptions &amp; Inputs'!$L119</f>
        <v>0</v>
      </c>
      <c r="AL120" s="65">
        <f>AL$118*'Assumptions &amp; Inputs'!$L119</f>
        <v>0</v>
      </c>
      <c r="AM120" s="65">
        <f>AM$118*'Assumptions &amp; Inputs'!$L119</f>
        <v>0</v>
      </c>
      <c r="AN120" s="65">
        <f>AN$118*'Assumptions &amp; Inputs'!$L119</f>
        <v>0</v>
      </c>
      <c r="AO120" s="65">
        <f>AO$118*'Assumptions &amp; Inputs'!$L119</f>
        <v>0</v>
      </c>
      <c r="AP120" s="65">
        <f>AP$118*'Assumptions &amp; Inputs'!$L119</f>
        <v>0</v>
      </c>
      <c r="AQ120" s="65">
        <f>AQ$118*'Assumptions &amp; Inputs'!$L119</f>
        <v>0</v>
      </c>
      <c r="AR120" s="65">
        <f>AR$118*'Assumptions &amp; Inputs'!$L119</f>
        <v>0</v>
      </c>
      <c r="AS120" s="65">
        <f>AS$118*'Assumptions &amp; Inputs'!$L119</f>
        <v>0</v>
      </c>
      <c r="AT120" s="65">
        <f>AT$118*'Assumptions &amp; Inputs'!$L119</f>
        <v>0</v>
      </c>
      <c r="AU120" s="65">
        <f>AU$118*'Assumptions &amp; Inputs'!$L119</f>
        <v>0</v>
      </c>
      <c r="AV120" s="65">
        <f>AV$118*'Assumptions &amp; Inputs'!$L119</f>
        <v>0</v>
      </c>
      <c r="AW120" s="65">
        <f>AW$118*'Assumptions &amp; Inputs'!$L119</f>
        <v>0</v>
      </c>
    </row>
    <row r="121" spans="3:49" ht="14.25" customHeight="1">
      <c r="C121" s="44" t="s">
        <v>542</v>
      </c>
      <c r="D121" s="65">
        <f>D$118*'Assumptions &amp; Inputs'!$L122</f>
        <v>0</v>
      </c>
      <c r="E121" s="65">
        <f>E$118*'Assumptions &amp; Inputs'!$L122</f>
        <v>89.26464676056338</v>
      </c>
      <c r="F121" s="65">
        <f>F$118*'Assumptions &amp; Inputs'!$L122</f>
        <v>119.01952901408451</v>
      </c>
      <c r="G121" s="65">
        <f>G$118*'Assumptions &amp; Inputs'!$L122</f>
        <v>119.01952901408451</v>
      </c>
      <c r="H121" s="65">
        <f>H$118*'Assumptions &amp; Inputs'!$L122</f>
        <v>119.01952901408451</v>
      </c>
      <c r="I121" s="65">
        <f>I$118*'Assumptions &amp; Inputs'!$L122</f>
        <v>119.01952901408451</v>
      </c>
      <c r="J121" s="65">
        <f>J$118*'Assumptions &amp; Inputs'!$L122</f>
        <v>119.01952901408451</v>
      </c>
      <c r="K121" s="65">
        <f>K$118*'Assumptions &amp; Inputs'!$L122</f>
        <v>119.01952901408451</v>
      </c>
      <c r="L121" s="65">
        <f>L$118*'Assumptions &amp; Inputs'!$L122</f>
        <v>119.01952901408451</v>
      </c>
      <c r="M121" s="65">
        <f>M$118*'Assumptions &amp; Inputs'!$L122</f>
        <v>119.01952901408451</v>
      </c>
      <c r="N121" s="65">
        <f>N$118*'Assumptions &amp; Inputs'!$L122</f>
        <v>119.01952901408451</v>
      </c>
      <c r="O121" s="65">
        <f>O$118*'Assumptions &amp; Inputs'!$L122</f>
        <v>119.01952901408451</v>
      </c>
      <c r="P121" s="65">
        <f>P$118*'Assumptions &amp; Inputs'!$L122</f>
        <v>119.01952901408451</v>
      </c>
      <c r="Q121" s="65">
        <f>Q$118*'Assumptions &amp; Inputs'!$L122</f>
        <v>119.01952901408451</v>
      </c>
      <c r="R121" s="65">
        <f>R$118*'Assumptions &amp; Inputs'!$L122</f>
        <v>119.01952901408451</v>
      </c>
      <c r="S121" s="65">
        <f>S$118*'Assumptions &amp; Inputs'!$L122</f>
        <v>119.01952901408451</v>
      </c>
      <c r="T121" s="65">
        <f>T$118*'Assumptions &amp; Inputs'!$L122</f>
        <v>119.01952901408451</v>
      </c>
      <c r="U121" s="65">
        <f>U$118*'Assumptions &amp; Inputs'!$L122</f>
        <v>119.01952901408451</v>
      </c>
      <c r="V121" s="65">
        <f>V$118*'Assumptions &amp; Inputs'!$L122</f>
        <v>119.01952901408451</v>
      </c>
      <c r="W121" s="65">
        <f>W$118*'Assumptions &amp; Inputs'!$L122</f>
        <v>119.01952901408451</v>
      </c>
      <c r="X121" s="65">
        <f>X$118*'Assumptions &amp; Inputs'!$L122</f>
        <v>119.01952901408451</v>
      </c>
      <c r="Y121" s="65">
        <f>Y$118*'Assumptions &amp; Inputs'!$L122</f>
        <v>119.01952901408451</v>
      </c>
      <c r="Z121" s="65">
        <f>Z$118*'Assumptions &amp; Inputs'!$L122</f>
        <v>119.01952901408451</v>
      </c>
      <c r="AA121" s="65">
        <f>AA$118*'Assumptions &amp; Inputs'!$L122</f>
        <v>119.01952901408451</v>
      </c>
      <c r="AB121" s="65">
        <f>AB$118*'Assumptions &amp; Inputs'!$L122</f>
        <v>119.01952901408451</v>
      </c>
      <c r="AC121" s="65">
        <f>AC$118*'Assumptions &amp; Inputs'!$L122</f>
        <v>119.01952901408451</v>
      </c>
      <c r="AD121" s="65">
        <f>AD$118*'Assumptions &amp; Inputs'!$L122</f>
        <v>119.01952901408451</v>
      </c>
      <c r="AE121" s="65">
        <f>AE$118*'Assumptions &amp; Inputs'!$L122</f>
        <v>0</v>
      </c>
      <c r="AF121" s="65">
        <f>AF$118*'Assumptions &amp; Inputs'!$L122</f>
        <v>0</v>
      </c>
      <c r="AG121" s="65">
        <f>AG$118*'Assumptions &amp; Inputs'!$L122</f>
        <v>0</v>
      </c>
      <c r="AH121" s="65">
        <f>AH$118*'Assumptions &amp; Inputs'!$L122</f>
        <v>0</v>
      </c>
      <c r="AI121" s="65">
        <f>AI$118*'Assumptions &amp; Inputs'!$L122</f>
        <v>0</v>
      </c>
      <c r="AJ121" s="65">
        <f>AJ$118*'Assumptions &amp; Inputs'!$L122</f>
        <v>0</v>
      </c>
      <c r="AK121" s="65">
        <f>AK$118*'Assumptions &amp; Inputs'!$L122</f>
        <v>0</v>
      </c>
      <c r="AL121" s="65">
        <f>AL$118*'Assumptions &amp; Inputs'!$L122</f>
        <v>0</v>
      </c>
      <c r="AM121" s="65">
        <f>AM$118*'Assumptions &amp; Inputs'!$L122</f>
        <v>0</v>
      </c>
      <c r="AN121" s="65">
        <f>AN$118*'Assumptions &amp; Inputs'!$L122</f>
        <v>0</v>
      </c>
      <c r="AO121" s="65">
        <f>AO$118*'Assumptions &amp; Inputs'!$L122</f>
        <v>0</v>
      </c>
      <c r="AP121" s="65">
        <f>AP$118*'Assumptions &amp; Inputs'!$L122</f>
        <v>0</v>
      </c>
      <c r="AQ121" s="65">
        <f>AQ$118*'Assumptions &amp; Inputs'!$L122</f>
        <v>0</v>
      </c>
      <c r="AR121" s="65">
        <f>AR$118*'Assumptions &amp; Inputs'!$L122</f>
        <v>0</v>
      </c>
      <c r="AS121" s="65">
        <f>AS$118*'Assumptions &amp; Inputs'!$L122</f>
        <v>0</v>
      </c>
      <c r="AT121" s="65">
        <f>AT$118*'Assumptions &amp; Inputs'!$L122</f>
        <v>0</v>
      </c>
      <c r="AU121" s="65">
        <f>AU$118*'Assumptions &amp; Inputs'!$L122</f>
        <v>0</v>
      </c>
      <c r="AV121" s="65">
        <f>AV$118*'Assumptions &amp; Inputs'!$L122</f>
        <v>0</v>
      </c>
      <c r="AW121" s="65">
        <f>AW$118*'Assumptions &amp; Inputs'!$L122</f>
        <v>0</v>
      </c>
    </row>
    <row r="122" spans="3:49" ht="14.25" customHeight="1">
      <c r="C122" s="44" t="s">
        <v>543</v>
      </c>
      <c r="D122" s="65">
        <f>D$118*'Assumptions &amp; Inputs'!$L127</f>
        <v>0</v>
      </c>
      <c r="E122" s="65">
        <f>E$118*'Assumptions &amp; Inputs'!$L127</f>
        <v>69.139526399999994</v>
      </c>
      <c r="F122" s="65">
        <f>F$118*'Assumptions &amp; Inputs'!$L127</f>
        <v>92.186035199999992</v>
      </c>
      <c r="G122" s="65">
        <f>G$118*'Assumptions &amp; Inputs'!$L127</f>
        <v>92.186035199999992</v>
      </c>
      <c r="H122" s="65">
        <f>H$118*'Assumptions &amp; Inputs'!$L127</f>
        <v>92.186035199999992</v>
      </c>
      <c r="I122" s="65">
        <f>I$118*'Assumptions &amp; Inputs'!$L127</f>
        <v>92.186035199999992</v>
      </c>
      <c r="J122" s="65">
        <f>J$118*'Assumptions &amp; Inputs'!$L127</f>
        <v>92.186035199999992</v>
      </c>
      <c r="K122" s="65">
        <f>K$118*'Assumptions &amp; Inputs'!$L127</f>
        <v>92.186035199999992</v>
      </c>
      <c r="L122" s="65">
        <f>L$118*'Assumptions &amp; Inputs'!$L127</f>
        <v>92.186035199999992</v>
      </c>
      <c r="M122" s="65">
        <f>M$118*'Assumptions &amp; Inputs'!$L127</f>
        <v>92.186035199999992</v>
      </c>
      <c r="N122" s="65">
        <f>N$118*'Assumptions &amp; Inputs'!$L127</f>
        <v>92.186035199999992</v>
      </c>
      <c r="O122" s="65">
        <f>O$118*'Assumptions &amp; Inputs'!$L127</f>
        <v>92.186035199999992</v>
      </c>
      <c r="P122" s="65">
        <f>P$118*'Assumptions &amp; Inputs'!$L127</f>
        <v>92.186035199999992</v>
      </c>
      <c r="Q122" s="65">
        <f>Q$118*'Assumptions &amp; Inputs'!$L127</f>
        <v>92.186035199999992</v>
      </c>
      <c r="R122" s="65">
        <f>R$118*'Assumptions &amp; Inputs'!$L127</f>
        <v>92.186035199999992</v>
      </c>
      <c r="S122" s="65">
        <f>S$118*'Assumptions &amp; Inputs'!$L127</f>
        <v>92.186035199999992</v>
      </c>
      <c r="T122" s="65">
        <f>T$118*'Assumptions &amp; Inputs'!$L127</f>
        <v>92.186035199999992</v>
      </c>
      <c r="U122" s="65">
        <f>U$118*'Assumptions &amp; Inputs'!$L127</f>
        <v>92.186035199999992</v>
      </c>
      <c r="V122" s="65">
        <f>V$118*'Assumptions &amp; Inputs'!$L127</f>
        <v>92.186035199999992</v>
      </c>
      <c r="W122" s="65">
        <f>W$118*'Assumptions &amp; Inputs'!$L127</f>
        <v>92.186035199999992</v>
      </c>
      <c r="X122" s="65">
        <f>X$118*'Assumptions &amp; Inputs'!$L127</f>
        <v>92.186035199999992</v>
      </c>
      <c r="Y122" s="65">
        <f>Y$118*'Assumptions &amp; Inputs'!$L127</f>
        <v>92.186035199999992</v>
      </c>
      <c r="Z122" s="65">
        <f>Z$118*'Assumptions &amp; Inputs'!$L127</f>
        <v>92.186035199999992</v>
      </c>
      <c r="AA122" s="65">
        <f>AA$118*'Assumptions &amp; Inputs'!$L127</f>
        <v>92.186035199999992</v>
      </c>
      <c r="AB122" s="65">
        <f>AB$118*'Assumptions &amp; Inputs'!$L127</f>
        <v>92.186035199999992</v>
      </c>
      <c r="AC122" s="65">
        <f>AC$118*'Assumptions &amp; Inputs'!$L127</f>
        <v>92.186035199999992</v>
      </c>
      <c r="AD122" s="65">
        <f>AD$118*'Assumptions &amp; Inputs'!$L127</f>
        <v>92.186035199999992</v>
      </c>
      <c r="AE122" s="65">
        <f>AE$118*'Assumptions &amp; Inputs'!$L127</f>
        <v>0</v>
      </c>
      <c r="AF122" s="65">
        <f>AF$118*'Assumptions &amp; Inputs'!$L127</f>
        <v>0</v>
      </c>
      <c r="AG122" s="65">
        <f>AG$118*'Assumptions &amp; Inputs'!$L127</f>
        <v>0</v>
      </c>
      <c r="AH122" s="65">
        <f>AH$118*'Assumptions &amp; Inputs'!$L127</f>
        <v>0</v>
      </c>
      <c r="AI122" s="65">
        <f>AI$118*'Assumptions &amp; Inputs'!$L127</f>
        <v>0</v>
      </c>
      <c r="AJ122" s="65">
        <f>AJ$118*'Assumptions &amp; Inputs'!$L127</f>
        <v>0</v>
      </c>
      <c r="AK122" s="65">
        <f>AK$118*'Assumptions &amp; Inputs'!$L127</f>
        <v>0</v>
      </c>
      <c r="AL122" s="65">
        <f>AL$118*'Assumptions &amp; Inputs'!$L127</f>
        <v>0</v>
      </c>
      <c r="AM122" s="65">
        <f>AM$118*'Assumptions &amp; Inputs'!$L127</f>
        <v>0</v>
      </c>
      <c r="AN122" s="65">
        <f>AN$118*'Assumptions &amp; Inputs'!$L127</f>
        <v>0</v>
      </c>
      <c r="AO122" s="65">
        <f>AO$118*'Assumptions &amp; Inputs'!$L127</f>
        <v>0</v>
      </c>
      <c r="AP122" s="65">
        <f>AP$118*'Assumptions &amp; Inputs'!$L127</f>
        <v>0</v>
      </c>
      <c r="AQ122" s="65">
        <f>AQ$118*'Assumptions &amp; Inputs'!$L127</f>
        <v>0</v>
      </c>
      <c r="AR122" s="65">
        <f>AR$118*'Assumptions &amp; Inputs'!$L127</f>
        <v>0</v>
      </c>
      <c r="AS122" s="65">
        <f>AS$118*'Assumptions &amp; Inputs'!$L127</f>
        <v>0</v>
      </c>
      <c r="AT122" s="65">
        <f>AT$118*'Assumptions &amp; Inputs'!$L127</f>
        <v>0</v>
      </c>
      <c r="AU122" s="65">
        <f>AU$118*'Assumptions &amp; Inputs'!$L127</f>
        <v>0</v>
      </c>
      <c r="AV122" s="65">
        <f>AV$118*'Assumptions &amp; Inputs'!$L127</f>
        <v>0</v>
      </c>
      <c r="AW122" s="65">
        <f>AW$118*'Assumptions &amp; Inputs'!$L127</f>
        <v>0</v>
      </c>
    </row>
    <row r="123" spans="3:49" ht="14.25" customHeight="1">
      <c r="C123" s="44" t="s">
        <v>544</v>
      </c>
      <c r="D123" s="65">
        <f>D$118*'Assumptions &amp; Inputs'!$L132</f>
        <v>0</v>
      </c>
      <c r="E123" s="65">
        <f>E$118*'Assumptions &amp; Inputs'!$L132</f>
        <v>6.9258732480000015E-2</v>
      </c>
      <c r="F123" s="65">
        <f>F$118*'Assumptions &amp; Inputs'!$L132</f>
        <v>9.234497664000002E-2</v>
      </c>
      <c r="G123" s="65">
        <f>G$118*'Assumptions &amp; Inputs'!$L132</f>
        <v>9.234497664000002E-2</v>
      </c>
      <c r="H123" s="65">
        <f>H$118*'Assumptions &amp; Inputs'!$L132</f>
        <v>9.234497664000002E-2</v>
      </c>
      <c r="I123" s="65">
        <f>I$118*'Assumptions &amp; Inputs'!$L132</f>
        <v>9.234497664000002E-2</v>
      </c>
      <c r="J123" s="65">
        <f>J$118*'Assumptions &amp; Inputs'!$L132</f>
        <v>9.234497664000002E-2</v>
      </c>
      <c r="K123" s="65">
        <f>K$118*'Assumptions &amp; Inputs'!$L132</f>
        <v>9.234497664000002E-2</v>
      </c>
      <c r="L123" s="65">
        <f>L$118*'Assumptions &amp; Inputs'!$L132</f>
        <v>9.234497664000002E-2</v>
      </c>
      <c r="M123" s="65">
        <f>M$118*'Assumptions &amp; Inputs'!$L132</f>
        <v>9.234497664000002E-2</v>
      </c>
      <c r="N123" s="65">
        <f>N$118*'Assumptions &amp; Inputs'!$L132</f>
        <v>9.234497664000002E-2</v>
      </c>
      <c r="O123" s="65">
        <f>O$118*'Assumptions &amp; Inputs'!$L132</f>
        <v>9.234497664000002E-2</v>
      </c>
      <c r="P123" s="65">
        <f>P$118*'Assumptions &amp; Inputs'!$L132</f>
        <v>9.234497664000002E-2</v>
      </c>
      <c r="Q123" s="65">
        <f>Q$118*'Assumptions &amp; Inputs'!$L132</f>
        <v>9.234497664000002E-2</v>
      </c>
      <c r="R123" s="65">
        <f>R$118*'Assumptions &amp; Inputs'!$L132</f>
        <v>9.234497664000002E-2</v>
      </c>
      <c r="S123" s="65">
        <f>S$118*'Assumptions &amp; Inputs'!$L132</f>
        <v>9.234497664000002E-2</v>
      </c>
      <c r="T123" s="65">
        <f>T$118*'Assumptions &amp; Inputs'!$L132</f>
        <v>9.234497664000002E-2</v>
      </c>
      <c r="U123" s="65">
        <f>U$118*'Assumptions &amp; Inputs'!$L132</f>
        <v>9.234497664000002E-2</v>
      </c>
      <c r="V123" s="65">
        <f>V$118*'Assumptions &amp; Inputs'!$L132</f>
        <v>9.234497664000002E-2</v>
      </c>
      <c r="W123" s="65">
        <f>W$118*'Assumptions &amp; Inputs'!$L132</f>
        <v>9.234497664000002E-2</v>
      </c>
      <c r="X123" s="65">
        <f>X$118*'Assumptions &amp; Inputs'!$L132</f>
        <v>9.234497664000002E-2</v>
      </c>
      <c r="Y123" s="65">
        <f>Y$118*'Assumptions &amp; Inputs'!$L132</f>
        <v>9.234497664000002E-2</v>
      </c>
      <c r="Z123" s="65">
        <f>Z$118*'Assumptions &amp; Inputs'!$L132</f>
        <v>9.234497664000002E-2</v>
      </c>
      <c r="AA123" s="65">
        <f>AA$118*'Assumptions &amp; Inputs'!$L132</f>
        <v>9.234497664000002E-2</v>
      </c>
      <c r="AB123" s="65">
        <f>AB$118*'Assumptions &amp; Inputs'!$L132</f>
        <v>9.234497664000002E-2</v>
      </c>
      <c r="AC123" s="65">
        <f>AC$118*'Assumptions &amp; Inputs'!$L132</f>
        <v>9.234497664000002E-2</v>
      </c>
      <c r="AD123" s="65">
        <f>AD$118*'Assumptions &amp; Inputs'!$L132</f>
        <v>9.234497664000002E-2</v>
      </c>
      <c r="AE123" s="65">
        <f>AE$118*'Assumptions &amp; Inputs'!$L132</f>
        <v>0</v>
      </c>
      <c r="AF123" s="65">
        <f>AF$118*'Assumptions &amp; Inputs'!$L132</f>
        <v>0</v>
      </c>
      <c r="AG123" s="65">
        <f>AG$118*'Assumptions &amp; Inputs'!$L132</f>
        <v>0</v>
      </c>
      <c r="AH123" s="65">
        <f>AH$118*'Assumptions &amp; Inputs'!$L132</f>
        <v>0</v>
      </c>
      <c r="AI123" s="65">
        <f>AI$118*'Assumptions &amp; Inputs'!$L132</f>
        <v>0</v>
      </c>
      <c r="AJ123" s="65">
        <f>AJ$118*'Assumptions &amp; Inputs'!$L132</f>
        <v>0</v>
      </c>
      <c r="AK123" s="65">
        <f>AK$118*'Assumptions &amp; Inputs'!$L132</f>
        <v>0</v>
      </c>
      <c r="AL123" s="65">
        <f>AL$118*'Assumptions &amp; Inputs'!$L132</f>
        <v>0</v>
      </c>
      <c r="AM123" s="65">
        <f>AM$118*'Assumptions &amp; Inputs'!$L132</f>
        <v>0</v>
      </c>
      <c r="AN123" s="65">
        <f>AN$118*'Assumptions &amp; Inputs'!$L132</f>
        <v>0</v>
      </c>
      <c r="AO123" s="65">
        <f>AO$118*'Assumptions &amp; Inputs'!$L132</f>
        <v>0</v>
      </c>
      <c r="AP123" s="65">
        <f>AP$118*'Assumptions &amp; Inputs'!$L132</f>
        <v>0</v>
      </c>
      <c r="AQ123" s="65">
        <f>AQ$118*'Assumptions &amp; Inputs'!$L132</f>
        <v>0</v>
      </c>
      <c r="AR123" s="65">
        <f>AR$118*'Assumptions &amp; Inputs'!$L132</f>
        <v>0</v>
      </c>
      <c r="AS123" s="65">
        <f>AS$118*'Assumptions &amp; Inputs'!$L132</f>
        <v>0</v>
      </c>
      <c r="AT123" s="65">
        <f>AT$118*'Assumptions &amp; Inputs'!$L132</f>
        <v>0</v>
      </c>
      <c r="AU123" s="65">
        <f>AU$118*'Assumptions &amp; Inputs'!$L132</f>
        <v>0</v>
      </c>
      <c r="AV123" s="65">
        <f>AV$118*'Assumptions &amp; Inputs'!$L132</f>
        <v>0</v>
      </c>
      <c r="AW123" s="65">
        <f>AW$118*'Assumptions &amp; Inputs'!$L132</f>
        <v>0</v>
      </c>
    </row>
    <row r="124" spans="3:49" ht="14.25" customHeight="1">
      <c r="C124" s="44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</row>
    <row r="125" spans="3:49" ht="14.25" customHeight="1">
      <c r="C125" s="48" t="s">
        <v>539</v>
      </c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</row>
    <row r="126" spans="3:49" ht="14.25" customHeight="1">
      <c r="C126" s="44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</row>
    <row r="127" spans="3:49" ht="14.25" customHeight="1">
      <c r="C127" s="44" t="s">
        <v>545</v>
      </c>
      <c r="D127" s="65">
        <f>IFERROR(_xlfn.XLOOKUP(D$110, 'GEN-CARBON'!$D$110:$AW$110, 'GEN-CARBON'!$D$114:$AW$114)/1000000/'Assumptions &amp; Inputs'!$L$115*'Assumptions &amp; Inputs'!$L$138, 0)</f>
        <v>0</v>
      </c>
      <c r="E127" s="65">
        <f>IFERROR(_xlfn.XLOOKUP(E$110, 'GEN-CARBON'!$D$110:$AW$110, 'GEN-CARBON'!$D$114:$AW$114)/1000000/'Assumptions &amp; Inputs'!$L$115*'Assumptions &amp; Inputs'!$L$138, 0)</f>
        <v>0</v>
      </c>
      <c r="F127" s="65">
        <f>IFERROR(_xlfn.XLOOKUP(F$110, 'GEN-CARBON'!$D$110:$AW$110, 'GEN-CARBON'!$D$114:$AW$114)/1000000/'Assumptions &amp; Inputs'!$L$115*'Assumptions &amp; Inputs'!$L$138, 0)</f>
        <v>0</v>
      </c>
      <c r="G127" s="65">
        <f>IFERROR(_xlfn.XLOOKUP(G$110, 'GEN-CARBON'!$D$110:$AW$110, 'GEN-CARBON'!$D$114:$AW$114)/1000000/'Assumptions &amp; Inputs'!$L$115*'Assumptions &amp; Inputs'!$L$138, 0)</f>
        <v>0</v>
      </c>
      <c r="H127" s="65">
        <f>IFERROR(_xlfn.XLOOKUP(H$110, 'GEN-CARBON'!$D$110:$AW$110, 'GEN-CARBON'!$D$114:$AW$114)/1000000/'Assumptions &amp; Inputs'!$L$115*'Assumptions &amp; Inputs'!$L$138, 0)</f>
        <v>20.962419689707104</v>
      </c>
      <c r="I127" s="65">
        <f>IFERROR(_xlfn.XLOOKUP(I$110, 'GEN-CARBON'!$D$110:$AW$110, 'GEN-CARBON'!$D$114:$AW$114)/1000000/'Assumptions &amp; Inputs'!$L$115*'Assumptions &amp; Inputs'!$L$138, 0)</f>
        <v>25.071332519251019</v>
      </c>
      <c r="J127" s="65">
        <f>IFERROR(_xlfn.XLOOKUP(J$110, 'GEN-CARBON'!$D$110:$AW$110, 'GEN-CARBON'!$D$114:$AW$114)/1000000/'Assumptions &amp; Inputs'!$L$115*'Assumptions &amp; Inputs'!$L$138, 0)</f>
        <v>25.008654187952896</v>
      </c>
      <c r="K127" s="65">
        <f>IFERROR(_xlfn.XLOOKUP(K$110, 'GEN-CARBON'!$D$110:$AW$110, 'GEN-CARBON'!$D$114:$AW$114)/1000000/'Assumptions &amp; Inputs'!$L$115*'Assumptions &amp; Inputs'!$L$138, 0)</f>
        <v>24.946132552483014</v>
      </c>
      <c r="L127" s="65">
        <f>IFERROR(_xlfn.XLOOKUP(L$110, 'GEN-CARBON'!$D$110:$AW$110, 'GEN-CARBON'!$D$114:$AW$114)/1000000/'Assumptions &amp; Inputs'!$L$115*'Assumptions &amp; Inputs'!$L$138, 0)</f>
        <v>24.883767221101806</v>
      </c>
      <c r="M127" s="65">
        <f>IFERROR(_xlfn.XLOOKUP(M$110, 'GEN-CARBON'!$D$110:$AW$110, 'GEN-CARBON'!$D$114:$AW$114)/1000000/'Assumptions &amp; Inputs'!$L$115*'Assumptions &amp; Inputs'!$L$138, 0)</f>
        <v>24.821557803049057</v>
      </c>
      <c r="N127" s="65">
        <f>IFERROR(_xlfn.XLOOKUP(N$110, 'GEN-CARBON'!$D$110:$AW$110, 'GEN-CARBON'!$D$114:$AW$114)/1000000/'Assumptions &amp; Inputs'!$L$115*'Assumptions &amp; Inputs'!$L$138, 0)</f>
        <v>24.759503908541436</v>
      </c>
      <c r="O127" s="65">
        <f>IFERROR(_xlfn.XLOOKUP(O$110, 'GEN-CARBON'!$D$110:$AW$110, 'GEN-CARBON'!$D$114:$AW$114)/1000000/'Assumptions &amp; Inputs'!$L$115*'Assumptions &amp; Inputs'!$L$138, 0)</f>
        <v>24.69760514877008</v>
      </c>
      <c r="P127" s="65">
        <f>IFERROR(_xlfn.XLOOKUP(P$110, 'GEN-CARBON'!$D$110:$AW$110, 'GEN-CARBON'!$D$114:$AW$114)/1000000/'Assumptions &amp; Inputs'!$L$115*'Assumptions &amp; Inputs'!$L$138, 0)</f>
        <v>24.635861135898161</v>
      </c>
      <c r="Q127" s="65">
        <f>IFERROR(_xlfn.XLOOKUP(Q$110, 'GEN-CARBON'!$D$110:$AW$110, 'GEN-CARBON'!$D$114:$AW$114)/1000000/'Assumptions &amp; Inputs'!$L$115*'Assumptions &amp; Inputs'!$L$138, 0)</f>
        <v>24.574271483058411</v>
      </c>
      <c r="R127" s="65">
        <f>IFERROR(_xlfn.XLOOKUP(R$110, 'GEN-CARBON'!$D$110:$AW$110, 'GEN-CARBON'!$D$114:$AW$114)/1000000/'Assumptions &amp; Inputs'!$L$115*'Assumptions &amp; Inputs'!$L$138, 0)</f>
        <v>24.512835804350765</v>
      </c>
      <c r="S127" s="65">
        <f>IFERROR(_xlfn.XLOOKUP(S$110, 'GEN-CARBON'!$D$110:$AW$110, 'GEN-CARBON'!$D$114:$AW$114)/1000000/'Assumptions &amp; Inputs'!$L$115*'Assumptions &amp; Inputs'!$L$138, 0)</f>
        <v>24.451553714839889</v>
      </c>
      <c r="T127" s="65">
        <f>IFERROR(_xlfn.XLOOKUP(T$110, 'GEN-CARBON'!$D$110:$AW$110, 'GEN-CARBON'!$D$114:$AW$114)/1000000/'Assumptions &amp; Inputs'!$L$115*'Assumptions &amp; Inputs'!$L$138, 0)</f>
        <v>24.390424830552792</v>
      </c>
      <c r="U127" s="65">
        <f>IFERROR(_xlfn.XLOOKUP(U$110, 'GEN-CARBON'!$D$110:$AW$110, 'GEN-CARBON'!$D$114:$AW$114)/1000000/'Assumptions &amp; Inputs'!$L$115*'Assumptions &amp; Inputs'!$L$138, 0)</f>
        <v>24.329448768476411</v>
      </c>
      <c r="V127" s="65">
        <f>IFERROR(_xlfn.XLOOKUP(V$110, 'GEN-CARBON'!$D$110:$AW$110, 'GEN-CARBON'!$D$114:$AW$114)/1000000/'Assumptions &amp; Inputs'!$L$115*'Assumptions &amp; Inputs'!$L$138, 0)</f>
        <v>24.26862514655522</v>
      </c>
      <c r="W127" s="65">
        <f>IFERROR(_xlfn.XLOOKUP(W$110, 'GEN-CARBON'!$D$110:$AW$110, 'GEN-CARBON'!$D$114:$AW$114)/1000000/'Assumptions &amp; Inputs'!$L$115*'Assumptions &amp; Inputs'!$L$138, 0)</f>
        <v>24.20795358368883</v>
      </c>
      <c r="X127" s="65">
        <f>IFERROR(_xlfn.XLOOKUP(X$110, 'GEN-CARBON'!$D$110:$AW$110, 'GEN-CARBON'!$D$114:$AW$114)/1000000/'Assumptions &amp; Inputs'!$L$115*'Assumptions &amp; Inputs'!$L$138, 0)</f>
        <v>24.147433699729614</v>
      </c>
      <c r="Y127" s="65">
        <f>IFERROR(_xlfn.XLOOKUP(Y$110, 'GEN-CARBON'!$D$110:$AW$110, 'GEN-CARBON'!$D$114:$AW$114)/1000000/'Assumptions &amp; Inputs'!$L$115*'Assumptions &amp; Inputs'!$L$138, 0)</f>
        <v>24.087065115480289</v>
      </c>
      <c r="Z127" s="65">
        <f>IFERROR(_xlfn.XLOOKUP(Z$110, 'GEN-CARBON'!$D$110:$AW$110, 'GEN-CARBON'!$D$114:$AW$114)/1000000/'Assumptions &amp; Inputs'!$L$115*'Assumptions &amp; Inputs'!$L$138, 0)</f>
        <v>24.026847452691594</v>
      </c>
      <c r="AA127" s="65">
        <f>IFERROR(_xlfn.XLOOKUP(AA$110, 'GEN-CARBON'!$D$110:$AW$110, 'GEN-CARBON'!$D$114:$AW$114)/1000000/'Assumptions &amp; Inputs'!$L$115*'Assumptions &amp; Inputs'!$L$138, 0)</f>
        <v>23.966780334059859</v>
      </c>
      <c r="AB127" s="65">
        <f>IFERROR(_xlfn.XLOOKUP(AB$110, 'GEN-CARBON'!$D$110:$AW$110, 'GEN-CARBON'!$D$114:$AW$114)/1000000/'Assumptions &amp; Inputs'!$L$115*'Assumptions &amp; Inputs'!$L$138, 0)</f>
        <v>23.906863383224714</v>
      </c>
      <c r="AC127" s="65">
        <f>IFERROR(_xlfn.XLOOKUP(AC$110, 'GEN-CARBON'!$D$110:$AW$110, 'GEN-CARBON'!$D$114:$AW$114)/1000000/'Assumptions &amp; Inputs'!$L$115*'Assumptions &amp; Inputs'!$L$138, 0)</f>
        <v>23.847096224766652</v>
      </c>
      <c r="AD127" s="65">
        <f>IFERROR(_xlfn.XLOOKUP(AD$110, 'GEN-CARBON'!$D$110:$AW$110, 'GEN-CARBON'!$D$114:$AW$114)/1000000/'Assumptions &amp; Inputs'!$L$115*'Assumptions &amp; Inputs'!$L$138, 0)</f>
        <v>23.78747848420474</v>
      </c>
      <c r="AE127" s="65">
        <f>IFERROR(_xlfn.XLOOKUP(AE$110, 'GEN-CARBON'!$D$110:$AW$110, 'GEN-CARBON'!$D$114:$AW$114)/1000000/'Assumptions &amp; Inputs'!$L$115*'Assumptions &amp; Inputs'!$L$138, 0)</f>
        <v>23.728009787994228</v>
      </c>
      <c r="AF127" s="65">
        <f>IFERROR(_xlfn.XLOOKUP(AF$110, 'GEN-CARBON'!$D$110:$AW$110, 'GEN-CARBON'!$D$114:$AW$114)/1000000/'Assumptions &amp; Inputs'!$L$115*'Assumptions &amp; Inputs'!$L$138, 0)</f>
        <v>23.668689763524245</v>
      </c>
      <c r="AG127" s="65">
        <f>IFERROR(_xlfn.XLOOKUP(AG$110, 'GEN-CARBON'!$D$110:$AW$110, 'GEN-CARBON'!$D$114:$AW$114)/1000000/'Assumptions &amp; Inputs'!$L$115*'Assumptions &amp; Inputs'!$L$138, 0)</f>
        <v>23.609518039115432</v>
      </c>
      <c r="AH127" s="65">
        <f>IFERROR(_xlfn.XLOOKUP(AH$110, 'GEN-CARBON'!$D$110:$AW$110, 'GEN-CARBON'!$D$114:$AW$114)/1000000/'Assumptions &amp; Inputs'!$L$115*'Assumptions &amp; Inputs'!$L$138, 0)</f>
        <v>0</v>
      </c>
      <c r="AI127" s="65">
        <f>IFERROR(_xlfn.XLOOKUP(AI$110, 'GEN-CARBON'!$D$110:$AW$110, 'GEN-CARBON'!$D$114:$AW$114)/1000000/'Assumptions &amp; Inputs'!$L$115*'Assumptions &amp; Inputs'!$L$138, 0)</f>
        <v>0</v>
      </c>
      <c r="AJ127" s="65">
        <f>IFERROR(_xlfn.XLOOKUP(AJ$110, 'GEN-CARBON'!$D$110:$AW$110, 'GEN-CARBON'!$D$114:$AW$114)/1000000/'Assumptions &amp; Inputs'!$L$115*'Assumptions &amp; Inputs'!$L$138, 0)</f>
        <v>0</v>
      </c>
      <c r="AK127" s="65">
        <f>IFERROR(_xlfn.XLOOKUP(AK$110, 'GEN-CARBON'!$D$110:$AW$110, 'GEN-CARBON'!$D$114:$AW$114)/1000000/'Assumptions &amp; Inputs'!$L$115*'Assumptions &amp; Inputs'!$L$138, 0)</f>
        <v>0</v>
      </c>
      <c r="AL127" s="65">
        <f>IFERROR(_xlfn.XLOOKUP(AL$110, 'GEN-CARBON'!$D$110:$AW$110, 'GEN-CARBON'!$D$114:$AW$114)/1000000/'Assumptions &amp; Inputs'!$L$115*'Assumptions &amp; Inputs'!$L$138, 0)</f>
        <v>0</v>
      </c>
      <c r="AM127" s="65">
        <f>IFERROR(_xlfn.XLOOKUP(AM$110, 'GEN-CARBON'!$D$110:$AW$110, 'GEN-CARBON'!$D$114:$AW$114)/1000000/'Assumptions &amp; Inputs'!$L$115*'Assumptions &amp; Inputs'!$L$138, 0)</f>
        <v>0</v>
      </c>
      <c r="AN127" s="65">
        <f>IFERROR(_xlfn.XLOOKUP(AN$110, 'GEN-CARBON'!$D$110:$AW$110, 'GEN-CARBON'!$D$114:$AW$114)/1000000/'Assumptions &amp; Inputs'!$L$115*'Assumptions &amp; Inputs'!$L$138, 0)</f>
        <v>0</v>
      </c>
      <c r="AO127" s="65">
        <f>IFERROR(_xlfn.XLOOKUP(AO$110, 'GEN-CARBON'!$D$110:$AW$110, 'GEN-CARBON'!$D$114:$AW$114)/1000000/'Assumptions &amp; Inputs'!$L$115*'Assumptions &amp; Inputs'!$L$138, 0)</f>
        <v>0</v>
      </c>
      <c r="AP127" s="65">
        <f>IFERROR(_xlfn.XLOOKUP(AP$110, 'GEN-CARBON'!$D$110:$AW$110, 'GEN-CARBON'!$D$114:$AW$114)/1000000/'Assumptions &amp; Inputs'!$L$115*'Assumptions &amp; Inputs'!$L$138, 0)</f>
        <v>0</v>
      </c>
      <c r="AQ127" s="65">
        <f>IFERROR(_xlfn.XLOOKUP(AQ$110, 'GEN-CARBON'!$D$110:$AW$110, 'GEN-CARBON'!$D$114:$AW$114)/1000000/'Assumptions &amp; Inputs'!$L$115*'Assumptions &amp; Inputs'!$L$138, 0)</f>
        <v>0</v>
      </c>
      <c r="AR127" s="65">
        <f>IFERROR(_xlfn.XLOOKUP(AR$110, 'GEN-CARBON'!$D$110:$AW$110, 'GEN-CARBON'!$D$114:$AW$114)/1000000/'Assumptions &amp; Inputs'!$L$115*'Assumptions &amp; Inputs'!$L$138, 0)</f>
        <v>0</v>
      </c>
      <c r="AS127" s="65">
        <f>IFERROR(_xlfn.XLOOKUP(AS$110, 'GEN-CARBON'!$D$110:$AW$110, 'GEN-CARBON'!$D$114:$AW$114)/1000000/'Assumptions &amp; Inputs'!$L$115*'Assumptions &amp; Inputs'!$L$138, 0)</f>
        <v>0</v>
      </c>
      <c r="AT127" s="65">
        <f>IFERROR(_xlfn.XLOOKUP(AT$110, 'GEN-CARBON'!$D$110:$AW$110, 'GEN-CARBON'!$D$114:$AW$114)/1000000/'Assumptions &amp; Inputs'!$L$115*'Assumptions &amp; Inputs'!$L$138, 0)</f>
        <v>0</v>
      </c>
      <c r="AU127" s="65">
        <f>IFERROR(_xlfn.XLOOKUP(AU$110, 'GEN-CARBON'!$D$110:$AW$110, 'GEN-CARBON'!$D$114:$AW$114)/1000000/'Assumptions &amp; Inputs'!$L$115*'Assumptions &amp; Inputs'!$L$138, 0)</f>
        <v>0</v>
      </c>
      <c r="AV127" s="65">
        <f>IFERROR(_xlfn.XLOOKUP(AV$110, 'GEN-CARBON'!$D$110:$AW$110, 'GEN-CARBON'!$D$114:$AW$114)/1000000/'Assumptions &amp; Inputs'!$L$115*'Assumptions &amp; Inputs'!$L$138, 0)</f>
        <v>0</v>
      </c>
      <c r="AW127" s="65">
        <f>IFERROR(_xlfn.XLOOKUP(AW$110, 'GEN-CARBON'!$D$110:$AW$110, 'GEN-CARBON'!$D$114:$AW$114)/1000000/'Assumptions &amp; Inputs'!$L$115*'Assumptions &amp; Inputs'!$L$138, 0)</f>
        <v>0</v>
      </c>
    </row>
    <row r="128" spans="3:49" ht="14.25" customHeight="1">
      <c r="C128" s="44" t="s">
        <v>546</v>
      </c>
      <c r="D128" s="65">
        <f>IFERROR(IF((D120-_xlfn.XLOOKUP(D$110, 'GEN-CARBON'!$D$110:$AW$110, 'GEN-CARBON'!$D$114:$AW$114)/1000000/'Assumptions &amp; Inputs'!$L$115)&lt;0, 0, (D120-_xlfn.XLOOKUP(D$110, 'GEN-CARBON'!$D$110:$AW$110, 'GEN-CARBON'!$D$114:$AW$114)/1000000/'Assumptions &amp; Inputs'!$L$115)*'Assumptions &amp; Inputs'!$L$139), 0)</f>
        <v>0</v>
      </c>
      <c r="E128" s="65">
        <f>IFERROR(IF((E120-_xlfn.XLOOKUP(E$110, 'GEN-CARBON'!$D$110:$AW$110, 'GEN-CARBON'!$D$114:$AW$114)/1000000/'Assumptions &amp; Inputs'!$L$115)&lt;0, 0, (E120-_xlfn.XLOOKUP(E$110, 'GEN-CARBON'!$D$110:$AW$110, 'GEN-CARBON'!$D$114:$AW$114)/1000000/'Assumptions &amp; Inputs'!$L$115)*'Assumptions &amp; Inputs'!$L$139), 0)</f>
        <v>2.3989443455497379</v>
      </c>
      <c r="F128" s="65">
        <f>IFERROR(IF((F120-_xlfn.XLOOKUP(F$110, 'GEN-CARBON'!$D$110:$AW$110, 'GEN-CARBON'!$D$114:$AW$114)/1000000/'Assumptions &amp; Inputs'!$L$115)&lt;0, 0, (F120-_xlfn.XLOOKUP(F$110, 'GEN-CARBON'!$D$110:$AW$110, 'GEN-CARBON'!$D$114:$AW$114)/1000000/'Assumptions &amp; Inputs'!$L$115)*'Assumptions &amp; Inputs'!$L$139), 0)</f>
        <v>3.1985924607329843</v>
      </c>
      <c r="G128" s="65">
        <f>IFERROR(IF((G120-_xlfn.XLOOKUP(G$110, 'GEN-CARBON'!$D$110:$AW$110, 'GEN-CARBON'!$D$114:$AW$114)/1000000/'Assumptions &amp; Inputs'!$L$115)&lt;0, 0, (G120-_xlfn.XLOOKUP(G$110, 'GEN-CARBON'!$D$110:$AW$110, 'GEN-CARBON'!$D$114:$AW$114)/1000000/'Assumptions &amp; Inputs'!$L$115)*'Assumptions &amp; Inputs'!$L$139), 0)</f>
        <v>3.1985924607329843</v>
      </c>
      <c r="H128" s="65">
        <f>IFERROR(IF((H120-_xlfn.XLOOKUP(H$110, 'GEN-CARBON'!$D$110:$AW$110, 'GEN-CARBON'!$D$114:$AW$114)/1000000/'Assumptions &amp; Inputs'!$L$115)&lt;0, 0, (H120-_xlfn.XLOOKUP(H$110, 'GEN-CARBON'!$D$110:$AW$110, 'GEN-CARBON'!$D$114:$AW$114)/1000000/'Assumptions &amp; Inputs'!$L$115)*'Assumptions &amp; Inputs'!$L$139), 0)</f>
        <v>0</v>
      </c>
      <c r="I128" s="65">
        <f>IFERROR(IF((I120-_xlfn.XLOOKUP(I$110, 'GEN-CARBON'!$D$110:$AW$110, 'GEN-CARBON'!$D$114:$AW$114)/1000000/'Assumptions &amp; Inputs'!$L$115)&lt;0, 0, (I120-_xlfn.XLOOKUP(I$110, 'GEN-CARBON'!$D$110:$AW$110, 'GEN-CARBON'!$D$114:$AW$114)/1000000/'Assumptions &amp; Inputs'!$L$115)*'Assumptions &amp; Inputs'!$L$139), 0)</f>
        <v>0</v>
      </c>
      <c r="J128" s="65">
        <f>IFERROR(IF((J120-_xlfn.XLOOKUP(J$110, 'GEN-CARBON'!$D$110:$AW$110, 'GEN-CARBON'!$D$114:$AW$114)/1000000/'Assumptions &amp; Inputs'!$L$115)&lt;0, 0, (J120-_xlfn.XLOOKUP(J$110, 'GEN-CARBON'!$D$110:$AW$110, 'GEN-CARBON'!$D$114:$AW$114)/1000000/'Assumptions &amp; Inputs'!$L$115)*'Assumptions &amp; Inputs'!$L$139), 0)</f>
        <v>0</v>
      </c>
      <c r="K128" s="65">
        <f>IFERROR(IF((K120-_xlfn.XLOOKUP(K$110, 'GEN-CARBON'!$D$110:$AW$110, 'GEN-CARBON'!$D$114:$AW$114)/1000000/'Assumptions &amp; Inputs'!$L$115)&lt;0, 0, (K120-_xlfn.XLOOKUP(K$110, 'GEN-CARBON'!$D$110:$AW$110, 'GEN-CARBON'!$D$114:$AW$114)/1000000/'Assumptions &amp; Inputs'!$L$115)*'Assumptions &amp; Inputs'!$L$139), 0)</f>
        <v>0</v>
      </c>
      <c r="L128" s="65">
        <f>IFERROR(IF((L120-_xlfn.XLOOKUP(L$110, 'GEN-CARBON'!$D$110:$AW$110, 'GEN-CARBON'!$D$114:$AW$114)/1000000/'Assumptions &amp; Inputs'!$L$115)&lt;0, 0, (L120-_xlfn.XLOOKUP(L$110, 'GEN-CARBON'!$D$110:$AW$110, 'GEN-CARBON'!$D$114:$AW$114)/1000000/'Assumptions &amp; Inputs'!$L$115)*'Assumptions &amp; Inputs'!$L$139), 0)</f>
        <v>0</v>
      </c>
      <c r="M128" s="65">
        <f>IFERROR(IF((M120-_xlfn.XLOOKUP(M$110, 'GEN-CARBON'!$D$110:$AW$110, 'GEN-CARBON'!$D$114:$AW$114)/1000000/'Assumptions &amp; Inputs'!$L$115)&lt;0, 0, (M120-_xlfn.XLOOKUP(M$110, 'GEN-CARBON'!$D$110:$AW$110, 'GEN-CARBON'!$D$114:$AW$114)/1000000/'Assumptions &amp; Inputs'!$L$115)*'Assumptions &amp; Inputs'!$L$139), 0)</f>
        <v>0</v>
      </c>
      <c r="N128" s="65">
        <f>IFERROR(IF((N120-_xlfn.XLOOKUP(N$110, 'GEN-CARBON'!$D$110:$AW$110, 'GEN-CARBON'!$D$114:$AW$114)/1000000/'Assumptions &amp; Inputs'!$L$115)&lt;0, 0, (N120-_xlfn.XLOOKUP(N$110, 'GEN-CARBON'!$D$110:$AW$110, 'GEN-CARBON'!$D$114:$AW$114)/1000000/'Assumptions &amp; Inputs'!$L$115)*'Assumptions &amp; Inputs'!$L$139), 0)</f>
        <v>0</v>
      </c>
      <c r="O128" s="65">
        <f>IFERROR(IF((O120-_xlfn.XLOOKUP(O$110, 'GEN-CARBON'!$D$110:$AW$110, 'GEN-CARBON'!$D$114:$AW$114)/1000000/'Assumptions &amp; Inputs'!$L$115)&lt;0, 0, (O120-_xlfn.XLOOKUP(O$110, 'GEN-CARBON'!$D$110:$AW$110, 'GEN-CARBON'!$D$114:$AW$114)/1000000/'Assumptions &amp; Inputs'!$L$115)*'Assumptions &amp; Inputs'!$L$139), 0)</f>
        <v>0</v>
      </c>
      <c r="P128" s="65">
        <f>IFERROR(IF((P120-_xlfn.XLOOKUP(P$110, 'GEN-CARBON'!$D$110:$AW$110, 'GEN-CARBON'!$D$114:$AW$114)/1000000/'Assumptions &amp; Inputs'!$L$115)&lt;0, 0, (P120-_xlfn.XLOOKUP(P$110, 'GEN-CARBON'!$D$110:$AW$110, 'GEN-CARBON'!$D$114:$AW$114)/1000000/'Assumptions &amp; Inputs'!$L$115)*'Assumptions &amp; Inputs'!$L$139), 0)</f>
        <v>0</v>
      </c>
      <c r="Q128" s="65">
        <f>IFERROR(IF((Q120-_xlfn.XLOOKUP(Q$110, 'GEN-CARBON'!$D$110:$AW$110, 'GEN-CARBON'!$D$114:$AW$114)/1000000/'Assumptions &amp; Inputs'!$L$115)&lt;0, 0, (Q120-_xlfn.XLOOKUP(Q$110, 'GEN-CARBON'!$D$110:$AW$110, 'GEN-CARBON'!$D$114:$AW$114)/1000000/'Assumptions &amp; Inputs'!$L$115)*'Assumptions &amp; Inputs'!$L$139), 0)</f>
        <v>0</v>
      </c>
      <c r="R128" s="65">
        <f>IFERROR(IF((R120-_xlfn.XLOOKUP(R$110, 'GEN-CARBON'!$D$110:$AW$110, 'GEN-CARBON'!$D$114:$AW$114)/1000000/'Assumptions &amp; Inputs'!$L$115)&lt;0, 0, (R120-_xlfn.XLOOKUP(R$110, 'GEN-CARBON'!$D$110:$AW$110, 'GEN-CARBON'!$D$114:$AW$114)/1000000/'Assumptions &amp; Inputs'!$L$115)*'Assumptions &amp; Inputs'!$L$139), 0)</f>
        <v>0</v>
      </c>
      <c r="S128" s="65">
        <f>IFERROR(IF((S120-_xlfn.XLOOKUP(S$110, 'GEN-CARBON'!$D$110:$AW$110, 'GEN-CARBON'!$D$114:$AW$114)/1000000/'Assumptions &amp; Inputs'!$L$115)&lt;0, 0, (S120-_xlfn.XLOOKUP(S$110, 'GEN-CARBON'!$D$110:$AW$110, 'GEN-CARBON'!$D$114:$AW$114)/1000000/'Assumptions &amp; Inputs'!$L$115)*'Assumptions &amp; Inputs'!$L$139), 0)</f>
        <v>0</v>
      </c>
      <c r="T128" s="65">
        <f>IFERROR(IF((T120-_xlfn.XLOOKUP(T$110, 'GEN-CARBON'!$D$110:$AW$110, 'GEN-CARBON'!$D$114:$AW$114)/1000000/'Assumptions &amp; Inputs'!$L$115)&lt;0, 0, (T120-_xlfn.XLOOKUP(T$110, 'GEN-CARBON'!$D$110:$AW$110, 'GEN-CARBON'!$D$114:$AW$114)/1000000/'Assumptions &amp; Inputs'!$L$115)*'Assumptions &amp; Inputs'!$L$139), 0)</f>
        <v>0</v>
      </c>
      <c r="U128" s="65">
        <f>IFERROR(IF((U120-_xlfn.XLOOKUP(U$110, 'GEN-CARBON'!$D$110:$AW$110, 'GEN-CARBON'!$D$114:$AW$114)/1000000/'Assumptions &amp; Inputs'!$L$115)&lt;0, 0, (U120-_xlfn.XLOOKUP(U$110, 'GEN-CARBON'!$D$110:$AW$110, 'GEN-CARBON'!$D$114:$AW$114)/1000000/'Assumptions &amp; Inputs'!$L$115)*'Assumptions &amp; Inputs'!$L$139), 0)</f>
        <v>0</v>
      </c>
      <c r="V128" s="65">
        <f>IFERROR(IF((V120-_xlfn.XLOOKUP(V$110, 'GEN-CARBON'!$D$110:$AW$110, 'GEN-CARBON'!$D$114:$AW$114)/1000000/'Assumptions &amp; Inputs'!$L$115)&lt;0, 0, (V120-_xlfn.XLOOKUP(V$110, 'GEN-CARBON'!$D$110:$AW$110, 'GEN-CARBON'!$D$114:$AW$114)/1000000/'Assumptions &amp; Inputs'!$L$115)*'Assumptions &amp; Inputs'!$L$139), 0)</f>
        <v>0</v>
      </c>
      <c r="W128" s="65">
        <f>IFERROR(IF((W120-_xlfn.XLOOKUP(W$110, 'GEN-CARBON'!$D$110:$AW$110, 'GEN-CARBON'!$D$114:$AW$114)/1000000/'Assumptions &amp; Inputs'!$L$115)&lt;0, 0, (W120-_xlfn.XLOOKUP(W$110, 'GEN-CARBON'!$D$110:$AW$110, 'GEN-CARBON'!$D$114:$AW$114)/1000000/'Assumptions &amp; Inputs'!$L$115)*'Assumptions &amp; Inputs'!$L$139), 0)</f>
        <v>0</v>
      </c>
      <c r="X128" s="65">
        <f>IFERROR(IF((X120-_xlfn.XLOOKUP(X$110, 'GEN-CARBON'!$D$110:$AW$110, 'GEN-CARBON'!$D$114:$AW$114)/1000000/'Assumptions &amp; Inputs'!$L$115)&lt;0, 0, (X120-_xlfn.XLOOKUP(X$110, 'GEN-CARBON'!$D$110:$AW$110, 'GEN-CARBON'!$D$114:$AW$114)/1000000/'Assumptions &amp; Inputs'!$L$115)*'Assumptions &amp; Inputs'!$L$139), 0)</f>
        <v>0</v>
      </c>
      <c r="Y128" s="65">
        <f>IFERROR(IF((Y120-_xlfn.XLOOKUP(Y$110, 'GEN-CARBON'!$D$110:$AW$110, 'GEN-CARBON'!$D$114:$AW$114)/1000000/'Assumptions &amp; Inputs'!$L$115)&lt;0, 0, (Y120-_xlfn.XLOOKUP(Y$110, 'GEN-CARBON'!$D$110:$AW$110, 'GEN-CARBON'!$D$114:$AW$114)/1000000/'Assumptions &amp; Inputs'!$L$115)*'Assumptions &amp; Inputs'!$L$139), 0)</f>
        <v>0</v>
      </c>
      <c r="Z128" s="65">
        <f>IFERROR(IF((Z120-_xlfn.XLOOKUP(Z$110, 'GEN-CARBON'!$D$110:$AW$110, 'GEN-CARBON'!$D$114:$AW$114)/1000000/'Assumptions &amp; Inputs'!$L$115)&lt;0, 0, (Z120-_xlfn.XLOOKUP(Z$110, 'GEN-CARBON'!$D$110:$AW$110, 'GEN-CARBON'!$D$114:$AW$114)/1000000/'Assumptions &amp; Inputs'!$L$115)*'Assumptions &amp; Inputs'!$L$139), 0)</f>
        <v>0</v>
      </c>
      <c r="AA128" s="65">
        <f>IFERROR(IF((AA120-_xlfn.XLOOKUP(AA$110, 'GEN-CARBON'!$D$110:$AW$110, 'GEN-CARBON'!$D$114:$AW$114)/1000000/'Assumptions &amp; Inputs'!$L$115)&lt;0, 0, (AA120-_xlfn.XLOOKUP(AA$110, 'GEN-CARBON'!$D$110:$AW$110, 'GEN-CARBON'!$D$114:$AW$114)/1000000/'Assumptions &amp; Inputs'!$L$115)*'Assumptions &amp; Inputs'!$L$139), 0)</f>
        <v>0</v>
      </c>
      <c r="AB128" s="65">
        <f>IFERROR(IF((AB120-_xlfn.XLOOKUP(AB$110, 'GEN-CARBON'!$D$110:$AW$110, 'GEN-CARBON'!$D$114:$AW$114)/1000000/'Assumptions &amp; Inputs'!$L$115)&lt;0, 0, (AB120-_xlfn.XLOOKUP(AB$110, 'GEN-CARBON'!$D$110:$AW$110, 'GEN-CARBON'!$D$114:$AW$114)/1000000/'Assumptions &amp; Inputs'!$L$115)*'Assumptions &amp; Inputs'!$L$139), 0)</f>
        <v>0</v>
      </c>
      <c r="AC128" s="65">
        <f>IFERROR(IF((AC120-_xlfn.XLOOKUP(AC$110, 'GEN-CARBON'!$D$110:$AW$110, 'GEN-CARBON'!$D$114:$AW$114)/1000000/'Assumptions &amp; Inputs'!$L$115)&lt;0, 0, (AC120-_xlfn.XLOOKUP(AC$110, 'GEN-CARBON'!$D$110:$AW$110, 'GEN-CARBON'!$D$114:$AW$114)/1000000/'Assumptions &amp; Inputs'!$L$115)*'Assumptions &amp; Inputs'!$L$139), 0)</f>
        <v>0</v>
      </c>
      <c r="AD128" s="65">
        <f>IFERROR(IF((AD120-_xlfn.XLOOKUP(AD$110, 'GEN-CARBON'!$D$110:$AW$110, 'GEN-CARBON'!$D$114:$AW$114)/1000000/'Assumptions &amp; Inputs'!$L$115)&lt;0, 0, (AD120-_xlfn.XLOOKUP(AD$110, 'GEN-CARBON'!$D$110:$AW$110, 'GEN-CARBON'!$D$114:$AW$114)/1000000/'Assumptions &amp; Inputs'!$L$115)*'Assumptions &amp; Inputs'!$L$139), 0)</f>
        <v>0</v>
      </c>
      <c r="AE128" s="65">
        <f>IFERROR(IF((AE120-_xlfn.XLOOKUP(AE$110, 'GEN-CARBON'!$D$110:$AW$110, 'GEN-CARBON'!$D$114:$AW$114)/1000000/'Assumptions &amp; Inputs'!$L$115)&lt;0, 0, (AE120-_xlfn.XLOOKUP(AE$110, 'GEN-CARBON'!$D$110:$AW$110, 'GEN-CARBON'!$D$114:$AW$114)/1000000/'Assumptions &amp; Inputs'!$L$115)*'Assumptions &amp; Inputs'!$L$139), 0)</f>
        <v>0</v>
      </c>
      <c r="AF128" s="65">
        <f>IFERROR(IF((AF120-_xlfn.XLOOKUP(AF$110, 'GEN-CARBON'!$D$110:$AW$110, 'GEN-CARBON'!$D$114:$AW$114)/1000000/'Assumptions &amp; Inputs'!$L$115)&lt;0, 0, (AF120-_xlfn.XLOOKUP(AF$110, 'GEN-CARBON'!$D$110:$AW$110, 'GEN-CARBON'!$D$114:$AW$114)/1000000/'Assumptions &amp; Inputs'!$L$115)*'Assumptions &amp; Inputs'!$L$139), 0)</f>
        <v>0</v>
      </c>
      <c r="AG128" s="65">
        <f>IFERROR(IF((AG120-_xlfn.XLOOKUP(AG$110, 'GEN-CARBON'!$D$110:$AW$110, 'GEN-CARBON'!$D$114:$AW$114)/1000000/'Assumptions &amp; Inputs'!$L$115)&lt;0, 0, (AG120-_xlfn.XLOOKUP(AG$110, 'GEN-CARBON'!$D$110:$AW$110, 'GEN-CARBON'!$D$114:$AW$114)/1000000/'Assumptions &amp; Inputs'!$L$115)*'Assumptions &amp; Inputs'!$L$139), 0)</f>
        <v>0</v>
      </c>
      <c r="AH128" s="65">
        <f>IFERROR(IF((AH120-_xlfn.XLOOKUP(AH$110, 'GEN-CARBON'!$D$110:$AW$110, 'GEN-CARBON'!$D$114:$AW$114)/1000000/'Assumptions &amp; Inputs'!$L$115)&lt;0, 0, (AH120-_xlfn.XLOOKUP(AH$110, 'GEN-CARBON'!$D$110:$AW$110, 'GEN-CARBON'!$D$114:$AW$114)/1000000/'Assumptions &amp; Inputs'!$L$115)*'Assumptions &amp; Inputs'!$L$139), 0)</f>
        <v>0</v>
      </c>
      <c r="AI128" s="65">
        <f>IFERROR(IF((AI120-_xlfn.XLOOKUP(AI$110, 'GEN-CARBON'!$D$110:$AW$110, 'GEN-CARBON'!$D$114:$AW$114)/1000000/'Assumptions &amp; Inputs'!$L$115)&lt;0, 0, (AI120-_xlfn.XLOOKUP(AI$110, 'GEN-CARBON'!$D$110:$AW$110, 'GEN-CARBON'!$D$114:$AW$114)/1000000/'Assumptions &amp; Inputs'!$L$115)*'Assumptions &amp; Inputs'!$L$139), 0)</f>
        <v>0</v>
      </c>
      <c r="AJ128" s="65">
        <f>IFERROR(IF((AJ120-_xlfn.XLOOKUP(AJ$110, 'GEN-CARBON'!$D$110:$AW$110, 'GEN-CARBON'!$D$114:$AW$114)/1000000/'Assumptions &amp; Inputs'!$L$115)&lt;0, 0, (AJ120-_xlfn.XLOOKUP(AJ$110, 'GEN-CARBON'!$D$110:$AW$110, 'GEN-CARBON'!$D$114:$AW$114)/1000000/'Assumptions &amp; Inputs'!$L$115)*'Assumptions &amp; Inputs'!$L$139), 0)</f>
        <v>0</v>
      </c>
      <c r="AK128" s="65">
        <f>IFERROR(IF((AK120-_xlfn.XLOOKUP(AK$110, 'GEN-CARBON'!$D$110:$AW$110, 'GEN-CARBON'!$D$114:$AW$114)/1000000/'Assumptions &amp; Inputs'!$L$115)&lt;0, 0, (AK120-_xlfn.XLOOKUP(AK$110, 'GEN-CARBON'!$D$110:$AW$110, 'GEN-CARBON'!$D$114:$AW$114)/1000000/'Assumptions &amp; Inputs'!$L$115)*'Assumptions &amp; Inputs'!$L$139), 0)</f>
        <v>0</v>
      </c>
      <c r="AL128" s="65">
        <f>IFERROR(IF((AL120-_xlfn.XLOOKUP(AL$110, 'GEN-CARBON'!$D$110:$AW$110, 'GEN-CARBON'!$D$114:$AW$114)/1000000/'Assumptions &amp; Inputs'!$L$115)&lt;0, 0, (AL120-_xlfn.XLOOKUP(AL$110, 'GEN-CARBON'!$D$110:$AW$110, 'GEN-CARBON'!$D$114:$AW$114)/1000000/'Assumptions &amp; Inputs'!$L$115)*'Assumptions &amp; Inputs'!$L$139), 0)</f>
        <v>0</v>
      </c>
      <c r="AM128" s="65">
        <f>IFERROR(IF((AM120-_xlfn.XLOOKUP(AM$110, 'GEN-CARBON'!$D$110:$AW$110, 'GEN-CARBON'!$D$114:$AW$114)/1000000/'Assumptions &amp; Inputs'!$L$115)&lt;0, 0, (AM120-_xlfn.XLOOKUP(AM$110, 'GEN-CARBON'!$D$110:$AW$110, 'GEN-CARBON'!$D$114:$AW$114)/1000000/'Assumptions &amp; Inputs'!$L$115)*'Assumptions &amp; Inputs'!$L$139), 0)</f>
        <v>0</v>
      </c>
      <c r="AN128" s="65">
        <f>IFERROR(IF((AN120-_xlfn.XLOOKUP(AN$110, 'GEN-CARBON'!$D$110:$AW$110, 'GEN-CARBON'!$D$114:$AW$114)/1000000/'Assumptions &amp; Inputs'!$L$115)&lt;0, 0, (AN120-_xlfn.XLOOKUP(AN$110, 'GEN-CARBON'!$D$110:$AW$110, 'GEN-CARBON'!$D$114:$AW$114)/1000000/'Assumptions &amp; Inputs'!$L$115)*'Assumptions &amp; Inputs'!$L$139), 0)</f>
        <v>0</v>
      </c>
      <c r="AO128" s="65">
        <f>IFERROR(IF((AO120-_xlfn.XLOOKUP(AO$110, 'GEN-CARBON'!$D$110:$AW$110, 'GEN-CARBON'!$D$114:$AW$114)/1000000/'Assumptions &amp; Inputs'!$L$115)&lt;0, 0, (AO120-_xlfn.XLOOKUP(AO$110, 'GEN-CARBON'!$D$110:$AW$110, 'GEN-CARBON'!$D$114:$AW$114)/1000000/'Assumptions &amp; Inputs'!$L$115)*'Assumptions &amp; Inputs'!$L$139), 0)</f>
        <v>0</v>
      </c>
      <c r="AP128" s="65">
        <f>IFERROR(IF((AP120-_xlfn.XLOOKUP(AP$110, 'GEN-CARBON'!$D$110:$AW$110, 'GEN-CARBON'!$D$114:$AW$114)/1000000/'Assumptions &amp; Inputs'!$L$115)&lt;0, 0, (AP120-_xlfn.XLOOKUP(AP$110, 'GEN-CARBON'!$D$110:$AW$110, 'GEN-CARBON'!$D$114:$AW$114)/1000000/'Assumptions &amp; Inputs'!$L$115)*'Assumptions &amp; Inputs'!$L$139), 0)</f>
        <v>0</v>
      </c>
      <c r="AQ128" s="65">
        <f>IFERROR(IF((AQ120-_xlfn.XLOOKUP(AQ$110, 'GEN-CARBON'!$D$110:$AW$110, 'GEN-CARBON'!$D$114:$AW$114)/1000000/'Assumptions &amp; Inputs'!$L$115)&lt;0, 0, (AQ120-_xlfn.XLOOKUP(AQ$110, 'GEN-CARBON'!$D$110:$AW$110, 'GEN-CARBON'!$D$114:$AW$114)/1000000/'Assumptions &amp; Inputs'!$L$115)*'Assumptions &amp; Inputs'!$L$139), 0)</f>
        <v>0</v>
      </c>
      <c r="AR128" s="65">
        <f>IFERROR(IF((AR120-_xlfn.XLOOKUP(AR$110, 'GEN-CARBON'!$D$110:$AW$110, 'GEN-CARBON'!$D$114:$AW$114)/1000000/'Assumptions &amp; Inputs'!$L$115)&lt;0, 0, (AR120-_xlfn.XLOOKUP(AR$110, 'GEN-CARBON'!$D$110:$AW$110, 'GEN-CARBON'!$D$114:$AW$114)/1000000/'Assumptions &amp; Inputs'!$L$115)*'Assumptions &amp; Inputs'!$L$139), 0)</f>
        <v>0</v>
      </c>
      <c r="AS128" s="65">
        <f>IFERROR(IF((AS120-_xlfn.XLOOKUP(AS$110, 'GEN-CARBON'!$D$110:$AW$110, 'GEN-CARBON'!$D$114:$AW$114)/1000000/'Assumptions &amp; Inputs'!$L$115)&lt;0, 0, (AS120-_xlfn.XLOOKUP(AS$110, 'GEN-CARBON'!$D$110:$AW$110, 'GEN-CARBON'!$D$114:$AW$114)/1000000/'Assumptions &amp; Inputs'!$L$115)*'Assumptions &amp; Inputs'!$L$139), 0)</f>
        <v>0</v>
      </c>
      <c r="AT128" s="65">
        <f>IFERROR(IF((AT120-_xlfn.XLOOKUP(AT$110, 'GEN-CARBON'!$D$110:$AW$110, 'GEN-CARBON'!$D$114:$AW$114)/1000000/'Assumptions &amp; Inputs'!$L$115)&lt;0, 0, (AT120-_xlfn.XLOOKUP(AT$110, 'GEN-CARBON'!$D$110:$AW$110, 'GEN-CARBON'!$D$114:$AW$114)/1000000/'Assumptions &amp; Inputs'!$L$115)*'Assumptions &amp; Inputs'!$L$139), 0)</f>
        <v>0</v>
      </c>
      <c r="AU128" s="65">
        <f>IFERROR(IF((AU120-_xlfn.XLOOKUP(AU$110, 'GEN-CARBON'!$D$110:$AW$110, 'GEN-CARBON'!$D$114:$AW$114)/1000000/'Assumptions &amp; Inputs'!$L$115)&lt;0, 0, (AU120-_xlfn.XLOOKUP(AU$110, 'GEN-CARBON'!$D$110:$AW$110, 'GEN-CARBON'!$D$114:$AW$114)/1000000/'Assumptions &amp; Inputs'!$L$115)*'Assumptions &amp; Inputs'!$L$139), 0)</f>
        <v>0</v>
      </c>
      <c r="AV128" s="65">
        <f>IFERROR(IF((AV120-_xlfn.XLOOKUP(AV$110, 'GEN-CARBON'!$D$110:$AW$110, 'GEN-CARBON'!$D$114:$AW$114)/1000000/'Assumptions &amp; Inputs'!$L$115)&lt;0, 0, (AV120-_xlfn.XLOOKUP(AV$110, 'GEN-CARBON'!$D$110:$AW$110, 'GEN-CARBON'!$D$114:$AW$114)/1000000/'Assumptions &amp; Inputs'!$L$115)*'Assumptions &amp; Inputs'!$L$139), 0)</f>
        <v>0</v>
      </c>
      <c r="AW128" s="65">
        <f>IFERROR(IF((AW120-_xlfn.XLOOKUP(AW$110, 'GEN-CARBON'!$D$110:$AW$110, 'GEN-CARBON'!$D$114:$AW$114)/1000000/'Assumptions &amp; Inputs'!$L$115)&lt;0, 0, (AW120-_xlfn.XLOOKUP(AW$110, 'GEN-CARBON'!$D$110:$AW$110, 'GEN-CARBON'!$D$114:$AW$114)/1000000/'Assumptions &amp; Inputs'!$L$115)*'Assumptions &amp; Inputs'!$L$139), 0)</f>
        <v>0</v>
      </c>
    </row>
    <row r="129" spans="3:49" ht="14.25" customHeight="1">
      <c r="C129" s="44" t="s">
        <v>547</v>
      </c>
      <c r="D129" s="65">
        <f>D$118*'Assumptions &amp; Inputs'!$L147*(1+'Assumptions &amp; Inputs'!$L$21)^D108</f>
        <v>0</v>
      </c>
      <c r="E129" s="65">
        <f>E$118*'Assumptions &amp; Inputs'!$L147*(1+'Assumptions &amp; Inputs'!$L$21)^E108</f>
        <v>182.09987939154931</v>
      </c>
      <c r="F129" s="65">
        <f>F$118*'Assumptions &amp; Inputs'!$L147*(1+'Assumptions &amp; Inputs'!$L$21)^F108</f>
        <v>247.65583597250705</v>
      </c>
      <c r="G129" s="65">
        <f>G$118*'Assumptions &amp; Inputs'!$L147*(1+'Assumptions &amp; Inputs'!$L$21)^G108</f>
        <v>252.60895269195717</v>
      </c>
      <c r="H129" s="65">
        <f>H$118*'Assumptions &amp; Inputs'!$L147*(1+'Assumptions &amp; Inputs'!$L$21)^H108</f>
        <v>257.66113174579635</v>
      </c>
      <c r="I129" s="65">
        <f>I$118*'Assumptions &amp; Inputs'!$L147*(1+'Assumptions &amp; Inputs'!$L$21)^I108</f>
        <v>262.81435438071225</v>
      </c>
      <c r="J129" s="65">
        <f>J$118*'Assumptions &amp; Inputs'!$L147*(1+'Assumptions &amp; Inputs'!$L$21)^J108</f>
        <v>268.07064146832653</v>
      </c>
      <c r="K129" s="65">
        <f>K$118*'Assumptions &amp; Inputs'!$L147*(1+'Assumptions &amp; Inputs'!$L$21)^K108</f>
        <v>273.43205429769301</v>
      </c>
      <c r="L129" s="65">
        <f>L$118*'Assumptions &amp; Inputs'!$L147*(1+'Assumptions &amp; Inputs'!$L$21)^L108</f>
        <v>278.90069538364691</v>
      </c>
      <c r="M129" s="65">
        <f>M$118*'Assumptions &amp; Inputs'!$L147*(1+'Assumptions &amp; Inputs'!$L$21)^M108</f>
        <v>284.47870929131983</v>
      </c>
      <c r="N129" s="65">
        <f>N$118*'Assumptions &amp; Inputs'!$L147*(1+'Assumptions &amp; Inputs'!$L$21)^N108</f>
        <v>290.16828347714625</v>
      </c>
      <c r="O129" s="65">
        <f>O$118*'Assumptions &amp; Inputs'!$L147*(1+'Assumptions &amp; Inputs'!$L$21)^O108</f>
        <v>295.97164914668912</v>
      </c>
      <c r="P129" s="65">
        <f>P$118*'Assumptions &amp; Inputs'!$L147*(1+'Assumptions &amp; Inputs'!$L$21)^P108</f>
        <v>301.89108212962293</v>
      </c>
      <c r="Q129" s="65">
        <f>Q$118*'Assumptions &amp; Inputs'!$L147*(1+'Assumptions &amp; Inputs'!$L$21)^Q108</f>
        <v>307.92890377221539</v>
      </c>
      <c r="R129" s="65">
        <f>R$118*'Assumptions &amp; Inputs'!$L147*(1+'Assumptions &amp; Inputs'!$L$21)^R108</f>
        <v>314.08748184765972</v>
      </c>
      <c r="S129" s="65">
        <f>S$118*'Assumptions &amp; Inputs'!$L147*(1+'Assumptions &amp; Inputs'!$L$21)^S108</f>
        <v>320.36923148461284</v>
      </c>
      <c r="T129" s="65">
        <f>T$118*'Assumptions &amp; Inputs'!$L147*(1+'Assumptions &amp; Inputs'!$L$21)^T108</f>
        <v>326.77661611430511</v>
      </c>
      <c r="U129" s="65">
        <f>U$118*'Assumptions &amp; Inputs'!$L147*(1+'Assumptions &amp; Inputs'!$L$21)^U108</f>
        <v>333.31214843659126</v>
      </c>
      <c r="V129" s="65">
        <f>V$118*'Assumptions &amp; Inputs'!$L147*(1+'Assumptions &amp; Inputs'!$L$21)^V108</f>
        <v>339.97839140532307</v>
      </c>
      <c r="W129" s="65">
        <f>W$118*'Assumptions &amp; Inputs'!$L147*(1+'Assumptions &amp; Inputs'!$L$21)^W108</f>
        <v>346.7779592334295</v>
      </c>
      <c r="X129" s="65">
        <f>X$118*'Assumptions &amp; Inputs'!$L147*(1+'Assumptions &amp; Inputs'!$L$21)^X108</f>
        <v>353.71351841809809</v>
      </c>
      <c r="Y129" s="65">
        <f>Y$118*'Assumptions &amp; Inputs'!$L147*(1+'Assumptions &amp; Inputs'!$L$21)^Y108</f>
        <v>360.78778878646006</v>
      </c>
      <c r="Z129" s="65">
        <f>Z$118*'Assumptions &amp; Inputs'!$L147*(1+'Assumptions &amp; Inputs'!$L$21)^Z108</f>
        <v>368.00354456218929</v>
      </c>
      <c r="AA129" s="65">
        <f>AA$118*'Assumptions &amp; Inputs'!$L147*(1+'Assumptions &amp; Inputs'!$L$21)^AA108</f>
        <v>375.363615453433</v>
      </c>
      <c r="AB129" s="65">
        <f>AB$118*'Assumptions &amp; Inputs'!$L147*(1+'Assumptions &amp; Inputs'!$L$21)^AB108</f>
        <v>382.8708877625017</v>
      </c>
      <c r="AC129" s="65">
        <f>AC$118*'Assumptions &amp; Inputs'!$L147*(1+'Assumptions &amp; Inputs'!$L$21)^AC108</f>
        <v>390.52830551775168</v>
      </c>
      <c r="AD129" s="65">
        <f>AD$118*'Assumptions &amp; Inputs'!$L147*(1+'Assumptions &amp; Inputs'!$L$21)^AD108</f>
        <v>398.3388716281068</v>
      </c>
      <c r="AE129" s="65">
        <f>AE$118*'Assumptions &amp; Inputs'!$L147*(1+'Assumptions &amp; Inputs'!$L$21)^AE108</f>
        <v>0</v>
      </c>
      <c r="AF129" s="65">
        <f>AF$118*'Assumptions &amp; Inputs'!$L147*(1+'Assumptions &amp; Inputs'!$L$21)^AF108</f>
        <v>0</v>
      </c>
      <c r="AG129" s="65">
        <f>AG$118*'Assumptions &amp; Inputs'!$L147*(1+'Assumptions &amp; Inputs'!$L$21)^AG108</f>
        <v>0</v>
      </c>
      <c r="AH129" s="65">
        <f>AH$118*'Assumptions &amp; Inputs'!$L147*(1+'Assumptions &amp; Inputs'!$L$21)^AH108</f>
        <v>0</v>
      </c>
      <c r="AI129" s="65">
        <f>AI$118*'Assumptions &amp; Inputs'!$L147*(1+'Assumptions &amp; Inputs'!$L$21)^AI108</f>
        <v>0</v>
      </c>
      <c r="AJ129" s="65">
        <f>AJ$118*'Assumptions &amp; Inputs'!$L147*(1+'Assumptions &amp; Inputs'!$L$21)^AJ108</f>
        <v>0</v>
      </c>
      <c r="AK129" s="65">
        <f>AK$118*'Assumptions &amp; Inputs'!$L147*(1+'Assumptions &amp; Inputs'!$L$21)^AK108</f>
        <v>0</v>
      </c>
      <c r="AL129" s="65">
        <f>AL$118*'Assumptions &amp; Inputs'!$L147*(1+'Assumptions &amp; Inputs'!$L$21)^AL108</f>
        <v>0</v>
      </c>
      <c r="AM129" s="65">
        <f>AM$118*'Assumptions &amp; Inputs'!$L147*(1+'Assumptions &amp; Inputs'!$L$21)^AM108</f>
        <v>0</v>
      </c>
      <c r="AN129" s="65">
        <f>AN$118*'Assumptions &amp; Inputs'!$L147*(1+'Assumptions &amp; Inputs'!$L$21)^AN108</f>
        <v>0</v>
      </c>
      <c r="AO129" s="65">
        <f>AO$118*'Assumptions &amp; Inputs'!$L147*(1+'Assumptions &amp; Inputs'!$L$21)^AO108</f>
        <v>0</v>
      </c>
      <c r="AP129" s="65">
        <f>AP$118*'Assumptions &amp; Inputs'!$L147*(1+'Assumptions &amp; Inputs'!$L$21)^AP108</f>
        <v>0</v>
      </c>
      <c r="AQ129" s="65">
        <f>AQ$118*'Assumptions &amp; Inputs'!$L147*(1+'Assumptions &amp; Inputs'!$L$21)^AQ108</f>
        <v>0</v>
      </c>
      <c r="AR129" s="65">
        <f>AR$118*'Assumptions &amp; Inputs'!$L147*(1+'Assumptions &amp; Inputs'!$L$21)^AR108</f>
        <v>0</v>
      </c>
      <c r="AS129" s="65">
        <f>AS$118*'Assumptions &amp; Inputs'!$L147*(1+'Assumptions &amp; Inputs'!$L$21)^AS108</f>
        <v>0</v>
      </c>
      <c r="AT129" s="65">
        <f>AT$118*'Assumptions &amp; Inputs'!$L147*(1+'Assumptions &amp; Inputs'!$L$21)^AT108</f>
        <v>0</v>
      </c>
      <c r="AU129" s="65">
        <f>AU$118*'Assumptions &amp; Inputs'!$L147*(1+'Assumptions &amp; Inputs'!$L$21)^AU108</f>
        <v>0</v>
      </c>
      <c r="AV129" s="65">
        <f>AV$118*'Assumptions &amp; Inputs'!$L147*(1+'Assumptions &amp; Inputs'!$L$21)^AV108</f>
        <v>0</v>
      </c>
      <c r="AW129" s="65">
        <f>AW$118*'Assumptions &amp; Inputs'!$L147*(1+'Assumptions &amp; Inputs'!$L$21)^AW108</f>
        <v>0</v>
      </c>
    </row>
    <row r="130" spans="3:49" ht="14.25" customHeight="1">
      <c r="C130" s="44" t="s">
        <v>325</v>
      </c>
      <c r="D130" s="65">
        <f>IF(D123=0,0,D123*'Assumptions &amp; Inputs'!$L143*(1+'Assumptions &amp; Inputs'!$L$21)^(D$110-YEAR('Assumptions &amp; Inputs'!$L$31)))</f>
        <v>0</v>
      </c>
      <c r="E130" s="65">
        <f>E$118*'Assumptions &amp; Inputs'!$L128*'Assumptions &amp; Inputs'!$L149*(1+'Assumptions &amp; Inputs'!$L$21)^E108</f>
        <v>0.65522913294797691</v>
      </c>
      <c r="F130" s="65">
        <f>F$118*'Assumptions &amp; Inputs'!$L128*'Assumptions &amp; Inputs'!$L149*(1+'Assumptions &amp; Inputs'!$L$21)^F108</f>
        <v>0.89111162080924877</v>
      </c>
      <c r="G130" s="65">
        <f>G$118*'Assumptions &amp; Inputs'!$L128*'Assumptions &amp; Inputs'!$L149*(1+'Assumptions &amp; Inputs'!$L$21)^G108</f>
        <v>0.90893385322543363</v>
      </c>
      <c r="H130" s="65">
        <f>H$118*'Assumptions &amp; Inputs'!$L128*'Assumptions &amp; Inputs'!$L149*(1+'Assumptions &amp; Inputs'!$L$21)^H108</f>
        <v>0.92711253028994234</v>
      </c>
      <c r="I130" s="65">
        <f>I$118*'Assumptions &amp; Inputs'!$L128*'Assumptions &amp; Inputs'!$L149*(1+'Assumptions &amp; Inputs'!$L$21)^I108</f>
        <v>0.94565478089574129</v>
      </c>
      <c r="J130" s="65">
        <f>J$118*'Assumptions &amp; Inputs'!$L128*'Assumptions &amp; Inputs'!$L149*(1+'Assumptions &amp; Inputs'!$L$21)^J108</f>
        <v>0.96456787651365616</v>
      </c>
      <c r="K130" s="65">
        <f>K$118*'Assumptions &amp; Inputs'!$L128*'Assumptions &amp; Inputs'!$L149*(1+'Assumptions &amp; Inputs'!$L$21)^K108</f>
        <v>0.98385923404392905</v>
      </c>
      <c r="L130" s="65">
        <f>L$118*'Assumptions &amp; Inputs'!$L128*'Assumptions &amp; Inputs'!$L149*(1+'Assumptions &amp; Inputs'!$L$21)^L108</f>
        <v>1.0035364187248077</v>
      </c>
      <c r="M130" s="65">
        <f>M$118*'Assumptions &amp; Inputs'!$L128*'Assumptions &amp; Inputs'!$L149*(1+'Assumptions &amp; Inputs'!$L$21)^M108</f>
        <v>1.0236071470993038</v>
      </c>
      <c r="N130" s="65">
        <f>N$118*'Assumptions &amp; Inputs'!$L128*'Assumptions &amp; Inputs'!$L149*(1+'Assumptions &amp; Inputs'!$L$21)^N108</f>
        <v>1.0440792900412901</v>
      </c>
      <c r="O130" s="65">
        <f>O$118*'Assumptions &amp; Inputs'!$L128*'Assumptions &amp; Inputs'!$L149*(1+'Assumptions &amp; Inputs'!$L$21)^O108</f>
        <v>1.0649608758421156</v>
      </c>
      <c r="P130" s="65">
        <f>P$118*'Assumptions &amp; Inputs'!$L128*'Assumptions &amp; Inputs'!$L149*(1+'Assumptions &amp; Inputs'!$L$21)^P108</f>
        <v>1.0862600933589581</v>
      </c>
      <c r="Q130" s="65">
        <f>Q$118*'Assumptions &amp; Inputs'!$L128*'Assumptions &amp; Inputs'!$L149*(1+'Assumptions &amp; Inputs'!$L$21)^Q108</f>
        <v>1.1079852952261371</v>
      </c>
      <c r="R130" s="65">
        <f>R$118*'Assumptions &amp; Inputs'!$L128*'Assumptions &amp; Inputs'!$L149*(1+'Assumptions &amp; Inputs'!$L$21)^R108</f>
        <v>1.13014500113066</v>
      </c>
      <c r="S130" s="65">
        <f>S$118*'Assumptions &amp; Inputs'!$L128*'Assumptions &amp; Inputs'!$L149*(1+'Assumptions &amp; Inputs'!$L$21)^S108</f>
        <v>1.1527479011532729</v>
      </c>
      <c r="T130" s="65">
        <f>T$118*'Assumptions &amp; Inputs'!$L128*'Assumptions &amp; Inputs'!$L149*(1+'Assumptions &amp; Inputs'!$L$21)^T108</f>
        <v>1.1758028591763385</v>
      </c>
      <c r="U130" s="65">
        <f>U$118*'Assumptions &amp; Inputs'!$L128*'Assumptions &amp; Inputs'!$L149*(1+'Assumptions &amp; Inputs'!$L$21)^U108</f>
        <v>1.1993189163598654</v>
      </c>
      <c r="V130" s="65">
        <f>V$118*'Assumptions &amp; Inputs'!$L128*'Assumptions &amp; Inputs'!$L149*(1+'Assumptions &amp; Inputs'!$L$21)^V108</f>
        <v>1.2233052946870626</v>
      </c>
      <c r="W130" s="65">
        <f>W$118*'Assumptions &amp; Inputs'!$L128*'Assumptions &amp; Inputs'!$L149*(1+'Assumptions &amp; Inputs'!$L$21)^W108</f>
        <v>1.2477714005808038</v>
      </c>
      <c r="X130" s="65">
        <f>X$118*'Assumptions &amp; Inputs'!$L128*'Assumptions &amp; Inputs'!$L149*(1+'Assumptions &amp; Inputs'!$L$21)^X108</f>
        <v>1.27272682859242</v>
      </c>
      <c r="Y130" s="65">
        <f>Y$118*'Assumptions &amp; Inputs'!$L128*'Assumptions &amp; Inputs'!$L149*(1+'Assumptions &amp; Inputs'!$L$21)^Y108</f>
        <v>1.2981813651642684</v>
      </c>
      <c r="Z130" s="65">
        <f>Z$118*'Assumptions &amp; Inputs'!$L128*'Assumptions &amp; Inputs'!$L149*(1+'Assumptions &amp; Inputs'!$L$21)^Z108</f>
        <v>1.3241449924675537</v>
      </c>
      <c r="AA130" s="65">
        <f>AA$118*'Assumptions &amp; Inputs'!$L128*'Assumptions &amp; Inputs'!$L149*(1+'Assumptions &amp; Inputs'!$L$21)^AA108</f>
        <v>1.3506278923169046</v>
      </c>
      <c r="AB130" s="65">
        <f>AB$118*'Assumptions &amp; Inputs'!$L128*'Assumptions &amp; Inputs'!$L149*(1+'Assumptions &amp; Inputs'!$L$21)^AB108</f>
        <v>1.3776404501632427</v>
      </c>
      <c r="AC130" s="65">
        <f>AC$118*'Assumptions &amp; Inputs'!$L128*'Assumptions &amp; Inputs'!$L149*(1+'Assumptions &amp; Inputs'!$L$21)^AC108</f>
        <v>1.4051932591665075</v>
      </c>
      <c r="AD130" s="65">
        <f>AD$118*'Assumptions &amp; Inputs'!$L128*'Assumptions &amp; Inputs'!$L149*(1+'Assumptions &amp; Inputs'!$L$21)^AD108</f>
        <v>1.4332971243498378</v>
      </c>
      <c r="AE130" s="65">
        <f>AE$118*'Assumptions &amp; Inputs'!$L128*'Assumptions &amp; Inputs'!$L149*(1+'Assumptions &amp; Inputs'!$L$21)^AE108</f>
        <v>0</v>
      </c>
      <c r="AF130" s="65">
        <f>AF$118*'Assumptions &amp; Inputs'!$L128*'Assumptions &amp; Inputs'!$L149*(1+'Assumptions &amp; Inputs'!$L$21)^AF108</f>
        <v>0</v>
      </c>
      <c r="AG130" s="65">
        <f>AG$118*'Assumptions &amp; Inputs'!$L128*'Assumptions &amp; Inputs'!$L149*(1+'Assumptions &amp; Inputs'!$L$21)^AG108</f>
        <v>0</v>
      </c>
      <c r="AH130" s="65">
        <f>AH$118*'Assumptions &amp; Inputs'!$L128*'Assumptions &amp; Inputs'!$L149*(1+'Assumptions &amp; Inputs'!$L$21)^AH108</f>
        <v>0</v>
      </c>
      <c r="AI130" s="65">
        <f>AI$118*'Assumptions &amp; Inputs'!$L128*'Assumptions &amp; Inputs'!$L149*(1+'Assumptions &amp; Inputs'!$L$21)^AI108</f>
        <v>0</v>
      </c>
      <c r="AJ130" s="65">
        <f>AJ$118*'Assumptions &amp; Inputs'!$L128*'Assumptions &amp; Inputs'!$L149*(1+'Assumptions &amp; Inputs'!$L$21)^AJ108</f>
        <v>0</v>
      </c>
      <c r="AK130" s="65">
        <f>AK$118*'Assumptions &amp; Inputs'!$L128*'Assumptions &amp; Inputs'!$L149*(1+'Assumptions &amp; Inputs'!$L$21)^AK108</f>
        <v>0</v>
      </c>
      <c r="AL130" s="65">
        <f>AL$118*'Assumptions &amp; Inputs'!$L128*'Assumptions &amp; Inputs'!$L149*(1+'Assumptions &amp; Inputs'!$L$21)^AL108</f>
        <v>0</v>
      </c>
      <c r="AM130" s="65">
        <f>AM$118*'Assumptions &amp; Inputs'!$L128*'Assumptions &amp; Inputs'!$L149*(1+'Assumptions &amp; Inputs'!$L$21)^AM108</f>
        <v>0</v>
      </c>
      <c r="AN130" s="65">
        <f>AN$118*'Assumptions &amp; Inputs'!$L128*'Assumptions &amp; Inputs'!$L149*(1+'Assumptions &amp; Inputs'!$L$21)^AN108</f>
        <v>0</v>
      </c>
      <c r="AO130" s="65">
        <f>AO$118*'Assumptions &amp; Inputs'!$L128*'Assumptions &amp; Inputs'!$L149*(1+'Assumptions &amp; Inputs'!$L$21)^AO108</f>
        <v>0</v>
      </c>
      <c r="AP130" s="65">
        <f>AP$118*'Assumptions &amp; Inputs'!$L128*'Assumptions &amp; Inputs'!$L149*(1+'Assumptions &amp; Inputs'!$L$21)^AP108</f>
        <v>0</v>
      </c>
      <c r="AQ130" s="65">
        <f>AQ$118*'Assumptions &amp; Inputs'!$L128*'Assumptions &amp; Inputs'!$L149*(1+'Assumptions &amp; Inputs'!$L$21)^AQ108</f>
        <v>0</v>
      </c>
      <c r="AR130" s="65">
        <f>AR$118*'Assumptions &amp; Inputs'!$L128*'Assumptions &amp; Inputs'!$L149*(1+'Assumptions &amp; Inputs'!$L$21)^AR108</f>
        <v>0</v>
      </c>
      <c r="AS130" s="65">
        <f>AS$118*'Assumptions &amp; Inputs'!$L128*'Assumptions &amp; Inputs'!$L149*(1+'Assumptions &amp; Inputs'!$L$21)^AS108</f>
        <v>0</v>
      </c>
      <c r="AT130" s="65">
        <f>AT$118*'Assumptions &amp; Inputs'!$L128*'Assumptions &amp; Inputs'!$L149*(1+'Assumptions &amp; Inputs'!$L$21)^AT108</f>
        <v>0</v>
      </c>
      <c r="AU130" s="65">
        <f>AU$118*'Assumptions &amp; Inputs'!$L128*'Assumptions &amp; Inputs'!$L149*(1+'Assumptions &amp; Inputs'!$L$21)^AU108</f>
        <v>0</v>
      </c>
      <c r="AV130" s="65">
        <f>AV$118*'Assumptions &amp; Inputs'!$L128*'Assumptions &amp; Inputs'!$L149*(1+'Assumptions &amp; Inputs'!$L$21)^AV108</f>
        <v>0</v>
      </c>
      <c r="AW130" s="65">
        <f>AW$118*'Assumptions &amp; Inputs'!$L128*'Assumptions &amp; Inputs'!$L149*(1+'Assumptions &amp; Inputs'!$L$21)^AW108</f>
        <v>0</v>
      </c>
    </row>
    <row r="131" spans="3:49" ht="14.25" customHeight="1">
      <c r="C131" s="44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</row>
    <row r="132" spans="3:49" ht="14.25" customHeight="1">
      <c r="C132" s="48" t="s">
        <v>548</v>
      </c>
      <c r="D132" s="69">
        <f>SUM(D127:D130)</f>
        <v>0</v>
      </c>
      <c r="E132" s="69">
        <f t="shared" ref="E132:X132" si="355">SUM(E127:E130)</f>
        <v>185.15405287004702</v>
      </c>
      <c r="F132" s="69">
        <f t="shared" si="355"/>
        <v>251.74554005404929</v>
      </c>
      <c r="G132" s="69">
        <f t="shared" si="355"/>
        <v>256.71647900591557</v>
      </c>
      <c r="H132" s="69">
        <f t="shared" si="355"/>
        <v>279.55066396579343</v>
      </c>
      <c r="I132" s="69">
        <f t="shared" si="355"/>
        <v>288.831341680859</v>
      </c>
      <c r="J132" s="69">
        <f>SUM(J127:J130)</f>
        <v>294.04386353279313</v>
      </c>
      <c r="K132" s="69">
        <f t="shared" si="355"/>
        <v>299.36204608421991</v>
      </c>
      <c r="L132" s="69">
        <f t="shared" si="355"/>
        <v>304.7879990234735</v>
      </c>
      <c r="M132" s="69">
        <f t="shared" si="355"/>
        <v>310.32387424146822</v>
      </c>
      <c r="N132" s="69">
        <f t="shared" si="355"/>
        <v>315.97186667572896</v>
      </c>
      <c r="O132" s="69">
        <f t="shared" si="355"/>
        <v>321.73421517130134</v>
      </c>
      <c r="P132" s="69">
        <f t="shared" si="355"/>
        <v>327.61320335888001</v>
      </c>
      <c r="Q132" s="69">
        <f t="shared" si="355"/>
        <v>333.6111605504999</v>
      </c>
      <c r="R132" s="69">
        <f t="shared" si="355"/>
        <v>339.7304626531411</v>
      </c>
      <c r="S132" s="69">
        <f t="shared" si="355"/>
        <v>345.97353310060601</v>
      </c>
      <c r="T132" s="69">
        <f t="shared" si="355"/>
        <v>352.3428438040342</v>
      </c>
      <c r="U132" s="69">
        <f t="shared" si="355"/>
        <v>358.84091612142754</v>
      </c>
      <c r="V132" s="69">
        <f t="shared" si="355"/>
        <v>365.47032184656535</v>
      </c>
      <c r="W132" s="69">
        <f t="shared" si="355"/>
        <v>372.23368421769914</v>
      </c>
      <c r="X132" s="69">
        <f t="shared" si="355"/>
        <v>379.1336789464201</v>
      </c>
      <c r="Y132" s="69">
        <f t="shared" ref="Y132:AW132" si="356">SUM(Y127:Y130)</f>
        <v>386.17303526710464</v>
      </c>
      <c r="Z132" s="69">
        <f t="shared" si="356"/>
        <v>393.35453700734843</v>
      </c>
      <c r="AA132" s="69">
        <f t="shared" si="356"/>
        <v>400.68102367980975</v>
      </c>
      <c r="AB132" s="69">
        <f t="shared" si="356"/>
        <v>408.15539159588968</v>
      </c>
      <c r="AC132" s="69">
        <f t="shared" si="356"/>
        <v>415.78059500168479</v>
      </c>
      <c r="AD132" s="69">
        <f t="shared" si="356"/>
        <v>423.55964723666142</v>
      </c>
      <c r="AE132" s="69">
        <f t="shared" si="356"/>
        <v>23.728009787994228</v>
      </c>
      <c r="AF132" s="69">
        <f t="shared" si="356"/>
        <v>23.668689763524245</v>
      </c>
      <c r="AG132" s="69">
        <f t="shared" si="356"/>
        <v>23.609518039115432</v>
      </c>
      <c r="AH132" s="69">
        <f t="shared" si="356"/>
        <v>0</v>
      </c>
      <c r="AI132" s="69">
        <f t="shared" si="356"/>
        <v>0</v>
      </c>
      <c r="AJ132" s="69">
        <f t="shared" si="356"/>
        <v>0</v>
      </c>
      <c r="AK132" s="69">
        <f t="shared" si="356"/>
        <v>0</v>
      </c>
      <c r="AL132" s="69">
        <f t="shared" si="356"/>
        <v>0</v>
      </c>
      <c r="AM132" s="69">
        <f t="shared" si="356"/>
        <v>0</v>
      </c>
      <c r="AN132" s="69">
        <f t="shared" si="356"/>
        <v>0</v>
      </c>
      <c r="AO132" s="69">
        <f t="shared" si="356"/>
        <v>0</v>
      </c>
      <c r="AP132" s="69">
        <f t="shared" si="356"/>
        <v>0</v>
      </c>
      <c r="AQ132" s="69">
        <f t="shared" si="356"/>
        <v>0</v>
      </c>
      <c r="AR132" s="69">
        <f t="shared" si="356"/>
        <v>0</v>
      </c>
      <c r="AS132" s="69">
        <f t="shared" si="356"/>
        <v>0</v>
      </c>
      <c r="AT132" s="69">
        <f t="shared" si="356"/>
        <v>0</v>
      </c>
      <c r="AU132" s="69">
        <f t="shared" si="356"/>
        <v>0</v>
      </c>
      <c r="AV132" s="69">
        <f t="shared" si="356"/>
        <v>0</v>
      </c>
      <c r="AW132" s="69">
        <f t="shared" si="356"/>
        <v>0</v>
      </c>
    </row>
    <row r="134" spans="3:49" ht="14.25" customHeight="1">
      <c r="C134" s="51" t="s">
        <v>514</v>
      </c>
      <c r="D134" s="273">
        <f>D132</f>
        <v>0</v>
      </c>
      <c r="E134" s="273">
        <f t="shared" ref="E134:AW134" si="357">E132</f>
        <v>185.15405287004702</v>
      </c>
      <c r="F134" s="273">
        <f t="shared" si="357"/>
        <v>251.74554005404929</v>
      </c>
      <c r="G134" s="273">
        <f t="shared" si="357"/>
        <v>256.71647900591557</v>
      </c>
      <c r="H134" s="273">
        <f t="shared" si="357"/>
        <v>279.55066396579343</v>
      </c>
      <c r="I134" s="273">
        <f t="shared" si="357"/>
        <v>288.831341680859</v>
      </c>
      <c r="J134" s="273">
        <f t="shared" si="357"/>
        <v>294.04386353279313</v>
      </c>
      <c r="K134" s="273">
        <f t="shared" si="357"/>
        <v>299.36204608421991</v>
      </c>
      <c r="L134" s="273">
        <f t="shared" si="357"/>
        <v>304.7879990234735</v>
      </c>
      <c r="M134" s="273">
        <f t="shared" si="357"/>
        <v>310.32387424146822</v>
      </c>
      <c r="N134" s="273">
        <f t="shared" si="357"/>
        <v>315.97186667572896</v>
      </c>
      <c r="O134" s="273">
        <f t="shared" si="357"/>
        <v>321.73421517130134</v>
      </c>
      <c r="P134" s="273">
        <f t="shared" si="357"/>
        <v>327.61320335888001</v>
      </c>
      <c r="Q134" s="273">
        <f t="shared" si="357"/>
        <v>333.6111605504999</v>
      </c>
      <c r="R134" s="273">
        <f t="shared" si="357"/>
        <v>339.7304626531411</v>
      </c>
      <c r="S134" s="273">
        <f t="shared" si="357"/>
        <v>345.97353310060601</v>
      </c>
      <c r="T134" s="273">
        <f t="shared" si="357"/>
        <v>352.3428438040342</v>
      </c>
      <c r="U134" s="273">
        <f t="shared" si="357"/>
        <v>358.84091612142754</v>
      </c>
      <c r="V134" s="273">
        <f t="shared" si="357"/>
        <v>365.47032184656535</v>
      </c>
      <c r="W134" s="273">
        <f t="shared" si="357"/>
        <v>372.23368421769914</v>
      </c>
      <c r="X134" s="273">
        <f t="shared" si="357"/>
        <v>379.1336789464201</v>
      </c>
      <c r="Y134" s="273">
        <f t="shared" si="357"/>
        <v>386.17303526710464</v>
      </c>
      <c r="Z134" s="273">
        <f t="shared" si="357"/>
        <v>393.35453700734843</v>
      </c>
      <c r="AA134" s="273">
        <f t="shared" si="357"/>
        <v>400.68102367980975</v>
      </c>
      <c r="AB134" s="273">
        <f t="shared" si="357"/>
        <v>408.15539159588968</v>
      </c>
      <c r="AC134" s="273">
        <f t="shared" si="357"/>
        <v>415.78059500168479</v>
      </c>
      <c r="AD134" s="273">
        <f t="shared" si="357"/>
        <v>423.55964723666142</v>
      </c>
      <c r="AE134" s="273">
        <f t="shared" si="357"/>
        <v>23.728009787994228</v>
      </c>
      <c r="AF134" s="273">
        <f t="shared" si="357"/>
        <v>23.668689763524245</v>
      </c>
      <c r="AG134" s="273">
        <f t="shared" si="357"/>
        <v>23.609518039115432</v>
      </c>
      <c r="AH134" s="273">
        <f t="shared" si="357"/>
        <v>0</v>
      </c>
      <c r="AI134" s="273">
        <f t="shared" si="357"/>
        <v>0</v>
      </c>
      <c r="AJ134" s="273">
        <f t="shared" si="357"/>
        <v>0</v>
      </c>
      <c r="AK134" s="273">
        <f t="shared" si="357"/>
        <v>0</v>
      </c>
      <c r="AL134" s="273">
        <f t="shared" si="357"/>
        <v>0</v>
      </c>
      <c r="AM134" s="273">
        <f t="shared" si="357"/>
        <v>0</v>
      </c>
      <c r="AN134" s="273">
        <f t="shared" si="357"/>
        <v>0</v>
      </c>
      <c r="AO134" s="273">
        <f t="shared" si="357"/>
        <v>0</v>
      </c>
      <c r="AP134" s="273">
        <f t="shared" si="357"/>
        <v>0</v>
      </c>
      <c r="AQ134" s="273">
        <f t="shared" si="357"/>
        <v>0</v>
      </c>
      <c r="AR134" s="273">
        <f t="shared" si="357"/>
        <v>0</v>
      </c>
      <c r="AS134" s="273">
        <f t="shared" si="357"/>
        <v>0</v>
      </c>
      <c r="AT134" s="273">
        <f t="shared" si="357"/>
        <v>0</v>
      </c>
      <c r="AU134" s="273">
        <f t="shared" si="357"/>
        <v>0</v>
      </c>
      <c r="AV134" s="273">
        <f t="shared" si="357"/>
        <v>0</v>
      </c>
      <c r="AW134" s="273">
        <f t="shared" si="357"/>
        <v>0</v>
      </c>
    </row>
    <row r="135" spans="3:49" ht="14.25" customHeight="1">
      <c r="C135" s="51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  <c r="AA135" s="273"/>
      <c r="AB135" s="273"/>
      <c r="AC135" s="273"/>
      <c r="AD135" s="273"/>
      <c r="AE135" s="273"/>
      <c r="AF135" s="273"/>
      <c r="AG135" s="273"/>
      <c r="AH135" s="273"/>
      <c r="AI135" s="273"/>
      <c r="AJ135" s="273"/>
      <c r="AK135" s="273"/>
      <c r="AL135" s="273"/>
      <c r="AM135" s="273"/>
      <c r="AN135" s="273"/>
      <c r="AO135" s="273"/>
      <c r="AP135" s="273"/>
      <c r="AQ135" s="273"/>
      <c r="AR135" s="273"/>
      <c r="AS135" s="273"/>
      <c r="AT135" s="273"/>
      <c r="AU135" s="273"/>
      <c r="AV135" s="273"/>
      <c r="AW135" s="273"/>
    </row>
    <row r="136" spans="3:49" ht="14.25" customHeight="1">
      <c r="C136" s="44" t="s">
        <v>533</v>
      </c>
      <c r="D136" s="65">
        <f>(D112*_xlfn.XLOOKUP(D$110, 'Power Summary'!$C$30:$AV$30, 'Power Summary'!$C$34:$AV$34)+D113*_xlfn.XLOOKUP(D$110, 'Power Summary'!$C$30:$AV$30, 'Power Summary'!$C$41:$AV$41))/$E$3</f>
        <v>0</v>
      </c>
      <c r="E136" s="65">
        <f>(E112*_xlfn.XLOOKUP(E$110, 'Power Summary'!$C$30:$AV$30, 'Power Summary'!$C$34:$AV$34)+E113*_xlfn.XLOOKUP(E$110, 'Power Summary'!$C$30:$AV$30, 'Power Summary'!$C$41:$AV$41))/$E$3</f>
        <v>0.19904735013861596</v>
      </c>
      <c r="F136" s="65">
        <f>(F112*_xlfn.XLOOKUP(F$110, 'Power Summary'!$C$30:$AV$30, 'Power Summary'!$C$34:$AV$34)+F113*_xlfn.XLOOKUP(F$110, 'Power Summary'!$C$30:$AV$30, 'Power Summary'!$C$41:$AV$41))/$E$3</f>
        <v>0.26855638058230946</v>
      </c>
      <c r="G136" s="65">
        <f>(G112*_xlfn.XLOOKUP(G$110, 'Power Summary'!$C$30:$AV$30, 'Power Summary'!$C$34:$AV$34)+G113*_xlfn.XLOOKUP(G$110, 'Power Summary'!$C$30:$AV$30, 'Power Summary'!$C$41:$AV$41))/$E$3</f>
        <v>0.26516775022651923</v>
      </c>
      <c r="H136" s="65">
        <f>(H112*_xlfn.XLOOKUP(H$110, 'Power Summary'!$C$30:$AV$30, 'Power Summary'!$C$34:$AV$34)+H113*_xlfn.XLOOKUP(H$110, 'Power Summary'!$C$30:$AV$30, 'Power Summary'!$C$41:$AV$41))/$E$3</f>
        <v>0.25400828382757412</v>
      </c>
      <c r="I136" s="65">
        <f>(I112*_xlfn.XLOOKUP(I$110, 'Power Summary'!$C$30:$AV$30, 'Power Summary'!$C$34:$AV$34)+I113*_xlfn.XLOOKUP(I$110, 'Power Summary'!$C$30:$AV$30, 'Power Summary'!$C$41:$AV$41))/$E$3</f>
        <v>0.25675290735543937</v>
      </c>
      <c r="J136" s="65">
        <f>(J112*_xlfn.XLOOKUP(J$110, 'Power Summary'!$C$30:$AV$30, 'Power Summary'!$C$34:$AV$34)+J113*_xlfn.XLOOKUP(J$110, 'Power Summary'!$C$30:$AV$30, 'Power Summary'!$C$41:$AV$41))/$E$3</f>
        <v>0.26199213550695749</v>
      </c>
      <c r="K136" s="65">
        <f>(K112*_xlfn.XLOOKUP(K$110, 'Power Summary'!$C$30:$AV$30, 'Power Summary'!$C$34:$AV$34)+K113*_xlfn.XLOOKUP(K$110, 'Power Summary'!$C$30:$AV$30, 'Power Summary'!$C$41:$AV$41))/$E$3</f>
        <v>0.26733780261995405</v>
      </c>
      <c r="L136" s="65">
        <f>(L112*_xlfn.XLOOKUP(L$110, 'Power Summary'!$C$30:$AV$30, 'Power Summary'!$C$34:$AV$34)+L113*_xlfn.XLOOKUP(L$110, 'Power Summary'!$C$30:$AV$30, 'Power Summary'!$C$41:$AV$41))/$E$3</f>
        <v>0.27279206411780904</v>
      </c>
      <c r="M136" s="65">
        <f>(M112*_xlfn.XLOOKUP(M$110, 'Power Summary'!$C$30:$AV$30, 'Power Summary'!$C$34:$AV$34)+M113*_xlfn.XLOOKUP(M$110, 'Power Summary'!$C$30:$AV$30, 'Power Summary'!$C$41:$AV$41))/$E$3</f>
        <v>0.2783571189672715</v>
      </c>
      <c r="N136" s="65">
        <f>(N112*_xlfn.XLOOKUP(N$110, 'Power Summary'!$C$30:$AV$30, 'Power Summary'!$C$34:$AV$34)+N113*_xlfn.XLOOKUP(N$110, 'Power Summary'!$C$30:$AV$30, 'Power Summary'!$C$41:$AV$41))/$E$3</f>
        <v>0.28403521055651504</v>
      </c>
      <c r="O136" s="65">
        <f>(O112*_xlfn.XLOOKUP(O$110, 'Power Summary'!$C$30:$AV$30, 'Power Summary'!$C$34:$AV$34)+O113*_xlfn.XLOOKUP(O$110, 'Power Summary'!$C$30:$AV$30, 'Power Summary'!$C$41:$AV$41))/$E$3</f>
        <v>0.28982862759087413</v>
      </c>
      <c r="P136" s="65">
        <f>(P112*_xlfn.XLOOKUP(P$110, 'Power Summary'!$C$30:$AV$30, 'Power Summary'!$C$34:$AV$34)+P113*_xlfn.XLOOKUP(P$110, 'Power Summary'!$C$30:$AV$30, 'Power Summary'!$C$41:$AV$41))/$E$3</f>
        <v>0.29573970500661839</v>
      </c>
      <c r="Q136" s="65">
        <f>(Q112*_xlfn.XLOOKUP(Q$110, 'Power Summary'!$C$30:$AV$30, 'Power Summary'!$C$34:$AV$34)+Q113*_xlfn.XLOOKUP(Q$110, 'Power Summary'!$C$30:$AV$30, 'Power Summary'!$C$41:$AV$41))/$E$3</f>
        <v>0.30177082490312429</v>
      </c>
      <c r="R136" s="65">
        <f>(R112*_xlfn.XLOOKUP(R$110, 'Power Summary'!$C$30:$AV$30, 'Power Summary'!$C$34:$AV$34)+R113*_xlfn.XLOOKUP(R$110, 'Power Summary'!$C$30:$AV$30, 'Power Summary'!$C$41:$AV$41))/$E$3</f>
        <v>0.30792441749381938</v>
      </c>
      <c r="S136" s="65">
        <f>(S112*_xlfn.XLOOKUP(S$110, 'Power Summary'!$C$30:$AV$30, 'Power Summary'!$C$34:$AV$34)+S113*_xlfn.XLOOKUP(S$110, 'Power Summary'!$C$30:$AV$30, 'Power Summary'!$C$41:$AV$41))/$E$3</f>
        <v>0.31420296207627152</v>
      </c>
      <c r="T136" s="65">
        <f>(T112*_xlfn.XLOOKUP(T$110, 'Power Summary'!$C$30:$AV$30, 'Power Summary'!$C$34:$AV$34)+T113*_xlfn.XLOOKUP(T$110, 'Power Summary'!$C$30:$AV$30, 'Power Summary'!$C$41:$AV$41))/$E$3</f>
        <v>0.32060898802181254</v>
      </c>
      <c r="U136" s="65">
        <f>(U112*_xlfn.XLOOKUP(U$110, 'Power Summary'!$C$30:$AV$30, 'Power Summary'!$C$34:$AV$34)+U113*_xlfn.XLOOKUP(U$110, 'Power Summary'!$C$30:$AV$30, 'Power Summary'!$C$41:$AV$41))/$E$3</f>
        <v>0.32714507578508512</v>
      </c>
      <c r="V136" s="65">
        <f>(V112*_xlfn.XLOOKUP(V$110, 'Power Summary'!$C$30:$AV$30, 'Power Summary'!$C$34:$AV$34)+V113*_xlfn.XLOOKUP(V$110, 'Power Summary'!$C$30:$AV$30, 'Power Summary'!$C$41:$AV$41))/$E$3</f>
        <v>0.33381385793391749</v>
      </c>
      <c r="W136" s="65">
        <f>(W112*_xlfn.XLOOKUP(W$110, 'Power Summary'!$C$30:$AV$30, 'Power Summary'!$C$34:$AV$34)+W113*_xlfn.XLOOKUP(W$110, 'Power Summary'!$C$30:$AV$30, 'Power Summary'!$C$41:$AV$41))/$E$3</f>
        <v>0.34061802019993226</v>
      </c>
      <c r="X136" s="65">
        <f>(X112*_xlfn.XLOOKUP(X$110, 'Power Summary'!$C$30:$AV$30, 'Power Summary'!$C$34:$AV$34)+X113*_xlfn.XLOOKUP(X$110, 'Power Summary'!$C$30:$AV$30, 'Power Summary'!$C$41:$AV$41))/$E$3</f>
        <v>0.34756030255030679</v>
      </c>
      <c r="Y136" s="65">
        <f>(Y112*_xlfn.XLOOKUP(Y$110, 'Power Summary'!$C$30:$AV$30, 'Power Summary'!$C$34:$AV$34)+Y113*_xlfn.XLOOKUP(Y$110, 'Power Summary'!$C$30:$AV$30, 'Power Summary'!$C$41:$AV$41))/$E$3</f>
        <v>0.35464350028111158</v>
      </c>
      <c r="Z136" s="65">
        <f>(Z112*_xlfn.XLOOKUP(Z$110, 'Power Summary'!$C$30:$AV$30, 'Power Summary'!$C$34:$AV$34)+Z113*_xlfn.XLOOKUP(Z$110, 'Power Summary'!$C$30:$AV$30, 'Power Summary'!$C$41:$AV$41))/$E$3</f>
        <v>0.3618704651326593</v>
      </c>
      <c r="AA136" s="65">
        <f>(AA112*_xlfn.XLOOKUP(AA$110, 'Power Summary'!$C$30:$AV$30, 'Power Summary'!$C$34:$AV$34)+AA113*_xlfn.XLOOKUP(AA$110, 'Power Summary'!$C$30:$AV$30, 'Power Summary'!$C$41:$AV$41))/$E$3</f>
        <v>0.36924410642730737</v>
      </c>
      <c r="AB136" s="65">
        <f>(AB112*_xlfn.XLOOKUP(AB$110, 'Power Summary'!$C$30:$AV$30, 'Power Summary'!$C$34:$AV$34)+AB113*_xlfn.XLOOKUP(AB$110, 'Power Summary'!$C$30:$AV$30, 'Power Summary'!$C$41:$AV$41))/$E$3</f>
        <v>0.3767673922301677</v>
      </c>
      <c r="AC136" s="65">
        <f>(AC112*_xlfn.XLOOKUP(AC$110, 'Power Summary'!$C$30:$AV$30, 'Power Summary'!$C$34:$AV$34)+AC113*_xlfn.XLOOKUP(AC$110, 'Power Summary'!$C$30:$AV$30, 'Power Summary'!$C$41:$AV$41))/$E$3</f>
        <v>0.38444335053318007</v>
      </c>
      <c r="AD136" s="65">
        <f>(AD112*_xlfn.XLOOKUP(AD$110, 'Power Summary'!$C$30:$AV$30, 'Power Summary'!$C$34:$AV$34)+AD113*_xlfn.XLOOKUP(AD$110, 'Power Summary'!$C$30:$AV$30, 'Power Summary'!$C$41:$AV$41))/$E$3</f>
        <v>0.3922750704630229</v>
      </c>
      <c r="AE136" s="65">
        <f>(AE112*_xlfn.XLOOKUP(AE$110, 'Power Summary'!$C$30:$AV$30, 'Power Summary'!$C$34:$AV$34)+AE113*_xlfn.XLOOKUP(AE$110, 'Power Summary'!$C$30:$AV$30, 'Power Summary'!$C$41:$AV$41))/$E$3</f>
        <v>0</v>
      </c>
      <c r="AF136" s="65">
        <f>(AF112*_xlfn.XLOOKUP(AF$110, 'Power Summary'!$C$30:$AV$30, 'Power Summary'!$C$34:$AV$34)+AF113*_xlfn.XLOOKUP(AF$110, 'Power Summary'!$C$30:$AV$30, 'Power Summary'!$C$41:$AV$41))/$E$3</f>
        <v>0</v>
      </c>
      <c r="AG136" s="65">
        <f>(AG112*_xlfn.XLOOKUP(AG$110, 'Power Summary'!$C$30:$AV$30, 'Power Summary'!$C$34:$AV$34)+AG113*_xlfn.XLOOKUP(AG$110, 'Power Summary'!$C$30:$AV$30, 'Power Summary'!$C$41:$AV$41))/$E$3</f>
        <v>0</v>
      </c>
      <c r="AH136" s="65">
        <f>(AH112*_xlfn.XLOOKUP(AH$110, 'Power Summary'!$C$30:$AV$30, 'Power Summary'!$C$34:$AV$34)+AH113*_xlfn.XLOOKUP(AH$110, 'Power Summary'!$C$30:$AV$30, 'Power Summary'!$C$41:$AV$41))/$E$3</f>
        <v>0</v>
      </c>
      <c r="AI136" s="65">
        <f>(AI112*_xlfn.XLOOKUP(AI$110, 'Power Summary'!$C$30:$AV$30, 'Power Summary'!$C$34:$AV$34)+AI113*_xlfn.XLOOKUP(AI$110, 'Power Summary'!$C$30:$AV$30, 'Power Summary'!$C$41:$AV$41))/$E$3</f>
        <v>0</v>
      </c>
      <c r="AJ136" s="65">
        <f>(AJ112*_xlfn.XLOOKUP(AJ$110, 'Power Summary'!$C$30:$AV$30, 'Power Summary'!$C$34:$AV$34)+AJ113*_xlfn.XLOOKUP(AJ$110, 'Power Summary'!$C$30:$AV$30, 'Power Summary'!$C$41:$AV$41))/$E$3</f>
        <v>0</v>
      </c>
      <c r="AK136" s="65">
        <f>(AK112*_xlfn.XLOOKUP(AK$110, 'Power Summary'!$C$30:$AV$30, 'Power Summary'!$C$34:$AV$34)+AK113*_xlfn.XLOOKUP(AK$110, 'Power Summary'!$C$30:$AV$30, 'Power Summary'!$C$41:$AV$41))/$E$3</f>
        <v>0</v>
      </c>
      <c r="AL136" s="65">
        <f>(AL112*_xlfn.XLOOKUP(AL$110, 'Power Summary'!$C$30:$AV$30, 'Power Summary'!$C$34:$AV$34)+AL113*_xlfn.XLOOKUP(AL$110, 'Power Summary'!$C$30:$AV$30, 'Power Summary'!$C$41:$AV$41))/$E$3</f>
        <v>0</v>
      </c>
      <c r="AM136" s="65">
        <f>(AM112*_xlfn.XLOOKUP(AM$110, 'Power Summary'!$C$30:$AV$30, 'Power Summary'!$C$34:$AV$34)+AM113*_xlfn.XLOOKUP(AM$110, 'Power Summary'!$C$30:$AV$30, 'Power Summary'!$C$41:$AV$41))/$E$3</f>
        <v>0</v>
      </c>
      <c r="AN136" s="65">
        <f>(AN112*_xlfn.XLOOKUP(AN$110, 'Power Summary'!$C$30:$AV$30, 'Power Summary'!$C$34:$AV$34)+AN113*_xlfn.XLOOKUP(AN$110, 'Power Summary'!$C$30:$AV$30, 'Power Summary'!$C$41:$AV$41))/$E$3</f>
        <v>0</v>
      </c>
      <c r="AO136" s="65">
        <f>(AO112*_xlfn.XLOOKUP(AO$110, 'Power Summary'!$C$30:$AV$30, 'Power Summary'!$C$34:$AV$34)+AO113*_xlfn.XLOOKUP(AO$110, 'Power Summary'!$C$30:$AV$30, 'Power Summary'!$C$41:$AV$41))/$E$3</f>
        <v>0</v>
      </c>
      <c r="AP136" s="65">
        <f>(AP112*_xlfn.XLOOKUP(AP$110, 'Power Summary'!$C$30:$AV$30, 'Power Summary'!$C$34:$AV$34)+AP113*_xlfn.XLOOKUP(AP$110, 'Power Summary'!$C$30:$AV$30, 'Power Summary'!$C$41:$AV$41))/$E$3</f>
        <v>0</v>
      </c>
      <c r="AQ136" s="65">
        <f>(AQ112*_xlfn.XLOOKUP(AQ$110, 'Power Summary'!$C$30:$AV$30, 'Power Summary'!$C$34:$AV$34)+AQ113*_xlfn.XLOOKUP(AQ$110, 'Power Summary'!$C$30:$AV$30, 'Power Summary'!$C$41:$AV$41))/$E$3</f>
        <v>0</v>
      </c>
      <c r="AR136" s="65">
        <f>(AR112*_xlfn.XLOOKUP(AR$110, 'Power Summary'!$C$30:$AV$30, 'Power Summary'!$C$34:$AV$34)+AR113*_xlfn.XLOOKUP(AR$110, 'Power Summary'!$C$30:$AV$30, 'Power Summary'!$C$41:$AV$41))/$E$3</f>
        <v>0</v>
      </c>
      <c r="AS136" s="65">
        <f>(AS112*_xlfn.XLOOKUP(AS$110, 'Power Summary'!$C$30:$AV$30, 'Power Summary'!$C$34:$AV$34)+AS113*_xlfn.XLOOKUP(AS$110, 'Power Summary'!$C$30:$AV$30, 'Power Summary'!$C$41:$AV$41))/$E$3</f>
        <v>0</v>
      </c>
      <c r="AT136" s="65">
        <f>(AT112*_xlfn.XLOOKUP(AT$110, 'Power Summary'!$C$30:$AV$30, 'Power Summary'!$C$34:$AV$34)+AT113*_xlfn.XLOOKUP(AT$110, 'Power Summary'!$C$30:$AV$30, 'Power Summary'!$C$41:$AV$41))/$E$3</f>
        <v>0</v>
      </c>
      <c r="AU136" s="65">
        <f>(AU112*_xlfn.XLOOKUP(AU$110, 'Power Summary'!$C$30:$AV$30, 'Power Summary'!$C$34:$AV$34)+AU113*_xlfn.XLOOKUP(AU$110, 'Power Summary'!$C$30:$AV$30, 'Power Summary'!$C$41:$AV$41))/$E$3</f>
        <v>0</v>
      </c>
      <c r="AV136" s="65">
        <f>(AV112*_xlfn.XLOOKUP(AV$110, 'Power Summary'!$C$30:$AV$30, 'Power Summary'!$C$34:$AV$34)+AV113*_xlfn.XLOOKUP(AV$110, 'Power Summary'!$C$30:$AV$30, 'Power Summary'!$C$41:$AV$41))/$E$3</f>
        <v>0</v>
      </c>
      <c r="AW136" s="65">
        <f>(AW112*_xlfn.XLOOKUP(AW$110, 'Power Summary'!$C$30:$AV$30, 'Power Summary'!$C$34:$AV$34)+AW113*_xlfn.XLOOKUP(AW$110, 'Power Summary'!$C$30:$AV$30, 'Power Summary'!$C$41:$AV$41))/$E$3</f>
        <v>0</v>
      </c>
    </row>
    <row r="137" spans="3:49" ht="14.25" customHeight="1">
      <c r="C137" s="44" t="s">
        <v>535</v>
      </c>
      <c r="D137" s="65">
        <f>D132*'Assumptions &amp; Inputs'!$L$23</f>
        <v>0</v>
      </c>
      <c r="E137" s="65">
        <f>E132*'Assumptions &amp; Inputs'!$L$23</f>
        <v>1.8515405287004703</v>
      </c>
      <c r="F137" s="65">
        <f>F132*'Assumptions &amp; Inputs'!$L$23</f>
        <v>2.5174554005404928</v>
      </c>
      <c r="G137" s="65">
        <f>G132*'Assumptions &amp; Inputs'!$L$23</f>
        <v>2.5671647900591559</v>
      </c>
      <c r="H137" s="65">
        <f>H132*'Assumptions &amp; Inputs'!$L$23</f>
        <v>2.7955066396579342</v>
      </c>
      <c r="I137" s="65">
        <f>I132*'Assumptions &amp; Inputs'!$L$23</f>
        <v>2.88831341680859</v>
      </c>
      <c r="J137" s="65">
        <f>J132*'Assumptions &amp; Inputs'!$L$23</f>
        <v>2.9404386353279315</v>
      </c>
      <c r="K137" s="65">
        <f>K132*'Assumptions &amp; Inputs'!$L$23</f>
        <v>2.993620460842199</v>
      </c>
      <c r="L137" s="65">
        <f>L132*'Assumptions &amp; Inputs'!$L$23</f>
        <v>3.0478799902347351</v>
      </c>
      <c r="M137" s="65">
        <f>M132*'Assumptions &amp; Inputs'!$L$23</f>
        <v>3.1032387424146823</v>
      </c>
      <c r="N137" s="65">
        <f>N132*'Assumptions &amp; Inputs'!$L$23</f>
        <v>3.1597186667572896</v>
      </c>
      <c r="O137" s="65">
        <f>O132*'Assumptions &amp; Inputs'!$L$23</f>
        <v>3.2173421517130136</v>
      </c>
      <c r="P137" s="65">
        <f>P132*'Assumptions &amp; Inputs'!$L$23</f>
        <v>3.2761320335888002</v>
      </c>
      <c r="Q137" s="65">
        <f>Q132*'Assumptions &amp; Inputs'!$L$23</f>
        <v>3.3361116055049993</v>
      </c>
      <c r="R137" s="65">
        <f>R132*'Assumptions &amp; Inputs'!$L$23</f>
        <v>3.3973046265314113</v>
      </c>
      <c r="S137" s="65">
        <f>S132*'Assumptions &amp; Inputs'!$L$23</f>
        <v>3.4597353310060601</v>
      </c>
      <c r="T137" s="65">
        <f>T132*'Assumptions &amp; Inputs'!$L$23</f>
        <v>3.5234284380403422</v>
      </c>
      <c r="U137" s="65">
        <f>U132*'Assumptions &amp; Inputs'!$L$23</f>
        <v>3.5884091612142757</v>
      </c>
      <c r="V137" s="65">
        <f>V132*'Assumptions &amp; Inputs'!$L$23</f>
        <v>3.6547032184656536</v>
      </c>
      <c r="W137" s="65">
        <f>W132*'Assumptions &amp; Inputs'!$L$23</f>
        <v>3.7223368421769916</v>
      </c>
      <c r="X137" s="65">
        <f>X132*'Assumptions &amp; Inputs'!$L$23</f>
        <v>3.7913367894642009</v>
      </c>
      <c r="Y137" s="65">
        <f>Y132*'Assumptions &amp; Inputs'!$L$23</f>
        <v>3.8617303526710463</v>
      </c>
      <c r="Z137" s="65">
        <f>Z132*'Assumptions &amp; Inputs'!$L$23</f>
        <v>3.9335453700734844</v>
      </c>
      <c r="AA137" s="65">
        <f>AA132*'Assumptions &amp; Inputs'!$L$23</f>
        <v>4.0068102367980973</v>
      </c>
      <c r="AB137" s="65">
        <f>AB132*'Assumptions &amp; Inputs'!$L$23</f>
        <v>4.0815539159588967</v>
      </c>
      <c r="AC137" s="65">
        <f>AC132*'Assumptions &amp; Inputs'!$L$23</f>
        <v>4.1578059500168481</v>
      </c>
      <c r="AD137" s="65">
        <f>AD132*'Assumptions &amp; Inputs'!$L$23</f>
        <v>4.2355964723666144</v>
      </c>
      <c r="AE137" s="65">
        <f>AE132*'Assumptions &amp; Inputs'!$L$23</f>
        <v>0.23728009787994228</v>
      </c>
      <c r="AF137" s="65">
        <f>AF132*'Assumptions &amp; Inputs'!$L$23</f>
        <v>0.23668689763524245</v>
      </c>
      <c r="AG137" s="65">
        <f>AG132*'Assumptions &amp; Inputs'!$L$23</f>
        <v>0.23609518039115432</v>
      </c>
      <c r="AH137" s="65">
        <f>AH132*'Assumptions &amp; Inputs'!$L$23</f>
        <v>0</v>
      </c>
      <c r="AI137" s="65">
        <f>AI132*'Assumptions &amp; Inputs'!$L$23</f>
        <v>0</v>
      </c>
      <c r="AJ137" s="65">
        <f>AJ132*'Assumptions &amp; Inputs'!$L$23</f>
        <v>0</v>
      </c>
      <c r="AK137" s="65">
        <f>AK132*'Assumptions &amp; Inputs'!$L$23</f>
        <v>0</v>
      </c>
      <c r="AL137" s="65">
        <f>AL132*'Assumptions &amp; Inputs'!$L$23</f>
        <v>0</v>
      </c>
      <c r="AM137" s="65">
        <f>AM132*'Assumptions &amp; Inputs'!$L$23</f>
        <v>0</v>
      </c>
      <c r="AN137" s="65">
        <f>AN132*'Assumptions &amp; Inputs'!$L$23</f>
        <v>0</v>
      </c>
      <c r="AO137" s="65">
        <f>AO132*'Assumptions &amp; Inputs'!$L$23</f>
        <v>0</v>
      </c>
      <c r="AP137" s="65">
        <f>AP132*'Assumptions &amp; Inputs'!$L$23</f>
        <v>0</v>
      </c>
      <c r="AQ137" s="65">
        <f>AQ132*'Assumptions &amp; Inputs'!$L$23</f>
        <v>0</v>
      </c>
      <c r="AR137" s="65">
        <f>AR132*'Assumptions &amp; Inputs'!$L$23</f>
        <v>0</v>
      </c>
      <c r="AS137" s="65">
        <f>AS132*'Assumptions &amp; Inputs'!$L$23</f>
        <v>0</v>
      </c>
      <c r="AT137" s="65">
        <f>AT132*'Assumptions &amp; Inputs'!$L$23</f>
        <v>0</v>
      </c>
      <c r="AU137" s="65">
        <f>AU132*'Assumptions &amp; Inputs'!$L$23</f>
        <v>0</v>
      </c>
      <c r="AV137" s="65">
        <f>AV132*'Assumptions &amp; Inputs'!$L$23</f>
        <v>0</v>
      </c>
      <c r="AW137" s="65">
        <f>AW132*'Assumptions &amp; Inputs'!$L$23</f>
        <v>0</v>
      </c>
    </row>
    <row r="138" spans="3:49" ht="14.25" customHeight="1">
      <c r="C138" s="44" t="s">
        <v>297</v>
      </c>
      <c r="D138" s="65">
        <f>D118*'Assumptions &amp; Inputs'!$L$110</f>
        <v>0</v>
      </c>
      <c r="E138" s="65">
        <f>E118*'Assumptions &amp; Inputs'!$L$110</f>
        <v>19.86768</v>
      </c>
      <c r="F138" s="65">
        <f>F118*'Assumptions &amp; Inputs'!$L$110</f>
        <v>26.49024</v>
      </c>
      <c r="G138" s="65">
        <f>G118*'Assumptions &amp; Inputs'!$L$110</f>
        <v>26.49024</v>
      </c>
      <c r="H138" s="65">
        <f>H118*'Assumptions &amp; Inputs'!$L$110</f>
        <v>26.49024</v>
      </c>
      <c r="I138" s="65">
        <f>I118*'Assumptions &amp; Inputs'!$L$110</f>
        <v>26.49024</v>
      </c>
      <c r="J138" s="65">
        <f>J118*'Assumptions &amp; Inputs'!$L$110</f>
        <v>26.49024</v>
      </c>
      <c r="K138" s="65">
        <f>K118*'Assumptions &amp; Inputs'!$L$110</f>
        <v>26.49024</v>
      </c>
      <c r="L138" s="65">
        <f>L118*'Assumptions &amp; Inputs'!$L$110</f>
        <v>26.49024</v>
      </c>
      <c r="M138" s="65">
        <f>M118*'Assumptions &amp; Inputs'!$L$110</f>
        <v>26.49024</v>
      </c>
      <c r="N138" s="65">
        <f>N118*'Assumptions &amp; Inputs'!$L$110</f>
        <v>26.49024</v>
      </c>
      <c r="O138" s="65">
        <f>O118*'Assumptions &amp; Inputs'!$L$110</f>
        <v>26.49024</v>
      </c>
      <c r="P138" s="65">
        <f>P118*'Assumptions &amp; Inputs'!$L$110</f>
        <v>26.49024</v>
      </c>
      <c r="Q138" s="65">
        <f>Q118*'Assumptions &amp; Inputs'!$L$110</f>
        <v>26.49024</v>
      </c>
      <c r="R138" s="65">
        <f>R118*'Assumptions &amp; Inputs'!$L$110</f>
        <v>26.49024</v>
      </c>
      <c r="S138" s="65">
        <f>S118*'Assumptions &amp; Inputs'!$L$110</f>
        <v>26.49024</v>
      </c>
      <c r="T138" s="65">
        <f>T118*'Assumptions &amp; Inputs'!$L$110</f>
        <v>26.49024</v>
      </c>
      <c r="U138" s="65">
        <f>U118*'Assumptions &amp; Inputs'!$L$110</f>
        <v>26.49024</v>
      </c>
      <c r="V138" s="65">
        <f>V118*'Assumptions &amp; Inputs'!$L$110</f>
        <v>26.49024</v>
      </c>
      <c r="W138" s="65">
        <f>W118*'Assumptions &amp; Inputs'!$L$110</f>
        <v>26.49024</v>
      </c>
      <c r="X138" s="65">
        <f>X118*'Assumptions &amp; Inputs'!$L$110</f>
        <v>26.49024</v>
      </c>
      <c r="Y138" s="65">
        <f>Y118*'Assumptions &amp; Inputs'!$L$110</f>
        <v>26.49024</v>
      </c>
      <c r="Z138" s="65">
        <f>Z118*'Assumptions &amp; Inputs'!$L$110</f>
        <v>26.49024</v>
      </c>
      <c r="AA138" s="65">
        <f>AA118*'Assumptions &amp; Inputs'!$L$110</f>
        <v>26.49024</v>
      </c>
      <c r="AB138" s="65">
        <f>AB118*'Assumptions &amp; Inputs'!$L$110</f>
        <v>26.49024</v>
      </c>
      <c r="AC138" s="65">
        <f>AC118*'Assumptions &amp; Inputs'!$L$110</f>
        <v>26.49024</v>
      </c>
      <c r="AD138" s="65">
        <f>AD118*'Assumptions &amp; Inputs'!$L$110</f>
        <v>26.49024</v>
      </c>
      <c r="AE138" s="65">
        <f>AE118*'Assumptions &amp; Inputs'!$L$110</f>
        <v>0</v>
      </c>
      <c r="AF138" s="65">
        <f>AF118*'Assumptions &amp; Inputs'!$L$110</f>
        <v>0</v>
      </c>
      <c r="AG138" s="65">
        <f>AG118*'Assumptions &amp; Inputs'!$L$110</f>
        <v>0</v>
      </c>
      <c r="AH138" s="65">
        <f>AH118*'Assumptions &amp; Inputs'!$L$110</f>
        <v>0</v>
      </c>
      <c r="AI138" s="65">
        <f>AI118*'Assumptions &amp; Inputs'!$L$110</f>
        <v>0</v>
      </c>
      <c r="AJ138" s="65">
        <f>AJ118*'Assumptions &amp; Inputs'!$L$110</f>
        <v>0</v>
      </c>
      <c r="AK138" s="65">
        <f>AK118*'Assumptions &amp; Inputs'!$L$110</f>
        <v>0</v>
      </c>
      <c r="AL138" s="65">
        <f>AL118*'Assumptions &amp; Inputs'!$L$110</f>
        <v>0</v>
      </c>
      <c r="AM138" s="65">
        <f>AM118*'Assumptions &amp; Inputs'!$L$110</f>
        <v>0</v>
      </c>
      <c r="AN138" s="65">
        <f>AN118*'Assumptions &amp; Inputs'!$L$110</f>
        <v>0</v>
      </c>
      <c r="AO138" s="65">
        <f>AO118*'Assumptions &amp; Inputs'!$L$110</f>
        <v>0</v>
      </c>
      <c r="AP138" s="65">
        <f>AP118*'Assumptions &amp; Inputs'!$L$110</f>
        <v>0</v>
      </c>
      <c r="AQ138" s="65">
        <f>AQ118*'Assumptions &amp; Inputs'!$L$110</f>
        <v>0</v>
      </c>
      <c r="AR138" s="65">
        <f>AR118*'Assumptions &amp; Inputs'!$L$110</f>
        <v>0</v>
      </c>
      <c r="AS138" s="65">
        <f>AS118*'Assumptions &amp; Inputs'!$L$110</f>
        <v>0</v>
      </c>
      <c r="AT138" s="65">
        <f>AT118*'Assumptions &amp; Inputs'!$L$110</f>
        <v>0</v>
      </c>
      <c r="AU138" s="65">
        <f>AU118*'Assumptions &amp; Inputs'!$L$110</f>
        <v>0</v>
      </c>
      <c r="AV138" s="65">
        <f>AV118*'Assumptions &amp; Inputs'!$L$110</f>
        <v>0</v>
      </c>
      <c r="AW138" s="65">
        <f>AW118*'Assumptions &amp; Inputs'!$L$110</f>
        <v>0</v>
      </c>
    </row>
    <row r="139" spans="3:49" ht="14.25" customHeight="1">
      <c r="C139" s="44" t="s">
        <v>239</v>
      </c>
      <c r="D139" s="273">
        <f>_xlfn.XLOOKUP(D110, 'Real Estate'!$D$103:$BA$103, 'Real Estate'!$D$113:$BA$113)</f>
        <v>0</v>
      </c>
      <c r="E139" s="273">
        <f>_xlfn.XLOOKUP(E110, 'Real Estate'!$D$103:$BA$103, 'Real Estate'!$D$113:$BA$113)</f>
        <v>0</v>
      </c>
      <c r="F139" s="273">
        <f>_xlfn.XLOOKUP(F110, 'Real Estate'!$D$103:$BA$103, 'Real Estate'!$D$113:$BA$113)</f>
        <v>0</v>
      </c>
      <c r="G139" s="273">
        <f>_xlfn.XLOOKUP(G110, 'Real Estate'!$D$103:$BA$103, 'Real Estate'!$D$113:$BA$113)</f>
        <v>0</v>
      </c>
      <c r="H139" s="273">
        <f>_xlfn.XLOOKUP(H110, 'Real Estate'!$D$103:$BA$103, 'Real Estate'!$D$113:$BA$113)</f>
        <v>0</v>
      </c>
      <c r="I139" s="273">
        <f>_xlfn.XLOOKUP(I110, 'Real Estate'!$D$103:$BA$103, 'Real Estate'!$D$113:$BA$113)</f>
        <v>0</v>
      </c>
      <c r="J139" s="273">
        <f>_xlfn.XLOOKUP(J110, 'Real Estate'!$D$103:$BA$103, 'Real Estate'!$D$113:$BA$113)</f>
        <v>0</v>
      </c>
      <c r="K139" s="273">
        <f>_xlfn.XLOOKUP(K110, 'Real Estate'!$D$103:$BA$103, 'Real Estate'!$D$113:$BA$113)</f>
        <v>0</v>
      </c>
      <c r="L139" s="273">
        <f>_xlfn.XLOOKUP(L110, 'Real Estate'!$D$103:$BA$103, 'Real Estate'!$D$113:$BA$113)</f>
        <v>0</v>
      </c>
      <c r="M139" s="273">
        <f>_xlfn.XLOOKUP(M110, 'Real Estate'!$D$103:$BA$103, 'Real Estate'!$D$113:$BA$113)</f>
        <v>0</v>
      </c>
      <c r="N139" s="273">
        <f>_xlfn.XLOOKUP(N110, 'Real Estate'!$D$103:$BA$103, 'Real Estate'!$D$113:$BA$113)</f>
        <v>0</v>
      </c>
      <c r="O139" s="273">
        <f>_xlfn.XLOOKUP(O110, 'Real Estate'!$D$103:$BA$103, 'Real Estate'!$D$113:$BA$113)</f>
        <v>0</v>
      </c>
      <c r="P139" s="273">
        <f>_xlfn.XLOOKUP(P110, 'Real Estate'!$D$103:$BA$103, 'Real Estate'!$D$113:$BA$113)</f>
        <v>0</v>
      </c>
      <c r="Q139" s="273">
        <f>_xlfn.XLOOKUP(Q110, 'Real Estate'!$D$103:$BA$103, 'Real Estate'!$D$113:$BA$113)</f>
        <v>0</v>
      </c>
      <c r="R139" s="273">
        <f>_xlfn.XLOOKUP(R110, 'Real Estate'!$D$103:$BA$103, 'Real Estate'!$D$113:$BA$113)</f>
        <v>0</v>
      </c>
      <c r="S139" s="273">
        <f>_xlfn.XLOOKUP(S110, 'Real Estate'!$D$103:$BA$103, 'Real Estate'!$D$113:$BA$113)</f>
        <v>0</v>
      </c>
      <c r="T139" s="273">
        <f>_xlfn.XLOOKUP(T110, 'Real Estate'!$D$103:$BA$103, 'Real Estate'!$D$113:$BA$113)</f>
        <v>0</v>
      </c>
      <c r="U139" s="273">
        <f>_xlfn.XLOOKUP(U110, 'Real Estate'!$D$103:$BA$103, 'Real Estate'!$D$113:$BA$113)</f>
        <v>0</v>
      </c>
      <c r="V139" s="273">
        <f>_xlfn.XLOOKUP(V110, 'Real Estate'!$D$103:$BA$103, 'Real Estate'!$D$113:$BA$113)</f>
        <v>0</v>
      </c>
      <c r="W139" s="273">
        <f>_xlfn.XLOOKUP(W110, 'Real Estate'!$D$103:$BA$103, 'Real Estate'!$D$113:$BA$113)</f>
        <v>0</v>
      </c>
      <c r="X139" s="273">
        <f>_xlfn.XLOOKUP(X110, 'Real Estate'!$D$103:$BA$103, 'Real Estate'!$D$113:$BA$113)</f>
        <v>0</v>
      </c>
      <c r="Y139" s="273">
        <f>_xlfn.XLOOKUP(Y110, 'Real Estate'!$D$103:$BA$103, 'Real Estate'!$D$113:$BA$113)</f>
        <v>0</v>
      </c>
      <c r="Z139" s="273">
        <f>_xlfn.XLOOKUP(Z110, 'Real Estate'!$D$103:$BA$103, 'Real Estate'!$D$113:$BA$113)</f>
        <v>0</v>
      </c>
      <c r="AA139" s="273">
        <f>_xlfn.XLOOKUP(AA110, 'Real Estate'!$D$103:$BA$103, 'Real Estate'!$D$113:$BA$113)</f>
        <v>0</v>
      </c>
      <c r="AB139" s="273">
        <f>_xlfn.XLOOKUP(AB110, 'Real Estate'!$D$103:$BA$103, 'Real Estate'!$D$113:$BA$113)</f>
        <v>0</v>
      </c>
      <c r="AC139" s="273">
        <f>_xlfn.XLOOKUP(AC110, 'Real Estate'!$D$103:$BA$103, 'Real Estate'!$D$113:$BA$113)</f>
        <v>0</v>
      </c>
      <c r="AD139" s="273">
        <f>_xlfn.XLOOKUP(AD110, 'Real Estate'!$D$103:$BA$103, 'Real Estate'!$D$113:$BA$113)</f>
        <v>0</v>
      </c>
      <c r="AE139" s="273">
        <f>_xlfn.XLOOKUP(AE110, 'Real Estate'!$D$103:$BA$103, 'Real Estate'!$D$113:$BA$113)</f>
        <v>0</v>
      </c>
      <c r="AF139" s="273">
        <f>_xlfn.XLOOKUP(AF110, 'Real Estate'!$D$103:$BA$103, 'Real Estate'!$D$113:$BA$113)</f>
        <v>0</v>
      </c>
      <c r="AG139" s="273">
        <f>_xlfn.XLOOKUP(AG110, 'Real Estate'!$D$103:$BA$103, 'Real Estate'!$D$113:$BA$113)</f>
        <v>0</v>
      </c>
      <c r="AH139" s="273">
        <f>_xlfn.XLOOKUP(AH110, 'Real Estate'!$D$103:$BA$103, 'Real Estate'!$D$113:$BA$113)</f>
        <v>0</v>
      </c>
      <c r="AI139" s="273">
        <f>_xlfn.XLOOKUP(AI110, 'Real Estate'!$D$103:$BA$103, 'Real Estate'!$D$113:$BA$113)</f>
        <v>0</v>
      </c>
      <c r="AJ139" s="273">
        <f>_xlfn.XLOOKUP(AJ110, 'Real Estate'!$D$103:$BA$103, 'Real Estate'!$D$113:$BA$113)</f>
        <v>0</v>
      </c>
      <c r="AK139" s="273">
        <f>_xlfn.XLOOKUP(AK110, 'Real Estate'!$D$103:$BA$103, 'Real Estate'!$D$113:$BA$113)</f>
        <v>0</v>
      </c>
      <c r="AL139" s="273">
        <f>_xlfn.XLOOKUP(AL110, 'Real Estate'!$D$103:$BA$103, 'Real Estate'!$D$113:$BA$113)</f>
        <v>0</v>
      </c>
      <c r="AM139" s="273">
        <f>_xlfn.XLOOKUP(AM110, 'Real Estate'!$D$103:$BA$103, 'Real Estate'!$D$113:$BA$113)</f>
        <v>0</v>
      </c>
      <c r="AN139" s="273">
        <f>_xlfn.XLOOKUP(AN110, 'Real Estate'!$D$103:$BA$103, 'Real Estate'!$D$113:$BA$113)</f>
        <v>0</v>
      </c>
      <c r="AO139" s="273">
        <f>_xlfn.XLOOKUP(AO110, 'Real Estate'!$D$103:$BA$103, 'Real Estate'!$D$113:$BA$113)</f>
        <v>0</v>
      </c>
      <c r="AP139" s="273">
        <f>_xlfn.XLOOKUP(AP110, 'Real Estate'!$D$103:$BA$103, 'Real Estate'!$D$113:$BA$113)</f>
        <v>0</v>
      </c>
      <c r="AQ139" s="273">
        <f>_xlfn.XLOOKUP(AQ110, 'Real Estate'!$D$103:$BA$103, 'Real Estate'!$D$113:$BA$113)</f>
        <v>0</v>
      </c>
      <c r="AR139" s="273">
        <f>_xlfn.XLOOKUP(AR110, 'Real Estate'!$D$103:$BA$103, 'Real Estate'!$D$113:$BA$113)</f>
        <v>0</v>
      </c>
      <c r="AS139" s="273">
        <f>_xlfn.XLOOKUP(AS110, 'Real Estate'!$D$103:$BA$103, 'Real Estate'!$D$113:$BA$113)</f>
        <v>0</v>
      </c>
      <c r="AT139" s="273">
        <f>_xlfn.XLOOKUP(AT110, 'Real Estate'!$D$103:$BA$103, 'Real Estate'!$D$113:$BA$113)</f>
        <v>0</v>
      </c>
      <c r="AU139" s="273">
        <f>_xlfn.XLOOKUP(AU110, 'Real Estate'!$D$103:$BA$103, 'Real Estate'!$D$113:$BA$113)</f>
        <v>0</v>
      </c>
      <c r="AV139" s="273">
        <f>_xlfn.XLOOKUP(AV110, 'Real Estate'!$D$103:$BA$103, 'Real Estate'!$D$113:$BA$113)</f>
        <v>0</v>
      </c>
      <c r="AW139" s="273">
        <f>_xlfn.XLOOKUP(AW110, 'Real Estate'!$D$103:$BA$103, 'Real Estate'!$D$113:$BA$113)</f>
        <v>0</v>
      </c>
    </row>
    <row r="140" spans="3:49" ht="14.25" customHeight="1">
      <c r="C140" s="44" t="s">
        <v>540</v>
      </c>
      <c r="D140" s="65">
        <f>IF(YEAR('Assumptions &amp; Inputs'!$L$31)&gt;D110, 0, IF(D110=YEAR('Assumptions &amp; Inputs'!$L$31),('Assumptions &amp; Inputs'!$L$67*(1+'Assumptions &amp; Inputs'!$L$22)^D108)*YEARFRAC('Assumptions &amp; Inputs'!$L$31,'Assumptions &amp; Inputs'!$L$32), IF(YEAR('Assumptions &amp; Inputs'!$L$36)&gt;=D110, 'Assumptions &amp; Inputs'!$L$67*(1+'Assumptions &amp; Inputs'!$L$22)^D108, 0)))</f>
        <v>0</v>
      </c>
      <c r="E140" s="65">
        <f>IF(YEAR('Assumptions &amp; Inputs'!$L$31)&gt;E110, 0, IF(E110=YEAR('Assumptions &amp; Inputs'!$L$31),('Assumptions &amp; Inputs'!$L$67*(1+'Assumptions &amp; Inputs'!$L$22)^E108)*YEARFRAC('Assumptions &amp; Inputs'!$L$31,'Assumptions &amp; Inputs'!$L$32), IF(YEAR('Assumptions &amp; Inputs'!$L$36)&gt;=E110, 'Assumptions &amp; Inputs'!$L$67*(1+'Assumptions &amp; Inputs'!$L$22)^E108, 0)))</f>
        <v>4.1310000000000002</v>
      </c>
      <c r="F140" s="65">
        <f>IF(YEAR('Assumptions &amp; Inputs'!$L$31)&gt;F110, 0, IF(F110=YEAR('Assumptions &amp; Inputs'!$L$31),('Assumptions &amp; Inputs'!$L$67*(1+'Assumptions &amp; Inputs'!$L$22)^F108)*YEARFRAC('Assumptions &amp; Inputs'!$L$31,'Assumptions &amp; Inputs'!$L$32), IF(YEAR('Assumptions &amp; Inputs'!$L$36)&gt;=F110, 'Assumptions &amp; Inputs'!$L$67*(1+'Assumptions &amp; Inputs'!$L$22)^F108, 0)))</f>
        <v>5.6181600000000005</v>
      </c>
      <c r="G140" s="65">
        <f>IF(YEAR('Assumptions &amp; Inputs'!$L$31)&gt;G110, 0, IF(G110=YEAR('Assumptions &amp; Inputs'!$L$31),('Assumptions &amp; Inputs'!$L$67*(1+'Assumptions &amp; Inputs'!$L$22)^G108)*YEARFRAC('Assumptions &amp; Inputs'!$L$31,'Assumptions &amp; Inputs'!$L$32), IF(YEAR('Assumptions &amp; Inputs'!$L$36)&gt;=G110, 'Assumptions &amp; Inputs'!$L$67*(1+'Assumptions &amp; Inputs'!$L$22)^G108, 0)))</f>
        <v>5.7305232000000004</v>
      </c>
      <c r="H140" s="65">
        <f>IF(YEAR('Assumptions &amp; Inputs'!$L$31)&gt;H110, 0, IF(H110=YEAR('Assumptions &amp; Inputs'!$L$31),('Assumptions &amp; Inputs'!$L$67*(1+'Assumptions &amp; Inputs'!$L$22)^H108)*YEARFRAC('Assumptions &amp; Inputs'!$L$31,'Assumptions &amp; Inputs'!$L$32), IF(YEAR('Assumptions &amp; Inputs'!$L$36)&gt;=H110, 'Assumptions &amp; Inputs'!$L$67*(1+'Assumptions &amp; Inputs'!$L$22)^H108, 0)))</f>
        <v>5.8451336640000005</v>
      </c>
      <c r="I140" s="65">
        <f>IF(YEAR('Assumptions &amp; Inputs'!$L$31)&gt;I110, 0, IF(I110=YEAR('Assumptions &amp; Inputs'!$L$31),('Assumptions &amp; Inputs'!$L$67*(1+'Assumptions &amp; Inputs'!$L$22)^I108)*YEARFRAC('Assumptions &amp; Inputs'!$L$31,'Assumptions &amp; Inputs'!$L$32), IF(YEAR('Assumptions &amp; Inputs'!$L$36)&gt;=I110, 'Assumptions &amp; Inputs'!$L$67*(1+'Assumptions &amp; Inputs'!$L$22)^I108, 0)))</f>
        <v>5.9620363372800007</v>
      </c>
      <c r="J140" s="65">
        <f>IF(YEAR('Assumptions &amp; Inputs'!$L$31)&gt;J110, 0, IF(J110=YEAR('Assumptions &amp; Inputs'!$L$31),('Assumptions &amp; Inputs'!$L$67*(1+'Assumptions &amp; Inputs'!$L$22)^J108)*YEARFRAC('Assumptions &amp; Inputs'!$L$31,'Assumptions &amp; Inputs'!$L$32), IF(YEAR('Assumptions &amp; Inputs'!$L$36)&gt;=J110, 'Assumptions &amp; Inputs'!$L$67*(1+'Assumptions &amp; Inputs'!$L$22)^J108, 0)))</f>
        <v>6.0812770640256009</v>
      </c>
      <c r="K140" s="65">
        <f>IF(YEAR('Assumptions &amp; Inputs'!$L$31)&gt;K110, 0, IF(K110=YEAR('Assumptions &amp; Inputs'!$L$31),('Assumptions &amp; Inputs'!$L$67*(1+'Assumptions &amp; Inputs'!$L$22)^K108)*YEARFRAC('Assumptions &amp; Inputs'!$L$31,'Assumptions &amp; Inputs'!$L$32), IF(YEAR('Assumptions &amp; Inputs'!$L$36)&gt;=K110, 'Assumptions &amp; Inputs'!$L$67*(1+'Assumptions &amp; Inputs'!$L$22)^K108, 0)))</f>
        <v>6.2029026053061118</v>
      </c>
      <c r="L140" s="65">
        <f>IF(YEAR('Assumptions &amp; Inputs'!$L$31)&gt;L110, 0, IF(L110=YEAR('Assumptions &amp; Inputs'!$L$31),('Assumptions &amp; Inputs'!$L$67*(1+'Assumptions &amp; Inputs'!$L$22)^L108)*YEARFRAC('Assumptions &amp; Inputs'!$L$31,'Assumptions &amp; Inputs'!$L$32), IF(YEAR('Assumptions &amp; Inputs'!$L$36)&gt;=L110, 'Assumptions &amp; Inputs'!$L$67*(1+'Assumptions &amp; Inputs'!$L$22)^L108, 0)))</f>
        <v>6.3269606574122346</v>
      </c>
      <c r="M140" s="65">
        <f>IF(YEAR('Assumptions &amp; Inputs'!$L$31)&gt;M110, 0, IF(M110=YEAR('Assumptions &amp; Inputs'!$L$31),('Assumptions &amp; Inputs'!$L$67*(1+'Assumptions &amp; Inputs'!$L$22)^M108)*YEARFRAC('Assumptions &amp; Inputs'!$L$31,'Assumptions &amp; Inputs'!$L$32), IF(YEAR('Assumptions &amp; Inputs'!$L$36)&gt;=M110, 'Assumptions &amp; Inputs'!$L$67*(1+'Assumptions &amp; Inputs'!$L$22)^M108, 0)))</f>
        <v>6.4534998705604787</v>
      </c>
      <c r="N140" s="65">
        <f>IF(YEAR('Assumptions &amp; Inputs'!$L$31)&gt;N110, 0, IF(N110=YEAR('Assumptions &amp; Inputs'!$L$31),('Assumptions &amp; Inputs'!$L$67*(1+'Assumptions &amp; Inputs'!$L$22)^N108)*YEARFRAC('Assumptions &amp; Inputs'!$L$31,'Assumptions &amp; Inputs'!$L$32), IF(YEAR('Assumptions &amp; Inputs'!$L$36)&gt;=N110, 'Assumptions &amp; Inputs'!$L$67*(1+'Assumptions &amp; Inputs'!$L$22)^N108, 0)))</f>
        <v>6.5825698679716886</v>
      </c>
      <c r="O140" s="65">
        <f>IF(YEAR('Assumptions &amp; Inputs'!$L$31)&gt;O110, 0, IF(O110=YEAR('Assumptions &amp; Inputs'!$L$31),('Assumptions &amp; Inputs'!$L$67*(1+'Assumptions &amp; Inputs'!$L$22)^O108)*YEARFRAC('Assumptions &amp; Inputs'!$L$31,'Assumptions &amp; Inputs'!$L$32), IF(YEAR('Assumptions &amp; Inputs'!$L$36)&gt;=O110, 'Assumptions &amp; Inputs'!$L$67*(1+'Assumptions &amp; Inputs'!$L$22)^O108, 0)))</f>
        <v>6.7142212653311217</v>
      </c>
      <c r="P140" s="65">
        <f>IF(YEAR('Assumptions &amp; Inputs'!$L$31)&gt;P110, 0, IF(P110=YEAR('Assumptions &amp; Inputs'!$L$31),('Assumptions &amp; Inputs'!$L$67*(1+'Assumptions &amp; Inputs'!$L$22)^P108)*YEARFRAC('Assumptions &amp; Inputs'!$L$31,'Assumptions &amp; Inputs'!$L$32), IF(YEAR('Assumptions &amp; Inputs'!$L$36)&gt;=P110, 'Assumptions &amp; Inputs'!$L$67*(1+'Assumptions &amp; Inputs'!$L$22)^P108, 0)))</f>
        <v>6.8485056906377446</v>
      </c>
      <c r="Q140" s="65">
        <f>IF(YEAR('Assumptions &amp; Inputs'!$L$31)&gt;Q110, 0, IF(Q110=YEAR('Assumptions &amp; Inputs'!$L$31),('Assumptions &amp; Inputs'!$L$67*(1+'Assumptions &amp; Inputs'!$L$22)^Q108)*YEARFRAC('Assumptions &amp; Inputs'!$L$31,'Assumptions &amp; Inputs'!$L$32), IF(YEAR('Assumptions &amp; Inputs'!$L$36)&gt;=Q110, 'Assumptions &amp; Inputs'!$L$67*(1+'Assumptions &amp; Inputs'!$L$22)^Q108, 0)))</f>
        <v>6.9854758044504992</v>
      </c>
      <c r="R140" s="65">
        <f>IF(YEAR('Assumptions &amp; Inputs'!$L$31)&gt;R110, 0, IF(R110=YEAR('Assumptions &amp; Inputs'!$L$31),('Assumptions &amp; Inputs'!$L$67*(1+'Assumptions &amp; Inputs'!$L$22)^R108)*YEARFRAC('Assumptions &amp; Inputs'!$L$31,'Assumptions &amp; Inputs'!$L$32), IF(YEAR('Assumptions &amp; Inputs'!$L$36)&gt;=R110, 'Assumptions &amp; Inputs'!$L$67*(1+'Assumptions &amp; Inputs'!$L$22)^R108, 0)))</f>
        <v>7.1251853205395097</v>
      </c>
      <c r="S140" s="65">
        <f>IF(YEAR('Assumptions &amp; Inputs'!$L$31)&gt;S110, 0, IF(S110=YEAR('Assumptions &amp; Inputs'!$L$31),('Assumptions &amp; Inputs'!$L$67*(1+'Assumptions &amp; Inputs'!$L$22)^S108)*YEARFRAC('Assumptions &amp; Inputs'!$L$31,'Assumptions &amp; Inputs'!$L$32), IF(YEAR('Assumptions &amp; Inputs'!$L$36)&gt;=S110, 'Assumptions &amp; Inputs'!$L$67*(1+'Assumptions &amp; Inputs'!$L$22)^S108, 0)))</f>
        <v>7.2676890269502978</v>
      </c>
      <c r="T140" s="65">
        <f>IF(YEAR('Assumptions &amp; Inputs'!$L$31)&gt;T110, 0, IF(T110=YEAR('Assumptions &amp; Inputs'!$L$31),('Assumptions &amp; Inputs'!$L$67*(1+'Assumptions &amp; Inputs'!$L$22)^T108)*YEARFRAC('Assumptions &amp; Inputs'!$L$31,'Assumptions &amp; Inputs'!$L$32), IF(YEAR('Assumptions &amp; Inputs'!$L$36)&gt;=T110, 'Assumptions &amp; Inputs'!$L$67*(1+'Assumptions &amp; Inputs'!$L$22)^T108, 0)))</f>
        <v>7.4130428074893056</v>
      </c>
      <c r="U140" s="65">
        <f>IF(YEAR('Assumptions &amp; Inputs'!$L$31)&gt;U110, 0, IF(U110=YEAR('Assumptions &amp; Inputs'!$L$31),('Assumptions &amp; Inputs'!$L$67*(1+'Assumptions &amp; Inputs'!$L$22)^U108)*YEARFRAC('Assumptions &amp; Inputs'!$L$31,'Assumptions &amp; Inputs'!$L$32), IF(YEAR('Assumptions &amp; Inputs'!$L$36)&gt;=U110, 'Assumptions &amp; Inputs'!$L$67*(1+'Assumptions &amp; Inputs'!$L$22)^U108, 0)))</f>
        <v>7.5613036636390927</v>
      </c>
      <c r="V140" s="65">
        <f>IF(YEAR('Assumptions &amp; Inputs'!$L$31)&gt;V110, 0, IF(V110=YEAR('Assumptions &amp; Inputs'!$L$31),('Assumptions &amp; Inputs'!$L$67*(1+'Assumptions &amp; Inputs'!$L$22)^V108)*YEARFRAC('Assumptions &amp; Inputs'!$L$31,'Assumptions &amp; Inputs'!$L$32), IF(YEAR('Assumptions &amp; Inputs'!$L$36)&gt;=V110, 'Assumptions &amp; Inputs'!$L$67*(1+'Assumptions &amp; Inputs'!$L$22)^V108, 0)))</f>
        <v>7.7125297369118728</v>
      </c>
      <c r="W140" s="65">
        <f>IF(YEAR('Assumptions &amp; Inputs'!$L$31)&gt;W110, 0, IF(W110=YEAR('Assumptions &amp; Inputs'!$L$31),('Assumptions &amp; Inputs'!$L$67*(1+'Assumptions &amp; Inputs'!$L$22)^W108)*YEARFRAC('Assumptions &amp; Inputs'!$L$31,'Assumptions &amp; Inputs'!$L$32), IF(YEAR('Assumptions &amp; Inputs'!$L$36)&gt;=W110, 'Assumptions &amp; Inputs'!$L$67*(1+'Assumptions &amp; Inputs'!$L$22)^W108, 0)))</f>
        <v>7.8667803316501104</v>
      </c>
      <c r="X140" s="65">
        <f>IF(YEAR('Assumptions &amp; Inputs'!$L$31)&gt;X110, 0, IF(X110=YEAR('Assumptions &amp; Inputs'!$L$31),('Assumptions &amp; Inputs'!$L$67*(1+'Assumptions &amp; Inputs'!$L$22)^X108)*YEARFRAC('Assumptions &amp; Inputs'!$L$31,'Assumptions &amp; Inputs'!$L$32), IF(YEAR('Assumptions &amp; Inputs'!$L$36)&gt;=X110, 'Assumptions &amp; Inputs'!$L$67*(1+'Assumptions &amp; Inputs'!$L$22)^X108, 0)))</f>
        <v>8.0241159382831135</v>
      </c>
      <c r="Y140" s="65">
        <f>IF(YEAR('Assumptions &amp; Inputs'!$L$31)&gt;Y110, 0, IF(Y110=YEAR('Assumptions &amp; Inputs'!$L$31),('Assumptions &amp; Inputs'!$L$67*(1+'Assumptions &amp; Inputs'!$L$22)^Y108)*YEARFRAC('Assumptions &amp; Inputs'!$L$31,'Assumptions &amp; Inputs'!$L$32), IF(YEAR('Assumptions &amp; Inputs'!$L$36)&gt;=Y110, 'Assumptions &amp; Inputs'!$L$67*(1+'Assumptions &amp; Inputs'!$L$22)^Y108, 0)))</f>
        <v>8.1845982570487745</v>
      </c>
      <c r="Z140" s="65">
        <f>IF(YEAR('Assumptions &amp; Inputs'!$L$31)&gt;Z110, 0, IF(Z110=YEAR('Assumptions &amp; Inputs'!$L$31),('Assumptions &amp; Inputs'!$L$67*(1+'Assumptions &amp; Inputs'!$L$22)^Z108)*YEARFRAC('Assumptions &amp; Inputs'!$L$31,'Assumptions &amp; Inputs'!$L$32), IF(YEAR('Assumptions &amp; Inputs'!$L$36)&gt;=Z110, 'Assumptions &amp; Inputs'!$L$67*(1+'Assumptions &amp; Inputs'!$L$22)^Z108, 0)))</f>
        <v>8.3482902221897515</v>
      </c>
      <c r="AA140" s="65">
        <f>IF(YEAR('Assumptions &amp; Inputs'!$L$31)&gt;AA110, 0, IF(AA110=YEAR('Assumptions &amp; Inputs'!$L$31),('Assumptions &amp; Inputs'!$L$67*(1+'Assumptions &amp; Inputs'!$L$22)^AA108)*YEARFRAC('Assumptions &amp; Inputs'!$L$31,'Assumptions &amp; Inputs'!$L$32), IF(YEAR('Assumptions &amp; Inputs'!$L$36)&gt;=AA110, 'Assumptions &amp; Inputs'!$L$67*(1+'Assumptions &amp; Inputs'!$L$22)^AA108, 0)))</f>
        <v>8.5152560266335442</v>
      </c>
      <c r="AB140" s="65">
        <f>IF(YEAR('Assumptions &amp; Inputs'!$L$31)&gt;AB110, 0, IF(AB110=YEAR('Assumptions &amp; Inputs'!$L$31),('Assumptions &amp; Inputs'!$L$67*(1+'Assumptions &amp; Inputs'!$L$22)^AB108)*YEARFRAC('Assumptions &amp; Inputs'!$L$31,'Assumptions &amp; Inputs'!$L$32), IF(YEAR('Assumptions &amp; Inputs'!$L$36)&gt;=AB110, 'Assumptions &amp; Inputs'!$L$67*(1+'Assumptions &amp; Inputs'!$L$22)^AB108, 0)))</f>
        <v>8.6855611471662151</v>
      </c>
      <c r="AC140" s="65">
        <f>IF(YEAR('Assumptions &amp; Inputs'!$L$31)&gt;AC110, 0, IF(AC110=YEAR('Assumptions &amp; Inputs'!$L$31),('Assumptions &amp; Inputs'!$L$67*(1+'Assumptions &amp; Inputs'!$L$22)^AC108)*YEARFRAC('Assumptions &amp; Inputs'!$L$31,'Assumptions &amp; Inputs'!$L$32), IF(YEAR('Assumptions &amp; Inputs'!$L$36)&gt;=AC110, 'Assumptions &amp; Inputs'!$L$67*(1+'Assumptions &amp; Inputs'!$L$22)^AC108, 0)))</f>
        <v>8.8592723701095402</v>
      </c>
      <c r="AD140" s="65">
        <f>IF(YEAR('Assumptions &amp; Inputs'!$L$31)&gt;AD110, 0, IF(AD110=YEAR('Assumptions &amp; Inputs'!$L$31),('Assumptions &amp; Inputs'!$L$67*(1+'Assumptions &amp; Inputs'!$L$22)^AD108)*YEARFRAC('Assumptions &amp; Inputs'!$L$31,'Assumptions &amp; Inputs'!$L$32), IF(YEAR('Assumptions &amp; Inputs'!$L$36)&gt;=AD110, 'Assumptions &amp; Inputs'!$L$67*(1+'Assumptions &amp; Inputs'!$L$22)^AD108, 0)))</f>
        <v>9.0364578175117316</v>
      </c>
      <c r="AE140" s="65">
        <f>IF(YEAR('Assumptions &amp; Inputs'!$L$31)&gt;AE110, 0, IF(AE110=YEAR('Assumptions &amp; Inputs'!$L$31),('Assumptions &amp; Inputs'!$L$67*(1+'Assumptions &amp; Inputs'!$L$22)^AE108)*YEARFRAC('Assumptions &amp; Inputs'!$L$31,'Assumptions &amp; Inputs'!$L$32), IF(YEAR('Assumptions &amp; Inputs'!$L$36)&gt;=AE110, 'Assumptions &amp; Inputs'!$L$67*(1+'Assumptions &amp; Inputs'!$L$22)^AE108, 0)))</f>
        <v>0</v>
      </c>
      <c r="AF140" s="65">
        <f>IF(YEAR('Assumptions &amp; Inputs'!$L$31)&gt;AF110, 0, IF(AF110=YEAR('Assumptions &amp; Inputs'!$L$31),('Assumptions &amp; Inputs'!$L$67*(1+'Assumptions &amp; Inputs'!$L$22)^AF108)*YEARFRAC('Assumptions &amp; Inputs'!$L$31,'Assumptions &amp; Inputs'!$L$32), IF(YEAR('Assumptions &amp; Inputs'!$L$36)&gt;=AF110, 'Assumptions &amp; Inputs'!$L$67*(1+'Assumptions &amp; Inputs'!$L$22)^AF108, 0)))</f>
        <v>0</v>
      </c>
      <c r="AG140" s="65">
        <f>IF(YEAR('Assumptions &amp; Inputs'!$L$31)&gt;AG110, 0, IF(AG110=YEAR('Assumptions &amp; Inputs'!$L$31),('Assumptions &amp; Inputs'!$L$67*(1+'Assumptions &amp; Inputs'!$L$22)^AG108)*YEARFRAC('Assumptions &amp; Inputs'!$L$31,'Assumptions &amp; Inputs'!$L$32), IF(YEAR('Assumptions &amp; Inputs'!$L$36)&gt;=AG110, 'Assumptions &amp; Inputs'!$L$67*(1+'Assumptions &amp; Inputs'!$L$22)^AG108, 0)))</f>
        <v>0</v>
      </c>
      <c r="AH140" s="65">
        <f>IF(YEAR('Assumptions &amp; Inputs'!$L$31)&gt;AH110, 0, IF(AH110=YEAR('Assumptions &amp; Inputs'!$L$31),('Assumptions &amp; Inputs'!$L$67*(1+'Assumptions &amp; Inputs'!$L$22)^AH108)*YEARFRAC('Assumptions &amp; Inputs'!$L$31,'Assumptions &amp; Inputs'!$L$32), IF(YEAR('Assumptions &amp; Inputs'!$L$36)&gt;=AH110, 'Assumptions &amp; Inputs'!$L$67*(1+'Assumptions &amp; Inputs'!$L$22)^AH108, 0)))</f>
        <v>0</v>
      </c>
      <c r="AI140" s="65">
        <f>IF(YEAR('Assumptions &amp; Inputs'!$L$31)&gt;AI110, 0, IF(AI110=YEAR('Assumptions &amp; Inputs'!$L$31),('Assumptions &amp; Inputs'!$L$67*(1+'Assumptions &amp; Inputs'!$L$22)^AI108)*YEARFRAC('Assumptions &amp; Inputs'!$L$31,'Assumptions &amp; Inputs'!$L$32), IF(YEAR('Assumptions &amp; Inputs'!$L$36)&gt;=AI110, 'Assumptions &amp; Inputs'!$L$67*(1+'Assumptions &amp; Inputs'!$L$22)^AI108, 0)))</f>
        <v>0</v>
      </c>
      <c r="AJ140" s="65">
        <f>IF(YEAR('Assumptions &amp; Inputs'!$L$31)&gt;AJ110, 0, IF(AJ110=YEAR('Assumptions &amp; Inputs'!$L$31),('Assumptions &amp; Inputs'!$L$67*(1+'Assumptions &amp; Inputs'!$L$22)^AJ108)*YEARFRAC('Assumptions &amp; Inputs'!$L$31,'Assumptions &amp; Inputs'!$L$32), IF(YEAR('Assumptions &amp; Inputs'!$L$36)&gt;=AJ110, 'Assumptions &amp; Inputs'!$L$67*(1+'Assumptions &amp; Inputs'!$L$22)^AJ108, 0)))</f>
        <v>0</v>
      </c>
      <c r="AK140" s="65">
        <f>IF(YEAR('Assumptions &amp; Inputs'!$L$31)&gt;AK110, 0, IF(AK110=YEAR('Assumptions &amp; Inputs'!$L$31),('Assumptions &amp; Inputs'!$L$67*(1+'Assumptions &amp; Inputs'!$L$22)^AK108)*YEARFRAC('Assumptions &amp; Inputs'!$L$31,'Assumptions &amp; Inputs'!$L$32), IF(YEAR('Assumptions &amp; Inputs'!$L$36)&gt;=AK110, 'Assumptions &amp; Inputs'!$L$67*(1+'Assumptions &amp; Inputs'!$L$22)^AK108, 0)))</f>
        <v>0</v>
      </c>
      <c r="AL140" s="65">
        <f>IF(YEAR('Assumptions &amp; Inputs'!$L$31)&gt;AL110, 0, IF(AL110=YEAR('Assumptions &amp; Inputs'!$L$31),('Assumptions &amp; Inputs'!$L$67*(1+'Assumptions &amp; Inputs'!$L$22)^AL108)*YEARFRAC('Assumptions &amp; Inputs'!$L$31,'Assumptions &amp; Inputs'!$L$32), IF(YEAR('Assumptions &amp; Inputs'!$L$36)&gt;=AL110, 'Assumptions &amp; Inputs'!$L$67*(1+'Assumptions &amp; Inputs'!$L$22)^AL108, 0)))</f>
        <v>0</v>
      </c>
      <c r="AM140" s="65">
        <f>IF(YEAR('Assumptions &amp; Inputs'!$L$31)&gt;AM110, 0, IF(AM110=YEAR('Assumptions &amp; Inputs'!$L$31),('Assumptions &amp; Inputs'!$L$67*(1+'Assumptions &amp; Inputs'!$L$22)^AM108)*YEARFRAC('Assumptions &amp; Inputs'!$L$31,'Assumptions &amp; Inputs'!$L$32), IF(YEAR('Assumptions &amp; Inputs'!$L$36)&gt;=AM110, 'Assumptions &amp; Inputs'!$L$67*(1+'Assumptions &amp; Inputs'!$L$22)^AM108, 0)))</f>
        <v>0</v>
      </c>
      <c r="AN140" s="65">
        <f>IF(YEAR('Assumptions &amp; Inputs'!$L$31)&gt;AN110, 0, IF(AN110=YEAR('Assumptions &amp; Inputs'!$L$31),('Assumptions &amp; Inputs'!$L$67*(1+'Assumptions &amp; Inputs'!$L$22)^AN108)*YEARFRAC('Assumptions &amp; Inputs'!$L$31,'Assumptions &amp; Inputs'!$L$32), IF(YEAR('Assumptions &amp; Inputs'!$L$36)&gt;=AN110, 'Assumptions &amp; Inputs'!$L$67*(1+'Assumptions &amp; Inputs'!$L$22)^AN108, 0)))</f>
        <v>0</v>
      </c>
      <c r="AO140" s="65">
        <f>IF(YEAR('Assumptions &amp; Inputs'!$L$31)&gt;AO110, 0, IF(AO110=YEAR('Assumptions &amp; Inputs'!$L$31),('Assumptions &amp; Inputs'!$L$67*(1+'Assumptions &amp; Inputs'!$L$22)^AO108)*YEARFRAC('Assumptions &amp; Inputs'!$L$31,'Assumptions &amp; Inputs'!$L$32), IF(YEAR('Assumptions &amp; Inputs'!$L$36)&gt;=AO110, 'Assumptions &amp; Inputs'!$L$67*(1+'Assumptions &amp; Inputs'!$L$22)^AO108, 0)))</f>
        <v>0</v>
      </c>
      <c r="AP140" s="65">
        <f>IF(YEAR('Assumptions &amp; Inputs'!$L$31)&gt;AP110, 0, IF(AP110=YEAR('Assumptions &amp; Inputs'!$L$31),('Assumptions &amp; Inputs'!$L$67*(1+'Assumptions &amp; Inputs'!$L$22)^AP108)*YEARFRAC('Assumptions &amp; Inputs'!$L$31,'Assumptions &amp; Inputs'!$L$32), IF(YEAR('Assumptions &amp; Inputs'!$L$36)&gt;=AP110, 'Assumptions &amp; Inputs'!$L$67*(1+'Assumptions &amp; Inputs'!$L$22)^AP108, 0)))</f>
        <v>0</v>
      </c>
      <c r="AQ140" s="65">
        <f>IF(YEAR('Assumptions &amp; Inputs'!$L$31)&gt;AQ110, 0, IF(AQ110=YEAR('Assumptions &amp; Inputs'!$L$31),('Assumptions &amp; Inputs'!$L$67*(1+'Assumptions &amp; Inputs'!$L$22)^AQ108)*YEARFRAC('Assumptions &amp; Inputs'!$L$31,'Assumptions &amp; Inputs'!$L$32), IF(YEAR('Assumptions &amp; Inputs'!$L$36)&gt;=AQ110, 'Assumptions &amp; Inputs'!$L$67*(1+'Assumptions &amp; Inputs'!$L$22)^AQ108, 0)))</f>
        <v>0</v>
      </c>
      <c r="AR140" s="65">
        <f>IF(YEAR('Assumptions &amp; Inputs'!$L$31)&gt;AR110, 0, IF(AR110=YEAR('Assumptions &amp; Inputs'!$L$31),('Assumptions &amp; Inputs'!$L$67*(1+'Assumptions &amp; Inputs'!$L$22)^AR108)*YEARFRAC('Assumptions &amp; Inputs'!$L$31,'Assumptions &amp; Inputs'!$L$32), IF(YEAR('Assumptions &amp; Inputs'!$L$36)&gt;=AR110, 'Assumptions &amp; Inputs'!$L$67*(1+'Assumptions &amp; Inputs'!$L$22)^AR108, 0)))</f>
        <v>0</v>
      </c>
      <c r="AS140" s="65">
        <f>IF(YEAR('Assumptions &amp; Inputs'!$L$31)&gt;AS110, 0, IF(AS110=YEAR('Assumptions &amp; Inputs'!$L$31),('Assumptions &amp; Inputs'!$L$67*(1+'Assumptions &amp; Inputs'!$L$22)^AS108)*YEARFRAC('Assumptions &amp; Inputs'!$L$31,'Assumptions &amp; Inputs'!$L$32), IF(YEAR('Assumptions &amp; Inputs'!$L$36)&gt;=AS110, 'Assumptions &amp; Inputs'!$L$67*(1+'Assumptions &amp; Inputs'!$L$22)^AS108, 0)))</f>
        <v>0</v>
      </c>
      <c r="AT140" s="65">
        <f>IF(YEAR('Assumptions &amp; Inputs'!$L$31)&gt;AT110, 0, IF(AT110=YEAR('Assumptions &amp; Inputs'!$L$31),('Assumptions &amp; Inputs'!$L$67*(1+'Assumptions &amp; Inputs'!$L$22)^AT108)*YEARFRAC('Assumptions &amp; Inputs'!$L$31,'Assumptions &amp; Inputs'!$L$32), IF(YEAR('Assumptions &amp; Inputs'!$L$36)&gt;=AT110, 'Assumptions &amp; Inputs'!$L$67*(1+'Assumptions &amp; Inputs'!$L$22)^AT108, 0)))</f>
        <v>0</v>
      </c>
      <c r="AU140" s="65">
        <f>IF(YEAR('Assumptions &amp; Inputs'!$L$31)&gt;AU110, 0, IF(AU110=YEAR('Assumptions &amp; Inputs'!$L$31),('Assumptions &amp; Inputs'!$L$67*(1+'Assumptions &amp; Inputs'!$L$22)^AU108)*YEARFRAC('Assumptions &amp; Inputs'!$L$31,'Assumptions &amp; Inputs'!$L$32), IF(YEAR('Assumptions &amp; Inputs'!$L$36)&gt;=AU110, 'Assumptions &amp; Inputs'!$L$67*(1+'Assumptions &amp; Inputs'!$L$22)^AU108, 0)))</f>
        <v>0</v>
      </c>
      <c r="AV140" s="65">
        <f>IF(YEAR('Assumptions &amp; Inputs'!$L$31)&gt;AV110, 0, IF(AV110=YEAR('Assumptions &amp; Inputs'!$L$31),('Assumptions &amp; Inputs'!$L$67*(1+'Assumptions &amp; Inputs'!$L$22)^AV108)*YEARFRAC('Assumptions &amp; Inputs'!$L$31,'Assumptions &amp; Inputs'!$L$32), IF(YEAR('Assumptions &amp; Inputs'!$L$36)&gt;=AV110, 'Assumptions &amp; Inputs'!$L$67*(1+'Assumptions &amp; Inputs'!$L$22)^AV108, 0)))</f>
        <v>0</v>
      </c>
      <c r="AW140" s="65">
        <f>IF(YEAR('Assumptions &amp; Inputs'!$L$31)&gt;AW110, 0, IF(AW110=YEAR('Assumptions &amp; Inputs'!$L$31),('Assumptions &amp; Inputs'!$L$67*(1+'Assumptions &amp; Inputs'!$L$22)^AW108)*YEARFRAC('Assumptions &amp; Inputs'!$L$31,'Assumptions &amp; Inputs'!$L$32), IF(YEAR('Assumptions &amp; Inputs'!$L$36)&gt;=AW110, 'Assumptions &amp; Inputs'!$L$67*(1+'Assumptions &amp; Inputs'!$L$22)^AW108, 0)))</f>
        <v>0</v>
      </c>
    </row>
    <row r="141" spans="3:49" ht="14.25" customHeight="1">
      <c r="C141" s="51" t="s">
        <v>516</v>
      </c>
      <c r="D141" s="71">
        <f>SUM(D136:D140)</f>
        <v>0</v>
      </c>
      <c r="E141" s="71">
        <f t="shared" ref="E141:AW141" si="358">SUM(E136:E140)</f>
        <v>26.049267878839085</v>
      </c>
      <c r="F141" s="71">
        <f t="shared" si="358"/>
        <v>34.894411781122805</v>
      </c>
      <c r="G141" s="71">
        <f t="shared" si="358"/>
        <v>35.053095740285677</v>
      </c>
      <c r="H141" s="71">
        <f t="shared" si="358"/>
        <v>35.384888587485506</v>
      </c>
      <c r="I141" s="71">
        <f t="shared" si="358"/>
        <v>35.597342661444031</v>
      </c>
      <c r="J141" s="71">
        <f t="shared" si="358"/>
        <v>35.773947834860486</v>
      </c>
      <c r="K141" s="71">
        <f t="shared" si="358"/>
        <v>35.954100868768265</v>
      </c>
      <c r="L141" s="71">
        <f t="shared" si="358"/>
        <v>36.137872711764778</v>
      </c>
      <c r="M141" s="71">
        <f t="shared" si="358"/>
        <v>36.325335731942431</v>
      </c>
      <c r="N141" s="71">
        <f t="shared" si="358"/>
        <v>36.516563745285495</v>
      </c>
      <c r="O141" s="71">
        <f t="shared" si="358"/>
        <v>36.71163204463501</v>
      </c>
      <c r="P141" s="71">
        <f t="shared" si="358"/>
        <v>36.910617429233163</v>
      </c>
      <c r="Q141" s="71">
        <f t="shared" si="358"/>
        <v>37.113598234858621</v>
      </c>
      <c r="R141" s="71">
        <f t="shared" si="358"/>
        <v>37.320654364564739</v>
      </c>
      <c r="S141" s="71">
        <f t="shared" si="358"/>
        <v>37.531867320032632</v>
      </c>
      <c r="T141" s="71">
        <f t="shared" si="358"/>
        <v>37.747320233551463</v>
      </c>
      <c r="U141" s="71">
        <f t="shared" si="358"/>
        <v>37.967097900638457</v>
      </c>
      <c r="V141" s="71">
        <f t="shared" si="358"/>
        <v>38.191286813311443</v>
      </c>
      <c r="W141" s="71">
        <f t="shared" si="358"/>
        <v>38.419975194027032</v>
      </c>
      <c r="X141" s="71">
        <f t="shared" si="358"/>
        <v>38.65325303029762</v>
      </c>
      <c r="Y141" s="71">
        <f t="shared" si="358"/>
        <v>38.891212110000936</v>
      </c>
      <c r="Z141" s="71">
        <f t="shared" si="358"/>
        <v>39.133946057395896</v>
      </c>
      <c r="AA141" s="71">
        <f t="shared" si="358"/>
        <v>39.38155036985895</v>
      </c>
      <c r="AB141" s="71">
        <f t="shared" si="358"/>
        <v>39.634122455355282</v>
      </c>
      <c r="AC141" s="71">
        <f t="shared" si="358"/>
        <v>39.891761670659569</v>
      </c>
      <c r="AD141" s="71">
        <f t="shared" si="358"/>
        <v>40.15456936034137</v>
      </c>
      <c r="AE141" s="71">
        <f t="shared" si="358"/>
        <v>0.23728009787994228</v>
      </c>
      <c r="AF141" s="71">
        <f t="shared" si="358"/>
        <v>0.23668689763524245</v>
      </c>
      <c r="AG141" s="71">
        <f t="shared" si="358"/>
        <v>0.23609518039115432</v>
      </c>
      <c r="AH141" s="71">
        <f t="shared" si="358"/>
        <v>0</v>
      </c>
      <c r="AI141" s="71">
        <f t="shared" si="358"/>
        <v>0</v>
      </c>
      <c r="AJ141" s="71">
        <f t="shared" si="358"/>
        <v>0</v>
      </c>
      <c r="AK141" s="71">
        <f t="shared" si="358"/>
        <v>0</v>
      </c>
      <c r="AL141" s="71">
        <f t="shared" si="358"/>
        <v>0</v>
      </c>
      <c r="AM141" s="71">
        <f t="shared" si="358"/>
        <v>0</v>
      </c>
      <c r="AN141" s="71">
        <f t="shared" si="358"/>
        <v>0</v>
      </c>
      <c r="AO141" s="71">
        <f t="shared" si="358"/>
        <v>0</v>
      </c>
      <c r="AP141" s="71">
        <f t="shared" si="358"/>
        <v>0</v>
      </c>
      <c r="AQ141" s="71">
        <f t="shared" si="358"/>
        <v>0</v>
      </c>
      <c r="AR141" s="71">
        <f t="shared" si="358"/>
        <v>0</v>
      </c>
      <c r="AS141" s="71">
        <f t="shared" si="358"/>
        <v>0</v>
      </c>
      <c r="AT141" s="71">
        <f t="shared" si="358"/>
        <v>0</v>
      </c>
      <c r="AU141" s="71">
        <f t="shared" si="358"/>
        <v>0</v>
      </c>
      <c r="AV141" s="71">
        <f t="shared" si="358"/>
        <v>0</v>
      </c>
      <c r="AW141" s="71">
        <f t="shared" si="358"/>
        <v>0</v>
      </c>
    </row>
    <row r="142" spans="3:49" ht="14.25" customHeight="1">
      <c r="C142" s="44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</row>
    <row r="143" spans="3:49" ht="14.25" customHeight="1">
      <c r="C143" s="44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</row>
    <row r="144" spans="3:49" ht="14.25" customHeight="1">
      <c r="C144" s="109" t="s">
        <v>481</v>
      </c>
      <c r="D144" s="108">
        <f>SUM(D134,-D141)</f>
        <v>0</v>
      </c>
      <c r="E144" s="108">
        <f t="shared" ref="E144:AW144" si="359">SUM(E134,-E141)</f>
        <v>159.10478499120794</v>
      </c>
      <c r="F144" s="108">
        <f t="shared" si="359"/>
        <v>216.85112827292647</v>
      </c>
      <c r="G144" s="108">
        <f t="shared" si="359"/>
        <v>221.6633832656299</v>
      </c>
      <c r="H144" s="108">
        <f t="shared" si="359"/>
        <v>244.16577537830793</v>
      </c>
      <c r="I144" s="108">
        <f t="shared" si="359"/>
        <v>253.23399901941497</v>
      </c>
      <c r="J144" s="108">
        <f>SUM(J134,-J141)</f>
        <v>258.26991569793262</v>
      </c>
      <c r="K144" s="108">
        <f t="shared" si="359"/>
        <v>263.40794521545166</v>
      </c>
      <c r="L144" s="108">
        <f t="shared" si="359"/>
        <v>268.65012631170873</v>
      </c>
      <c r="M144" s="108">
        <f t="shared" si="359"/>
        <v>273.99853850952582</v>
      </c>
      <c r="N144" s="108">
        <f t="shared" si="359"/>
        <v>279.45530293044345</v>
      </c>
      <c r="O144" s="108">
        <f t="shared" si="359"/>
        <v>285.02258312666635</v>
      </c>
      <c r="P144" s="108">
        <f t="shared" si="359"/>
        <v>290.70258592964683</v>
      </c>
      <c r="Q144" s="108">
        <f t="shared" si="359"/>
        <v>296.49756231564129</v>
      </c>
      <c r="R144" s="108">
        <f t="shared" si="359"/>
        <v>302.40980828857636</v>
      </c>
      <c r="S144" s="108">
        <f t="shared" si="359"/>
        <v>308.44166578057337</v>
      </c>
      <c r="T144" s="108">
        <f t="shared" si="359"/>
        <v>314.59552357048273</v>
      </c>
      <c r="U144" s="108">
        <f t="shared" si="359"/>
        <v>320.87381822078908</v>
      </c>
      <c r="V144" s="108">
        <f t="shared" si="359"/>
        <v>327.27903503325393</v>
      </c>
      <c r="W144" s="108">
        <f t="shared" si="359"/>
        <v>333.81370902367212</v>
      </c>
      <c r="X144" s="108">
        <f t="shared" si="359"/>
        <v>340.4804259161225</v>
      </c>
      <c r="Y144" s="108">
        <f t="shared" si="359"/>
        <v>347.2818231571037</v>
      </c>
      <c r="Z144" s="108">
        <f t="shared" si="359"/>
        <v>354.22059094995251</v>
      </c>
      <c r="AA144" s="108">
        <f t="shared" si="359"/>
        <v>361.29947330995083</v>
      </c>
      <c r="AB144" s="108">
        <f t="shared" si="359"/>
        <v>368.5212691405344</v>
      </c>
      <c r="AC144" s="108">
        <f t="shared" si="359"/>
        <v>375.88883333102524</v>
      </c>
      <c r="AD144" s="108">
        <f t="shared" si="359"/>
        <v>383.40507787632004</v>
      </c>
      <c r="AE144" s="108">
        <f t="shared" si="359"/>
        <v>23.490729690114286</v>
      </c>
      <c r="AF144" s="108">
        <f t="shared" si="359"/>
        <v>23.432002865889004</v>
      </c>
      <c r="AG144" s="108">
        <f t="shared" si="359"/>
        <v>23.373422858724279</v>
      </c>
      <c r="AH144" s="108">
        <f t="shared" si="359"/>
        <v>0</v>
      </c>
      <c r="AI144" s="108">
        <f t="shared" si="359"/>
        <v>0</v>
      </c>
      <c r="AJ144" s="108">
        <f t="shared" si="359"/>
        <v>0</v>
      </c>
      <c r="AK144" s="108">
        <f t="shared" si="359"/>
        <v>0</v>
      </c>
      <c r="AL144" s="108">
        <f t="shared" si="359"/>
        <v>0</v>
      </c>
      <c r="AM144" s="108">
        <f t="shared" si="359"/>
        <v>0</v>
      </c>
      <c r="AN144" s="108">
        <f t="shared" si="359"/>
        <v>0</v>
      </c>
      <c r="AO144" s="108">
        <f t="shared" si="359"/>
        <v>0</v>
      </c>
      <c r="AP144" s="108">
        <f t="shared" si="359"/>
        <v>0</v>
      </c>
      <c r="AQ144" s="108">
        <f t="shared" si="359"/>
        <v>0</v>
      </c>
      <c r="AR144" s="108">
        <f t="shared" si="359"/>
        <v>0</v>
      </c>
      <c r="AS144" s="108">
        <f t="shared" si="359"/>
        <v>0</v>
      </c>
      <c r="AT144" s="108">
        <f t="shared" si="359"/>
        <v>0</v>
      </c>
      <c r="AU144" s="108">
        <f t="shared" si="359"/>
        <v>0</v>
      </c>
      <c r="AV144" s="108">
        <f t="shared" si="359"/>
        <v>0</v>
      </c>
      <c r="AW144" s="108">
        <f t="shared" si="359"/>
        <v>0</v>
      </c>
    </row>
    <row r="146" spans="3:49" ht="14.25" customHeight="1">
      <c r="C146" s="46" t="s">
        <v>482</v>
      </c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3:49" ht="14.25" customHeight="1">
      <c r="C147" s="54" t="s">
        <v>517</v>
      </c>
      <c r="D147" s="70"/>
      <c r="E147" s="73">
        <f t="shared" ref="E147:AW147" si="360">-E101</f>
        <v>0</v>
      </c>
      <c r="F147" s="73">
        <f t="shared" si="360"/>
        <v>0</v>
      </c>
      <c r="G147" s="73">
        <f t="shared" si="360"/>
        <v>0</v>
      </c>
      <c r="H147" s="73">
        <f t="shared" si="360"/>
        <v>0</v>
      </c>
      <c r="I147" s="73">
        <f t="shared" si="360"/>
        <v>0</v>
      </c>
      <c r="J147" s="73">
        <f t="shared" si="360"/>
        <v>0</v>
      </c>
      <c r="K147" s="73">
        <f t="shared" si="360"/>
        <v>0</v>
      </c>
      <c r="L147" s="73">
        <f t="shared" si="360"/>
        <v>0</v>
      </c>
      <c r="M147" s="73">
        <f t="shared" si="360"/>
        <v>0</v>
      </c>
      <c r="N147" s="73">
        <f t="shared" si="360"/>
        <v>0</v>
      </c>
      <c r="O147" s="73">
        <f t="shared" si="360"/>
        <v>0</v>
      </c>
      <c r="P147" s="73">
        <f t="shared" si="360"/>
        <v>0</v>
      </c>
      <c r="Q147" s="73">
        <f t="shared" si="360"/>
        <v>0</v>
      </c>
      <c r="R147" s="73">
        <f t="shared" si="360"/>
        <v>0</v>
      </c>
      <c r="S147" s="73">
        <f t="shared" si="360"/>
        <v>0</v>
      </c>
      <c r="T147" s="73">
        <f t="shared" si="360"/>
        <v>0</v>
      </c>
      <c r="U147" s="73">
        <f t="shared" si="360"/>
        <v>0</v>
      </c>
      <c r="V147" s="73">
        <f t="shared" si="360"/>
        <v>0</v>
      </c>
      <c r="W147" s="73">
        <f t="shared" si="360"/>
        <v>0</v>
      </c>
      <c r="X147" s="73">
        <f t="shared" si="360"/>
        <v>0</v>
      </c>
      <c r="Y147" s="73">
        <f t="shared" si="360"/>
        <v>0</v>
      </c>
      <c r="Z147" s="73">
        <f t="shared" si="360"/>
        <v>0</v>
      </c>
      <c r="AA147" s="73">
        <f t="shared" si="360"/>
        <v>0</v>
      </c>
      <c r="AB147" s="73">
        <f t="shared" si="360"/>
        <v>0</v>
      </c>
      <c r="AC147" s="73">
        <f t="shared" si="360"/>
        <v>0</v>
      </c>
      <c r="AD147" s="73">
        <f t="shared" si="360"/>
        <v>0</v>
      </c>
      <c r="AE147" s="73">
        <f t="shared" si="360"/>
        <v>0</v>
      </c>
      <c r="AF147" s="73">
        <f t="shared" si="360"/>
        <v>0</v>
      </c>
      <c r="AG147" s="73">
        <f t="shared" si="360"/>
        <v>0</v>
      </c>
      <c r="AH147" s="73">
        <f t="shared" si="360"/>
        <v>0</v>
      </c>
      <c r="AI147" s="73">
        <f t="shared" si="360"/>
        <v>0</v>
      </c>
      <c r="AJ147" s="73">
        <f t="shared" si="360"/>
        <v>0</v>
      </c>
      <c r="AK147" s="73">
        <f t="shared" si="360"/>
        <v>0</v>
      </c>
      <c r="AL147" s="73">
        <f t="shared" si="360"/>
        <v>0</v>
      </c>
      <c r="AM147" s="73">
        <f t="shared" si="360"/>
        <v>0</v>
      </c>
      <c r="AN147" s="73">
        <f t="shared" si="360"/>
        <v>0</v>
      </c>
      <c r="AO147" s="73">
        <f t="shared" si="360"/>
        <v>0</v>
      </c>
      <c r="AP147" s="73">
        <f t="shared" si="360"/>
        <v>0</v>
      </c>
      <c r="AQ147" s="73">
        <f t="shared" si="360"/>
        <v>0</v>
      </c>
      <c r="AR147" s="73">
        <f t="shared" si="360"/>
        <v>0</v>
      </c>
      <c r="AS147" s="73">
        <f t="shared" si="360"/>
        <v>0</v>
      </c>
      <c r="AT147" s="73">
        <f t="shared" si="360"/>
        <v>0</v>
      </c>
      <c r="AU147" s="73">
        <f t="shared" si="360"/>
        <v>0</v>
      </c>
      <c r="AV147" s="73">
        <f t="shared" si="360"/>
        <v>0</v>
      </c>
      <c r="AW147" s="73">
        <f t="shared" si="360"/>
        <v>0</v>
      </c>
    </row>
    <row r="148" spans="3:49" ht="14.25" customHeight="1">
      <c r="C148" s="54" t="s">
        <v>485</v>
      </c>
      <c r="D148" s="70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3:49" ht="14.25" customHeight="1">
      <c r="C149" s="57" t="s">
        <v>518</v>
      </c>
      <c r="D149" s="70"/>
      <c r="E149" s="73"/>
      <c r="F149" s="73"/>
      <c r="G149" s="73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3:49" ht="14.25" customHeight="1">
      <c r="C150" s="59" t="s">
        <v>486</v>
      </c>
      <c r="D150" s="74">
        <f>SUM(D147:D149)</f>
        <v>0</v>
      </c>
      <c r="E150" s="74">
        <f t="shared" ref="E150:X150" si="361">SUM(E147:E149)</f>
        <v>0</v>
      </c>
      <c r="F150" s="74">
        <f t="shared" si="361"/>
        <v>0</v>
      </c>
      <c r="G150" s="74">
        <f t="shared" si="361"/>
        <v>0</v>
      </c>
      <c r="H150" s="74">
        <f t="shared" si="361"/>
        <v>0</v>
      </c>
      <c r="I150" s="74">
        <f t="shared" si="361"/>
        <v>0</v>
      </c>
      <c r="J150" s="74">
        <f t="shared" si="361"/>
        <v>0</v>
      </c>
      <c r="K150" s="74">
        <f t="shared" si="361"/>
        <v>0</v>
      </c>
      <c r="L150" s="74">
        <f t="shared" si="361"/>
        <v>0</v>
      </c>
      <c r="M150" s="74">
        <f t="shared" si="361"/>
        <v>0</v>
      </c>
      <c r="N150" s="74">
        <f t="shared" si="361"/>
        <v>0</v>
      </c>
      <c r="O150" s="74">
        <f t="shared" si="361"/>
        <v>0</v>
      </c>
      <c r="P150" s="74">
        <f t="shared" si="361"/>
        <v>0</v>
      </c>
      <c r="Q150" s="74">
        <f t="shared" si="361"/>
        <v>0</v>
      </c>
      <c r="R150" s="74">
        <f t="shared" si="361"/>
        <v>0</v>
      </c>
      <c r="S150" s="74">
        <f t="shared" si="361"/>
        <v>0</v>
      </c>
      <c r="T150" s="74">
        <f t="shared" si="361"/>
        <v>0</v>
      </c>
      <c r="U150" s="74">
        <f t="shared" si="361"/>
        <v>0</v>
      </c>
      <c r="V150" s="74">
        <f t="shared" si="361"/>
        <v>0</v>
      </c>
      <c r="W150" s="74">
        <f t="shared" si="361"/>
        <v>0</v>
      </c>
      <c r="X150" s="74">
        <f t="shared" si="361"/>
        <v>0</v>
      </c>
      <c r="Y150" s="74">
        <f t="shared" ref="Y150:AW150" si="362">SUM(Y147:Y149)</f>
        <v>0</v>
      </c>
      <c r="Z150" s="74">
        <f t="shared" si="362"/>
        <v>0</v>
      </c>
      <c r="AA150" s="74">
        <f t="shared" si="362"/>
        <v>0</v>
      </c>
      <c r="AB150" s="74">
        <f t="shared" si="362"/>
        <v>0</v>
      </c>
      <c r="AC150" s="74">
        <f t="shared" si="362"/>
        <v>0</v>
      </c>
      <c r="AD150" s="74">
        <f t="shared" si="362"/>
        <v>0</v>
      </c>
      <c r="AE150" s="74">
        <f t="shared" si="362"/>
        <v>0</v>
      </c>
      <c r="AF150" s="74">
        <f t="shared" si="362"/>
        <v>0</v>
      </c>
      <c r="AG150" s="74">
        <f t="shared" si="362"/>
        <v>0</v>
      </c>
      <c r="AH150" s="74">
        <f t="shared" si="362"/>
        <v>0</v>
      </c>
      <c r="AI150" s="74">
        <f t="shared" si="362"/>
        <v>0</v>
      </c>
      <c r="AJ150" s="74">
        <f t="shared" si="362"/>
        <v>0</v>
      </c>
      <c r="AK150" s="74">
        <f t="shared" si="362"/>
        <v>0</v>
      </c>
      <c r="AL150" s="74">
        <f t="shared" si="362"/>
        <v>0</v>
      </c>
      <c r="AM150" s="74">
        <f t="shared" si="362"/>
        <v>0</v>
      </c>
      <c r="AN150" s="74">
        <f t="shared" si="362"/>
        <v>0</v>
      </c>
      <c r="AO150" s="74">
        <f t="shared" si="362"/>
        <v>0</v>
      </c>
      <c r="AP150" s="74">
        <f t="shared" si="362"/>
        <v>0</v>
      </c>
      <c r="AQ150" s="74">
        <f t="shared" si="362"/>
        <v>0</v>
      </c>
      <c r="AR150" s="74">
        <f t="shared" si="362"/>
        <v>0</v>
      </c>
      <c r="AS150" s="74">
        <f t="shared" si="362"/>
        <v>0</v>
      </c>
      <c r="AT150" s="74">
        <f t="shared" si="362"/>
        <v>0</v>
      </c>
      <c r="AU150" s="74">
        <f t="shared" si="362"/>
        <v>0</v>
      </c>
      <c r="AV150" s="74">
        <f t="shared" si="362"/>
        <v>0</v>
      </c>
      <c r="AW150" s="74">
        <f t="shared" si="362"/>
        <v>0</v>
      </c>
    </row>
    <row r="151" spans="3:49" ht="14.25" customHeight="1">
      <c r="C151" s="44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</row>
    <row r="152" spans="3:49" ht="14.25" customHeight="1">
      <c r="C152" s="44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</row>
    <row r="153" spans="3:49" ht="14.25" customHeight="1">
      <c r="C153" s="109" t="s">
        <v>487</v>
      </c>
      <c r="D153" s="108">
        <f>+SUM(D144,D150)</f>
        <v>0</v>
      </c>
      <c r="E153" s="108">
        <f>+SUM(E144,E150)</f>
        <v>159.10478499120794</v>
      </c>
      <c r="F153" s="108">
        <f t="shared" ref="F153:X153" si="363">+SUM(F144,F150)</f>
        <v>216.85112827292647</v>
      </c>
      <c r="G153" s="108">
        <f t="shared" si="363"/>
        <v>221.6633832656299</v>
      </c>
      <c r="H153" s="108">
        <f t="shared" si="363"/>
        <v>244.16577537830793</v>
      </c>
      <c r="I153" s="108">
        <f t="shared" si="363"/>
        <v>253.23399901941497</v>
      </c>
      <c r="J153" s="108">
        <f>+SUM(J144,J150)</f>
        <v>258.26991569793262</v>
      </c>
      <c r="K153" s="108">
        <f t="shared" si="363"/>
        <v>263.40794521545166</v>
      </c>
      <c r="L153" s="108">
        <f t="shared" si="363"/>
        <v>268.65012631170873</v>
      </c>
      <c r="M153" s="108">
        <f t="shared" si="363"/>
        <v>273.99853850952582</v>
      </c>
      <c r="N153" s="108">
        <f t="shared" si="363"/>
        <v>279.45530293044345</v>
      </c>
      <c r="O153" s="108">
        <f t="shared" si="363"/>
        <v>285.02258312666635</v>
      </c>
      <c r="P153" s="108">
        <f t="shared" si="363"/>
        <v>290.70258592964683</v>
      </c>
      <c r="Q153" s="108">
        <f t="shared" si="363"/>
        <v>296.49756231564129</v>
      </c>
      <c r="R153" s="108">
        <f t="shared" si="363"/>
        <v>302.40980828857636</v>
      </c>
      <c r="S153" s="108">
        <f t="shared" si="363"/>
        <v>308.44166578057337</v>
      </c>
      <c r="T153" s="108">
        <f t="shared" si="363"/>
        <v>314.59552357048273</v>
      </c>
      <c r="U153" s="108">
        <f t="shared" si="363"/>
        <v>320.87381822078908</v>
      </c>
      <c r="V153" s="108">
        <f t="shared" si="363"/>
        <v>327.27903503325393</v>
      </c>
      <c r="W153" s="108">
        <f t="shared" si="363"/>
        <v>333.81370902367212</v>
      </c>
      <c r="X153" s="108">
        <f t="shared" si="363"/>
        <v>340.4804259161225</v>
      </c>
      <c r="Y153" s="108">
        <f t="shared" ref="Y153:AW153" si="364">+SUM(Y144,Y150)</f>
        <v>347.2818231571037</v>
      </c>
      <c r="Z153" s="108">
        <f t="shared" si="364"/>
        <v>354.22059094995251</v>
      </c>
      <c r="AA153" s="108">
        <f t="shared" si="364"/>
        <v>361.29947330995083</v>
      </c>
      <c r="AB153" s="108">
        <f t="shared" si="364"/>
        <v>368.5212691405344</v>
      </c>
      <c r="AC153" s="108">
        <f t="shared" si="364"/>
        <v>375.88883333102524</v>
      </c>
      <c r="AD153" s="108">
        <f t="shared" si="364"/>
        <v>383.40507787632004</v>
      </c>
      <c r="AE153" s="108">
        <f t="shared" si="364"/>
        <v>23.490729690114286</v>
      </c>
      <c r="AF153" s="108">
        <f t="shared" si="364"/>
        <v>23.432002865889004</v>
      </c>
      <c r="AG153" s="108">
        <f t="shared" si="364"/>
        <v>23.373422858724279</v>
      </c>
      <c r="AH153" s="108">
        <f t="shared" si="364"/>
        <v>0</v>
      </c>
      <c r="AI153" s="108">
        <f t="shared" si="364"/>
        <v>0</v>
      </c>
      <c r="AJ153" s="108">
        <f t="shared" si="364"/>
        <v>0</v>
      </c>
      <c r="AK153" s="108">
        <f t="shared" si="364"/>
        <v>0</v>
      </c>
      <c r="AL153" s="108">
        <f t="shared" si="364"/>
        <v>0</v>
      </c>
      <c r="AM153" s="108">
        <f t="shared" si="364"/>
        <v>0</v>
      </c>
      <c r="AN153" s="108">
        <f t="shared" si="364"/>
        <v>0</v>
      </c>
      <c r="AO153" s="108">
        <f t="shared" si="364"/>
        <v>0</v>
      </c>
      <c r="AP153" s="108">
        <f t="shared" si="364"/>
        <v>0</v>
      </c>
      <c r="AQ153" s="108">
        <f t="shared" si="364"/>
        <v>0</v>
      </c>
      <c r="AR153" s="108">
        <f t="shared" si="364"/>
        <v>0</v>
      </c>
      <c r="AS153" s="108">
        <f t="shared" si="364"/>
        <v>0</v>
      </c>
      <c r="AT153" s="108">
        <f t="shared" si="364"/>
        <v>0</v>
      </c>
      <c r="AU153" s="108">
        <f t="shared" si="364"/>
        <v>0</v>
      </c>
      <c r="AV153" s="108">
        <f t="shared" si="364"/>
        <v>0</v>
      </c>
      <c r="AW153" s="108">
        <f t="shared" si="364"/>
        <v>0</v>
      </c>
    </row>
    <row r="154" spans="3:49" ht="14.25" customHeight="1">
      <c r="C154" s="102" t="s">
        <v>488</v>
      </c>
      <c r="D154" s="110">
        <f>IF(D153&gt;0,-D153*SUM('Assumptions &amp; Inputs'!$L$13:$L$14),0)</f>
        <v>0</v>
      </c>
      <c r="E154" s="110">
        <f>IF(E153&gt;0,-E153*SUM('Assumptions &amp; Inputs'!$L$13:$L$14),0)</f>
        <v>-39.776196247801984</v>
      </c>
      <c r="F154" s="110">
        <f>IF(F153&gt;0,-F153*SUM('Assumptions &amp; Inputs'!$L$13:$L$14),0)</f>
        <v>-54.212782068231618</v>
      </c>
      <c r="G154" s="110">
        <f>IF(G153&gt;0,-G153*SUM('Assumptions &amp; Inputs'!$L$13:$L$14),0)</f>
        <v>-55.415845816407476</v>
      </c>
      <c r="H154" s="110">
        <f>IF(H153&gt;0,-H153*SUM('Assumptions &amp; Inputs'!$L$13:$L$14),0)</f>
        <v>-61.041443844576982</v>
      </c>
      <c r="I154" s="110">
        <f>IF(I153&gt;0,-I153*SUM('Assumptions &amp; Inputs'!$L$13:$L$14),0)</f>
        <v>-63.308499754853742</v>
      </c>
      <c r="J154" s="110">
        <f>IF(J153&gt;0,-J153*SUM('Assumptions &amp; Inputs'!$L$13:$L$14),0)</f>
        <v>-64.567478924483154</v>
      </c>
      <c r="K154" s="110">
        <f>IF(K153&gt;0,-K153*SUM('Assumptions &amp; Inputs'!$L$13:$L$14),0)</f>
        <v>-65.851986303862915</v>
      </c>
      <c r="L154" s="110">
        <f>IF(L153&gt;0,-L153*SUM('Assumptions &amp; Inputs'!$L$13:$L$14),0)</f>
        <v>-67.162531577927183</v>
      </c>
      <c r="M154" s="110">
        <f>IF(M153&gt;0,-M153*SUM('Assumptions &amp; Inputs'!$L$13:$L$14),0)</f>
        <v>-68.499634627381454</v>
      </c>
      <c r="N154" s="110">
        <f>IF(N153&gt;0,-N153*SUM('Assumptions &amp; Inputs'!$L$13:$L$14),0)</f>
        <v>-69.863825732610863</v>
      </c>
      <c r="O154" s="110">
        <f>IF(O153&gt;0,-O153*SUM('Assumptions &amp; Inputs'!$L$13:$L$14),0)</f>
        <v>-71.255645781666587</v>
      </c>
      <c r="P154" s="110">
        <f>IF(P153&gt;0,-P153*SUM('Assumptions &amp; Inputs'!$L$13:$L$14),0)</f>
        <v>-72.675646482411707</v>
      </c>
      <c r="Q154" s="110">
        <f>IF(Q153&gt;0,-Q153*SUM('Assumptions &amp; Inputs'!$L$13:$L$14),0)</f>
        <v>-74.124390578910322</v>
      </c>
      <c r="R154" s="110">
        <f>IF(R153&gt;0,-R153*SUM('Assumptions &amp; Inputs'!$L$13:$L$14),0)</f>
        <v>-75.602452072144089</v>
      </c>
      <c r="S154" s="110">
        <f>IF(S153&gt;0,-S153*SUM('Assumptions &amp; Inputs'!$L$13:$L$14),0)</f>
        <v>-77.110416445143343</v>
      </c>
      <c r="T154" s="110">
        <f>IF(T153&gt;0,-T153*SUM('Assumptions &amp; Inputs'!$L$13:$L$14),0)</f>
        <v>-78.648880892620681</v>
      </c>
      <c r="U154" s="110">
        <f>IF(U153&gt;0,-U153*SUM('Assumptions &amp; Inputs'!$L$13:$L$14),0)</f>
        <v>-80.218454555197269</v>
      </c>
      <c r="V154" s="110">
        <f>IF(V153&gt;0,-V153*SUM('Assumptions &amp; Inputs'!$L$13:$L$14),0)</f>
        <v>-81.819758758313483</v>
      </c>
      <c r="W154" s="110">
        <f>IF(W153&gt;0,-W153*SUM('Assumptions &amp; Inputs'!$L$13:$L$14),0)</f>
        <v>-83.453427255918029</v>
      </c>
      <c r="X154" s="110">
        <f>IF(X153&gt;0,-X153*SUM('Assumptions &amp; Inputs'!$L$13:$L$14),0)</f>
        <v>-85.120106479030625</v>
      </c>
      <c r="Y154" s="110">
        <f>IF(Y153&gt;0,-Y153*SUM('Assumptions &amp; Inputs'!$L$13:$L$14),0)</f>
        <v>-86.820455789275925</v>
      </c>
      <c r="Z154" s="110">
        <f>IF(Z153&gt;0,-Z153*SUM('Assumptions &amp; Inputs'!$L$13:$L$14),0)</f>
        <v>-88.555147737488127</v>
      </c>
      <c r="AA154" s="110">
        <f>IF(AA153&gt;0,-AA153*SUM('Assumptions &amp; Inputs'!$L$13:$L$14),0)</f>
        <v>-90.324868327487707</v>
      </c>
      <c r="AB154" s="110">
        <f>IF(AB153&gt;0,-AB153*SUM('Assumptions &amp; Inputs'!$L$13:$L$14),0)</f>
        <v>-92.1303172851336</v>
      </c>
      <c r="AC154" s="110">
        <f>IF(AC153&gt;0,-AC153*SUM('Assumptions &amp; Inputs'!$L$13:$L$14),0)</f>
        <v>-93.97220833275631</v>
      </c>
      <c r="AD154" s="110">
        <f>IF(AD153&gt;0,-AD153*SUM('Assumptions &amp; Inputs'!$L$13:$L$14),0)</f>
        <v>-95.851269469080009</v>
      </c>
      <c r="AE154" s="110">
        <f>IF(AE153&gt;0,-AE153*SUM('Assumptions &amp; Inputs'!$L$13:$L$14),0)</f>
        <v>-5.8726824225285714</v>
      </c>
      <c r="AF154" s="110">
        <f>IF(AF153&gt;0,-AF153*SUM('Assumptions &amp; Inputs'!$L$13:$L$14),0)</f>
        <v>-5.858000716472251</v>
      </c>
      <c r="AG154" s="110">
        <f>IF(AG153&gt;0,-AG153*SUM('Assumptions &amp; Inputs'!$L$13:$L$14),0)</f>
        <v>-5.8433557146810697</v>
      </c>
      <c r="AH154" s="110">
        <f>IF(AH153&gt;0,-AH153*SUM('Assumptions &amp; Inputs'!$L$13:$L$14),0)</f>
        <v>0</v>
      </c>
      <c r="AI154" s="110">
        <f>IF(AI153&gt;0,-AI153*SUM('Assumptions &amp; Inputs'!$L$13:$L$14),0)</f>
        <v>0</v>
      </c>
      <c r="AJ154" s="110">
        <f>IF(AJ153&gt;0,-AJ153*SUM('Assumptions &amp; Inputs'!$L$13:$L$14),0)</f>
        <v>0</v>
      </c>
      <c r="AK154" s="110">
        <f>IF(AK153&gt;0,-AK153*SUM('Assumptions &amp; Inputs'!$L$13:$L$14),0)</f>
        <v>0</v>
      </c>
      <c r="AL154" s="110">
        <f>IF(AL153&gt;0,-AL153*SUM('Assumptions &amp; Inputs'!$L$13:$L$14),0)</f>
        <v>0</v>
      </c>
      <c r="AM154" s="110">
        <f>IF(AM153&gt;0,-AM153*SUM('Assumptions &amp; Inputs'!$L$13:$L$14),0)</f>
        <v>0</v>
      </c>
      <c r="AN154" s="110">
        <f>IF(AN153&gt;0,-AN153*SUM('Assumptions &amp; Inputs'!$L$13:$L$14),0)</f>
        <v>0</v>
      </c>
      <c r="AO154" s="110">
        <f>IF(AO153&gt;0,-AO153*SUM('Assumptions &amp; Inputs'!$L$13:$L$14),0)</f>
        <v>0</v>
      </c>
      <c r="AP154" s="110">
        <f>IF(AP153&gt;0,-AP153*SUM('Assumptions &amp; Inputs'!$L$13:$L$14),0)</f>
        <v>0</v>
      </c>
      <c r="AQ154" s="110">
        <f>IF(AQ153&gt;0,-AQ153*SUM('Assumptions &amp; Inputs'!$L$13:$L$14),0)</f>
        <v>0</v>
      </c>
      <c r="AR154" s="110">
        <f>IF(AR153&gt;0,-AR153*SUM('Assumptions &amp; Inputs'!$L$13:$L$14),0)</f>
        <v>0</v>
      </c>
      <c r="AS154" s="110">
        <f>IF(AS153&gt;0,-AS153*SUM('Assumptions &amp; Inputs'!$L$13:$L$14),0)</f>
        <v>0</v>
      </c>
      <c r="AT154" s="110">
        <f>IF(AT153&gt;0,-AT153*SUM('Assumptions &amp; Inputs'!$L$13:$L$14),0)</f>
        <v>0</v>
      </c>
      <c r="AU154" s="110">
        <f>IF(AU153&gt;0,-AU153*SUM('Assumptions &amp; Inputs'!$L$13:$L$14),0)</f>
        <v>0</v>
      </c>
      <c r="AV154" s="110">
        <f>IF(AV153&gt;0,-AV153*SUM('Assumptions &amp; Inputs'!$L$13:$L$14),0)</f>
        <v>0</v>
      </c>
      <c r="AW154" s="110">
        <f>IF(AW153&gt;0,-AW153*SUM('Assumptions &amp; Inputs'!$L$13:$L$14),0)</f>
        <v>0</v>
      </c>
    </row>
    <row r="155" spans="3:49" ht="14.25" customHeight="1">
      <c r="C155" s="44"/>
      <c r="D155" s="44"/>
      <c r="E155" s="55"/>
      <c r="F155" s="55"/>
      <c r="G155" s="55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</row>
    <row r="156" spans="3:49" ht="14.25" customHeight="1">
      <c r="C156" s="7" t="s">
        <v>489</v>
      </c>
      <c r="D156" s="72">
        <f>SUM(D153,-D154)</f>
        <v>0</v>
      </c>
      <c r="E156" s="72">
        <f t="shared" ref="E156:X156" si="365">SUM(E153,-E154)</f>
        <v>198.88098123900991</v>
      </c>
      <c r="F156" s="72">
        <f t="shared" si="365"/>
        <v>271.06391034115808</v>
      </c>
      <c r="G156" s="72">
        <f t="shared" si="365"/>
        <v>277.07922908203739</v>
      </c>
      <c r="H156" s="72">
        <f t="shared" si="365"/>
        <v>305.20721922288493</v>
      </c>
      <c r="I156" s="72">
        <f t="shared" si="365"/>
        <v>316.54249877426872</v>
      </c>
      <c r="J156" s="72">
        <f>SUM(J153,-J154)</f>
        <v>322.83739462241579</v>
      </c>
      <c r="K156" s="72">
        <f t="shared" si="365"/>
        <v>329.25993151931459</v>
      </c>
      <c r="L156" s="72">
        <f t="shared" si="365"/>
        <v>335.81265788963594</v>
      </c>
      <c r="M156" s="72">
        <f t="shared" si="365"/>
        <v>342.49817313690727</v>
      </c>
      <c r="N156" s="72">
        <f t="shared" si="365"/>
        <v>349.3191286630543</v>
      </c>
      <c r="O156" s="72">
        <f t="shared" si="365"/>
        <v>356.27822890833295</v>
      </c>
      <c r="P156" s="72">
        <f t="shared" si="365"/>
        <v>363.37823241205854</v>
      </c>
      <c r="Q156" s="72">
        <f t="shared" si="365"/>
        <v>370.62195289455161</v>
      </c>
      <c r="R156" s="72">
        <f t="shared" si="365"/>
        <v>378.01226036072046</v>
      </c>
      <c r="S156" s="72">
        <f t="shared" si="365"/>
        <v>385.55208222571673</v>
      </c>
      <c r="T156" s="72">
        <f t="shared" si="365"/>
        <v>393.24440446310342</v>
      </c>
      <c r="U156" s="72">
        <f t="shared" si="365"/>
        <v>401.09227277598632</v>
      </c>
      <c r="V156" s="72">
        <f t="shared" si="365"/>
        <v>409.0987937915674</v>
      </c>
      <c r="W156" s="72">
        <f t="shared" si="365"/>
        <v>417.26713627959015</v>
      </c>
      <c r="X156" s="72">
        <f t="shared" si="365"/>
        <v>425.6005323951531</v>
      </c>
      <c r="Y156" s="72">
        <f t="shared" ref="Y156:AW156" si="366">SUM(Y153,-Y154)</f>
        <v>434.10227894637961</v>
      </c>
      <c r="Z156" s="72">
        <f t="shared" si="366"/>
        <v>442.77573868744065</v>
      </c>
      <c r="AA156" s="72">
        <f t="shared" si="366"/>
        <v>451.62434163743853</v>
      </c>
      <c r="AB156" s="72">
        <f t="shared" si="366"/>
        <v>460.65158642566803</v>
      </c>
      <c r="AC156" s="72">
        <f t="shared" si="366"/>
        <v>469.86104166378152</v>
      </c>
      <c r="AD156" s="72">
        <f t="shared" si="366"/>
        <v>479.25634734540006</v>
      </c>
      <c r="AE156" s="72">
        <f t="shared" si="366"/>
        <v>29.363412112642855</v>
      </c>
      <c r="AF156" s="72">
        <f t="shared" si="366"/>
        <v>29.290003582361255</v>
      </c>
      <c r="AG156" s="72">
        <f t="shared" si="366"/>
        <v>29.21677857340535</v>
      </c>
      <c r="AH156" s="72">
        <f t="shared" si="366"/>
        <v>0</v>
      </c>
      <c r="AI156" s="72">
        <f t="shared" si="366"/>
        <v>0</v>
      </c>
      <c r="AJ156" s="72">
        <f t="shared" si="366"/>
        <v>0</v>
      </c>
      <c r="AK156" s="72">
        <f t="shared" si="366"/>
        <v>0</v>
      </c>
      <c r="AL156" s="72">
        <f t="shared" si="366"/>
        <v>0</v>
      </c>
      <c r="AM156" s="72">
        <f t="shared" si="366"/>
        <v>0</v>
      </c>
      <c r="AN156" s="72">
        <f t="shared" si="366"/>
        <v>0</v>
      </c>
      <c r="AO156" s="72">
        <f t="shared" si="366"/>
        <v>0</v>
      </c>
      <c r="AP156" s="72">
        <f t="shared" si="366"/>
        <v>0</v>
      </c>
      <c r="AQ156" s="72">
        <f t="shared" si="366"/>
        <v>0</v>
      </c>
      <c r="AR156" s="72">
        <f t="shared" si="366"/>
        <v>0</v>
      </c>
      <c r="AS156" s="72">
        <f t="shared" si="366"/>
        <v>0</v>
      </c>
      <c r="AT156" s="72">
        <f t="shared" si="366"/>
        <v>0</v>
      </c>
      <c r="AU156" s="72">
        <f t="shared" si="366"/>
        <v>0</v>
      </c>
      <c r="AV156" s="72">
        <f t="shared" si="366"/>
        <v>0</v>
      </c>
      <c r="AW156" s="72">
        <f t="shared" si="366"/>
        <v>0</v>
      </c>
    </row>
    <row r="157" spans="3:49" ht="14.25" customHeight="1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3:49" ht="14.25" customHeight="1">
      <c r="C158" s="2" t="s">
        <v>490</v>
      </c>
      <c r="D158" s="61">
        <f>D$24</f>
        <v>-165</v>
      </c>
      <c r="E158" s="61">
        <f t="shared" ref="E158:AW158" si="367">E$24</f>
        <v>-15</v>
      </c>
      <c r="F158" s="61">
        <f t="shared" si="367"/>
        <v>0</v>
      </c>
      <c r="G158" s="61">
        <f t="shared" si="367"/>
        <v>0</v>
      </c>
      <c r="H158" s="61">
        <f t="shared" si="367"/>
        <v>0</v>
      </c>
      <c r="I158" s="61">
        <f t="shared" si="367"/>
        <v>0</v>
      </c>
      <c r="J158" s="61">
        <f t="shared" si="367"/>
        <v>0</v>
      </c>
      <c r="K158" s="61">
        <f t="shared" si="367"/>
        <v>0</v>
      </c>
      <c r="L158" s="61">
        <f t="shared" si="367"/>
        <v>0</v>
      </c>
      <c r="M158" s="61">
        <f t="shared" si="367"/>
        <v>0</v>
      </c>
      <c r="N158" s="61">
        <f t="shared" si="367"/>
        <v>0</v>
      </c>
      <c r="O158" s="61">
        <f t="shared" si="367"/>
        <v>0</v>
      </c>
      <c r="P158" s="61">
        <f t="shared" si="367"/>
        <v>0</v>
      </c>
      <c r="Q158" s="61">
        <f t="shared" si="367"/>
        <v>0</v>
      </c>
      <c r="R158" s="61">
        <f t="shared" si="367"/>
        <v>0</v>
      </c>
      <c r="S158" s="61">
        <f t="shared" si="367"/>
        <v>0</v>
      </c>
      <c r="T158" s="61">
        <f t="shared" si="367"/>
        <v>0</v>
      </c>
      <c r="U158" s="61">
        <f t="shared" si="367"/>
        <v>0</v>
      </c>
      <c r="V158" s="61">
        <f t="shared" si="367"/>
        <v>0</v>
      </c>
      <c r="W158" s="61">
        <f t="shared" si="367"/>
        <v>0</v>
      </c>
      <c r="X158" s="61">
        <f t="shared" si="367"/>
        <v>0</v>
      </c>
      <c r="Y158" s="61">
        <f t="shared" si="367"/>
        <v>0</v>
      </c>
      <c r="Z158" s="61">
        <f t="shared" si="367"/>
        <v>0</v>
      </c>
      <c r="AA158" s="61">
        <f t="shared" si="367"/>
        <v>0</v>
      </c>
      <c r="AB158" s="61">
        <f t="shared" si="367"/>
        <v>0</v>
      </c>
      <c r="AC158" s="61">
        <f t="shared" si="367"/>
        <v>0</v>
      </c>
      <c r="AD158" s="61">
        <f t="shared" si="367"/>
        <v>0</v>
      </c>
      <c r="AE158" s="61">
        <f t="shared" si="367"/>
        <v>0</v>
      </c>
      <c r="AF158" s="61">
        <f t="shared" si="367"/>
        <v>0</v>
      </c>
      <c r="AG158" s="61">
        <f t="shared" si="367"/>
        <v>0</v>
      </c>
      <c r="AH158" s="61">
        <f t="shared" si="367"/>
        <v>0</v>
      </c>
      <c r="AI158" s="61">
        <f t="shared" si="367"/>
        <v>0</v>
      </c>
      <c r="AJ158" s="61">
        <f t="shared" si="367"/>
        <v>0</v>
      </c>
      <c r="AK158" s="61">
        <f t="shared" si="367"/>
        <v>0</v>
      </c>
      <c r="AL158" s="61">
        <f t="shared" si="367"/>
        <v>0</v>
      </c>
      <c r="AM158" s="61">
        <f t="shared" si="367"/>
        <v>0</v>
      </c>
      <c r="AN158" s="61">
        <f t="shared" si="367"/>
        <v>0</v>
      </c>
      <c r="AO158" s="61">
        <f t="shared" si="367"/>
        <v>0</v>
      </c>
      <c r="AP158" s="61">
        <f t="shared" si="367"/>
        <v>0</v>
      </c>
      <c r="AQ158" s="61">
        <f t="shared" si="367"/>
        <v>0</v>
      </c>
      <c r="AR158" s="61">
        <f t="shared" si="367"/>
        <v>0</v>
      </c>
      <c r="AS158" s="61">
        <f t="shared" si="367"/>
        <v>0</v>
      </c>
      <c r="AT158" s="61">
        <f t="shared" si="367"/>
        <v>0</v>
      </c>
      <c r="AU158" s="61">
        <f t="shared" si="367"/>
        <v>0</v>
      </c>
      <c r="AV158" s="61">
        <f t="shared" si="367"/>
        <v>0</v>
      </c>
      <c r="AW158" s="61">
        <f t="shared" si="367"/>
        <v>0</v>
      </c>
    </row>
    <row r="159" spans="3:49" ht="14.25" customHeight="1">
      <c r="C159" s="4" t="s">
        <v>506</v>
      </c>
      <c r="D159" s="503">
        <f>0</f>
        <v>0</v>
      </c>
      <c r="E159" s="503">
        <f>D158+D159-D160</f>
        <v>-165</v>
      </c>
      <c r="F159" s="503">
        <f t="shared" ref="F159:AW159" si="368">E158+E159-E160</f>
        <v>-180</v>
      </c>
      <c r="G159" s="503">
        <f t="shared" si="368"/>
        <v>-180</v>
      </c>
      <c r="H159" s="503">
        <f t="shared" si="368"/>
        <v>-180</v>
      </c>
      <c r="I159" s="503">
        <f t="shared" si="368"/>
        <v>-180</v>
      </c>
      <c r="J159" s="503">
        <f t="shared" si="368"/>
        <v>-180</v>
      </c>
      <c r="K159" s="503">
        <f t="shared" si="368"/>
        <v>-180</v>
      </c>
      <c r="L159" s="503">
        <f t="shared" si="368"/>
        <v>-180</v>
      </c>
      <c r="M159" s="503">
        <f t="shared" si="368"/>
        <v>-180</v>
      </c>
      <c r="N159" s="503">
        <f t="shared" si="368"/>
        <v>-180</v>
      </c>
      <c r="O159" s="503">
        <f t="shared" si="368"/>
        <v>-180</v>
      </c>
      <c r="P159" s="503">
        <f t="shared" si="368"/>
        <v>-180</v>
      </c>
      <c r="Q159" s="503">
        <f t="shared" si="368"/>
        <v>-180</v>
      </c>
      <c r="R159" s="503">
        <f t="shared" si="368"/>
        <v>-180</v>
      </c>
      <c r="S159" s="503">
        <f t="shared" si="368"/>
        <v>-180</v>
      </c>
      <c r="T159" s="503">
        <f t="shared" si="368"/>
        <v>-180</v>
      </c>
      <c r="U159" s="503">
        <f t="shared" si="368"/>
        <v>-180</v>
      </c>
      <c r="V159" s="503">
        <f t="shared" si="368"/>
        <v>-180</v>
      </c>
      <c r="W159" s="503">
        <f t="shared" si="368"/>
        <v>-180</v>
      </c>
      <c r="X159" s="503">
        <f t="shared" si="368"/>
        <v>-180</v>
      </c>
      <c r="Y159" s="503">
        <f t="shared" si="368"/>
        <v>-180</v>
      </c>
      <c r="Z159" s="503">
        <f t="shared" si="368"/>
        <v>-180</v>
      </c>
      <c r="AA159" s="503">
        <f t="shared" si="368"/>
        <v>-180</v>
      </c>
      <c r="AB159" s="503">
        <f t="shared" si="368"/>
        <v>-180</v>
      </c>
      <c r="AC159" s="503">
        <f t="shared" si="368"/>
        <v>-180</v>
      </c>
      <c r="AD159" s="503">
        <f t="shared" si="368"/>
        <v>-180</v>
      </c>
      <c r="AE159" s="503">
        <f t="shared" si="368"/>
        <v>0</v>
      </c>
      <c r="AF159" s="503">
        <f t="shared" si="368"/>
        <v>0</v>
      </c>
      <c r="AG159" s="503">
        <f t="shared" si="368"/>
        <v>0</v>
      </c>
      <c r="AH159" s="503">
        <f t="shared" si="368"/>
        <v>0</v>
      </c>
      <c r="AI159" s="503">
        <f t="shared" si="368"/>
        <v>0</v>
      </c>
      <c r="AJ159" s="503">
        <f t="shared" si="368"/>
        <v>0</v>
      </c>
      <c r="AK159" s="503">
        <f t="shared" si="368"/>
        <v>0</v>
      </c>
      <c r="AL159" s="503">
        <f t="shared" si="368"/>
        <v>0</v>
      </c>
      <c r="AM159" s="503">
        <f t="shared" si="368"/>
        <v>0</v>
      </c>
      <c r="AN159" s="503">
        <f t="shared" si="368"/>
        <v>0</v>
      </c>
      <c r="AO159" s="503">
        <f t="shared" si="368"/>
        <v>0</v>
      </c>
      <c r="AP159" s="503">
        <f t="shared" si="368"/>
        <v>0</v>
      </c>
      <c r="AQ159" s="503">
        <f t="shared" si="368"/>
        <v>0</v>
      </c>
      <c r="AR159" s="503">
        <f t="shared" si="368"/>
        <v>0</v>
      </c>
      <c r="AS159" s="503">
        <f t="shared" si="368"/>
        <v>0</v>
      </c>
      <c r="AT159" s="503">
        <f t="shared" si="368"/>
        <v>0</v>
      </c>
      <c r="AU159" s="503">
        <f t="shared" si="368"/>
        <v>0</v>
      </c>
      <c r="AV159" s="503">
        <f t="shared" si="368"/>
        <v>0</v>
      </c>
      <c r="AW159" s="503">
        <f t="shared" si="368"/>
        <v>0</v>
      </c>
    </row>
    <row r="160" spans="3:49" ht="14.25" customHeight="1">
      <c r="C160" s="4" t="s">
        <v>507</v>
      </c>
      <c r="D160" s="503">
        <f>IF(D42=0, 0, D159)</f>
        <v>0</v>
      </c>
      <c r="E160" s="503">
        <f t="shared" ref="E160:AW160" si="369">IF(E42=0, 0, E159)</f>
        <v>0</v>
      </c>
      <c r="F160" s="503">
        <f t="shared" si="369"/>
        <v>0</v>
      </c>
      <c r="G160" s="503">
        <f t="shared" si="369"/>
        <v>0</v>
      </c>
      <c r="H160" s="503">
        <f t="shared" si="369"/>
        <v>0</v>
      </c>
      <c r="I160" s="503">
        <f t="shared" si="369"/>
        <v>0</v>
      </c>
      <c r="J160" s="503">
        <f t="shared" si="369"/>
        <v>0</v>
      </c>
      <c r="K160" s="503">
        <f t="shared" si="369"/>
        <v>0</v>
      </c>
      <c r="L160" s="503">
        <f t="shared" si="369"/>
        <v>0</v>
      </c>
      <c r="M160" s="503">
        <f t="shared" si="369"/>
        <v>0</v>
      </c>
      <c r="N160" s="503">
        <f t="shared" si="369"/>
        <v>0</v>
      </c>
      <c r="O160" s="503">
        <f t="shared" si="369"/>
        <v>0</v>
      </c>
      <c r="P160" s="503">
        <f t="shared" si="369"/>
        <v>0</v>
      </c>
      <c r="Q160" s="503">
        <f t="shared" si="369"/>
        <v>0</v>
      </c>
      <c r="R160" s="503">
        <f t="shared" si="369"/>
        <v>0</v>
      </c>
      <c r="S160" s="503">
        <f t="shared" si="369"/>
        <v>0</v>
      </c>
      <c r="T160" s="503">
        <f t="shared" si="369"/>
        <v>0</v>
      </c>
      <c r="U160" s="503">
        <f t="shared" si="369"/>
        <v>0</v>
      </c>
      <c r="V160" s="503">
        <f t="shared" si="369"/>
        <v>0</v>
      </c>
      <c r="W160" s="503">
        <f t="shared" si="369"/>
        <v>0</v>
      </c>
      <c r="X160" s="503">
        <f t="shared" si="369"/>
        <v>0</v>
      </c>
      <c r="Y160" s="503">
        <f t="shared" si="369"/>
        <v>0</v>
      </c>
      <c r="Z160" s="503">
        <f t="shared" si="369"/>
        <v>0</v>
      </c>
      <c r="AA160" s="503">
        <f t="shared" si="369"/>
        <v>0</v>
      </c>
      <c r="AB160" s="503">
        <f t="shared" si="369"/>
        <v>0</v>
      </c>
      <c r="AC160" s="503">
        <f t="shared" si="369"/>
        <v>0</v>
      </c>
      <c r="AD160" s="503">
        <f t="shared" si="369"/>
        <v>-180</v>
      </c>
      <c r="AE160" s="503">
        <f t="shared" si="369"/>
        <v>0</v>
      </c>
      <c r="AF160" s="503">
        <f t="shared" si="369"/>
        <v>0</v>
      </c>
      <c r="AG160" s="503">
        <f t="shared" si="369"/>
        <v>0</v>
      </c>
      <c r="AH160" s="503">
        <f t="shared" si="369"/>
        <v>0</v>
      </c>
      <c r="AI160" s="503">
        <f t="shared" si="369"/>
        <v>0</v>
      </c>
      <c r="AJ160" s="503">
        <f t="shared" si="369"/>
        <v>0</v>
      </c>
      <c r="AK160" s="503">
        <f t="shared" si="369"/>
        <v>0</v>
      </c>
      <c r="AL160" s="503">
        <f t="shared" si="369"/>
        <v>0</v>
      </c>
      <c r="AM160" s="503">
        <f t="shared" si="369"/>
        <v>0</v>
      </c>
      <c r="AN160" s="503">
        <f t="shared" si="369"/>
        <v>0</v>
      </c>
      <c r="AO160" s="503">
        <f t="shared" si="369"/>
        <v>0</v>
      </c>
      <c r="AP160" s="503">
        <f t="shared" si="369"/>
        <v>0</v>
      </c>
      <c r="AQ160" s="503">
        <f t="shared" si="369"/>
        <v>0</v>
      </c>
      <c r="AR160" s="503">
        <f t="shared" si="369"/>
        <v>0</v>
      </c>
      <c r="AS160" s="503">
        <f t="shared" si="369"/>
        <v>0</v>
      </c>
      <c r="AT160" s="503">
        <f t="shared" si="369"/>
        <v>0</v>
      </c>
      <c r="AU160" s="503">
        <f t="shared" si="369"/>
        <v>0</v>
      </c>
      <c r="AV160" s="503">
        <f t="shared" si="369"/>
        <v>0</v>
      </c>
      <c r="AW160" s="503">
        <f t="shared" si="369"/>
        <v>0</v>
      </c>
    </row>
    <row r="161" spans="3:49" ht="14.25" customHeight="1">
      <c r="C161" s="1" t="s">
        <v>491</v>
      </c>
      <c r="D161" s="8">
        <f>IF(AND(D158=0, C163&lt;$D$25*'Assumptions &amp; Inputs'!$L$37),MIN($D$25*(1-'Assumptions &amp; Inputs'!$L$37)/'Assumptions &amp; Inputs'!$L$35,-C163),0)</f>
        <v>0</v>
      </c>
      <c r="E161" s="8">
        <f>IF(AND(E$110&gt;YEAR('Assumptions &amp; Inputs'!$L$31), ROUND(D163, 7)&lt;SUMIF($D$110:$AW$110, "="&amp;E$110-'Assumptions &amp; Inputs'!$L$34-1, $D158:$AW158)*'Assumptions &amp; Inputs'!$L$37),MIN(E159*(1-'Assumptions &amp; Inputs'!$L$37)/'Assumptions &amp; Inputs'!$L$34,-D163),0)</f>
        <v>0</v>
      </c>
      <c r="F161" s="8">
        <f>IF(AND(F$110&gt;YEAR('Assumptions &amp; Inputs'!$L$31), ROUND(E163, 7)&lt;SUMIF($D$110:$AW$110, "="&amp;F$110-'Assumptions &amp; Inputs'!$L$34-1, $D158:$AW158)*'Assumptions &amp; Inputs'!$L$37),MIN(F159*(1-'Assumptions &amp; Inputs'!$L$37)/'Assumptions &amp; Inputs'!$L$34,-E163),0)</f>
        <v>-6.84</v>
      </c>
      <c r="G161" s="8">
        <f>IF(AND(G$110&gt;YEAR('Assumptions &amp; Inputs'!$L$31), ROUND(F163, 7)&lt;SUMIF($D$110:$AW$110, "="&amp;G$110-'Assumptions &amp; Inputs'!$L$34-1, $D158:$AW158)*'Assumptions &amp; Inputs'!$L$37),MIN(G159*(1-'Assumptions &amp; Inputs'!$L$37)/'Assumptions &amp; Inputs'!$L$34,-F163),0)</f>
        <v>-6.84</v>
      </c>
      <c r="H161" s="8">
        <f>IF(AND(H$110&gt;YEAR('Assumptions &amp; Inputs'!$L$31), ROUND(G163, 7)&lt;SUMIF($D$110:$AW$110, "="&amp;H$110-'Assumptions &amp; Inputs'!$L$34-1, $D158:$AW158)*'Assumptions &amp; Inputs'!$L$37),MIN(H159*(1-'Assumptions &amp; Inputs'!$L$37)/'Assumptions &amp; Inputs'!$L$34,-G163),0)</f>
        <v>-6.84</v>
      </c>
      <c r="I161" s="8">
        <f>IF(AND(I$110&gt;YEAR('Assumptions &amp; Inputs'!$L$31), ROUND(H163, 7)&lt;SUMIF($D$110:$AW$110, "="&amp;I$110-'Assumptions &amp; Inputs'!$L$34-1, $D158:$AW158)*'Assumptions &amp; Inputs'!$L$37),MIN(I159*(1-'Assumptions &amp; Inputs'!$L$37)/'Assumptions &amp; Inputs'!$L$34,-H163),0)</f>
        <v>-6.84</v>
      </c>
      <c r="J161" s="8">
        <f>IF(AND(J$110&gt;YEAR('Assumptions &amp; Inputs'!$L$31), ROUND(I163, 7)&lt;SUMIF($D$110:$AW$110, "="&amp;J$110-'Assumptions &amp; Inputs'!$L$34-1, $D158:$AW158)*'Assumptions &amp; Inputs'!$L$37),MIN(J159*(1-'Assumptions &amp; Inputs'!$L$37)/'Assumptions &amp; Inputs'!$L$34,-I163),0)</f>
        <v>-6.84</v>
      </c>
      <c r="K161" s="8">
        <f>IF(AND(K$110&gt;YEAR('Assumptions &amp; Inputs'!$L$31), ROUND(J163, 7)&lt;SUMIF($D$110:$AW$110, "="&amp;K$110-'Assumptions &amp; Inputs'!$L$34-1, $D158:$AW158)*'Assumptions &amp; Inputs'!$L$37),MIN(K159*(1-'Assumptions &amp; Inputs'!$L$37)/'Assumptions &amp; Inputs'!$L$34,-J163),0)</f>
        <v>-6.84</v>
      </c>
      <c r="L161" s="8">
        <f>IF(AND(L$110&gt;YEAR('Assumptions &amp; Inputs'!$L$31), ROUND(K163, 7)&lt;SUMIF($D$110:$AW$110, "="&amp;L$110-'Assumptions &amp; Inputs'!$L$34-1, $D158:$AW158)*'Assumptions &amp; Inputs'!$L$37),MIN(L159*(1-'Assumptions &amp; Inputs'!$L$37)/'Assumptions &amp; Inputs'!$L$34,-K163),0)</f>
        <v>-6.84</v>
      </c>
      <c r="M161" s="8">
        <f>IF(AND(M$110&gt;YEAR('Assumptions &amp; Inputs'!$L$31), ROUND(L163, 7)&lt;SUMIF($D$110:$AW$110, "="&amp;M$110-'Assumptions &amp; Inputs'!$L$34-1, $D158:$AW158)*'Assumptions &amp; Inputs'!$L$37),MIN(M159*(1-'Assumptions &amp; Inputs'!$L$37)/'Assumptions &amp; Inputs'!$L$34,-L163),0)</f>
        <v>-6.84</v>
      </c>
      <c r="N161" s="8">
        <f>IF(AND(N$110&gt;YEAR('Assumptions &amp; Inputs'!$L$31), ROUND(M163, 7)&lt;SUMIF($D$110:$AW$110, "="&amp;N$110-'Assumptions &amp; Inputs'!$L$34-1, $D158:$AW158)*'Assumptions &amp; Inputs'!$L$37),MIN(N159*(1-'Assumptions &amp; Inputs'!$L$37)/'Assumptions &amp; Inputs'!$L$34,-M163),0)</f>
        <v>-6.84</v>
      </c>
      <c r="O161" s="8">
        <f>IF(AND(O$110&gt;YEAR('Assumptions &amp; Inputs'!$L$31), ROUND(N163, 7)&lt;SUMIF($D$110:$AW$110, "="&amp;O$110-'Assumptions &amp; Inputs'!$L$34-1, $D158:$AW158)*'Assumptions &amp; Inputs'!$L$37),MIN(O159*(1-'Assumptions &amp; Inputs'!$L$37)/'Assumptions &amp; Inputs'!$L$34,-N163),0)</f>
        <v>-6.84</v>
      </c>
      <c r="P161" s="8">
        <f>IF(AND(P$110&gt;YEAR('Assumptions &amp; Inputs'!$L$31), ROUND(O163, 7)&lt;SUMIF($D$110:$AW$110, "="&amp;P$110-'Assumptions &amp; Inputs'!$L$34-1, $D158:$AW158)*'Assumptions &amp; Inputs'!$L$37),MIN(P159*(1-'Assumptions &amp; Inputs'!$L$37)/'Assumptions &amp; Inputs'!$L$34,-O163),0)</f>
        <v>-6.84</v>
      </c>
      <c r="Q161" s="8">
        <f>IF(AND(Q$110&gt;YEAR('Assumptions &amp; Inputs'!$L$31), ROUND(P163, 7)&lt;SUMIF($D$110:$AW$110, "="&amp;Q$110-'Assumptions &amp; Inputs'!$L$34-1, $D158:$AW158)*'Assumptions &amp; Inputs'!$L$37),MIN(Q159*(1-'Assumptions &amp; Inputs'!$L$37)/'Assumptions &amp; Inputs'!$L$34,-P163),0)</f>
        <v>-6.84</v>
      </c>
      <c r="R161" s="8">
        <f>IF(AND(R$110&gt;YEAR('Assumptions &amp; Inputs'!$L$31), ROUND(Q163, 7)&lt;SUMIF($D$110:$AW$110, "="&amp;R$110-'Assumptions &amp; Inputs'!$L$34-1, $D158:$AW158)*'Assumptions &amp; Inputs'!$L$37),MIN(R159*(1-'Assumptions &amp; Inputs'!$L$37)/'Assumptions &amp; Inputs'!$L$34,-Q163),0)</f>
        <v>-6.84</v>
      </c>
      <c r="S161" s="8">
        <f>IF(AND(S$110&gt;YEAR('Assumptions &amp; Inputs'!$L$31), ROUND(R163, 7)&lt;SUMIF($D$110:$AW$110, "="&amp;S$110-'Assumptions &amp; Inputs'!$L$34-1, $D158:$AW158)*'Assumptions &amp; Inputs'!$L$37),MIN(S159*(1-'Assumptions &amp; Inputs'!$L$37)/'Assumptions &amp; Inputs'!$L$34,-R163),0)</f>
        <v>-6.84</v>
      </c>
      <c r="T161" s="8">
        <f>IF(AND(T$110&gt;YEAR('Assumptions &amp; Inputs'!$L$31), ROUND(S163, 7)&lt;SUMIF($D$110:$AW$110, "="&amp;T$110-'Assumptions &amp; Inputs'!$L$34-1, $D158:$AW158)*'Assumptions &amp; Inputs'!$L$37),MIN(T159*(1-'Assumptions &amp; Inputs'!$L$37)/'Assumptions &amp; Inputs'!$L$34,-S163),0)</f>
        <v>-6.84</v>
      </c>
      <c r="U161" s="8">
        <f>IF(AND(U$110&gt;YEAR('Assumptions &amp; Inputs'!$L$31), ROUND(T163, 7)&lt;SUMIF($D$110:$AW$110, "="&amp;U$110-'Assumptions &amp; Inputs'!$L$34-1, $D158:$AW158)*'Assumptions &amp; Inputs'!$L$37),MIN(U159*(1-'Assumptions &amp; Inputs'!$L$37)/'Assumptions &amp; Inputs'!$L$34,-T163),0)</f>
        <v>-6.84</v>
      </c>
      <c r="V161" s="8">
        <f>IF(AND(V$110&gt;YEAR('Assumptions &amp; Inputs'!$L$31), ROUND(U163, 7)&lt;SUMIF($D$110:$AW$110, "="&amp;V$110-'Assumptions &amp; Inputs'!$L$34-1, $D158:$AW158)*'Assumptions &amp; Inputs'!$L$37),MIN(V159*(1-'Assumptions &amp; Inputs'!$L$37)/'Assumptions &amp; Inputs'!$L$34,-U163),0)</f>
        <v>-6.84</v>
      </c>
      <c r="W161" s="8">
        <f>IF(AND(W$110&gt;YEAR('Assumptions &amp; Inputs'!$L$31), ROUND(V163, 7)&lt;SUMIF($D$110:$AW$110, "="&amp;W$110-'Assumptions &amp; Inputs'!$L$34-1, $D158:$AW158)*'Assumptions &amp; Inputs'!$L$37),MIN(W159*(1-'Assumptions &amp; Inputs'!$L$37)/'Assumptions &amp; Inputs'!$L$34,-V163),0)</f>
        <v>-6.84</v>
      </c>
      <c r="X161" s="8">
        <f>IF(AND(X$110&gt;YEAR('Assumptions &amp; Inputs'!$L$31), ROUND(W163, 7)&lt;SUMIF($D$110:$AW$110, "="&amp;X$110-'Assumptions &amp; Inputs'!$L$34-1, $D158:$AW158)*'Assumptions &amp; Inputs'!$L$37),MIN(X159*(1-'Assumptions &amp; Inputs'!$L$37)/'Assumptions &amp; Inputs'!$L$34,-W163),0)</f>
        <v>-6.84</v>
      </c>
      <c r="Y161" s="8">
        <f>IF(AND(Y$110&gt;YEAR('Assumptions &amp; Inputs'!$L$31), ROUND(X163, 7)&lt;SUMIF($D$110:$AW$110, "="&amp;Y$110-'Assumptions &amp; Inputs'!$L$34-1, $D158:$AW158)*'Assumptions &amp; Inputs'!$L$37),MIN(Y159*(1-'Assumptions &amp; Inputs'!$L$37)/'Assumptions &amp; Inputs'!$L$34,-X163),0)</f>
        <v>-6.84</v>
      </c>
      <c r="Z161" s="8">
        <f>IF(AND(Z$110&gt;YEAR('Assumptions &amp; Inputs'!$L$31), ROUND(Y163, 7)&lt;SUMIF($D$110:$AW$110, "="&amp;Z$110-'Assumptions &amp; Inputs'!$L$34-1, $D158:$AW158)*'Assumptions &amp; Inputs'!$L$37),MIN(Z159*(1-'Assumptions &amp; Inputs'!$L$37)/'Assumptions &amp; Inputs'!$L$34,-Y163),0)</f>
        <v>-6.84</v>
      </c>
      <c r="AA161" s="8">
        <f>IF(AND(AA$110&gt;YEAR('Assumptions &amp; Inputs'!$L$31), ROUND(Z163, 7)&lt;SUMIF($D$110:$AW$110, "="&amp;AA$110-'Assumptions &amp; Inputs'!$L$34-1, $D158:$AW158)*'Assumptions &amp; Inputs'!$L$37),MIN(AA159*(1-'Assumptions &amp; Inputs'!$L$37)/'Assumptions &amp; Inputs'!$L$34,-Z163),0)</f>
        <v>-6.84</v>
      </c>
      <c r="AB161" s="8">
        <f>IF(AND(AB$110&gt;YEAR('Assumptions &amp; Inputs'!$L$31), ROUND(AA163, 7)&lt;SUMIF($D$110:$AW$110, "="&amp;AB$110-'Assumptions &amp; Inputs'!$L$34-1, $D158:$AW158)*'Assumptions &amp; Inputs'!$L$37),MIN(AB159*(1-'Assumptions &amp; Inputs'!$L$37)/'Assumptions &amp; Inputs'!$L$34,-AA163),0)</f>
        <v>-6.84</v>
      </c>
      <c r="AC161" s="8">
        <f>IF(AND(AC$110&gt;YEAR('Assumptions &amp; Inputs'!$L$31), ROUND(AB163, 7)&lt;SUMIF($D$110:$AW$110, "="&amp;AC$110-'Assumptions &amp; Inputs'!$L$34-1, $D158:$AW158)*'Assumptions &amp; Inputs'!$L$37),MIN(AC159*(1-'Assumptions &amp; Inputs'!$L$37)/'Assumptions &amp; Inputs'!$L$34,-AB163),0)</f>
        <v>-6.84</v>
      </c>
      <c r="AD161" s="8">
        <f>IF(AND(AD$110&gt;YEAR('Assumptions &amp; Inputs'!$L$31), ROUND(AC163, 7)&lt;SUMIF($D$110:$AW$110, "="&amp;AD$110-'Assumptions &amp; Inputs'!$L$34-1, $D158:$AW158)*'Assumptions &amp; Inputs'!$L$37),MIN(AD159*(1-'Assumptions &amp; Inputs'!$L$37)/'Assumptions &amp; Inputs'!$L$34,-AC163),0)</f>
        <v>-6.84</v>
      </c>
      <c r="AE161" s="8">
        <f>IF(AND(AE$110&gt;YEAR('Assumptions &amp; Inputs'!$L$31), ROUND(AD163, 7)&lt;SUMIF($D$110:$AW$110, "="&amp;AE$110-'Assumptions &amp; Inputs'!$L$34-1, $D158:$AW158)*'Assumptions &amp; Inputs'!$L$37),MIN(AE159*(1-'Assumptions &amp; Inputs'!$L$37)/'Assumptions &amp; Inputs'!$L$34,-AD163),0)</f>
        <v>0</v>
      </c>
      <c r="AF161" s="8">
        <f>IF(AND(AF$110&gt;YEAR('Assumptions &amp; Inputs'!$L$31), ROUND(AE163, 7)&lt;SUMIF($D$110:$AW$110, "="&amp;AF$110-'Assumptions &amp; Inputs'!$L$34-1, $D158:$AW158)*'Assumptions &amp; Inputs'!$L$37),MIN(AF159*(1-'Assumptions &amp; Inputs'!$L$37)/'Assumptions &amp; Inputs'!$L$34,-AE163),0)</f>
        <v>0</v>
      </c>
      <c r="AG161" s="8">
        <f>IF(AND(AG$110&gt;YEAR('Assumptions &amp; Inputs'!$L$31), ROUND(AF163, 7)&lt;SUMIF($D$110:$AW$110, "="&amp;AG$110-'Assumptions &amp; Inputs'!$L$34-1, $D158:$AW158)*'Assumptions &amp; Inputs'!$L$37),MIN(AG159*(1-'Assumptions &amp; Inputs'!$L$37)/'Assumptions &amp; Inputs'!$L$34,-AF163),0)</f>
        <v>0</v>
      </c>
      <c r="AH161" s="8">
        <f>IF(AND(AH$110&gt;YEAR('Assumptions &amp; Inputs'!$L$31), ROUND(AG163, 7)&lt;SUMIF($D$110:$AW$110, "="&amp;AH$110-'Assumptions &amp; Inputs'!$L$34-1, $D158:$AW158)*'Assumptions &amp; Inputs'!$L$37),MIN(AH159*(1-'Assumptions &amp; Inputs'!$L$37)/'Assumptions &amp; Inputs'!$L$34,-AG163),0)</f>
        <v>0</v>
      </c>
      <c r="AI161" s="8">
        <f>IF(AND(AI$110&gt;YEAR('Assumptions &amp; Inputs'!$L$31), ROUND(AH163, 7)&lt;SUMIF($D$110:$AW$110, "="&amp;AI$110-'Assumptions &amp; Inputs'!$L$34-1, $D158:$AW158)*'Assumptions &amp; Inputs'!$L$37),MIN(AI159*(1-'Assumptions &amp; Inputs'!$L$37)/'Assumptions &amp; Inputs'!$L$34,-AH163),0)</f>
        <v>0</v>
      </c>
      <c r="AJ161" s="8">
        <f>IF(AND(AJ$110&gt;YEAR('Assumptions &amp; Inputs'!$L$31), ROUND(AI163, 7)&lt;SUMIF($D$110:$AW$110, "="&amp;AJ$110-'Assumptions &amp; Inputs'!$L$34-1, $D158:$AW158)*'Assumptions &amp; Inputs'!$L$37),MIN(AJ159*(1-'Assumptions &amp; Inputs'!$L$37)/'Assumptions &amp; Inputs'!$L$34,-AI163),0)</f>
        <v>0</v>
      </c>
      <c r="AK161" s="8">
        <f>IF(AND(AK$110&gt;YEAR('Assumptions &amp; Inputs'!$L$31), ROUND(AJ163, 7)&lt;SUMIF($D$110:$AW$110, "="&amp;AK$110-'Assumptions &amp; Inputs'!$L$34-1, $D158:$AW158)*'Assumptions &amp; Inputs'!$L$37),MIN(AK159*(1-'Assumptions &amp; Inputs'!$L$37)/'Assumptions &amp; Inputs'!$L$34,-AJ163),0)</f>
        <v>0</v>
      </c>
      <c r="AL161" s="8">
        <f>IF(AND(AL$110&gt;YEAR('Assumptions &amp; Inputs'!$L$31), ROUND(AK163, 7)&lt;SUMIF($D$110:$AW$110, "="&amp;AL$110-'Assumptions &amp; Inputs'!$L$34-1, $D158:$AW158)*'Assumptions &amp; Inputs'!$L$37),MIN(AL159*(1-'Assumptions &amp; Inputs'!$L$37)/'Assumptions &amp; Inputs'!$L$34,-AK163),0)</f>
        <v>0</v>
      </c>
      <c r="AM161" s="8">
        <f>IF(AND(AM$110&gt;YEAR('Assumptions &amp; Inputs'!$L$31), ROUND(AL163, 7)&lt;SUMIF($D$110:$AW$110, "="&amp;AM$110-'Assumptions &amp; Inputs'!$L$34-1, $D158:$AW158)*'Assumptions &amp; Inputs'!$L$37),MIN(AM159*(1-'Assumptions &amp; Inputs'!$L$37)/'Assumptions &amp; Inputs'!$L$34,-AL163),0)</f>
        <v>0</v>
      </c>
      <c r="AN161" s="8">
        <f>IF(AND(AN$110&gt;YEAR('Assumptions &amp; Inputs'!$L$31), ROUND(AM163, 7)&lt;SUMIF($D$110:$AW$110, "="&amp;AN$110-'Assumptions &amp; Inputs'!$L$34-1, $D158:$AW158)*'Assumptions &amp; Inputs'!$L$37),MIN(AN159*(1-'Assumptions &amp; Inputs'!$L$37)/'Assumptions &amp; Inputs'!$L$34,-AM163),0)</f>
        <v>0</v>
      </c>
      <c r="AO161" s="8">
        <f>IF(AND(AO$110&gt;YEAR('Assumptions &amp; Inputs'!$L$31), ROUND(AN163, 7)&lt;SUMIF($D$110:$AW$110, "="&amp;AO$110-'Assumptions &amp; Inputs'!$L$34-1, $D158:$AW158)*'Assumptions &amp; Inputs'!$L$37),MIN(AO159*(1-'Assumptions &amp; Inputs'!$L$37)/'Assumptions &amp; Inputs'!$L$34,-AN163),0)</f>
        <v>0</v>
      </c>
      <c r="AP161" s="8">
        <f>IF(AND(AP$110&gt;YEAR('Assumptions &amp; Inputs'!$L$31), ROUND(AO163, 7)&lt;SUMIF($D$110:$AW$110, "="&amp;AP$110-'Assumptions &amp; Inputs'!$L$34-1, $D158:$AW158)*'Assumptions &amp; Inputs'!$L$37),MIN(AP159*(1-'Assumptions &amp; Inputs'!$L$37)/'Assumptions &amp; Inputs'!$L$34,-AO163),0)</f>
        <v>0</v>
      </c>
      <c r="AQ161" s="8">
        <f>IF(AND(AQ$110&gt;YEAR('Assumptions &amp; Inputs'!$L$31), ROUND(AP163, 7)&lt;SUMIF($D$110:$AW$110, "="&amp;AQ$110-'Assumptions &amp; Inputs'!$L$34-1, $D158:$AW158)*'Assumptions &amp; Inputs'!$L$37),MIN(AQ159*(1-'Assumptions &amp; Inputs'!$L$37)/'Assumptions &amp; Inputs'!$L$34,-AP163),0)</f>
        <v>0</v>
      </c>
      <c r="AR161" s="8">
        <f>IF(AND(AR$110&gt;YEAR('Assumptions &amp; Inputs'!$L$31), ROUND(AQ163, 7)&lt;SUMIF($D$110:$AW$110, "="&amp;AR$110-'Assumptions &amp; Inputs'!$L$34-1, $D158:$AW158)*'Assumptions &amp; Inputs'!$L$37),MIN(AR159*(1-'Assumptions &amp; Inputs'!$L$37)/'Assumptions &amp; Inputs'!$L$34,-AQ163),0)</f>
        <v>0</v>
      </c>
      <c r="AS161" s="8">
        <f>IF(AND(AS$110&gt;YEAR('Assumptions &amp; Inputs'!$L$31), ROUND(AR163, 7)&lt;SUMIF($D$110:$AW$110, "="&amp;AS$110-'Assumptions &amp; Inputs'!$L$34-1, $D158:$AW158)*'Assumptions &amp; Inputs'!$L$37),MIN(AS159*(1-'Assumptions &amp; Inputs'!$L$37)/'Assumptions &amp; Inputs'!$L$34,-AR163),0)</f>
        <v>0</v>
      </c>
      <c r="AT161" s="8">
        <f>IF(AND(AT$110&gt;YEAR('Assumptions &amp; Inputs'!$L$31), ROUND(AS163, 7)&lt;SUMIF($D$110:$AW$110, "="&amp;AT$110-'Assumptions &amp; Inputs'!$L$34-1, $D158:$AW158)*'Assumptions &amp; Inputs'!$L$37),MIN(AT159*(1-'Assumptions &amp; Inputs'!$L$37)/'Assumptions &amp; Inputs'!$L$34,-AS163),0)</f>
        <v>0</v>
      </c>
      <c r="AU161" s="8">
        <f>IF(AND(AU$110&gt;YEAR('Assumptions &amp; Inputs'!$L$31), ROUND(AT163, 7)&lt;SUMIF($D$110:$AW$110, "="&amp;AU$110-'Assumptions &amp; Inputs'!$L$34-1, $D158:$AW158)*'Assumptions &amp; Inputs'!$L$37),MIN(AU159*(1-'Assumptions &amp; Inputs'!$L$37)/'Assumptions &amp; Inputs'!$L$34,-AT163),0)</f>
        <v>0</v>
      </c>
      <c r="AV161" s="8">
        <f>IF(AND(AV$110&gt;YEAR('Assumptions &amp; Inputs'!$L$31), ROUND(AU163, 7)&lt;SUMIF($D$110:$AW$110, "="&amp;AV$110-'Assumptions &amp; Inputs'!$L$34-1, $D158:$AW158)*'Assumptions &amp; Inputs'!$L$37),MIN(AV159*(1-'Assumptions &amp; Inputs'!$L$37)/'Assumptions &amp; Inputs'!$L$34,-AU163),0)</f>
        <v>0</v>
      </c>
      <c r="AW161" s="8">
        <f>IF(AND(AW$110&gt;YEAR('Assumptions &amp; Inputs'!$L$31), ROUND(AV163, 7)&lt;SUMIF($D$110:$AW$110, "="&amp;AW$110-'Assumptions &amp; Inputs'!$L$34-1, $D158:$AW158)*'Assumptions &amp; Inputs'!$L$37),MIN(AW159*(1-'Assumptions &amp; Inputs'!$L$37)/'Assumptions &amp; Inputs'!$L$34,-AV163),0)</f>
        <v>0</v>
      </c>
    </row>
    <row r="162" spans="3:49" ht="14.25" customHeight="1">
      <c r="C162" s="4" t="s">
        <v>508</v>
      </c>
      <c r="D162" s="23">
        <f>D161</f>
        <v>0</v>
      </c>
      <c r="E162" s="23">
        <f>MAX(E161+D162, $D$25)</f>
        <v>0</v>
      </c>
      <c r="F162" s="23">
        <f t="shared" ref="F162:AW162" si="370">MAX(F161+E162, $D$25)</f>
        <v>-6.84</v>
      </c>
      <c r="G162" s="23">
        <f t="shared" si="370"/>
        <v>-13.68</v>
      </c>
      <c r="H162" s="23">
        <f t="shared" si="370"/>
        <v>-20.52</v>
      </c>
      <c r="I162" s="23">
        <f t="shared" si="370"/>
        <v>-27.36</v>
      </c>
      <c r="J162" s="23">
        <f t="shared" si="370"/>
        <v>-34.200000000000003</v>
      </c>
      <c r="K162" s="23">
        <f t="shared" si="370"/>
        <v>-41.040000000000006</v>
      </c>
      <c r="L162" s="23">
        <f t="shared" si="370"/>
        <v>-47.88000000000001</v>
      </c>
      <c r="M162" s="23">
        <f t="shared" si="370"/>
        <v>-54.720000000000013</v>
      </c>
      <c r="N162" s="23">
        <f t="shared" si="370"/>
        <v>-61.560000000000016</v>
      </c>
      <c r="O162" s="23">
        <f t="shared" si="370"/>
        <v>-68.40000000000002</v>
      </c>
      <c r="P162" s="23">
        <f t="shared" si="370"/>
        <v>-75.240000000000023</v>
      </c>
      <c r="Q162" s="23">
        <f t="shared" si="370"/>
        <v>-82.080000000000027</v>
      </c>
      <c r="R162" s="23">
        <f t="shared" si="370"/>
        <v>-88.92000000000003</v>
      </c>
      <c r="S162" s="23">
        <f t="shared" si="370"/>
        <v>-95.760000000000034</v>
      </c>
      <c r="T162" s="23">
        <f t="shared" si="370"/>
        <v>-102.60000000000004</v>
      </c>
      <c r="U162" s="23">
        <f t="shared" si="370"/>
        <v>-109.44000000000004</v>
      </c>
      <c r="V162" s="23">
        <f t="shared" si="370"/>
        <v>-116.28000000000004</v>
      </c>
      <c r="W162" s="23">
        <f t="shared" si="370"/>
        <v>-123.12000000000005</v>
      </c>
      <c r="X162" s="23">
        <f t="shared" si="370"/>
        <v>-129.96000000000004</v>
      </c>
      <c r="Y162" s="23">
        <f t="shared" si="370"/>
        <v>-136.80000000000004</v>
      </c>
      <c r="Z162" s="23">
        <f t="shared" si="370"/>
        <v>-143.64000000000004</v>
      </c>
      <c r="AA162" s="23">
        <f t="shared" si="370"/>
        <v>-150.48000000000005</v>
      </c>
      <c r="AB162" s="23">
        <f t="shared" si="370"/>
        <v>-157.32000000000005</v>
      </c>
      <c r="AC162" s="23">
        <f t="shared" si="370"/>
        <v>-164.16000000000005</v>
      </c>
      <c r="AD162" s="23">
        <f t="shared" si="370"/>
        <v>-171.00000000000006</v>
      </c>
      <c r="AE162" s="23">
        <f t="shared" si="370"/>
        <v>-171.00000000000006</v>
      </c>
      <c r="AF162" s="23">
        <f t="shared" si="370"/>
        <v>-171.00000000000006</v>
      </c>
      <c r="AG162" s="23">
        <f t="shared" si="370"/>
        <v>-171.00000000000006</v>
      </c>
      <c r="AH162" s="23">
        <f t="shared" si="370"/>
        <v>-171.00000000000006</v>
      </c>
      <c r="AI162" s="23">
        <f t="shared" si="370"/>
        <v>-171.00000000000006</v>
      </c>
      <c r="AJ162" s="23">
        <f t="shared" si="370"/>
        <v>-171.00000000000006</v>
      </c>
      <c r="AK162" s="23">
        <f t="shared" si="370"/>
        <v>-171.00000000000006</v>
      </c>
      <c r="AL162" s="23">
        <f t="shared" si="370"/>
        <v>-171.00000000000006</v>
      </c>
      <c r="AM162" s="23">
        <f t="shared" si="370"/>
        <v>-171.00000000000006</v>
      </c>
      <c r="AN162" s="23">
        <f t="shared" si="370"/>
        <v>-171.00000000000006</v>
      </c>
      <c r="AO162" s="23">
        <f t="shared" si="370"/>
        <v>-171.00000000000006</v>
      </c>
      <c r="AP162" s="23">
        <f t="shared" si="370"/>
        <v>-171.00000000000006</v>
      </c>
      <c r="AQ162" s="23">
        <f t="shared" si="370"/>
        <v>-171.00000000000006</v>
      </c>
      <c r="AR162" s="23">
        <f t="shared" si="370"/>
        <v>-171.00000000000006</v>
      </c>
      <c r="AS162" s="23">
        <f t="shared" si="370"/>
        <v>-171.00000000000006</v>
      </c>
      <c r="AT162" s="23">
        <f t="shared" si="370"/>
        <v>-171.00000000000006</v>
      </c>
      <c r="AU162" s="23">
        <f t="shared" si="370"/>
        <v>-171.00000000000006</v>
      </c>
      <c r="AV162" s="23">
        <f t="shared" si="370"/>
        <v>-171.00000000000006</v>
      </c>
      <c r="AW162" s="23">
        <f t="shared" si="370"/>
        <v>-171.00000000000006</v>
      </c>
    </row>
    <row r="163" spans="3:49" ht="14.25" customHeight="1">
      <c r="C163" s="4" t="s">
        <v>509</v>
      </c>
      <c r="D163" s="23">
        <f>SUM(-D162, D158)</f>
        <v>-165</v>
      </c>
      <c r="E163" s="23">
        <f>SUM(D163,-E161, E$42, E158)</f>
        <v>-180</v>
      </c>
      <c r="F163" s="23">
        <f t="shared" ref="F163:AW163" si="371">SUM(E163,-F161, F$42, F158)</f>
        <v>-173.16</v>
      </c>
      <c r="G163" s="23">
        <f t="shared" si="371"/>
        <v>-166.32</v>
      </c>
      <c r="H163" s="23">
        <f t="shared" si="371"/>
        <v>-159.47999999999999</v>
      </c>
      <c r="I163" s="23">
        <f t="shared" si="371"/>
        <v>-152.63999999999999</v>
      </c>
      <c r="J163" s="23">
        <f t="shared" si="371"/>
        <v>-145.79999999999998</v>
      </c>
      <c r="K163" s="23">
        <f t="shared" si="371"/>
        <v>-138.95999999999998</v>
      </c>
      <c r="L163" s="23">
        <f t="shared" si="371"/>
        <v>-132.11999999999998</v>
      </c>
      <c r="M163" s="23">
        <f t="shared" si="371"/>
        <v>-125.27999999999997</v>
      </c>
      <c r="N163" s="23">
        <f t="shared" si="371"/>
        <v>-118.43999999999997</v>
      </c>
      <c r="O163" s="23">
        <f t="shared" si="371"/>
        <v>-111.59999999999997</v>
      </c>
      <c r="P163" s="23">
        <f t="shared" si="371"/>
        <v>-104.75999999999996</v>
      </c>
      <c r="Q163" s="23">
        <f t="shared" si="371"/>
        <v>-97.919999999999959</v>
      </c>
      <c r="R163" s="23">
        <f t="shared" si="371"/>
        <v>-91.079999999999956</v>
      </c>
      <c r="S163" s="23">
        <f t="shared" si="371"/>
        <v>-84.239999999999952</v>
      </c>
      <c r="T163" s="23">
        <f t="shared" si="371"/>
        <v>-77.399999999999949</v>
      </c>
      <c r="U163" s="23">
        <f t="shared" si="371"/>
        <v>-70.559999999999945</v>
      </c>
      <c r="V163" s="23">
        <f t="shared" si="371"/>
        <v>-63.719999999999942</v>
      </c>
      <c r="W163" s="23">
        <f t="shared" si="371"/>
        <v>-56.879999999999939</v>
      </c>
      <c r="X163" s="23">
        <f t="shared" si="371"/>
        <v>-50.039999999999935</v>
      </c>
      <c r="Y163" s="23">
        <f t="shared" si="371"/>
        <v>-43.199999999999932</v>
      </c>
      <c r="Z163" s="23">
        <f t="shared" si="371"/>
        <v>-36.359999999999928</v>
      </c>
      <c r="AA163" s="23">
        <f t="shared" si="371"/>
        <v>-29.519999999999929</v>
      </c>
      <c r="AB163" s="23">
        <f t="shared" si="371"/>
        <v>-22.679999999999929</v>
      </c>
      <c r="AC163" s="23">
        <f t="shared" si="371"/>
        <v>-15.839999999999929</v>
      </c>
      <c r="AD163" s="23">
        <f t="shared" si="371"/>
        <v>7.1054273576010019E-14</v>
      </c>
      <c r="AE163" s="23">
        <f t="shared" si="371"/>
        <v>7.1054273576010019E-14</v>
      </c>
      <c r="AF163" s="23">
        <f t="shared" si="371"/>
        <v>7.1054273576010019E-14</v>
      </c>
      <c r="AG163" s="23">
        <f t="shared" si="371"/>
        <v>7.1054273576010019E-14</v>
      </c>
      <c r="AH163" s="23">
        <f t="shared" si="371"/>
        <v>7.1054273576010019E-14</v>
      </c>
      <c r="AI163" s="23">
        <f t="shared" si="371"/>
        <v>7.1054273576010019E-14</v>
      </c>
      <c r="AJ163" s="23">
        <f t="shared" si="371"/>
        <v>7.1054273576010019E-14</v>
      </c>
      <c r="AK163" s="23">
        <f t="shared" si="371"/>
        <v>7.1054273576010019E-14</v>
      </c>
      <c r="AL163" s="23">
        <f t="shared" si="371"/>
        <v>7.1054273576010019E-14</v>
      </c>
      <c r="AM163" s="23">
        <f t="shared" si="371"/>
        <v>7.1054273576010019E-14</v>
      </c>
      <c r="AN163" s="23">
        <f t="shared" si="371"/>
        <v>7.1054273576010019E-14</v>
      </c>
      <c r="AO163" s="23">
        <f t="shared" si="371"/>
        <v>7.1054273576010019E-14</v>
      </c>
      <c r="AP163" s="23">
        <f t="shared" si="371"/>
        <v>7.1054273576010019E-14</v>
      </c>
      <c r="AQ163" s="23">
        <f t="shared" si="371"/>
        <v>7.1054273576010019E-14</v>
      </c>
      <c r="AR163" s="23">
        <f t="shared" si="371"/>
        <v>7.1054273576010019E-14</v>
      </c>
      <c r="AS163" s="23">
        <f t="shared" si="371"/>
        <v>7.1054273576010019E-14</v>
      </c>
      <c r="AT163" s="23">
        <f t="shared" si="371"/>
        <v>7.1054273576010019E-14</v>
      </c>
      <c r="AU163" s="23">
        <f t="shared" si="371"/>
        <v>7.1054273576010019E-14</v>
      </c>
      <c r="AV163" s="23">
        <f t="shared" si="371"/>
        <v>7.1054273576010019E-14</v>
      </c>
      <c r="AW163" s="23">
        <f t="shared" si="371"/>
        <v>7.1054273576010019E-14</v>
      </c>
    </row>
    <row r="164" spans="3:49" ht="14.25" customHeight="1">
      <c r="C164" s="184" t="s">
        <v>459</v>
      </c>
      <c r="D164" s="178">
        <f>IF(-SUM(D161:AW161)=ROUND($D$25*(1-'Assumptions &amp; Inputs'!$H$37),0),"yes",ROUND(SUM(D161:AW161)-$D$25*(1-'Assumptions &amp; Inputs'!$H$37),0))</f>
        <v>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3:49" ht="14.2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3:49" ht="14.25" customHeight="1">
      <c r="C166" s="2" t="s">
        <v>492</v>
      </c>
      <c r="D166" s="31">
        <f>SUM(D144,-D161)</f>
        <v>0</v>
      </c>
      <c r="E166" s="31">
        <f t="shared" ref="E166:X166" si="372">SUM(E144,-E161)</f>
        <v>159.10478499120794</v>
      </c>
      <c r="F166" s="31">
        <f t="shared" si="372"/>
        <v>223.69112827292648</v>
      </c>
      <c r="G166" s="31">
        <f t="shared" si="372"/>
        <v>228.50338326562991</v>
      </c>
      <c r="H166" s="31">
        <f t="shared" si="372"/>
        <v>251.00577537830793</v>
      </c>
      <c r="I166" s="31">
        <f t="shared" si="372"/>
        <v>260.07399901941494</v>
      </c>
      <c r="J166" s="31">
        <f t="shared" si="372"/>
        <v>265.10991569793259</v>
      </c>
      <c r="K166" s="31">
        <f t="shared" si="372"/>
        <v>270.24794521545164</v>
      </c>
      <c r="L166" s="31">
        <f t="shared" si="372"/>
        <v>275.49012631170871</v>
      </c>
      <c r="M166" s="31">
        <f t="shared" si="372"/>
        <v>280.83853850952579</v>
      </c>
      <c r="N166" s="31">
        <f t="shared" si="372"/>
        <v>286.29530293044343</v>
      </c>
      <c r="O166" s="31">
        <f t="shared" si="372"/>
        <v>291.86258312666632</v>
      </c>
      <c r="P166" s="31">
        <f t="shared" si="372"/>
        <v>297.5425859296468</v>
      </c>
      <c r="Q166" s="31">
        <f t="shared" si="372"/>
        <v>303.33756231564126</v>
      </c>
      <c r="R166" s="31">
        <f t="shared" si="372"/>
        <v>309.24980828857633</v>
      </c>
      <c r="S166" s="31">
        <f t="shared" si="372"/>
        <v>315.28166578057335</v>
      </c>
      <c r="T166" s="31">
        <f t="shared" si="372"/>
        <v>321.4355235704827</v>
      </c>
      <c r="U166" s="31">
        <f t="shared" si="372"/>
        <v>327.71381822078905</v>
      </c>
      <c r="V166" s="31">
        <f t="shared" si="372"/>
        <v>334.11903503325391</v>
      </c>
      <c r="W166" s="31">
        <f t="shared" si="372"/>
        <v>340.65370902367209</v>
      </c>
      <c r="X166" s="31">
        <f t="shared" si="372"/>
        <v>347.32042591612247</v>
      </c>
      <c r="Y166" s="31">
        <f t="shared" ref="Y166:AV166" si="373">SUM(Y144,-Y161)</f>
        <v>354.12182315710368</v>
      </c>
      <c r="Z166" s="31">
        <f t="shared" si="373"/>
        <v>361.06059094995248</v>
      </c>
      <c r="AA166" s="31">
        <f t="shared" si="373"/>
        <v>368.1394733099508</v>
      </c>
      <c r="AB166" s="31">
        <f t="shared" si="373"/>
        <v>375.36126914053438</v>
      </c>
      <c r="AC166" s="31">
        <f t="shared" si="373"/>
        <v>382.72883333102521</v>
      </c>
      <c r="AD166" s="31">
        <f t="shared" si="373"/>
        <v>390.24507787632001</v>
      </c>
      <c r="AE166" s="31">
        <f t="shared" si="373"/>
        <v>23.490729690114286</v>
      </c>
      <c r="AF166" s="31">
        <f t="shared" si="373"/>
        <v>23.432002865889004</v>
      </c>
      <c r="AG166" s="31">
        <f t="shared" si="373"/>
        <v>23.373422858724279</v>
      </c>
      <c r="AH166" s="31">
        <f t="shared" si="373"/>
        <v>0</v>
      </c>
      <c r="AI166" s="31">
        <f t="shared" si="373"/>
        <v>0</v>
      </c>
      <c r="AJ166" s="31">
        <f t="shared" si="373"/>
        <v>0</v>
      </c>
      <c r="AK166" s="31">
        <f t="shared" si="373"/>
        <v>0</v>
      </c>
      <c r="AL166" s="31">
        <f t="shared" si="373"/>
        <v>0</v>
      </c>
      <c r="AM166" s="31">
        <f t="shared" si="373"/>
        <v>0</v>
      </c>
      <c r="AN166" s="31">
        <f t="shared" si="373"/>
        <v>0</v>
      </c>
      <c r="AO166" s="31">
        <f t="shared" si="373"/>
        <v>0</v>
      </c>
      <c r="AP166" s="31">
        <f t="shared" si="373"/>
        <v>0</v>
      </c>
      <c r="AQ166" s="31">
        <f t="shared" si="373"/>
        <v>0</v>
      </c>
      <c r="AR166" s="31">
        <f t="shared" si="373"/>
        <v>0</v>
      </c>
      <c r="AS166" s="31">
        <f t="shared" si="373"/>
        <v>0</v>
      </c>
      <c r="AT166" s="31">
        <f t="shared" si="373"/>
        <v>0</v>
      </c>
      <c r="AU166" s="31">
        <f t="shared" si="373"/>
        <v>0</v>
      </c>
      <c r="AV166" s="31">
        <f t="shared" si="373"/>
        <v>0</v>
      </c>
      <c r="AW166" s="31">
        <f>SUM(AW144,-AW161)</f>
        <v>0</v>
      </c>
    </row>
    <row r="167" spans="3:49" ht="14.2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3:49" ht="14.2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>
        <v>1</v>
      </c>
      <c r="Y168" s="1"/>
      <c r="Z168" s="1"/>
    </row>
  </sheetData>
  <mergeCells count="6">
    <mergeCell ref="E109:P109"/>
    <mergeCell ref="E8:P8"/>
    <mergeCell ref="E31:P31"/>
    <mergeCell ref="C64:E64"/>
    <mergeCell ref="C78:E78"/>
    <mergeCell ref="E88:P88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01086-9777-4b39-a7bd-3152c4d5db56">
      <Terms xmlns="http://schemas.microsoft.com/office/infopath/2007/PartnerControls"/>
    </lcf76f155ced4ddcb4097134ff3c332f>
    <TaxCatchAll xmlns="0df6aef2-fb99-4a6a-82f4-9b013168b2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AD615ACEAE8D4D80C31552BA958170" ma:contentTypeVersion="11" ma:contentTypeDescription="Create a new document." ma:contentTypeScope="" ma:versionID="250a7f80fb80a8ef97249ad7744c89bc">
  <xsd:schema xmlns:xsd="http://www.w3.org/2001/XMLSchema" xmlns:xs="http://www.w3.org/2001/XMLSchema" xmlns:p="http://schemas.microsoft.com/office/2006/metadata/properties" xmlns:ns2="e2901086-9777-4b39-a7bd-3152c4d5db56" xmlns:ns3="0df6aef2-fb99-4a6a-82f4-9b013168b285" targetNamespace="http://schemas.microsoft.com/office/2006/metadata/properties" ma:root="true" ma:fieldsID="e5c94479c7773a4ee76c7fabe2b672d2" ns2:_="" ns3:_="">
    <xsd:import namespace="e2901086-9777-4b39-a7bd-3152c4d5db56"/>
    <xsd:import namespace="0df6aef2-fb99-4a6a-82f4-9b013168b2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01086-9777-4b39-a7bd-3152c4d5d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ad7b7b0-e129-4351-9560-a64016d711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6aef2-fb99-4a6a-82f4-9b013168b2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389e2-d788-4774-a7ed-36fcae607cb9}" ma:internalName="TaxCatchAll" ma:showField="CatchAllData" ma:web="0df6aef2-fb99-4a6a-82f4-9b013168b2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C9AE96-D18D-4C0D-8A33-2A28126776F4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0df6aef2-fb99-4a6a-82f4-9b013168b285"/>
    <ds:schemaRef ds:uri="e2901086-9777-4b39-a7bd-3152c4d5db5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E8D1F5-8ECA-4834-B13A-379B3884B9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901086-9777-4b39-a7bd-3152c4d5db56"/>
    <ds:schemaRef ds:uri="0df6aef2-fb99-4a6a-82f4-9b013168b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C62BF4-0733-4239-A3B7-2E806921DE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Dashboard</vt:lpstr>
      <vt:lpstr>Project Master Sheet</vt:lpstr>
      <vt:lpstr>Project CAPEX</vt:lpstr>
      <vt:lpstr>Project EPC</vt:lpstr>
      <vt:lpstr>Project GREV</vt:lpstr>
      <vt:lpstr>Project OPEX</vt:lpstr>
      <vt:lpstr>Project NET</vt:lpstr>
      <vt:lpstr>CASHFLOW</vt:lpstr>
      <vt:lpstr>Project DIV</vt:lpstr>
      <vt:lpstr>Project ASSET</vt:lpstr>
      <vt:lpstr>Project SVOL</vt:lpstr>
      <vt:lpstr>Project SMACH</vt:lpstr>
      <vt:lpstr>Project PGEN</vt:lpstr>
      <vt:lpstr>Project LAND</vt:lpstr>
      <vt:lpstr>Project List References</vt:lpstr>
      <vt:lpstr>Assumptions &amp; Inputs</vt:lpstr>
      <vt:lpstr>Project Summary</vt:lpstr>
      <vt:lpstr>JV Summary</vt:lpstr>
      <vt:lpstr>Power Summary</vt:lpstr>
      <vt:lpstr>Real Estate</vt:lpstr>
      <vt:lpstr>Load</vt:lpstr>
      <vt:lpstr>GEN-BESS</vt:lpstr>
      <vt:lpstr>GEN-CCGT</vt:lpstr>
      <vt:lpstr>GEN-SOLAR</vt:lpstr>
      <vt:lpstr>GEN-CARBON</vt:lpstr>
      <vt:lpstr>Hydrogen</vt:lpstr>
      <vt:lpstr>SENS Tires</vt:lpstr>
      <vt:lpstr>SENS Coal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 Li</dc:creator>
  <cp:keywords/>
  <dc:description/>
  <cp:lastModifiedBy>Thomas Andres</cp:lastModifiedBy>
  <cp:revision/>
  <dcterms:created xsi:type="dcterms:W3CDTF">2015-06-05T18:17:20Z</dcterms:created>
  <dcterms:modified xsi:type="dcterms:W3CDTF">2026-02-25T06:14:35Z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0x010100B3AD615ACEAE8D4D80C31552BA958170</vt:lpwstr>
  </property>
</Properties>
</file>